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seppe\Desktop\MYAccounting\apps\api\templates\"/>
    </mc:Choice>
  </mc:AlternateContent>
  <xr:revisionPtr revIDLastSave="0" documentId="13_ncr:1_{E1D0814A-98B2-49AC-81D9-210D17C2684C}" xr6:coauthVersionLast="47" xr6:coauthVersionMax="47" xr10:uidLastSave="{00000000-0000-0000-0000-000000000000}"/>
  <bookViews>
    <workbookView xWindow="-108" yWindow="-108" windowWidth="23256" windowHeight="12456" tabRatio="764" activeTab="1" xr2:uid="{00000000-000D-0000-FFFF-FFFF00000000}"/>
  </bookViews>
  <sheets>
    <sheet name="PIANO_DEI_CONTI" sheetId="1" r:id="rId1"/>
    <sheet name="LIBRO_GIORNALE" sheetId="5" r:id="rId2"/>
    <sheet name="CONTI_DI_MASTRO" sheetId="2" r:id="rId3"/>
    <sheet name="SIT._CONTABILE" sheetId="11" r:id="rId4"/>
    <sheet name="SIT.PATR._SIT.ECON." sheetId="10" r:id="rId5"/>
    <sheet name="BILANCIO" sheetId="14" r:id="rId6"/>
    <sheet name="CHIUS.-APERT." sheetId="15" r:id="rId7"/>
    <sheet name="COPIA" sheetId="12" state="hidden" r:id="rId8"/>
    <sheet name="VALORI_INIZIALI" sheetId="13" r:id="rId9"/>
  </sheets>
  <definedNames>
    <definedName name="ANNI">COPIA!$AN$1:$AN$2</definedName>
    <definedName name="_xlnm.Print_Area" localSheetId="5">BILANCIO!$B$6:$E$42</definedName>
    <definedName name="_xlnm.Print_Area" localSheetId="6">'CHIUS.-APERT.'!$B$9:$H$41</definedName>
    <definedName name="_xlnm.Print_Area" localSheetId="2">CONTI_DI_MASTRO!$B$7:$F$133</definedName>
    <definedName name="_xlnm.Print_Area" localSheetId="1">LIBRO_GIORNALE!$B$11:$H$64</definedName>
    <definedName name="_xlnm.Print_Area" localSheetId="0">PIANO_DEI_CONTI!$D$7:$I$214</definedName>
    <definedName name="_xlnm.Print_Area" localSheetId="3">SIT._CONTABILE!$B$6:$G$35</definedName>
    <definedName name="_xlnm.Print_Area" localSheetId="4">'SIT.PATR._SIT.ECON.'!$B$4:$E$30</definedName>
    <definedName name="_xlnm.Print_Area" localSheetId="8">VALORI_INIZIALI!$B$6:$I$9</definedName>
    <definedName name="AVERE">COPIA!$BE$3:$BE$500</definedName>
    <definedName name="avere_grezzo">COPIA!$FC$3:$FC$400</definedName>
    <definedName name="CLASSIFICAZIONE">COPIA!$AD$3:$AD$230</definedName>
    <definedName name="CODICE">COPIA!$Z$3:$Z$230</definedName>
    <definedName name="conti_aperti">OFFSET(COPIA!$CV$2,,,COPIA!$CX$2+1,)</definedName>
    <definedName name="DARE">COPIA!$BD$3:$BD$500</definedName>
    <definedName name="dare_grezzo">COPIA!$FB$3:$FB$400</definedName>
    <definedName name="DATA">COPIA!$BA$3:$BA$500</definedName>
    <definedName name="data_grezzo">COPIA!$EY$3:$EY$400</definedName>
    <definedName name="den_grezzo">COPIA!$EZ$3:$EZ$400</definedName>
    <definedName name="DENOMINAZIONE">COPIA!$AA$3:$AA$230</definedName>
    <definedName name="DENOMINAZIONE_GIORNALE">COPIA!$BB$3:$BB$500</definedName>
    <definedName name="DESCRIZIONE">COPIA!$BC$3:$BC$500</definedName>
    <definedName name="DESTINAZIONE">COPIA!$AE$3:$AE$230</definedName>
    <definedName name="ECCEDENZA">COPIA!$AC$3:$AC$230</definedName>
    <definedName name="elenco_aperti">OFFSET(COPIA!$CV$2,,,COPIA!$CX$2+1,)</definedName>
    <definedName name="FILTRO_CELLA">COPIA!$EP$1:$EP$2</definedName>
    <definedName name="FINE_A_PC">COPIA!$EX$2</definedName>
    <definedName name="FINE_AC">COPIA!$FC$1</definedName>
    <definedName name="GIORNALE">COPIA!$AZ$3:$BE$500</definedName>
    <definedName name="giornale_grezzo">COPIA!$EY$3:$FC$400</definedName>
    <definedName name="GIORNI">COPIA!$J$4:$J$34</definedName>
    <definedName name="INIZIO_A_PC">COPIA!$EY$2</definedName>
    <definedName name="INIZIO_AC">COPIA!$FC$2</definedName>
    <definedName name="LIBRO_GIORNALE">COPIA!$AZ$3:$BF$500</definedName>
    <definedName name="MENU__TENDINA">OFFSET(COPIA!$DI$3,,,COPIA!$DH$1)</definedName>
    <definedName name="MENU_TENDINA">OFFSET(COPIA!$M$3,,,COPIA!$P$1)</definedName>
    <definedName name="MESI">COPIA!$J$4:$J$15</definedName>
    <definedName name="nascondi_righe">COPIA!$EX$102:$EX$400</definedName>
    <definedName name="NATURA">COPIA!$AB$3:$AB$230</definedName>
    <definedName name="Num._riga">COPIA!$AZ$3:$AZ$500</definedName>
    <definedName name="office365">COPIA!$K$3:$K$250</definedName>
    <definedName name="PIANO_DEI_CONTI">COPIA!$Z$3:$AI$230</definedName>
    <definedName name="PROGRESSIVO">COPIA!$EL$3:$EL$500</definedName>
    <definedName name="RAGRUPPAMENTO">COPIA!$AF$3:$AF$230</definedName>
    <definedName name="rettifiche">OFFSET(COPIA!$IR$3,,,COPIA!$IQ$1,1)</definedName>
    <definedName name="RIGHE_PROSPETTI">COPIA!$JM$3:$JM$33</definedName>
    <definedName name="saldi">OFFSET(COPIA!$GW$3,,,COPIA!$GW$1,1)</definedName>
    <definedName name="_xlnm.Print_Titles" localSheetId="5">BILANCIO!$6:$6</definedName>
    <definedName name="_xlnm.Print_Titles" localSheetId="6">'CHIUS.-APERT.'!$9:$11</definedName>
    <definedName name="_xlnm.Print_Titles" localSheetId="2">CONTI_DI_MASTRO!$7:$7</definedName>
    <definedName name="_xlnm.Print_Titles" localSheetId="1">LIBRO_GIORNALE!$8:$10</definedName>
    <definedName name="_xlnm.Print_Titles" localSheetId="0">PIANO_DEI_CONTI!$6:$6</definedName>
    <definedName name="_xlnm.Print_Titles" localSheetId="3">SIT._CONTABILE!$6:$9</definedName>
    <definedName name="_xlnm.Print_Titles" localSheetId="4">'SIT.PATR._SIT.ECON.'!$4:$5</definedName>
    <definedName name="_xlnm.Print_Titles" localSheetId="8">VALORI_INIZIALI!$6:$7</definedName>
    <definedName name="VALORI_INIZIALI">VALORI_INIZIALI!$B$8:$I$75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4" i="12"/>
  <c r="B105" i="12"/>
  <c r="B106" i="12"/>
  <c r="B107" i="12"/>
  <c r="B108" i="12"/>
  <c r="B109" i="12"/>
  <c r="B110" i="12"/>
  <c r="B111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E213" i="1" s="1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W214" i="12" s="1"/>
  <c r="A215" i="12"/>
  <c r="W215" i="12" s="1"/>
  <c r="A216" i="12"/>
  <c r="W216" i="12" s="1"/>
  <c r="A217" i="12"/>
  <c r="W217" i="12" s="1"/>
  <c r="A218" i="12"/>
  <c r="W218" i="12" s="1"/>
  <c r="A219" i="12"/>
  <c r="W219" i="12" s="1"/>
  <c r="A220" i="12"/>
  <c r="W220" i="12" s="1"/>
  <c r="A3" i="12"/>
  <c r="I220" i="12"/>
  <c r="I3" i="12"/>
  <c r="H220" i="12"/>
  <c r="H3" i="12"/>
  <c r="G220" i="12"/>
  <c r="G3" i="12"/>
  <c r="HA102" i="12"/>
  <c r="HA113" i="12"/>
  <c r="A3" i="5"/>
  <c r="HA112" i="12"/>
  <c r="B102" i="12" l="1"/>
  <c r="X217" i="12"/>
  <c r="B114" i="12"/>
  <c r="B103" i="12"/>
  <c r="X216" i="12"/>
  <c r="X219" i="12"/>
  <c r="X215" i="12"/>
  <c r="X220" i="12"/>
  <c r="X218" i="12"/>
  <c r="X214" i="12"/>
  <c r="A3" i="13"/>
  <c r="E3" i="13" s="1"/>
  <c r="E3" i="5"/>
  <c r="B101" i="12"/>
  <c r="B113" i="12"/>
  <c r="B112" i="12"/>
  <c r="IY201" i="12" l="1"/>
  <c r="IY202" i="12"/>
  <c r="IY203" i="12"/>
  <c r="IY204" i="12"/>
  <c r="IY205" i="12"/>
  <c r="IY206" i="12"/>
  <c r="IY207" i="12"/>
  <c r="IY208" i="12"/>
  <c r="IY209" i="12"/>
  <c r="IY210" i="12"/>
  <c r="IY211" i="12"/>
  <c r="IY212" i="12"/>
  <c r="IY213" i="12"/>
  <c r="IZ213" i="12" s="1"/>
  <c r="IY214" i="12"/>
  <c r="IY215" i="12"/>
  <c r="IY216" i="12"/>
  <c r="IY217" i="12"/>
  <c r="IY218" i="12"/>
  <c r="IY219" i="12"/>
  <c r="IY220" i="12"/>
  <c r="IY221" i="12"/>
  <c r="IY222" i="12"/>
  <c r="IY223" i="12"/>
  <c r="IY224" i="12"/>
  <c r="IY225" i="12"/>
  <c r="IY226" i="12"/>
  <c r="IY227" i="12"/>
  <c r="IY228" i="12"/>
  <c r="IY229" i="12"/>
  <c r="IY230" i="12"/>
  <c r="IX201" i="12"/>
  <c r="IZ201" i="12" s="1"/>
  <c r="IX202" i="12"/>
  <c r="IX203" i="12"/>
  <c r="IX204" i="12"/>
  <c r="IX205" i="12"/>
  <c r="IX206" i="12"/>
  <c r="IZ206" i="12" s="1"/>
  <c r="IX207" i="12"/>
  <c r="IX208" i="12"/>
  <c r="IZ208" i="12" s="1"/>
  <c r="IX209" i="12"/>
  <c r="IX210" i="12"/>
  <c r="IX211" i="12"/>
  <c r="IX212" i="12"/>
  <c r="IX213" i="12"/>
  <c r="IX214" i="12"/>
  <c r="IZ214" i="12" s="1"/>
  <c r="IX215" i="12"/>
  <c r="IX216" i="12"/>
  <c r="IX217" i="12"/>
  <c r="IZ217" i="12" s="1"/>
  <c r="IX218" i="12"/>
  <c r="IX219" i="12"/>
  <c r="IX220" i="12"/>
  <c r="IX221" i="12"/>
  <c r="IX222" i="12"/>
  <c r="IZ222" i="12" s="1"/>
  <c r="IX223" i="12"/>
  <c r="IX224" i="12"/>
  <c r="IZ224" i="12" s="1"/>
  <c r="IX225" i="12"/>
  <c r="IZ225" i="12" s="1"/>
  <c r="IX226" i="12"/>
  <c r="IX227" i="12"/>
  <c r="IX228" i="12"/>
  <c r="IX229" i="12"/>
  <c r="IX230" i="12"/>
  <c r="IZ230" i="12" s="1"/>
  <c r="IZ205" i="12"/>
  <c r="IZ209" i="12"/>
  <c r="IZ221" i="12"/>
  <c r="IZ229" i="12"/>
  <c r="IZ231" i="12"/>
  <c r="E6" i="5"/>
  <c r="DB2162" i="12"/>
  <c r="DB1982" i="12"/>
  <c r="DB1784" i="12"/>
  <c r="DB1586" i="12"/>
  <c r="DB1388" i="12"/>
  <c r="DB1190" i="12"/>
  <c r="DB992" i="12"/>
  <c r="DB794" i="12"/>
  <c r="DB596" i="12"/>
  <c r="DB398" i="12"/>
  <c r="DB200" i="12"/>
  <c r="DB38" i="12"/>
  <c r="IB31" i="12"/>
  <c r="I1" i="12"/>
  <c r="DU1" i="12"/>
  <c r="B6" i="14"/>
  <c r="J1" i="12"/>
  <c r="IJ1" i="12"/>
  <c r="D6" i="14"/>
  <c r="D6" i="11"/>
  <c r="B7" i="2"/>
  <c r="B9" i="15"/>
  <c r="E7" i="2"/>
  <c r="N2" i="12"/>
  <c r="G6" i="13"/>
  <c r="D4" i="10"/>
  <c r="IB13" i="12"/>
  <c r="GP1" i="12"/>
  <c r="B4" i="10"/>
  <c r="H6" i="13"/>
  <c r="C6" i="11"/>
  <c r="F9" i="15"/>
  <c r="ID1" i="12"/>
  <c r="EO1" i="12"/>
  <c r="IZ226" i="12" l="1"/>
  <c r="IZ218" i="12"/>
  <c r="IZ210" i="12"/>
  <c r="IZ202" i="12"/>
  <c r="IZ216" i="12"/>
  <c r="IZ220" i="12"/>
  <c r="IZ204" i="12"/>
  <c r="IZ228" i="12"/>
  <c r="IZ212" i="12"/>
  <c r="EB91" i="12"/>
  <c r="EB90" i="12"/>
  <c r="EB56" i="12"/>
  <c r="EB55" i="12"/>
  <c r="IZ227" i="12"/>
  <c r="IZ223" i="12"/>
  <c r="IZ219" i="12"/>
  <c r="IZ215" i="12"/>
  <c r="IZ211" i="12"/>
  <c r="IZ207" i="12"/>
  <c r="IZ203" i="12"/>
  <c r="A6" i="11"/>
  <c r="A8" i="11" s="1"/>
  <c r="IH1" i="12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26" i="5"/>
  <c r="C29" i="5"/>
  <c r="C22" i="5"/>
  <c r="C36" i="5"/>
  <c r="C37" i="5"/>
  <c r="C17" i="5"/>
  <c r="C44" i="5"/>
  <c r="C19" i="5"/>
  <c r="C45" i="5"/>
  <c r="C24" i="5"/>
  <c r="C32" i="5"/>
  <c r="C20" i="5"/>
  <c r="C25" i="5"/>
  <c r="C61" i="5"/>
  <c r="C18" i="5"/>
  <c r="C33" i="5"/>
  <c r="C35" i="5"/>
  <c r="C43" i="5"/>
  <c r="C39" i="5"/>
  <c r="C31" i="5"/>
  <c r="C16" i="5"/>
  <c r="C46" i="5"/>
  <c r="C41" i="5"/>
  <c r="C42" i="5"/>
  <c r="C27" i="5"/>
  <c r="C58" i="5"/>
  <c r="C34" i="5"/>
  <c r="C23" i="5"/>
  <c r="C53" i="5"/>
  <c r="C51" i="5"/>
  <c r="C60" i="5"/>
  <c r="C38" i="5"/>
  <c r="C52" i="5"/>
  <c r="C49" i="5"/>
  <c r="C28" i="5"/>
  <c r="C40" i="5"/>
  <c r="C21" i="5"/>
  <c r="C62" i="5"/>
  <c r="C48" i="5"/>
  <c r="C55" i="5"/>
  <c r="C56" i="5"/>
  <c r="C57" i="5"/>
  <c r="C30" i="5"/>
  <c r="C47" i="5"/>
  <c r="C50" i="5"/>
  <c r="C54" i="5"/>
  <c r="C59" i="5"/>
  <c r="C15" i="5"/>
  <c r="EY87" i="12"/>
  <c r="EZ67" i="12"/>
  <c r="EZ45" i="12"/>
  <c r="EZ32" i="12"/>
  <c r="EY31" i="12"/>
  <c r="EZ100" i="12"/>
  <c r="EZ80" i="12"/>
  <c r="EY27" i="12"/>
  <c r="EY59" i="12"/>
  <c r="EY35" i="12"/>
  <c r="EZ42" i="12"/>
  <c r="EZ82" i="12"/>
  <c r="EY80" i="12"/>
  <c r="EY53" i="12"/>
  <c r="EZ83" i="12"/>
  <c r="EZ52" i="12"/>
  <c r="EY77" i="12"/>
  <c r="EY28" i="12"/>
  <c r="EZ18" i="12"/>
  <c r="EZ30" i="12"/>
  <c r="EY79" i="12"/>
  <c r="EZ50" i="12"/>
  <c r="EZ29" i="12"/>
  <c r="EZ84" i="12"/>
  <c r="EZ37" i="12"/>
  <c r="EY92" i="12"/>
  <c r="EZ57" i="12"/>
  <c r="EZ25" i="12"/>
  <c r="EY99" i="12"/>
  <c r="EY10" i="12"/>
  <c r="EZ88" i="12"/>
  <c r="EY24" i="12"/>
  <c r="EZ35" i="12"/>
  <c r="EY58" i="12"/>
  <c r="EY74" i="12"/>
  <c r="EZ51" i="12"/>
  <c r="EZ5" i="12"/>
  <c r="EZ76" i="12"/>
  <c r="EY29" i="12"/>
  <c r="EZ19" i="12"/>
  <c r="EZ79" i="12"/>
  <c r="EZ26" i="12"/>
  <c r="EY32" i="12"/>
  <c r="BZ2" i="12"/>
  <c r="EY18" i="12"/>
  <c r="EZ7" i="12"/>
  <c r="EY93" i="12"/>
  <c r="EY57" i="12"/>
  <c r="EZ71" i="12"/>
  <c r="EZ13" i="12"/>
  <c r="EZ38" i="12"/>
  <c r="EY51" i="12"/>
  <c r="EZ22" i="12"/>
  <c r="EY47" i="12"/>
  <c r="EY45" i="12"/>
  <c r="EY78" i="12"/>
  <c r="EY73" i="12"/>
  <c r="EZ14" i="12"/>
  <c r="EZ27" i="12"/>
  <c r="EZ10" i="12"/>
  <c r="EZ65" i="12"/>
  <c r="EZ66" i="12"/>
  <c r="EZ44" i="12"/>
  <c r="EY33" i="12"/>
  <c r="EY76" i="12"/>
  <c r="EZ16" i="12"/>
  <c r="EY26" i="12"/>
  <c r="EY4" i="12"/>
  <c r="EY94" i="12"/>
  <c r="EY46" i="12"/>
  <c r="EY68" i="12"/>
  <c r="EY96" i="12"/>
  <c r="EZ9" i="12"/>
  <c r="EY6" i="12"/>
  <c r="EY43" i="12"/>
  <c r="EY65" i="12"/>
  <c r="EY91" i="12"/>
  <c r="EY19" i="12"/>
  <c r="EZ11" i="12"/>
  <c r="EZ68" i="12"/>
  <c r="EY98" i="12"/>
  <c r="EY88" i="12"/>
  <c r="EZ47" i="12"/>
  <c r="EZ62" i="12"/>
  <c r="EZ95" i="12"/>
  <c r="EZ87" i="12"/>
  <c r="EY52" i="12"/>
  <c r="EY64" i="12"/>
  <c r="EY90" i="12"/>
  <c r="EY100" i="12"/>
  <c r="EY84" i="12"/>
  <c r="EY8" i="12"/>
  <c r="EZ99" i="12"/>
  <c r="EZ39" i="12"/>
  <c r="EY102" i="12"/>
  <c r="EZ102" i="12"/>
  <c r="EY9" i="12"/>
  <c r="EZ81" i="12"/>
  <c r="EZ60" i="12"/>
  <c r="EZ101" i="12"/>
  <c r="EZ92" i="12"/>
  <c r="EZ41" i="12"/>
  <c r="EY95" i="12"/>
  <c r="EY86" i="12"/>
  <c r="EZ72" i="12"/>
  <c r="EY70" i="12"/>
  <c r="EZ54" i="12"/>
  <c r="EZ53" i="12"/>
  <c r="EY83" i="12"/>
  <c r="EY42" i="12"/>
  <c r="EZ98" i="12"/>
  <c r="EY41" i="12"/>
  <c r="EZ4" i="12"/>
  <c r="EZ15" i="12"/>
  <c r="EZ59" i="12"/>
  <c r="EZ85" i="12"/>
  <c r="EZ94" i="12"/>
  <c r="EZ69" i="12"/>
  <c r="EZ43" i="12"/>
  <c r="EY72" i="12"/>
  <c r="EZ55" i="12"/>
  <c r="EY66" i="12"/>
  <c r="EY13" i="12"/>
  <c r="EZ36" i="12"/>
  <c r="EY56" i="12"/>
  <c r="EY81" i="12"/>
  <c r="EY44" i="12"/>
  <c r="EZ77" i="12"/>
  <c r="EZ56" i="12"/>
  <c r="EZ86" i="12"/>
  <c r="EY21" i="12"/>
  <c r="EY7" i="12"/>
  <c r="EY67" i="12"/>
  <c r="EY30" i="12"/>
  <c r="EY75" i="12"/>
  <c r="EY20" i="12"/>
  <c r="EY37" i="12"/>
  <c r="EZ8" i="12"/>
  <c r="EZ74" i="12"/>
  <c r="EY82" i="12"/>
  <c r="EY49" i="12"/>
  <c r="EY11" i="12"/>
  <c r="EZ24" i="12"/>
  <c r="EZ93" i="12"/>
  <c r="EY12" i="12"/>
  <c r="EZ73" i="12"/>
  <c r="EY54" i="12"/>
  <c r="EZ34" i="12"/>
  <c r="EZ46" i="12"/>
  <c r="EZ12" i="12"/>
  <c r="EY3" i="12"/>
  <c r="EZ70" i="12"/>
  <c r="EZ31" i="12"/>
  <c r="EY36" i="12"/>
  <c r="EZ48" i="12"/>
  <c r="EY48" i="12"/>
  <c r="EY50" i="12"/>
  <c r="EY62" i="12"/>
  <c r="EY85" i="12"/>
  <c r="EZ58" i="12"/>
  <c r="EZ78" i="12"/>
  <c r="EY15" i="12"/>
  <c r="EZ75" i="12"/>
  <c r="EZ21" i="12"/>
  <c r="EY61" i="12"/>
  <c r="EY69" i="12"/>
  <c r="EY22" i="12"/>
  <c r="EZ3" i="12"/>
  <c r="EZ90" i="12"/>
  <c r="EY101" i="12"/>
  <c r="EZ17" i="12"/>
  <c r="EZ20" i="12"/>
  <c r="EZ49" i="12"/>
  <c r="EZ40" i="12"/>
  <c r="EY17" i="12"/>
  <c r="EY55" i="12"/>
  <c r="EY23" i="12"/>
  <c r="EY34" i="12"/>
  <c r="EY16" i="12"/>
  <c r="EZ63" i="12"/>
  <c r="EZ96" i="12"/>
  <c r="EZ91" i="12"/>
  <c r="EN1" i="12"/>
  <c r="EZ23" i="12"/>
  <c r="EZ64" i="12"/>
  <c r="EZ97" i="12"/>
  <c r="EY89" i="12"/>
  <c r="EY39" i="12"/>
  <c r="EY25" i="12"/>
  <c r="EY14" i="12"/>
  <c r="EZ6" i="12"/>
  <c r="EZ61" i="12"/>
  <c r="EY71" i="12"/>
  <c r="EY97" i="12"/>
  <c r="EY63" i="12"/>
  <c r="EY5" i="12"/>
  <c r="EZ28" i="12"/>
  <c r="EZ33" i="12"/>
  <c r="EY40" i="12"/>
  <c r="EY60" i="12"/>
  <c r="EY38" i="12"/>
  <c r="EZ89" i="12"/>
  <c r="A7" i="13" l="1"/>
  <c r="A6" i="14"/>
  <c r="FB100" i="12"/>
  <c r="FC100" i="12"/>
  <c r="FB96" i="12"/>
  <c r="FC96" i="12"/>
  <c r="FC92" i="12"/>
  <c r="FB92" i="12"/>
  <c r="FC88" i="12"/>
  <c r="FB88" i="12"/>
  <c r="FC84" i="12"/>
  <c r="FB84" i="12"/>
  <c r="FC80" i="12"/>
  <c r="FB80" i="12"/>
  <c r="FC76" i="12"/>
  <c r="FB76" i="12"/>
  <c r="FC72" i="12"/>
  <c r="FB72" i="12"/>
  <c r="FC68" i="12"/>
  <c r="FB68" i="12"/>
  <c r="FC64" i="12"/>
  <c r="FB64" i="12"/>
  <c r="FC60" i="12"/>
  <c r="FB60" i="12"/>
  <c r="FC56" i="12"/>
  <c r="FB56" i="12"/>
  <c r="FC52" i="12"/>
  <c r="FB52" i="12"/>
  <c r="FC48" i="12"/>
  <c r="FB48" i="12"/>
  <c r="FC44" i="12"/>
  <c r="FB44" i="12"/>
  <c r="FC40" i="12"/>
  <c r="FB40" i="12"/>
  <c r="FB36" i="12"/>
  <c r="FC36" i="12"/>
  <c r="FB32" i="12"/>
  <c r="FC32" i="12"/>
  <c r="FB28" i="12"/>
  <c r="FC28" i="12"/>
  <c r="FB24" i="12"/>
  <c r="FC24" i="12"/>
  <c r="FB20" i="12"/>
  <c r="FC20" i="12"/>
  <c r="FB16" i="12"/>
  <c r="FC16" i="12"/>
  <c r="FB12" i="12"/>
  <c r="FC12" i="12"/>
  <c r="FB8" i="12"/>
  <c r="FC8" i="12"/>
  <c r="FB101" i="12"/>
  <c r="FC101" i="12"/>
  <c r="FB97" i="12"/>
  <c r="FC97" i="12"/>
  <c r="FB93" i="12"/>
  <c r="FC93" i="12"/>
  <c r="FB89" i="12"/>
  <c r="FC89" i="12"/>
  <c r="FB85" i="12"/>
  <c r="FC85" i="12"/>
  <c r="FB81" i="12"/>
  <c r="FC81" i="12"/>
  <c r="FB77" i="12"/>
  <c r="FC77" i="12"/>
  <c r="FB73" i="12"/>
  <c r="FC73" i="12"/>
  <c r="FB69" i="12"/>
  <c r="FC69" i="12"/>
  <c r="FB65" i="12"/>
  <c r="FC65" i="12"/>
  <c r="FB61" i="12"/>
  <c r="FC61" i="12"/>
  <c r="FB57" i="12"/>
  <c r="FC57" i="12"/>
  <c r="FB53" i="12"/>
  <c r="FC53" i="12"/>
  <c r="FB49" i="12"/>
  <c r="FC49" i="12"/>
  <c r="FB45" i="12"/>
  <c r="FC45" i="12"/>
  <c r="FB41" i="12"/>
  <c r="FC41" i="12"/>
  <c r="FB37" i="12"/>
  <c r="FC37" i="12"/>
  <c r="FB33" i="12"/>
  <c r="FC33" i="12"/>
  <c r="FB29" i="12"/>
  <c r="FC29" i="12"/>
  <c r="FB25" i="12"/>
  <c r="FC25" i="12"/>
  <c r="FB21" i="12"/>
  <c r="FC21" i="12"/>
  <c r="FB17" i="12"/>
  <c r="FC17" i="12"/>
  <c r="FB13" i="12"/>
  <c r="FC13" i="12"/>
  <c r="FB9" i="12"/>
  <c r="FC9" i="12"/>
  <c r="FB78" i="12"/>
  <c r="FC78" i="12"/>
  <c r="FB54" i="12"/>
  <c r="FC54" i="12"/>
  <c r="FC38" i="12"/>
  <c r="FB38" i="12"/>
  <c r="FC30" i="12"/>
  <c r="FB30" i="12"/>
  <c r="FC26" i="12"/>
  <c r="FB26" i="12"/>
  <c r="FB22" i="12"/>
  <c r="FC22" i="12"/>
  <c r="FC14" i="12"/>
  <c r="FB14" i="12"/>
  <c r="FB10" i="12"/>
  <c r="FC10" i="12"/>
  <c r="FC102" i="12"/>
  <c r="FB102" i="12"/>
  <c r="FC98" i="12"/>
  <c r="FB98" i="12"/>
  <c r="FC94" i="12"/>
  <c r="FB94" i="12"/>
  <c r="FB90" i="12"/>
  <c r="FC90" i="12"/>
  <c r="FB86" i="12"/>
  <c r="FC86" i="12"/>
  <c r="FB82" i="12"/>
  <c r="FC82" i="12"/>
  <c r="FB74" i="12"/>
  <c r="FC74" i="12"/>
  <c r="FB70" i="12"/>
  <c r="FC70" i="12"/>
  <c r="FB66" i="12"/>
  <c r="FC66" i="12"/>
  <c r="FB62" i="12"/>
  <c r="FC62" i="12"/>
  <c r="FB58" i="12"/>
  <c r="FC58" i="12"/>
  <c r="FB50" i="12"/>
  <c r="FC50" i="12"/>
  <c r="FB46" i="12"/>
  <c r="FC46" i="12"/>
  <c r="FB42" i="12"/>
  <c r="FC42" i="12"/>
  <c r="FC34" i="12"/>
  <c r="FB34" i="12"/>
  <c r="FB18" i="12"/>
  <c r="FC18" i="12"/>
  <c r="FB99" i="12"/>
  <c r="FC99" i="12"/>
  <c r="FB95" i="12"/>
  <c r="FC95" i="12"/>
  <c r="FB91" i="12"/>
  <c r="FC91" i="12"/>
  <c r="FB87" i="12"/>
  <c r="FC87" i="12"/>
  <c r="FB83" i="12"/>
  <c r="FC83" i="12"/>
  <c r="FB79" i="12"/>
  <c r="FC79" i="12"/>
  <c r="FB75" i="12"/>
  <c r="FC75" i="12"/>
  <c r="FB71" i="12"/>
  <c r="FC71" i="12"/>
  <c r="FB67" i="12"/>
  <c r="FC67" i="12"/>
  <c r="FB63" i="12"/>
  <c r="FC63" i="12"/>
  <c r="FB59" i="12"/>
  <c r="FC59" i="12"/>
  <c r="FB55" i="12"/>
  <c r="FC55" i="12"/>
  <c r="FB51" i="12"/>
  <c r="FC51" i="12"/>
  <c r="FB47" i="12"/>
  <c r="FC47" i="12"/>
  <c r="FB43" i="12"/>
  <c r="FC43" i="12"/>
  <c r="FB39" i="12"/>
  <c r="FC39" i="12"/>
  <c r="FB35" i="12"/>
  <c r="FC35" i="12"/>
  <c r="FB31" i="12"/>
  <c r="FC31" i="12"/>
  <c r="FB27" i="12"/>
  <c r="FC27" i="12"/>
  <c r="FB23" i="12"/>
  <c r="FC23" i="12"/>
  <c r="FB19" i="12"/>
  <c r="FC19" i="12"/>
  <c r="FB15" i="12"/>
  <c r="FC15" i="12"/>
  <c r="FB11" i="12"/>
  <c r="FC11" i="12"/>
  <c r="FB7" i="12"/>
  <c r="FC7" i="12"/>
  <c r="CB2" i="12"/>
  <c r="FC6" i="12"/>
  <c r="FB6" i="12"/>
  <c r="FC5" i="12"/>
  <c r="FB5" i="12"/>
  <c r="FC4" i="12"/>
  <c r="FB4" i="12"/>
  <c r="FC3" i="12"/>
  <c r="FB3" i="12"/>
  <c r="CC2" i="12" l="1"/>
  <c r="CZ2" i="12"/>
  <c r="FM221" i="12"/>
  <c r="FM222" i="12"/>
  <c r="FM223" i="12"/>
  <c r="FM224" i="12"/>
  <c r="FM225" i="12"/>
  <c r="FM226" i="12"/>
  <c r="FM227" i="12"/>
  <c r="FM228" i="12"/>
  <c r="FM229" i="12"/>
  <c r="FM230" i="12"/>
  <c r="FM231" i="12"/>
  <c r="FM232" i="12"/>
  <c r="FM233" i="12"/>
  <c r="FM234" i="12"/>
  <c r="FM235" i="12"/>
  <c r="FM236" i="12"/>
  <c r="FM237" i="12"/>
  <c r="FM238" i="12"/>
  <c r="FM239" i="12"/>
  <c r="FM240" i="12"/>
  <c r="FM241" i="12"/>
  <c r="FM242" i="12"/>
  <c r="FM243" i="12"/>
  <c r="FM244" i="12"/>
  <c r="FM245" i="12"/>
  <c r="FM246" i="12"/>
  <c r="FM247" i="12"/>
  <c r="FM248" i="12"/>
  <c r="FM249" i="12"/>
  <c r="FM250" i="12"/>
  <c r="FM251" i="12"/>
  <c r="FM252" i="12"/>
  <c r="FM253" i="12"/>
  <c r="FM254" i="12"/>
  <c r="FM255" i="12"/>
  <c r="FM256" i="12"/>
  <c r="FM257" i="12"/>
  <c r="FM258" i="12"/>
  <c r="FM259" i="12"/>
  <c r="FM260" i="12"/>
  <c r="FM261" i="12"/>
  <c r="FM262" i="12"/>
  <c r="FM263" i="12"/>
  <c r="FM264" i="12"/>
  <c r="FM265" i="12"/>
  <c r="FM266" i="12"/>
  <c r="FM267" i="12"/>
  <c r="FM268" i="12"/>
  <c r="FM269" i="12"/>
  <c r="FM270" i="12"/>
  <c r="FM271" i="12"/>
  <c r="FM272" i="12"/>
  <c r="FM273" i="12"/>
  <c r="FM274" i="12"/>
  <c r="FM275" i="12"/>
  <c r="FM276" i="12"/>
  <c r="FM277" i="12"/>
  <c r="FM278" i="12"/>
  <c r="FM279" i="12"/>
  <c r="FM280" i="12"/>
  <c r="FM281" i="12"/>
  <c r="FM282" i="12"/>
  <c r="FM283" i="12"/>
  <c r="FM284" i="12"/>
  <c r="FM285" i="12"/>
  <c r="FM286" i="12"/>
  <c r="FM287" i="12"/>
  <c r="FM288" i="12"/>
  <c r="FM289" i="12"/>
  <c r="FM290" i="12"/>
  <c r="FM291" i="12"/>
  <c r="FM292" i="12"/>
  <c r="FM293" i="12"/>
  <c r="FM294" i="12"/>
  <c r="FM295" i="12"/>
  <c r="FM296" i="12"/>
  <c r="FM297" i="12"/>
  <c r="FM298" i="12"/>
  <c r="FM299" i="12"/>
  <c r="FM300" i="12"/>
  <c r="FM301" i="12"/>
  <c r="FM302" i="12"/>
  <c r="FM303" i="12"/>
  <c r="FM304" i="12"/>
  <c r="FM305" i="12"/>
  <c r="FM306" i="12"/>
  <c r="FM307" i="12"/>
  <c r="FM308" i="12"/>
  <c r="FM309" i="12"/>
  <c r="FM310" i="12"/>
  <c r="FM311" i="12"/>
  <c r="FM312" i="12"/>
  <c r="FM313" i="12"/>
  <c r="FM314" i="12"/>
  <c r="FM315" i="12"/>
  <c r="FM316" i="12"/>
  <c r="FM317" i="12"/>
  <c r="FM318" i="12"/>
  <c r="FM319" i="12"/>
  <c r="FM320" i="12"/>
  <c r="FM321" i="12"/>
  <c r="FM322" i="12"/>
  <c r="FM323" i="12"/>
  <c r="FM324" i="12"/>
  <c r="FM325" i="12"/>
  <c r="FM326" i="12"/>
  <c r="FM327" i="12"/>
  <c r="FM328" i="12"/>
  <c r="FM329" i="12"/>
  <c r="FM330" i="12"/>
  <c r="FM331" i="12"/>
  <c r="FM332" i="12"/>
  <c r="FM333" i="12"/>
  <c r="FM334" i="12"/>
  <c r="FM335" i="12"/>
  <c r="FM336" i="12"/>
  <c r="FM337" i="12"/>
  <c r="FM338" i="12"/>
  <c r="FM339" i="12"/>
  <c r="FM340" i="12"/>
  <c r="FM341" i="12"/>
  <c r="FM342" i="12"/>
  <c r="FM343" i="12"/>
  <c r="FM344" i="12"/>
  <c r="FM345" i="12"/>
  <c r="FM346" i="12"/>
  <c r="FM347" i="12"/>
  <c r="FM348" i="12"/>
  <c r="FM349" i="12"/>
  <c r="FM350" i="12"/>
  <c r="FM351" i="12"/>
  <c r="FM352" i="12"/>
  <c r="FM353" i="12"/>
  <c r="FM354" i="12"/>
  <c r="FM355" i="12"/>
  <c r="FM356" i="12"/>
  <c r="FM357" i="12"/>
  <c r="FM358" i="12"/>
  <c r="FM359" i="12"/>
  <c r="FM360" i="12"/>
  <c r="FM361" i="12"/>
  <c r="FM362" i="12"/>
  <c r="FM363" i="12"/>
  <c r="FM364" i="12"/>
  <c r="FM365" i="12"/>
  <c r="FM366" i="12"/>
  <c r="FM367" i="12"/>
  <c r="FM368" i="12"/>
  <c r="FM369" i="12"/>
  <c r="FM370" i="12"/>
  <c r="FM371" i="12"/>
  <c r="FM372" i="12"/>
  <c r="FM373" i="12"/>
  <c r="FM374" i="12"/>
  <c r="FM375" i="12"/>
  <c r="FM376" i="12"/>
  <c r="FM377" i="12"/>
  <c r="FM378" i="12"/>
  <c r="FM379" i="12"/>
  <c r="FM380" i="12"/>
  <c r="FM381" i="12"/>
  <c r="FM382" i="12"/>
  <c r="FM383" i="12"/>
  <c r="FM384" i="12"/>
  <c r="FM385" i="12"/>
  <c r="FM386" i="12"/>
  <c r="FM387" i="12"/>
  <c r="FM388" i="12"/>
  <c r="FM389" i="12"/>
  <c r="FM390" i="12"/>
  <c r="FM391" i="12"/>
  <c r="FM392" i="12"/>
  <c r="FM393" i="12"/>
  <c r="FM394" i="12"/>
  <c r="FM395" i="12"/>
  <c r="FM396" i="12"/>
  <c r="FM397" i="12"/>
  <c r="FM398" i="12"/>
  <c r="FM399" i="12"/>
  <c r="FM400" i="12"/>
  <c r="DA3" i="12"/>
  <c r="DA21" i="12"/>
  <c r="CX38" i="12"/>
  <c r="CX56" i="12" s="1"/>
  <c r="DA1983" i="12"/>
  <c r="DA1785" i="12"/>
  <c r="DA1587" i="12"/>
  <c r="DA1389" i="12"/>
  <c r="DA1191" i="12"/>
  <c r="DA993" i="12"/>
  <c r="DA795" i="12"/>
  <c r="DA597" i="12"/>
  <c r="DA399" i="12"/>
  <c r="DA201" i="12"/>
  <c r="DA39" i="12"/>
  <c r="DB20" i="12"/>
  <c r="B162" i="5" l="1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FR221" i="12"/>
  <c r="FR222" i="12"/>
  <c r="FR223" i="12"/>
  <c r="FR224" i="12"/>
  <c r="FR225" i="12"/>
  <c r="FR226" i="12"/>
  <c r="FR227" i="12"/>
  <c r="FR228" i="12"/>
  <c r="FR229" i="12"/>
  <c r="FR230" i="12"/>
  <c r="FR231" i="12"/>
  <c r="FR232" i="12"/>
  <c r="FR233" i="12"/>
  <c r="FR234" i="12"/>
  <c r="FR235" i="12"/>
  <c r="FR236" i="12"/>
  <c r="FR237" i="12"/>
  <c r="FR238" i="12"/>
  <c r="FR239" i="12"/>
  <c r="FR240" i="12"/>
  <c r="FR241" i="12"/>
  <c r="FR242" i="12"/>
  <c r="FR243" i="12"/>
  <c r="FR244" i="12"/>
  <c r="FR245" i="12"/>
  <c r="FR246" i="12"/>
  <c r="FR247" i="12"/>
  <c r="FR248" i="12"/>
  <c r="FR249" i="12"/>
  <c r="FR250" i="12"/>
  <c r="FR251" i="12"/>
  <c r="FR252" i="12"/>
  <c r="FR253" i="12"/>
  <c r="FR254" i="12"/>
  <c r="FR255" i="12"/>
  <c r="FR256" i="12"/>
  <c r="FR257" i="12"/>
  <c r="FR258" i="12"/>
  <c r="FR259" i="12"/>
  <c r="FR260" i="12"/>
  <c r="FR261" i="12"/>
  <c r="FR262" i="12"/>
  <c r="FR263" i="12"/>
  <c r="FR264" i="12"/>
  <c r="FR265" i="12"/>
  <c r="FR266" i="12"/>
  <c r="FR267" i="12"/>
  <c r="FR268" i="12"/>
  <c r="FR269" i="12"/>
  <c r="FR270" i="12"/>
  <c r="FR271" i="12"/>
  <c r="FR272" i="12"/>
  <c r="FR273" i="12"/>
  <c r="FR274" i="12"/>
  <c r="FR275" i="12"/>
  <c r="FR276" i="12"/>
  <c r="FR277" i="12"/>
  <c r="FR278" i="12"/>
  <c r="FR279" i="12"/>
  <c r="FR280" i="12"/>
  <c r="FR281" i="12"/>
  <c r="FR282" i="12"/>
  <c r="FR283" i="12"/>
  <c r="FR284" i="12"/>
  <c r="FR285" i="12"/>
  <c r="FR286" i="12"/>
  <c r="FR287" i="12"/>
  <c r="FR288" i="12"/>
  <c r="FR289" i="12"/>
  <c r="FR290" i="12"/>
  <c r="FR291" i="12"/>
  <c r="FR292" i="12"/>
  <c r="FR293" i="12"/>
  <c r="FR294" i="12"/>
  <c r="FR295" i="12"/>
  <c r="FR296" i="12"/>
  <c r="FR297" i="12"/>
  <c r="FR298" i="12"/>
  <c r="FR299" i="12"/>
  <c r="FR300" i="12"/>
  <c r="FR301" i="12"/>
  <c r="FR302" i="12"/>
  <c r="FR303" i="12"/>
  <c r="FR304" i="12"/>
  <c r="FR305" i="12"/>
  <c r="FR306" i="12"/>
  <c r="FR307" i="12"/>
  <c r="FR308" i="12"/>
  <c r="FR309" i="12"/>
  <c r="FR310" i="12"/>
  <c r="FR311" i="12"/>
  <c r="FR312" i="12"/>
  <c r="FR313" i="12"/>
  <c r="FR314" i="12"/>
  <c r="FR315" i="12"/>
  <c r="FR316" i="12"/>
  <c r="FR317" i="12"/>
  <c r="FR318" i="12"/>
  <c r="FR319" i="12"/>
  <c r="FR320" i="12"/>
  <c r="FR321" i="12"/>
  <c r="FR322" i="12"/>
  <c r="FR323" i="12"/>
  <c r="FR324" i="12"/>
  <c r="FR325" i="12"/>
  <c r="FR326" i="12"/>
  <c r="FR327" i="12"/>
  <c r="FR328" i="12"/>
  <c r="FR329" i="12"/>
  <c r="FR330" i="12"/>
  <c r="FR331" i="12"/>
  <c r="FR332" i="12"/>
  <c r="FR333" i="12"/>
  <c r="FR334" i="12"/>
  <c r="FR335" i="12"/>
  <c r="FR336" i="12"/>
  <c r="FR337" i="12"/>
  <c r="FR338" i="12"/>
  <c r="FR339" i="12"/>
  <c r="FR340" i="12"/>
  <c r="FR341" i="12"/>
  <c r="FR342" i="12"/>
  <c r="FR343" i="12"/>
  <c r="FR344" i="12"/>
  <c r="FR345" i="12"/>
  <c r="FR346" i="12"/>
  <c r="FR347" i="12"/>
  <c r="FR348" i="12"/>
  <c r="FR349" i="12"/>
  <c r="FR350" i="12"/>
  <c r="FR351" i="12"/>
  <c r="FR352" i="12"/>
  <c r="FR353" i="12"/>
  <c r="FR354" i="12"/>
  <c r="FR355" i="12"/>
  <c r="FR356" i="12"/>
  <c r="FR357" i="12"/>
  <c r="FR358" i="12"/>
  <c r="FR359" i="12"/>
  <c r="FR360" i="12"/>
  <c r="FR361" i="12"/>
  <c r="FR362" i="12"/>
  <c r="FR363" i="12"/>
  <c r="FR364" i="12"/>
  <c r="FR365" i="12"/>
  <c r="FR366" i="12"/>
  <c r="FR367" i="12"/>
  <c r="FR368" i="12"/>
  <c r="FR369" i="12"/>
  <c r="FR370" i="12"/>
  <c r="FR371" i="12"/>
  <c r="FR372" i="12"/>
  <c r="FR373" i="12"/>
  <c r="FR374" i="12"/>
  <c r="FR375" i="12"/>
  <c r="FR376" i="12"/>
  <c r="FR377" i="12"/>
  <c r="FR378" i="12"/>
  <c r="FR379" i="12"/>
  <c r="FR380" i="12"/>
  <c r="FR381" i="12"/>
  <c r="FR382" i="12"/>
  <c r="FR383" i="12"/>
  <c r="FR384" i="12"/>
  <c r="FR385" i="12"/>
  <c r="FR386" i="12"/>
  <c r="FR387" i="12"/>
  <c r="FR388" i="12"/>
  <c r="FR389" i="12"/>
  <c r="FR390" i="12"/>
  <c r="FR391" i="12"/>
  <c r="FR392" i="12"/>
  <c r="FR393" i="12"/>
  <c r="FR394" i="12"/>
  <c r="FR395" i="12"/>
  <c r="FR396" i="12"/>
  <c r="FR397" i="12"/>
  <c r="FR398" i="12"/>
  <c r="FR399" i="12"/>
  <c r="FR400" i="12"/>
  <c r="FQ221" i="12"/>
  <c r="FQ222" i="12"/>
  <c r="FQ223" i="12"/>
  <c r="FQ224" i="12"/>
  <c r="FQ225" i="12"/>
  <c r="FQ226" i="12"/>
  <c r="FQ227" i="12"/>
  <c r="FQ228" i="12"/>
  <c r="FQ229" i="12"/>
  <c r="FQ230" i="12"/>
  <c r="FQ231" i="12"/>
  <c r="FQ232" i="12"/>
  <c r="FQ233" i="12"/>
  <c r="FQ234" i="12"/>
  <c r="FQ235" i="12"/>
  <c r="FQ236" i="12"/>
  <c r="FQ237" i="12"/>
  <c r="FQ238" i="12"/>
  <c r="FQ239" i="12"/>
  <c r="FQ240" i="12"/>
  <c r="FQ241" i="12"/>
  <c r="FQ242" i="12"/>
  <c r="FQ243" i="12"/>
  <c r="FQ244" i="12"/>
  <c r="FQ245" i="12"/>
  <c r="FQ246" i="12"/>
  <c r="FQ247" i="12"/>
  <c r="FQ248" i="12"/>
  <c r="FQ249" i="12"/>
  <c r="FQ250" i="12"/>
  <c r="FQ251" i="12"/>
  <c r="FQ252" i="12"/>
  <c r="FQ253" i="12"/>
  <c r="FQ254" i="12"/>
  <c r="FQ255" i="12"/>
  <c r="FQ256" i="12"/>
  <c r="FQ257" i="12"/>
  <c r="FQ258" i="12"/>
  <c r="FQ259" i="12"/>
  <c r="FQ260" i="12"/>
  <c r="FQ261" i="12"/>
  <c r="FQ262" i="12"/>
  <c r="FQ263" i="12"/>
  <c r="FQ264" i="12"/>
  <c r="FQ265" i="12"/>
  <c r="FQ266" i="12"/>
  <c r="FQ267" i="12"/>
  <c r="FQ268" i="12"/>
  <c r="FQ269" i="12"/>
  <c r="FQ270" i="12"/>
  <c r="FQ271" i="12"/>
  <c r="FQ272" i="12"/>
  <c r="FQ273" i="12"/>
  <c r="FQ274" i="12"/>
  <c r="FQ275" i="12"/>
  <c r="FQ276" i="12"/>
  <c r="FQ277" i="12"/>
  <c r="FQ278" i="12"/>
  <c r="FQ279" i="12"/>
  <c r="FQ280" i="12"/>
  <c r="FQ281" i="12"/>
  <c r="FQ282" i="12"/>
  <c r="FQ283" i="12"/>
  <c r="FQ284" i="12"/>
  <c r="FQ285" i="12"/>
  <c r="FQ286" i="12"/>
  <c r="FQ287" i="12"/>
  <c r="FQ288" i="12"/>
  <c r="FQ289" i="12"/>
  <c r="FQ290" i="12"/>
  <c r="FQ291" i="12"/>
  <c r="FQ292" i="12"/>
  <c r="FQ293" i="12"/>
  <c r="FQ294" i="12"/>
  <c r="FQ295" i="12"/>
  <c r="FQ296" i="12"/>
  <c r="FQ297" i="12"/>
  <c r="FQ298" i="12"/>
  <c r="FQ299" i="12"/>
  <c r="FQ300" i="12"/>
  <c r="FQ301" i="12"/>
  <c r="FQ302" i="12"/>
  <c r="FQ303" i="12"/>
  <c r="FQ304" i="12"/>
  <c r="FQ305" i="12"/>
  <c r="FQ306" i="12"/>
  <c r="FQ307" i="12"/>
  <c r="FQ308" i="12"/>
  <c r="FQ309" i="12"/>
  <c r="FQ310" i="12"/>
  <c r="FQ311" i="12"/>
  <c r="FQ312" i="12"/>
  <c r="FQ313" i="12"/>
  <c r="FQ314" i="12"/>
  <c r="FQ315" i="12"/>
  <c r="FQ316" i="12"/>
  <c r="FQ317" i="12"/>
  <c r="FQ318" i="12"/>
  <c r="FQ319" i="12"/>
  <c r="FQ320" i="12"/>
  <c r="FQ321" i="12"/>
  <c r="FQ322" i="12"/>
  <c r="FQ323" i="12"/>
  <c r="FQ324" i="12"/>
  <c r="FQ325" i="12"/>
  <c r="FQ326" i="12"/>
  <c r="FQ327" i="12"/>
  <c r="FQ328" i="12"/>
  <c r="FQ329" i="12"/>
  <c r="FQ330" i="12"/>
  <c r="FQ331" i="12"/>
  <c r="FQ332" i="12"/>
  <c r="FQ333" i="12"/>
  <c r="FQ334" i="12"/>
  <c r="FQ335" i="12"/>
  <c r="FQ336" i="12"/>
  <c r="FQ337" i="12"/>
  <c r="FQ338" i="12"/>
  <c r="FQ339" i="12"/>
  <c r="FQ340" i="12"/>
  <c r="FQ341" i="12"/>
  <c r="FQ342" i="12"/>
  <c r="FQ343" i="12"/>
  <c r="FQ344" i="12"/>
  <c r="FQ345" i="12"/>
  <c r="FQ346" i="12"/>
  <c r="FQ347" i="12"/>
  <c r="FQ348" i="12"/>
  <c r="FQ349" i="12"/>
  <c r="FQ350" i="12"/>
  <c r="FQ351" i="12"/>
  <c r="FQ352" i="12"/>
  <c r="FQ353" i="12"/>
  <c r="FQ354" i="12"/>
  <c r="FQ355" i="12"/>
  <c r="FQ356" i="12"/>
  <c r="FQ357" i="12"/>
  <c r="FQ358" i="12"/>
  <c r="FQ359" i="12"/>
  <c r="FQ360" i="12"/>
  <c r="FQ361" i="12"/>
  <c r="FQ362" i="12"/>
  <c r="FQ363" i="12"/>
  <c r="FQ364" i="12"/>
  <c r="FQ365" i="12"/>
  <c r="FQ366" i="12"/>
  <c r="FQ367" i="12"/>
  <c r="FQ368" i="12"/>
  <c r="FQ369" i="12"/>
  <c r="FQ370" i="12"/>
  <c r="FQ371" i="12"/>
  <c r="FQ372" i="12"/>
  <c r="FQ373" i="12"/>
  <c r="FQ374" i="12"/>
  <c r="FQ375" i="12"/>
  <c r="FQ376" i="12"/>
  <c r="FQ377" i="12"/>
  <c r="FQ378" i="12"/>
  <c r="FQ379" i="12"/>
  <c r="FQ380" i="12"/>
  <c r="FQ381" i="12"/>
  <c r="FQ382" i="12"/>
  <c r="FQ383" i="12"/>
  <c r="FQ384" i="12"/>
  <c r="FQ385" i="12"/>
  <c r="FQ386" i="12"/>
  <c r="FQ387" i="12"/>
  <c r="FQ388" i="12"/>
  <c r="FQ389" i="12"/>
  <c r="FQ390" i="12"/>
  <c r="FQ391" i="12"/>
  <c r="FQ392" i="12"/>
  <c r="FQ393" i="12"/>
  <c r="FQ394" i="12"/>
  <c r="FQ395" i="12"/>
  <c r="FQ396" i="12"/>
  <c r="FQ397" i="12"/>
  <c r="FQ398" i="12"/>
  <c r="FQ399" i="12"/>
  <c r="FQ400" i="12"/>
  <c r="B308" i="5"/>
  <c r="B307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U220" i="12" l="1"/>
  <c r="BU221" i="12"/>
  <c r="BU222" i="12"/>
  <c r="BU223" i="12"/>
  <c r="BU224" i="12"/>
  <c r="BU225" i="12"/>
  <c r="GB16" i="12"/>
  <c r="GB14" i="12"/>
  <c r="FV221" i="12"/>
  <c r="FV222" i="12"/>
  <c r="FV223" i="12"/>
  <c r="FV224" i="12"/>
  <c r="FV225" i="12"/>
  <c r="FV226" i="12"/>
  <c r="FV227" i="12"/>
  <c r="FV228" i="12"/>
  <c r="FV229" i="12"/>
  <c r="FV230" i="12"/>
  <c r="FV231" i="12"/>
  <c r="FV232" i="12"/>
  <c r="FV233" i="12"/>
  <c r="FV234" i="12"/>
  <c r="FV235" i="12"/>
  <c r="FV236" i="12"/>
  <c r="FV237" i="12"/>
  <c r="FV238" i="12"/>
  <c r="FV239" i="12"/>
  <c r="FV240" i="12"/>
  <c r="FV241" i="12"/>
  <c r="FV242" i="12"/>
  <c r="FV243" i="12"/>
  <c r="FV244" i="12"/>
  <c r="FV245" i="12"/>
  <c r="FV246" i="12"/>
  <c r="FV247" i="12"/>
  <c r="FV248" i="12"/>
  <c r="FV249" i="12"/>
  <c r="FV250" i="12"/>
  <c r="FV251" i="12"/>
  <c r="FV252" i="12"/>
  <c r="FV253" i="12"/>
  <c r="FV254" i="12"/>
  <c r="FV255" i="12"/>
  <c r="FV256" i="12"/>
  <c r="FV257" i="12"/>
  <c r="FV258" i="12"/>
  <c r="FV259" i="12"/>
  <c r="FV260" i="12"/>
  <c r="FV261" i="12"/>
  <c r="FV262" i="12"/>
  <c r="FV263" i="12"/>
  <c r="FV264" i="12"/>
  <c r="FV265" i="12"/>
  <c r="FV266" i="12"/>
  <c r="FV267" i="12"/>
  <c r="FV268" i="12"/>
  <c r="FV269" i="12"/>
  <c r="FV270" i="12"/>
  <c r="FV271" i="12"/>
  <c r="FV272" i="12"/>
  <c r="FV273" i="12"/>
  <c r="FV274" i="12"/>
  <c r="FV275" i="12"/>
  <c r="FV276" i="12"/>
  <c r="FV277" i="12"/>
  <c r="FV278" i="12"/>
  <c r="FV279" i="12"/>
  <c r="FV280" i="12"/>
  <c r="FV281" i="12"/>
  <c r="FV282" i="12"/>
  <c r="FV283" i="12"/>
  <c r="FV284" i="12"/>
  <c r="FV285" i="12"/>
  <c r="FV286" i="12"/>
  <c r="FV287" i="12"/>
  <c r="FV288" i="12"/>
  <c r="FV289" i="12"/>
  <c r="FV290" i="12"/>
  <c r="FV291" i="12"/>
  <c r="FV292" i="12"/>
  <c r="FV293" i="12"/>
  <c r="FV294" i="12"/>
  <c r="FV295" i="12"/>
  <c r="FV296" i="12"/>
  <c r="FV297" i="12"/>
  <c r="FV298" i="12"/>
  <c r="FV299" i="12"/>
  <c r="FV300" i="12"/>
  <c r="FV301" i="12"/>
  <c r="FV302" i="12"/>
  <c r="FV303" i="12"/>
  <c r="FV304" i="12"/>
  <c r="FV305" i="12"/>
  <c r="FV306" i="12"/>
  <c r="FV307" i="12"/>
  <c r="FV308" i="12"/>
  <c r="FV309" i="12"/>
  <c r="FV310" i="12"/>
  <c r="FV311" i="12"/>
  <c r="FV312" i="12"/>
  <c r="FV313" i="12"/>
  <c r="FV314" i="12"/>
  <c r="FV315" i="12"/>
  <c r="FV316" i="12"/>
  <c r="FV317" i="12"/>
  <c r="FV318" i="12"/>
  <c r="FV319" i="12"/>
  <c r="FV320" i="12"/>
  <c r="FV321" i="12"/>
  <c r="FV322" i="12"/>
  <c r="FV323" i="12"/>
  <c r="FV324" i="12"/>
  <c r="FV325" i="12"/>
  <c r="FV326" i="12"/>
  <c r="FV327" i="12"/>
  <c r="FV328" i="12"/>
  <c r="FV329" i="12"/>
  <c r="FV330" i="12"/>
  <c r="FV331" i="12"/>
  <c r="FV332" i="12"/>
  <c r="FV333" i="12"/>
  <c r="FV334" i="12"/>
  <c r="FV335" i="12"/>
  <c r="FV336" i="12"/>
  <c r="FV337" i="12"/>
  <c r="FV338" i="12"/>
  <c r="FV339" i="12"/>
  <c r="FV340" i="12"/>
  <c r="FV341" i="12"/>
  <c r="FV342" i="12"/>
  <c r="FV343" i="12"/>
  <c r="FV344" i="12"/>
  <c r="FV345" i="12"/>
  <c r="FV346" i="12"/>
  <c r="FV347" i="12"/>
  <c r="FV348" i="12"/>
  <c r="FV349" i="12"/>
  <c r="FV350" i="12"/>
  <c r="FV351" i="12"/>
  <c r="FV352" i="12"/>
  <c r="FV353" i="12"/>
  <c r="FV354" i="12"/>
  <c r="FV355" i="12"/>
  <c r="FV356" i="12"/>
  <c r="FV357" i="12"/>
  <c r="FV358" i="12"/>
  <c r="FV359" i="12"/>
  <c r="FV360" i="12"/>
  <c r="FV361" i="12"/>
  <c r="FV362" i="12"/>
  <c r="FV363" i="12"/>
  <c r="FV364" i="12"/>
  <c r="FV365" i="12"/>
  <c r="FV366" i="12"/>
  <c r="FV367" i="12"/>
  <c r="FV368" i="12"/>
  <c r="FV369" i="12"/>
  <c r="FV370" i="12"/>
  <c r="FV371" i="12"/>
  <c r="FV372" i="12"/>
  <c r="FV373" i="12"/>
  <c r="FV374" i="12"/>
  <c r="FV375" i="12"/>
  <c r="FV376" i="12"/>
  <c r="FV377" i="12"/>
  <c r="FV378" i="12"/>
  <c r="FV379" i="12"/>
  <c r="FV380" i="12"/>
  <c r="FV381" i="12"/>
  <c r="FV382" i="12"/>
  <c r="FV383" i="12"/>
  <c r="FV384" i="12"/>
  <c r="FV385" i="12"/>
  <c r="FV386" i="12"/>
  <c r="FV387" i="12"/>
  <c r="FV388" i="12"/>
  <c r="FV389" i="12"/>
  <c r="FV390" i="12"/>
  <c r="FV391" i="12"/>
  <c r="FV392" i="12"/>
  <c r="FV393" i="12"/>
  <c r="FV394" i="12"/>
  <c r="FV395" i="12"/>
  <c r="FV396" i="12"/>
  <c r="FV397" i="12"/>
  <c r="FV398" i="12"/>
  <c r="FV399" i="12"/>
  <c r="FV400" i="12"/>
  <c r="FO221" i="12" l="1"/>
  <c r="FO222" i="12"/>
  <c r="FO223" i="12"/>
  <c r="FO224" i="12"/>
  <c r="FN225" i="12"/>
  <c r="FO226" i="12"/>
  <c r="FO227" i="12"/>
  <c r="FO228" i="12"/>
  <c r="FO229" i="12"/>
  <c r="FO230" i="12"/>
  <c r="FO231" i="12"/>
  <c r="FO232" i="12"/>
  <c r="FO233" i="12"/>
  <c r="FO234" i="12"/>
  <c r="FO235" i="12"/>
  <c r="FO236" i="12"/>
  <c r="FN237" i="12"/>
  <c r="FO238" i="12"/>
  <c r="FO239" i="12"/>
  <c r="FO240" i="12"/>
  <c r="FO241" i="12"/>
  <c r="FO242" i="12"/>
  <c r="FO243" i="12"/>
  <c r="FO244" i="12"/>
  <c r="FO245" i="12"/>
  <c r="FO246" i="12"/>
  <c r="FO247" i="12"/>
  <c r="FO248" i="12"/>
  <c r="FO249" i="12"/>
  <c r="FO250" i="12"/>
  <c r="FO251" i="12"/>
  <c r="FO252" i="12"/>
  <c r="FN253" i="12"/>
  <c r="FO254" i="12"/>
  <c r="FO255" i="12"/>
  <c r="FO256" i="12"/>
  <c r="FO257" i="12"/>
  <c r="FO258" i="12"/>
  <c r="FO259" i="12"/>
  <c r="FO260" i="12"/>
  <c r="FO261" i="12"/>
  <c r="FO262" i="12"/>
  <c r="FO263" i="12"/>
  <c r="FO264" i="12"/>
  <c r="FO265" i="12"/>
  <c r="FO266" i="12"/>
  <c r="FO267" i="12"/>
  <c r="FO268" i="12"/>
  <c r="FO269" i="12"/>
  <c r="FO270" i="12"/>
  <c r="FO271" i="12"/>
  <c r="FO272" i="12"/>
  <c r="FO273" i="12"/>
  <c r="FO274" i="12"/>
  <c r="FO275" i="12"/>
  <c r="FO276" i="12"/>
  <c r="FO277" i="12"/>
  <c r="FO278" i="12"/>
  <c r="FO279" i="12"/>
  <c r="FO280" i="12"/>
  <c r="FN281" i="12"/>
  <c r="FO282" i="12"/>
  <c r="FO283" i="12"/>
  <c r="FO284" i="12"/>
  <c r="FO285" i="12"/>
  <c r="FO286" i="12"/>
  <c r="FO287" i="12"/>
  <c r="FO288" i="12"/>
  <c r="FO289" i="12"/>
  <c r="FO290" i="12"/>
  <c r="FO291" i="12"/>
  <c r="FO292" i="12"/>
  <c r="FN293" i="12"/>
  <c r="FO294" i="12"/>
  <c r="FO295" i="12"/>
  <c r="FO296" i="12"/>
  <c r="FN297" i="12"/>
  <c r="FO298" i="12"/>
  <c r="FO299" i="12"/>
  <c r="FO300" i="12"/>
  <c r="FO301" i="12"/>
  <c r="FO302" i="12"/>
  <c r="FO303" i="12"/>
  <c r="FO304" i="12"/>
  <c r="FN305" i="12"/>
  <c r="FO306" i="12"/>
  <c r="FO307" i="12"/>
  <c r="FO308" i="12"/>
  <c r="FN309" i="12"/>
  <c r="FO310" i="12"/>
  <c r="FO311" i="12"/>
  <c r="FO312" i="12"/>
  <c r="FO313" i="12"/>
  <c r="FO314" i="12"/>
  <c r="FO315" i="12"/>
  <c r="FO316" i="12"/>
  <c r="FN317" i="12"/>
  <c r="FO318" i="12"/>
  <c r="FO319" i="12"/>
  <c r="FO320" i="12"/>
  <c r="FO321" i="12"/>
  <c r="FO322" i="12"/>
  <c r="FO323" i="12"/>
  <c r="FO324" i="12"/>
  <c r="FO325" i="12"/>
  <c r="FO326" i="12"/>
  <c r="FO327" i="12"/>
  <c r="FO328" i="12"/>
  <c r="FN329" i="12"/>
  <c r="FO330" i="12"/>
  <c r="FO331" i="12"/>
  <c r="FO332" i="12"/>
  <c r="FN333" i="12"/>
  <c r="FO334" i="12"/>
  <c r="FO335" i="12"/>
  <c r="FO336" i="12"/>
  <c r="FO337" i="12"/>
  <c r="FO338" i="12"/>
  <c r="FO339" i="12"/>
  <c r="FO340" i="12"/>
  <c r="FN341" i="12"/>
  <c r="FO342" i="12"/>
  <c r="FO343" i="12"/>
  <c r="FO344" i="12"/>
  <c r="FN345" i="12"/>
  <c r="FO346" i="12"/>
  <c r="FO347" i="12"/>
  <c r="FO348" i="12"/>
  <c r="FO349" i="12"/>
  <c r="FO350" i="12"/>
  <c r="FO351" i="12"/>
  <c r="FO352" i="12"/>
  <c r="FN353" i="12"/>
  <c r="FO354" i="12"/>
  <c r="FO355" i="12"/>
  <c r="FO356" i="12"/>
  <c r="FO357" i="12"/>
  <c r="FO358" i="12"/>
  <c r="FO359" i="12"/>
  <c r="FO360" i="12"/>
  <c r="FO361" i="12"/>
  <c r="FO362" i="12"/>
  <c r="FO363" i="12"/>
  <c r="FO364" i="12"/>
  <c r="FN365" i="12"/>
  <c r="FO366" i="12"/>
  <c r="FO367" i="12"/>
  <c r="FO368" i="12"/>
  <c r="FN369" i="12"/>
  <c r="FO370" i="12"/>
  <c r="FO371" i="12"/>
  <c r="FO372" i="12"/>
  <c r="FO373" i="12"/>
  <c r="FO374" i="12"/>
  <c r="FO375" i="12"/>
  <c r="FO376" i="12"/>
  <c r="FN377" i="12"/>
  <c r="FO378" i="12"/>
  <c r="FO379" i="12"/>
  <c r="FO380" i="12"/>
  <c r="FN381" i="12"/>
  <c r="FO382" i="12"/>
  <c r="FO383" i="12"/>
  <c r="FO384" i="12"/>
  <c r="FO385" i="12"/>
  <c r="FO386" i="12"/>
  <c r="FO387" i="12"/>
  <c r="FO388" i="12"/>
  <c r="FN389" i="12"/>
  <c r="FO390" i="12"/>
  <c r="FO391" i="12"/>
  <c r="FO392" i="12"/>
  <c r="FO393" i="12"/>
  <c r="FO394" i="12"/>
  <c r="FO395" i="12"/>
  <c r="FO396" i="12"/>
  <c r="FO397" i="12"/>
  <c r="FO398" i="12"/>
  <c r="FO399" i="12"/>
  <c r="FO400" i="12"/>
  <c r="JA3" i="12" l="1"/>
  <c r="FN397" i="12"/>
  <c r="FN385" i="12"/>
  <c r="FN373" i="12"/>
  <c r="FN361" i="12"/>
  <c r="FN349" i="12"/>
  <c r="FN337" i="12"/>
  <c r="FN325" i="12"/>
  <c r="FN313" i="12"/>
  <c r="FN301" i="12"/>
  <c r="FN289" i="12"/>
  <c r="FN277" i="12"/>
  <c r="FN269" i="12"/>
  <c r="FN257" i="12"/>
  <c r="FN245" i="12"/>
  <c r="FN233" i="12"/>
  <c r="FN221" i="12"/>
  <c r="FO389" i="12"/>
  <c r="FO377" i="12"/>
  <c r="FO365" i="12"/>
  <c r="FO353" i="12"/>
  <c r="FO341" i="12"/>
  <c r="FO329" i="12"/>
  <c r="FO317" i="12"/>
  <c r="FO305" i="12"/>
  <c r="FO293" i="12"/>
  <c r="FO281" i="12"/>
  <c r="FO237" i="12"/>
  <c r="FO225" i="12"/>
  <c r="FN398" i="12"/>
  <c r="FN394" i="12"/>
  <c r="FN390" i="12"/>
  <c r="FN386" i="12"/>
  <c r="FN382" i="12"/>
  <c r="FN378" i="12"/>
  <c r="FN374" i="12"/>
  <c r="FN370" i="12"/>
  <c r="FN366" i="12"/>
  <c r="FN362" i="12"/>
  <c r="FN358" i="12"/>
  <c r="FN354" i="12"/>
  <c r="FN350" i="12"/>
  <c r="FN346" i="12"/>
  <c r="FN342" i="12"/>
  <c r="FN338" i="12"/>
  <c r="FN334" i="12"/>
  <c r="FN330" i="12"/>
  <c r="FN326" i="12"/>
  <c r="FN322" i="12"/>
  <c r="FN318" i="12"/>
  <c r="FN314" i="12"/>
  <c r="FN310" i="12"/>
  <c r="FN306" i="12"/>
  <c r="FN302" i="12"/>
  <c r="FN298" i="12"/>
  <c r="FN294" i="12"/>
  <c r="FN290" i="12"/>
  <c r="FN286" i="12"/>
  <c r="FN282" i="12"/>
  <c r="FN278" i="12"/>
  <c r="FN274" i="12"/>
  <c r="FN270" i="12"/>
  <c r="FN266" i="12"/>
  <c r="FN262" i="12"/>
  <c r="FN258" i="12"/>
  <c r="FN254" i="12"/>
  <c r="FN250" i="12"/>
  <c r="FN246" i="12"/>
  <c r="FN242" i="12"/>
  <c r="FN238" i="12"/>
  <c r="FN234" i="12"/>
  <c r="FN230" i="12"/>
  <c r="FN226" i="12"/>
  <c r="FN222" i="12"/>
  <c r="FN393" i="12"/>
  <c r="FN357" i="12"/>
  <c r="FN321" i="12"/>
  <c r="FN285" i="12"/>
  <c r="FN273" i="12"/>
  <c r="FN261" i="12"/>
  <c r="FN249" i="12"/>
  <c r="FN241" i="12"/>
  <c r="FN229" i="12"/>
  <c r="FO381" i="12"/>
  <c r="FO369" i="12"/>
  <c r="FO345" i="12"/>
  <c r="FO333" i="12"/>
  <c r="FO309" i="12"/>
  <c r="FO297" i="12"/>
  <c r="FO253" i="12"/>
  <c r="FN399" i="12"/>
  <c r="FN395" i="12"/>
  <c r="FN391" i="12"/>
  <c r="FN387" i="12"/>
  <c r="FN383" i="12"/>
  <c r="FN379" i="12"/>
  <c r="FN375" i="12"/>
  <c r="FN371" i="12"/>
  <c r="FN367" i="12"/>
  <c r="FN363" i="12"/>
  <c r="FN359" i="12"/>
  <c r="FN355" i="12"/>
  <c r="FN351" i="12"/>
  <c r="FN347" i="12"/>
  <c r="FN343" i="12"/>
  <c r="FN339" i="12"/>
  <c r="FN335" i="12"/>
  <c r="FN331" i="12"/>
  <c r="FN327" i="12"/>
  <c r="FN323" i="12"/>
  <c r="FN319" i="12"/>
  <c r="FN315" i="12"/>
  <c r="FN311" i="12"/>
  <c r="FN307" i="12"/>
  <c r="FN303" i="12"/>
  <c r="FN299" i="12"/>
  <c r="FN295" i="12"/>
  <c r="FN291" i="12"/>
  <c r="FN287" i="12"/>
  <c r="FN283" i="12"/>
  <c r="FN279" i="12"/>
  <c r="FN275" i="12"/>
  <c r="FN271" i="12"/>
  <c r="FN267" i="12"/>
  <c r="FN263" i="12"/>
  <c r="FN259" i="12"/>
  <c r="FN255" i="12"/>
  <c r="FN251" i="12"/>
  <c r="FN247" i="12"/>
  <c r="FN243" i="12"/>
  <c r="FN239" i="12"/>
  <c r="FN235" i="12"/>
  <c r="FN231" i="12"/>
  <c r="FN227" i="12"/>
  <c r="FN223" i="12"/>
  <c r="FN265" i="12"/>
  <c r="FN400" i="12"/>
  <c r="FN396" i="12"/>
  <c r="FN392" i="12"/>
  <c r="FN388" i="12"/>
  <c r="FN384" i="12"/>
  <c r="FN380" i="12"/>
  <c r="FN376" i="12"/>
  <c r="FN372" i="12"/>
  <c r="FN368" i="12"/>
  <c r="FN364" i="12"/>
  <c r="FN360" i="12"/>
  <c r="FN356" i="12"/>
  <c r="FN352" i="12"/>
  <c r="FN348" i="12"/>
  <c r="FN344" i="12"/>
  <c r="FN340" i="12"/>
  <c r="FN336" i="12"/>
  <c r="FN332" i="12"/>
  <c r="FN328" i="12"/>
  <c r="FN324" i="12"/>
  <c r="FN320" i="12"/>
  <c r="FN316" i="12"/>
  <c r="FN312" i="12"/>
  <c r="FN308" i="12"/>
  <c r="FN304" i="12"/>
  <c r="FN300" i="12"/>
  <c r="FN296" i="12"/>
  <c r="FN292" i="12"/>
  <c r="FN288" i="12"/>
  <c r="FN284" i="12"/>
  <c r="FN280" i="12"/>
  <c r="FN276" i="12"/>
  <c r="FN272" i="12"/>
  <c r="FN268" i="12"/>
  <c r="FN264" i="12"/>
  <c r="FN260" i="12"/>
  <c r="FN256" i="12"/>
  <c r="FN252" i="12"/>
  <c r="FN248" i="12"/>
  <c r="FN244" i="12"/>
  <c r="FN240" i="12"/>
  <c r="FN236" i="12"/>
  <c r="FN232" i="12"/>
  <c r="FN228" i="12"/>
  <c r="FN224" i="12"/>
  <c r="AZ103" i="12"/>
  <c r="AZ121" i="12"/>
  <c r="AZ122" i="12"/>
  <c r="AZ123" i="12"/>
  <c r="AZ124" i="12"/>
  <c r="AZ125" i="12"/>
  <c r="AZ126" i="12"/>
  <c r="AZ127" i="12"/>
  <c r="AZ128" i="12"/>
  <c r="AZ129" i="12"/>
  <c r="AZ130" i="12"/>
  <c r="AZ131" i="12"/>
  <c r="AZ132" i="12"/>
  <c r="AZ133" i="12"/>
  <c r="AZ134" i="12"/>
  <c r="AZ135" i="12"/>
  <c r="AZ136" i="12"/>
  <c r="AZ137" i="12"/>
  <c r="AZ138" i="12"/>
  <c r="AZ139" i="12"/>
  <c r="AZ140" i="12"/>
  <c r="AZ141" i="12"/>
  <c r="AZ142" i="12"/>
  <c r="AZ143" i="12"/>
  <c r="AZ144" i="12"/>
  <c r="AZ145" i="12"/>
  <c r="AZ146" i="12"/>
  <c r="AZ147" i="12"/>
  <c r="AZ148" i="12"/>
  <c r="AZ149" i="12"/>
  <c r="AZ150" i="12"/>
  <c r="AZ151" i="12"/>
  <c r="AZ152" i="12"/>
  <c r="AZ153" i="12"/>
  <c r="AZ154" i="12"/>
  <c r="AZ155" i="12"/>
  <c r="AZ156" i="12"/>
  <c r="AZ157" i="12"/>
  <c r="AZ158" i="12"/>
  <c r="AZ159" i="12"/>
  <c r="AZ160" i="12"/>
  <c r="AZ161" i="12"/>
  <c r="AZ162" i="12"/>
  <c r="AZ163" i="12"/>
  <c r="AZ164" i="12"/>
  <c r="AZ165" i="12"/>
  <c r="AZ166" i="12"/>
  <c r="AZ167" i="12"/>
  <c r="AZ168" i="12"/>
  <c r="AZ169" i="12"/>
  <c r="AZ170" i="12"/>
  <c r="AZ171" i="12"/>
  <c r="AZ172" i="12"/>
  <c r="AZ173" i="12"/>
  <c r="AZ174" i="12"/>
  <c r="AZ175" i="12"/>
  <c r="AZ176" i="12"/>
  <c r="AZ177" i="12"/>
  <c r="AZ178" i="12"/>
  <c r="AZ179" i="12"/>
  <c r="AZ180" i="12"/>
  <c r="AZ181" i="12"/>
  <c r="AZ182" i="12"/>
  <c r="AZ183" i="12"/>
  <c r="AZ184" i="12"/>
  <c r="AZ185" i="12"/>
  <c r="AZ186" i="12"/>
  <c r="AZ187" i="12"/>
  <c r="AZ188" i="12"/>
  <c r="AZ189" i="12"/>
  <c r="AZ190" i="12"/>
  <c r="AZ191" i="12"/>
  <c r="AZ192" i="12"/>
  <c r="AZ193" i="12"/>
  <c r="AZ194" i="12"/>
  <c r="AZ195" i="12"/>
  <c r="AZ196" i="12"/>
  <c r="AZ197" i="12"/>
  <c r="AZ198" i="12"/>
  <c r="AZ199" i="12"/>
  <c r="AZ200" i="12"/>
  <c r="AZ201" i="12"/>
  <c r="AZ202" i="12"/>
  <c r="AZ104" i="12"/>
  <c r="AZ105" i="12"/>
  <c r="AZ106" i="12"/>
  <c r="AZ107" i="12"/>
  <c r="AZ108" i="12"/>
  <c r="AZ109" i="12"/>
  <c r="AZ110" i="12"/>
  <c r="AZ111" i="12"/>
  <c r="AZ112" i="12"/>
  <c r="AZ113" i="12"/>
  <c r="AZ114" i="12"/>
  <c r="AZ115" i="12"/>
  <c r="AZ116" i="12"/>
  <c r="AZ117" i="12"/>
  <c r="AZ118" i="12"/>
  <c r="AZ119" i="12"/>
  <c r="AZ120" i="12"/>
  <c r="DG254" i="12" l="1"/>
  <c r="DG255" i="12"/>
  <c r="DG256" i="12"/>
  <c r="DG257" i="12"/>
  <c r="DG258" i="12"/>
  <c r="DG259" i="12"/>
  <c r="DG260" i="12"/>
  <c r="DG261" i="12"/>
  <c r="DG262" i="12"/>
  <c r="DG263" i="12"/>
  <c r="DG264" i="12"/>
  <c r="DG265" i="12"/>
  <c r="DG266" i="12"/>
  <c r="DG267" i="12"/>
  <c r="DG268" i="12"/>
  <c r="DG269" i="12"/>
  <c r="DG270" i="12"/>
  <c r="DG271" i="12"/>
  <c r="DG272" i="12"/>
  <c r="DG273" i="12"/>
  <c r="DG274" i="12"/>
  <c r="DG275" i="12"/>
  <c r="DG276" i="12"/>
  <c r="DG277" i="12"/>
  <c r="DG278" i="12"/>
  <c r="DG279" i="12"/>
  <c r="DG280" i="12"/>
  <c r="DG281" i="12"/>
  <c r="DG282" i="12"/>
  <c r="DG283" i="12"/>
  <c r="DG284" i="12"/>
  <c r="DG285" i="12"/>
  <c r="DG286" i="12"/>
  <c r="DG287" i="12"/>
  <c r="DG288" i="12"/>
  <c r="DG289" i="12"/>
  <c r="DG290" i="12"/>
  <c r="DG291" i="12"/>
  <c r="DG292" i="12"/>
  <c r="DG293" i="12"/>
  <c r="DG294" i="12"/>
  <c r="DG295" i="12"/>
  <c r="DG296" i="12"/>
  <c r="DG297" i="12"/>
  <c r="DG298" i="12"/>
  <c r="DG299" i="12"/>
  <c r="DG300" i="12"/>
  <c r="DG301" i="12"/>
  <c r="DG302" i="12"/>
  <c r="DG303" i="12"/>
  <c r="DG304" i="12"/>
  <c r="DG305" i="12"/>
  <c r="DG306" i="12"/>
  <c r="DG307" i="12"/>
  <c r="DG308" i="12"/>
  <c r="DG309" i="12"/>
  <c r="DG310" i="12"/>
  <c r="DG311" i="12"/>
  <c r="DG312" i="12"/>
  <c r="DG313" i="12"/>
  <c r="DG314" i="12"/>
  <c r="DG315" i="12"/>
  <c r="DG316" i="12"/>
  <c r="DG317" i="12"/>
  <c r="DG318" i="12"/>
  <c r="DG319" i="12"/>
  <c r="DG320" i="12"/>
  <c r="DG321" i="12"/>
  <c r="DG322" i="12"/>
  <c r="DG323" i="12"/>
  <c r="DG324" i="12"/>
  <c r="DG325" i="12"/>
  <c r="DG326" i="12"/>
  <c r="DG327" i="12"/>
  <c r="DG328" i="12"/>
  <c r="DG329" i="12"/>
  <c r="DG330" i="12"/>
  <c r="DG331" i="12"/>
  <c r="DG332" i="12"/>
  <c r="DG333" i="12"/>
  <c r="DG334" i="12"/>
  <c r="DG335" i="12"/>
  <c r="DG336" i="12"/>
  <c r="DG337" i="12"/>
  <c r="DG338" i="12"/>
  <c r="DG339" i="12"/>
  <c r="DG340" i="12"/>
  <c r="DG341" i="12"/>
  <c r="DG342" i="12"/>
  <c r="DG343" i="12"/>
  <c r="DG344" i="12"/>
  <c r="DG345" i="12"/>
  <c r="DG346" i="12"/>
  <c r="DG347" i="12"/>
  <c r="DG348" i="12"/>
  <c r="DG349" i="12"/>
  <c r="DG350" i="12"/>
  <c r="DG351" i="12"/>
  <c r="DG352" i="12"/>
  <c r="DG353" i="12"/>
  <c r="DG354" i="12"/>
  <c r="DG355" i="12"/>
  <c r="DG356" i="12"/>
  <c r="DG357" i="12"/>
  <c r="DG358" i="12"/>
  <c r="DG359" i="12"/>
  <c r="DG360" i="12"/>
  <c r="DG361" i="12"/>
  <c r="DG362" i="12"/>
  <c r="DG363" i="12"/>
  <c r="DG364" i="12"/>
  <c r="DG365" i="12"/>
  <c r="DG366" i="12"/>
  <c r="DG367" i="12"/>
  <c r="DG368" i="12"/>
  <c r="DG369" i="12"/>
  <c r="DG370" i="12"/>
  <c r="DG371" i="12"/>
  <c r="DG372" i="12"/>
  <c r="DG373" i="12"/>
  <c r="DG374" i="12"/>
  <c r="DG375" i="12"/>
  <c r="DG376" i="12"/>
  <c r="DG377" i="12"/>
  <c r="DG378" i="12"/>
  <c r="DG379" i="12"/>
  <c r="DG380" i="12"/>
  <c r="DG381" i="12"/>
  <c r="DG382" i="12"/>
  <c r="DG383" i="12"/>
  <c r="DG384" i="12"/>
  <c r="DG385" i="12"/>
  <c r="DG386" i="12"/>
  <c r="DG387" i="12"/>
  <c r="DG388" i="12"/>
  <c r="DG389" i="12"/>
  <c r="DG390" i="12"/>
  <c r="DG391" i="12"/>
  <c r="DG392" i="12"/>
  <c r="DG393" i="12"/>
  <c r="DG394" i="12"/>
  <c r="DG395" i="12"/>
  <c r="DG396" i="12"/>
  <c r="DG397" i="12"/>
  <c r="DG398" i="12"/>
  <c r="DG401" i="12"/>
  <c r="DG67" i="12"/>
  <c r="DG68" i="12"/>
  <c r="DG69" i="12"/>
  <c r="DG70" i="12"/>
  <c r="DG71" i="12"/>
  <c r="DG72" i="12"/>
  <c r="DG73" i="12"/>
  <c r="DG74" i="12"/>
  <c r="DG75" i="12"/>
  <c r="DG76" i="12"/>
  <c r="DG77" i="12"/>
  <c r="DG78" i="12"/>
  <c r="DG79" i="12"/>
  <c r="DG80" i="12"/>
  <c r="DG81" i="12"/>
  <c r="DG82" i="12"/>
  <c r="DG83" i="12"/>
  <c r="DG84" i="12"/>
  <c r="DG85" i="12"/>
  <c r="DG86" i="12"/>
  <c r="DG87" i="12"/>
  <c r="DG88" i="12"/>
  <c r="DG89" i="12"/>
  <c r="DG90" i="12"/>
  <c r="DG91" i="12"/>
  <c r="DG92" i="12"/>
  <c r="DG93" i="12"/>
  <c r="DG94" i="12"/>
  <c r="DG95" i="12"/>
  <c r="DG96" i="12"/>
  <c r="DG97" i="12"/>
  <c r="DG98" i="12"/>
  <c r="DG99" i="12"/>
  <c r="DG100" i="12"/>
  <c r="DG101" i="12"/>
  <c r="EC469" i="12" l="1"/>
  <c r="EC470" i="12"/>
  <c r="EC471" i="12"/>
  <c r="EC472" i="12"/>
  <c r="EC473" i="12"/>
  <c r="EC474" i="12"/>
  <c r="EC475" i="12"/>
  <c r="EC476" i="12"/>
  <c r="EC477" i="12"/>
  <c r="EC478" i="12"/>
  <c r="EC479" i="12"/>
  <c r="EC480" i="12"/>
  <c r="EC481" i="12"/>
  <c r="EC482" i="12"/>
  <c r="EC483" i="12"/>
  <c r="EC484" i="12"/>
  <c r="EC485" i="12"/>
  <c r="EC486" i="12"/>
  <c r="EC487" i="12"/>
  <c r="EC488" i="12"/>
  <c r="EC489" i="12"/>
  <c r="EC490" i="12"/>
  <c r="EC491" i="12"/>
  <c r="EC492" i="12"/>
  <c r="EC493" i="12"/>
  <c r="EC494" i="12"/>
  <c r="EC495" i="12"/>
  <c r="EC496" i="12"/>
  <c r="EC497" i="12"/>
  <c r="EC498" i="12"/>
  <c r="EC499" i="12"/>
  <c r="EC500" i="12"/>
  <c r="BP221" i="12"/>
  <c r="BP222" i="12"/>
  <c r="BP223" i="12"/>
  <c r="BP224" i="12"/>
  <c r="BP225" i="12"/>
  <c r="BQ223" i="12" l="1"/>
  <c r="BV222" i="12"/>
  <c r="EL4" i="12" l="1"/>
  <c r="EL5" i="12"/>
  <c r="EL6" i="12"/>
  <c r="EL7" i="12"/>
  <c r="EL8" i="12"/>
  <c r="EL9" i="12"/>
  <c r="EL10" i="12"/>
  <c r="EL11" i="12"/>
  <c r="EL12" i="12"/>
  <c r="EL13" i="12"/>
  <c r="EL14" i="12"/>
  <c r="EL15" i="12"/>
  <c r="EL16" i="12"/>
  <c r="EL17" i="12"/>
  <c r="EL18" i="12"/>
  <c r="EL19" i="12"/>
  <c r="EL20" i="12"/>
  <c r="EL21" i="12"/>
  <c r="EL22" i="12"/>
  <c r="EL23" i="12"/>
  <c r="EL24" i="12"/>
  <c r="EL25" i="12"/>
  <c r="EL26" i="12"/>
  <c r="EL27" i="12"/>
  <c r="EL28" i="12"/>
  <c r="EL29" i="12"/>
  <c r="EL30" i="12"/>
  <c r="EL31" i="12"/>
  <c r="EL32" i="12"/>
  <c r="EL33" i="12"/>
  <c r="EL34" i="12"/>
  <c r="EL35" i="12"/>
  <c r="EL36" i="12"/>
  <c r="EL37" i="12"/>
  <c r="EL38" i="12"/>
  <c r="EL39" i="12"/>
  <c r="EL40" i="12"/>
  <c r="EL41" i="12"/>
  <c r="EL42" i="12"/>
  <c r="EL43" i="12"/>
  <c r="EL44" i="12"/>
  <c r="EL45" i="12"/>
  <c r="EL46" i="12"/>
  <c r="EL47" i="12"/>
  <c r="EL48" i="12"/>
  <c r="EL49" i="12"/>
  <c r="EL50" i="12"/>
  <c r="EL51" i="12"/>
  <c r="EL52" i="12"/>
  <c r="EL53" i="12"/>
  <c r="EL54" i="12"/>
  <c r="EL55" i="12"/>
  <c r="EL56" i="12"/>
  <c r="EL57" i="12"/>
  <c r="EL58" i="12"/>
  <c r="EL59" i="12"/>
  <c r="EL60" i="12"/>
  <c r="EL61" i="12"/>
  <c r="EL62" i="12"/>
  <c r="EL63" i="12"/>
  <c r="EL64" i="12"/>
  <c r="EL65" i="12"/>
  <c r="EL66" i="12"/>
  <c r="EL67" i="12"/>
  <c r="EL68" i="12"/>
  <c r="EL69" i="12"/>
  <c r="EL70" i="12"/>
  <c r="EL71" i="12"/>
  <c r="EL72" i="12"/>
  <c r="EL73" i="12"/>
  <c r="EL74" i="12"/>
  <c r="EL75" i="12"/>
  <c r="EL76" i="12"/>
  <c r="EL77" i="12"/>
  <c r="EL78" i="12"/>
  <c r="EL79" i="12"/>
  <c r="EL80" i="12"/>
  <c r="EL81" i="12"/>
  <c r="EL82" i="12"/>
  <c r="EL83" i="12"/>
  <c r="EL84" i="12"/>
  <c r="EL85" i="12"/>
  <c r="EL86" i="12"/>
  <c r="EL87" i="12"/>
  <c r="EL88" i="12"/>
  <c r="EL89" i="12"/>
  <c r="EL90" i="12"/>
  <c r="EL91" i="12"/>
  <c r="EL92" i="12"/>
  <c r="EL93" i="12"/>
  <c r="EL94" i="12"/>
  <c r="EL95" i="12"/>
  <c r="EL96" i="12"/>
  <c r="EL97" i="12"/>
  <c r="EL98" i="12"/>
  <c r="EL99" i="12"/>
  <c r="EL100" i="12"/>
  <c r="EL101" i="12"/>
  <c r="EL102" i="12"/>
  <c r="EL103" i="12"/>
  <c r="EL104" i="12"/>
  <c r="EL105" i="12"/>
  <c r="EL106" i="12"/>
  <c r="EL107" i="12"/>
  <c r="EL108" i="12"/>
  <c r="EL109" i="12"/>
  <c r="EL110" i="12"/>
  <c r="EL111" i="12"/>
  <c r="EL112" i="12"/>
  <c r="EL113" i="12"/>
  <c r="EL114" i="12"/>
  <c r="EL115" i="12"/>
  <c r="EL116" i="12"/>
  <c r="EL117" i="12"/>
  <c r="EL118" i="12"/>
  <c r="EL119" i="12"/>
  <c r="EL120" i="12"/>
  <c r="EL121" i="12"/>
  <c r="EL122" i="12"/>
  <c r="EL123" i="12"/>
  <c r="EL124" i="12"/>
  <c r="EL125" i="12"/>
  <c r="EL126" i="12"/>
  <c r="EL127" i="12"/>
  <c r="EL128" i="12"/>
  <c r="EL129" i="12"/>
  <c r="EL130" i="12"/>
  <c r="EL131" i="12"/>
  <c r="EL132" i="12"/>
  <c r="EL133" i="12"/>
  <c r="EL134" i="12"/>
  <c r="EL135" i="12"/>
  <c r="EL136" i="12"/>
  <c r="EL137" i="12"/>
  <c r="EL138" i="12"/>
  <c r="EL139" i="12"/>
  <c r="EL140" i="12"/>
  <c r="EL141" i="12"/>
  <c r="EL142" i="12"/>
  <c r="EL143" i="12"/>
  <c r="EL144" i="12"/>
  <c r="EL145" i="12"/>
  <c r="EL146" i="12"/>
  <c r="EL147" i="12"/>
  <c r="EL148" i="12"/>
  <c r="EL149" i="12"/>
  <c r="EL150" i="12"/>
  <c r="EL151" i="12"/>
  <c r="EL152" i="12"/>
  <c r="EL153" i="12"/>
  <c r="EL154" i="12"/>
  <c r="EL155" i="12"/>
  <c r="EL156" i="12"/>
  <c r="EL157" i="12"/>
  <c r="EL158" i="12"/>
  <c r="EL159" i="12"/>
  <c r="EL160" i="12"/>
  <c r="EL161" i="12"/>
  <c r="EL162" i="12"/>
  <c r="EL163" i="12"/>
  <c r="EL164" i="12"/>
  <c r="EL165" i="12"/>
  <c r="EL166" i="12"/>
  <c r="EL167" i="12"/>
  <c r="EL168" i="12"/>
  <c r="EL169" i="12"/>
  <c r="EL170" i="12"/>
  <c r="EL171" i="12"/>
  <c r="EL172" i="12"/>
  <c r="EL173" i="12"/>
  <c r="EL174" i="12"/>
  <c r="EL175" i="12"/>
  <c r="EL176" i="12"/>
  <c r="EL177" i="12"/>
  <c r="EL178" i="12"/>
  <c r="EL179" i="12"/>
  <c r="EL180" i="12"/>
  <c r="EL181" i="12"/>
  <c r="EL182" i="12"/>
  <c r="EL183" i="12"/>
  <c r="EL184" i="12"/>
  <c r="EL185" i="12"/>
  <c r="EL186" i="12"/>
  <c r="EL187" i="12"/>
  <c r="EL188" i="12"/>
  <c r="EL189" i="12"/>
  <c r="EL190" i="12"/>
  <c r="EL191" i="12"/>
  <c r="EL192" i="12"/>
  <c r="EL193" i="12"/>
  <c r="EL194" i="12"/>
  <c r="EL195" i="12"/>
  <c r="EL196" i="12"/>
  <c r="EL197" i="12"/>
  <c r="EL198" i="12"/>
  <c r="EL199" i="12"/>
  <c r="EL200" i="12"/>
  <c r="EL201" i="12"/>
  <c r="EL202" i="12"/>
  <c r="EL203" i="12"/>
  <c r="EL204" i="12"/>
  <c r="EL205" i="12"/>
  <c r="EL206" i="12"/>
  <c r="EL207" i="12"/>
  <c r="EL208" i="12"/>
  <c r="EL209" i="12"/>
  <c r="EL210" i="12"/>
  <c r="EL211" i="12"/>
  <c r="EL212" i="12"/>
  <c r="EL213" i="12"/>
  <c r="EL214" i="12"/>
  <c r="EL215" i="12"/>
  <c r="EL216" i="12"/>
  <c r="EL217" i="12"/>
  <c r="EL218" i="12"/>
  <c r="EL219" i="12"/>
  <c r="EL220" i="12"/>
  <c r="EL221" i="12"/>
  <c r="EL222" i="12"/>
  <c r="EL223" i="12"/>
  <c r="EL224" i="12"/>
  <c r="EL225" i="12"/>
  <c r="EL226" i="12"/>
  <c r="EL227" i="12"/>
  <c r="EL228" i="12"/>
  <c r="EL229" i="12"/>
  <c r="EL230" i="12"/>
  <c r="EL231" i="12"/>
  <c r="EL232" i="12"/>
  <c r="EL233" i="12"/>
  <c r="EL234" i="12"/>
  <c r="EL235" i="12"/>
  <c r="EL236" i="12"/>
  <c r="EL237" i="12"/>
  <c r="EL238" i="12"/>
  <c r="EL239" i="12"/>
  <c r="EL240" i="12"/>
  <c r="EL241" i="12"/>
  <c r="EL242" i="12"/>
  <c r="EL243" i="12"/>
  <c r="EL244" i="12"/>
  <c r="EL245" i="12"/>
  <c r="EL246" i="12"/>
  <c r="EL247" i="12"/>
  <c r="EL248" i="12"/>
  <c r="EL249" i="12"/>
  <c r="EL250" i="12"/>
  <c r="EL251" i="12"/>
  <c r="EL252" i="12"/>
  <c r="EL253" i="12"/>
  <c r="EL254" i="12"/>
  <c r="EL255" i="12"/>
  <c r="EL256" i="12"/>
  <c r="EL257" i="12"/>
  <c r="EL258" i="12"/>
  <c r="EL259" i="12"/>
  <c r="EL260" i="12"/>
  <c r="EL261" i="12"/>
  <c r="EL262" i="12"/>
  <c r="EL263" i="12"/>
  <c r="EL264" i="12"/>
  <c r="EL265" i="12"/>
  <c r="EL266" i="12"/>
  <c r="EL267" i="12"/>
  <c r="EL268" i="12"/>
  <c r="EL269" i="12"/>
  <c r="EL270" i="12"/>
  <c r="EL271" i="12"/>
  <c r="EL272" i="12"/>
  <c r="EL273" i="12"/>
  <c r="EL274" i="12"/>
  <c r="EL275" i="12"/>
  <c r="EL276" i="12"/>
  <c r="EL277" i="12"/>
  <c r="EL278" i="12"/>
  <c r="EL279" i="12"/>
  <c r="EL280" i="12"/>
  <c r="EL281" i="12"/>
  <c r="EL282" i="12"/>
  <c r="EL283" i="12"/>
  <c r="EL284" i="12"/>
  <c r="EL285" i="12"/>
  <c r="EL286" i="12"/>
  <c r="EL287" i="12"/>
  <c r="EL288" i="12"/>
  <c r="EL289" i="12"/>
  <c r="EL290" i="12"/>
  <c r="EL291" i="12"/>
  <c r="EL292" i="12"/>
  <c r="EL293" i="12"/>
  <c r="EL294" i="12"/>
  <c r="EL295" i="12"/>
  <c r="EL296" i="12"/>
  <c r="EL297" i="12"/>
  <c r="EL298" i="12"/>
  <c r="EL299" i="12"/>
  <c r="EL300" i="12"/>
  <c r="EL301" i="12"/>
  <c r="EL302" i="12"/>
  <c r="EL303" i="12"/>
  <c r="EL304" i="12"/>
  <c r="EL305" i="12"/>
  <c r="EL306" i="12"/>
  <c r="EL307" i="12"/>
  <c r="EL308" i="12"/>
  <c r="EL309" i="12"/>
  <c r="EL310" i="12"/>
  <c r="EL311" i="12"/>
  <c r="EL312" i="12"/>
  <c r="EL313" i="12"/>
  <c r="EL314" i="12"/>
  <c r="EL315" i="12"/>
  <c r="EL316" i="12"/>
  <c r="EL317" i="12"/>
  <c r="EL318" i="12"/>
  <c r="EL319" i="12"/>
  <c r="EL320" i="12"/>
  <c r="EL321" i="12"/>
  <c r="EL322" i="12"/>
  <c r="EL323" i="12"/>
  <c r="EL324" i="12"/>
  <c r="EL325" i="12"/>
  <c r="EL326" i="12"/>
  <c r="EL327" i="12"/>
  <c r="EL328" i="12"/>
  <c r="EL329" i="12"/>
  <c r="EL330" i="12"/>
  <c r="EL331" i="12"/>
  <c r="EL332" i="12"/>
  <c r="EL333" i="12"/>
  <c r="EL334" i="12"/>
  <c r="EL335" i="12"/>
  <c r="EL336" i="12"/>
  <c r="EL337" i="12"/>
  <c r="EL338" i="12"/>
  <c r="EL339" i="12"/>
  <c r="EL340" i="12"/>
  <c r="EL341" i="12"/>
  <c r="EL342" i="12"/>
  <c r="EL343" i="12"/>
  <c r="EL344" i="12"/>
  <c r="EL345" i="12"/>
  <c r="EL346" i="12"/>
  <c r="EL347" i="12"/>
  <c r="EL348" i="12"/>
  <c r="EL349" i="12"/>
  <c r="EL350" i="12"/>
  <c r="EL351" i="12"/>
  <c r="EL352" i="12"/>
  <c r="EL353" i="12"/>
  <c r="EL354" i="12"/>
  <c r="EL355" i="12"/>
  <c r="EL356" i="12"/>
  <c r="EL357" i="12"/>
  <c r="EL358" i="12"/>
  <c r="EL359" i="12"/>
  <c r="EL360" i="12"/>
  <c r="EL361" i="12"/>
  <c r="EL362" i="12"/>
  <c r="EL363" i="12"/>
  <c r="EL364" i="12"/>
  <c r="EL365" i="12"/>
  <c r="EL366" i="12"/>
  <c r="EL367" i="12"/>
  <c r="EL368" i="12"/>
  <c r="EL369" i="12"/>
  <c r="EL370" i="12"/>
  <c r="EL371" i="12"/>
  <c r="EL372" i="12"/>
  <c r="EL373" i="12"/>
  <c r="EL374" i="12"/>
  <c r="EL375" i="12"/>
  <c r="EL376" i="12"/>
  <c r="EL377" i="12"/>
  <c r="EL378" i="12"/>
  <c r="EL379" i="12"/>
  <c r="EL380" i="12"/>
  <c r="EL381" i="12"/>
  <c r="EL382" i="12"/>
  <c r="EL383" i="12"/>
  <c r="EL384" i="12"/>
  <c r="EL385" i="12"/>
  <c r="EL386" i="12"/>
  <c r="EL387" i="12"/>
  <c r="EL388" i="12"/>
  <c r="EL389" i="12"/>
  <c r="EL390" i="12"/>
  <c r="EL391" i="12"/>
  <c r="EL392" i="12"/>
  <c r="EL393" i="12"/>
  <c r="EL394" i="12"/>
  <c r="EL395" i="12"/>
  <c r="EL396" i="12"/>
  <c r="EL397" i="12"/>
  <c r="EL398" i="12"/>
  <c r="EL399" i="12"/>
  <c r="EL400" i="12"/>
  <c r="EL401" i="12"/>
  <c r="EL402" i="12"/>
  <c r="EL403" i="12"/>
  <c r="EL404" i="12"/>
  <c r="EL405" i="12"/>
  <c r="EL406" i="12"/>
  <c r="EL407" i="12"/>
  <c r="EL408" i="12"/>
  <c r="EL409" i="12"/>
  <c r="EL410" i="12"/>
  <c r="EL411" i="12"/>
  <c r="EL412" i="12"/>
  <c r="EL413" i="12"/>
  <c r="EL414" i="12"/>
  <c r="EL415" i="12"/>
  <c r="EL416" i="12"/>
  <c r="EL417" i="12"/>
  <c r="EL418" i="12"/>
  <c r="EL419" i="12"/>
  <c r="EL420" i="12"/>
  <c r="EL421" i="12"/>
  <c r="EL422" i="12"/>
  <c r="EL423" i="12"/>
  <c r="EL424" i="12"/>
  <c r="EL425" i="12"/>
  <c r="EL426" i="12"/>
  <c r="EL427" i="12"/>
  <c r="EL428" i="12"/>
  <c r="EL429" i="12"/>
  <c r="EL430" i="12"/>
  <c r="EL431" i="12"/>
  <c r="EL432" i="12"/>
  <c r="EL433" i="12"/>
  <c r="EL434" i="12"/>
  <c r="EL435" i="12"/>
  <c r="EL436" i="12"/>
  <c r="EL437" i="12"/>
  <c r="EL438" i="12"/>
  <c r="EL439" i="12"/>
  <c r="EL440" i="12"/>
  <c r="EL441" i="12"/>
  <c r="EL442" i="12"/>
  <c r="EL443" i="12"/>
  <c r="EL444" i="12"/>
  <c r="EL445" i="12"/>
  <c r="EL446" i="12"/>
  <c r="EL447" i="12"/>
  <c r="EL448" i="12"/>
  <c r="EL449" i="12"/>
  <c r="EL450" i="12"/>
  <c r="EL451" i="12"/>
  <c r="EL452" i="12"/>
  <c r="EL453" i="12"/>
  <c r="EL454" i="12"/>
  <c r="EL455" i="12"/>
  <c r="EL456" i="12"/>
  <c r="EL457" i="12"/>
  <c r="EL458" i="12"/>
  <c r="EL459" i="12"/>
  <c r="EL460" i="12"/>
  <c r="EL461" i="12"/>
  <c r="EL462" i="12"/>
  <c r="EL463" i="12"/>
  <c r="EL464" i="12"/>
  <c r="EL465" i="12"/>
  <c r="EL466" i="12"/>
  <c r="EL467" i="12"/>
  <c r="EL468" i="12"/>
  <c r="EL469" i="12"/>
  <c r="EL470" i="12"/>
  <c r="EL471" i="12"/>
  <c r="EL472" i="12"/>
  <c r="EL473" i="12"/>
  <c r="EL474" i="12"/>
  <c r="EL475" i="12"/>
  <c r="EL476" i="12"/>
  <c r="EL477" i="12"/>
  <c r="EL478" i="12"/>
  <c r="EL479" i="12"/>
  <c r="EL480" i="12"/>
  <c r="EL481" i="12"/>
  <c r="EL482" i="12"/>
  <c r="EL483" i="12"/>
  <c r="EL484" i="12"/>
  <c r="EL485" i="12"/>
  <c r="EL486" i="12"/>
  <c r="EL487" i="12"/>
  <c r="EL488" i="12"/>
  <c r="EL489" i="12"/>
  <c r="EL490" i="12"/>
  <c r="EL491" i="12"/>
  <c r="EL492" i="12"/>
  <c r="EL493" i="12"/>
  <c r="EL494" i="12"/>
  <c r="EL495" i="12"/>
  <c r="EL496" i="12"/>
  <c r="EL497" i="12"/>
  <c r="EL498" i="12"/>
  <c r="EL499" i="12"/>
  <c r="EL500" i="12"/>
  <c r="EL3" i="12"/>
  <c r="CU1" i="12" l="1"/>
  <c r="CW1" i="12" l="1"/>
  <c r="CX1" i="12" s="1"/>
  <c r="DB2" i="12" l="1"/>
  <c r="DD2" i="12" s="1"/>
  <c r="J4" i="5"/>
  <c r="K4" i="5" s="1"/>
  <c r="EX2" i="12"/>
  <c r="EY2" i="12"/>
  <c r="L1" i="13" s="1"/>
  <c r="EO2" i="12"/>
  <c r="JA88" i="12" l="1"/>
  <c r="JA98" i="12"/>
  <c r="FF58" i="12"/>
  <c r="C63" i="13" s="1"/>
  <c r="FF31" i="12"/>
  <c r="C36" i="13" s="1"/>
  <c r="FF74" i="12"/>
  <c r="C79" i="13" s="1"/>
  <c r="FE74" i="12"/>
  <c r="B79" i="13" s="1"/>
  <c r="FF20" i="12"/>
  <c r="C25" i="13" s="1"/>
  <c r="JA14" i="12"/>
  <c r="FF94" i="12"/>
  <c r="C99" i="13" s="1"/>
  <c r="FE94" i="12"/>
  <c r="B99" i="13" s="1"/>
  <c r="FF98" i="12"/>
  <c r="C103" i="13" s="1"/>
  <c r="FE98" i="12"/>
  <c r="B103" i="13" s="1"/>
  <c r="FF92" i="12"/>
  <c r="C97" i="13" s="1"/>
  <c r="FE92" i="12"/>
  <c r="B97" i="13" s="1"/>
  <c r="JA66" i="12"/>
  <c r="FF54" i="12"/>
  <c r="C59" i="13" s="1"/>
  <c r="FF47" i="12"/>
  <c r="C52" i="13" s="1"/>
  <c r="JA94" i="12"/>
  <c r="JA37" i="12"/>
  <c r="FE96" i="12"/>
  <c r="B101" i="13" s="1"/>
  <c r="FF96" i="12"/>
  <c r="C101" i="13" s="1"/>
  <c r="JA101" i="12"/>
  <c r="FF39" i="12"/>
  <c r="C44" i="13" s="1"/>
  <c r="JA55" i="12"/>
  <c r="FE93" i="12"/>
  <c r="B98" i="13" s="1"/>
  <c r="FF93" i="12"/>
  <c r="C98" i="13" s="1"/>
  <c r="JA39" i="12"/>
  <c r="JA93" i="12"/>
  <c r="FF77" i="12"/>
  <c r="C82" i="13" s="1"/>
  <c r="FE77" i="12"/>
  <c r="B82" i="13" s="1"/>
  <c r="FF57" i="12"/>
  <c r="C62" i="13" s="1"/>
  <c r="JA29" i="12"/>
  <c r="FF34" i="12"/>
  <c r="C39" i="13" s="1"/>
  <c r="FF66" i="12"/>
  <c r="C71" i="13" s="1"/>
  <c r="JA40" i="12"/>
  <c r="JA91" i="12"/>
  <c r="FF10" i="12"/>
  <c r="C15" i="13" s="1"/>
  <c r="FE71" i="12"/>
  <c r="B76" i="13" s="1"/>
  <c r="FF71" i="12"/>
  <c r="C76" i="13" s="1"/>
  <c r="JA45" i="12"/>
  <c r="JA96" i="12"/>
  <c r="FF9" i="12"/>
  <c r="C14" i="13" s="1"/>
  <c r="JA62" i="12"/>
  <c r="JA60" i="12"/>
  <c r="FF60" i="12"/>
  <c r="C65" i="13" s="1"/>
  <c r="FE73" i="12"/>
  <c r="B78" i="13" s="1"/>
  <c r="FF73" i="12"/>
  <c r="C78" i="13" s="1"/>
  <c r="JA61" i="12"/>
  <c r="JA51" i="12"/>
  <c r="FF50" i="12"/>
  <c r="C55" i="13" s="1"/>
  <c r="FF78" i="12"/>
  <c r="C83" i="13" s="1"/>
  <c r="FE78" i="12"/>
  <c r="B83" i="13" s="1"/>
  <c r="JA17" i="12"/>
  <c r="FF64" i="12"/>
  <c r="C69" i="13" s="1"/>
  <c r="FF35" i="12"/>
  <c r="C40" i="13" s="1"/>
  <c r="FE69" i="12"/>
  <c r="B74" i="13" s="1"/>
  <c r="FF69" i="12"/>
  <c r="C74" i="13" s="1"/>
  <c r="JA74" i="12"/>
  <c r="JA43" i="12"/>
  <c r="JA81" i="12"/>
  <c r="FF61" i="12"/>
  <c r="C66" i="13" s="1"/>
  <c r="JA80" i="12"/>
  <c r="JA42" i="12"/>
  <c r="FF80" i="12"/>
  <c r="C85" i="13" s="1"/>
  <c r="FE80" i="12"/>
  <c r="B85" i="13" s="1"/>
  <c r="JA48" i="12"/>
  <c r="FF84" i="12"/>
  <c r="C89" i="13" s="1"/>
  <c r="FE84" i="12"/>
  <c r="B89" i="13" s="1"/>
  <c r="JA28" i="12"/>
  <c r="FF22" i="12"/>
  <c r="C27" i="13" s="1"/>
  <c r="FF38" i="12"/>
  <c r="C43" i="13" s="1"/>
  <c r="JA21" i="12"/>
  <c r="JA18" i="12"/>
  <c r="FF13" i="12"/>
  <c r="C18" i="13" s="1"/>
  <c r="JA24" i="12"/>
  <c r="JA75" i="12"/>
  <c r="FE81" i="12"/>
  <c r="B86" i="13" s="1"/>
  <c r="FF81" i="12"/>
  <c r="C86" i="13" s="1"/>
  <c r="FF4" i="12"/>
  <c r="C9" i="13" s="1"/>
  <c r="FF19" i="12"/>
  <c r="C24" i="13" s="1"/>
  <c r="FF63" i="12"/>
  <c r="C68" i="13" s="1"/>
  <c r="JA79" i="12"/>
  <c r="JA87" i="12"/>
  <c r="JA95" i="12"/>
  <c r="FF8" i="12"/>
  <c r="C13" i="13" s="1"/>
  <c r="FF40" i="12"/>
  <c r="C45" i="13" s="1"/>
  <c r="FF70" i="12"/>
  <c r="C75" i="13" s="1"/>
  <c r="FE70" i="12"/>
  <c r="B75" i="13" s="1"/>
  <c r="FF45" i="12"/>
  <c r="C50" i="13" s="1"/>
  <c r="FF46" i="12"/>
  <c r="C51" i="13" s="1"/>
  <c r="JA57" i="12"/>
  <c r="FF62" i="12"/>
  <c r="C67" i="13" s="1"/>
  <c r="JA67" i="12"/>
  <c r="JA90" i="12"/>
  <c r="FF15" i="12"/>
  <c r="C20" i="13" s="1"/>
  <c r="FF87" i="12"/>
  <c r="C92" i="13" s="1"/>
  <c r="FE87" i="12"/>
  <c r="B92" i="13" s="1"/>
  <c r="JA85" i="12"/>
  <c r="JA12" i="12"/>
  <c r="FF101" i="12"/>
  <c r="C106" i="13" s="1"/>
  <c r="FE101" i="12"/>
  <c r="B106" i="13" s="1"/>
  <c r="FF26" i="12"/>
  <c r="C31" i="13" s="1"/>
  <c r="FE100" i="12"/>
  <c r="B105" i="13" s="1"/>
  <c r="FF100" i="12"/>
  <c r="C105" i="13" s="1"/>
  <c r="JA10" i="12"/>
  <c r="JA84" i="12"/>
  <c r="JA72" i="12"/>
  <c r="FE72" i="12"/>
  <c r="B77" i="13" s="1"/>
  <c r="FF72" i="12"/>
  <c r="C77" i="13" s="1"/>
  <c r="FF18" i="12"/>
  <c r="C23" i="13" s="1"/>
  <c r="JA38" i="12"/>
  <c r="JA73" i="12"/>
  <c r="FF27" i="12"/>
  <c r="C32" i="13" s="1"/>
  <c r="FF23" i="12"/>
  <c r="C28" i="13" s="1"/>
  <c r="FF37" i="12"/>
  <c r="C42" i="13" s="1"/>
  <c r="FF30" i="12"/>
  <c r="C35" i="13" s="1"/>
  <c r="FF53" i="12"/>
  <c r="C58" i="13" s="1"/>
  <c r="FF41" i="12"/>
  <c r="C46" i="13" s="1"/>
  <c r="FF65" i="12"/>
  <c r="C70" i="13" s="1"/>
  <c r="JA63" i="12"/>
  <c r="FF17" i="12"/>
  <c r="C22" i="13" s="1"/>
  <c r="JA53" i="12"/>
  <c r="FF14" i="12"/>
  <c r="C19" i="13" s="1"/>
  <c r="JA16" i="12"/>
  <c r="JA83" i="12"/>
  <c r="JA65" i="12"/>
  <c r="JA78" i="12"/>
  <c r="FF55" i="12"/>
  <c r="C60" i="13" s="1"/>
  <c r="FF33" i="12"/>
  <c r="C38" i="13" s="1"/>
  <c r="FF5" i="12"/>
  <c r="C10" i="13" s="1"/>
  <c r="JA58" i="12"/>
  <c r="FF49" i="12"/>
  <c r="C54" i="13" s="1"/>
  <c r="FF59" i="12"/>
  <c r="C64" i="13" s="1"/>
  <c r="JA56" i="12"/>
  <c r="JA22" i="12"/>
  <c r="JA92" i="12"/>
  <c r="JA97" i="12"/>
  <c r="JA20" i="12"/>
  <c r="FF95" i="12"/>
  <c r="C100" i="13" s="1"/>
  <c r="FE95" i="12"/>
  <c r="B100" i="13" s="1"/>
  <c r="JA15" i="12"/>
  <c r="JA46" i="12"/>
  <c r="FE91" i="12"/>
  <c r="B96" i="13" s="1"/>
  <c r="FF91" i="12"/>
  <c r="C96" i="13" s="1"/>
  <c r="FF56" i="12"/>
  <c r="C61" i="13" s="1"/>
  <c r="FF75" i="12"/>
  <c r="C80" i="13" s="1"/>
  <c r="FE75" i="12"/>
  <c r="B80" i="13" s="1"/>
  <c r="FF90" i="12"/>
  <c r="C95" i="13" s="1"/>
  <c r="FE90" i="12"/>
  <c r="B95" i="13" s="1"/>
  <c r="JA70" i="12"/>
  <c r="JA89" i="12"/>
  <c r="JA8" i="12"/>
  <c r="FF6" i="12"/>
  <c r="C11" i="13" s="1"/>
  <c r="FF11" i="12"/>
  <c r="C16" i="13" s="1"/>
  <c r="FF3" i="12"/>
  <c r="C8" i="13" s="1"/>
  <c r="FE85" i="12"/>
  <c r="B90" i="13" s="1"/>
  <c r="FF85" i="12"/>
  <c r="C90" i="13" s="1"/>
  <c r="FF25" i="12"/>
  <c r="C30" i="13" s="1"/>
  <c r="JA64" i="12"/>
  <c r="FF32" i="12"/>
  <c r="C37" i="13" s="1"/>
  <c r="JA41" i="12"/>
  <c r="JA13" i="12"/>
  <c r="JA100" i="12"/>
  <c r="JA68" i="12"/>
  <c r="JA82" i="12"/>
  <c r="JA86" i="12"/>
  <c r="FF12" i="12"/>
  <c r="C17" i="13" s="1"/>
  <c r="JA30" i="12"/>
  <c r="FF24" i="12"/>
  <c r="C29" i="13" s="1"/>
  <c r="FF86" i="12"/>
  <c r="C91" i="13" s="1"/>
  <c r="FE86" i="12"/>
  <c r="B91" i="13" s="1"/>
  <c r="JA69" i="12"/>
  <c r="FF36" i="12"/>
  <c r="C41" i="13" s="1"/>
  <c r="JA35" i="12"/>
  <c r="JA59" i="12"/>
  <c r="FF29" i="12"/>
  <c r="C34" i="13" s="1"/>
  <c r="JA102" i="12"/>
  <c r="JA99" i="12"/>
  <c r="FF51" i="12"/>
  <c r="C56" i="13" s="1"/>
  <c r="JA19" i="12"/>
  <c r="JA6" i="12"/>
  <c r="FF67" i="12"/>
  <c r="C72" i="13" s="1"/>
  <c r="FE67" i="12"/>
  <c r="B72" i="13" s="1"/>
  <c r="FE82" i="12"/>
  <c r="B87" i="13" s="1"/>
  <c r="FF82" i="12"/>
  <c r="C87" i="13" s="1"/>
  <c r="JA23" i="12"/>
  <c r="JA47" i="12"/>
  <c r="JA54" i="12"/>
  <c r="FE79" i="12"/>
  <c r="B84" i="13" s="1"/>
  <c r="FF79" i="12"/>
  <c r="C84" i="13" s="1"/>
  <c r="FF7" i="12"/>
  <c r="C12" i="13" s="1"/>
  <c r="JA77" i="12"/>
  <c r="FE83" i="12"/>
  <c r="B88" i="13" s="1"/>
  <c r="FF83" i="12"/>
  <c r="C88" i="13" s="1"/>
  <c r="FF42" i="12"/>
  <c r="C47" i="13" s="1"/>
  <c r="JA71" i="12"/>
  <c r="JA76" i="12"/>
  <c r="FF52" i="12"/>
  <c r="C57" i="13" s="1"/>
  <c r="JA5" i="12"/>
  <c r="JA50" i="12"/>
  <c r="JA7" i="12"/>
  <c r="JA11" i="12"/>
  <c r="JA25" i="12"/>
  <c r="JA32" i="12"/>
  <c r="JA26" i="12"/>
  <c r="FF68" i="12"/>
  <c r="C73" i="13" s="1"/>
  <c r="FE68" i="12"/>
  <c r="B73" i="13" s="1"/>
  <c r="FE99" i="12"/>
  <c r="B104" i="13" s="1"/>
  <c r="FF99" i="12"/>
  <c r="C104" i="13" s="1"/>
  <c r="FE89" i="12"/>
  <c r="B94" i="13" s="1"/>
  <c r="FF89" i="12"/>
  <c r="C94" i="13" s="1"/>
  <c r="JA27" i="12"/>
  <c r="FF97" i="12"/>
  <c r="FE97" i="12"/>
  <c r="B102" i="13" s="1"/>
  <c r="JA9" i="12"/>
  <c r="FF16" i="12"/>
  <c r="C21" i="13" s="1"/>
  <c r="JA52" i="12"/>
  <c r="JA34" i="12"/>
  <c r="JA44" i="12"/>
  <c r="FF21" i="12"/>
  <c r="C26" i="13" s="1"/>
  <c r="FE88" i="12"/>
  <c r="B93" i="13" s="1"/>
  <c r="FF88" i="12"/>
  <c r="C93" i="13" s="1"/>
  <c r="JA49" i="12"/>
  <c r="FF43" i="12"/>
  <c r="C48" i="13" s="1"/>
  <c r="FF48" i="12"/>
  <c r="C53" i="13" s="1"/>
  <c r="JA31" i="12"/>
  <c r="FF76" i="12"/>
  <c r="C81" i="13" s="1"/>
  <c r="FE76" i="12"/>
  <c r="B81" i="13" s="1"/>
  <c r="JA4" i="12"/>
  <c r="JA33" i="12"/>
  <c r="FF28" i="12"/>
  <c r="C33" i="13" s="1"/>
  <c r="FF44" i="12"/>
  <c r="C49" i="13" s="1"/>
  <c r="FF102" i="12"/>
  <c r="C107" i="13" s="1"/>
  <c r="JA36" i="12"/>
  <c r="JC83" i="12" l="1"/>
  <c r="JC97" i="12"/>
  <c r="JC82" i="12"/>
  <c r="JC89" i="12"/>
  <c r="JC26" i="12"/>
  <c r="JC69" i="12"/>
  <c r="JC31" i="12"/>
  <c r="JC91" i="12"/>
  <c r="JC4" i="12"/>
  <c r="JC54" i="12"/>
  <c r="JC58" i="12"/>
  <c r="JC53" i="12"/>
  <c r="JC27" i="12"/>
  <c r="JC15" i="12"/>
  <c r="JC35" i="12"/>
  <c r="JC10" i="12"/>
  <c r="JC39" i="12"/>
  <c r="JC96" i="12"/>
  <c r="JC20" i="12"/>
  <c r="JC99" i="12"/>
  <c r="JC68" i="12"/>
  <c r="JC86" i="12"/>
  <c r="JC12" i="12"/>
  <c r="JC76" i="12"/>
  <c r="JC52" i="12"/>
  <c r="JC79" i="12"/>
  <c r="JC72" i="12"/>
  <c r="JC46" i="12"/>
  <c r="JC70" i="12"/>
  <c r="JC19" i="12"/>
  <c r="JC13" i="12"/>
  <c r="JC61" i="12"/>
  <c r="JC50" i="12"/>
  <c r="JC9" i="12"/>
  <c r="JC87" i="12"/>
  <c r="JC40" i="12"/>
  <c r="JC44" i="12"/>
  <c r="JC7" i="12"/>
  <c r="JC34" i="12"/>
  <c r="JC59" i="12"/>
  <c r="JC48" i="12"/>
  <c r="JC21" i="12"/>
  <c r="JC3" i="12"/>
  <c r="JC11" i="12"/>
  <c r="JC51" i="12"/>
  <c r="JC32" i="12"/>
  <c r="JC6" i="12"/>
  <c r="JC65" i="12"/>
  <c r="JC41" i="12"/>
  <c r="JC23" i="12"/>
  <c r="JC28" i="12"/>
  <c r="JC85" i="12"/>
  <c r="JC55" i="12"/>
  <c r="JC78" i="12"/>
  <c r="JC37" i="12"/>
  <c r="JC8" i="12"/>
  <c r="JC63" i="12"/>
  <c r="JC81" i="12"/>
  <c r="JC38" i="12"/>
  <c r="JC22" i="12"/>
  <c r="JC84" i="12"/>
  <c r="JC25" i="12"/>
  <c r="JC102" i="12"/>
  <c r="JC16" i="12"/>
  <c r="JC29" i="12"/>
  <c r="JC36" i="12"/>
  <c r="JC56" i="12"/>
  <c r="JC77" i="12"/>
  <c r="JC42" i="12"/>
  <c r="JC64" i="12"/>
  <c r="JC90" i="12"/>
  <c r="JC95" i="12"/>
  <c r="JC30" i="12"/>
  <c r="JC18" i="12"/>
  <c r="JC62" i="12"/>
  <c r="JC60" i="12"/>
  <c r="JC71" i="12"/>
  <c r="JC93" i="12"/>
  <c r="JC92" i="12"/>
  <c r="JC43" i="12"/>
  <c r="JC67" i="12"/>
  <c r="JC5" i="12"/>
  <c r="JC33" i="12"/>
  <c r="JC73" i="12"/>
  <c r="JC66" i="12"/>
  <c r="JC94" i="12"/>
  <c r="JC88" i="12"/>
  <c r="JC24" i="12"/>
  <c r="JC75" i="12"/>
  <c r="JC17" i="12"/>
  <c r="JC101" i="12"/>
  <c r="JC80" i="12"/>
  <c r="JC57" i="12"/>
  <c r="JC74" i="12"/>
  <c r="JC49" i="12"/>
  <c r="JC14" i="12"/>
  <c r="JC100" i="12"/>
  <c r="JC45" i="12"/>
  <c r="JC47" i="12"/>
  <c r="JC98" i="12"/>
  <c r="FE102" i="12" l="1"/>
  <c r="B107" i="13" s="1"/>
  <c r="DG102" i="12"/>
  <c r="C102" i="13" l="1"/>
  <c r="FE17" i="12" l="1"/>
  <c r="B22" i="13" s="1"/>
  <c r="B74" i="5" l="1"/>
  <c r="B73" i="5"/>
  <c r="B72" i="5"/>
  <c r="B71" i="5"/>
  <c r="B70" i="5"/>
  <c r="B69" i="5"/>
  <c r="B68" i="5"/>
  <c r="B67" i="5"/>
  <c r="B66" i="5"/>
  <c r="B65" i="5"/>
  <c r="B64" i="5"/>
  <c r="B63" i="5"/>
  <c r="B59" i="5"/>
  <c r="DG163" i="12" l="1"/>
  <c r="DG164" i="12"/>
  <c r="DG165" i="12"/>
  <c r="DG166" i="12"/>
  <c r="FE29" i="12"/>
  <c r="B34" i="13" s="1"/>
  <c r="FE57" i="12"/>
  <c r="B62" i="13" s="1"/>
  <c r="FE50" i="12"/>
  <c r="B55" i="13" s="1"/>
  <c r="FE39" i="12"/>
  <c r="B44" i="13" s="1"/>
  <c r="FE26" i="12"/>
  <c r="B31" i="13" s="1"/>
  <c r="FE59" i="12"/>
  <c r="B64" i="13" s="1"/>
  <c r="FE22" i="12"/>
  <c r="B27" i="13" s="1"/>
  <c r="FE14" i="12"/>
  <c r="B19" i="13" s="1"/>
  <c r="FE54" i="12"/>
  <c r="B59" i="13" s="1"/>
  <c r="FE37" i="12"/>
  <c r="B42" i="13" s="1"/>
  <c r="FE56" i="12"/>
  <c r="B61" i="13" s="1"/>
  <c r="FE24" i="12"/>
  <c r="B29" i="13" s="1"/>
  <c r="FE20" i="12"/>
  <c r="B25" i="13" s="1"/>
  <c r="FE63" i="12"/>
  <c r="B68" i="13" s="1"/>
  <c r="FE58" i="12"/>
  <c r="B63" i="13" s="1"/>
  <c r="FE62" i="12"/>
  <c r="B67" i="13" s="1"/>
  <c r="FE41" i="12"/>
  <c r="B46" i="13" s="1"/>
  <c r="FE12" i="12"/>
  <c r="B17" i="13" s="1"/>
  <c r="FE64" i="12"/>
  <c r="B69" i="13" s="1"/>
  <c r="FE33" i="12"/>
  <c r="B38" i="13" s="1"/>
  <c r="FE36" i="12"/>
  <c r="B41" i="13" s="1"/>
  <c r="FE66" i="12"/>
  <c r="B71" i="13" s="1"/>
  <c r="FE15" i="12"/>
  <c r="B20" i="13" s="1"/>
  <c r="FE44" i="12"/>
  <c r="B49" i="13" s="1"/>
  <c r="FE11" i="12"/>
  <c r="B16" i="13" s="1"/>
  <c r="FE23" i="12"/>
  <c r="B28" i="13" s="1"/>
  <c r="FE42" i="12"/>
  <c r="B47" i="13" s="1"/>
  <c r="FE18" i="12"/>
  <c r="B23" i="13" s="1"/>
  <c r="FE34" i="12"/>
  <c r="B39" i="13" s="1"/>
  <c r="FE28" i="12"/>
  <c r="B33" i="13" s="1"/>
  <c r="FE27" i="12"/>
  <c r="B32" i="13" s="1"/>
  <c r="FE43" i="12"/>
  <c r="B48" i="13" s="1"/>
  <c r="FE32" i="12"/>
  <c r="B37" i="13" s="1"/>
  <c r="FE45" i="12"/>
  <c r="B50" i="13" s="1"/>
  <c r="FE10" i="12"/>
  <c r="B15" i="13" s="1"/>
  <c r="FE30" i="12"/>
  <c r="B35" i="13" s="1"/>
  <c r="FE7" i="12"/>
  <c r="B12" i="13" s="1"/>
  <c r="FE61" i="12"/>
  <c r="B66" i="13" s="1"/>
  <c r="FE49" i="12"/>
  <c r="B54" i="13" s="1"/>
  <c r="FE8" i="12"/>
  <c r="B13" i="13" s="1"/>
  <c r="FE31" i="12"/>
  <c r="B36" i="13" s="1"/>
  <c r="FE38" i="12"/>
  <c r="B43" i="13" s="1"/>
  <c r="FE65" i="12"/>
  <c r="B70" i="13" s="1"/>
  <c r="FE16" i="12"/>
  <c r="B21" i="13" s="1"/>
  <c r="FE9" i="12"/>
  <c r="B14" i="13" s="1"/>
  <c r="FE13" i="12"/>
  <c r="B18" i="13" s="1"/>
  <c r="FE51" i="12"/>
  <c r="B56" i="13" s="1"/>
  <c r="FE46" i="12"/>
  <c r="B51" i="13" s="1"/>
  <c r="FE55" i="12"/>
  <c r="B60" i="13" s="1"/>
  <c r="FE48" i="12"/>
  <c r="B53" i="13" s="1"/>
  <c r="FE25" i="12"/>
  <c r="B30" i="13" s="1"/>
  <c r="FE60" i="12"/>
  <c r="B65" i="13" s="1"/>
  <c r="FE19" i="12"/>
  <c r="B24" i="13" s="1"/>
  <c r="FE53" i="12"/>
  <c r="B58" i="13" s="1"/>
  <c r="FE40" i="12"/>
  <c r="B45" i="13" s="1"/>
  <c r="FE35" i="12"/>
  <c r="B40" i="13" s="1"/>
  <c r="FE52" i="12"/>
  <c r="B57" i="13" s="1"/>
  <c r="FE21" i="12"/>
  <c r="B26" i="13" s="1"/>
  <c r="FE47" i="12"/>
  <c r="B52" i="13" s="1"/>
  <c r="DG155" i="12"/>
  <c r="DG161" i="12"/>
  <c r="DG157" i="12"/>
  <c r="DG159" i="12"/>
  <c r="DG160" i="12"/>
  <c r="DG156" i="12"/>
  <c r="DG162" i="12"/>
  <c r="DG158" i="12"/>
  <c r="DG186" i="12" l="1"/>
  <c r="DG182" i="12"/>
  <c r="DG191" i="12"/>
  <c r="DG202" i="12"/>
  <c r="DG400" i="12" l="1"/>
  <c r="EC400" i="12" s="1"/>
  <c r="EC401" i="12" s="1"/>
  <c r="EC402" i="12" s="1"/>
  <c r="EC403" i="12" s="1"/>
  <c r="EC404" i="12" s="1"/>
  <c r="EC405" i="12" s="1"/>
  <c r="EC406" i="12" s="1"/>
  <c r="EC407" i="12" s="1"/>
  <c r="EC408" i="12" s="1"/>
  <c r="EC409" i="12" s="1"/>
  <c r="EC410" i="12" s="1"/>
  <c r="EC411" i="12" s="1"/>
  <c r="EC412" i="12" s="1"/>
  <c r="EC413" i="12" s="1"/>
  <c r="EC414" i="12" s="1"/>
  <c r="EC415" i="12" s="1"/>
  <c r="EC416" i="12" s="1"/>
  <c r="EC417" i="12" s="1"/>
  <c r="EC418" i="12" s="1"/>
  <c r="EC419" i="12" s="1"/>
  <c r="EC420" i="12" s="1"/>
  <c r="EC421" i="12" s="1"/>
  <c r="EC422" i="12" s="1"/>
  <c r="EC423" i="12" s="1"/>
  <c r="EC424" i="12" s="1"/>
  <c r="EC425" i="12" s="1"/>
  <c r="EC426" i="12" s="1"/>
  <c r="EC427" i="12" s="1"/>
  <c r="EC428" i="12" s="1"/>
  <c r="EC429" i="12" s="1"/>
  <c r="EC430" i="12" s="1"/>
  <c r="EC431" i="12" s="1"/>
  <c r="EC432" i="12" s="1"/>
  <c r="EC433" i="12" s="1"/>
  <c r="EC434" i="12" s="1"/>
  <c r="EC435" i="12" s="1"/>
  <c r="EC436" i="12" s="1"/>
  <c r="EC437" i="12" s="1"/>
  <c r="EC438" i="12" s="1"/>
  <c r="EC439" i="12" s="1"/>
  <c r="EC440" i="12" s="1"/>
  <c r="EC441" i="12" s="1"/>
  <c r="EC442" i="12" s="1"/>
  <c r="EC443" i="12" s="1"/>
  <c r="EC444" i="12" s="1"/>
  <c r="EC445" i="12" s="1"/>
  <c r="EC446" i="12" s="1"/>
  <c r="EC447" i="12" s="1"/>
  <c r="EC448" i="12" s="1"/>
  <c r="EC449" i="12" s="1"/>
  <c r="EC450" i="12" s="1"/>
  <c r="EC451" i="12" s="1"/>
  <c r="EC452" i="12" s="1"/>
  <c r="EC453" i="12" s="1"/>
  <c r="EC454" i="12" s="1"/>
  <c r="EC455" i="12" s="1"/>
  <c r="EC456" i="12" s="1"/>
  <c r="EC457" i="12" s="1"/>
  <c r="EC458" i="12" s="1"/>
  <c r="EC459" i="12" s="1"/>
  <c r="EC460" i="12" s="1"/>
  <c r="EC461" i="12" s="1"/>
  <c r="EC462" i="12" s="1"/>
  <c r="EC463" i="12" s="1"/>
  <c r="EC464" i="12" s="1"/>
  <c r="EC465" i="12" s="1"/>
  <c r="EC466" i="12" s="1"/>
  <c r="EC467" i="12" s="1"/>
  <c r="EC468" i="12" s="1"/>
  <c r="DG242" i="12"/>
  <c r="DG248" i="12"/>
  <c r="DG241" i="12"/>
  <c r="DG250" i="12"/>
  <c r="DG240" i="12"/>
  <c r="DG399" i="12"/>
  <c r="EC399" i="12" s="1"/>
  <c r="DG247" i="12"/>
  <c r="DG253" i="12"/>
  <c r="DG8" i="12" l="1"/>
  <c r="DG31" i="12"/>
  <c r="DG22" i="12"/>
  <c r="DG11" i="12"/>
  <c r="DG15" i="12"/>
  <c r="DG6" i="12"/>
  <c r="DG9" i="12"/>
  <c r="DG24" i="12"/>
  <c r="DG33" i="12"/>
  <c r="DG12" i="12"/>
  <c r="DG30" i="12"/>
  <c r="DG27" i="12"/>
  <c r="DG10" i="12"/>
  <c r="DG13" i="12"/>
  <c r="DG54" i="12"/>
  <c r="DG62" i="12"/>
  <c r="DG52" i="12"/>
  <c r="DG19" i="12"/>
  <c r="DG23" i="12"/>
  <c r="DG29" i="12"/>
  <c r="DG18" i="12"/>
  <c r="DG21" i="12"/>
  <c r="DG20" i="12"/>
  <c r="DG32" i="12"/>
  <c r="DG46" i="12"/>
  <c r="DG55" i="12"/>
  <c r="DG48" i="12"/>
  <c r="DG50" i="12"/>
  <c r="DG44" i="12"/>
  <c r="DG34" i="12"/>
  <c r="DG61" i="12"/>
  <c r="DG42" i="12"/>
  <c r="DG47" i="12"/>
  <c r="DG64" i="12"/>
  <c r="DG63" i="12"/>
  <c r="DG49" i="12"/>
  <c r="DG43" i="12"/>
  <c r="DG53" i="12"/>
  <c r="DG45" i="12"/>
  <c r="DG38" i="12"/>
  <c r="DG58" i="12"/>
  <c r="DG51" i="12"/>
  <c r="DG59" i="12"/>
  <c r="DG39" i="12"/>
  <c r="DG35" i="12"/>
  <c r="DG41" i="12"/>
  <c r="DG57" i="12"/>
  <c r="DQ1" i="12" l="1"/>
  <c r="C13" i="5"/>
  <c r="C14" i="5"/>
  <c r="DU223" i="12" l="1"/>
  <c r="DU227" i="12"/>
  <c r="DU226" i="12"/>
  <c r="DU225" i="12"/>
  <c r="DU222" i="12"/>
  <c r="DU221" i="12"/>
  <c r="DU224" i="12"/>
  <c r="DU228" i="12"/>
  <c r="DU230" i="12"/>
  <c r="DU229" i="12"/>
  <c r="DG200" i="12"/>
  <c r="DG201" i="12"/>
  <c r="DG190" i="12"/>
  <c r="DG197" i="12"/>
  <c r="DG199" i="12"/>
  <c r="DG198" i="12"/>
  <c r="DG193" i="12"/>
  <c r="DG183" i="12"/>
  <c r="DG168" i="12"/>
  <c r="DG172" i="12"/>
  <c r="DG189" i="12"/>
  <c r="DG171" i="12"/>
  <c r="DG179" i="12"/>
  <c r="DG170" i="12"/>
  <c r="DG194" i="12"/>
  <c r="DG196" i="12"/>
  <c r="DG169" i="12"/>
  <c r="DG181" i="12"/>
  <c r="DG180" i="12"/>
  <c r="DG167" i="12"/>
  <c r="DG177" i="12"/>
  <c r="DG185" i="12"/>
  <c r="DG174" i="12"/>
  <c r="DG187" i="12"/>
  <c r="DG188" i="12"/>
  <c r="DG176" i="12"/>
  <c r="DG192" i="12"/>
  <c r="DG175" i="12"/>
  <c r="DG178" i="12"/>
  <c r="DG195" i="12"/>
  <c r="DG173" i="12"/>
  <c r="DG184" i="12"/>
  <c r="DG210" i="12" l="1"/>
  <c r="DG235" i="12"/>
  <c r="DG245" i="12"/>
  <c r="DG208" i="12"/>
  <c r="DG226" i="12"/>
  <c r="DG204" i="12"/>
  <c r="DG205" i="12"/>
  <c r="DG217" i="12"/>
  <c r="DG220" i="12"/>
  <c r="DG219" i="12"/>
  <c r="DG231" i="12"/>
  <c r="DG206" i="12"/>
  <c r="DG222" i="12"/>
  <c r="DG215" i="12"/>
  <c r="DG234" i="12"/>
  <c r="DG230" i="12"/>
  <c r="DG211" i="12"/>
  <c r="DG237" i="12"/>
  <c r="DG203" i="12"/>
  <c r="DG236" i="12"/>
  <c r="DG252" i="12"/>
  <c r="DG243" i="12"/>
  <c r="DG246" i="12"/>
  <c r="DG218" i="12"/>
  <c r="DG239" i="12"/>
  <c r="DG228" i="12"/>
  <c r="DG225" i="12"/>
  <c r="DG214" i="12"/>
  <c r="DG213" i="12"/>
  <c r="DG207" i="12"/>
  <c r="DG212" i="12"/>
  <c r="DG216" i="12"/>
  <c r="DG238" i="12"/>
  <c r="DG249" i="12"/>
  <c r="DG233" i="12"/>
  <c r="DG229" i="12"/>
  <c r="DG223" i="12"/>
  <c r="DG209" i="12"/>
  <c r="DG221" i="12"/>
  <c r="DG224" i="12"/>
  <c r="DG251" i="12"/>
  <c r="DG232" i="12"/>
  <c r="DG227" i="12"/>
  <c r="DG244" i="12"/>
  <c r="DG26" i="12" l="1"/>
  <c r="DG28" i="12"/>
  <c r="DG7" i="12"/>
  <c r="DG17" i="12"/>
  <c r="DG14" i="12"/>
  <c r="DG36" i="12"/>
  <c r="DG65" i="12"/>
  <c r="DG25" i="12"/>
  <c r="DG60" i="12"/>
  <c r="DG56" i="12"/>
  <c r="DG16" i="12"/>
  <c r="DG40" i="12"/>
  <c r="DG66" i="12"/>
  <c r="DG37" i="12"/>
  <c r="P3" i="12" l="1"/>
  <c r="FE6" i="12" l="1"/>
  <c r="B11" i="13" s="1"/>
  <c r="CX74" i="12" l="1"/>
  <c r="CX92" i="12" s="1"/>
  <c r="CX110" i="12" s="1"/>
  <c r="CX128" i="12" s="1"/>
  <c r="CX146" i="12" s="1"/>
  <c r="CX164" i="12" s="1"/>
  <c r="CX182" i="12" l="1"/>
  <c r="CX200" i="12" s="1"/>
  <c r="CX218" i="12" s="1"/>
  <c r="CX236" i="12" s="1"/>
  <c r="CX254" i="12" s="1"/>
  <c r="CX272" i="12" s="1"/>
  <c r="CX290" i="12" s="1"/>
  <c r="CX308" i="12" s="1"/>
  <c r="CX326" i="12" s="1"/>
  <c r="CX344" i="12" s="1"/>
  <c r="CX362" i="12" s="1"/>
  <c r="CX380" i="12" s="1"/>
  <c r="CX398" i="12" s="1"/>
  <c r="CX416" i="12" s="1"/>
  <c r="CX434" i="12" s="1"/>
  <c r="CX452" i="12" s="1"/>
  <c r="CX470" i="12" s="1"/>
  <c r="CX488" i="12" s="1"/>
  <c r="CX506" i="12" s="1"/>
  <c r="CX524" i="12" s="1"/>
  <c r="CX542" i="12" s="1"/>
  <c r="CX560" i="12" s="1"/>
  <c r="CX578" i="12" s="1"/>
  <c r="CX596" i="12" s="1"/>
  <c r="CX614" i="12" s="1"/>
  <c r="CX632" i="12" s="1"/>
  <c r="CX650" i="12" s="1"/>
  <c r="CX668" i="12" s="1"/>
  <c r="CX686" i="12" s="1"/>
  <c r="CX704" i="12" s="1"/>
  <c r="CX722" i="12" s="1"/>
  <c r="CX740" i="12" s="1"/>
  <c r="CX758" i="12" s="1"/>
  <c r="CX776" i="12" s="1"/>
  <c r="CX794" i="12" s="1"/>
  <c r="CX812" i="12" s="1"/>
  <c r="CX830" i="12" s="1"/>
  <c r="CX848" i="12" s="1"/>
  <c r="CX866" i="12" s="1"/>
  <c r="CX884" i="12" s="1"/>
  <c r="CX902" i="12" s="1"/>
  <c r="CX920" i="12" s="1"/>
  <c r="CX938" i="12" s="1"/>
  <c r="CX956" i="12" s="1"/>
  <c r="CX974" i="12" s="1"/>
  <c r="CX992" i="12" s="1"/>
  <c r="CX1010" i="12" s="1"/>
  <c r="CX1028" i="12" s="1"/>
  <c r="CX1046" i="12" s="1"/>
  <c r="CX1064" i="12" s="1"/>
  <c r="CX1082" i="12" s="1"/>
  <c r="CX1100" i="12" s="1"/>
  <c r="CX1118" i="12" s="1"/>
  <c r="CX1136" i="12" s="1"/>
  <c r="CX1154" i="12" s="1"/>
  <c r="CX1172" i="12" s="1"/>
  <c r="CX1190" i="12" s="1"/>
  <c r="CX1208" i="12" s="1"/>
  <c r="CX1226" i="12" s="1"/>
  <c r="CX1244" i="12" s="1"/>
  <c r="CX1262" i="12" s="1"/>
  <c r="CX1280" i="12" s="1"/>
  <c r="CX1298" i="12" s="1"/>
  <c r="CX1316" i="12" s="1"/>
  <c r="CX1334" i="12" s="1"/>
  <c r="CX1352" i="12" s="1"/>
  <c r="CX1370" i="12" s="1"/>
  <c r="CX1388" i="12" s="1"/>
  <c r="CX1406" i="12" s="1"/>
  <c r="CX1424" i="12" s="1"/>
  <c r="CX1442" i="12" s="1"/>
  <c r="CX1460" i="12" s="1"/>
  <c r="CX1478" i="12" s="1"/>
  <c r="CX1496" i="12" s="1"/>
  <c r="CX1514" i="12" s="1"/>
  <c r="CX1532" i="12" s="1"/>
  <c r="CX1550" i="12" s="1"/>
  <c r="CX1568" i="12" s="1"/>
  <c r="CX1586" i="12" s="1"/>
  <c r="CX1604" i="12" s="1"/>
  <c r="CX1622" i="12" s="1"/>
  <c r="CX1640" i="12" s="1"/>
  <c r="CX1658" i="12" s="1"/>
  <c r="CX1676" i="12" s="1"/>
  <c r="CX1694" i="12" s="1"/>
  <c r="CX1712" i="12" s="1"/>
  <c r="CX1730" i="12" s="1"/>
  <c r="CX1748" i="12" s="1"/>
  <c r="CX1766" i="12" s="1"/>
  <c r="CX1784" i="12" s="1"/>
  <c r="CX1802" i="12" s="1"/>
  <c r="CX1820" i="12" s="1"/>
  <c r="CX1838" i="12" s="1"/>
  <c r="CX1856" i="12" s="1"/>
  <c r="CX1874" i="12" s="1"/>
  <c r="CX1892" i="12" s="1"/>
  <c r="CX1910" i="12" s="1"/>
  <c r="CX1928" i="12" s="1"/>
  <c r="CX1946" i="12" s="1"/>
  <c r="CX1964" i="12" s="1"/>
  <c r="CX1982" i="12" s="1"/>
  <c r="CX2000" i="12" s="1"/>
  <c r="CX2018" i="12" s="1"/>
  <c r="CX2036" i="12" s="1"/>
  <c r="CX2054" i="12" s="1"/>
  <c r="CX2072" i="12" s="1"/>
  <c r="CX2090" i="12" s="1"/>
  <c r="CX2108" i="12" s="1"/>
  <c r="CX2126" i="12" s="1"/>
  <c r="CX2144" i="12" s="1"/>
  <c r="CX2162" i="12" s="1"/>
  <c r="IH8" i="12" l="1"/>
  <c r="IH35" i="12" l="1"/>
  <c r="EC213" i="12" l="1"/>
  <c r="EC214" i="12" s="1"/>
  <c r="EC215" i="12" s="1"/>
  <c r="EC216" i="12" s="1"/>
  <c r="EC217" i="12" s="1"/>
  <c r="EC218" i="12" s="1"/>
  <c r="EC219" i="12" s="1"/>
  <c r="EC220" i="12" s="1"/>
  <c r="EC221" i="12" s="1"/>
  <c r="Q3" i="12" l="1"/>
  <c r="EC222" i="12"/>
  <c r="EC223" i="12" s="1"/>
  <c r="EC224" i="12" s="1"/>
  <c r="EC225" i="12" s="1"/>
  <c r="EC226" i="12" s="1"/>
  <c r="EC227" i="12" s="1"/>
  <c r="EC228" i="12" s="1"/>
  <c r="EC229" i="12" s="1"/>
  <c r="EC230" i="12" s="1"/>
  <c r="EC231" i="12" s="1"/>
  <c r="EC232" i="12" s="1"/>
  <c r="EC233" i="12" s="1"/>
  <c r="EC234" i="12" s="1"/>
  <c r="EC235" i="12" s="1"/>
  <c r="EC236" i="12" s="1"/>
  <c r="EC237" i="12" s="1"/>
  <c r="EC238" i="12" s="1"/>
  <c r="EC239" i="12" s="1"/>
  <c r="EC240" i="12" s="1"/>
  <c r="EC241" i="12" s="1"/>
  <c r="EC242" i="12" s="1"/>
  <c r="EC243" i="12" s="1"/>
  <c r="EC244" i="12" s="1"/>
  <c r="EC245" i="12" s="1"/>
  <c r="EC246" i="12" s="1"/>
  <c r="EC247" i="12" s="1"/>
  <c r="EC248" i="12" s="1"/>
  <c r="EC249" i="12" s="1"/>
  <c r="EC250" i="12" s="1"/>
  <c r="EC251" i="12" s="1"/>
  <c r="EC252" i="12" s="1"/>
  <c r="EC253" i="12" s="1"/>
  <c r="EC254" i="12" s="1"/>
  <c r="EC255" i="12" s="1"/>
  <c r="EC256" i="12" s="1"/>
  <c r="EC257" i="12" s="1"/>
  <c r="EC258" i="12" s="1"/>
  <c r="EC259" i="12" s="1"/>
  <c r="EC260" i="12" s="1"/>
  <c r="EC261" i="12" s="1"/>
  <c r="EC262" i="12" s="1"/>
  <c r="EC263" i="12" s="1"/>
  <c r="EC264" i="12" s="1"/>
  <c r="EC265" i="12" s="1"/>
  <c r="EC266" i="12" s="1"/>
  <c r="EC267" i="12" s="1"/>
  <c r="EC268" i="12" s="1"/>
  <c r="EC269" i="12" s="1"/>
  <c r="EC270" i="12" s="1"/>
  <c r="EC271" i="12" s="1"/>
  <c r="EC272" i="12" s="1"/>
  <c r="EC273" i="12" s="1"/>
  <c r="EC274" i="12" s="1"/>
  <c r="EC275" i="12" s="1"/>
  <c r="EC276" i="12" s="1"/>
  <c r="EC277" i="12" s="1"/>
  <c r="EC278" i="12" s="1"/>
  <c r="EC279" i="12" s="1"/>
  <c r="EC280" i="12" s="1"/>
  <c r="EC281" i="12" s="1"/>
  <c r="EC282" i="12" s="1"/>
  <c r="EC283" i="12" s="1"/>
  <c r="EC284" i="12" s="1"/>
  <c r="EC285" i="12" s="1"/>
  <c r="EC286" i="12" s="1"/>
  <c r="EC287" i="12" s="1"/>
  <c r="EC288" i="12" s="1"/>
  <c r="EC289" i="12" s="1"/>
  <c r="EC290" i="12" s="1"/>
  <c r="EC291" i="12" s="1"/>
  <c r="EC292" i="12" s="1"/>
  <c r="EC293" i="12" s="1"/>
  <c r="EC294" i="12" s="1"/>
  <c r="EC295" i="12" s="1"/>
  <c r="EC296" i="12" s="1"/>
  <c r="EC297" i="12" s="1"/>
  <c r="EC298" i="12" s="1"/>
  <c r="EC299" i="12" s="1"/>
  <c r="EC300" i="12" s="1"/>
  <c r="EC301" i="12" s="1"/>
  <c r="EC302" i="12" s="1"/>
  <c r="EC303" i="12" s="1"/>
  <c r="EC304" i="12" s="1"/>
  <c r="EC305" i="12" s="1"/>
  <c r="EC306" i="12" s="1"/>
  <c r="EC307" i="12" s="1"/>
  <c r="EC308" i="12" s="1"/>
  <c r="EC309" i="12" s="1"/>
  <c r="EC310" i="12" s="1"/>
  <c r="EC311" i="12" s="1"/>
  <c r="EC312" i="12" s="1"/>
  <c r="EC313" i="12" s="1"/>
  <c r="EC314" i="12" s="1"/>
  <c r="EC315" i="12" s="1"/>
  <c r="EC316" i="12" s="1"/>
  <c r="EC317" i="12" s="1"/>
  <c r="EC318" i="12" s="1"/>
  <c r="EC319" i="12" s="1"/>
  <c r="EC320" i="12" s="1"/>
  <c r="EC321" i="12" s="1"/>
  <c r="EC322" i="12" s="1"/>
  <c r="EC323" i="12" s="1"/>
  <c r="EC324" i="12" s="1"/>
  <c r="EC325" i="12" s="1"/>
  <c r="EC326" i="12" s="1"/>
  <c r="EC327" i="12" s="1"/>
  <c r="EC328" i="12" s="1"/>
  <c r="EC329" i="12" s="1"/>
  <c r="EC330" i="12" s="1"/>
  <c r="EC331" i="12" s="1"/>
  <c r="EC332" i="12" s="1"/>
  <c r="EC333" i="12" s="1"/>
  <c r="EC334" i="12" s="1"/>
  <c r="EC335" i="12" s="1"/>
  <c r="EC336" i="12" s="1"/>
  <c r="EC337" i="12" s="1"/>
  <c r="EC338" i="12" s="1"/>
  <c r="EC339" i="12" s="1"/>
  <c r="EC340" i="12" s="1"/>
  <c r="EC341" i="12" s="1"/>
  <c r="EC342" i="12" s="1"/>
  <c r="EC343" i="12" s="1"/>
  <c r="EC344" i="12" s="1"/>
  <c r="EC345" i="12" s="1"/>
  <c r="EC346" i="12" s="1"/>
  <c r="EC347" i="12" s="1"/>
  <c r="EC348" i="12" s="1"/>
  <c r="EC349" i="12" s="1"/>
  <c r="EC350" i="12" s="1"/>
  <c r="EC351" i="12" s="1"/>
  <c r="EC352" i="12" s="1"/>
  <c r="EC353" i="12" s="1"/>
  <c r="EC354" i="12" s="1"/>
  <c r="EC355" i="12" s="1"/>
  <c r="EC356" i="12" s="1"/>
  <c r="EC357" i="12" s="1"/>
  <c r="EC358" i="12" s="1"/>
  <c r="EC359" i="12" s="1"/>
  <c r="EC360" i="12" s="1"/>
  <c r="EC361" i="12" s="1"/>
  <c r="EC362" i="12" s="1"/>
  <c r="EC363" i="12" s="1"/>
  <c r="EC364" i="12" s="1"/>
  <c r="EC365" i="12" s="1"/>
  <c r="EC366" i="12" s="1"/>
  <c r="EC367" i="12" s="1"/>
  <c r="EC368" i="12" s="1"/>
  <c r="EC369" i="12" s="1"/>
  <c r="EC370" i="12" s="1"/>
  <c r="EC371" i="12" s="1"/>
  <c r="EC372" i="12" s="1"/>
  <c r="EC373" i="12" s="1"/>
  <c r="EC374" i="12" s="1"/>
  <c r="EC375" i="12" s="1"/>
  <c r="EC376" i="12" s="1"/>
  <c r="EC377" i="12" s="1"/>
  <c r="EC378" i="12" s="1"/>
  <c r="EC379" i="12" s="1"/>
  <c r="EC380" i="12" s="1"/>
  <c r="EC381" i="12" s="1"/>
  <c r="EC382" i="12" s="1"/>
  <c r="EC383" i="12" s="1"/>
  <c r="EC384" i="12" s="1"/>
  <c r="EC385" i="12" s="1"/>
  <c r="EC386" i="12" s="1"/>
  <c r="EC387" i="12" s="1"/>
  <c r="EC388" i="12" s="1"/>
  <c r="EC389" i="12" s="1"/>
  <c r="EC390" i="12" s="1"/>
  <c r="EC391" i="12" s="1"/>
  <c r="EC392" i="12" s="1"/>
  <c r="EC393" i="12" s="1"/>
  <c r="EC394" i="12" s="1"/>
  <c r="EC395" i="12" s="1"/>
  <c r="EC396" i="12" s="1"/>
  <c r="EC397" i="12" s="1"/>
  <c r="EC398" i="12" s="1"/>
  <c r="EV10" i="12" l="1"/>
  <c r="EV12" i="12" l="1"/>
  <c r="EM1" i="12" l="1"/>
  <c r="DA2163" i="12" l="1"/>
  <c r="FE5" i="12" l="1"/>
  <c r="B10" i="13" s="1"/>
  <c r="C12" i="5"/>
  <c r="C11" i="5"/>
  <c r="F159" i="1" l="1"/>
  <c r="I74" i="1"/>
  <c r="G209" i="1"/>
  <c r="E25" i="1"/>
  <c r="G40" i="1"/>
  <c r="I163" i="1"/>
  <c r="G201" i="1"/>
  <c r="I172" i="1"/>
  <c r="F109" i="1"/>
  <c r="G17" i="1"/>
  <c r="E109" i="1"/>
  <c r="E99" i="1"/>
  <c r="F58" i="1"/>
  <c r="E39" i="1"/>
  <c r="E23" i="1"/>
  <c r="I105" i="1"/>
  <c r="E164" i="1"/>
  <c r="G131" i="1"/>
  <c r="G194" i="1"/>
  <c r="E214" i="1"/>
  <c r="F161" i="1"/>
  <c r="G154" i="1"/>
  <c r="F96" i="1"/>
  <c r="F213" i="1"/>
  <c r="F158" i="1"/>
  <c r="F51" i="1"/>
  <c r="E37" i="1"/>
  <c r="I113" i="1"/>
  <c r="I89" i="1"/>
  <c r="I205" i="1"/>
  <c r="E147" i="1"/>
  <c r="G51" i="1"/>
  <c r="G173" i="1"/>
  <c r="G8" i="1"/>
  <c r="G58" i="1"/>
  <c r="E208" i="1"/>
  <c r="E106" i="1"/>
  <c r="E204" i="1"/>
  <c r="I148" i="1"/>
  <c r="E19" i="1"/>
  <c r="E47" i="1"/>
  <c r="E194" i="1"/>
  <c r="G135" i="1"/>
  <c r="E36" i="1"/>
  <c r="I23" i="1"/>
  <c r="I14" i="1"/>
  <c r="F125" i="1"/>
  <c r="G141" i="1"/>
  <c r="E165" i="1"/>
  <c r="I58" i="1"/>
  <c r="E115" i="1"/>
  <c r="G214" i="1"/>
  <c r="E172" i="1"/>
  <c r="I109" i="1"/>
  <c r="G133" i="1"/>
  <c r="F166" i="1"/>
  <c r="F20" i="1"/>
  <c r="F73" i="1"/>
  <c r="E45" i="1"/>
  <c r="G126" i="1"/>
  <c r="E154" i="1"/>
  <c r="G93" i="1"/>
  <c r="G112" i="1"/>
  <c r="I173" i="1"/>
  <c r="E40" i="1"/>
  <c r="I93" i="1"/>
  <c r="G109" i="1"/>
  <c r="I41" i="1"/>
  <c r="E211" i="1"/>
  <c r="G199" i="1"/>
  <c r="I203" i="1"/>
  <c r="G38" i="1"/>
  <c r="I101" i="1"/>
  <c r="I24" i="1"/>
  <c r="E44" i="1"/>
  <c r="E76" i="1"/>
  <c r="E175" i="1"/>
  <c r="G129" i="1"/>
  <c r="I127" i="1"/>
  <c r="I57" i="1"/>
  <c r="F145" i="1"/>
  <c r="I198" i="1"/>
  <c r="G64" i="1"/>
  <c r="E206" i="1"/>
  <c r="F76" i="1"/>
  <c r="G191" i="1"/>
  <c r="F127" i="1"/>
  <c r="I9" i="1"/>
  <c r="E91" i="1"/>
  <c r="F130" i="1"/>
  <c r="I189" i="1"/>
  <c r="I130" i="1"/>
  <c r="I151" i="1"/>
  <c r="I56" i="1"/>
  <c r="F199" i="1"/>
  <c r="E10" i="1"/>
  <c r="E20" i="1"/>
  <c r="I102" i="1"/>
  <c r="I110" i="1"/>
  <c r="E125" i="1"/>
  <c r="G118" i="1"/>
  <c r="F19" i="1"/>
  <c r="G86" i="1"/>
  <c r="E183" i="1"/>
  <c r="E212" i="1"/>
  <c r="F124" i="1"/>
  <c r="G72" i="1"/>
  <c r="I157" i="1"/>
  <c r="E120" i="1"/>
  <c r="F27" i="1"/>
  <c r="F190" i="1"/>
  <c r="E100" i="1"/>
  <c r="F85" i="1"/>
  <c r="G96" i="1"/>
  <c r="E26" i="1"/>
  <c r="G68" i="1"/>
  <c r="E59" i="1"/>
  <c r="E70" i="1"/>
  <c r="G15" i="1"/>
  <c r="F182" i="1"/>
  <c r="I94" i="1"/>
  <c r="E87" i="1"/>
  <c r="F203" i="1"/>
  <c r="I200" i="1"/>
  <c r="G197" i="1"/>
  <c r="G98" i="1"/>
  <c r="G121" i="1"/>
  <c r="G108" i="1"/>
  <c r="F98" i="1"/>
  <c r="I177" i="1"/>
  <c r="F119" i="1"/>
  <c r="I29" i="1"/>
  <c r="E126" i="1"/>
  <c r="F43" i="1"/>
  <c r="F80" i="1"/>
  <c r="I149" i="1"/>
  <c r="F41" i="1"/>
  <c r="I112" i="1"/>
  <c r="E11" i="1"/>
  <c r="F7" i="1"/>
  <c r="G49" i="1"/>
  <c r="I135" i="1"/>
  <c r="F111" i="1"/>
  <c r="I12" i="1"/>
  <c r="G176" i="1"/>
  <c r="E46" i="1"/>
  <c r="E29" i="1"/>
  <c r="I97" i="1"/>
  <c r="I147" i="1"/>
  <c r="E28" i="1"/>
  <c r="F62" i="1"/>
  <c r="E92" i="1"/>
  <c r="G187" i="1"/>
  <c r="I206" i="1"/>
  <c r="I169" i="1"/>
  <c r="G186" i="1"/>
  <c r="G144" i="1"/>
  <c r="E168" i="1"/>
  <c r="F209" i="1"/>
  <c r="E202" i="1"/>
  <c r="E58" i="1"/>
  <c r="I55" i="1"/>
  <c r="I49" i="1"/>
  <c r="G140" i="1"/>
  <c r="E86" i="1"/>
  <c r="G33" i="1"/>
  <c r="E7" i="1"/>
  <c r="H194" i="1"/>
  <c r="G55" i="1"/>
  <c r="F184" i="1"/>
  <c r="F143" i="1"/>
  <c r="F123" i="1"/>
  <c r="I159" i="1"/>
  <c r="F72" i="1"/>
  <c r="F103" i="1"/>
  <c r="F126" i="1"/>
  <c r="G13" i="1"/>
  <c r="I136" i="1"/>
  <c r="I134" i="1"/>
  <c r="F95" i="1"/>
  <c r="F24" i="1"/>
  <c r="E77" i="1"/>
  <c r="E159" i="1"/>
  <c r="F90" i="1"/>
  <c r="E178" i="1"/>
  <c r="I133" i="1"/>
  <c r="I83" i="1"/>
  <c r="E195" i="1"/>
  <c r="G169" i="1"/>
  <c r="F36" i="1"/>
  <c r="I129" i="1"/>
  <c r="E152" i="1"/>
  <c r="F54" i="1"/>
  <c r="G30" i="1"/>
  <c r="I10" i="1"/>
  <c r="I33" i="1"/>
  <c r="F135" i="1"/>
  <c r="F141" i="1"/>
  <c r="G143" i="1"/>
  <c r="I104" i="1"/>
  <c r="I176" i="1"/>
  <c r="F64" i="1"/>
  <c r="G31" i="1"/>
  <c r="E69" i="1"/>
  <c r="I31" i="1"/>
  <c r="G37" i="1"/>
  <c r="G137" i="1"/>
  <c r="F14" i="1"/>
  <c r="I194" i="1"/>
  <c r="I204" i="1"/>
  <c r="G87" i="1"/>
  <c r="E75" i="1"/>
  <c r="G185" i="1"/>
  <c r="G164" i="1"/>
  <c r="E24" i="1"/>
  <c r="F107" i="1"/>
  <c r="E62" i="1"/>
  <c r="I19" i="1"/>
  <c r="E90" i="1"/>
  <c r="F205" i="1"/>
  <c r="I88" i="1"/>
  <c r="H106" i="1"/>
  <c r="I139" i="1"/>
  <c r="G195" i="1"/>
  <c r="E54" i="1"/>
  <c r="E186" i="1"/>
  <c r="E43" i="1"/>
  <c r="E129" i="1"/>
  <c r="I128" i="1"/>
  <c r="E108" i="1"/>
  <c r="E209" i="1"/>
  <c r="F34" i="1"/>
  <c r="G61" i="1"/>
  <c r="I65" i="1"/>
  <c r="E181" i="1"/>
  <c r="F172" i="1"/>
  <c r="G25" i="1"/>
  <c r="I197" i="1"/>
  <c r="F210" i="1"/>
  <c r="E169" i="1"/>
  <c r="G165" i="1"/>
  <c r="G159" i="1"/>
  <c r="E79" i="1"/>
  <c r="E124" i="1"/>
  <c r="G76" i="1"/>
  <c r="E161" i="1"/>
  <c r="I187" i="1"/>
  <c r="G210" i="1"/>
  <c r="G168" i="1"/>
  <c r="I80" i="1"/>
  <c r="F170" i="1"/>
  <c r="E112" i="1"/>
  <c r="E9" i="1"/>
  <c r="I141" i="1"/>
  <c r="I90" i="1"/>
  <c r="I32" i="1"/>
  <c r="F113" i="1"/>
  <c r="F88" i="1"/>
  <c r="I125" i="1"/>
  <c r="I199" i="1"/>
  <c r="I188" i="1"/>
  <c r="I92" i="1"/>
  <c r="I186" i="1"/>
  <c r="F68" i="1"/>
  <c r="I95" i="1"/>
  <c r="E38" i="1"/>
  <c r="I48" i="1"/>
  <c r="G65" i="1"/>
  <c r="E134" i="1"/>
  <c r="G160" i="1"/>
  <c r="G113" i="1"/>
  <c r="F211" i="1"/>
  <c r="E157" i="1"/>
  <c r="G7" i="1"/>
  <c r="G167" i="1"/>
  <c r="G196" i="1"/>
  <c r="E176" i="1"/>
  <c r="F206" i="1"/>
  <c r="G204" i="1"/>
  <c r="G36" i="1"/>
  <c r="G136" i="1"/>
  <c r="G180" i="1"/>
  <c r="I39" i="1"/>
  <c r="F94" i="1"/>
  <c r="G181" i="1"/>
  <c r="I34" i="1"/>
  <c r="G84" i="1"/>
  <c r="G99" i="1"/>
  <c r="F179" i="1"/>
  <c r="G28" i="1"/>
  <c r="E153" i="1"/>
  <c r="I143" i="1"/>
  <c r="E167" i="1"/>
  <c r="F59" i="1"/>
  <c r="F175" i="1"/>
  <c r="F129" i="1"/>
  <c r="E132" i="1"/>
  <c r="I35" i="1"/>
  <c r="E189" i="1"/>
  <c r="E149" i="1"/>
  <c r="I82" i="1"/>
  <c r="G177" i="1"/>
  <c r="F212" i="1"/>
  <c r="F173" i="1"/>
  <c r="F48" i="1"/>
  <c r="G115" i="1"/>
  <c r="E144" i="1"/>
  <c r="G50" i="1"/>
  <c r="E160" i="1"/>
  <c r="I13" i="1"/>
  <c r="E52" i="1"/>
  <c r="G91" i="1"/>
  <c r="H144" i="1"/>
  <c r="E173" i="1"/>
  <c r="F13" i="1"/>
  <c r="G92" i="1"/>
  <c r="E128" i="1"/>
  <c r="E139" i="1"/>
  <c r="I185" i="1"/>
  <c r="I108" i="1"/>
  <c r="I165" i="1"/>
  <c r="F169" i="1"/>
  <c r="I138" i="1"/>
  <c r="I75" i="1"/>
  <c r="F168" i="1"/>
  <c r="E150" i="1"/>
  <c r="G146" i="1"/>
  <c r="F10" i="1"/>
  <c r="E199" i="1"/>
  <c r="E107" i="1"/>
  <c r="G166" i="1"/>
  <c r="I180" i="1"/>
  <c r="I119" i="1"/>
  <c r="G205" i="1"/>
  <c r="G26" i="1"/>
  <c r="I98" i="1"/>
  <c r="I30" i="1"/>
  <c r="G74" i="1"/>
  <c r="G200" i="1"/>
  <c r="F132" i="1"/>
  <c r="F134" i="1"/>
  <c r="G149" i="1"/>
  <c r="F23" i="1"/>
  <c r="E67" i="1"/>
  <c r="F192" i="1"/>
  <c r="F70" i="1"/>
  <c r="F160" i="1"/>
  <c r="H45" i="1"/>
  <c r="F104" i="1"/>
  <c r="H189" i="1"/>
  <c r="F147" i="1"/>
  <c r="E140" i="1"/>
  <c r="G192" i="1"/>
  <c r="E48" i="1"/>
  <c r="I167" i="1"/>
  <c r="E31" i="1"/>
  <c r="G22" i="1"/>
  <c r="G77" i="1"/>
  <c r="F207" i="1"/>
  <c r="E8" i="1"/>
  <c r="F25" i="1"/>
  <c r="G89" i="1"/>
  <c r="G82" i="1"/>
  <c r="F33" i="1"/>
  <c r="H107" i="1"/>
  <c r="G35" i="1"/>
  <c r="I154" i="1"/>
  <c r="H69" i="1"/>
  <c r="E101" i="1"/>
  <c r="E74" i="1"/>
  <c r="F183" i="1"/>
  <c r="I86" i="1"/>
  <c r="F31" i="1"/>
  <c r="F138" i="1"/>
  <c r="F47" i="1"/>
  <c r="F164" i="1"/>
  <c r="I124" i="1"/>
  <c r="G81" i="1"/>
  <c r="I182" i="1"/>
  <c r="G171" i="1"/>
  <c r="F153" i="1"/>
  <c r="F195" i="1"/>
  <c r="G122" i="1"/>
  <c r="I201" i="1"/>
  <c r="G206" i="1"/>
  <c r="E192" i="1"/>
  <c r="G110" i="1"/>
  <c r="E185" i="1"/>
  <c r="F188" i="1"/>
  <c r="I144" i="1"/>
  <c r="E65" i="1"/>
  <c r="G152" i="1"/>
  <c r="E205" i="1"/>
  <c r="E162" i="1"/>
  <c r="I170" i="1"/>
  <c r="E200" i="1"/>
  <c r="E203" i="1"/>
  <c r="G80" i="1"/>
  <c r="I61" i="1"/>
  <c r="I150" i="1"/>
  <c r="G179" i="1"/>
  <c r="F114" i="1"/>
  <c r="E201" i="1"/>
  <c r="G116" i="1"/>
  <c r="E145" i="1"/>
  <c r="G24" i="1"/>
  <c r="I22" i="1"/>
  <c r="I62" i="1"/>
  <c r="G78" i="1"/>
  <c r="F102" i="1"/>
  <c r="I26" i="1"/>
  <c r="H99" i="1"/>
  <c r="I79" i="1"/>
  <c r="G211" i="1"/>
  <c r="E56" i="1"/>
  <c r="I21" i="1"/>
  <c r="G45" i="1"/>
  <c r="E72" i="1"/>
  <c r="F154" i="1"/>
  <c r="E16" i="1"/>
  <c r="E81" i="1"/>
  <c r="E82" i="1"/>
  <c r="E89" i="1"/>
  <c r="I37" i="1"/>
  <c r="F82" i="1"/>
  <c r="I85" i="1"/>
  <c r="G170" i="1"/>
  <c r="G97" i="1"/>
  <c r="F180" i="1"/>
  <c r="I78" i="1"/>
  <c r="I171" i="1"/>
  <c r="H40" i="1"/>
  <c r="G190" i="1"/>
  <c r="I116" i="1"/>
  <c r="E94" i="1"/>
  <c r="E22" i="1"/>
  <c r="E71" i="1"/>
  <c r="I40" i="1"/>
  <c r="E27" i="1"/>
  <c r="F50" i="1"/>
  <c r="F46" i="1"/>
  <c r="H90" i="1"/>
  <c r="E51" i="1"/>
  <c r="E34" i="1"/>
  <c r="E133" i="1"/>
  <c r="I192" i="1"/>
  <c r="F128" i="1"/>
  <c r="F106" i="1"/>
  <c r="I202" i="1"/>
  <c r="I69" i="1"/>
  <c r="F146" i="1"/>
  <c r="I54" i="1"/>
  <c r="G70" i="1"/>
  <c r="H9" i="1"/>
  <c r="E96" i="1"/>
  <c r="F74" i="1"/>
  <c r="I20" i="1"/>
  <c r="E35" i="1"/>
  <c r="F45" i="1"/>
  <c r="F28" i="1"/>
  <c r="H67" i="1"/>
  <c r="G41" i="1"/>
  <c r="F100" i="1"/>
  <c r="G62" i="1"/>
  <c r="I66" i="1"/>
  <c r="E98" i="1"/>
  <c r="F32" i="1"/>
  <c r="I27" i="1"/>
  <c r="G75" i="1"/>
  <c r="F61" i="1"/>
  <c r="I158" i="1"/>
  <c r="G88" i="1"/>
  <c r="I184" i="1"/>
  <c r="G212" i="1"/>
  <c r="F162" i="1"/>
  <c r="G202" i="1"/>
  <c r="G95" i="1"/>
  <c r="G101" i="1"/>
  <c r="E193" i="1"/>
  <c r="I117" i="1"/>
  <c r="G117" i="1"/>
  <c r="F81" i="1"/>
  <c r="G127" i="1"/>
  <c r="F65" i="1"/>
  <c r="F191" i="1"/>
  <c r="I168" i="1"/>
  <c r="F67" i="1"/>
  <c r="G42" i="1"/>
  <c r="E127" i="1"/>
  <c r="I178" i="1"/>
  <c r="F84" i="1"/>
  <c r="E182" i="1"/>
  <c r="G188" i="1"/>
  <c r="G208" i="1"/>
  <c r="I60" i="1"/>
  <c r="E17" i="1"/>
  <c r="I118" i="1"/>
  <c r="G12" i="1"/>
  <c r="E78" i="1"/>
  <c r="I114" i="1"/>
  <c r="E93" i="1"/>
  <c r="F150" i="1"/>
  <c r="F92" i="1"/>
  <c r="F30" i="1"/>
  <c r="G23" i="1"/>
  <c r="F9" i="1"/>
  <c r="G125" i="1"/>
  <c r="E97" i="1"/>
  <c r="F35" i="1"/>
  <c r="E136" i="1"/>
  <c r="F69" i="1"/>
  <c r="E60" i="1"/>
  <c r="I137" i="1"/>
  <c r="I191" i="1"/>
  <c r="F140" i="1"/>
  <c r="I142" i="1"/>
  <c r="E151" i="1"/>
  <c r="F155" i="1"/>
  <c r="I38" i="1"/>
  <c r="I17" i="1"/>
  <c r="E61" i="1"/>
  <c r="I190" i="1"/>
  <c r="F181" i="1"/>
  <c r="G198" i="1"/>
  <c r="F53" i="1"/>
  <c r="G63" i="1"/>
  <c r="F86" i="1"/>
  <c r="I164" i="1"/>
  <c r="E130" i="1"/>
  <c r="E131" i="1"/>
  <c r="E110" i="1"/>
  <c r="I28" i="1"/>
  <c r="I175" i="1"/>
  <c r="G120" i="1"/>
  <c r="E137" i="1"/>
  <c r="G59" i="1"/>
  <c r="I63" i="1"/>
  <c r="I76" i="1"/>
  <c r="G107" i="1"/>
  <c r="H115" i="1"/>
  <c r="G183" i="1"/>
  <c r="E207" i="1"/>
  <c r="I120" i="1"/>
  <c r="F152" i="1"/>
  <c r="E116" i="1"/>
  <c r="F148" i="1"/>
  <c r="F200" i="1"/>
  <c r="I47" i="1"/>
  <c r="E177" i="1"/>
  <c r="F151" i="1"/>
  <c r="I100" i="1"/>
  <c r="F194" i="1"/>
  <c r="H72" i="1"/>
  <c r="F49" i="1"/>
  <c r="G175" i="1"/>
  <c r="I179" i="1"/>
  <c r="E13" i="1"/>
  <c r="E171" i="1"/>
  <c r="F178" i="1"/>
  <c r="I145" i="1"/>
  <c r="F75" i="1"/>
  <c r="F105" i="1"/>
  <c r="I106" i="1"/>
  <c r="F29" i="1"/>
  <c r="F157" i="1"/>
  <c r="F133" i="1"/>
  <c r="E68" i="1"/>
  <c r="E49" i="1"/>
  <c r="G161" i="1"/>
  <c r="G123" i="1"/>
  <c r="F39" i="1"/>
  <c r="F108" i="1"/>
  <c r="E143" i="1"/>
  <c r="G83" i="1"/>
  <c r="I53" i="1"/>
  <c r="I50" i="1"/>
  <c r="G162" i="1"/>
  <c r="I51" i="1"/>
  <c r="G67" i="1"/>
  <c r="I16" i="1"/>
  <c r="E53" i="1"/>
  <c r="I156" i="1"/>
  <c r="I115" i="1"/>
  <c r="G71" i="1"/>
  <c r="G46" i="1"/>
  <c r="G44" i="1"/>
  <c r="E63" i="1"/>
  <c r="G207" i="1"/>
  <c r="G151" i="1"/>
  <c r="G34" i="1"/>
  <c r="G53" i="1"/>
  <c r="G69" i="1"/>
  <c r="G94" i="1"/>
  <c r="E102" i="1"/>
  <c r="E191" i="1"/>
  <c r="I174" i="1"/>
  <c r="E33" i="1"/>
  <c r="I77" i="1"/>
  <c r="F204" i="1"/>
  <c r="F38" i="1"/>
  <c r="E141" i="1"/>
  <c r="I166" i="1"/>
  <c r="E174" i="1"/>
  <c r="H108" i="1"/>
  <c r="I87" i="1"/>
  <c r="E32" i="1"/>
  <c r="I152" i="1"/>
  <c r="F21" i="1"/>
  <c r="E197" i="1"/>
  <c r="I195" i="1"/>
  <c r="H182" i="1"/>
  <c r="E119" i="1"/>
  <c r="F156" i="1"/>
  <c r="F187" i="1"/>
  <c r="E73" i="1"/>
  <c r="I153" i="1"/>
  <c r="G43" i="1"/>
  <c r="F149" i="1"/>
  <c r="H208" i="1"/>
  <c r="E66" i="1"/>
  <c r="F118" i="1"/>
  <c r="G142" i="1"/>
  <c r="I123" i="1"/>
  <c r="F56" i="1"/>
  <c r="G172" i="1"/>
  <c r="G27" i="1"/>
  <c r="E103" i="1"/>
  <c r="F171" i="1"/>
  <c r="H175" i="1"/>
  <c r="I162" i="1"/>
  <c r="G106" i="1"/>
  <c r="F18" i="1"/>
  <c r="F163" i="1"/>
  <c r="I45" i="1"/>
  <c r="G153" i="1"/>
  <c r="F139" i="1"/>
  <c r="E57" i="1"/>
  <c r="G124" i="1"/>
  <c r="F16" i="1"/>
  <c r="G174" i="1"/>
  <c r="F8" i="1"/>
  <c r="G100" i="1"/>
  <c r="F15" i="1"/>
  <c r="E104" i="1"/>
  <c r="I72" i="1"/>
  <c r="E146" i="1"/>
  <c r="E88" i="1"/>
  <c r="I67" i="1"/>
  <c r="H35" i="1"/>
  <c r="G163" i="1"/>
  <c r="I43" i="1"/>
  <c r="F177" i="1"/>
  <c r="I122" i="1"/>
  <c r="E180" i="1"/>
  <c r="G128" i="1"/>
  <c r="H78" i="1"/>
  <c r="E95" i="1"/>
  <c r="G156" i="1"/>
  <c r="E156" i="1"/>
  <c r="E83" i="1"/>
  <c r="F78" i="1"/>
  <c r="G54" i="1"/>
  <c r="F186" i="1"/>
  <c r="E113" i="1"/>
  <c r="F121" i="1"/>
  <c r="G102" i="1"/>
  <c r="F131" i="1"/>
  <c r="E15" i="1"/>
  <c r="F110" i="1"/>
  <c r="G114" i="1"/>
  <c r="E41" i="1"/>
  <c r="I73" i="1"/>
  <c r="I121" i="1"/>
  <c r="H48" i="1"/>
  <c r="E163" i="1"/>
  <c r="F167" i="1"/>
  <c r="F137" i="1"/>
  <c r="I8" i="1"/>
  <c r="F17" i="1"/>
  <c r="I126" i="1"/>
  <c r="G14" i="1"/>
  <c r="E155" i="1"/>
  <c r="H161" i="1"/>
  <c r="F40" i="1"/>
  <c r="E121" i="1"/>
  <c r="G19" i="1"/>
  <c r="I44" i="1"/>
  <c r="G52" i="1"/>
  <c r="F208" i="1"/>
  <c r="E138" i="1"/>
  <c r="F99" i="1"/>
  <c r="G178" i="1"/>
  <c r="I140" i="1"/>
  <c r="E188" i="1"/>
  <c r="E148" i="1"/>
  <c r="I111" i="1"/>
  <c r="F122" i="1"/>
  <c r="G184" i="1"/>
  <c r="G104" i="1"/>
  <c r="G10" i="1"/>
  <c r="F83" i="1"/>
  <c r="F197" i="1"/>
  <c r="E55" i="1"/>
  <c r="E135" i="1"/>
  <c r="F176" i="1"/>
  <c r="G203" i="1"/>
  <c r="G56" i="1"/>
  <c r="G18" i="1"/>
  <c r="F214" i="1"/>
  <c r="H100" i="1"/>
  <c r="G20" i="1"/>
  <c r="E170" i="1"/>
  <c r="H206" i="1"/>
  <c r="E50" i="1"/>
  <c r="I15" i="1"/>
  <c r="I132" i="1"/>
  <c r="G103" i="1"/>
  <c r="F115" i="1"/>
  <c r="E64" i="1"/>
  <c r="F89" i="1"/>
  <c r="E118" i="1"/>
  <c r="I103" i="1"/>
  <c r="G213" i="1"/>
  <c r="I64" i="1"/>
  <c r="G132" i="1"/>
  <c r="G29" i="1"/>
  <c r="G111" i="1"/>
  <c r="F63" i="1"/>
  <c r="F165" i="1"/>
  <c r="E184" i="1"/>
  <c r="F117" i="1"/>
  <c r="G138" i="1"/>
  <c r="F193" i="1"/>
  <c r="F26" i="1"/>
  <c r="I52" i="1"/>
  <c r="F202" i="1"/>
  <c r="G73" i="1"/>
  <c r="I42" i="1"/>
  <c r="G182" i="1"/>
  <c r="G60" i="1"/>
  <c r="E158" i="1"/>
  <c r="F93" i="1"/>
  <c r="I193" i="1"/>
  <c r="I81" i="1"/>
  <c r="F144" i="1"/>
  <c r="E18" i="1"/>
  <c r="I18" i="1"/>
  <c r="I68" i="1"/>
  <c r="F136" i="1"/>
  <c r="F198" i="1"/>
  <c r="I70" i="1"/>
  <c r="H125" i="1"/>
  <c r="H58" i="1"/>
  <c r="G11" i="1"/>
  <c r="E30" i="1"/>
  <c r="G130" i="1"/>
  <c r="F120" i="1"/>
  <c r="G16" i="1"/>
  <c r="I46" i="1"/>
  <c r="F52" i="1"/>
  <c r="I71" i="1"/>
  <c r="F185" i="1"/>
  <c r="F44" i="1"/>
  <c r="G21" i="1"/>
  <c r="F42" i="1"/>
  <c r="H172" i="1"/>
  <c r="E198" i="1"/>
  <c r="E85" i="1"/>
  <c r="G47" i="1"/>
  <c r="F60" i="1"/>
  <c r="G105" i="1"/>
  <c r="G85" i="1"/>
  <c r="E210" i="1"/>
  <c r="F77" i="1"/>
  <c r="F22" i="1"/>
  <c r="G79" i="1"/>
  <c r="G157" i="1"/>
  <c r="G145" i="1"/>
  <c r="I7" i="1"/>
  <c r="G139" i="1"/>
  <c r="G155" i="1"/>
  <c r="F37" i="1"/>
  <c r="I84" i="1"/>
  <c r="E190" i="1"/>
  <c r="I96" i="1"/>
  <c r="F97" i="1"/>
  <c r="E196" i="1"/>
  <c r="G66" i="1"/>
  <c r="G32" i="1"/>
  <c r="H29" i="1"/>
  <c r="G90" i="1"/>
  <c r="F101" i="1"/>
  <c r="E123" i="1"/>
  <c r="E84" i="1"/>
  <c r="I36" i="1"/>
  <c r="F71" i="1"/>
  <c r="E117" i="1"/>
  <c r="G148" i="1"/>
  <c r="G134" i="1"/>
  <c r="G48" i="1"/>
  <c r="I25" i="1"/>
  <c r="F189" i="1"/>
  <c r="F174" i="1"/>
  <c r="G150" i="1"/>
  <c r="H71" i="1"/>
  <c r="H94" i="1"/>
  <c r="F12" i="1"/>
  <c r="F55" i="1"/>
  <c r="G147" i="1"/>
  <c r="F142" i="1"/>
  <c r="I181" i="1"/>
  <c r="F87" i="1"/>
  <c r="G158" i="1"/>
  <c r="H209" i="1"/>
  <c r="E14" i="1"/>
  <c r="I161" i="1"/>
  <c r="I155" i="1"/>
  <c r="E111" i="1"/>
  <c r="F57" i="1"/>
  <c r="I196" i="1"/>
  <c r="F196" i="1"/>
  <c r="E80" i="1"/>
  <c r="E122" i="1"/>
  <c r="F91" i="1"/>
  <c r="G189" i="1"/>
  <c r="I183" i="1"/>
  <c r="I160" i="1"/>
  <c r="I59" i="1"/>
  <c r="E114" i="1"/>
  <c r="E42" i="1"/>
  <c r="I107" i="1"/>
  <c r="F116" i="1"/>
  <c r="H159" i="1"/>
  <c r="I91" i="1"/>
  <c r="I146" i="1"/>
  <c r="G193" i="1"/>
  <c r="E166" i="1"/>
  <c r="E179" i="1"/>
  <c r="F11" i="1"/>
  <c r="I131" i="1"/>
  <c r="E12" i="1"/>
  <c r="E105" i="1"/>
  <c r="F112" i="1"/>
  <c r="H23" i="1"/>
  <c r="I11" i="1"/>
  <c r="E142" i="1"/>
  <c r="F66" i="1"/>
  <c r="H7" i="1"/>
  <c r="G119" i="1"/>
  <c r="I99" i="1"/>
  <c r="G39" i="1"/>
  <c r="E21" i="1"/>
  <c r="G57" i="1"/>
  <c r="F201" i="1"/>
  <c r="F79" i="1"/>
  <c r="E187" i="1"/>
  <c r="H185" i="1" l="1"/>
  <c r="H212" i="1"/>
  <c r="H203" i="1"/>
  <c r="H201" i="1"/>
  <c r="H169" i="1"/>
  <c r="H202" i="1"/>
  <c r="H160" i="1"/>
  <c r="H62" i="1"/>
  <c r="H19" i="1"/>
  <c r="H76" i="1"/>
  <c r="H46" i="1"/>
  <c r="H25" i="1"/>
  <c r="H183" i="1"/>
  <c r="H195" i="1"/>
  <c r="H199" i="1"/>
  <c r="H53" i="1"/>
  <c r="H210" i="1"/>
  <c r="H197" i="1"/>
  <c r="H187" i="1"/>
  <c r="H82" i="1"/>
  <c r="H136" i="1"/>
  <c r="H213" i="1"/>
  <c r="H211" i="1"/>
  <c r="H186" i="1"/>
  <c r="H214" i="1"/>
  <c r="H204" i="1"/>
  <c r="H193" i="1"/>
  <c r="H56" i="1"/>
  <c r="H200" i="1"/>
  <c r="H192" i="1"/>
  <c r="H12" i="1"/>
  <c r="H97" i="1"/>
  <c r="H207" i="1"/>
  <c r="H184" i="1"/>
  <c r="H180" i="1"/>
  <c r="H141" i="1"/>
  <c r="H162" i="1"/>
  <c r="H174" i="1"/>
  <c r="H205" i="1"/>
  <c r="H190" i="1"/>
  <c r="H198" i="1"/>
  <c r="H196" i="1"/>
  <c r="H27" i="1"/>
  <c r="H146" i="1"/>
  <c r="H191" i="1"/>
  <c r="H117" i="1"/>
  <c r="H156" i="1"/>
  <c r="H103" i="1"/>
  <c r="H64" i="1"/>
  <c r="H188" i="1"/>
  <c r="H170" i="1"/>
  <c r="H93" i="1"/>
  <c r="H165" i="1"/>
  <c r="H20" i="1"/>
  <c r="H39" i="1"/>
  <c r="H54" i="1"/>
  <c r="H8" i="1"/>
  <c r="H96" i="1"/>
  <c r="H38" i="1"/>
  <c r="H89" i="1"/>
  <c r="H173" i="1"/>
  <c r="H134" i="1"/>
  <c r="H112" i="1"/>
  <c r="H52" i="1"/>
  <c r="H124" i="1"/>
  <c r="H37" i="1"/>
  <c r="H181" i="1"/>
  <c r="H11" i="1"/>
  <c r="H26" i="1"/>
  <c r="H86" i="1"/>
  <c r="H73" i="1"/>
  <c r="H110" i="1"/>
  <c r="H91" i="1"/>
  <c r="H51" i="1"/>
  <c r="H49" i="1"/>
  <c r="H101" i="1"/>
  <c r="H43" i="1"/>
  <c r="H147" i="1"/>
  <c r="H59" i="1"/>
  <c r="H36" i="1"/>
  <c r="H151" i="1"/>
  <c r="H130" i="1"/>
  <c r="H120" i="1"/>
  <c r="H126" i="1"/>
  <c r="H178" i="1"/>
  <c r="H31" i="1"/>
  <c r="H47" i="1"/>
  <c r="H92" i="1"/>
  <c r="H77" i="1"/>
  <c r="H60" i="1"/>
  <c r="H149" i="1"/>
  <c r="H131" i="1"/>
  <c r="H139" i="1"/>
  <c r="H79" i="1"/>
  <c r="H44" i="1"/>
  <c r="H70" i="1"/>
  <c r="H109" i="1"/>
  <c r="H75" i="1"/>
  <c r="H32" i="1"/>
  <c r="H154" i="1"/>
  <c r="H16" i="1"/>
  <c r="H164" i="1"/>
  <c r="H168" i="1"/>
  <c r="D141" i="1"/>
  <c r="W137" i="12"/>
  <c r="X137" i="12" s="1"/>
  <c r="AK137" i="12"/>
  <c r="D197" i="1"/>
  <c r="W193" i="12"/>
  <c r="X193" i="12" s="1"/>
  <c r="AK193" i="12"/>
  <c r="D25" i="1"/>
  <c r="W21" i="12"/>
  <c r="X21" i="12" s="1"/>
  <c r="AK21" i="12"/>
  <c r="AK134" i="12"/>
  <c r="W134" i="12"/>
  <c r="X134" i="12" s="1"/>
  <c r="D138" i="1"/>
  <c r="D182" i="1"/>
  <c r="AK178" i="12"/>
  <c r="W178" i="12"/>
  <c r="X178" i="12" s="1"/>
  <c r="AK138" i="12"/>
  <c r="AL138" i="12" s="1"/>
  <c r="W138" i="12"/>
  <c r="X138" i="12" s="1"/>
  <c r="D142" i="1"/>
  <c r="AK9" i="12"/>
  <c r="AL9" i="12" s="1"/>
  <c r="W9" i="12"/>
  <c r="X9" i="12" s="1"/>
  <c r="D13" i="1"/>
  <c r="D9" i="1"/>
  <c r="AK5" i="12"/>
  <c r="AL5" i="12" s="1"/>
  <c r="W5" i="12"/>
  <c r="W160" i="12"/>
  <c r="X160" i="12" s="1"/>
  <c r="D164" i="1"/>
  <c r="AK160" i="12"/>
  <c r="D171" i="1"/>
  <c r="W167" i="12"/>
  <c r="X167" i="12" s="1"/>
  <c r="AK167" i="12"/>
  <c r="D109" i="1"/>
  <c r="AK105" i="12"/>
  <c r="W105" i="12"/>
  <c r="X105" i="12" s="1"/>
  <c r="AK95" i="12"/>
  <c r="AL95" i="12" s="1"/>
  <c r="D99" i="1"/>
  <c r="W95" i="12"/>
  <c r="X95" i="12" s="1"/>
  <c r="D108" i="1"/>
  <c r="AK104" i="12"/>
  <c r="W104" i="12"/>
  <c r="X104" i="12" s="1"/>
  <c r="D163" i="1"/>
  <c r="AK159" i="12"/>
  <c r="W159" i="12"/>
  <c r="X159" i="12" s="1"/>
  <c r="D200" i="1"/>
  <c r="AK196" i="12"/>
  <c r="W196" i="12"/>
  <c r="X196" i="12" s="1"/>
  <c r="W207" i="12"/>
  <c r="X207" i="12" s="1"/>
  <c r="AK207" i="12"/>
  <c r="AL207" i="12" s="1"/>
  <c r="D211" i="1"/>
  <c r="D160" i="1"/>
  <c r="AK156" i="12"/>
  <c r="AL156" i="12" s="1"/>
  <c r="W156" i="12"/>
  <c r="X156" i="12" s="1"/>
  <c r="W155" i="12"/>
  <c r="X155" i="12" s="1"/>
  <c r="AK155" i="12"/>
  <c r="D159" i="1"/>
  <c r="AK217" i="12"/>
  <c r="AK93" i="12"/>
  <c r="D97" i="1"/>
  <c r="W93" i="12"/>
  <c r="X93" i="12" s="1"/>
  <c r="W106" i="12"/>
  <c r="X106" i="12" s="1"/>
  <c r="D110" i="1"/>
  <c r="AK106" i="12"/>
  <c r="AL106" i="12" s="1"/>
  <c r="AK180" i="12"/>
  <c r="W180" i="12"/>
  <c r="X180" i="12" s="1"/>
  <c r="D184" i="1"/>
  <c r="W123" i="12"/>
  <c r="X123" i="12" s="1"/>
  <c r="D127" i="1"/>
  <c r="AK123" i="12"/>
  <c r="AL123" i="12" s="1"/>
  <c r="AK142" i="12"/>
  <c r="W142" i="12"/>
  <c r="X142" i="12" s="1"/>
  <c r="D146" i="1"/>
  <c r="AK10" i="12"/>
  <c r="AL10" i="12" s="1"/>
  <c r="D14" i="1"/>
  <c r="W10" i="12"/>
  <c r="X10" i="12" s="1"/>
  <c r="W90" i="12"/>
  <c r="X90" i="12" s="1"/>
  <c r="D94" i="1"/>
  <c r="AK90" i="12"/>
  <c r="D106" i="1"/>
  <c r="AK102" i="12"/>
  <c r="AL102" i="12" s="1"/>
  <c r="W102" i="12"/>
  <c r="X102" i="12" s="1"/>
  <c r="D20" i="1"/>
  <c r="AK16" i="12"/>
  <c r="AL16" i="12" s="1"/>
  <c r="W16" i="12"/>
  <c r="X16" i="12" s="1"/>
  <c r="D65" i="1"/>
  <c r="W61" i="12"/>
  <c r="X61" i="12" s="1"/>
  <c r="AK61" i="12"/>
  <c r="AK135" i="12"/>
  <c r="W135" i="12"/>
  <c r="X135" i="12" s="1"/>
  <c r="D139" i="1"/>
  <c r="AK148" i="12"/>
  <c r="AL148" i="12" s="1"/>
  <c r="W148" i="12"/>
  <c r="X148" i="12" s="1"/>
  <c r="D152" i="1"/>
  <c r="AK213" i="12"/>
  <c r="AL213" i="12" s="1"/>
  <c r="W213" i="12"/>
  <c r="X213" i="12" s="1"/>
  <c r="AK66" i="12"/>
  <c r="D70" i="1"/>
  <c r="W66" i="12"/>
  <c r="X66" i="12" s="1"/>
  <c r="AK41" i="12"/>
  <c r="AL41" i="12" s="1"/>
  <c r="D45" i="1"/>
  <c r="W41" i="12"/>
  <c r="X41" i="12" s="1"/>
  <c r="AK74" i="12"/>
  <c r="D78" i="1"/>
  <c r="W74" i="12"/>
  <c r="X74" i="12" s="1"/>
  <c r="D124" i="1"/>
  <c r="W120" i="12"/>
  <c r="X120" i="12" s="1"/>
  <c r="AK120" i="12"/>
  <c r="AL120" i="12" s="1"/>
  <c r="AK100" i="12"/>
  <c r="AL100" i="12" s="1"/>
  <c r="W100" i="12"/>
  <c r="X100" i="12" s="1"/>
  <c r="D104" i="1"/>
  <c r="D103" i="1"/>
  <c r="W99" i="12"/>
  <c r="X99" i="12" s="1"/>
  <c r="AK99" i="12"/>
  <c r="W145" i="12"/>
  <c r="X145" i="12" s="1"/>
  <c r="AK145" i="12"/>
  <c r="AL145" i="12" s="1"/>
  <c r="D149" i="1"/>
  <c r="AK182" i="12"/>
  <c r="D186" i="1"/>
  <c r="W182" i="12"/>
  <c r="X182" i="12" s="1"/>
  <c r="W44" i="12"/>
  <c r="X44" i="12" s="1"/>
  <c r="AK44" i="12"/>
  <c r="D48" i="1"/>
  <c r="AK172" i="12"/>
  <c r="W172" i="12"/>
  <c r="X172" i="12" s="1"/>
  <c r="D176" i="1"/>
  <c r="D69" i="1"/>
  <c r="W65" i="12"/>
  <c r="X65" i="12" s="1"/>
  <c r="AK65" i="12"/>
  <c r="AK89" i="12"/>
  <c r="AL89" i="12" s="1"/>
  <c r="W89" i="12"/>
  <c r="X89" i="12" s="1"/>
  <c r="D93" i="1"/>
  <c r="W42" i="12"/>
  <c r="X42" i="12" s="1"/>
  <c r="D46" i="1"/>
  <c r="AK42" i="12"/>
  <c r="AL42" i="12" s="1"/>
  <c r="AK83" i="12"/>
  <c r="AL83" i="12" s="1"/>
  <c r="W83" i="12"/>
  <c r="X83" i="12" s="1"/>
  <c r="D87" i="1"/>
  <c r="AK6" i="12"/>
  <c r="AL6" i="12" s="1"/>
  <c r="W6" i="12"/>
  <c r="D10" i="1"/>
  <c r="W149" i="12"/>
  <c r="X149" i="12" s="1"/>
  <c r="AK149" i="12"/>
  <c r="AL149" i="12" s="1"/>
  <c r="D153" i="1"/>
  <c r="AK197" i="12"/>
  <c r="D201" i="1"/>
  <c r="W197" i="12"/>
  <c r="X197" i="12" s="1"/>
  <c r="AK187" i="12"/>
  <c r="W187" i="12"/>
  <c r="X187" i="12" s="1"/>
  <c r="D191" i="1"/>
  <c r="D83" i="1"/>
  <c r="W79" i="12"/>
  <c r="X79" i="12" s="1"/>
  <c r="AK79" i="12"/>
  <c r="AK181" i="12"/>
  <c r="D185" i="1"/>
  <c r="W181" i="12"/>
  <c r="X181" i="12" s="1"/>
  <c r="W108" i="12"/>
  <c r="X108" i="12" s="1"/>
  <c r="AK108" i="12"/>
  <c r="D112" i="1"/>
  <c r="W14" i="12"/>
  <c r="X14" i="12" s="1"/>
  <c r="AK14" i="12"/>
  <c r="AL14" i="12" s="1"/>
  <c r="D18" i="1"/>
  <c r="W212" i="12"/>
  <c r="X212" i="12" s="1"/>
  <c r="AK212" i="12"/>
  <c r="D107" i="1"/>
  <c r="W103" i="12"/>
  <c r="X103" i="12" s="1"/>
  <c r="AK103" i="12"/>
  <c r="AL103" i="12" s="1"/>
  <c r="AK166" i="12"/>
  <c r="W166" i="12"/>
  <c r="X166" i="12" s="1"/>
  <c r="D170" i="1"/>
  <c r="D169" i="1"/>
  <c r="W165" i="12"/>
  <c r="X165" i="12" s="1"/>
  <c r="AK165" i="12"/>
  <c r="AL165" i="12" s="1"/>
  <c r="AK23" i="12"/>
  <c r="W23" i="12"/>
  <c r="D27" i="1"/>
  <c r="W19" i="12"/>
  <c r="X19" i="12" s="1"/>
  <c r="D23" i="1"/>
  <c r="AK19" i="12"/>
  <c r="AL19" i="12" s="1"/>
  <c r="H18" i="1"/>
  <c r="H85" i="1"/>
  <c r="H113" i="1"/>
  <c r="H142" i="1"/>
  <c r="H50" i="1"/>
  <c r="H63" i="1"/>
  <c r="H21" i="1"/>
  <c r="H15" i="1"/>
  <c r="H137" i="1"/>
  <c r="H102" i="1"/>
  <c r="H17" i="1"/>
  <c r="H81" i="1"/>
  <c r="H123" i="1"/>
  <c r="H179" i="1"/>
  <c r="H129" i="1"/>
  <c r="H87" i="1"/>
  <c r="H121" i="1"/>
  <c r="D35" i="1"/>
  <c r="W31" i="12"/>
  <c r="X31" i="12" s="1"/>
  <c r="AK31" i="12"/>
  <c r="D179" i="1"/>
  <c r="AK175" i="12"/>
  <c r="W175" i="12"/>
  <c r="X175" i="12" s="1"/>
  <c r="W192" i="12"/>
  <c r="X192" i="12" s="1"/>
  <c r="D196" i="1"/>
  <c r="AK192" i="12"/>
  <c r="W87" i="12"/>
  <c r="X87" i="12" s="1"/>
  <c r="AK87" i="12"/>
  <c r="D91" i="1"/>
  <c r="W200" i="12"/>
  <c r="X200" i="12" s="1"/>
  <c r="AK200" i="12"/>
  <c r="AL200" i="12" s="1"/>
  <c r="D204" i="1"/>
  <c r="W86" i="12"/>
  <c r="X86" i="12" s="1"/>
  <c r="AK86" i="12"/>
  <c r="D90" i="1"/>
  <c r="AK130" i="12"/>
  <c r="W130" i="12"/>
  <c r="X130" i="12" s="1"/>
  <c r="D134" i="1"/>
  <c r="D123" i="1"/>
  <c r="AK119" i="12"/>
  <c r="AL119" i="12" s="1"/>
  <c r="W119" i="12"/>
  <c r="X119" i="12" s="1"/>
  <c r="W117" i="12"/>
  <c r="X117" i="12" s="1"/>
  <c r="AK117" i="12"/>
  <c r="AL117" i="12" s="1"/>
  <c r="D121" i="1"/>
  <c r="W54" i="12"/>
  <c r="X54" i="12" s="1"/>
  <c r="AK54" i="12"/>
  <c r="D58" i="1"/>
  <c r="D95" i="1"/>
  <c r="W91" i="12"/>
  <c r="X91" i="12" s="1"/>
  <c r="AK91" i="12"/>
  <c r="D77" i="1"/>
  <c r="W73" i="12"/>
  <c r="X73" i="12" s="1"/>
  <c r="AK73" i="12"/>
  <c r="AK12" i="12"/>
  <c r="AL12" i="12" s="1"/>
  <c r="D16" i="1"/>
  <c r="W12" i="12"/>
  <c r="X12" i="12" s="1"/>
  <c r="D192" i="1"/>
  <c r="W188" i="12"/>
  <c r="X188" i="12" s="1"/>
  <c r="AK188" i="12"/>
  <c r="D22" i="1"/>
  <c r="W18" i="12"/>
  <c r="X18" i="12" s="1"/>
  <c r="AK18" i="12"/>
  <c r="AL18" i="12" s="1"/>
  <c r="AK163" i="12"/>
  <c r="W163" i="12"/>
  <c r="X163" i="12" s="1"/>
  <c r="D167" i="1"/>
  <c r="W158" i="12"/>
  <c r="X158" i="12" s="1"/>
  <c r="D162" i="1"/>
  <c r="AK158" i="12"/>
  <c r="D36" i="1"/>
  <c r="W32" i="12"/>
  <c r="X32" i="12" s="1"/>
  <c r="AK32" i="12"/>
  <c r="AL32" i="12" s="1"/>
  <c r="AK215" i="12"/>
  <c r="AL215" i="12" s="1"/>
  <c r="D61" i="1"/>
  <c r="AK57" i="12"/>
  <c r="W57" i="12"/>
  <c r="X57" i="12" s="1"/>
  <c r="W202" i="12"/>
  <c r="X202" i="12" s="1"/>
  <c r="AK202" i="12"/>
  <c r="D206" i="1"/>
  <c r="D24" i="1"/>
  <c r="W20" i="12"/>
  <c r="X20" i="12" s="1"/>
  <c r="AK20" i="12"/>
  <c r="AL20" i="12" s="1"/>
  <c r="AK116" i="12"/>
  <c r="AL116" i="12" s="1"/>
  <c r="D120" i="1"/>
  <c r="W116" i="12"/>
  <c r="X116" i="12" s="1"/>
  <c r="D193" i="1"/>
  <c r="W189" i="12"/>
  <c r="X189" i="12" s="1"/>
  <c r="AK189" i="12"/>
  <c r="W176" i="12"/>
  <c r="X176" i="12" s="1"/>
  <c r="D180" i="1"/>
  <c r="AK176" i="12"/>
  <c r="AK37" i="12"/>
  <c r="AL37" i="12" s="1"/>
  <c r="D41" i="1"/>
  <c r="W37" i="12"/>
  <c r="X37" i="12" s="1"/>
  <c r="D118" i="1"/>
  <c r="AK114" i="12"/>
  <c r="W114" i="12"/>
  <c r="X114" i="12" s="1"/>
  <c r="AK122" i="12"/>
  <c r="D126" i="1"/>
  <c r="W122" i="12"/>
  <c r="X122" i="12" s="1"/>
  <c r="W110" i="12"/>
  <c r="X110" i="12" s="1"/>
  <c r="D114" i="1"/>
  <c r="AK110" i="12"/>
  <c r="AL110" i="12" s="1"/>
  <c r="AK29" i="12"/>
  <c r="W29" i="12"/>
  <c r="X29" i="12" s="1"/>
  <c r="D33" i="1"/>
  <c r="D154" i="1"/>
  <c r="W150" i="12"/>
  <c r="X150" i="12" s="1"/>
  <c r="AK150" i="12"/>
  <c r="W82" i="12"/>
  <c r="X82" i="12" s="1"/>
  <c r="D86" i="1"/>
  <c r="AK82" i="12"/>
  <c r="AL82" i="12" s="1"/>
  <c r="W107" i="12"/>
  <c r="X107" i="12" s="1"/>
  <c r="AK107" i="12"/>
  <c r="D111" i="1"/>
  <c r="AK97" i="12"/>
  <c r="AL97" i="12" s="1"/>
  <c r="D101" i="1"/>
  <c r="W97" i="12"/>
  <c r="X97" i="12" s="1"/>
  <c r="W143" i="12"/>
  <c r="X143" i="12" s="1"/>
  <c r="AK143" i="12"/>
  <c r="D147" i="1"/>
  <c r="D148" i="1"/>
  <c r="AK144" i="12"/>
  <c r="W144" i="12"/>
  <c r="X144" i="12" s="1"/>
  <c r="D63" i="1"/>
  <c r="AK59" i="12"/>
  <c r="AL59" i="12" s="1"/>
  <c r="W59" i="12"/>
  <c r="X59" i="12" s="1"/>
  <c r="D150" i="1"/>
  <c r="W146" i="12"/>
  <c r="X146" i="12" s="1"/>
  <c r="AK146" i="12"/>
  <c r="AL146" i="12" s="1"/>
  <c r="AK111" i="12"/>
  <c r="W111" i="12"/>
  <c r="X111" i="12" s="1"/>
  <c r="D115" i="1"/>
  <c r="AK201" i="12"/>
  <c r="AL201" i="12" s="1"/>
  <c r="W201" i="12"/>
  <c r="X201" i="12" s="1"/>
  <c r="D205" i="1"/>
  <c r="AK195" i="12"/>
  <c r="W195" i="12"/>
  <c r="X195" i="12" s="1"/>
  <c r="D199" i="1"/>
  <c r="D189" i="1"/>
  <c r="W185" i="12"/>
  <c r="X185" i="12" s="1"/>
  <c r="AK185" i="12"/>
  <c r="AL185" i="12" s="1"/>
  <c r="W33" i="12"/>
  <c r="X33" i="12" s="1"/>
  <c r="D37" i="1"/>
  <c r="AK33" i="12"/>
  <c r="D102" i="1"/>
  <c r="W98" i="12"/>
  <c r="X98" i="12" s="1"/>
  <c r="AK98" i="12"/>
  <c r="AL98" i="12" s="1"/>
  <c r="AK219" i="12"/>
  <c r="D66" i="1"/>
  <c r="W62" i="12"/>
  <c r="X62" i="12" s="1"/>
  <c r="AK62" i="12"/>
  <c r="AK179" i="12"/>
  <c r="D183" i="1"/>
  <c r="W179" i="12"/>
  <c r="X179" i="12" s="1"/>
  <c r="D132" i="1"/>
  <c r="AK128" i="12"/>
  <c r="AL128" i="12" s="1"/>
  <c r="W128" i="12"/>
  <c r="X128" i="12" s="1"/>
  <c r="AK113" i="12"/>
  <c r="W113" i="12"/>
  <c r="X113" i="12" s="1"/>
  <c r="D117" i="1"/>
  <c r="D212" i="1"/>
  <c r="AK208" i="12"/>
  <c r="W208" i="12"/>
  <c r="X208" i="12" s="1"/>
  <c r="W4" i="12"/>
  <c r="AK4" i="12"/>
  <c r="AL4" i="12" s="1"/>
  <c r="D8" i="1"/>
  <c r="H122" i="1"/>
  <c r="H55" i="1"/>
  <c r="H14" i="1"/>
  <c r="H128" i="1"/>
  <c r="H22" i="1"/>
  <c r="H30" i="1"/>
  <c r="H132" i="1"/>
  <c r="H98" i="1"/>
  <c r="H158" i="1"/>
  <c r="H33" i="1"/>
  <c r="H66" i="1"/>
  <c r="H10" i="1"/>
  <c r="H74" i="1"/>
  <c r="H13" i="1"/>
  <c r="H41" i="1"/>
  <c r="H65" i="1"/>
  <c r="D39" i="1"/>
  <c r="W35" i="12"/>
  <c r="X35" i="12" s="1"/>
  <c r="AK35" i="12"/>
  <c r="D84" i="1"/>
  <c r="W80" i="12"/>
  <c r="X80" i="12" s="1"/>
  <c r="AK80" i="12"/>
  <c r="AL80" i="12" s="1"/>
  <c r="AK85" i="12"/>
  <c r="D89" i="1"/>
  <c r="W85" i="12"/>
  <c r="X85" i="12" s="1"/>
  <c r="AK96" i="12"/>
  <c r="AL96" i="12" s="1"/>
  <c r="D100" i="1"/>
  <c r="W96" i="12"/>
  <c r="X96" i="12" s="1"/>
  <c r="W28" i="12"/>
  <c r="X28" i="12" s="1"/>
  <c r="AK28" i="12"/>
  <c r="AL28" i="12" s="1"/>
  <c r="D32" i="1"/>
  <c r="D17" i="1"/>
  <c r="AK13" i="12"/>
  <c r="W13" i="12"/>
  <c r="X13" i="12" s="1"/>
  <c r="AK220" i="12"/>
  <c r="AL220" i="12" s="1"/>
  <c r="D116" i="1"/>
  <c r="AK112" i="12"/>
  <c r="W112" i="12"/>
  <c r="X112" i="12" s="1"/>
  <c r="W161" i="12"/>
  <c r="X161" i="12" s="1"/>
  <c r="AK161" i="12"/>
  <c r="D165" i="1"/>
  <c r="W126" i="12"/>
  <c r="X126" i="12" s="1"/>
  <c r="AK126" i="12"/>
  <c r="AL126" i="12" s="1"/>
  <c r="D130" i="1"/>
  <c r="D73" i="1"/>
  <c r="W69" i="12"/>
  <c r="X69" i="12" s="1"/>
  <c r="AK69" i="12"/>
  <c r="AL69" i="12" s="1"/>
  <c r="D207" i="1"/>
  <c r="AK203" i="12"/>
  <c r="W203" i="12"/>
  <c r="X203" i="12" s="1"/>
  <c r="AK209" i="12"/>
  <c r="D213" i="1"/>
  <c r="W209" i="12"/>
  <c r="X209" i="12" s="1"/>
  <c r="W115" i="12"/>
  <c r="X115" i="12" s="1"/>
  <c r="D119" i="1"/>
  <c r="AK115" i="12"/>
  <c r="D113" i="1"/>
  <c r="AK109" i="12"/>
  <c r="W109" i="12"/>
  <c r="X109" i="12" s="1"/>
  <c r="W27" i="12"/>
  <c r="X27" i="12" s="1"/>
  <c r="D31" i="1"/>
  <c r="AK27" i="12"/>
  <c r="AK139" i="12"/>
  <c r="W139" i="12"/>
  <c r="X139" i="12" s="1"/>
  <c r="D143" i="1"/>
  <c r="AK34" i="12"/>
  <c r="AL34" i="12" s="1"/>
  <c r="W34" i="12"/>
  <c r="X34" i="12" s="1"/>
  <c r="D38" i="1"/>
  <c r="W141" i="12"/>
  <c r="X141" i="12" s="1"/>
  <c r="AK141" i="12"/>
  <c r="AL141" i="12" s="1"/>
  <c r="D145" i="1"/>
  <c r="W63" i="12"/>
  <c r="X63" i="12" s="1"/>
  <c r="D67" i="1"/>
  <c r="AK63" i="12"/>
  <c r="W94" i="12"/>
  <c r="X94" i="12" s="1"/>
  <c r="D98" i="1"/>
  <c r="AK94" i="12"/>
  <c r="AK169" i="12"/>
  <c r="AL169" i="12" s="1"/>
  <c r="W169" i="12"/>
  <c r="X169" i="12" s="1"/>
  <c r="D173" i="1"/>
  <c r="AK191" i="12"/>
  <c r="D195" i="1"/>
  <c r="W191" i="12"/>
  <c r="X191" i="12" s="1"/>
  <c r="AK147" i="12"/>
  <c r="AL147" i="12" s="1"/>
  <c r="D151" i="1"/>
  <c r="W147" i="12"/>
  <c r="X147" i="12" s="1"/>
  <c r="D190" i="1"/>
  <c r="AK186" i="12"/>
  <c r="W186" i="12"/>
  <c r="X186" i="12" s="1"/>
  <c r="D136" i="1"/>
  <c r="W132" i="12"/>
  <c r="X132" i="12" s="1"/>
  <c r="AK132" i="12"/>
  <c r="AK218" i="12"/>
  <c r="W170" i="12"/>
  <c r="X170" i="12" s="1"/>
  <c r="AK170" i="12"/>
  <c r="D174" i="1"/>
  <c r="D12" i="1"/>
  <c r="W8" i="12"/>
  <c r="AK8" i="12"/>
  <c r="W129" i="12"/>
  <c r="X129" i="12" s="1"/>
  <c r="AK129" i="12"/>
  <c r="D133" i="1"/>
  <c r="W38" i="12"/>
  <c r="X38" i="12" s="1"/>
  <c r="AK38" i="12"/>
  <c r="AL38" i="12" s="1"/>
  <c r="D42" i="1"/>
  <c r="W199" i="12"/>
  <c r="X199" i="12" s="1"/>
  <c r="D203" i="1"/>
  <c r="AK199" i="12"/>
  <c r="AK36" i="12"/>
  <c r="W36" i="12"/>
  <c r="X36" i="12" s="1"/>
  <c r="D40" i="1"/>
  <c r="W17" i="12"/>
  <c r="X17" i="12" s="1"/>
  <c r="D21" i="1"/>
  <c r="AK17" i="12"/>
  <c r="AL17" i="12" s="1"/>
  <c r="W77" i="12"/>
  <c r="X77" i="12" s="1"/>
  <c r="AK77" i="12"/>
  <c r="D81" i="1"/>
  <c r="D55" i="1"/>
  <c r="AK51" i="12"/>
  <c r="AL51" i="12" s="1"/>
  <c r="W51" i="12"/>
  <c r="X51" i="12" s="1"/>
  <c r="AK101" i="12"/>
  <c r="AL101" i="12" s="1"/>
  <c r="D105" i="1"/>
  <c r="W101" i="12"/>
  <c r="X101" i="12" s="1"/>
  <c r="W11" i="12"/>
  <c r="X11" i="12" s="1"/>
  <c r="AK11" i="12"/>
  <c r="D15" i="1"/>
  <c r="W168" i="12"/>
  <c r="X168" i="12" s="1"/>
  <c r="AK168" i="12"/>
  <c r="D172" i="1"/>
  <c r="AK26" i="12"/>
  <c r="AL26" i="12" s="1"/>
  <c r="D30" i="1"/>
  <c r="W26" i="12"/>
  <c r="X26" i="12" s="1"/>
  <c r="AK78" i="12"/>
  <c r="W78" i="12"/>
  <c r="X78" i="12" s="1"/>
  <c r="D82" i="1"/>
  <c r="D209" i="1"/>
  <c r="AK205" i="12"/>
  <c r="W205" i="12"/>
  <c r="X205" i="12" s="1"/>
  <c r="W3" i="12"/>
  <c r="D7" i="1"/>
  <c r="AK3" i="12"/>
  <c r="AL3" i="12" s="1"/>
  <c r="D59" i="1"/>
  <c r="AK55" i="12"/>
  <c r="AL55" i="12" s="1"/>
  <c r="W55" i="12"/>
  <c r="X55" i="12" s="1"/>
  <c r="AK136" i="12"/>
  <c r="D140" i="1"/>
  <c r="W136" i="12"/>
  <c r="X136" i="12" s="1"/>
  <c r="AK157" i="12"/>
  <c r="AL157" i="12" s="1"/>
  <c r="W157" i="12"/>
  <c r="X157" i="12" s="1"/>
  <c r="D161" i="1"/>
  <c r="W211" i="12"/>
  <c r="X211" i="12" s="1"/>
  <c r="AK211" i="12"/>
  <c r="W81" i="12"/>
  <c r="X81" i="12" s="1"/>
  <c r="D85" i="1"/>
  <c r="AK81" i="12"/>
  <c r="AL81" i="12" s="1"/>
  <c r="AK204" i="12"/>
  <c r="D208" i="1"/>
  <c r="W204" i="12"/>
  <c r="X204" i="12" s="1"/>
  <c r="D76" i="1"/>
  <c r="W72" i="12"/>
  <c r="X72" i="12" s="1"/>
  <c r="AK72" i="12"/>
  <c r="AK140" i="12"/>
  <c r="AL140" i="12" s="1"/>
  <c r="D144" i="1"/>
  <c r="W140" i="12"/>
  <c r="X140" i="12" s="1"/>
  <c r="W71" i="12"/>
  <c r="X71" i="12" s="1"/>
  <c r="AK71" i="12"/>
  <c r="D75" i="1"/>
  <c r="W183" i="12"/>
  <c r="X183" i="12" s="1"/>
  <c r="AK183" i="12"/>
  <c r="D187" i="1"/>
  <c r="AK48" i="12"/>
  <c r="D52" i="1"/>
  <c r="W48" i="12"/>
  <c r="X48" i="12" s="1"/>
  <c r="W75" i="12"/>
  <c r="X75" i="12" s="1"/>
  <c r="D79" i="1"/>
  <c r="AK75" i="12"/>
  <c r="D210" i="1"/>
  <c r="AK206" i="12"/>
  <c r="W206" i="12"/>
  <c r="X206" i="12" s="1"/>
  <c r="AK190" i="12"/>
  <c r="D194" i="1"/>
  <c r="W190" i="12"/>
  <c r="X190" i="12" s="1"/>
  <c r="W52" i="12"/>
  <c r="X52" i="12" s="1"/>
  <c r="AK52" i="12"/>
  <c r="AL52" i="12" s="1"/>
  <c r="D56" i="1"/>
  <c r="D44" i="1"/>
  <c r="W40" i="12"/>
  <c r="X40" i="12" s="1"/>
  <c r="AK40" i="12"/>
  <c r="AL40" i="12" s="1"/>
  <c r="H84" i="1"/>
  <c r="H118" i="1"/>
  <c r="H104" i="1"/>
  <c r="H57" i="1"/>
  <c r="H95" i="1"/>
  <c r="H138" i="1"/>
  <c r="H68" i="1"/>
  <c r="H88" i="1"/>
  <c r="H119" i="1"/>
  <c r="H177" i="1"/>
  <c r="H105" i="1"/>
  <c r="H150" i="1"/>
  <c r="H28" i="1"/>
  <c r="H143" i="1"/>
  <c r="H135" i="1"/>
  <c r="H83" i="1"/>
  <c r="H127" i="1"/>
  <c r="D57" i="1"/>
  <c r="W53" i="12"/>
  <c r="X53" i="12" s="1"/>
  <c r="AK53" i="12"/>
  <c r="AL53" i="12" s="1"/>
  <c r="D74" i="1"/>
  <c r="W70" i="12"/>
  <c r="X70" i="12" s="1"/>
  <c r="AK70" i="12"/>
  <c r="AL70" i="12" s="1"/>
  <c r="W162" i="12"/>
  <c r="X162" i="12" s="1"/>
  <c r="AK162" i="12"/>
  <c r="D166" i="1"/>
  <c r="AK125" i="12"/>
  <c r="AL125" i="12" s="1"/>
  <c r="W125" i="12"/>
  <c r="X125" i="12" s="1"/>
  <c r="D129" i="1"/>
  <c r="W49" i="12"/>
  <c r="X49" i="12" s="1"/>
  <c r="AK49" i="12"/>
  <c r="D53" i="1"/>
  <c r="D29" i="1"/>
  <c r="AK25" i="12"/>
  <c r="W25" i="12"/>
  <c r="AK92" i="12"/>
  <c r="D96" i="1"/>
  <c r="W92" i="12"/>
  <c r="X92" i="12" s="1"/>
  <c r="W7" i="12"/>
  <c r="X7" i="12" s="1"/>
  <c r="D11" i="1"/>
  <c r="AK7" i="12"/>
  <c r="AL7" i="12" s="1"/>
  <c r="D64" i="1"/>
  <c r="AK60" i="12"/>
  <c r="W60" i="12"/>
  <c r="X60" i="12" s="1"/>
  <c r="D177" i="1"/>
  <c r="AK173" i="12"/>
  <c r="W173" i="12"/>
  <c r="X173" i="12" s="1"/>
  <c r="D135" i="1"/>
  <c r="AK131" i="12"/>
  <c r="AL131" i="12" s="1"/>
  <c r="W131" i="12"/>
  <c r="X131" i="12" s="1"/>
  <c r="AK88" i="12"/>
  <c r="AL88" i="12" s="1"/>
  <c r="D92" i="1"/>
  <c r="W88" i="12"/>
  <c r="X88" i="12" s="1"/>
  <c r="AK153" i="12"/>
  <c r="AL153" i="12" s="1"/>
  <c r="D157" i="1"/>
  <c r="W153" i="12"/>
  <c r="X153" i="12" s="1"/>
  <c r="W133" i="12"/>
  <c r="X133" i="12" s="1"/>
  <c r="D137" i="1"/>
  <c r="AK133" i="12"/>
  <c r="AL133" i="12" s="1"/>
  <c r="AK214" i="12"/>
  <c r="AL214" i="12" s="1"/>
  <c r="D128" i="1"/>
  <c r="AK124" i="12"/>
  <c r="AL124" i="12" s="1"/>
  <c r="W124" i="12"/>
  <c r="X124" i="12" s="1"/>
  <c r="W198" i="12"/>
  <c r="X198" i="12" s="1"/>
  <c r="AK198" i="12"/>
  <c r="D202" i="1"/>
  <c r="D198" i="1"/>
  <c r="AK194" i="12"/>
  <c r="W194" i="12"/>
  <c r="X194" i="12" s="1"/>
  <c r="W39" i="12"/>
  <c r="X39" i="12" s="1"/>
  <c r="AK39" i="12"/>
  <c r="AL39" i="12" s="1"/>
  <c r="D43" i="1"/>
  <c r="D60" i="1"/>
  <c r="W56" i="12"/>
  <c r="X56" i="12" s="1"/>
  <c r="AK56" i="12"/>
  <c r="D188" i="1"/>
  <c r="W184" i="12"/>
  <c r="X184" i="12" s="1"/>
  <c r="AK184" i="12"/>
  <c r="AL184" i="12" s="1"/>
  <c r="AK76" i="12"/>
  <c r="D80" i="1"/>
  <c r="W76" i="12"/>
  <c r="X76" i="12" s="1"/>
  <c r="AK45" i="12"/>
  <c r="AL45" i="12" s="1"/>
  <c r="W45" i="12"/>
  <c r="X45" i="12" s="1"/>
  <c r="D49" i="1"/>
  <c r="D88" i="1"/>
  <c r="AK84" i="12"/>
  <c r="W84" i="12"/>
  <c r="X84" i="12" s="1"/>
  <c r="W67" i="12"/>
  <c r="X67" i="12" s="1"/>
  <c r="D71" i="1"/>
  <c r="AK67" i="12"/>
  <c r="AL67" i="12" s="1"/>
  <c r="D156" i="1"/>
  <c r="W152" i="12"/>
  <c r="X152" i="12" s="1"/>
  <c r="AK152" i="12"/>
  <c r="W121" i="12"/>
  <c r="X121" i="12" s="1"/>
  <c r="D125" i="1"/>
  <c r="AK121" i="12"/>
  <c r="AK15" i="12"/>
  <c r="AL15" i="12" s="1"/>
  <c r="W15" i="12"/>
  <c r="X15" i="12" s="1"/>
  <c r="D19" i="1"/>
  <c r="W22" i="12"/>
  <c r="X22" i="12" s="1"/>
  <c r="D26" i="1"/>
  <c r="AK22" i="12"/>
  <c r="AL22" i="12" s="1"/>
  <c r="AK174" i="12"/>
  <c r="D178" i="1"/>
  <c r="W174" i="12"/>
  <c r="X174" i="12" s="1"/>
  <c r="W46" i="12"/>
  <c r="X46" i="12" s="1"/>
  <c r="AK46" i="12"/>
  <c r="D50" i="1"/>
  <c r="D131" i="1"/>
  <c r="W127" i="12"/>
  <c r="X127" i="12" s="1"/>
  <c r="AK127" i="12"/>
  <c r="AL127" i="12" s="1"/>
  <c r="D62" i="1"/>
  <c r="W58" i="12"/>
  <c r="X58" i="12" s="1"/>
  <c r="AK58" i="12"/>
  <c r="AL58" i="12" s="1"/>
  <c r="AK216" i="12"/>
  <c r="AK68" i="12"/>
  <c r="AL68" i="12" s="1"/>
  <c r="W68" i="12"/>
  <c r="X68" i="12" s="1"/>
  <c r="D72" i="1"/>
  <c r="AK154" i="12"/>
  <c r="W154" i="12"/>
  <c r="X154" i="12" s="1"/>
  <c r="D158" i="1"/>
  <c r="AK118" i="12"/>
  <c r="AL118" i="12" s="1"/>
  <c r="D122" i="1"/>
  <c r="W118" i="12"/>
  <c r="X118" i="12" s="1"/>
  <c r="AK171" i="12"/>
  <c r="W171" i="12"/>
  <c r="X171" i="12" s="1"/>
  <c r="D175" i="1"/>
  <c r="W43" i="12"/>
  <c r="X43" i="12" s="1"/>
  <c r="AK43" i="12"/>
  <c r="AL43" i="12" s="1"/>
  <c r="D47" i="1"/>
  <c r="W151" i="12"/>
  <c r="X151" i="12" s="1"/>
  <c r="D155" i="1"/>
  <c r="AK151" i="12"/>
  <c r="AL151" i="12" s="1"/>
  <c r="AK64" i="12"/>
  <c r="W64" i="12"/>
  <c r="X64" i="12" s="1"/>
  <c r="D68" i="1"/>
  <c r="AK210" i="12"/>
  <c r="W210" i="12"/>
  <c r="X210" i="12" s="1"/>
  <c r="D214" i="1"/>
  <c r="D54" i="1"/>
  <c r="AK50" i="12"/>
  <c r="AL50" i="12" s="1"/>
  <c r="W50" i="12"/>
  <c r="X50" i="12" s="1"/>
  <c r="AK164" i="12"/>
  <c r="W164" i="12"/>
  <c r="X164" i="12" s="1"/>
  <c r="D168" i="1"/>
  <c r="AK30" i="12"/>
  <c r="AL30" i="12" s="1"/>
  <c r="D34" i="1"/>
  <c r="W30" i="12"/>
  <c r="X30" i="12" s="1"/>
  <c r="W24" i="12"/>
  <c r="X24" i="12" s="1"/>
  <c r="AK24" i="12"/>
  <c r="AL24" i="12" s="1"/>
  <c r="D28" i="1"/>
  <c r="D181" i="1"/>
  <c r="W177" i="12"/>
  <c r="X177" i="12" s="1"/>
  <c r="AK177" i="12"/>
  <c r="AL177" i="12" s="1"/>
  <c r="D51" i="1"/>
  <c r="AK47" i="12"/>
  <c r="W47" i="12"/>
  <c r="X47" i="12" s="1"/>
  <c r="H42" i="1"/>
  <c r="H111" i="1"/>
  <c r="H148" i="1"/>
  <c r="H163" i="1"/>
  <c r="H80" i="1"/>
  <c r="H145" i="1"/>
  <c r="H34" i="1"/>
  <c r="H153" i="1"/>
  <c r="H167" i="1"/>
  <c r="H157" i="1"/>
  <c r="H116" i="1"/>
  <c r="H155" i="1"/>
  <c r="H140" i="1"/>
  <c r="H171" i="1"/>
  <c r="H166" i="1"/>
  <c r="H114" i="1"/>
  <c r="H176" i="1"/>
  <c r="H24" i="1"/>
  <c r="H133" i="1"/>
  <c r="H61" i="1"/>
  <c r="H152" i="1"/>
  <c r="X25" i="12" l="1"/>
  <c r="X3" i="12"/>
  <c r="Y3" i="12"/>
  <c r="AL8" i="12"/>
  <c r="AL11" i="12" s="1"/>
  <c r="X4" i="12"/>
  <c r="X8" i="12"/>
  <c r="X23" i="12"/>
  <c r="X6" i="12"/>
  <c r="X5" i="12"/>
  <c r="AL61" i="12"/>
  <c r="AL13" i="12" l="1"/>
  <c r="Y4" i="12"/>
  <c r="Z3" i="12" s="1"/>
  <c r="AL21" i="12"/>
  <c r="AL64" i="12"/>
  <c r="DG5" i="12"/>
  <c r="Y5" i="12" l="1"/>
  <c r="AL23" i="12"/>
  <c r="AL36" i="12"/>
  <c r="AJ3" i="12"/>
  <c r="AE3" i="12"/>
  <c r="AA3" i="12"/>
  <c r="AC3" i="12"/>
  <c r="AB3" i="12"/>
  <c r="G9" i="1" s="1"/>
  <c r="AD3" i="12"/>
  <c r="Y6" i="12" l="1"/>
  <c r="Z4" i="12"/>
  <c r="AL25" i="12"/>
  <c r="AL44" i="12"/>
  <c r="AL49" i="12" s="1"/>
  <c r="IJ3" i="12"/>
  <c r="II3" i="12"/>
  <c r="R3" i="12"/>
  <c r="CK3" i="12"/>
  <c r="FV3" i="12"/>
  <c r="BG3" i="12"/>
  <c r="CD3" i="12"/>
  <c r="FR3" i="12"/>
  <c r="FG3" i="12"/>
  <c r="FQ3" i="12"/>
  <c r="AL73" i="12"/>
  <c r="Y7" i="12" l="1"/>
  <c r="AB4" i="12"/>
  <c r="AD4" i="12"/>
  <c r="IJ4" i="12" s="1"/>
  <c r="AJ4" i="12"/>
  <c r="AE4" i="12"/>
  <c r="AA4" i="12"/>
  <c r="AC4" i="12"/>
  <c r="Z5" i="12"/>
  <c r="AL27" i="12"/>
  <c r="AL47" i="12"/>
  <c r="AL54" i="12"/>
  <c r="AL60" i="12"/>
  <c r="IK3" i="12"/>
  <c r="IL3" i="12" s="1"/>
  <c r="AL79" i="12"/>
  <c r="II4" i="12" l="1"/>
  <c r="IK4" i="12" s="1"/>
  <c r="IL4" i="12" s="1"/>
  <c r="FQ4" i="12"/>
  <c r="FG4" i="12"/>
  <c r="FR4" i="12"/>
  <c r="Z6" i="12"/>
  <c r="AJ5" i="12"/>
  <c r="AC5" i="12"/>
  <c r="AA5" i="12"/>
  <c r="AB5" i="12"/>
  <c r="AE5" i="12"/>
  <c r="AD5" i="12"/>
  <c r="IJ5" i="12" s="1"/>
  <c r="BG4" i="12"/>
  <c r="FV4" i="12"/>
  <c r="CK4" i="12"/>
  <c r="R4" i="12"/>
  <c r="CD4" i="12"/>
  <c r="Y8" i="12"/>
  <c r="AL29" i="12"/>
  <c r="AL91" i="12"/>
  <c r="AL33" i="12" l="1"/>
  <c r="AL31" i="12"/>
  <c r="II5" i="12"/>
  <c r="IK5" i="12" s="1"/>
  <c r="IL5" i="12" s="1"/>
  <c r="FG5" i="12"/>
  <c r="FQ5" i="12"/>
  <c r="FR5" i="12"/>
  <c r="AD6" i="12"/>
  <c r="AB6" i="12"/>
  <c r="AE6" i="12"/>
  <c r="AJ6" i="12"/>
  <c r="AA6" i="12"/>
  <c r="AC6" i="12"/>
  <c r="CD5" i="12"/>
  <c r="FV5" i="12"/>
  <c r="CK5" i="12"/>
  <c r="R5" i="12"/>
  <c r="BG5" i="12"/>
  <c r="Y9" i="12"/>
  <c r="AL46" i="12"/>
  <c r="AL35" i="12" l="1"/>
  <c r="AL56" i="12" s="1"/>
  <c r="AL57" i="12"/>
  <c r="AL63" i="12" s="1"/>
  <c r="II6" i="12"/>
  <c r="AL48" i="12"/>
  <c r="IJ6" i="12"/>
  <c r="Z7" i="12"/>
  <c r="Z8" i="12"/>
  <c r="Y10" i="12"/>
  <c r="CK6" i="12"/>
  <c r="CD6" i="12"/>
  <c r="R6" i="12"/>
  <c r="BG6" i="12"/>
  <c r="FV6" i="12"/>
  <c r="FR6" i="12"/>
  <c r="FG6" i="12"/>
  <c r="FQ6" i="12"/>
  <c r="AL90" i="12"/>
  <c r="F57" i="13"/>
  <c r="EI215" i="12"/>
  <c r="EK27" i="12"/>
  <c r="EK102" i="12"/>
  <c r="EI133" i="12"/>
  <c r="EJ143" i="12"/>
  <c r="EI195" i="12"/>
  <c r="EK191" i="12"/>
  <c r="EJ202" i="12"/>
  <c r="EI149" i="12"/>
  <c r="F77" i="13"/>
  <c r="EK205" i="12"/>
  <c r="EJ111" i="12"/>
  <c r="EK167" i="12"/>
  <c r="EJ152" i="12"/>
  <c r="EI44" i="12"/>
  <c r="F86" i="13"/>
  <c r="F16" i="13"/>
  <c r="EK69" i="12"/>
  <c r="EJ86" i="12"/>
  <c r="F94" i="13"/>
  <c r="EK111" i="12"/>
  <c r="F54" i="13"/>
  <c r="F37" i="13"/>
  <c r="EJ83" i="12"/>
  <c r="EI119" i="12"/>
  <c r="EI145" i="12"/>
  <c r="EJ218" i="12"/>
  <c r="EI110" i="12"/>
  <c r="F83" i="13"/>
  <c r="EJ91" i="12"/>
  <c r="EJ28" i="12"/>
  <c r="F26" i="13"/>
  <c r="EJ6" i="12"/>
  <c r="EI56" i="12"/>
  <c r="EJ78" i="12"/>
  <c r="EK203" i="12"/>
  <c r="F8" i="13"/>
  <c r="EJ63" i="12"/>
  <c r="EI157" i="12"/>
  <c r="EK142" i="12"/>
  <c r="EK184" i="12"/>
  <c r="EK28" i="12"/>
  <c r="EI204" i="12"/>
  <c r="EK100" i="12"/>
  <c r="EK146" i="12"/>
  <c r="EI163" i="12"/>
  <c r="EK157" i="12"/>
  <c r="EK129" i="12"/>
  <c r="EK51" i="12"/>
  <c r="EJ190" i="12"/>
  <c r="EI81" i="12"/>
  <c r="EI18" i="12"/>
  <c r="EJ134" i="12"/>
  <c r="EJ51" i="12"/>
  <c r="EK117" i="12"/>
  <c r="EJ61" i="12"/>
  <c r="EI77" i="12"/>
  <c r="EJ84" i="12"/>
  <c r="F39" i="13"/>
  <c r="EK52" i="12"/>
  <c r="EK196" i="12"/>
  <c r="EJ118" i="12"/>
  <c r="EJ131" i="12"/>
  <c r="EJ191" i="12"/>
  <c r="EI76" i="12"/>
  <c r="EI30" i="12"/>
  <c r="EI170" i="12"/>
  <c r="EJ44" i="12"/>
  <c r="EJ178" i="12"/>
  <c r="EK171" i="12"/>
  <c r="EJ209" i="12"/>
  <c r="EK149" i="12"/>
  <c r="EI135" i="12"/>
  <c r="EK180" i="12"/>
  <c r="EJ133" i="12"/>
  <c r="EI105" i="12"/>
  <c r="EI23" i="12"/>
  <c r="F89" i="13"/>
  <c r="EJ29" i="12"/>
  <c r="EJ11" i="12"/>
  <c r="EK89" i="12"/>
  <c r="F65" i="13"/>
  <c r="EI155" i="12"/>
  <c r="EJ58" i="12"/>
  <c r="EI177" i="12"/>
  <c r="EK16" i="12"/>
  <c r="EI143" i="12"/>
  <c r="EK161" i="12"/>
  <c r="EI60" i="12"/>
  <c r="F93" i="13"/>
  <c r="EI144" i="12"/>
  <c r="EI69" i="12"/>
  <c r="EJ200" i="12"/>
  <c r="EI161" i="12"/>
  <c r="EI39" i="12"/>
  <c r="F92" i="13"/>
  <c r="EI201" i="12"/>
  <c r="EI55" i="12"/>
  <c r="EJ156" i="12"/>
  <c r="EJ69" i="12"/>
  <c r="EI175" i="12"/>
  <c r="F90" i="13"/>
  <c r="EI122" i="12"/>
  <c r="F25" i="13"/>
  <c r="EI38" i="12"/>
  <c r="EI129" i="12"/>
  <c r="EK92" i="12"/>
  <c r="F11" i="13"/>
  <c r="F43" i="13"/>
  <c r="EI108" i="12"/>
  <c r="EK4" i="12"/>
  <c r="EI173" i="12"/>
  <c r="EK134" i="12"/>
  <c r="F91" i="13"/>
  <c r="EI139" i="12"/>
  <c r="EK30" i="12"/>
  <c r="EK34" i="12"/>
  <c r="EK96" i="12"/>
  <c r="EK190" i="12"/>
  <c r="EK159" i="12"/>
  <c r="EJ103" i="12"/>
  <c r="F64" i="13"/>
  <c r="F81" i="13"/>
  <c r="EI140" i="12"/>
  <c r="EK95" i="12"/>
  <c r="F71" i="13"/>
  <c r="EI61" i="12"/>
  <c r="EI193" i="12"/>
  <c r="EK119" i="12"/>
  <c r="F70" i="13"/>
  <c r="EJ47" i="12"/>
  <c r="EI208" i="12"/>
  <c r="EJ64" i="12"/>
  <c r="EJ154" i="12"/>
  <c r="F53" i="13"/>
  <c r="EJ147" i="12"/>
  <c r="EJ128" i="12"/>
  <c r="EK56" i="12"/>
  <c r="EK29" i="12"/>
  <c r="EI174" i="12"/>
  <c r="EI20" i="12"/>
  <c r="EI118" i="12"/>
  <c r="EI54" i="12"/>
  <c r="EK200" i="12"/>
  <c r="F66" i="13"/>
  <c r="EK165" i="12"/>
  <c r="EK192" i="12"/>
  <c r="EI6" i="12"/>
  <c r="F97" i="13"/>
  <c r="EK90" i="12"/>
  <c r="EK187" i="12"/>
  <c r="F62" i="13"/>
  <c r="EK107" i="12"/>
  <c r="EJ36" i="12"/>
  <c r="EJ208" i="12"/>
  <c r="EJ24" i="12"/>
  <c r="F24" i="13"/>
  <c r="EI62" i="12"/>
  <c r="EI25" i="12"/>
  <c r="EI15" i="12"/>
  <c r="EK24" i="12"/>
  <c r="EI138" i="12"/>
  <c r="EI50" i="12"/>
  <c r="EK147" i="12"/>
  <c r="EK72" i="12"/>
  <c r="EJ139" i="12"/>
  <c r="EI64" i="12"/>
  <c r="EI212" i="12"/>
  <c r="EK113" i="12"/>
  <c r="EI43" i="12"/>
  <c r="EI70" i="12"/>
  <c r="EI196" i="12"/>
  <c r="EI45" i="12"/>
  <c r="F59" i="13"/>
  <c r="F36" i="13"/>
  <c r="EI37" i="12"/>
  <c r="EK120" i="12"/>
  <c r="F58" i="13"/>
  <c r="EK93" i="12"/>
  <c r="EJ123" i="12"/>
  <c r="EK43" i="12"/>
  <c r="EJ115" i="12"/>
  <c r="EI126" i="12"/>
  <c r="EK150" i="12"/>
  <c r="EJ212" i="12"/>
  <c r="EI85" i="12"/>
  <c r="EJ144" i="12"/>
  <c r="F12" i="13"/>
  <c r="FA1" i="12"/>
  <c r="F102" i="13"/>
  <c r="FA97" i="12" s="1"/>
  <c r="EJ100" i="12"/>
  <c r="EI112" i="12"/>
  <c r="EJ85" i="12"/>
  <c r="F103" i="13"/>
  <c r="EJ157" i="12"/>
  <c r="EK213" i="12"/>
  <c r="EI68" i="12"/>
  <c r="F31" i="13"/>
  <c r="FA26" i="12" s="1"/>
  <c r="EJ33" i="12"/>
  <c r="F34" i="13"/>
  <c r="FA29" i="12" s="1"/>
  <c r="F80" i="13"/>
  <c r="EK114" i="12"/>
  <c r="EJ68" i="12"/>
  <c r="F23" i="13"/>
  <c r="EK76" i="12"/>
  <c r="F32" i="13"/>
  <c r="F87" i="13"/>
  <c r="FA82" i="12" s="1"/>
  <c r="EK15" i="12"/>
  <c r="EK137" i="12"/>
  <c r="EJ49" i="12"/>
  <c r="EJ56" i="12"/>
  <c r="EI74" i="12"/>
  <c r="EJ107" i="12"/>
  <c r="EI42" i="12"/>
  <c r="F67" i="13"/>
  <c r="EK116" i="12"/>
  <c r="EK219" i="12"/>
  <c r="EK58" i="12"/>
  <c r="EK193" i="12"/>
  <c r="EJ137" i="12"/>
  <c r="EJ121" i="12"/>
  <c r="EK127" i="12"/>
  <c r="EJ135" i="12"/>
  <c r="EI102" i="12"/>
  <c r="EI162" i="12"/>
  <c r="EI52" i="12"/>
  <c r="EJ10" i="12"/>
  <c r="EK82" i="12"/>
  <c r="EI114" i="12"/>
  <c r="EK173" i="12"/>
  <c r="EI117" i="12"/>
  <c r="EK42" i="12"/>
  <c r="F9" i="13"/>
  <c r="EI93" i="12"/>
  <c r="EK60" i="12"/>
  <c r="EK54" i="12"/>
  <c r="EK105" i="12"/>
  <c r="F95" i="13"/>
  <c r="EJ76" i="12"/>
  <c r="EJ126" i="12"/>
  <c r="J3" i="12"/>
  <c r="EJ124" i="12"/>
  <c r="F51" i="13"/>
  <c r="EK151" i="12"/>
  <c r="EJ12" i="12"/>
  <c r="EK178" i="12"/>
  <c r="EJ46" i="12"/>
  <c r="FA78" i="12"/>
  <c r="EJ206" i="12"/>
  <c r="EI125" i="12"/>
  <c r="F48" i="13"/>
  <c r="EI99" i="12"/>
  <c r="EK31" i="12"/>
  <c r="EI36" i="12"/>
  <c r="EK61" i="12"/>
  <c r="EK156" i="12"/>
  <c r="EI216" i="12"/>
  <c r="EK145" i="12"/>
  <c r="EK163" i="12"/>
  <c r="EJ53" i="12"/>
  <c r="EK75" i="12"/>
  <c r="F52" i="13"/>
  <c r="F18" i="13"/>
  <c r="EK13" i="12"/>
  <c r="EK208" i="12"/>
  <c r="EK162" i="12"/>
  <c r="EK12" i="12"/>
  <c r="EJ204" i="12"/>
  <c r="EJ188" i="12"/>
  <c r="EI181" i="12"/>
  <c r="EI96" i="12"/>
  <c r="F29" i="13"/>
  <c r="F69" i="13"/>
  <c r="EK25" i="12"/>
  <c r="EK152" i="12"/>
  <c r="EI19" i="12"/>
  <c r="EK80" i="12"/>
  <c r="EK88" i="12"/>
  <c r="EJ72" i="12"/>
  <c r="F105" i="13"/>
  <c r="EI200" i="12"/>
  <c r="EI184" i="12"/>
  <c r="EK136" i="12"/>
  <c r="EK170" i="12"/>
  <c r="F61" i="13"/>
  <c r="EI8" i="12"/>
  <c r="EK198" i="12"/>
  <c r="EJ175" i="12"/>
  <c r="EI152" i="12"/>
  <c r="EJ39" i="12"/>
  <c r="EI90" i="12"/>
  <c r="EK132" i="12"/>
  <c r="EJ155" i="12"/>
  <c r="EI213" i="12"/>
  <c r="F72" i="13"/>
  <c r="FA67" i="12" s="1"/>
  <c r="EK218" i="12"/>
  <c r="F49" i="13"/>
  <c r="F40" i="13"/>
  <c r="EI109" i="12"/>
  <c r="EI86" i="12"/>
  <c r="F68" i="13"/>
  <c r="EI166" i="12"/>
  <c r="EJ106" i="12"/>
  <c r="EJ15" i="12"/>
  <c r="EK73" i="12"/>
  <c r="EJ177" i="12"/>
  <c r="EJ104" i="12"/>
  <c r="EI79" i="12"/>
  <c r="EK41" i="12"/>
  <c r="EI35" i="12"/>
  <c r="EI94" i="12"/>
  <c r="EJ21" i="12"/>
  <c r="F10" i="13"/>
  <c r="EJ25" i="12"/>
  <c r="EI26" i="12"/>
  <c r="EI176" i="12"/>
  <c r="EK143" i="12"/>
  <c r="FA63" i="12"/>
  <c r="EK206" i="12"/>
  <c r="EK64" i="12"/>
  <c r="EI168" i="12"/>
  <c r="FA44" i="12"/>
  <c r="EI183" i="12"/>
  <c r="EI148" i="12"/>
  <c r="EI147" i="12"/>
  <c r="F98" i="13"/>
  <c r="F14" i="13"/>
  <c r="FA9" i="12" s="1"/>
  <c r="F88" i="13"/>
  <c r="EJ171" i="12"/>
  <c r="EI189" i="12"/>
  <c r="EK175" i="12"/>
  <c r="EK70" i="12"/>
  <c r="EJ145" i="12"/>
  <c r="EK26" i="12"/>
  <c r="EJ120" i="12"/>
  <c r="EK204" i="12"/>
  <c r="EK216" i="12"/>
  <c r="EJ159" i="12"/>
  <c r="EK138" i="12"/>
  <c r="EJ22" i="12"/>
  <c r="EJ113" i="12"/>
  <c r="EI16" i="12"/>
  <c r="EI101" i="12"/>
  <c r="F19" i="13"/>
  <c r="EI164" i="12"/>
  <c r="EI40" i="12"/>
  <c r="EK217" i="12"/>
  <c r="EI120" i="12"/>
  <c r="EI188" i="12"/>
  <c r="EJ194" i="12"/>
  <c r="EJ34" i="12"/>
  <c r="EI185" i="12"/>
  <c r="EJ182" i="12"/>
  <c r="EJ101" i="12"/>
  <c r="EJ215" i="12"/>
  <c r="F78" i="13"/>
  <c r="EK181" i="12"/>
  <c r="EI83" i="12"/>
  <c r="EK33" i="12"/>
  <c r="EJ16" i="12"/>
  <c r="EK84" i="12"/>
  <c r="EK103" i="12"/>
  <c r="EI130" i="12"/>
  <c r="EK123" i="12"/>
  <c r="F41" i="13"/>
  <c r="EJ185" i="12"/>
  <c r="EJ27" i="12"/>
  <c r="EK10" i="12"/>
  <c r="EJ14" i="12"/>
  <c r="EK85" i="12"/>
  <c r="EJ90" i="12"/>
  <c r="EJ132" i="12"/>
  <c r="EJ32" i="12"/>
  <c r="EJ23" i="12"/>
  <c r="EI127" i="12"/>
  <c r="EJ187" i="12"/>
  <c r="EI51" i="12"/>
  <c r="EK194" i="12"/>
  <c r="F56" i="13"/>
  <c r="EI58" i="12"/>
  <c r="DA2" i="12"/>
  <c r="EK6" i="12"/>
  <c r="EI203" i="12"/>
  <c r="EI180" i="12"/>
  <c r="EI167" i="12"/>
  <c r="EI11" i="12"/>
  <c r="EI87" i="12"/>
  <c r="EI217" i="12"/>
  <c r="EI123" i="12"/>
  <c r="EI89" i="12"/>
  <c r="EK106" i="12"/>
  <c r="EJ75" i="12"/>
  <c r="EK47" i="12"/>
  <c r="EI84" i="12"/>
  <c r="EK20" i="12"/>
  <c r="EI150" i="12"/>
  <c r="EK19" i="12"/>
  <c r="EI73" i="12"/>
  <c r="EK11" i="12"/>
  <c r="EJ193" i="12"/>
  <c r="F85" i="13"/>
  <c r="EK104" i="12"/>
  <c r="EK35" i="12"/>
  <c r="EJ117" i="12"/>
  <c r="EJ153" i="12"/>
  <c r="EJ136" i="12"/>
  <c r="EI186" i="12"/>
  <c r="F21" i="13"/>
  <c r="EK63" i="12"/>
  <c r="EJ37" i="12"/>
  <c r="EI66" i="12"/>
  <c r="EJ66" i="12"/>
  <c r="EK48" i="12"/>
  <c r="EK36" i="12"/>
  <c r="EJ216" i="12"/>
  <c r="EK207" i="12"/>
  <c r="EI158" i="12"/>
  <c r="EK62" i="12"/>
  <c r="EI197" i="12"/>
  <c r="EK115" i="12"/>
  <c r="EK201" i="12"/>
  <c r="EJ203" i="12"/>
  <c r="EJ94" i="12"/>
  <c r="EI67" i="12"/>
  <c r="EK9" i="12"/>
  <c r="EK176" i="12"/>
  <c r="EK139" i="12"/>
  <c r="EJ74" i="12"/>
  <c r="EI209" i="12"/>
  <c r="EK155" i="12"/>
  <c r="EJ213" i="12"/>
  <c r="EJ166" i="12"/>
  <c r="EI47" i="12"/>
  <c r="EJ102" i="12"/>
  <c r="EJ89" i="12"/>
  <c r="EI21" i="12"/>
  <c r="EJ35" i="12"/>
  <c r="EJ150" i="12"/>
  <c r="EK55" i="12"/>
  <c r="EK166" i="12"/>
  <c r="EK183" i="12"/>
  <c r="EJ80" i="12"/>
  <c r="F107" i="13"/>
  <c r="F42" i="13"/>
  <c r="EI104" i="12"/>
  <c r="EJ98" i="12"/>
  <c r="EI14" i="12"/>
  <c r="F55" i="13"/>
  <c r="EI107" i="12"/>
  <c r="EI41" i="12"/>
  <c r="EJ197" i="12"/>
  <c r="EK164" i="12"/>
  <c r="EK94" i="12"/>
  <c r="EJ201" i="12"/>
  <c r="EI49" i="12"/>
  <c r="EI97" i="12"/>
  <c r="EI131" i="12"/>
  <c r="EJ181" i="12"/>
  <c r="EJ130" i="12"/>
  <c r="EK50" i="12"/>
  <c r="EJ174" i="12"/>
  <c r="EJ57" i="12"/>
  <c r="EJ48" i="12"/>
  <c r="EJ146" i="12"/>
  <c r="EJ43" i="12"/>
  <c r="EI46" i="12"/>
  <c r="EI214" i="12"/>
  <c r="EI88" i="12"/>
  <c r="F17" i="13"/>
  <c r="EK45" i="12"/>
  <c r="FA85" i="12"/>
  <c r="EI121" i="12"/>
  <c r="EJ207" i="12"/>
  <c r="EJ163" i="12"/>
  <c r="EK141" i="12"/>
  <c r="EK108" i="12"/>
  <c r="EK97" i="12"/>
  <c r="EI169" i="12"/>
  <c r="EJ109" i="12"/>
  <c r="EK21" i="12"/>
  <c r="EJ81" i="12"/>
  <c r="EJ95" i="12"/>
  <c r="EK140" i="12"/>
  <c r="F106" i="13"/>
  <c r="EJ30" i="12"/>
  <c r="EK101" i="12"/>
  <c r="EK112" i="12"/>
  <c r="EI156" i="12"/>
  <c r="EK81" i="12"/>
  <c r="EI28" i="12"/>
  <c r="EJ196" i="12"/>
  <c r="EI154" i="12"/>
  <c r="EI134" i="12"/>
  <c r="EI32" i="12"/>
  <c r="EI75" i="12"/>
  <c r="EJ73" i="12"/>
  <c r="EK39" i="12"/>
  <c r="F101" i="13"/>
  <c r="EJ199" i="12"/>
  <c r="EI205" i="12"/>
  <c r="EI146" i="12"/>
  <c r="EI136" i="12"/>
  <c r="EJ114" i="12"/>
  <c r="EK202" i="12"/>
  <c r="EI151" i="12"/>
  <c r="EI124" i="12"/>
  <c r="EJ129" i="12"/>
  <c r="EK153" i="12"/>
  <c r="EK99" i="12"/>
  <c r="EJ167" i="12"/>
  <c r="EK38" i="12"/>
  <c r="EI12" i="12"/>
  <c r="EJ67" i="12"/>
  <c r="EJ4" i="12"/>
  <c r="F28" i="13"/>
  <c r="F47" i="13"/>
  <c r="F30" i="13"/>
  <c r="FA76" i="12"/>
  <c r="EI142" i="12"/>
  <c r="EK86" i="12"/>
  <c r="A1" i="12"/>
  <c r="EI103" i="12"/>
  <c r="EJ82" i="12"/>
  <c r="EJ18" i="12"/>
  <c r="EJ87" i="12"/>
  <c r="EK87" i="12"/>
  <c r="EY1" i="12"/>
  <c r="EI211" i="12"/>
  <c r="EJ110" i="12"/>
  <c r="EK49" i="12"/>
  <c r="FA11" i="12"/>
  <c r="EK44" i="12"/>
  <c r="FA81" i="12"/>
  <c r="EJ112" i="12"/>
  <c r="EI5" i="12"/>
  <c r="EI190" i="12"/>
  <c r="EK209" i="12"/>
  <c r="EJ149" i="12"/>
  <c r="EI78" i="12"/>
  <c r="EI59" i="12"/>
  <c r="EI187" i="12"/>
  <c r="FA18" i="12"/>
  <c r="F82" i="13"/>
  <c r="EJ92" i="12"/>
  <c r="EJ142" i="12"/>
  <c r="EJ161" i="12"/>
  <c r="EI113" i="12"/>
  <c r="F44" i="13"/>
  <c r="FA39" i="12" s="1"/>
  <c r="EK124" i="12"/>
  <c r="F46" i="13"/>
  <c r="EI165" i="12"/>
  <c r="F79" i="13"/>
  <c r="EK133" i="12"/>
  <c r="EI199" i="12"/>
  <c r="EJ210" i="12"/>
  <c r="EJ42" i="12"/>
  <c r="EI172" i="12"/>
  <c r="F13" i="13"/>
  <c r="EJ52" i="12"/>
  <c r="EI4" i="12"/>
  <c r="EJ31" i="12"/>
  <c r="EJ55" i="12"/>
  <c r="FA52" i="12"/>
  <c r="EI98" i="12"/>
  <c r="EI116" i="12"/>
  <c r="EX1" i="12"/>
  <c r="EJ158" i="12"/>
  <c r="EJ140" i="12"/>
  <c r="EK186" i="12"/>
  <c r="EJ138" i="12"/>
  <c r="F33" i="13"/>
  <c r="EK32" i="12"/>
  <c r="EJ65" i="12"/>
  <c r="EJ198" i="12"/>
  <c r="F75" i="13"/>
  <c r="EK189" i="12"/>
  <c r="EJ59" i="12"/>
  <c r="EJ8" i="12"/>
  <c r="EJ116" i="12"/>
  <c r="EK158" i="12"/>
  <c r="EI31" i="12"/>
  <c r="EI72" i="12"/>
  <c r="EJ165" i="12"/>
  <c r="EK57" i="12"/>
  <c r="EK23" i="12"/>
  <c r="F45" i="13"/>
  <c r="FA40" i="12" s="1"/>
  <c r="EJ19" i="12"/>
  <c r="EI82" i="12"/>
  <c r="EK135" i="12"/>
  <c r="EK125" i="12"/>
  <c r="EJ172" i="12"/>
  <c r="EK71" i="12"/>
  <c r="EI198" i="12"/>
  <c r="EJ97" i="12"/>
  <c r="EK118" i="12"/>
  <c r="EI207" i="12"/>
  <c r="EJ219" i="12"/>
  <c r="EJ189" i="12"/>
  <c r="EJ162" i="12"/>
  <c r="EJ70" i="12"/>
  <c r="EJ141" i="12"/>
  <c r="EI141" i="12"/>
  <c r="EK18" i="12"/>
  <c r="EJ9" i="12"/>
  <c r="EI128" i="12"/>
  <c r="EJ169" i="12"/>
  <c r="EJ119" i="12"/>
  <c r="EJ192" i="12"/>
  <c r="EI65" i="12"/>
  <c r="EI192" i="12"/>
  <c r="EI80" i="12"/>
  <c r="EK8" i="12"/>
  <c r="EJ205" i="12"/>
  <c r="EJ176" i="12"/>
  <c r="F74" i="13"/>
  <c r="EK67" i="12"/>
  <c r="F20" i="13"/>
  <c r="FA15" i="12" s="1"/>
  <c r="EK109" i="12"/>
  <c r="EJ179" i="12"/>
  <c r="EK121" i="12"/>
  <c r="EI160" i="12"/>
  <c r="EK195" i="12"/>
  <c r="EJ41" i="12"/>
  <c r="EI115" i="12"/>
  <c r="F63" i="13"/>
  <c r="EJ54" i="12"/>
  <c r="EJ184" i="12"/>
  <c r="F100" i="13"/>
  <c r="EK98" i="12"/>
  <c r="FA38" i="12"/>
  <c r="EI202" i="12"/>
  <c r="EK169" i="12"/>
  <c r="EJ180" i="12"/>
  <c r="EJ93" i="12"/>
  <c r="EK210" i="12"/>
  <c r="EK53" i="12"/>
  <c r="EI34" i="12"/>
  <c r="EK148" i="12"/>
  <c r="EK172" i="12"/>
  <c r="EI171" i="12"/>
  <c r="EK154" i="12"/>
  <c r="F35" i="13"/>
  <c r="FA30" i="12" s="1"/>
  <c r="EI219" i="12"/>
  <c r="EJ122" i="12"/>
  <c r="EJ26" i="12"/>
  <c r="EJ186" i="12"/>
  <c r="EK77" i="12"/>
  <c r="EK122" i="12"/>
  <c r="EK174" i="12"/>
  <c r="EJ13" i="12"/>
  <c r="EI179" i="12"/>
  <c r="F22" i="13"/>
  <c r="EI10" i="12"/>
  <c r="EI33" i="12"/>
  <c r="FA19" i="12"/>
  <c r="EI27" i="12"/>
  <c r="EK144" i="12"/>
  <c r="EI63" i="12"/>
  <c r="EK37" i="12"/>
  <c r="EJ217" i="12"/>
  <c r="EI53" i="12"/>
  <c r="F50" i="13"/>
  <c r="JG1" i="12"/>
  <c r="EK214" i="12"/>
  <c r="EJ79" i="12"/>
  <c r="F60" i="13"/>
  <c r="FA3" i="12"/>
  <c r="EJ17" i="12"/>
  <c r="EJ214" i="12"/>
  <c r="EJ71" i="12"/>
  <c r="EK40" i="12"/>
  <c r="EI132" i="12"/>
  <c r="EJ60" i="12"/>
  <c r="F38" i="13"/>
  <c r="EK83" i="12"/>
  <c r="EI91" i="12"/>
  <c r="F96" i="13"/>
  <c r="EJ125" i="12"/>
  <c r="EJ99" i="12"/>
  <c r="EI9" i="12"/>
  <c r="F84" i="13"/>
  <c r="EJ183" i="12"/>
  <c r="EK177" i="12"/>
  <c r="EJ160" i="12"/>
  <c r="F99" i="13"/>
  <c r="EI178" i="12"/>
  <c r="EK131" i="12"/>
  <c r="EI137" i="12"/>
  <c r="EI7" i="12"/>
  <c r="EI57" i="12"/>
  <c r="EK215" i="12"/>
  <c r="EK68" i="12"/>
  <c r="EK211" i="12"/>
  <c r="EK79" i="12"/>
  <c r="EJ164" i="12"/>
  <c r="EK17" i="12"/>
  <c r="EJ40" i="12"/>
  <c r="EK5" i="12"/>
  <c r="EK130" i="12"/>
  <c r="EJ151" i="12"/>
  <c r="EI48" i="12"/>
  <c r="EJ173" i="12"/>
  <c r="EJ38" i="12"/>
  <c r="EK7" i="12"/>
  <c r="EI92" i="12"/>
  <c r="EJ108" i="12"/>
  <c r="F15" i="13"/>
  <c r="FA10" i="12" s="1"/>
  <c r="EI17" i="12"/>
  <c r="F27" i="13"/>
  <c r="FA22" i="12" s="1"/>
  <c r="EI71" i="12"/>
  <c r="F73" i="13"/>
  <c r="FA68" i="12" s="1"/>
  <c r="EJ45" i="12"/>
  <c r="EK212" i="12"/>
  <c r="EI182" i="12"/>
  <c r="EJ77" i="12"/>
  <c r="EI100" i="12"/>
  <c r="EK128" i="12"/>
  <c r="EI218" i="12"/>
  <c r="EK22" i="12"/>
  <c r="EK126" i="12"/>
  <c r="EJ20" i="12"/>
  <c r="EJ195" i="12"/>
  <c r="EJ168" i="12"/>
  <c r="EK197" i="12"/>
  <c r="EK179" i="12"/>
  <c r="EK91" i="12"/>
  <c r="EI95" i="12"/>
  <c r="F76" i="13"/>
  <c r="EK110" i="12"/>
  <c r="EJ50" i="12"/>
  <c r="FA83" i="12"/>
  <c r="EK160" i="12"/>
  <c r="FA96" i="12"/>
  <c r="EI194" i="12"/>
  <c r="EK65" i="12"/>
  <c r="EK14" i="12"/>
  <c r="EJ62" i="12"/>
  <c r="EJ5" i="12"/>
  <c r="EK59" i="12"/>
  <c r="EJ148" i="12"/>
  <c r="EK199" i="12"/>
  <c r="EJ88" i="12"/>
  <c r="EK78" i="12"/>
  <c r="EI22" i="12"/>
  <c r="FB1" i="12"/>
  <c r="EK185" i="12"/>
  <c r="EK74" i="12"/>
  <c r="EI210" i="12"/>
  <c r="EJ96" i="12"/>
  <c r="EK168" i="12"/>
  <c r="EI111" i="12"/>
  <c r="EK66" i="12"/>
  <c r="EK46" i="12"/>
  <c r="EI153" i="12"/>
  <c r="EI159" i="12"/>
  <c r="EK188" i="12"/>
  <c r="EJ170" i="12"/>
  <c r="EI29" i="12"/>
  <c r="EI206" i="12"/>
  <c r="EI24" i="12"/>
  <c r="EI106" i="12"/>
  <c r="F104" i="13"/>
  <c r="EI191" i="12"/>
  <c r="EI13" i="12"/>
  <c r="EJ105" i="12"/>
  <c r="EJ7" i="12"/>
  <c r="EK182" i="12"/>
  <c r="FA48" i="12"/>
  <c r="EJ211" i="12"/>
  <c r="EJ127" i="12"/>
  <c r="G22" i="12" l="1"/>
  <c r="I94" i="12"/>
  <c r="H74" i="12"/>
  <c r="H135" i="12"/>
  <c r="H183" i="12"/>
  <c r="I22" i="12"/>
  <c r="I181" i="12"/>
  <c r="H142" i="12"/>
  <c r="I26" i="12"/>
  <c r="H154" i="12"/>
  <c r="G108" i="12"/>
  <c r="G198" i="12"/>
  <c r="H127" i="12"/>
  <c r="H33" i="12"/>
  <c r="H53" i="12"/>
  <c r="I166" i="12"/>
  <c r="I60" i="12"/>
  <c r="G56" i="12"/>
  <c r="H73" i="12"/>
  <c r="H81" i="12"/>
  <c r="I186" i="12"/>
  <c r="G70" i="12"/>
  <c r="G164" i="12"/>
  <c r="I165" i="12"/>
  <c r="H108" i="12"/>
  <c r="I79" i="12"/>
  <c r="H75" i="12"/>
  <c r="I97" i="12"/>
  <c r="G25" i="12"/>
  <c r="G170" i="12"/>
  <c r="H46" i="12"/>
  <c r="G128" i="12"/>
  <c r="H43" i="12"/>
  <c r="I78" i="12"/>
  <c r="G218" i="12"/>
  <c r="I86" i="12"/>
  <c r="I153" i="12"/>
  <c r="I170" i="12"/>
  <c r="H14" i="12"/>
  <c r="G33" i="12"/>
  <c r="G62" i="12"/>
  <c r="I98" i="12"/>
  <c r="I207" i="12"/>
  <c r="H117" i="12"/>
  <c r="G201" i="12"/>
  <c r="G172" i="12"/>
  <c r="I44" i="12"/>
  <c r="G168" i="12"/>
  <c r="I41" i="12"/>
  <c r="G144" i="12"/>
  <c r="H123" i="12"/>
  <c r="I164" i="12"/>
  <c r="H50" i="12"/>
  <c r="I139" i="12"/>
  <c r="I127" i="12"/>
  <c r="H49" i="12"/>
  <c r="I182" i="12"/>
  <c r="H29" i="12"/>
  <c r="I154" i="12"/>
  <c r="H145" i="12"/>
  <c r="H103" i="12"/>
  <c r="I71" i="12"/>
  <c r="G31" i="12"/>
  <c r="G159" i="12"/>
  <c r="I163" i="12"/>
  <c r="H92" i="12"/>
  <c r="G93" i="12"/>
  <c r="H64" i="12"/>
  <c r="I111" i="12"/>
  <c r="G75" i="12"/>
  <c r="G43" i="12"/>
  <c r="I55" i="12"/>
  <c r="H6" i="12"/>
  <c r="AH5" i="12" s="1"/>
  <c r="I211" i="12"/>
  <c r="I106" i="12"/>
  <c r="I108" i="12"/>
  <c r="H140" i="12"/>
  <c r="G30" i="12"/>
  <c r="G92" i="12"/>
  <c r="H9" i="12"/>
  <c r="AH8" i="12" s="1"/>
  <c r="I218" i="12"/>
  <c r="G58" i="12"/>
  <c r="H146" i="12"/>
  <c r="H88" i="12"/>
  <c r="I178" i="12"/>
  <c r="I128" i="12"/>
  <c r="I67" i="12"/>
  <c r="H129" i="12"/>
  <c r="G68" i="12"/>
  <c r="I136" i="12"/>
  <c r="I10" i="12"/>
  <c r="G10" i="12"/>
  <c r="G142" i="12"/>
  <c r="I35" i="12"/>
  <c r="H211" i="12"/>
  <c r="G96" i="12"/>
  <c r="H42" i="12"/>
  <c r="I117" i="12"/>
  <c r="H216" i="12"/>
  <c r="G79" i="12"/>
  <c r="G149" i="12"/>
  <c r="G69" i="12"/>
  <c r="H197" i="12"/>
  <c r="I110" i="12"/>
  <c r="I176" i="12"/>
  <c r="I64" i="12"/>
  <c r="I137" i="12"/>
  <c r="G9" i="12"/>
  <c r="H7" i="12"/>
  <c r="AH6" i="12" s="1"/>
  <c r="AR6" i="12" s="1"/>
  <c r="H215" i="12"/>
  <c r="G171" i="12"/>
  <c r="I70" i="12"/>
  <c r="H121" i="12"/>
  <c r="I159" i="12"/>
  <c r="H172" i="12"/>
  <c r="H71" i="12"/>
  <c r="G153" i="12"/>
  <c r="I145" i="12"/>
  <c r="G208" i="12"/>
  <c r="G32" i="12"/>
  <c r="I21" i="12"/>
  <c r="H79" i="12"/>
  <c r="I113" i="12"/>
  <c r="H150" i="12"/>
  <c r="I200" i="12"/>
  <c r="I68" i="12"/>
  <c r="G89" i="12"/>
  <c r="I141" i="12"/>
  <c r="H158" i="12"/>
  <c r="G76" i="12"/>
  <c r="G101" i="12"/>
  <c r="I100" i="12"/>
  <c r="I7" i="12"/>
  <c r="AI6" i="12" s="1"/>
  <c r="I18" i="12"/>
  <c r="H48" i="12"/>
  <c r="I199" i="12"/>
  <c r="H12" i="12"/>
  <c r="G100" i="12"/>
  <c r="G124" i="12"/>
  <c r="I213" i="12"/>
  <c r="G184" i="12"/>
  <c r="H27" i="12"/>
  <c r="H24" i="12"/>
  <c r="H184" i="12"/>
  <c r="I104" i="12"/>
  <c r="I92" i="12"/>
  <c r="G85" i="12"/>
  <c r="G181" i="12"/>
  <c r="H210" i="12"/>
  <c r="H51" i="12"/>
  <c r="I49" i="12"/>
  <c r="I36" i="12"/>
  <c r="H104" i="12"/>
  <c r="H202" i="12"/>
  <c r="G60" i="12"/>
  <c r="I93" i="12"/>
  <c r="G41" i="12"/>
  <c r="I9" i="12"/>
  <c r="I206" i="12"/>
  <c r="I15" i="12"/>
  <c r="H99" i="12"/>
  <c r="H105" i="12"/>
  <c r="G23" i="12"/>
  <c r="H101" i="12"/>
  <c r="I172" i="12"/>
  <c r="I175" i="12"/>
  <c r="H137" i="12"/>
  <c r="I190" i="12"/>
  <c r="I125" i="12"/>
  <c r="I158" i="12"/>
  <c r="I46" i="12"/>
  <c r="G216" i="12"/>
  <c r="I42" i="12"/>
  <c r="H47" i="12"/>
  <c r="H86" i="12"/>
  <c r="G134" i="12"/>
  <c r="I189" i="12"/>
  <c r="I214" i="12"/>
  <c r="G212" i="12"/>
  <c r="H35" i="12"/>
  <c r="G54" i="12"/>
  <c r="H28" i="12"/>
  <c r="I215" i="12"/>
  <c r="G123" i="12"/>
  <c r="H163" i="12"/>
  <c r="EX3" i="12"/>
  <c r="EW292" i="12" s="1"/>
  <c r="H191" i="12"/>
  <c r="G16" i="12"/>
  <c r="G204" i="12"/>
  <c r="H38" i="12"/>
  <c r="G141" i="12"/>
  <c r="G213" i="12"/>
  <c r="I194" i="12"/>
  <c r="H57" i="12"/>
  <c r="H148" i="12"/>
  <c r="I151" i="12"/>
  <c r="H77" i="12"/>
  <c r="H176" i="12"/>
  <c r="G151" i="12"/>
  <c r="H157" i="12"/>
  <c r="G200" i="12"/>
  <c r="H185" i="12"/>
  <c r="G179" i="12"/>
  <c r="H208" i="12"/>
  <c r="H54" i="12"/>
  <c r="H212" i="12"/>
  <c r="H188" i="12"/>
  <c r="G199" i="12"/>
  <c r="H134" i="12"/>
  <c r="H110" i="12"/>
  <c r="I48" i="12"/>
  <c r="H177" i="12"/>
  <c r="G129" i="12"/>
  <c r="I161" i="12"/>
  <c r="G107" i="12"/>
  <c r="G95" i="12"/>
  <c r="G67" i="12"/>
  <c r="I191" i="12"/>
  <c r="G13" i="12"/>
  <c r="G105" i="12"/>
  <c r="H182" i="12"/>
  <c r="I148" i="12"/>
  <c r="G189" i="12"/>
  <c r="I193" i="12"/>
  <c r="I96" i="12"/>
  <c r="H125" i="12"/>
  <c r="H214" i="12"/>
  <c r="I66" i="12"/>
  <c r="I156" i="12"/>
  <c r="G187" i="12"/>
  <c r="G117" i="12"/>
  <c r="I69" i="12"/>
  <c r="I135" i="12"/>
  <c r="H109" i="12"/>
  <c r="G64" i="12"/>
  <c r="G21" i="12"/>
  <c r="G118" i="12"/>
  <c r="H91" i="12"/>
  <c r="G57" i="12"/>
  <c r="G154" i="12"/>
  <c r="H207" i="12"/>
  <c r="G116" i="12"/>
  <c r="H131" i="12"/>
  <c r="H113" i="12"/>
  <c r="I28" i="12"/>
  <c r="H173" i="12"/>
  <c r="H141" i="12"/>
  <c r="G217" i="12"/>
  <c r="G51" i="12"/>
  <c r="H174" i="12"/>
  <c r="I59" i="12"/>
  <c r="G182" i="12"/>
  <c r="H205" i="12"/>
  <c r="I202" i="12"/>
  <c r="H155" i="12"/>
  <c r="H13" i="12"/>
  <c r="H36" i="12"/>
  <c r="H193" i="12"/>
  <c r="I150" i="12"/>
  <c r="H204" i="12"/>
  <c r="I133" i="12"/>
  <c r="G18" i="12"/>
  <c r="G211" i="12"/>
  <c r="H66" i="12"/>
  <c r="I73" i="12"/>
  <c r="G38" i="12"/>
  <c r="G143" i="12"/>
  <c r="I91" i="12"/>
  <c r="H94" i="12"/>
  <c r="I143" i="12"/>
  <c r="G195" i="12"/>
  <c r="G191" i="12"/>
  <c r="H133" i="12"/>
  <c r="G185" i="12"/>
  <c r="G34" i="12"/>
  <c r="H171" i="12"/>
  <c r="I58" i="12"/>
  <c r="I34" i="12"/>
  <c r="G111" i="12"/>
  <c r="I61" i="12"/>
  <c r="G59" i="12"/>
  <c r="I173" i="12"/>
  <c r="I119" i="12"/>
  <c r="G82" i="12"/>
  <c r="G169" i="12"/>
  <c r="H139" i="12"/>
  <c r="H89" i="12"/>
  <c r="G20" i="12"/>
  <c r="G7" i="12"/>
  <c r="AG6" i="12" s="1"/>
  <c r="AQ6" i="12" s="1"/>
  <c r="H196" i="12"/>
  <c r="G121" i="12"/>
  <c r="G98" i="12"/>
  <c r="H118" i="12"/>
  <c r="H22" i="12"/>
  <c r="I184" i="12"/>
  <c r="G48" i="12"/>
  <c r="G87" i="12"/>
  <c r="H187" i="12"/>
  <c r="I50" i="12"/>
  <c r="H5" i="12"/>
  <c r="AH4" i="12" s="1"/>
  <c r="H124" i="12"/>
  <c r="I212" i="12"/>
  <c r="I8" i="12"/>
  <c r="AI7" i="12" s="1"/>
  <c r="H70" i="12"/>
  <c r="I132" i="12"/>
  <c r="H72" i="12"/>
  <c r="I123" i="12"/>
  <c r="I174" i="12"/>
  <c r="I107" i="12"/>
  <c r="H114" i="12"/>
  <c r="H85" i="12"/>
  <c r="I12" i="12"/>
  <c r="G81" i="12"/>
  <c r="G115" i="12"/>
  <c r="G66" i="12"/>
  <c r="I11" i="12"/>
  <c r="I16" i="12"/>
  <c r="G14" i="12"/>
  <c r="I179" i="12"/>
  <c r="G176" i="12"/>
  <c r="H15" i="12"/>
  <c r="H143" i="12"/>
  <c r="I180" i="12"/>
  <c r="H34" i="12"/>
  <c r="I53" i="12"/>
  <c r="EW1" i="12"/>
  <c r="EZ1" i="12"/>
  <c r="EZ2" i="12" s="1"/>
  <c r="FC2" i="12" s="1"/>
  <c r="I219" i="12"/>
  <c r="I76" i="12"/>
  <c r="G91" i="12"/>
  <c r="H116" i="12"/>
  <c r="I168" i="12"/>
  <c r="G36" i="12"/>
  <c r="G78" i="12"/>
  <c r="H203" i="12"/>
  <c r="G193" i="12"/>
  <c r="I30" i="12"/>
  <c r="H19" i="12"/>
  <c r="G53" i="12"/>
  <c r="I72" i="12"/>
  <c r="H102" i="12"/>
  <c r="G110" i="12"/>
  <c r="G28" i="12"/>
  <c r="I196" i="12"/>
  <c r="I138" i="12"/>
  <c r="G114" i="12"/>
  <c r="H151" i="12"/>
  <c r="G137" i="12"/>
  <c r="G11" i="12"/>
  <c r="G127" i="12"/>
  <c r="H130" i="12"/>
  <c r="H62" i="12"/>
  <c r="K244" i="5"/>
  <c r="K271" i="5"/>
  <c r="K225" i="5"/>
  <c r="K126" i="5"/>
  <c r="K259" i="5"/>
  <c r="K255" i="5"/>
  <c r="K70" i="5"/>
  <c r="K105" i="5"/>
  <c r="K185" i="5"/>
  <c r="K169" i="5"/>
  <c r="K120" i="5"/>
  <c r="K268" i="5"/>
  <c r="K141" i="5"/>
  <c r="K204" i="5"/>
  <c r="K82" i="5"/>
  <c r="K153" i="5"/>
  <c r="K280" i="5"/>
  <c r="K267" i="5"/>
  <c r="K226" i="5"/>
  <c r="K123" i="5"/>
  <c r="K132" i="5"/>
  <c r="K234" i="5"/>
  <c r="K305" i="5"/>
  <c r="K281" i="5"/>
  <c r="K227" i="5"/>
  <c r="K128" i="5"/>
  <c r="K260" i="5"/>
  <c r="K287" i="5"/>
  <c r="K150" i="5"/>
  <c r="K224" i="5"/>
  <c r="K214" i="5"/>
  <c r="K273" i="5"/>
  <c r="K98" i="5"/>
  <c r="K285" i="5"/>
  <c r="K165" i="5"/>
  <c r="K195" i="5"/>
  <c r="K117" i="5"/>
  <c r="K87" i="5"/>
  <c r="K219" i="5"/>
  <c r="K183" i="5"/>
  <c r="K218" i="5"/>
  <c r="K174" i="5"/>
  <c r="K264" i="5"/>
  <c r="K77" i="5"/>
  <c r="K125" i="5"/>
  <c r="K306" i="5"/>
  <c r="K104" i="5"/>
  <c r="K113" i="5"/>
  <c r="K74" i="5"/>
  <c r="K99" i="5"/>
  <c r="K191" i="5"/>
  <c r="K95" i="5"/>
  <c r="K93" i="5"/>
  <c r="K292" i="5"/>
  <c r="K101" i="5"/>
  <c r="K272" i="5"/>
  <c r="K106" i="5"/>
  <c r="K85" i="5"/>
  <c r="K76" i="5"/>
  <c r="K190" i="5"/>
  <c r="K270" i="5"/>
  <c r="K278" i="5"/>
  <c r="K80" i="5"/>
  <c r="K140" i="5"/>
  <c r="K252" i="5"/>
  <c r="K239" i="5"/>
  <c r="K147" i="5"/>
  <c r="K207" i="5"/>
  <c r="K221" i="5"/>
  <c r="K211" i="5"/>
  <c r="K176" i="5"/>
  <c r="K72" i="5"/>
  <c r="K118" i="5"/>
  <c r="K157" i="5"/>
  <c r="K83" i="5"/>
  <c r="K135" i="5"/>
  <c r="K71" i="5"/>
  <c r="K236" i="5"/>
  <c r="K67" i="5"/>
  <c r="K92" i="5"/>
  <c r="K97" i="5"/>
  <c r="K247" i="5"/>
  <c r="K210" i="5"/>
  <c r="K90" i="5"/>
  <c r="K79" i="5"/>
  <c r="K110" i="5"/>
  <c r="K284" i="5"/>
  <c r="K180" i="5"/>
  <c r="K282" i="5"/>
  <c r="K237" i="5"/>
  <c r="K152" i="5"/>
  <c r="K203" i="5"/>
  <c r="K136" i="5"/>
  <c r="K81" i="5"/>
  <c r="K294" i="5"/>
  <c r="K246" i="5"/>
  <c r="K182" i="5"/>
  <c r="K133" i="5"/>
  <c r="K112" i="5"/>
  <c r="K223" i="5"/>
  <c r="K179" i="5"/>
  <c r="K202" i="5"/>
  <c r="K69" i="5"/>
  <c r="K291" i="5"/>
  <c r="K194" i="5"/>
  <c r="K103" i="5"/>
  <c r="K248" i="5"/>
  <c r="K188" i="5"/>
  <c r="K166" i="5"/>
  <c r="K243" i="5"/>
  <c r="K298" i="5"/>
  <c r="K258" i="5"/>
  <c r="K156" i="5"/>
  <c r="K172" i="5"/>
  <c r="K307" i="5"/>
  <c r="K295" i="5"/>
  <c r="K279" i="5"/>
  <c r="K161" i="5"/>
  <c r="K209" i="5"/>
  <c r="K94" i="5"/>
  <c r="K205" i="5"/>
  <c r="K304" i="5"/>
  <c r="K119" i="5"/>
  <c r="K75" i="5"/>
  <c r="K175" i="5"/>
  <c r="K254" i="5"/>
  <c r="K300" i="5"/>
  <c r="K269" i="5"/>
  <c r="K251" i="5"/>
  <c r="K129" i="5"/>
  <c r="K122" i="5"/>
  <c r="K230" i="5"/>
  <c r="K127" i="5"/>
  <c r="K289" i="5"/>
  <c r="K215" i="5"/>
  <c r="K158" i="5"/>
  <c r="K198" i="5"/>
  <c r="K148" i="5"/>
  <c r="K89" i="5"/>
  <c r="K233" i="5"/>
  <c r="K171" i="5"/>
  <c r="K274" i="5"/>
  <c r="K151" i="5"/>
  <c r="K111" i="5"/>
  <c r="K65" i="5"/>
  <c r="K290" i="5"/>
  <c r="K228" i="5"/>
  <c r="K275" i="5"/>
  <c r="K303" i="5"/>
  <c r="K162" i="5"/>
  <c r="K144" i="5"/>
  <c r="K240" i="5"/>
  <c r="K193" i="5"/>
  <c r="K276" i="5"/>
  <c r="K216" i="5"/>
  <c r="K253" i="5"/>
  <c r="K91" i="5"/>
  <c r="K167" i="5"/>
  <c r="K199" i="5"/>
  <c r="K220" i="5"/>
  <c r="K160" i="5"/>
  <c r="K137" i="5"/>
  <c r="K115" i="5"/>
  <c r="K73" i="5"/>
  <c r="K149" i="5"/>
  <c r="K197" i="5"/>
  <c r="K164" i="5"/>
  <c r="K222" i="5"/>
  <c r="K241" i="5"/>
  <c r="K108" i="5"/>
  <c r="K212" i="5"/>
  <c r="K249" i="5"/>
  <c r="K109" i="5"/>
  <c r="K261" i="5"/>
  <c r="K64" i="5"/>
  <c r="K238" i="5"/>
  <c r="K145" i="5"/>
  <c r="K170" i="5"/>
  <c r="K263" i="5"/>
  <c r="K301" i="5"/>
  <c r="K168" i="5"/>
  <c r="K257" i="5"/>
  <c r="K84" i="5"/>
  <c r="K66" i="5"/>
  <c r="K293" i="5"/>
  <c r="K206" i="5"/>
  <c r="K288" i="5"/>
  <c r="K242" i="5"/>
  <c r="K139" i="5"/>
  <c r="K78" i="5"/>
  <c r="K134" i="5"/>
  <c r="K68" i="5"/>
  <c r="K213" i="5"/>
  <c r="K245" i="5"/>
  <c r="K163" i="5"/>
  <c r="K299" i="5"/>
  <c r="K217" i="5"/>
  <c r="K297" i="5"/>
  <c r="K121" i="5"/>
  <c r="K189" i="5"/>
  <c r="K283" i="5"/>
  <c r="K308" i="5"/>
  <c r="K154" i="5"/>
  <c r="K181" i="5"/>
  <c r="K229" i="5"/>
  <c r="K96" i="5"/>
  <c r="K102" i="5"/>
  <c r="K146" i="5"/>
  <c r="K262" i="5"/>
  <c r="K178" i="5"/>
  <c r="K114" i="5"/>
  <c r="K201" i="5"/>
  <c r="K184" i="5"/>
  <c r="K266" i="5"/>
  <c r="K159" i="5"/>
  <c r="K277" i="5"/>
  <c r="K286" i="5"/>
  <c r="K250" i="5"/>
  <c r="K116" i="5"/>
  <c r="K196" i="5"/>
  <c r="K302" i="5"/>
  <c r="K124" i="5"/>
  <c r="K88" i="5"/>
  <c r="K256" i="5"/>
  <c r="K100" i="5"/>
  <c r="K130" i="5"/>
  <c r="K186" i="5"/>
  <c r="K265" i="5"/>
  <c r="K138" i="5"/>
  <c r="K86" i="5"/>
  <c r="K296" i="5"/>
  <c r="K192" i="5"/>
  <c r="K235" i="5"/>
  <c r="K187" i="5"/>
  <c r="K131" i="5"/>
  <c r="K232" i="5"/>
  <c r="K63" i="5"/>
  <c r="K155" i="5"/>
  <c r="K208" i="5"/>
  <c r="K173" i="5"/>
  <c r="K200" i="5"/>
  <c r="K177" i="5"/>
  <c r="K143" i="5"/>
  <c r="K107" i="5"/>
  <c r="K231" i="5"/>
  <c r="K142" i="5"/>
  <c r="G174" i="12"/>
  <c r="G80" i="12"/>
  <c r="H162" i="12"/>
  <c r="G90" i="12"/>
  <c r="I88" i="12"/>
  <c r="G130" i="12"/>
  <c r="I122" i="12"/>
  <c r="I142" i="12"/>
  <c r="H4" i="12"/>
  <c r="AH3" i="12" s="1"/>
  <c r="AR3" i="12" s="1"/>
  <c r="AR4" i="12" s="1"/>
  <c r="AR5" i="12" s="1"/>
  <c r="G136" i="12"/>
  <c r="G112" i="12"/>
  <c r="G39" i="12"/>
  <c r="I162" i="12"/>
  <c r="G165" i="12"/>
  <c r="H190" i="12"/>
  <c r="H45" i="12"/>
  <c r="H37" i="12"/>
  <c r="G73" i="12"/>
  <c r="G122" i="12"/>
  <c r="G177" i="12"/>
  <c r="I120" i="12"/>
  <c r="H98" i="12"/>
  <c r="I197" i="12"/>
  <c r="H41" i="12"/>
  <c r="G26" i="12"/>
  <c r="H106" i="12"/>
  <c r="G133" i="12"/>
  <c r="G106" i="12"/>
  <c r="G135" i="12"/>
  <c r="I210" i="12"/>
  <c r="I87" i="12"/>
  <c r="I116" i="12"/>
  <c r="I83" i="12"/>
  <c r="I140" i="12"/>
  <c r="H96" i="12"/>
  <c r="I31" i="12"/>
  <c r="I201" i="12"/>
  <c r="G61" i="12"/>
  <c r="G139" i="12"/>
  <c r="H198" i="12"/>
  <c r="H217" i="12"/>
  <c r="I147" i="12"/>
  <c r="H149" i="12"/>
  <c r="H218" i="12"/>
  <c r="G44" i="12"/>
  <c r="I81" i="12"/>
  <c r="I45" i="12"/>
  <c r="H55" i="12"/>
  <c r="I52" i="12"/>
  <c r="G47" i="12"/>
  <c r="I82" i="12"/>
  <c r="I130" i="12"/>
  <c r="I131" i="12"/>
  <c r="G167" i="12"/>
  <c r="H23" i="12"/>
  <c r="H181" i="12"/>
  <c r="I14" i="12"/>
  <c r="H159" i="12"/>
  <c r="I29" i="12"/>
  <c r="G192" i="12"/>
  <c r="H189" i="12"/>
  <c r="H39" i="12"/>
  <c r="I80" i="12"/>
  <c r="I103" i="12"/>
  <c r="I77" i="12"/>
  <c r="H126" i="12"/>
  <c r="G157" i="12"/>
  <c r="H67" i="12"/>
  <c r="G146" i="12"/>
  <c r="G126" i="12"/>
  <c r="I208" i="12"/>
  <c r="I187" i="12"/>
  <c r="I63" i="12"/>
  <c r="I19" i="12"/>
  <c r="H100" i="12"/>
  <c r="H58" i="12"/>
  <c r="G37" i="12"/>
  <c r="G104" i="12"/>
  <c r="I51" i="12"/>
  <c r="I195" i="12"/>
  <c r="H25" i="12"/>
  <c r="G166" i="12"/>
  <c r="G24" i="12"/>
  <c r="I149" i="12"/>
  <c r="H194" i="12"/>
  <c r="H168" i="12"/>
  <c r="H87" i="12"/>
  <c r="H68" i="12"/>
  <c r="I102" i="12"/>
  <c r="H17" i="12"/>
  <c r="G210" i="12"/>
  <c r="G99" i="12"/>
  <c r="H93" i="12"/>
  <c r="I115" i="12"/>
  <c r="H65" i="12"/>
  <c r="I37" i="12"/>
  <c r="G50" i="12"/>
  <c r="I209" i="12"/>
  <c r="G145" i="12"/>
  <c r="I23" i="12"/>
  <c r="H31" i="12"/>
  <c r="H166" i="12"/>
  <c r="H10" i="12"/>
  <c r="I5" i="12"/>
  <c r="AI4" i="12" s="1"/>
  <c r="H152" i="12"/>
  <c r="G156" i="12"/>
  <c r="H32" i="12"/>
  <c r="G131" i="12"/>
  <c r="I65" i="12"/>
  <c r="I216" i="12"/>
  <c r="I56" i="12"/>
  <c r="G65" i="12"/>
  <c r="G178" i="12"/>
  <c r="G180" i="12"/>
  <c r="G19" i="12"/>
  <c r="I84" i="12"/>
  <c r="H186" i="12"/>
  <c r="H76" i="12"/>
  <c r="H63" i="12"/>
  <c r="G12" i="12"/>
  <c r="H219" i="12"/>
  <c r="G152" i="12"/>
  <c r="G161" i="12"/>
  <c r="I13" i="12"/>
  <c r="I124" i="12"/>
  <c r="I90" i="12"/>
  <c r="G71" i="12"/>
  <c r="G205" i="12"/>
  <c r="G155" i="12"/>
  <c r="I129" i="12"/>
  <c r="G160" i="12"/>
  <c r="G150" i="12"/>
  <c r="G175" i="12"/>
  <c r="G206" i="12"/>
  <c r="H209" i="12"/>
  <c r="G188" i="12"/>
  <c r="H195" i="12"/>
  <c r="H18" i="12"/>
  <c r="G42" i="12"/>
  <c r="I27" i="12"/>
  <c r="H8" i="12"/>
  <c r="AH7" i="12" s="1"/>
  <c r="AR7" i="12" s="1"/>
  <c r="I74" i="12"/>
  <c r="H180" i="12"/>
  <c r="G197" i="12"/>
  <c r="I95" i="12"/>
  <c r="I114" i="12"/>
  <c r="H60" i="12"/>
  <c r="I32" i="12"/>
  <c r="G63" i="12"/>
  <c r="G138" i="12"/>
  <c r="G190" i="12"/>
  <c r="G147" i="12"/>
  <c r="G119" i="12"/>
  <c r="I134" i="12"/>
  <c r="I57" i="12"/>
  <c r="G88" i="12"/>
  <c r="G4" i="12"/>
  <c r="AG3" i="12" s="1"/>
  <c r="AQ3" i="12" s="1"/>
  <c r="H84" i="12"/>
  <c r="H213" i="12"/>
  <c r="G52" i="12"/>
  <c r="H40" i="12"/>
  <c r="I167" i="12"/>
  <c r="I112" i="12"/>
  <c r="H132" i="12"/>
  <c r="G97" i="12"/>
  <c r="G194" i="12"/>
  <c r="I204" i="12"/>
  <c r="H128" i="12"/>
  <c r="H192" i="12"/>
  <c r="G203" i="12"/>
  <c r="I152" i="12"/>
  <c r="H16" i="12"/>
  <c r="H26" i="12"/>
  <c r="I38" i="12"/>
  <c r="G207" i="12"/>
  <c r="H175" i="12"/>
  <c r="H115" i="12"/>
  <c r="G186" i="12"/>
  <c r="H199" i="12"/>
  <c r="DN2" i="12"/>
  <c r="DT2" i="12"/>
  <c r="CZ1" i="12"/>
  <c r="I157" i="12"/>
  <c r="I121" i="12"/>
  <c r="H21" i="12"/>
  <c r="I20" i="12"/>
  <c r="H69" i="12"/>
  <c r="G29" i="12"/>
  <c r="I171" i="12"/>
  <c r="G120" i="12"/>
  <c r="H20" i="12"/>
  <c r="H82" i="12"/>
  <c r="H107" i="12"/>
  <c r="G86" i="12"/>
  <c r="G215" i="12"/>
  <c r="H95" i="12"/>
  <c r="I185" i="12"/>
  <c r="G125" i="12"/>
  <c r="I169" i="12"/>
  <c r="I62" i="12"/>
  <c r="G140" i="12"/>
  <c r="G132" i="12"/>
  <c r="I144" i="12"/>
  <c r="I24" i="12"/>
  <c r="G5" i="12"/>
  <c r="AG4" i="12" s="1"/>
  <c r="G148" i="12"/>
  <c r="H83" i="12"/>
  <c r="G173" i="12"/>
  <c r="H165" i="12"/>
  <c r="G214" i="12"/>
  <c r="H52" i="12"/>
  <c r="G77" i="12"/>
  <c r="I155" i="12"/>
  <c r="G162" i="12"/>
  <c r="I17" i="12"/>
  <c r="H111" i="12"/>
  <c r="I101" i="12"/>
  <c r="H90" i="12"/>
  <c r="G49" i="12"/>
  <c r="H147" i="12"/>
  <c r="H119" i="12"/>
  <c r="H160" i="12"/>
  <c r="I6" i="12"/>
  <c r="AI5" i="12" s="1"/>
  <c r="I25" i="12"/>
  <c r="I33" i="12"/>
  <c r="H122" i="12"/>
  <c r="I105" i="12"/>
  <c r="I203" i="12"/>
  <c r="H167" i="12"/>
  <c r="I118" i="12"/>
  <c r="I198" i="12"/>
  <c r="H200" i="12"/>
  <c r="G113" i="12"/>
  <c r="G6" i="12"/>
  <c r="AG5" i="12" s="1"/>
  <c r="G17" i="12"/>
  <c r="H136" i="12"/>
  <c r="I89" i="12"/>
  <c r="G45" i="12"/>
  <c r="H80" i="12"/>
  <c r="G163" i="12"/>
  <c r="H179" i="12"/>
  <c r="G94" i="12"/>
  <c r="G84" i="12"/>
  <c r="H156" i="12"/>
  <c r="H170" i="12"/>
  <c r="H178" i="12"/>
  <c r="I217" i="12"/>
  <c r="I126" i="12"/>
  <c r="G103" i="12"/>
  <c r="G74" i="12"/>
  <c r="G109" i="12"/>
  <c r="H59" i="12"/>
  <c r="DM2" i="12"/>
  <c r="DS2" i="12"/>
  <c r="CY1" i="12"/>
  <c r="H206" i="12"/>
  <c r="G158" i="12"/>
  <c r="I40" i="12"/>
  <c r="H138" i="12"/>
  <c r="G27" i="12"/>
  <c r="G15" i="12"/>
  <c r="G202" i="12"/>
  <c r="G183" i="12"/>
  <c r="I4" i="12"/>
  <c r="AI3" i="12" s="1"/>
  <c r="AS3" i="12" s="1"/>
  <c r="G72" i="12"/>
  <c r="G46" i="12"/>
  <c r="H61" i="12"/>
  <c r="H112" i="12"/>
  <c r="G102" i="12"/>
  <c r="H164" i="12"/>
  <c r="I205" i="12"/>
  <c r="H30" i="12"/>
  <c r="I85" i="12"/>
  <c r="H201" i="12"/>
  <c r="I160" i="12"/>
  <c r="G209" i="12"/>
  <c r="H169" i="12"/>
  <c r="I177" i="12"/>
  <c r="G83" i="12"/>
  <c r="G219" i="12"/>
  <c r="H120" i="12"/>
  <c r="H78" i="12"/>
  <c r="I99" i="12"/>
  <c r="H97" i="12"/>
  <c r="G8" i="12"/>
  <c r="AG7" i="12" s="1"/>
  <c r="AQ7" i="12" s="1"/>
  <c r="I43" i="12"/>
  <c r="I75" i="12"/>
  <c r="H161" i="12"/>
  <c r="I54" i="12"/>
  <c r="H153" i="12"/>
  <c r="I39" i="12"/>
  <c r="H144" i="12"/>
  <c r="H11" i="12"/>
  <c r="G196" i="12"/>
  <c r="I183" i="12"/>
  <c r="I192" i="12"/>
  <c r="I109" i="12"/>
  <c r="G35" i="12"/>
  <c r="I47" i="12"/>
  <c r="G55" i="12"/>
  <c r="I188" i="12"/>
  <c r="H44" i="12"/>
  <c r="G40" i="12"/>
  <c r="I146" i="12"/>
  <c r="H56" i="12"/>
  <c r="EW195" i="12"/>
  <c r="EW388" i="12"/>
  <c r="EW155" i="12"/>
  <c r="EW167" i="12"/>
  <c r="EW290" i="12"/>
  <c r="EW160" i="12"/>
  <c r="EW307" i="12"/>
  <c r="EW294" i="12"/>
  <c r="EW297" i="12"/>
  <c r="EW123" i="12"/>
  <c r="EW314" i="12"/>
  <c r="EW311" i="12"/>
  <c r="EW190" i="12"/>
  <c r="EW148" i="12"/>
  <c r="EW196" i="12"/>
  <c r="EW198" i="12"/>
  <c r="EW384" i="12"/>
  <c r="EW184" i="12"/>
  <c r="EW393" i="12"/>
  <c r="EW237" i="12"/>
  <c r="EW377" i="12"/>
  <c r="EW138" i="12"/>
  <c r="EW398" i="12"/>
  <c r="EW316" i="12"/>
  <c r="EW135" i="12"/>
  <c r="EW352" i="12"/>
  <c r="EW371" i="12"/>
  <c r="EW301" i="12"/>
  <c r="EW122" i="12"/>
  <c r="EW211" i="12"/>
  <c r="EW332" i="12"/>
  <c r="EW341" i="12"/>
  <c r="EW378" i="12"/>
  <c r="EW244" i="12"/>
  <c r="EW276" i="12"/>
  <c r="EW176" i="12"/>
  <c r="EW113" i="12"/>
  <c r="EW121" i="12"/>
  <c r="EW325" i="12"/>
  <c r="EW129" i="12"/>
  <c r="EW396" i="12"/>
  <c r="EW240" i="12"/>
  <c r="EW282" i="12"/>
  <c r="EW264" i="12"/>
  <c r="EW169" i="12"/>
  <c r="EW330" i="12"/>
  <c r="EW226" i="12"/>
  <c r="EW188" i="12"/>
  <c r="EW346" i="12"/>
  <c r="EW162" i="12"/>
  <c r="EW126" i="12"/>
  <c r="EW145" i="12"/>
  <c r="EW186" i="12"/>
  <c r="EW367" i="12"/>
  <c r="EW124" i="12"/>
  <c r="EW230" i="12"/>
  <c r="EW262" i="12"/>
  <c r="EW320" i="12"/>
  <c r="EW146" i="12"/>
  <c r="EW288" i="12"/>
  <c r="EW231" i="12"/>
  <c r="EW305" i="12"/>
  <c r="EW343" i="12"/>
  <c r="EW189" i="12"/>
  <c r="EW164" i="12"/>
  <c r="EW143" i="12"/>
  <c r="EW360" i="12"/>
  <c r="EW375" i="12"/>
  <c r="EW270" i="12"/>
  <c r="EW335" i="12"/>
  <c r="EW205" i="12"/>
  <c r="EW221" i="12"/>
  <c r="EW227" i="12"/>
  <c r="EW358" i="12"/>
  <c r="EW337" i="12"/>
  <c r="EW174" i="12"/>
  <c r="EW235" i="12"/>
  <c r="EW312" i="12"/>
  <c r="EW224" i="12"/>
  <c r="EW344" i="12"/>
  <c r="EW281" i="12"/>
  <c r="A10" i="5"/>
  <c r="EW289" i="12"/>
  <c r="EW338" i="12"/>
  <c r="EW253" i="12"/>
  <c r="EW248" i="12"/>
  <c r="EW249" i="12"/>
  <c r="EW277" i="12"/>
  <c r="EW177" i="12"/>
  <c r="EW293" i="12"/>
  <c r="EW220" i="12"/>
  <c r="EW243" i="12"/>
  <c r="EW242" i="12"/>
  <c r="EW120" i="12"/>
  <c r="EW333" i="12"/>
  <c r="EW336" i="12"/>
  <c r="EW327" i="12"/>
  <c r="EW299" i="12"/>
  <c r="EW199" i="12"/>
  <c r="EW171" i="12"/>
  <c r="EW392" i="12"/>
  <c r="EW349" i="12"/>
  <c r="EW315" i="12"/>
  <c r="EW252" i="12"/>
  <c r="EW246" i="12"/>
  <c r="EW279" i="12"/>
  <c r="EW112" i="12"/>
  <c r="EW376" i="12"/>
  <c r="EW317" i="12"/>
  <c r="EW111" i="12"/>
  <c r="EW285" i="12"/>
  <c r="EW354" i="12"/>
  <c r="EW400" i="12"/>
  <c r="EW268" i="12"/>
  <c r="EW383" i="12"/>
  <c r="EW175" i="12"/>
  <c r="EW106" i="12"/>
  <c r="EW183" i="12"/>
  <c r="EW259" i="12"/>
  <c r="EW257" i="12"/>
  <c r="EW131" i="12"/>
  <c r="EW370" i="12"/>
  <c r="EW326" i="12"/>
  <c r="EW275" i="12"/>
  <c r="EW206" i="12"/>
  <c r="EW152" i="12"/>
  <c r="EW223" i="12"/>
  <c r="EW214" i="12"/>
  <c r="EW207" i="12"/>
  <c r="EW150" i="12"/>
  <c r="EW116" i="12"/>
  <c r="EW163" i="12"/>
  <c r="EW149" i="12"/>
  <c r="EW161" i="12"/>
  <c r="EW347" i="12"/>
  <c r="EW310" i="12"/>
  <c r="EW200" i="12"/>
  <c r="EW130" i="12"/>
  <c r="EW213" i="12"/>
  <c r="EW208" i="12"/>
  <c r="EW328" i="12"/>
  <c r="EW300" i="12"/>
  <c r="EW110" i="12"/>
  <c r="EW350" i="12"/>
  <c r="EW381" i="12"/>
  <c r="EW265" i="12"/>
  <c r="EW142" i="12"/>
  <c r="EW304" i="12"/>
  <c r="EW286" i="12"/>
  <c r="EW218" i="12"/>
  <c r="EW355" i="12"/>
  <c r="EW139" i="12"/>
  <c r="EW373" i="12"/>
  <c r="EW322" i="12"/>
  <c r="EW364" i="12"/>
  <c r="EW165" i="12"/>
  <c r="EW180" i="12"/>
  <c r="EW374" i="12"/>
  <c r="EW222" i="12"/>
  <c r="EW115" i="12"/>
  <c r="EW385" i="12"/>
  <c r="EW255" i="12"/>
  <c r="EW272" i="12"/>
  <c r="EW296" i="12"/>
  <c r="EW368" i="12"/>
  <c r="EW339" i="12"/>
  <c r="EW313" i="12"/>
  <c r="EW133" i="12"/>
  <c r="EW391" i="12"/>
  <c r="EW334" i="12"/>
  <c r="EW225" i="12"/>
  <c r="EW236" i="12"/>
  <c r="EW197" i="12"/>
  <c r="EW238" i="12"/>
  <c r="EW210" i="12"/>
  <c r="EW185" i="12"/>
  <c r="EW191" i="12"/>
  <c r="EW379" i="12"/>
  <c r="EW179" i="12"/>
  <c r="EW273" i="12"/>
  <c r="EW108" i="12"/>
  <c r="EW229" i="12"/>
  <c r="EW303" i="12"/>
  <c r="EW372" i="12"/>
  <c r="EW170" i="12"/>
  <c r="EW261" i="12"/>
  <c r="EW298" i="12"/>
  <c r="EW329" i="12"/>
  <c r="EW156" i="12"/>
  <c r="EW306" i="12"/>
  <c r="EW245" i="12"/>
  <c r="EW394" i="12"/>
  <c r="EW256" i="12"/>
  <c r="EW319" i="12"/>
  <c r="EW366" i="12"/>
  <c r="EW274" i="12"/>
  <c r="EW127" i="12"/>
  <c r="EW132" i="12"/>
  <c r="EW140" i="12"/>
  <c r="EW109" i="12"/>
  <c r="EW269" i="12"/>
  <c r="EW363" i="12"/>
  <c r="EW103" i="12"/>
  <c r="EW168" i="12"/>
  <c r="EW125" i="12"/>
  <c r="EW178" i="12"/>
  <c r="EW105" i="12"/>
  <c r="EW219" i="12"/>
  <c r="EW250" i="12"/>
  <c r="EW144" i="12"/>
  <c r="EW181" i="12"/>
  <c r="EW345" i="12"/>
  <c r="EW362" i="12"/>
  <c r="EW348" i="12"/>
  <c r="EW128" i="12"/>
  <c r="EW147" i="12"/>
  <c r="EW291" i="12"/>
  <c r="EW114" i="12"/>
  <c r="EW395" i="12"/>
  <c r="EW209" i="12"/>
  <c r="EW203" i="12"/>
  <c r="EW212" i="12"/>
  <c r="EW323" i="12"/>
  <c r="EW173" i="12"/>
  <c r="EW241" i="12"/>
  <c r="EW271" i="12"/>
  <c r="EW216" i="12"/>
  <c r="EW389" i="12"/>
  <c r="EW280" i="12"/>
  <c r="EW263" i="12"/>
  <c r="EW321" i="12"/>
  <c r="EW247" i="12"/>
  <c r="EW266" i="12"/>
  <c r="EW309" i="12"/>
  <c r="EW284" i="12"/>
  <c r="EW283" i="12"/>
  <c r="EW166" i="12"/>
  <c r="EW357" i="12"/>
  <c r="EW204" i="12"/>
  <c r="EW172" i="12"/>
  <c r="EW228" i="12"/>
  <c r="EW104" i="12"/>
  <c r="EW217" i="12"/>
  <c r="EW141" i="12"/>
  <c r="EW251" i="12"/>
  <c r="EW182" i="12"/>
  <c r="EW117" i="12"/>
  <c r="EW239" i="12"/>
  <c r="EW202" i="12"/>
  <c r="EW340" i="12"/>
  <c r="EW369" i="12"/>
  <c r="EW118" i="12"/>
  <c r="EW278" i="12"/>
  <c r="EW287" i="12"/>
  <c r="EW153" i="12"/>
  <c r="EW365" i="12"/>
  <c r="EW107" i="12"/>
  <c r="EW399" i="12"/>
  <c r="EW157" i="12"/>
  <c r="EW356" i="12"/>
  <c r="EW136" i="12"/>
  <c r="EW193" i="12"/>
  <c r="EW361" i="12"/>
  <c r="EW397" i="12"/>
  <c r="EW215" i="12"/>
  <c r="EW386" i="12"/>
  <c r="EW267" i="12"/>
  <c r="EW134" i="12"/>
  <c r="EW318" i="12"/>
  <c r="EW119" i="12"/>
  <c r="EW351" i="12"/>
  <c r="EW194" i="12"/>
  <c r="EW387" i="12"/>
  <c r="EW359" i="12"/>
  <c r="EW232" i="12"/>
  <c r="EW254" i="12"/>
  <c r="EW382" i="12"/>
  <c r="EW151" i="12"/>
  <c r="EW159" i="12"/>
  <c r="EW137" i="12"/>
  <c r="EW192" i="12"/>
  <c r="EW187" i="12"/>
  <c r="EW331" i="12"/>
  <c r="EW234" i="12"/>
  <c r="EW324" i="12"/>
  <c r="EW308" i="12"/>
  <c r="EW353" i="12"/>
  <c r="EW158" i="12"/>
  <c r="EW154" i="12"/>
  <c r="EW302" i="12"/>
  <c r="EW233" i="12"/>
  <c r="EW258" i="12"/>
  <c r="EW380" i="12"/>
  <c r="EW390" i="12"/>
  <c r="EW295" i="12"/>
  <c r="EW260" i="12"/>
  <c r="EW342" i="12"/>
  <c r="EW201" i="12"/>
  <c r="L4" i="5"/>
  <c r="G3" i="5" s="1"/>
  <c r="DU2" i="12"/>
  <c r="AS4" i="12"/>
  <c r="AL62" i="12"/>
  <c r="IK6" i="12"/>
  <c r="IL6" i="12" s="1"/>
  <c r="AL66" i="12"/>
  <c r="AC7" i="12"/>
  <c r="AA7" i="12"/>
  <c r="AE7" i="12"/>
  <c r="AB7" i="12"/>
  <c r="AJ7" i="12"/>
  <c r="AD7" i="12"/>
  <c r="AG8" i="12"/>
  <c r="AC8" i="12"/>
  <c r="AD8" i="12"/>
  <c r="AE8" i="12"/>
  <c r="AJ8" i="12"/>
  <c r="AA8" i="12"/>
  <c r="AB8" i="12"/>
  <c r="AI8" i="12"/>
  <c r="Y11" i="12"/>
  <c r="Z9" i="12"/>
  <c r="AL109" i="12"/>
  <c r="FA94" i="12"/>
  <c r="FA37" i="12"/>
  <c r="FA24" i="12"/>
  <c r="FA56" i="12"/>
  <c r="FA88" i="12"/>
  <c r="FA4" i="12"/>
  <c r="FA7" i="12"/>
  <c r="FA8" i="12"/>
  <c r="FA99" i="12"/>
  <c r="FA62" i="12"/>
  <c r="FA91" i="12"/>
  <c r="FA13" i="12"/>
  <c r="FA69" i="12"/>
  <c r="FA55" i="12"/>
  <c r="FA102" i="12"/>
  <c r="FA46" i="12"/>
  <c r="FA71" i="12"/>
  <c r="FA57" i="12"/>
  <c r="FA33" i="12"/>
  <c r="FA70" i="12"/>
  <c r="FA98" i="12"/>
  <c r="FA75" i="12"/>
  <c r="FA14" i="12"/>
  <c r="FA95" i="12"/>
  <c r="FA16" i="12"/>
  <c r="FA90" i="12"/>
  <c r="FA45" i="12"/>
  <c r="FA28" i="12"/>
  <c r="FA36" i="12"/>
  <c r="FA53" i="12"/>
  <c r="FA49" i="12"/>
  <c r="FA65" i="12"/>
  <c r="FA5" i="12"/>
  <c r="FA47" i="12"/>
  <c r="FA86" i="12"/>
  <c r="FA77" i="12"/>
  <c r="FA100" i="12"/>
  <c r="FA32" i="12"/>
  <c r="FA41" i="12"/>
  <c r="FA93" i="12"/>
  <c r="FA92" i="12"/>
  <c r="FA59" i="12"/>
  <c r="FA72" i="12"/>
  <c r="FA12" i="12"/>
  <c r="FA84" i="12"/>
  <c r="FA23" i="12"/>
  <c r="FA6" i="12"/>
  <c r="FA101" i="12"/>
  <c r="FA54" i="12"/>
  <c r="FA25" i="12"/>
  <c r="FA35" i="12"/>
  <c r="FA66" i="12"/>
  <c r="FA74" i="12"/>
  <c r="FA61" i="12"/>
  <c r="FA42" i="12"/>
  <c r="FA27" i="12"/>
  <c r="FA73" i="12"/>
  <c r="FA43" i="12"/>
  <c r="FA60" i="12"/>
  <c r="FA34" i="12"/>
  <c r="FA50" i="12"/>
  <c r="FA64" i="12"/>
  <c r="FA21" i="12"/>
  <c r="FA87" i="12"/>
  <c r="FA51" i="12"/>
  <c r="FA58" i="12"/>
  <c r="FA20" i="12"/>
  <c r="FA79" i="12"/>
  <c r="FA80" i="12"/>
  <c r="FA31" i="12"/>
  <c r="FA89" i="12"/>
  <c r="FA17" i="12"/>
  <c r="DA1" i="12" l="1"/>
  <c r="FC1" i="12"/>
  <c r="EQ16" i="12" s="1"/>
  <c r="ER16" i="12" s="1"/>
  <c r="ES16" i="12" s="1"/>
  <c r="DO2" i="12"/>
  <c r="IB37" i="12"/>
  <c r="AQ4" i="12"/>
  <c r="AQ5" i="12" s="1"/>
  <c r="AS5" i="12"/>
  <c r="AS6" i="12" s="1"/>
  <c r="AL65" i="12"/>
  <c r="AL72" i="12"/>
  <c r="AL75" i="12"/>
  <c r="AL77" i="12" s="1"/>
  <c r="AR8" i="12"/>
  <c r="AG9" i="12"/>
  <c r="AI9" i="12"/>
  <c r="AH9" i="12"/>
  <c r="AD9" i="12"/>
  <c r="AJ9" i="12"/>
  <c r="AE9" i="12"/>
  <c r="AC9" i="12"/>
  <c r="AB9" i="12"/>
  <c r="AA9" i="12"/>
  <c r="Y12" i="12"/>
  <c r="Z10" i="12" s="1"/>
  <c r="CK8" i="12"/>
  <c r="BG8" i="12"/>
  <c r="CD8" i="12"/>
  <c r="FV8" i="12"/>
  <c r="R8" i="12"/>
  <c r="II8" i="12"/>
  <c r="R7" i="12"/>
  <c r="CD7" i="12"/>
  <c r="CK7" i="12"/>
  <c r="FV7" i="12"/>
  <c r="BG7" i="12"/>
  <c r="FR8" i="12"/>
  <c r="FG8" i="12"/>
  <c r="FQ8" i="12"/>
  <c r="II7" i="12"/>
  <c r="IJ7" i="12"/>
  <c r="FG7" i="12"/>
  <c r="FR7" i="12"/>
  <c r="FQ7" i="12"/>
  <c r="AQ8" i="12"/>
  <c r="AL78" i="12"/>
  <c r="AL87" i="12"/>
  <c r="AL112" i="12"/>
  <c r="AL111" i="12"/>
  <c r="BA139" i="12" l="1"/>
  <c r="BA123" i="12"/>
  <c r="BD123" i="12" s="1"/>
  <c r="BA107" i="12"/>
  <c r="BA122" i="12"/>
  <c r="EQ68" i="12"/>
  <c r="ER68" i="12" s="1"/>
  <c r="ES68" i="12" s="1"/>
  <c r="EQ24" i="12"/>
  <c r="ER24" i="12" s="1"/>
  <c r="ES24" i="12" s="1"/>
  <c r="BA136" i="12"/>
  <c r="BB136" i="12" s="1"/>
  <c r="BA124" i="12"/>
  <c r="BC124" i="12" s="1"/>
  <c r="BA198" i="12"/>
  <c r="EQ30" i="12"/>
  <c r="ER30" i="12" s="1"/>
  <c r="ES30" i="12" s="1"/>
  <c r="EQ64" i="12"/>
  <c r="ER64" i="12" s="1"/>
  <c r="ES64" i="12" s="1"/>
  <c r="BA143" i="12"/>
  <c r="BC143" i="12" s="1"/>
  <c r="BA114" i="12"/>
  <c r="BA178" i="12"/>
  <c r="BE178" i="12" s="1"/>
  <c r="EQ102" i="12"/>
  <c r="ER102" i="12" s="1"/>
  <c r="ES102" i="12" s="1"/>
  <c r="EQ57" i="12"/>
  <c r="ER57" i="12" s="1"/>
  <c r="ES57" i="12" s="1"/>
  <c r="BA188" i="12"/>
  <c r="EQ15" i="12"/>
  <c r="ER15" i="12" s="1"/>
  <c r="ES15" i="12" s="1"/>
  <c r="BA189" i="12"/>
  <c r="BB189" i="12" s="1"/>
  <c r="EQ14" i="12"/>
  <c r="ER14" i="12" s="1"/>
  <c r="ES14" i="12" s="1"/>
  <c r="BA110" i="12"/>
  <c r="BE110" i="12" s="1"/>
  <c r="BA194" i="12"/>
  <c r="BD194" i="12" s="1"/>
  <c r="EQ17" i="12"/>
  <c r="ER17" i="12" s="1"/>
  <c r="ES17" i="12" s="1"/>
  <c r="BA161" i="12"/>
  <c r="BB161" i="12" s="1"/>
  <c r="BA184" i="12"/>
  <c r="BA176" i="12"/>
  <c r="BC176" i="12" s="1"/>
  <c r="EQ19" i="12"/>
  <c r="ER19" i="12" s="1"/>
  <c r="ES19" i="12" s="1"/>
  <c r="EQ33" i="12"/>
  <c r="ER33" i="12" s="1"/>
  <c r="ES33" i="12" s="1"/>
  <c r="BA175" i="12"/>
  <c r="BC175" i="12" s="1"/>
  <c r="EQ26" i="12"/>
  <c r="ER26" i="12" s="1"/>
  <c r="ES26" i="12" s="1"/>
  <c r="BA157" i="12"/>
  <c r="EM157" i="12" s="1"/>
  <c r="EQ101" i="12"/>
  <c r="ER101" i="12" s="1"/>
  <c r="ES101" i="12" s="1"/>
  <c r="BA165" i="12"/>
  <c r="BA108" i="12"/>
  <c r="EM108" i="12" s="1"/>
  <c r="EQ61" i="12"/>
  <c r="ER61" i="12" s="1"/>
  <c r="ES61" i="12" s="1"/>
  <c r="EQ48" i="12"/>
  <c r="ER48" i="12" s="1"/>
  <c r="ES48" i="12" s="1"/>
  <c r="BA174" i="12"/>
  <c r="BE174" i="12" s="1"/>
  <c r="BA163" i="12"/>
  <c r="EM163" i="12" s="1"/>
  <c r="BA191" i="12"/>
  <c r="BD191" i="12" s="1"/>
  <c r="EQ55" i="12"/>
  <c r="ER55" i="12" s="1"/>
  <c r="ES55" i="12" s="1"/>
  <c r="EQ77" i="12"/>
  <c r="ER77" i="12" s="1"/>
  <c r="ES77" i="12" s="1"/>
  <c r="EQ20" i="12"/>
  <c r="ER20" i="12" s="1"/>
  <c r="ES20" i="12" s="1"/>
  <c r="BA159" i="12"/>
  <c r="BC159" i="12" s="1"/>
  <c r="BA109" i="12"/>
  <c r="BB109" i="12" s="1"/>
  <c r="BA116" i="12"/>
  <c r="BE116" i="12" s="1"/>
  <c r="BA181" i="12"/>
  <c r="BC181" i="12" s="1"/>
  <c r="EQ92" i="12"/>
  <c r="ER92" i="12" s="1"/>
  <c r="ES92" i="12" s="1"/>
  <c r="EQ9" i="12"/>
  <c r="ER9" i="12" s="1"/>
  <c r="ES9" i="12" s="1"/>
  <c r="EQ8" i="12"/>
  <c r="ER8" i="12" s="1"/>
  <c r="ES8" i="12" s="1"/>
  <c r="BA196" i="12"/>
  <c r="EM196" i="12" s="1"/>
  <c r="BA144" i="12"/>
  <c r="BC144" i="12" s="1"/>
  <c r="BA112" i="12"/>
  <c r="BB112" i="12" s="1"/>
  <c r="BA117" i="12"/>
  <c r="BE117" i="12" s="1"/>
  <c r="BA152" i="12"/>
  <c r="BC152" i="12" s="1"/>
  <c r="EQ42" i="12"/>
  <c r="ER42" i="12" s="1"/>
  <c r="ES42" i="12" s="1"/>
  <c r="EQ51" i="12"/>
  <c r="ER51" i="12" s="1"/>
  <c r="ES51" i="12" s="1"/>
  <c r="EQ63" i="12"/>
  <c r="ER63" i="12" s="1"/>
  <c r="ES63" i="12" s="1"/>
  <c r="EQ21" i="12"/>
  <c r="ER21" i="12" s="1"/>
  <c r="ES21" i="12" s="1"/>
  <c r="EQ31" i="12"/>
  <c r="ER31" i="12" s="1"/>
  <c r="ES31" i="12" s="1"/>
  <c r="EQ83" i="12"/>
  <c r="ER83" i="12" s="1"/>
  <c r="ES83" i="12" s="1"/>
  <c r="EQ47" i="12"/>
  <c r="ER47" i="12" s="1"/>
  <c r="ES47" i="12" s="1"/>
  <c r="BA185" i="12"/>
  <c r="BB185" i="12" s="1"/>
  <c r="BA132" i="12"/>
  <c r="BB132" i="12" s="1"/>
  <c r="BA145" i="12"/>
  <c r="BE145" i="12" s="1"/>
  <c r="BA155" i="12"/>
  <c r="BB155" i="12" s="1"/>
  <c r="BA131" i="12"/>
  <c r="BC131" i="12" s="1"/>
  <c r="EQ99" i="12"/>
  <c r="ER99" i="12" s="1"/>
  <c r="ES99" i="12" s="1"/>
  <c r="EQ87" i="12"/>
  <c r="ER87" i="12" s="1"/>
  <c r="ES87" i="12" s="1"/>
  <c r="EQ65" i="12"/>
  <c r="ER65" i="12" s="1"/>
  <c r="ES65" i="12" s="1"/>
  <c r="EQ37" i="12"/>
  <c r="ER37" i="12" s="1"/>
  <c r="ES37" i="12" s="1"/>
  <c r="HW1" i="12"/>
  <c r="BA140" i="12"/>
  <c r="BB140" i="12" s="1"/>
  <c r="BA170" i="12"/>
  <c r="BD170" i="12" s="1"/>
  <c r="BA187" i="12"/>
  <c r="EM187" i="12" s="1"/>
  <c r="BA133" i="12"/>
  <c r="BB133" i="12" s="1"/>
  <c r="BA149" i="12"/>
  <c r="BE149" i="12" s="1"/>
  <c r="BA137" i="12"/>
  <c r="BD137" i="12" s="1"/>
  <c r="EQ32" i="12"/>
  <c r="ER32" i="12" s="1"/>
  <c r="ES32" i="12" s="1"/>
  <c r="EQ75" i="12"/>
  <c r="ER75" i="12" s="1"/>
  <c r="ES75" i="12" s="1"/>
  <c r="EQ40" i="12"/>
  <c r="ER40" i="12" s="1"/>
  <c r="ES40" i="12" s="1"/>
  <c r="EQ93" i="12"/>
  <c r="ER93" i="12" s="1"/>
  <c r="ES93" i="12" s="1"/>
  <c r="EQ98" i="12"/>
  <c r="ER98" i="12" s="1"/>
  <c r="ES98" i="12" s="1"/>
  <c r="EQ95" i="12"/>
  <c r="ER95" i="12" s="1"/>
  <c r="ES95" i="12" s="1"/>
  <c r="EQ88" i="12"/>
  <c r="ER88" i="12" s="1"/>
  <c r="ES88" i="12" s="1"/>
  <c r="EQ54" i="12"/>
  <c r="ER54" i="12" s="1"/>
  <c r="ES54" i="12" s="1"/>
  <c r="EQ86" i="12"/>
  <c r="ER86" i="12" s="1"/>
  <c r="ES86" i="12" s="1"/>
  <c r="EQ90" i="12"/>
  <c r="ER90" i="12" s="1"/>
  <c r="ES90" i="12" s="1"/>
  <c r="BA135" i="12"/>
  <c r="BE135" i="12" s="1"/>
  <c r="BA148" i="12"/>
  <c r="BD148" i="12" s="1"/>
  <c r="BA125" i="12"/>
  <c r="BC125" i="12" s="1"/>
  <c r="BA146" i="12"/>
  <c r="BD146" i="12" s="1"/>
  <c r="BA177" i="12"/>
  <c r="BC177" i="12" s="1"/>
  <c r="BA182" i="12"/>
  <c r="BD182" i="12" s="1"/>
  <c r="EQ84" i="12"/>
  <c r="ER84" i="12" s="1"/>
  <c r="ES84" i="12" s="1"/>
  <c r="EQ45" i="12"/>
  <c r="ER45" i="12" s="1"/>
  <c r="ES45" i="12" s="1"/>
  <c r="EQ85" i="12"/>
  <c r="ER85" i="12" s="1"/>
  <c r="ES85" i="12" s="1"/>
  <c r="EQ38" i="12"/>
  <c r="ER38" i="12" s="1"/>
  <c r="ES38" i="12" s="1"/>
  <c r="EQ13" i="12"/>
  <c r="ER13" i="12" s="1"/>
  <c r="ES13" i="12" s="1"/>
  <c r="EQ28" i="12"/>
  <c r="ER28" i="12" s="1"/>
  <c r="ES28" i="12" s="1"/>
  <c r="EQ59" i="12"/>
  <c r="ER59" i="12" s="1"/>
  <c r="ES59" i="12" s="1"/>
  <c r="BA156" i="12"/>
  <c r="BD156" i="12" s="1"/>
  <c r="BA103" i="12"/>
  <c r="BE103" i="12" s="1"/>
  <c r="BA158" i="12"/>
  <c r="BD158" i="12" s="1"/>
  <c r="BA171" i="12"/>
  <c r="EM171" i="12" s="1"/>
  <c r="BA153" i="12"/>
  <c r="BB153" i="12" s="1"/>
  <c r="BA150" i="12"/>
  <c r="BD150" i="12" s="1"/>
  <c r="BA167" i="12"/>
  <c r="EM167" i="12" s="1"/>
  <c r="BA160" i="12"/>
  <c r="BC160" i="12" s="1"/>
  <c r="BA142" i="12"/>
  <c r="BE142" i="12" s="1"/>
  <c r="BA164" i="12"/>
  <c r="BE164" i="12" s="1"/>
  <c r="BA120" i="12"/>
  <c r="BB120" i="12" s="1"/>
  <c r="BA190" i="12"/>
  <c r="BB190" i="12" s="1"/>
  <c r="EQ82" i="12"/>
  <c r="ER82" i="12" s="1"/>
  <c r="ES82" i="12" s="1"/>
  <c r="EQ56" i="12"/>
  <c r="ER56" i="12" s="1"/>
  <c r="ES56" i="12" s="1"/>
  <c r="EQ39" i="12"/>
  <c r="ER39" i="12" s="1"/>
  <c r="ES39" i="12" s="1"/>
  <c r="EQ6" i="12"/>
  <c r="ER6" i="12" s="1"/>
  <c r="ES6" i="12" s="1"/>
  <c r="EQ74" i="12"/>
  <c r="ER74" i="12" s="1"/>
  <c r="ES74" i="12" s="1"/>
  <c r="EQ80" i="12"/>
  <c r="ER80" i="12" s="1"/>
  <c r="ES80" i="12" s="1"/>
  <c r="EQ100" i="12"/>
  <c r="ER100" i="12" s="1"/>
  <c r="ES100" i="12" s="1"/>
  <c r="EQ46" i="12"/>
  <c r="ER46" i="12" s="1"/>
  <c r="ES46" i="12" s="1"/>
  <c r="EQ96" i="12"/>
  <c r="ER96" i="12" s="1"/>
  <c r="ES96" i="12" s="1"/>
  <c r="EQ50" i="12"/>
  <c r="ER50" i="12" s="1"/>
  <c r="ES50" i="12" s="1"/>
  <c r="EQ35" i="12"/>
  <c r="ER35" i="12" s="1"/>
  <c r="ES35" i="12" s="1"/>
  <c r="EQ89" i="12"/>
  <c r="ER89" i="12" s="1"/>
  <c r="ES89" i="12" s="1"/>
  <c r="BA121" i="12"/>
  <c r="EM121" i="12" s="1"/>
  <c r="BA199" i="12"/>
  <c r="BD199" i="12" s="1"/>
  <c r="BA113" i="12"/>
  <c r="BE113" i="12" s="1"/>
  <c r="BA115" i="12"/>
  <c r="BB115" i="12" s="1"/>
  <c r="BA192" i="12"/>
  <c r="BD192" i="12" s="1"/>
  <c r="BA193" i="12"/>
  <c r="EM193" i="12" s="1"/>
  <c r="BA141" i="12"/>
  <c r="BB141" i="12" s="1"/>
  <c r="BA129" i="12"/>
  <c r="BC129" i="12" s="1"/>
  <c r="BA173" i="12"/>
  <c r="BD173" i="12" s="1"/>
  <c r="BA166" i="12"/>
  <c r="BD166" i="12" s="1"/>
  <c r="BA126" i="12"/>
  <c r="BD126" i="12" s="1"/>
  <c r="BA134" i="12"/>
  <c r="BD134" i="12" s="1"/>
  <c r="EQ27" i="12"/>
  <c r="ER27" i="12" s="1"/>
  <c r="ES27" i="12" s="1"/>
  <c r="EQ44" i="12"/>
  <c r="ER44" i="12" s="1"/>
  <c r="ES44" i="12" s="1"/>
  <c r="EQ67" i="12"/>
  <c r="ER67" i="12" s="1"/>
  <c r="ES67" i="12" s="1"/>
  <c r="EQ76" i="12"/>
  <c r="ER76" i="12" s="1"/>
  <c r="ES76" i="12" s="1"/>
  <c r="EQ25" i="12"/>
  <c r="ER25" i="12" s="1"/>
  <c r="ES25" i="12" s="1"/>
  <c r="EQ7" i="12"/>
  <c r="ER7" i="12" s="1"/>
  <c r="ES7" i="12" s="1"/>
  <c r="EQ22" i="12"/>
  <c r="ER22" i="12" s="1"/>
  <c r="ES22" i="12" s="1"/>
  <c r="EQ34" i="12"/>
  <c r="ER34" i="12" s="1"/>
  <c r="ES34" i="12" s="1"/>
  <c r="EQ79" i="12"/>
  <c r="ER79" i="12" s="1"/>
  <c r="ES79" i="12" s="1"/>
  <c r="EQ69" i="12"/>
  <c r="ER69" i="12" s="1"/>
  <c r="ES69" i="12" s="1"/>
  <c r="EQ43" i="12"/>
  <c r="ER43" i="12" s="1"/>
  <c r="ES43" i="12" s="1"/>
  <c r="EQ81" i="12"/>
  <c r="ER81" i="12" s="1"/>
  <c r="ES81" i="12" s="1"/>
  <c r="EQ49" i="12"/>
  <c r="ER49" i="12" s="1"/>
  <c r="ES49" i="12" s="1"/>
  <c r="BA154" i="12"/>
  <c r="BE154" i="12" s="1"/>
  <c r="BA202" i="12"/>
  <c r="EM202" i="12" s="1"/>
  <c r="BA105" i="12"/>
  <c r="EM105" i="12" s="1"/>
  <c r="BA111" i="12"/>
  <c r="BB111" i="12" s="1"/>
  <c r="BA186" i="12"/>
  <c r="BC186" i="12" s="1"/>
  <c r="BA169" i="12"/>
  <c r="BC169" i="12" s="1"/>
  <c r="BA130" i="12"/>
  <c r="BC130" i="12" s="1"/>
  <c r="BA147" i="12"/>
  <c r="BC147" i="12" s="1"/>
  <c r="BA200" i="12"/>
  <c r="BC200" i="12" s="1"/>
  <c r="BA180" i="12"/>
  <c r="BD180" i="12" s="1"/>
  <c r="BA127" i="12"/>
  <c r="BE127" i="12" s="1"/>
  <c r="BA197" i="12"/>
  <c r="BD197" i="12" s="1"/>
  <c r="EQ29" i="12"/>
  <c r="ER29" i="12" s="1"/>
  <c r="ES29" i="12" s="1"/>
  <c r="EQ66" i="12"/>
  <c r="ER66" i="12" s="1"/>
  <c r="ES66" i="12" s="1"/>
  <c r="EQ52" i="12"/>
  <c r="ER52" i="12" s="1"/>
  <c r="ES52" i="12" s="1"/>
  <c r="EQ5" i="12"/>
  <c r="ER5" i="12" s="1"/>
  <c r="ES5" i="12" s="1"/>
  <c r="EQ70" i="12"/>
  <c r="ER70" i="12" s="1"/>
  <c r="ES70" i="12" s="1"/>
  <c r="EQ62" i="12"/>
  <c r="ER62" i="12" s="1"/>
  <c r="ES62" i="12" s="1"/>
  <c r="EQ10" i="12"/>
  <c r="ER10" i="12" s="1"/>
  <c r="ES10" i="12" s="1"/>
  <c r="EQ18" i="12"/>
  <c r="ER18" i="12" s="1"/>
  <c r="ES18" i="12" s="1"/>
  <c r="EQ11" i="12"/>
  <c r="ER11" i="12" s="1"/>
  <c r="ES11" i="12" s="1"/>
  <c r="EQ91" i="12"/>
  <c r="ER91" i="12" s="1"/>
  <c r="ES91" i="12" s="1"/>
  <c r="EQ73" i="12"/>
  <c r="ER73" i="12" s="1"/>
  <c r="ES73" i="12" s="1"/>
  <c r="EQ53" i="12"/>
  <c r="ER53" i="12" s="1"/>
  <c r="ES53" i="12" s="1"/>
  <c r="BA201" i="12"/>
  <c r="EM201" i="12" s="1"/>
  <c r="BA118" i="12"/>
  <c r="BE118" i="12" s="1"/>
  <c r="BA195" i="12"/>
  <c r="BB195" i="12" s="1"/>
  <c r="BA104" i="12"/>
  <c r="BB104" i="12" s="1"/>
  <c r="BA179" i="12"/>
  <c r="BE179" i="12" s="1"/>
  <c r="BA172" i="12"/>
  <c r="BB172" i="12" s="1"/>
  <c r="BA162" i="12"/>
  <c r="BB162" i="12" s="1"/>
  <c r="BA128" i="12"/>
  <c r="BB128" i="12" s="1"/>
  <c r="BA168" i="12"/>
  <c r="BC168" i="12" s="1"/>
  <c r="BA106" i="12"/>
  <c r="BB106" i="12" s="1"/>
  <c r="BA151" i="12"/>
  <c r="BE151" i="12" s="1"/>
  <c r="BA183" i="12"/>
  <c r="BB183" i="12" s="1"/>
  <c r="BA138" i="12"/>
  <c r="BD138" i="12" s="1"/>
  <c r="BA119" i="12"/>
  <c r="BC119" i="12" s="1"/>
  <c r="EQ58" i="12"/>
  <c r="ER58" i="12" s="1"/>
  <c r="ES58" i="12" s="1"/>
  <c r="EQ71" i="12"/>
  <c r="ER71" i="12" s="1"/>
  <c r="ES71" i="12" s="1"/>
  <c r="EQ78" i="12"/>
  <c r="ER78" i="12" s="1"/>
  <c r="ES78" i="12" s="1"/>
  <c r="EQ94" i="12"/>
  <c r="ER94" i="12" s="1"/>
  <c r="ES94" i="12" s="1"/>
  <c r="EQ36" i="12"/>
  <c r="ER36" i="12" s="1"/>
  <c r="ES36" i="12" s="1"/>
  <c r="EQ97" i="12"/>
  <c r="ER97" i="12" s="1"/>
  <c r="ES97" i="12" s="1"/>
  <c r="EQ12" i="12"/>
  <c r="ER12" i="12" s="1"/>
  <c r="ES12" i="12" s="1"/>
  <c r="EQ41" i="12"/>
  <c r="ER41" i="12" s="1"/>
  <c r="ES41" i="12" s="1"/>
  <c r="EQ60" i="12"/>
  <c r="ER60" i="12" s="1"/>
  <c r="ES60" i="12" s="1"/>
  <c r="EQ72" i="12"/>
  <c r="ER72" i="12" s="1"/>
  <c r="ES72" i="12" s="1"/>
  <c r="EQ23" i="12"/>
  <c r="ER23" i="12" s="1"/>
  <c r="ES23" i="12" s="1"/>
  <c r="BE123" i="12"/>
  <c r="BC174" i="12"/>
  <c r="BD174" i="12"/>
  <c r="EM174" i="12"/>
  <c r="BD110" i="12"/>
  <c r="EM110" i="12"/>
  <c r="BC110" i="12"/>
  <c r="BB110" i="12"/>
  <c r="BE165" i="12"/>
  <c r="BD165" i="12"/>
  <c r="EM165" i="12"/>
  <c r="BB165" i="12"/>
  <c r="BC165" i="12"/>
  <c r="EM175" i="12"/>
  <c r="BE175" i="12"/>
  <c r="BD175" i="12"/>
  <c r="BB175" i="12"/>
  <c r="BD116" i="12"/>
  <c r="EM116" i="12"/>
  <c r="BB116" i="12"/>
  <c r="BC116" i="12"/>
  <c r="BB117" i="12"/>
  <c r="EM117" i="12"/>
  <c r="BC117" i="12"/>
  <c r="BD117" i="12"/>
  <c r="BB139" i="12"/>
  <c r="EM139" i="12"/>
  <c r="BD139" i="12"/>
  <c r="BE139" i="12"/>
  <c r="BC139" i="12"/>
  <c r="BD198" i="12"/>
  <c r="BC198" i="12"/>
  <c r="BB198" i="12"/>
  <c r="EM198" i="12"/>
  <c r="BE198" i="12"/>
  <c r="BB181" i="12"/>
  <c r="EM181" i="12"/>
  <c r="BE152" i="12"/>
  <c r="EM152" i="12"/>
  <c r="BE137" i="12"/>
  <c r="EM159" i="12"/>
  <c r="BD185" i="12"/>
  <c r="BC185" i="12"/>
  <c r="EM143" i="12"/>
  <c r="BD143" i="12"/>
  <c r="BE184" i="12"/>
  <c r="BC184" i="12"/>
  <c r="BB184" i="12"/>
  <c r="BD184" i="12"/>
  <c r="EM184" i="12"/>
  <c r="EM107" i="12"/>
  <c r="BE107" i="12"/>
  <c r="BC107" i="12"/>
  <c r="BB107" i="12"/>
  <c r="BD107" i="12"/>
  <c r="BC114" i="12"/>
  <c r="BD114" i="12"/>
  <c r="BE114" i="12"/>
  <c r="BB114" i="12"/>
  <c r="EM114" i="12"/>
  <c r="BD147" i="12"/>
  <c r="EM176" i="12"/>
  <c r="BE176" i="12"/>
  <c r="BC155" i="12"/>
  <c r="BD122" i="12"/>
  <c r="BE122" i="12"/>
  <c r="EM122" i="12"/>
  <c r="BB122" i="12"/>
  <c r="BC122" i="12"/>
  <c r="BC161" i="12"/>
  <c r="BB178" i="12"/>
  <c r="BD178" i="12"/>
  <c r="BD188" i="12"/>
  <c r="BE188" i="12"/>
  <c r="BB188" i="12"/>
  <c r="EM188" i="12"/>
  <c r="BC188" i="12"/>
  <c r="BB156" i="12"/>
  <c r="BE189" i="12"/>
  <c r="BD189" i="12"/>
  <c r="BB148" i="12"/>
  <c r="BE148" i="12"/>
  <c r="BC163" i="12"/>
  <c r="BB194" i="12"/>
  <c r="BE194" i="12"/>
  <c r="EM194" i="12"/>
  <c r="BC194" i="12"/>
  <c r="EM142" i="12"/>
  <c r="BD142" i="12"/>
  <c r="BB182" i="12"/>
  <c r="BC182" i="12"/>
  <c r="EM182" i="12"/>
  <c r="EM131" i="12"/>
  <c r="AS7" i="12"/>
  <c r="AS8" i="12" s="1"/>
  <c r="BB121" i="12"/>
  <c r="BE121" i="12"/>
  <c r="BB173" i="12"/>
  <c r="BE201" i="12"/>
  <c r="AL71" i="12"/>
  <c r="AL85" i="12"/>
  <c r="AR9" i="12"/>
  <c r="IK7" i="12"/>
  <c r="IL7" i="12" s="1"/>
  <c r="Y13" i="12"/>
  <c r="II9" i="12"/>
  <c r="IJ8" i="12"/>
  <c r="IK8" i="12" s="1"/>
  <c r="IL8" i="12" s="1"/>
  <c r="FV9" i="12"/>
  <c r="BG9" i="12"/>
  <c r="R9" i="12"/>
  <c r="CK9" i="12"/>
  <c r="CD9" i="12"/>
  <c r="AQ9" i="12"/>
  <c r="AI10" i="12"/>
  <c r="AE10" i="12"/>
  <c r="AC10" i="12"/>
  <c r="AD10" i="12"/>
  <c r="AA10" i="12"/>
  <c r="AG10" i="12"/>
  <c r="AH10" i="12"/>
  <c r="AB10" i="12"/>
  <c r="AJ10" i="12"/>
  <c r="FQ9" i="12"/>
  <c r="FG9" i="12"/>
  <c r="FR9" i="12"/>
  <c r="AL86" i="12"/>
  <c r="AL93" i="12" s="1"/>
  <c r="AL99" i="12" s="1"/>
  <c r="AL94" i="12"/>
  <c r="AL113" i="12"/>
  <c r="AL134" i="12"/>
  <c r="BE136" i="12" l="1"/>
  <c r="EM191" i="12"/>
  <c r="BC132" i="12"/>
  <c r="BD157" i="12"/>
  <c r="BC157" i="12"/>
  <c r="BC136" i="12"/>
  <c r="BE133" i="12"/>
  <c r="EM189" i="12"/>
  <c r="BC189" i="12"/>
  <c r="BC141" i="12"/>
  <c r="BE143" i="12"/>
  <c r="BB143" i="12"/>
  <c r="BC199" i="12"/>
  <c r="BB154" i="12"/>
  <c r="EM146" i="12"/>
  <c r="BD181" i="12"/>
  <c r="BE163" i="12"/>
  <c r="BB123" i="12"/>
  <c r="BC201" i="12"/>
  <c r="BD163" i="12"/>
  <c r="BD152" i="12"/>
  <c r="EM178" i="12"/>
  <c r="BB176" i="12"/>
  <c r="BE185" i="12"/>
  <c r="BB152" i="12"/>
  <c r="BE168" i="12"/>
  <c r="EM164" i="12"/>
  <c r="EM123" i="12"/>
  <c r="EM192" i="12"/>
  <c r="BD176" i="12"/>
  <c r="BD136" i="12"/>
  <c r="BC123" i="12"/>
  <c r="BC166" i="12"/>
  <c r="BB191" i="12"/>
  <c r="BD125" i="12"/>
  <c r="EM154" i="12"/>
  <c r="BB108" i="12"/>
  <c r="BB157" i="12"/>
  <c r="EM136" i="12"/>
  <c r="BB150" i="12"/>
  <c r="BB166" i="12"/>
  <c r="BE191" i="12"/>
  <c r="BB125" i="12"/>
  <c r="BD108" i="12"/>
  <c r="BE157" i="12"/>
  <c r="BE131" i="12"/>
  <c r="BC191" i="12"/>
  <c r="BE132" i="12"/>
  <c r="BE108" i="12"/>
  <c r="BD201" i="12"/>
  <c r="BB192" i="12"/>
  <c r="BE182" i="12"/>
  <c r="BD164" i="12"/>
  <c r="BE159" i="12"/>
  <c r="BC108" i="12"/>
  <c r="BE119" i="12"/>
  <c r="BC172" i="12"/>
  <c r="BB163" i="12"/>
  <c r="BC103" i="12"/>
  <c r="BC178" i="12"/>
  <c r="EM185" i="12"/>
  <c r="BE181" i="12"/>
  <c r="BB201" i="12"/>
  <c r="BD168" i="12"/>
  <c r="BD103" i="12"/>
  <c r="BB124" i="12"/>
  <c r="BC196" i="12"/>
  <c r="BB186" i="12"/>
  <c r="EM119" i="12"/>
  <c r="BE193" i="12"/>
  <c r="BD169" i="12"/>
  <c r="BC133" i="12"/>
  <c r="EM172" i="12"/>
  <c r="BC150" i="12"/>
  <c r="BB200" i="12"/>
  <c r="BE169" i="12"/>
  <c r="EM161" i="12"/>
  <c r="BE124" i="12"/>
  <c r="BC135" i="12"/>
  <c r="BE161" i="12"/>
  <c r="BD124" i="12"/>
  <c r="BB135" i="12"/>
  <c r="BD161" i="12"/>
  <c r="EM115" i="12"/>
  <c r="EM127" i="12"/>
  <c r="BD145" i="12"/>
  <c r="EM145" i="12"/>
  <c r="BE140" i="12"/>
  <c r="EM195" i="12"/>
  <c r="EM124" i="12"/>
  <c r="BD140" i="12"/>
  <c r="EM128" i="12"/>
  <c r="BC121" i="12"/>
  <c r="BD121" i="12"/>
  <c r="BC142" i="12"/>
  <c r="EM170" i="12"/>
  <c r="BB174" i="12"/>
  <c r="BC173" i="12"/>
  <c r="BD128" i="12"/>
  <c r="BD113" i="12"/>
  <c r="BB142" i="12"/>
  <c r="BD153" i="12"/>
  <c r="BE156" i="12"/>
  <c r="BB137" i="12"/>
  <c r="BE173" i="12"/>
  <c r="BE128" i="12"/>
  <c r="BC104" i="12"/>
  <c r="BC153" i="12"/>
  <c r="BC156" i="12"/>
  <c r="BC137" i="12"/>
  <c r="EM173" i="12"/>
  <c r="EM156" i="12"/>
  <c r="EM137" i="12"/>
  <c r="BE111" i="12"/>
  <c r="BC183" i="12"/>
  <c r="BC192" i="12"/>
  <c r="BE104" i="12"/>
  <c r="BB160" i="12"/>
  <c r="BC197" i="12"/>
  <c r="BE155" i="12"/>
  <c r="EM111" i="12"/>
  <c r="EM183" i="12"/>
  <c r="BE197" i="12"/>
  <c r="BE192" i="12"/>
  <c r="BD104" i="12"/>
  <c r="EM197" i="12"/>
  <c r="BD155" i="12"/>
  <c r="BC111" i="12"/>
  <c r="BE153" i="12"/>
  <c r="EM148" i="12"/>
  <c r="BC170" i="12"/>
  <c r="BD183" i="12"/>
  <c r="BE183" i="12"/>
  <c r="EM153" i="12"/>
  <c r="BC148" i="12"/>
  <c r="EM155" i="12"/>
  <c r="BB170" i="12"/>
  <c r="BC162" i="12"/>
  <c r="BD177" i="12"/>
  <c r="BB197" i="12"/>
  <c r="BD111" i="12"/>
  <c r="BE129" i="12"/>
  <c r="BE177" i="12"/>
  <c r="BB130" i="12"/>
  <c r="BD130" i="12"/>
  <c r="BE144" i="12"/>
  <c r="BB177" i="12"/>
  <c r="EM130" i="12"/>
  <c r="EM169" i="12"/>
  <c r="BC138" i="12"/>
  <c r="BD129" i="12"/>
  <c r="BB131" i="12"/>
  <c r="EM177" i="12"/>
  <c r="BE146" i="12"/>
  <c r="BE125" i="12"/>
  <c r="BB169" i="12"/>
  <c r="BC109" i="12"/>
  <c r="BB138" i="12"/>
  <c r="BC193" i="12"/>
  <c r="BD179" i="12"/>
  <c r="BD131" i="12"/>
  <c r="BB146" i="12"/>
  <c r="EM125" i="12"/>
  <c r="BE112" i="12"/>
  <c r="BD109" i="12"/>
  <c r="BB144" i="12"/>
  <c r="BE172" i="12"/>
  <c r="BB167" i="12"/>
  <c r="EM112" i="12"/>
  <c r="BE109" i="12"/>
  <c r="BB159" i="12"/>
  <c r="BD141" i="12"/>
  <c r="BD193" i="12"/>
  <c r="BC113" i="12"/>
  <c r="EM160" i="12"/>
  <c r="BD167" i="12"/>
  <c r="BE150" i="12"/>
  <c r="BC112" i="12"/>
  <c r="EM109" i="12"/>
  <c r="BD159" i="12"/>
  <c r="EM149" i="12"/>
  <c r="BD133" i="12"/>
  <c r="BE187" i="12"/>
  <c r="BE170" i="12"/>
  <c r="BD162" i="12"/>
  <c r="BB119" i="12"/>
  <c r="BB129" i="12"/>
  <c r="BC146" i="12"/>
  <c r="BE138" i="12"/>
  <c r="BE160" i="12"/>
  <c r="BC149" i="12"/>
  <c r="EM144" i="12"/>
  <c r="BD119" i="12"/>
  <c r="EM141" i="12"/>
  <c r="BB193" i="12"/>
  <c r="BD172" i="12"/>
  <c r="BD160" i="12"/>
  <c r="BE167" i="12"/>
  <c r="EM150" i="12"/>
  <c r="BD112" i="12"/>
  <c r="BD149" i="12"/>
  <c r="EM133" i="12"/>
  <c r="BB196" i="12"/>
  <c r="EM126" i="12"/>
  <c r="EM106" i="12"/>
  <c r="EM120" i="12"/>
  <c r="BC158" i="12"/>
  <c r="BC134" i="12"/>
  <c r="BE126" i="12"/>
  <c r="BC106" i="12"/>
  <c r="BC179" i="12"/>
  <c r="BC190" i="12"/>
  <c r="BE120" i="12"/>
  <c r="BD171" i="12"/>
  <c r="BE158" i="12"/>
  <c r="EM186" i="12"/>
  <c r="BC145" i="12"/>
  <c r="BD196" i="12"/>
  <c r="BE115" i="12"/>
  <c r="BB171" i="12"/>
  <c r="BE134" i="12"/>
  <c r="BB126" i="12"/>
  <c r="BD151" i="12"/>
  <c r="BD106" i="12"/>
  <c r="EM179" i="12"/>
  <c r="EM118" i="12"/>
  <c r="BE190" i="12"/>
  <c r="BD120" i="12"/>
  <c r="EM158" i="12"/>
  <c r="BD135" i="12"/>
  <c r="BD200" i="12"/>
  <c r="BE186" i="12"/>
  <c r="BD105" i="12"/>
  <c r="BC187" i="12"/>
  <c r="BD118" i="12"/>
  <c r="EM138" i="12"/>
  <c r="BB113" i="12"/>
  <c r="BD132" i="12"/>
  <c r="EM135" i="12"/>
  <c r="BC180" i="12"/>
  <c r="BD187" i="12"/>
  <c r="EM113" i="12"/>
  <c r="BC126" i="12"/>
  <c r="BE106" i="12"/>
  <c r="EM168" i="12"/>
  <c r="BB179" i="12"/>
  <c r="BC120" i="12"/>
  <c r="BE171" i="12"/>
  <c r="BB158" i="12"/>
  <c r="BD186" i="12"/>
  <c r="BB145" i="12"/>
  <c r="BC140" i="12"/>
  <c r="BE196" i="12"/>
  <c r="EM162" i="12"/>
  <c r="BB118" i="12"/>
  <c r="EM129" i="12"/>
  <c r="BE141" i="12"/>
  <c r="BC128" i="12"/>
  <c r="BE162" i="12"/>
  <c r="BD115" i="12"/>
  <c r="BD195" i="12"/>
  <c r="BC118" i="12"/>
  <c r="BC167" i="12"/>
  <c r="EM132" i="12"/>
  <c r="BB149" i="12"/>
  <c r="BB187" i="12"/>
  <c r="BD144" i="12"/>
  <c r="EM140" i="12"/>
  <c r="BE130" i="12"/>
  <c r="EM134" i="12"/>
  <c r="BD190" i="12"/>
  <c r="BB147" i="12"/>
  <c r="BD202" i="12"/>
  <c r="BC202" i="12"/>
  <c r="BB202" i="12"/>
  <c r="BB180" i="12"/>
  <c r="BE180" i="12"/>
  <c r="EM151" i="12"/>
  <c r="BB134" i="12"/>
  <c r="BB151" i="12"/>
  <c r="BC115" i="12"/>
  <c r="EM199" i="12"/>
  <c r="BC195" i="12"/>
  <c r="BB164" i="12"/>
  <c r="BB103" i="12"/>
  <c r="BB127" i="12"/>
  <c r="EM200" i="12"/>
  <c r="BE147" i="12"/>
  <c r="BC105" i="12"/>
  <c r="BC154" i="12"/>
  <c r="BE166" i="12"/>
  <c r="BC151" i="12"/>
  <c r="BE199" i="12"/>
  <c r="BE195" i="12"/>
  <c r="BC164" i="12"/>
  <c r="BD127" i="12"/>
  <c r="EM147" i="12"/>
  <c r="BE105" i="12"/>
  <c r="EM166" i="12"/>
  <c r="BB168" i="12"/>
  <c r="BB199" i="12"/>
  <c r="EM190" i="12"/>
  <c r="BC171" i="12"/>
  <c r="BC127" i="12"/>
  <c r="EM180" i="12"/>
  <c r="BB105" i="12"/>
  <c r="BE202" i="12"/>
  <c r="BE200" i="12"/>
  <c r="BD154" i="12"/>
  <c r="AS9" i="12"/>
  <c r="AS10" i="12" s="1"/>
  <c r="AL74" i="12"/>
  <c r="AL76" i="12" s="1"/>
  <c r="AL84" i="12" s="1"/>
  <c r="IJ9" i="12"/>
  <c r="IK9" i="12" s="1"/>
  <c r="IL9" i="12" s="1"/>
  <c r="AR10" i="12"/>
  <c r="AQ10" i="12"/>
  <c r="FR10" i="12"/>
  <c r="FG10" i="12"/>
  <c r="FQ10" i="12"/>
  <c r="Z11" i="12"/>
  <c r="Y14" i="12"/>
  <c r="Y15" i="12" s="1"/>
  <c r="Z13" i="12" s="1"/>
  <c r="II10" i="12"/>
  <c r="FV10" i="12"/>
  <c r="CD10" i="12"/>
  <c r="BG10" i="12"/>
  <c r="R10" i="12"/>
  <c r="CK10" i="12"/>
  <c r="AL132" i="12"/>
  <c r="AL139" i="12"/>
  <c r="AL92" i="12" l="1"/>
  <c r="AL104" i="12" s="1"/>
  <c r="IJ10" i="12"/>
  <c r="IK10" i="12" s="1"/>
  <c r="IL10" i="12" s="1"/>
  <c r="AL105" i="12"/>
  <c r="AL108" i="12" s="1"/>
  <c r="Z12" i="12"/>
  <c r="Y16" i="12"/>
  <c r="Y17" i="12" s="1"/>
  <c r="Z15" i="12" s="1"/>
  <c r="AE13" i="12"/>
  <c r="AG13" i="12"/>
  <c r="AC13" i="12"/>
  <c r="AJ13" i="12"/>
  <c r="AH13" i="12"/>
  <c r="AD13" i="12"/>
  <c r="AB13" i="12"/>
  <c r="AA13" i="12"/>
  <c r="AI13" i="12"/>
  <c r="AD11" i="12"/>
  <c r="AA11" i="12"/>
  <c r="AC11" i="12"/>
  <c r="AH11" i="12"/>
  <c r="AR11" i="12" s="1"/>
  <c r="AG11" i="12"/>
  <c r="AQ11" i="12" s="1"/>
  <c r="AB11" i="12"/>
  <c r="AI11" i="12"/>
  <c r="AS11" i="12" s="1"/>
  <c r="AJ11" i="12"/>
  <c r="AE11" i="12"/>
  <c r="AL130" i="12"/>
  <c r="AL150" i="12"/>
  <c r="AL107" i="12" l="1"/>
  <c r="AL114" i="12" s="1"/>
  <c r="AL115" i="12"/>
  <c r="FR11" i="12"/>
  <c r="FG11" i="12"/>
  <c r="FQ11" i="12"/>
  <c r="FV11" i="12"/>
  <c r="CK11" i="12"/>
  <c r="CD11" i="12"/>
  <c r="R11" i="12"/>
  <c r="BG11" i="12"/>
  <c r="AJ15" i="12"/>
  <c r="AD15" i="12"/>
  <c r="AG15" i="12"/>
  <c r="AA15" i="12"/>
  <c r="AE15" i="12"/>
  <c r="AH15" i="12"/>
  <c r="AB15" i="12"/>
  <c r="AC15" i="12"/>
  <c r="AI15" i="12"/>
  <c r="FV13" i="12"/>
  <c r="Z14" i="12"/>
  <c r="FR13" i="12"/>
  <c r="FQ13" i="12"/>
  <c r="FG13" i="12"/>
  <c r="AE12" i="12"/>
  <c r="AC12" i="12"/>
  <c r="AJ12" i="12"/>
  <c r="AA12" i="12"/>
  <c r="AG12" i="12"/>
  <c r="AQ12" i="12" s="1"/>
  <c r="AQ13" i="12" s="1"/>
  <c r="AD12" i="12"/>
  <c r="AI12" i="12"/>
  <c r="AS12" i="12" s="1"/>
  <c r="AH12" i="12"/>
  <c r="AR12" i="12" s="1"/>
  <c r="AB12" i="12"/>
  <c r="IJ11" i="12"/>
  <c r="II11" i="12"/>
  <c r="IJ13" i="12"/>
  <c r="Y18" i="12"/>
  <c r="AL152" i="12"/>
  <c r="AL129" i="12" l="1"/>
  <c r="AL122" i="12"/>
  <c r="AL121" i="12"/>
  <c r="AL136" i="12" s="1"/>
  <c r="EU35" i="12"/>
  <c r="AL137" i="12"/>
  <c r="AL143" i="12" s="1"/>
  <c r="BG13" i="12"/>
  <c r="IK11" i="12"/>
  <c r="IL11" i="12" s="1"/>
  <c r="FQ15" i="12"/>
  <c r="FR15" i="12"/>
  <c r="FG15" i="12"/>
  <c r="R13" i="12"/>
  <c r="CD13" i="12"/>
  <c r="AB14" i="12"/>
  <c r="AI14" i="12"/>
  <c r="AH14" i="12"/>
  <c r="AD14" i="12"/>
  <c r="IJ14" i="12" s="1"/>
  <c r="AE14" i="12"/>
  <c r="AJ14" i="12"/>
  <c r="AG14" i="12"/>
  <c r="AQ14" i="12" s="1"/>
  <c r="AQ15" i="12" s="1"/>
  <c r="AA14" i="12"/>
  <c r="AC14" i="12"/>
  <c r="IJ15" i="12"/>
  <c r="Y19" i="12"/>
  <c r="Z17" i="12" s="1"/>
  <c r="AS13" i="12"/>
  <c r="AR13" i="12"/>
  <c r="CD12" i="12"/>
  <c r="BG12" i="12"/>
  <c r="FV12" i="12"/>
  <c r="CK12" i="12"/>
  <c r="R12" i="12"/>
  <c r="FR12" i="12"/>
  <c r="FQ12" i="12"/>
  <c r="FG12" i="12"/>
  <c r="IJ12" i="12"/>
  <c r="II12" i="12"/>
  <c r="II13" i="12" s="1"/>
  <c r="FV15" i="12"/>
  <c r="Z16" i="12"/>
  <c r="CK13" i="12"/>
  <c r="Y20" i="12" l="1"/>
  <c r="Y21" i="12" s="1"/>
  <c r="AL135" i="12"/>
  <c r="AL142" i="12"/>
  <c r="AL144" i="12"/>
  <c r="CK15" i="12"/>
  <c r="R15" i="12"/>
  <c r="Y22" i="12"/>
  <c r="Y23" i="12" s="1"/>
  <c r="Z18" i="12"/>
  <c r="AJ18" i="12" s="1"/>
  <c r="CD15" i="12"/>
  <c r="R14" i="12"/>
  <c r="FV14" i="12"/>
  <c r="CD14" i="12"/>
  <c r="BG14" i="12"/>
  <c r="CK14" i="12"/>
  <c r="AJ17" i="12"/>
  <c r="AG17" i="12"/>
  <c r="AA17" i="12"/>
  <c r="AC17" i="12"/>
  <c r="AI17" i="12"/>
  <c r="AD17" i="12"/>
  <c r="AB17" i="12"/>
  <c r="AE17" i="12"/>
  <c r="AH17" i="12"/>
  <c r="FR14" i="12"/>
  <c r="FG14" i="12"/>
  <c r="FQ14" i="12"/>
  <c r="BG15" i="12"/>
  <c r="IK12" i="12"/>
  <c r="IL12" i="12" s="1"/>
  <c r="AI16" i="12"/>
  <c r="AG16" i="12"/>
  <c r="AQ16" i="12" s="1"/>
  <c r="AJ16" i="12"/>
  <c r="AC16" i="12"/>
  <c r="AD16" i="12"/>
  <c r="AH16" i="12"/>
  <c r="AE16" i="12"/>
  <c r="AA16" i="12"/>
  <c r="AB16" i="12"/>
  <c r="AS14" i="12"/>
  <c r="II14" i="12"/>
  <c r="IK14" i="12" s="1"/>
  <c r="IL14" i="12" s="1"/>
  <c r="IK13" i="12"/>
  <c r="IL13" i="12" s="1"/>
  <c r="AR14" i="12"/>
  <c r="AL154" i="12"/>
  <c r="AL155" i="12"/>
  <c r="AL158" i="12" s="1"/>
  <c r="AL176" i="12"/>
  <c r="AL159" i="12" l="1"/>
  <c r="AL162" i="12" s="1"/>
  <c r="AL160" i="12"/>
  <c r="AQ17" i="12"/>
  <c r="AB18" i="12"/>
  <c r="AI18" i="12"/>
  <c r="AL161" i="12"/>
  <c r="Y24" i="12"/>
  <c r="Z22" i="12" s="1"/>
  <c r="Z21" i="12"/>
  <c r="AC21" i="12" s="1"/>
  <c r="AC18" i="12"/>
  <c r="AE18" i="12"/>
  <c r="FR18" i="12" s="1"/>
  <c r="AG18" i="12"/>
  <c r="AA18" i="12"/>
  <c r="AS15" i="12"/>
  <c r="AS16" i="12" s="1"/>
  <c r="AS17" i="12" s="1"/>
  <c r="Z20" i="12"/>
  <c r="AH20" i="12" s="1"/>
  <c r="AH18" i="12"/>
  <c r="AD18" i="12"/>
  <c r="II15" i="12"/>
  <c r="IK15" i="12" s="1"/>
  <c r="IL15" i="12" s="1"/>
  <c r="IJ16" i="12"/>
  <c r="AR15" i="12"/>
  <c r="FQ16" i="12"/>
  <c r="FR16" i="12"/>
  <c r="FG16" i="12"/>
  <c r="FG17" i="12"/>
  <c r="FR17" i="12"/>
  <c r="FQ17" i="12"/>
  <c r="CK16" i="12"/>
  <c r="R16" i="12"/>
  <c r="FV16" i="12"/>
  <c r="BG16" i="12"/>
  <c r="CD16" i="12"/>
  <c r="Y25" i="12"/>
  <c r="Z23" i="12" s="1"/>
  <c r="IJ17" i="12"/>
  <c r="R17" i="12"/>
  <c r="FV17" i="12"/>
  <c r="BG17" i="12"/>
  <c r="CK17" i="12"/>
  <c r="CD17" i="12"/>
  <c r="K47" i="5" l="1"/>
  <c r="K20" i="5"/>
  <c r="K56" i="5"/>
  <c r="K51" i="5"/>
  <c r="K36" i="5"/>
  <c r="K19" i="5"/>
  <c r="K62" i="5"/>
  <c r="K42" i="5"/>
  <c r="K27" i="5"/>
  <c r="K13" i="5"/>
  <c r="K21" i="5"/>
  <c r="K29" i="5"/>
  <c r="K39" i="5"/>
  <c r="K44" i="5"/>
  <c r="K46" i="5"/>
  <c r="K22" i="5"/>
  <c r="K14" i="5"/>
  <c r="K57" i="5"/>
  <c r="K34" i="5"/>
  <c r="K43" i="5"/>
  <c r="K55" i="5"/>
  <c r="K37" i="5"/>
  <c r="K18" i="5"/>
  <c r="K16" i="5"/>
  <c r="K24" i="5"/>
  <c r="K40" i="5"/>
  <c r="K38" i="5"/>
  <c r="K25" i="5"/>
  <c r="K53" i="5"/>
  <c r="K30" i="5"/>
  <c r="K41" i="5"/>
  <c r="K33" i="5"/>
  <c r="K61" i="5"/>
  <c r="K32" i="5"/>
  <c r="K15" i="5"/>
  <c r="K48" i="5"/>
  <c r="K60" i="5"/>
  <c r="K26" i="5"/>
  <c r="K59" i="5"/>
  <c r="K35" i="5"/>
  <c r="K17" i="5"/>
  <c r="K45" i="5"/>
  <c r="K58" i="5"/>
  <c r="K49" i="5"/>
  <c r="K31" i="5"/>
  <c r="K28" i="5"/>
  <c r="K52" i="5"/>
  <c r="K50" i="5"/>
  <c r="K54" i="5"/>
  <c r="K23" i="5"/>
  <c r="AI21" i="12"/>
  <c r="AL164" i="12"/>
  <c r="AL163" i="12"/>
  <c r="AE21" i="12"/>
  <c r="FR21" i="12" s="1"/>
  <c r="AH21" i="12"/>
  <c r="AJ21" i="12"/>
  <c r="IJ18" i="12"/>
  <c r="AD21" i="12"/>
  <c r="II21" i="12" s="1"/>
  <c r="AB21" i="12"/>
  <c r="AG21" i="12"/>
  <c r="AA21" i="12"/>
  <c r="FV21" i="12" s="1"/>
  <c r="AQ18" i="12"/>
  <c r="AL170" i="12"/>
  <c r="AL168" i="12"/>
  <c r="AL173" i="12" s="1"/>
  <c r="FQ18" i="12"/>
  <c r="CK18" i="12"/>
  <c r="FV18" i="12"/>
  <c r="BG18" i="12"/>
  <c r="CD18" i="12"/>
  <c r="R18" i="12"/>
  <c r="FG18" i="12"/>
  <c r="AS18" i="12"/>
  <c r="AR16" i="12"/>
  <c r="AR17" i="12" s="1"/>
  <c r="AD20" i="12"/>
  <c r="II20" i="12" s="1"/>
  <c r="AJ20" i="12"/>
  <c r="AA20" i="12"/>
  <c r="FV20" i="12" s="1"/>
  <c r="AB20" i="12"/>
  <c r="AI20" i="12"/>
  <c r="AE20" i="12"/>
  <c r="AG20" i="12"/>
  <c r="AC20" i="12"/>
  <c r="II16" i="12"/>
  <c r="IK16" i="12" s="1"/>
  <c r="IL16" i="12" s="1"/>
  <c r="AG23" i="12"/>
  <c r="AE23" i="12"/>
  <c r="AD23" i="12"/>
  <c r="II23" i="12" s="1"/>
  <c r="AA23" i="12"/>
  <c r="FV23" i="12" s="1"/>
  <c r="AI23" i="12"/>
  <c r="AB23" i="12"/>
  <c r="AH23" i="12"/>
  <c r="AC23" i="12"/>
  <c r="AJ23" i="12"/>
  <c r="Y26" i="12"/>
  <c r="AH22" i="12"/>
  <c r="AB22" i="12"/>
  <c r="AG22" i="12"/>
  <c r="AQ22" i="12" s="1"/>
  <c r="AC22" i="12"/>
  <c r="AD22" i="12"/>
  <c r="II22" i="12" s="1"/>
  <c r="AA22" i="12"/>
  <c r="FV22" i="12" s="1"/>
  <c r="AE22" i="12"/>
  <c r="AI22" i="12"/>
  <c r="AJ22" i="12"/>
  <c r="AL174" i="12"/>
  <c r="AL175" i="12" s="1"/>
  <c r="Z19" i="12"/>
  <c r="AL166" i="12" l="1"/>
  <c r="AL171" i="12" s="1"/>
  <c r="AL167" i="12"/>
  <c r="AL172" i="12" s="1"/>
  <c r="FQ21" i="12"/>
  <c r="FG21" i="12"/>
  <c r="II17" i="12"/>
  <c r="IK17" i="12" s="1"/>
  <c r="IL17" i="12" s="1"/>
  <c r="AR18" i="12"/>
  <c r="FR20" i="12"/>
  <c r="FG20" i="12"/>
  <c r="FQ20" i="12"/>
  <c r="FG23" i="12"/>
  <c r="FR23" i="12"/>
  <c r="FQ23" i="12"/>
  <c r="FQ22" i="12"/>
  <c r="FR22" i="12"/>
  <c r="FG22" i="12"/>
  <c r="Y27" i="12"/>
  <c r="Z24" i="12"/>
  <c r="AL178" i="12"/>
  <c r="AJ19" i="12"/>
  <c r="AE19" i="12"/>
  <c r="AB19" i="12"/>
  <c r="AH19" i="12"/>
  <c r="AG19" i="12"/>
  <c r="AQ19" i="12" s="1"/>
  <c r="AD19" i="12"/>
  <c r="AI19" i="12"/>
  <c r="AS19" i="12" s="1"/>
  <c r="AA19" i="12"/>
  <c r="AC19" i="12"/>
  <c r="B13" i="5"/>
  <c r="AL179" i="12" l="1"/>
  <c r="AL180" i="12"/>
  <c r="AL182" i="12" s="1"/>
  <c r="II18" i="12"/>
  <c r="IK18" i="12" s="1"/>
  <c r="IL18" i="12" s="1"/>
  <c r="AL183" i="12"/>
  <c r="AR19" i="12"/>
  <c r="AR20" i="12" s="1"/>
  <c r="Y28" i="12"/>
  <c r="AA24" i="12"/>
  <c r="AJ24" i="12"/>
  <c r="AE24" i="12"/>
  <c r="AC24" i="12"/>
  <c r="AG24" i="12"/>
  <c r="AD24" i="12"/>
  <c r="AB24" i="12"/>
  <c r="AI24" i="12"/>
  <c r="AH24" i="12"/>
  <c r="AQ20" i="12"/>
  <c r="AS20" i="12"/>
  <c r="AS21" i="12" s="1"/>
  <c r="AS22" i="12" s="1"/>
  <c r="FV19" i="12"/>
  <c r="CD19" i="12"/>
  <c r="CK19" i="12"/>
  <c r="R19" i="12"/>
  <c r="BG19" i="12"/>
  <c r="R20" i="12"/>
  <c r="BG20" i="12"/>
  <c r="CD20" i="12"/>
  <c r="CK20" i="12"/>
  <c r="CD21" i="12"/>
  <c r="CD22" i="12"/>
  <c r="BG21" i="12"/>
  <c r="R22" i="12"/>
  <c r="BG22" i="12"/>
  <c r="R21" i="12"/>
  <c r="CK21" i="12"/>
  <c r="CK22" i="12"/>
  <c r="CK23" i="12"/>
  <c r="R23" i="12"/>
  <c r="CD23" i="12"/>
  <c r="BG23" i="12"/>
  <c r="AQ21" i="12"/>
  <c r="II19" i="12"/>
  <c r="IJ19" i="12"/>
  <c r="FQ19" i="12"/>
  <c r="FR19" i="12"/>
  <c r="FG19" i="12"/>
  <c r="FA310" i="12"/>
  <c r="EY257" i="12"/>
  <c r="EY298" i="12"/>
  <c r="EY394" i="12"/>
  <c r="L248" i="5"/>
  <c r="EY354" i="12"/>
  <c r="L82" i="5"/>
  <c r="EZ116" i="12"/>
  <c r="EY284" i="12"/>
  <c r="EZ129" i="12"/>
  <c r="L97" i="5"/>
  <c r="EY241" i="12"/>
  <c r="FA361" i="12"/>
  <c r="EY112" i="12"/>
  <c r="EY159" i="12"/>
  <c r="EZ156" i="12"/>
  <c r="FA139" i="12"/>
  <c r="L92" i="5"/>
  <c r="FA192" i="12"/>
  <c r="FA334" i="12"/>
  <c r="L168" i="5"/>
  <c r="L154" i="5"/>
  <c r="L237" i="5"/>
  <c r="EZ288" i="12"/>
  <c r="FA215" i="12"/>
  <c r="EZ203" i="12"/>
  <c r="EY379" i="12"/>
  <c r="L264" i="5"/>
  <c r="EY133" i="12"/>
  <c r="EZ337" i="12"/>
  <c r="L25" i="5"/>
  <c r="L71" i="5"/>
  <c r="EZ283" i="12"/>
  <c r="FA153" i="12"/>
  <c r="L60" i="5"/>
  <c r="L161" i="5"/>
  <c r="EY329" i="12"/>
  <c r="FA124" i="12"/>
  <c r="EY387" i="12"/>
  <c r="EY289" i="12"/>
  <c r="FA284" i="12"/>
  <c r="EZ362" i="12"/>
  <c r="L125" i="5"/>
  <c r="FA397" i="12"/>
  <c r="EZ228" i="12"/>
  <c r="EZ270" i="12"/>
  <c r="FA372" i="12"/>
  <c r="EZ301" i="12"/>
  <c r="EZ237" i="12"/>
  <c r="EZ225" i="12"/>
  <c r="EZ300" i="12"/>
  <c r="EZ122" i="12"/>
  <c r="EZ220" i="12"/>
  <c r="L57" i="5"/>
  <c r="L169" i="5"/>
  <c r="EZ154" i="12"/>
  <c r="FA364" i="12"/>
  <c r="EY171" i="12"/>
  <c r="FA173" i="12"/>
  <c r="EZ340" i="12"/>
  <c r="EZ335" i="12"/>
  <c r="EY319" i="12"/>
  <c r="EZ342" i="12"/>
  <c r="L202" i="5"/>
  <c r="EZ329" i="12"/>
  <c r="EZ227" i="12"/>
  <c r="EY397" i="12"/>
  <c r="EY369" i="12"/>
  <c r="L263" i="5"/>
  <c r="EY372" i="12"/>
  <c r="FA338" i="12"/>
  <c r="EZ248" i="12"/>
  <c r="FA325" i="12"/>
  <c r="L107" i="5"/>
  <c r="EY327" i="12"/>
  <c r="L289" i="5"/>
  <c r="EZ394" i="12"/>
  <c r="EZ398" i="12"/>
  <c r="EZ313" i="12"/>
  <c r="L260" i="5"/>
  <c r="EZ261" i="12"/>
  <c r="EY355" i="12"/>
  <c r="FA400" i="12"/>
  <c r="FA131" i="12"/>
  <c r="EY185" i="12"/>
  <c r="EY225" i="12"/>
  <c r="FA229" i="12"/>
  <c r="EZ321" i="12"/>
  <c r="FA152" i="12"/>
  <c r="EY353" i="12"/>
  <c r="L170" i="5"/>
  <c r="EZ184" i="12"/>
  <c r="L20" i="5"/>
  <c r="FA273" i="12"/>
  <c r="EZ109" i="12"/>
  <c r="L147" i="5"/>
  <c r="EZ167" i="12"/>
  <c r="FA368" i="12"/>
  <c r="L73" i="5"/>
  <c r="L225" i="5"/>
  <c r="EY265" i="12"/>
  <c r="EY362" i="12"/>
  <c r="EZ150" i="12"/>
  <c r="FA106" i="12"/>
  <c r="FA389" i="12"/>
  <c r="FA155" i="12"/>
  <c r="EZ399" i="12"/>
  <c r="L108" i="5"/>
  <c r="L165" i="5"/>
  <c r="EY181" i="12"/>
  <c r="FA380" i="12"/>
  <c r="EY177" i="12"/>
  <c r="L33" i="5"/>
  <c r="L174" i="5"/>
  <c r="FA367" i="12"/>
  <c r="EY152" i="12"/>
  <c r="L183" i="5"/>
  <c r="FA259" i="12"/>
  <c r="FA165" i="12"/>
  <c r="L75" i="5"/>
  <c r="FA320" i="12"/>
  <c r="FA167" i="12"/>
  <c r="FA392" i="12"/>
  <c r="FA224" i="12"/>
  <c r="EY326" i="12"/>
  <c r="EZ191" i="12"/>
  <c r="EY373" i="12"/>
  <c r="EY276" i="12"/>
  <c r="L224" i="5"/>
  <c r="FA378" i="12"/>
  <c r="EY336" i="12"/>
  <c r="FA144" i="12"/>
  <c r="FA269" i="12"/>
  <c r="EZ277" i="12"/>
  <c r="EY366" i="12"/>
  <c r="L299" i="5"/>
  <c r="EY385" i="12"/>
  <c r="FA218" i="12"/>
  <c r="EY279" i="12"/>
  <c r="L262" i="5"/>
  <c r="EY290" i="12"/>
  <c r="EZ273" i="12"/>
  <c r="L300" i="5"/>
  <c r="EZ356" i="12"/>
  <c r="EZ157" i="12"/>
  <c r="EZ363" i="12"/>
  <c r="EZ160" i="12"/>
  <c r="EZ275" i="12"/>
  <c r="FA286" i="12"/>
  <c r="EY229" i="12"/>
  <c r="L78" i="5"/>
  <c r="EZ331" i="12"/>
  <c r="EZ108" i="12"/>
  <c r="EY330" i="12"/>
  <c r="FA217" i="12"/>
  <c r="FA225" i="12"/>
  <c r="EY207" i="12"/>
  <c r="FA158" i="12"/>
  <c r="FA330" i="12"/>
  <c r="EY291" i="12"/>
  <c r="EZ317" i="12"/>
  <c r="L280" i="5"/>
  <c r="EZ230" i="12"/>
  <c r="FA126" i="12"/>
  <c r="FA257" i="12"/>
  <c r="FA247" i="12"/>
  <c r="L149" i="5"/>
  <c r="L218" i="5"/>
  <c r="L270" i="5"/>
  <c r="EY245" i="12"/>
  <c r="FA333" i="12"/>
  <c r="FA160" i="12"/>
  <c r="FA319" i="12"/>
  <c r="EZ137" i="12"/>
  <c r="EY148" i="12"/>
  <c r="EY334" i="12"/>
  <c r="EY337" i="12"/>
  <c r="FA142" i="12"/>
  <c r="EY166" i="12"/>
  <c r="FA216" i="12"/>
  <c r="EY195" i="12"/>
  <c r="FA266" i="12"/>
  <c r="EY250" i="12"/>
  <c r="EZ265" i="12"/>
  <c r="EY223" i="12"/>
  <c r="EY193" i="12"/>
  <c r="L179" i="5"/>
  <c r="EZ272" i="12"/>
  <c r="L222" i="5"/>
  <c r="EY377" i="12"/>
  <c r="L89" i="5"/>
  <c r="EY280" i="12"/>
  <c r="L143" i="5"/>
  <c r="EZ218" i="12"/>
  <c r="FA240" i="12"/>
  <c r="EZ324" i="12"/>
  <c r="EY107" i="12"/>
  <c r="EZ162" i="12"/>
  <c r="FA125" i="12"/>
  <c r="L273" i="5"/>
  <c r="EZ194" i="12"/>
  <c r="EY168" i="12"/>
  <c r="FA154" i="12"/>
  <c r="EY244" i="12"/>
  <c r="FA339" i="12"/>
  <c r="EZ372" i="12"/>
  <c r="L109" i="5"/>
  <c r="EZ393" i="12"/>
  <c r="FA128" i="12"/>
  <c r="EY268" i="12"/>
  <c r="L141" i="5"/>
  <c r="EZ145" i="12"/>
  <c r="EZ170" i="12"/>
  <c r="EY347" i="12"/>
  <c r="EZ123" i="12"/>
  <c r="EY375" i="12"/>
  <c r="EZ166" i="12"/>
  <c r="EZ386" i="12"/>
  <c r="EZ245" i="12"/>
  <c r="EZ125" i="12"/>
  <c r="EZ239" i="12"/>
  <c r="EY398" i="12"/>
  <c r="EY105" i="12"/>
  <c r="EZ192" i="12"/>
  <c r="EZ244" i="12"/>
  <c r="L298" i="5"/>
  <c r="L90" i="5"/>
  <c r="FA290" i="12"/>
  <c r="L128" i="5"/>
  <c r="EY390" i="12"/>
  <c r="EZ183" i="12"/>
  <c r="EZ198" i="12"/>
  <c r="L129" i="5"/>
  <c r="EZ365" i="12"/>
  <c r="EY104" i="12"/>
  <c r="EY381" i="12"/>
  <c r="FA182" i="12"/>
  <c r="EY386" i="12"/>
  <c r="FA355" i="12"/>
  <c r="L176" i="5"/>
  <c r="FA184" i="12"/>
  <c r="EY197" i="12"/>
  <c r="EY247" i="12"/>
  <c r="FA135" i="12"/>
  <c r="FA281" i="12"/>
  <c r="EY301" i="12"/>
  <c r="EZ367" i="12"/>
  <c r="L46" i="5"/>
  <c r="FA274" i="12"/>
  <c r="EY209" i="12"/>
  <c r="EY271" i="12"/>
  <c r="L295" i="5"/>
  <c r="EY190" i="12"/>
  <c r="L186" i="5"/>
  <c r="EY131" i="12"/>
  <c r="L162" i="5"/>
  <c r="EY170" i="12"/>
  <c r="L234" i="5"/>
  <c r="FA363" i="12"/>
  <c r="FA352" i="12"/>
  <c r="EZ366" i="12"/>
  <c r="EZ161" i="12"/>
  <c r="EZ282" i="12"/>
  <c r="FA306" i="12"/>
  <c r="EZ251" i="12"/>
  <c r="EZ271" i="12"/>
  <c r="EZ316" i="12"/>
  <c r="L307" i="5"/>
  <c r="EZ187" i="12"/>
  <c r="FA195" i="12"/>
  <c r="L285" i="5"/>
  <c r="EZ346" i="12"/>
  <c r="FA356" i="12"/>
  <c r="FA293" i="12"/>
  <c r="EY396" i="12"/>
  <c r="L196" i="5"/>
  <c r="L137" i="5"/>
  <c r="EZ249" i="12"/>
  <c r="EY349" i="12"/>
  <c r="EY288" i="12"/>
  <c r="L29" i="5"/>
  <c r="EY143" i="12"/>
  <c r="FA149" i="12"/>
  <c r="FA278" i="12"/>
  <c r="EZ152" i="12"/>
  <c r="EZ241" i="12"/>
  <c r="EZ315" i="12"/>
  <c r="EY267" i="12"/>
  <c r="EY335" i="12"/>
  <c r="FA163" i="12"/>
  <c r="EY374" i="12"/>
  <c r="EY221" i="12"/>
  <c r="EZ319" i="12"/>
  <c r="EZ127" i="12"/>
  <c r="L288" i="5"/>
  <c r="EZ314" i="12"/>
  <c r="EZ190" i="12"/>
  <c r="EZ310" i="12"/>
  <c r="L160" i="5"/>
  <c r="L132" i="5"/>
  <c r="EZ229" i="12"/>
  <c r="EY121" i="12"/>
  <c r="L127" i="5"/>
  <c r="EZ104" i="12"/>
  <c r="EZ351" i="12"/>
  <c r="L187" i="5"/>
  <c r="EZ302" i="12"/>
  <c r="EY208" i="12"/>
  <c r="FA303" i="12"/>
  <c r="EZ172" i="12"/>
  <c r="EZ344" i="12"/>
  <c r="L181" i="5"/>
  <c r="EY363" i="12"/>
  <c r="FA129" i="12"/>
  <c r="L117" i="5"/>
  <c r="FA354" i="12"/>
  <c r="EZ269" i="12"/>
  <c r="L257" i="5"/>
  <c r="FA220" i="12"/>
  <c r="EZ209" i="12"/>
  <c r="EY340" i="12"/>
  <c r="L86" i="5"/>
  <c r="EY183" i="12"/>
  <c r="FA226" i="12"/>
  <c r="EY144" i="12"/>
  <c r="FA384" i="12"/>
  <c r="FA386" i="12"/>
  <c r="EY103" i="12"/>
  <c r="EY255" i="12"/>
  <c r="L105" i="5"/>
  <c r="EZ333" i="12"/>
  <c r="L200" i="5"/>
  <c r="EY155" i="12"/>
  <c r="EZ343" i="12"/>
  <c r="L215" i="5"/>
  <c r="FA341" i="12"/>
  <c r="L276" i="5"/>
  <c r="L230" i="5"/>
  <c r="EZ292" i="12"/>
  <c r="EZ364" i="12"/>
  <c r="FA311" i="12"/>
  <c r="EZ250" i="12"/>
  <c r="L13" i="5"/>
  <c r="EY203" i="12"/>
  <c r="EZ117" i="12"/>
  <c r="EY147" i="12"/>
  <c r="EZ121" i="12"/>
  <c r="L291" i="5"/>
  <c r="FA316" i="12"/>
  <c r="EZ234" i="12"/>
  <c r="FA175" i="12"/>
  <c r="L227" i="5"/>
  <c r="L76" i="5"/>
  <c r="EY165" i="12"/>
  <c r="EY287" i="12"/>
  <c r="FA288" i="12"/>
  <c r="EY341" i="12"/>
  <c r="L250" i="5"/>
  <c r="L235" i="5"/>
  <c r="FA198" i="12"/>
  <c r="EY364" i="12"/>
  <c r="L59" i="5"/>
  <c r="FA289" i="12"/>
  <c r="EY196" i="12"/>
  <c r="EY228" i="12"/>
  <c r="EZ294" i="12"/>
  <c r="EZ113" i="12"/>
  <c r="FA207" i="12"/>
  <c r="EZ297" i="12"/>
  <c r="EZ322" i="12"/>
  <c r="FA233" i="12"/>
  <c r="EZ214" i="12"/>
  <c r="EY249" i="12"/>
  <c r="EZ274" i="12"/>
  <c r="L294" i="5"/>
  <c r="FA296" i="12"/>
  <c r="FA349" i="12"/>
  <c r="L158" i="5"/>
  <c r="L251" i="5"/>
  <c r="L249" i="5"/>
  <c r="FA318" i="12"/>
  <c r="EY154" i="12"/>
  <c r="FA388" i="12"/>
  <c r="EY304" i="12"/>
  <c r="FA201" i="12"/>
  <c r="FA188" i="12"/>
  <c r="EZ124" i="12"/>
  <c r="FA127" i="12"/>
  <c r="FA324" i="12"/>
  <c r="EY300" i="12"/>
  <c r="EY275" i="12"/>
  <c r="EY384" i="12"/>
  <c r="EY158" i="12"/>
  <c r="EZ368" i="12"/>
  <c r="EY238" i="12"/>
  <c r="FA291" i="12"/>
  <c r="EZ257" i="12"/>
  <c r="EY339" i="12"/>
  <c r="FA108" i="12"/>
  <c r="FA398" i="12"/>
  <c r="EZ140" i="12"/>
  <c r="EY325" i="12"/>
  <c r="FA190" i="12"/>
  <c r="L205" i="5"/>
  <c r="EY342" i="12"/>
  <c r="FA399" i="12"/>
  <c r="FA279" i="12"/>
  <c r="EZ221" i="12"/>
  <c r="EY194" i="12"/>
  <c r="FA379" i="12"/>
  <c r="L191" i="5"/>
  <c r="EY357" i="12"/>
  <c r="L233" i="5"/>
  <c r="EY344" i="12"/>
  <c r="FA391" i="12"/>
  <c r="EY367" i="12"/>
  <c r="EZ291" i="12"/>
  <c r="EZ138" i="12"/>
  <c r="EY145" i="12"/>
  <c r="EY358" i="12"/>
  <c r="EY307" i="12"/>
  <c r="EY115" i="12"/>
  <c r="EZ110" i="12"/>
  <c r="EZ400" i="12"/>
  <c r="EY113" i="12"/>
  <c r="L113" i="5"/>
  <c r="FA280" i="12"/>
  <c r="FA137" i="12"/>
  <c r="L110" i="5"/>
  <c r="EZ134" i="12"/>
  <c r="FA104" i="12"/>
  <c r="FA300" i="12"/>
  <c r="EY252" i="12"/>
  <c r="EY175" i="12"/>
  <c r="EY125" i="12"/>
  <c r="L283" i="5"/>
  <c r="L239" i="5"/>
  <c r="EZ287" i="12"/>
  <c r="EY274" i="12"/>
  <c r="EZ370" i="12"/>
  <c r="EY169" i="12"/>
  <c r="L189" i="5"/>
  <c r="L142" i="5"/>
  <c r="EY174" i="12"/>
  <c r="EY270" i="12"/>
  <c r="EY186" i="12"/>
  <c r="EY184" i="12"/>
  <c r="EY253" i="12"/>
  <c r="EZ375" i="12"/>
  <c r="EY308" i="12"/>
  <c r="EZ142" i="12"/>
  <c r="FA212" i="12"/>
  <c r="FA199" i="12"/>
  <c r="EY134" i="12"/>
  <c r="EY106" i="12"/>
  <c r="L66" i="5"/>
  <c r="FA374" i="12"/>
  <c r="EY400" i="12"/>
  <c r="L184" i="5"/>
  <c r="EY137" i="12"/>
  <c r="EY200" i="12"/>
  <c r="EY176" i="12"/>
  <c r="EY261" i="12"/>
  <c r="L96" i="5"/>
  <c r="EZ268" i="12"/>
  <c r="EY179" i="12"/>
  <c r="L67" i="5"/>
  <c r="EY232" i="12"/>
  <c r="EZ168" i="12"/>
  <c r="EZ174" i="12"/>
  <c r="L245" i="5"/>
  <c r="FA252" i="12"/>
  <c r="EZ378" i="12"/>
  <c r="EY295" i="12"/>
  <c r="L216" i="5"/>
  <c r="EY123" i="12"/>
  <c r="EY157" i="12"/>
  <c r="EY338" i="12"/>
  <c r="L207" i="5"/>
  <c r="L53" i="5"/>
  <c r="EZ379" i="12"/>
  <c r="L282" i="5"/>
  <c r="FA331" i="12"/>
  <c r="EY141" i="12"/>
  <c r="L156" i="5"/>
  <c r="EY189" i="12"/>
  <c r="L153" i="5"/>
  <c r="FA366" i="12"/>
  <c r="FA146" i="12"/>
  <c r="EZ341" i="12"/>
  <c r="L35" i="5"/>
  <c r="EZ111" i="12"/>
  <c r="EY206" i="12"/>
  <c r="EZ205" i="12"/>
  <c r="EY136" i="12"/>
  <c r="EZ332" i="12"/>
  <c r="EZ396" i="12"/>
  <c r="EZ305" i="12"/>
  <c r="FA162" i="12"/>
  <c r="L118" i="5"/>
  <c r="EY318" i="12"/>
  <c r="L303" i="5"/>
  <c r="EY230" i="12"/>
  <c r="FA120" i="12"/>
  <c r="L103" i="5"/>
  <c r="EY173" i="12"/>
  <c r="EZ309" i="12"/>
  <c r="EY251" i="12"/>
  <c r="FA337" i="12"/>
  <c r="FA285" i="12"/>
  <c r="EY306" i="12"/>
  <c r="FA393" i="12"/>
  <c r="L254" i="5"/>
  <c r="EZ354" i="12"/>
  <c r="EZ255" i="12"/>
  <c r="L229" i="5"/>
  <c r="FA111" i="12"/>
  <c r="L43" i="5"/>
  <c r="EZ112" i="12"/>
  <c r="FA256" i="12"/>
  <c r="EZ149" i="12"/>
  <c r="FA214" i="12"/>
  <c r="EZ279" i="12"/>
  <c r="EZ258" i="12"/>
  <c r="FA122" i="12"/>
  <c r="EZ385" i="12"/>
  <c r="EZ384" i="12"/>
  <c r="FA150" i="12"/>
  <c r="EZ199" i="12"/>
  <c r="L296" i="5"/>
  <c r="FA121" i="12"/>
  <c r="FA370" i="12"/>
  <c r="FA219" i="12"/>
  <c r="L64" i="5"/>
  <c r="FA169" i="12"/>
  <c r="EY303" i="12"/>
  <c r="FA261" i="12"/>
  <c r="L274" i="5"/>
  <c r="FA267" i="12"/>
  <c r="EZ226" i="12"/>
  <c r="EZ290" i="12"/>
  <c r="FA255" i="12"/>
  <c r="FA276" i="12"/>
  <c r="EY299" i="12"/>
  <c r="EY378" i="12"/>
  <c r="EY180" i="12"/>
  <c r="FA196" i="12"/>
  <c r="L241" i="5"/>
  <c r="L133" i="5"/>
  <c r="EZ328" i="12"/>
  <c r="EZ382" i="12"/>
  <c r="EY262" i="12"/>
  <c r="L177" i="5"/>
  <c r="L287" i="5"/>
  <c r="L116" i="5"/>
  <c r="FA112" i="12"/>
  <c r="EY254" i="12"/>
  <c r="EZ299" i="12"/>
  <c r="EZ240" i="12"/>
  <c r="EZ312" i="12"/>
  <c r="EY138" i="12"/>
  <c r="FA335" i="12"/>
  <c r="FA350" i="12"/>
  <c r="EY126" i="12"/>
  <c r="EZ164" i="12"/>
  <c r="FA141" i="12"/>
  <c r="FA235" i="12"/>
  <c r="L175" i="5"/>
  <c r="FA294" i="12"/>
  <c r="EZ264" i="12"/>
  <c r="L123" i="5"/>
  <c r="L172" i="5"/>
  <c r="EZ146" i="12"/>
  <c r="L100" i="5"/>
  <c r="EZ304" i="12"/>
  <c r="FA166" i="12"/>
  <c r="FA272" i="12"/>
  <c r="L217" i="5"/>
  <c r="FA277" i="12"/>
  <c r="EZ286" i="12"/>
  <c r="EY293" i="12"/>
  <c r="FA323" i="12"/>
  <c r="L79" i="5"/>
  <c r="EZ247" i="12"/>
  <c r="FA193" i="12"/>
  <c r="EY167" i="12"/>
  <c r="EZ360" i="12"/>
  <c r="L74" i="5"/>
  <c r="FA287" i="12"/>
  <c r="EY117" i="12"/>
  <c r="FA383" i="12"/>
  <c r="L55" i="5"/>
  <c r="EY234" i="12"/>
  <c r="L232" i="5"/>
  <c r="L268" i="5"/>
  <c r="EY119" i="12"/>
  <c r="FA270" i="12"/>
  <c r="EY156" i="12"/>
  <c r="L213" i="5"/>
  <c r="EZ267" i="12"/>
  <c r="EZ126" i="12"/>
  <c r="L131" i="5"/>
  <c r="EZ238" i="12"/>
  <c r="EZ222" i="12"/>
  <c r="EZ254" i="12"/>
  <c r="EY140" i="12"/>
  <c r="EZ266" i="12"/>
  <c r="L18" i="5"/>
  <c r="L219" i="5"/>
  <c r="FA213" i="12"/>
  <c r="FA249" i="12"/>
  <c r="EZ178" i="12"/>
  <c r="FA317" i="12"/>
  <c r="EY399" i="12"/>
  <c r="L138" i="5"/>
  <c r="FA156" i="12"/>
  <c r="L15" i="5"/>
  <c r="EZ252" i="12"/>
  <c r="L41" i="5"/>
  <c r="L155" i="5"/>
  <c r="EY122" i="12"/>
  <c r="EZ307" i="12"/>
  <c r="FA246" i="12"/>
  <c r="EY315" i="12"/>
  <c r="EZ159" i="12"/>
  <c r="EZ243" i="12"/>
  <c r="FA248" i="12"/>
  <c r="L80" i="5"/>
  <c r="EY269" i="12"/>
  <c r="FA298" i="12"/>
  <c r="EZ135" i="12"/>
  <c r="L206" i="5"/>
  <c r="EY151" i="12"/>
  <c r="EY388" i="12"/>
  <c r="EZ391" i="12"/>
  <c r="L199" i="5"/>
  <c r="L26" i="5"/>
  <c r="FA258" i="12"/>
  <c r="EZ115" i="12"/>
  <c r="FA348" i="12"/>
  <c r="L61" i="5"/>
  <c r="L91" i="5"/>
  <c r="EY272" i="12"/>
  <c r="EY328" i="12"/>
  <c r="L269" i="5"/>
  <c r="FA241" i="12"/>
  <c r="L306" i="5"/>
  <c r="L244" i="5"/>
  <c r="FA227" i="12"/>
  <c r="EZ263" i="12"/>
  <c r="FA130" i="12"/>
  <c r="FA358" i="12"/>
  <c r="L281" i="5"/>
  <c r="L72" i="5"/>
  <c r="L252" i="5"/>
  <c r="EZ201" i="12"/>
  <c r="EZ155" i="12"/>
  <c r="EY214" i="12"/>
  <c r="L157" i="5"/>
  <c r="FA239" i="12"/>
  <c r="FA177" i="12"/>
  <c r="EZ196" i="12"/>
  <c r="FA223" i="12"/>
  <c r="EY135" i="12"/>
  <c r="L171" i="5"/>
  <c r="FA297" i="12"/>
  <c r="FA369" i="12"/>
  <c r="EY348" i="12"/>
  <c r="EZ118" i="12"/>
  <c r="EZ339" i="12"/>
  <c r="EZ395" i="12"/>
  <c r="EY139" i="12"/>
  <c r="FA282" i="12"/>
  <c r="EY110" i="12"/>
  <c r="EY161" i="12"/>
  <c r="L136" i="5"/>
  <c r="EY391" i="12"/>
  <c r="EZ223" i="12"/>
  <c r="L102" i="5"/>
  <c r="EY310" i="12"/>
  <c r="EY321" i="12"/>
  <c r="FA304" i="12"/>
  <c r="EZ141" i="12"/>
  <c r="L212" i="5"/>
  <c r="FA134" i="12"/>
  <c r="FA245" i="12"/>
  <c r="EY281" i="12"/>
  <c r="EY215" i="12"/>
  <c r="FA140" i="12"/>
  <c r="EZ132" i="12"/>
  <c r="L275" i="5"/>
  <c r="EY309" i="12"/>
  <c r="EZ345" i="12"/>
  <c r="L151" i="5"/>
  <c r="L188" i="5"/>
  <c r="L231" i="5"/>
  <c r="EY350" i="12"/>
  <c r="L70" i="5"/>
  <c r="L38" i="5"/>
  <c r="EY199" i="12"/>
  <c r="L258" i="5"/>
  <c r="FA299" i="12"/>
  <c r="EZ151" i="12"/>
  <c r="L148" i="5"/>
  <c r="EY393" i="12"/>
  <c r="EZ179" i="12"/>
  <c r="FA115" i="12"/>
  <c r="EZ202" i="12"/>
  <c r="EY278" i="12"/>
  <c r="EY324" i="12"/>
  <c r="L236" i="5"/>
  <c r="L272" i="5"/>
  <c r="EY205" i="12"/>
  <c r="FA385" i="12"/>
  <c r="EY120" i="12"/>
  <c r="EY302" i="12"/>
  <c r="EZ347" i="12"/>
  <c r="EY218" i="12"/>
  <c r="FA301" i="12"/>
  <c r="FA332" i="12"/>
  <c r="EZ211" i="12"/>
  <c r="EZ296" i="12"/>
  <c r="L302" i="5"/>
  <c r="EZ246" i="12"/>
  <c r="EZ232" i="12"/>
  <c r="EY182" i="12"/>
  <c r="FA117" i="12"/>
  <c r="EY345" i="12"/>
  <c r="L130" i="5"/>
  <c r="EY260" i="12"/>
  <c r="EZ327" i="12"/>
  <c r="EY227" i="12"/>
  <c r="L221" i="5"/>
  <c r="EZ350" i="12"/>
  <c r="EY213" i="12"/>
  <c r="L293" i="5"/>
  <c r="EY322" i="12"/>
  <c r="FA362" i="12"/>
  <c r="L292" i="5"/>
  <c r="EZ206" i="12"/>
  <c r="EZ326" i="12"/>
  <c r="FA344" i="12"/>
  <c r="L301" i="5"/>
  <c r="EY211" i="12"/>
  <c r="EZ374" i="12"/>
  <c r="EY333" i="12"/>
  <c r="L94" i="5"/>
  <c r="EY263" i="12"/>
  <c r="FA271" i="12"/>
  <c r="EY210" i="12"/>
  <c r="EZ325" i="12"/>
  <c r="FA260" i="12"/>
  <c r="L68" i="5"/>
  <c r="L197" i="5"/>
  <c r="EY242" i="12"/>
  <c r="EZ278" i="12"/>
  <c r="L209" i="5"/>
  <c r="L178" i="5"/>
  <c r="L106" i="5"/>
  <c r="EY204" i="12"/>
  <c r="EZ281" i="12"/>
  <c r="EZ320" i="12"/>
  <c r="EZ153" i="12"/>
  <c r="FA340" i="12"/>
  <c r="EZ381" i="12"/>
  <c r="EY286" i="12"/>
  <c r="L51" i="5"/>
  <c r="EY235" i="12"/>
  <c r="EZ136" i="12"/>
  <c r="EZ390" i="12"/>
  <c r="L95" i="5"/>
  <c r="FA336" i="12"/>
  <c r="EZ369" i="12"/>
  <c r="EZ130" i="12"/>
  <c r="L228" i="5"/>
  <c r="L195" i="5"/>
  <c r="FA181" i="12"/>
  <c r="FA326" i="12"/>
  <c r="EZ144" i="12"/>
  <c r="EY198" i="12"/>
  <c r="EZ175" i="12"/>
  <c r="FA250" i="12"/>
  <c r="FA205" i="12"/>
  <c r="EY153" i="12"/>
  <c r="EY343" i="12"/>
  <c r="EZ177" i="12"/>
  <c r="L87" i="5"/>
  <c r="EY150" i="12"/>
  <c r="EZ171" i="12"/>
  <c r="L17" i="5"/>
  <c r="EY233" i="12"/>
  <c r="EZ349" i="12"/>
  <c r="FA307" i="12"/>
  <c r="FA360" i="12"/>
  <c r="L286" i="5"/>
  <c r="L99" i="5"/>
  <c r="EY389" i="12"/>
  <c r="FA118" i="12"/>
  <c r="L284" i="5"/>
  <c r="EY368" i="12"/>
  <c r="EY217" i="12"/>
  <c r="L246" i="5"/>
  <c r="FA187" i="12"/>
  <c r="FA292" i="12"/>
  <c r="FA305" i="12"/>
  <c r="L152" i="5"/>
  <c r="L159" i="5"/>
  <c r="EY188" i="12"/>
  <c r="FA382" i="12"/>
  <c r="EZ217" i="12"/>
  <c r="EY222" i="12"/>
  <c r="EZ259" i="12"/>
  <c r="FA321" i="12"/>
  <c r="FA327" i="12"/>
  <c r="EY361" i="12"/>
  <c r="L135" i="5"/>
  <c r="FA359" i="12"/>
  <c r="FA200" i="12"/>
  <c r="EZ285" i="12"/>
  <c r="FA234" i="12"/>
  <c r="L214" i="5"/>
  <c r="L24" i="5"/>
  <c r="EZ289" i="12"/>
  <c r="FA381" i="12"/>
  <c r="FA145" i="12"/>
  <c r="FA189" i="12"/>
  <c r="L63" i="5"/>
  <c r="EY111" i="12"/>
  <c r="L150" i="5"/>
  <c r="EZ260" i="12"/>
  <c r="EZ323" i="12"/>
  <c r="L192" i="5"/>
  <c r="EZ377" i="12"/>
  <c r="FA365" i="12"/>
  <c r="EZ181" i="12"/>
  <c r="EZ298" i="12"/>
  <c r="FA133" i="12"/>
  <c r="EY226" i="12"/>
  <c r="EZ158" i="12"/>
  <c r="L203" i="5"/>
  <c r="EY236" i="12"/>
  <c r="FA109" i="12"/>
  <c r="FA178" i="12"/>
  <c r="EZ103" i="12"/>
  <c r="EY285" i="12"/>
  <c r="L44" i="5"/>
  <c r="FA232" i="12"/>
  <c r="L120" i="5"/>
  <c r="L253" i="5"/>
  <c r="EZ376" i="12"/>
  <c r="FA314" i="12"/>
  <c r="L54" i="5"/>
  <c r="L173" i="5"/>
  <c r="L77" i="5"/>
  <c r="EZ210" i="12"/>
  <c r="EY118" i="12"/>
  <c r="EY273" i="12"/>
  <c r="EY277" i="12"/>
  <c r="EY283" i="12"/>
  <c r="EZ186" i="12"/>
  <c r="EY187" i="12"/>
  <c r="EZ219" i="12"/>
  <c r="EY109" i="12"/>
  <c r="L126" i="5"/>
  <c r="EZ371" i="12"/>
  <c r="EZ293" i="12"/>
  <c r="FA132" i="12"/>
  <c r="L193" i="5"/>
  <c r="L180" i="5"/>
  <c r="EZ242" i="12"/>
  <c r="FA346" i="12"/>
  <c r="EZ128" i="12"/>
  <c r="FA253" i="12"/>
  <c r="EZ388" i="12"/>
  <c r="L308" i="5"/>
  <c r="FA371" i="12"/>
  <c r="FA123" i="12"/>
  <c r="FA313" i="12"/>
  <c r="FA268" i="12"/>
  <c r="FA375" i="12"/>
  <c r="L185" i="5"/>
  <c r="EY382" i="12"/>
  <c r="FA191" i="12"/>
  <c r="L279" i="5"/>
  <c r="EZ389" i="12"/>
  <c r="EZ215" i="12"/>
  <c r="L14" i="5"/>
  <c r="EY142" i="12"/>
  <c r="L238" i="5"/>
  <c r="L256" i="5"/>
  <c r="L247" i="5"/>
  <c r="L190" i="5"/>
  <c r="FA172" i="12"/>
  <c r="FA194" i="12"/>
  <c r="L240" i="5"/>
  <c r="EY240" i="12"/>
  <c r="EY297" i="12"/>
  <c r="FA208" i="12"/>
  <c r="EZ114" i="12"/>
  <c r="EY129" i="12"/>
  <c r="EZ330" i="12"/>
  <c r="EZ204" i="12"/>
  <c r="FA113" i="12"/>
  <c r="EY108" i="12"/>
  <c r="EZ197" i="12"/>
  <c r="EY352" i="12"/>
  <c r="EY314" i="12"/>
  <c r="FA170" i="12"/>
  <c r="FA373" i="12"/>
  <c r="EY259" i="12"/>
  <c r="EY164" i="12"/>
  <c r="L93" i="5"/>
  <c r="L104" i="5"/>
  <c r="FA263" i="12"/>
  <c r="EY392" i="12"/>
  <c r="EZ352" i="12"/>
  <c r="EZ373" i="12"/>
  <c r="EY192" i="12"/>
  <c r="L201" i="5"/>
  <c r="FA206" i="12"/>
  <c r="L267" i="5"/>
  <c r="FA143" i="12"/>
  <c r="EY237" i="12"/>
  <c r="L305" i="5"/>
  <c r="EY201" i="12"/>
  <c r="L134" i="5"/>
  <c r="L166" i="5"/>
  <c r="EY380" i="12"/>
  <c r="FA237" i="12"/>
  <c r="EZ173" i="12"/>
  <c r="EY365" i="12"/>
  <c r="FA203" i="12"/>
  <c r="L208" i="5"/>
  <c r="EZ147" i="12"/>
  <c r="EY127" i="12"/>
  <c r="L111" i="5"/>
  <c r="EZ200" i="12"/>
  <c r="FA185" i="12"/>
  <c r="FA238" i="12"/>
  <c r="EY317" i="12"/>
  <c r="EY258" i="12"/>
  <c r="EZ105" i="12"/>
  <c r="FA357" i="12"/>
  <c r="EZ392" i="12"/>
  <c r="EZ120" i="12"/>
  <c r="FA176" i="12"/>
  <c r="L121" i="5"/>
  <c r="EZ107" i="12"/>
  <c r="EY116" i="12"/>
  <c r="FA222" i="12"/>
  <c r="EY313" i="12"/>
  <c r="EZ119" i="12"/>
  <c r="EZ262" i="12"/>
  <c r="FA174" i="12"/>
  <c r="FA136" i="12"/>
  <c r="FA264" i="12"/>
  <c r="L194" i="5"/>
  <c r="EY359" i="12"/>
  <c r="FA353" i="12"/>
  <c r="FA231" i="12"/>
  <c r="L84" i="5"/>
  <c r="FA119" i="12"/>
  <c r="EZ236" i="12"/>
  <c r="L56" i="5"/>
  <c r="EZ397" i="12"/>
  <c r="EZ216" i="12"/>
  <c r="EY224" i="12"/>
  <c r="FA376" i="12"/>
  <c r="FA105" i="12"/>
  <c r="EZ311" i="12"/>
  <c r="FA394" i="12"/>
  <c r="L124" i="5"/>
  <c r="EZ380" i="12"/>
  <c r="EZ180" i="12"/>
  <c r="EY351" i="12"/>
  <c r="EZ165" i="12"/>
  <c r="L290" i="5"/>
  <c r="EZ207" i="12"/>
  <c r="FA390" i="12"/>
  <c r="FA209" i="12"/>
  <c r="EZ306" i="12"/>
  <c r="FA283" i="12"/>
  <c r="EY202" i="12"/>
  <c r="EZ336" i="12"/>
  <c r="EZ348" i="12"/>
  <c r="EZ253" i="12"/>
  <c r="EZ188" i="12"/>
  <c r="FA159" i="12"/>
  <c r="FA387" i="12"/>
  <c r="FA377" i="12"/>
  <c r="FA157" i="12"/>
  <c r="L49" i="5"/>
  <c r="EY219" i="12"/>
  <c r="EY296" i="12"/>
  <c r="L101" i="5"/>
  <c r="L98" i="5"/>
  <c r="FA211" i="12"/>
  <c r="EZ318" i="12"/>
  <c r="EZ387" i="12"/>
  <c r="EZ353" i="12"/>
  <c r="EZ131" i="12"/>
  <c r="FA116" i="12"/>
  <c r="EY149" i="12"/>
  <c r="EY239" i="12"/>
  <c r="L36" i="5"/>
  <c r="EY191" i="12"/>
  <c r="EZ182" i="12"/>
  <c r="EY248" i="12"/>
  <c r="FA351" i="12"/>
  <c r="L62" i="5"/>
  <c r="EY163" i="12"/>
  <c r="L139" i="5"/>
  <c r="EY360" i="12"/>
  <c r="EY212" i="12"/>
  <c r="EY311" i="12"/>
  <c r="EY132" i="12"/>
  <c r="EY332" i="12"/>
  <c r="EY356" i="12"/>
  <c r="L23" i="5"/>
  <c r="EY264" i="12"/>
  <c r="EY160" i="12"/>
  <c r="L266" i="5"/>
  <c r="L304" i="5"/>
  <c r="FA197" i="12"/>
  <c r="L50" i="5"/>
  <c r="FA161" i="12"/>
  <c r="EY146" i="12"/>
  <c r="FA395" i="12"/>
  <c r="L65" i="5"/>
  <c r="FA251" i="12"/>
  <c r="EZ195" i="12"/>
  <c r="EY371" i="12"/>
  <c r="EY316" i="12"/>
  <c r="EZ231" i="12"/>
  <c r="EY320" i="12"/>
  <c r="FA236" i="12"/>
  <c r="FA396" i="12"/>
  <c r="L88" i="5"/>
  <c r="EY128" i="12"/>
  <c r="EZ176" i="12"/>
  <c r="FA322" i="12"/>
  <c r="EY312" i="12"/>
  <c r="L223" i="5"/>
  <c r="EZ193" i="12"/>
  <c r="L45" i="5"/>
  <c r="FA103" i="12"/>
  <c r="FA343" i="12"/>
  <c r="L220" i="5"/>
  <c r="L140" i="5"/>
  <c r="EZ361" i="12"/>
  <c r="L21" i="5"/>
  <c r="FA151" i="12"/>
  <c r="EZ276" i="12"/>
  <c r="FA315" i="12"/>
  <c r="FA148" i="12"/>
  <c r="L145" i="5"/>
  <c r="EY395" i="12"/>
  <c r="FA345" i="12"/>
  <c r="L19" i="5"/>
  <c r="EY256" i="12"/>
  <c r="EY305" i="12"/>
  <c r="L114" i="5"/>
  <c r="EY246" i="12"/>
  <c r="EZ358" i="12"/>
  <c r="L167" i="5"/>
  <c r="EY282" i="12"/>
  <c r="L164" i="5"/>
  <c r="EZ189" i="12"/>
  <c r="EY162" i="12"/>
  <c r="EY114" i="12"/>
  <c r="L22" i="5"/>
  <c r="EY383" i="12"/>
  <c r="EZ224" i="12"/>
  <c r="L277" i="5"/>
  <c r="EY370" i="12"/>
  <c r="L85" i="5"/>
  <c r="L47" i="5"/>
  <c r="EZ169" i="12"/>
  <c r="FA295" i="12"/>
  <c r="FA221" i="12"/>
  <c r="L182" i="5"/>
  <c r="L278" i="5"/>
  <c r="EZ185" i="12"/>
  <c r="FA171" i="12"/>
  <c r="EZ308" i="12"/>
  <c r="L16" i="5"/>
  <c r="EY331" i="12"/>
  <c r="L122" i="5"/>
  <c r="EZ357" i="12"/>
  <c r="EY292" i="12"/>
  <c r="L83" i="5"/>
  <c r="L210" i="5"/>
  <c r="L271" i="5"/>
  <c r="L32" i="5"/>
  <c r="FA168" i="12"/>
  <c r="FA202" i="12"/>
  <c r="EY294" i="12"/>
  <c r="L265" i="5"/>
  <c r="L115" i="5"/>
  <c r="FA312" i="12"/>
  <c r="FA179" i="12"/>
  <c r="EZ106" i="12"/>
  <c r="EZ355" i="12"/>
  <c r="FA243" i="12"/>
  <c r="FA107" i="12"/>
  <c r="L204" i="5"/>
  <c r="EZ359" i="12"/>
  <c r="EZ303" i="12"/>
  <c r="EZ338" i="12"/>
  <c r="FA186" i="12"/>
  <c r="FA138" i="12"/>
  <c r="FA328" i="12"/>
  <c r="FA302" i="12"/>
  <c r="FA147" i="12"/>
  <c r="EY243" i="12"/>
  <c r="EZ139" i="12"/>
  <c r="EY231" i="12"/>
  <c r="EZ212" i="12"/>
  <c r="FA244" i="12"/>
  <c r="L242" i="5"/>
  <c r="L119" i="5"/>
  <c r="L146" i="5"/>
  <c r="EZ280" i="12"/>
  <c r="EY376" i="12"/>
  <c r="L39" i="5"/>
  <c r="L255" i="5"/>
  <c r="L81" i="5"/>
  <c r="EZ133" i="12"/>
  <c r="FA230" i="12"/>
  <c r="EZ208" i="12"/>
  <c r="L30" i="5"/>
  <c r="L69" i="5"/>
  <c r="L27" i="5"/>
  <c r="L58" i="5"/>
  <c r="EY323" i="12"/>
  <c r="FA254" i="12"/>
  <c r="L297" i="5"/>
  <c r="L28" i="5"/>
  <c r="FA275" i="12"/>
  <c r="FA114" i="12"/>
  <c r="FA265" i="12"/>
  <c r="L31" i="5"/>
  <c r="EZ235" i="12"/>
  <c r="L42" i="5"/>
  <c r="FA210" i="12"/>
  <c r="FA329" i="12"/>
  <c r="FA262" i="12"/>
  <c r="FA242" i="12"/>
  <c r="FA228" i="12"/>
  <c r="FA110" i="12"/>
  <c r="EZ284" i="12"/>
  <c r="EZ334" i="12"/>
  <c r="FA164" i="12"/>
  <c r="EZ256" i="12"/>
  <c r="FA309" i="12"/>
  <c r="EY266" i="12"/>
  <c r="EY220" i="12"/>
  <c r="EY346" i="12"/>
  <c r="L52" i="5"/>
  <c r="EZ233" i="12"/>
  <c r="FA180" i="12"/>
  <c r="L163" i="5"/>
  <c r="L198" i="5"/>
  <c r="L144" i="5"/>
  <c r="FA308" i="12"/>
  <c r="FA183" i="12"/>
  <c r="EY178" i="12"/>
  <c r="FA342" i="12"/>
  <c r="L37" i="5"/>
  <c r="L261" i="5"/>
  <c r="L211" i="5"/>
  <c r="FA347" i="12"/>
  <c r="EZ213" i="12"/>
  <c r="L48" i="5"/>
  <c r="FA204" i="12"/>
  <c r="L34" i="5"/>
  <c r="L226" i="5"/>
  <c r="EY130" i="12"/>
  <c r="L112" i="5"/>
  <c r="EY172" i="12"/>
  <c r="EZ383" i="12"/>
  <c r="L40" i="5"/>
  <c r="EZ163" i="12"/>
  <c r="EZ143" i="12"/>
  <c r="EY216" i="12"/>
  <c r="EZ295" i="12"/>
  <c r="EY124" i="12"/>
  <c r="L259" i="5"/>
  <c r="EZ148" i="12"/>
  <c r="L243" i="5"/>
  <c r="M243" i="5" l="1"/>
  <c r="FF148" i="12"/>
  <c r="FB148" i="12"/>
  <c r="FC148" i="12"/>
  <c r="M259" i="5"/>
  <c r="JA124" i="12"/>
  <c r="BA224" i="12"/>
  <c r="JM124" i="12"/>
  <c r="FE295" i="12"/>
  <c r="EQ295" i="12"/>
  <c r="ER295" i="12" s="1"/>
  <c r="ES295" i="12" s="1"/>
  <c r="FC295" i="12"/>
  <c r="FF295" i="12"/>
  <c r="FB295" i="12"/>
  <c r="JC295" i="12" s="1"/>
  <c r="JM216" i="12"/>
  <c r="BA316" i="12"/>
  <c r="JA216" i="12"/>
  <c r="FB143" i="12"/>
  <c r="FF143" i="12"/>
  <c r="FC143" i="12"/>
  <c r="FE163" i="12"/>
  <c r="EQ163" i="12"/>
  <c r="ER163" i="12" s="1"/>
  <c r="ES163" i="12" s="1"/>
  <c r="FB163" i="12"/>
  <c r="FF163" i="12"/>
  <c r="FC163" i="12"/>
  <c r="M40" i="5"/>
  <c r="FE383" i="12"/>
  <c r="FF383" i="12"/>
  <c r="FB383" i="12"/>
  <c r="FC383" i="12"/>
  <c r="JA172" i="12"/>
  <c r="JM172" i="12"/>
  <c r="BA272" i="12"/>
  <c r="BE272" i="12" s="1"/>
  <c r="M112" i="5"/>
  <c r="JM130" i="12"/>
  <c r="JA130" i="12"/>
  <c r="BA230" i="12"/>
  <c r="M226" i="5"/>
  <c r="M34" i="5"/>
  <c r="M48" i="5"/>
  <c r="FF213" i="12"/>
  <c r="EQ213" i="12"/>
  <c r="ER213" i="12" s="1"/>
  <c r="ES213" i="12" s="1"/>
  <c r="FB213" i="12"/>
  <c r="FE213" i="12"/>
  <c r="FC213" i="12"/>
  <c r="M211" i="5"/>
  <c r="M261" i="5"/>
  <c r="M37" i="5"/>
  <c r="JA178" i="12"/>
  <c r="JM178" i="12"/>
  <c r="BA278" i="12"/>
  <c r="M144" i="5"/>
  <c r="M198" i="5"/>
  <c r="M163" i="5"/>
  <c r="FF233" i="12"/>
  <c r="FC233" i="12"/>
  <c r="FB233" i="12"/>
  <c r="FE233" i="12"/>
  <c r="EQ233" i="12"/>
  <c r="ER233" i="12" s="1"/>
  <c r="ES233" i="12" s="1"/>
  <c r="M52" i="5"/>
  <c r="BA446" i="12"/>
  <c r="JM346" i="12"/>
  <c r="JA346" i="12"/>
  <c r="JM220" i="12"/>
  <c r="BA320" i="12"/>
  <c r="JA220" i="12"/>
  <c r="JM266" i="12"/>
  <c r="BA366" i="12"/>
  <c r="JA266" i="12"/>
  <c r="FE256" i="12"/>
  <c r="FF256" i="12"/>
  <c r="FC256" i="12"/>
  <c r="EQ256" i="12"/>
  <c r="ER256" i="12" s="1"/>
  <c r="ES256" i="12" s="1"/>
  <c r="FB256" i="12"/>
  <c r="EQ334" i="12"/>
  <c r="ER334" i="12" s="1"/>
  <c r="ES334" i="12" s="1"/>
  <c r="FC334" i="12"/>
  <c r="FB334" i="12"/>
  <c r="FF334" i="12"/>
  <c r="FE334" i="12"/>
  <c r="FC284" i="12"/>
  <c r="FB284" i="12"/>
  <c r="FE284" i="12"/>
  <c r="EQ284" i="12"/>
  <c r="ER284" i="12" s="1"/>
  <c r="ES284" i="12" s="1"/>
  <c r="FF284" i="12"/>
  <c r="M42" i="5"/>
  <c r="EQ235" i="12"/>
  <c r="ER235" i="12" s="1"/>
  <c r="ES235" i="12" s="1"/>
  <c r="FB235" i="12"/>
  <c r="FF235" i="12"/>
  <c r="FC235" i="12"/>
  <c r="FE235" i="12"/>
  <c r="M31" i="5"/>
  <c r="M28" i="5"/>
  <c r="M297" i="5"/>
  <c r="JA323" i="12"/>
  <c r="JM323" i="12"/>
  <c r="BA423" i="12"/>
  <c r="M58" i="5"/>
  <c r="M27" i="5"/>
  <c r="M69" i="5"/>
  <c r="M30" i="5"/>
  <c r="EQ208" i="12"/>
  <c r="ER208" i="12" s="1"/>
  <c r="ES208" i="12" s="1"/>
  <c r="FF208" i="12"/>
  <c r="FB208" i="12"/>
  <c r="FE208" i="12"/>
  <c r="FC208" i="12"/>
  <c r="FC133" i="12"/>
  <c r="FB133" i="12"/>
  <c r="FF133" i="12"/>
  <c r="M81" i="5"/>
  <c r="M255" i="5"/>
  <c r="M39" i="5"/>
  <c r="JM376" i="12"/>
  <c r="BA476" i="12"/>
  <c r="JA376" i="12"/>
  <c r="FC280" i="12"/>
  <c r="FB280" i="12"/>
  <c r="FF280" i="12"/>
  <c r="EQ280" i="12"/>
  <c r="ER280" i="12" s="1"/>
  <c r="ES280" i="12" s="1"/>
  <c r="FE280" i="12"/>
  <c r="M146" i="5"/>
  <c r="M119" i="5"/>
  <c r="M242" i="5"/>
  <c r="EQ212" i="12"/>
  <c r="ER212" i="12" s="1"/>
  <c r="ES212" i="12" s="1"/>
  <c r="FB212" i="12"/>
  <c r="FC212" i="12"/>
  <c r="FF212" i="12"/>
  <c r="FE212" i="12"/>
  <c r="JA231" i="12"/>
  <c r="JM231" i="12"/>
  <c r="BA331" i="12"/>
  <c r="FC139" i="12"/>
  <c r="FF139" i="12"/>
  <c r="FB139" i="12"/>
  <c r="JM243" i="12"/>
  <c r="BA343" i="12"/>
  <c r="JA243" i="12"/>
  <c r="FE338" i="12"/>
  <c r="FC338" i="12"/>
  <c r="EQ338" i="12"/>
  <c r="ER338" i="12" s="1"/>
  <c r="ES338" i="12" s="1"/>
  <c r="FB338" i="12"/>
  <c r="FF338" i="12"/>
  <c r="FE303" i="12"/>
  <c r="FB303" i="12"/>
  <c r="FF303" i="12"/>
  <c r="FC303" i="12"/>
  <c r="EQ303" i="12"/>
  <c r="ER303" i="12" s="1"/>
  <c r="ES303" i="12" s="1"/>
  <c r="EQ359" i="12"/>
  <c r="ER359" i="12" s="1"/>
  <c r="ES359" i="12" s="1"/>
  <c r="FF359" i="12"/>
  <c r="FB359" i="12"/>
  <c r="FC359" i="12"/>
  <c r="FE359" i="12"/>
  <c r="M204" i="5"/>
  <c r="EQ355" i="12"/>
  <c r="ER355" i="12" s="1"/>
  <c r="ES355" i="12" s="1"/>
  <c r="FB355" i="12"/>
  <c r="FC355" i="12"/>
  <c r="FF355" i="12"/>
  <c r="FE355" i="12"/>
  <c r="FB106" i="12"/>
  <c r="FC106" i="12"/>
  <c r="FF106" i="12"/>
  <c r="M115" i="5"/>
  <c r="M265" i="5"/>
  <c r="JA294" i="12"/>
  <c r="JM294" i="12"/>
  <c r="BA394" i="12"/>
  <c r="M32" i="5"/>
  <c r="M271" i="5"/>
  <c r="M210" i="5"/>
  <c r="M83" i="5"/>
  <c r="JM292" i="12"/>
  <c r="JA292" i="12"/>
  <c r="BA392" i="12"/>
  <c r="EQ357" i="12"/>
  <c r="ER357" i="12" s="1"/>
  <c r="ES357" i="12" s="1"/>
  <c r="FC357" i="12"/>
  <c r="FF357" i="12"/>
  <c r="FE357" i="12"/>
  <c r="FB357" i="12"/>
  <c r="M122" i="5"/>
  <c r="JA331" i="12"/>
  <c r="BA431" i="12"/>
  <c r="JM331" i="12"/>
  <c r="M16" i="5"/>
  <c r="FB308" i="12"/>
  <c r="FC308" i="12"/>
  <c r="FE308" i="12"/>
  <c r="FF308" i="12"/>
  <c r="EQ308" i="12"/>
  <c r="ER308" i="12" s="1"/>
  <c r="ES308" i="12" s="1"/>
  <c r="FB185" i="12"/>
  <c r="EQ185" i="12"/>
  <c r="ER185" i="12" s="1"/>
  <c r="ES185" i="12" s="1"/>
  <c r="FE185" i="12"/>
  <c r="FC185" i="12"/>
  <c r="FF185" i="12"/>
  <c r="M278" i="5"/>
  <c r="M182" i="5"/>
  <c r="FB169" i="12"/>
  <c r="FE169" i="12"/>
  <c r="FF169" i="12"/>
  <c r="FC169" i="12"/>
  <c r="EQ169" i="12"/>
  <c r="ER169" i="12" s="1"/>
  <c r="ES169" i="12" s="1"/>
  <c r="M47" i="5"/>
  <c r="M85" i="5"/>
  <c r="BA470" i="12"/>
  <c r="JA370" i="12"/>
  <c r="JM370" i="12"/>
  <c r="M277" i="5"/>
  <c r="EQ224" i="12"/>
  <c r="ER224" i="12" s="1"/>
  <c r="ES224" i="12" s="1"/>
  <c r="FF224" i="12"/>
  <c r="FC224" i="12"/>
  <c r="FE224" i="12"/>
  <c r="FB224" i="12"/>
  <c r="JM383" i="12"/>
  <c r="BA483" i="12"/>
  <c r="JA383" i="12"/>
  <c r="M22" i="5"/>
  <c r="JM114" i="12"/>
  <c r="JA114" i="12"/>
  <c r="BA214" i="12"/>
  <c r="JA162" i="12"/>
  <c r="BA262" i="12"/>
  <c r="JM162" i="12"/>
  <c r="FC189" i="12"/>
  <c r="FE189" i="12"/>
  <c r="FF189" i="12"/>
  <c r="FB189" i="12"/>
  <c r="EQ189" i="12"/>
  <c r="ER189" i="12" s="1"/>
  <c r="ES189" i="12" s="1"/>
  <c r="M164" i="5"/>
  <c r="JM282" i="12"/>
  <c r="JA282" i="12"/>
  <c r="BA382" i="12"/>
  <c r="M167" i="5"/>
  <c r="FB358" i="12"/>
  <c r="FE358" i="12"/>
  <c r="EQ358" i="12"/>
  <c r="ER358" i="12" s="1"/>
  <c r="ES358" i="12" s="1"/>
  <c r="FF358" i="12"/>
  <c r="FC358" i="12"/>
  <c r="JA246" i="12"/>
  <c r="JM246" i="12"/>
  <c r="BA346" i="12"/>
  <c r="M114" i="5"/>
  <c r="JM305" i="12"/>
  <c r="JA305" i="12"/>
  <c r="BA405" i="12"/>
  <c r="BA356" i="12"/>
  <c r="JA256" i="12"/>
  <c r="JM256" i="12"/>
  <c r="M19" i="5"/>
  <c r="BA495" i="12"/>
  <c r="BB495" i="12" s="1"/>
  <c r="JA395" i="12"/>
  <c r="JM395" i="12"/>
  <c r="M145" i="5"/>
  <c r="EQ276" i="12"/>
  <c r="ER276" i="12" s="1"/>
  <c r="ES276" i="12" s="1"/>
  <c r="FE276" i="12"/>
  <c r="FB276" i="12"/>
  <c r="FC276" i="12"/>
  <c r="FF276" i="12"/>
  <c r="M21" i="5"/>
  <c r="FF361" i="12"/>
  <c r="FE361" i="12"/>
  <c r="FC361" i="12"/>
  <c r="FB361" i="12"/>
  <c r="EQ361" i="12"/>
  <c r="ER361" i="12" s="1"/>
  <c r="ES361" i="12" s="1"/>
  <c r="M140" i="5"/>
  <c r="M220" i="5"/>
  <c r="M45" i="5"/>
  <c r="FB193" i="12"/>
  <c r="JC193" i="12" s="1"/>
  <c r="FC193" i="12"/>
  <c r="FF193" i="12"/>
  <c r="EQ193" i="12"/>
  <c r="ER193" i="12" s="1"/>
  <c r="ES193" i="12" s="1"/>
  <c r="FE193" i="12"/>
  <c r="M223" i="5"/>
  <c r="BA412" i="12"/>
  <c r="JA312" i="12"/>
  <c r="JM312" i="12"/>
  <c r="EQ176" i="12"/>
  <c r="ER176" i="12" s="1"/>
  <c r="ES176" i="12" s="1"/>
  <c r="FC176" i="12"/>
  <c r="FE176" i="12"/>
  <c r="FB176" i="12"/>
  <c r="FF176" i="12"/>
  <c r="JA128" i="12"/>
  <c r="BA228" i="12"/>
  <c r="JM128" i="12"/>
  <c r="M88" i="5"/>
  <c r="BA420" i="12"/>
  <c r="JM320" i="12"/>
  <c r="JA320" i="12"/>
  <c r="FB231" i="12"/>
  <c r="FF231" i="12"/>
  <c r="FC231" i="12"/>
  <c r="FE231" i="12"/>
  <c r="EQ231" i="12"/>
  <c r="ER231" i="12" s="1"/>
  <c r="ES231" i="12" s="1"/>
  <c r="BA416" i="12"/>
  <c r="AZ416" i="12" s="1"/>
  <c r="JM316" i="12"/>
  <c r="JA316" i="12"/>
  <c r="BA471" i="12"/>
  <c r="JM371" i="12"/>
  <c r="JA371" i="12"/>
  <c r="EQ195" i="12"/>
  <c r="ER195" i="12" s="1"/>
  <c r="ES195" i="12" s="1"/>
  <c r="FE195" i="12"/>
  <c r="FF195" i="12"/>
  <c r="FC195" i="12"/>
  <c r="FB195" i="12"/>
  <c r="M65" i="5"/>
  <c r="JM146" i="12"/>
  <c r="BA246" i="12"/>
  <c r="JA146" i="12"/>
  <c r="M50" i="5"/>
  <c r="M304" i="5"/>
  <c r="M266" i="5"/>
  <c r="JM160" i="12"/>
  <c r="BA260" i="12"/>
  <c r="JA160" i="12"/>
  <c r="JM264" i="12"/>
  <c r="JA264" i="12"/>
  <c r="BA364" i="12"/>
  <c r="M23" i="5"/>
  <c r="JA356" i="12"/>
  <c r="BA456" i="12"/>
  <c r="AZ456" i="12" s="1"/>
  <c r="JM356" i="12"/>
  <c r="JA332" i="12"/>
  <c r="BA432" i="12"/>
  <c r="BD432" i="12" s="1"/>
  <c r="JM332" i="12"/>
  <c r="JA132" i="12"/>
  <c r="JM132" i="12"/>
  <c r="BA232" i="12"/>
  <c r="JA311" i="12"/>
  <c r="JM311" i="12"/>
  <c r="BA411" i="12"/>
  <c r="BA312" i="12"/>
  <c r="JA212" i="12"/>
  <c r="JM212" i="12"/>
  <c r="BA460" i="12"/>
  <c r="JA360" i="12"/>
  <c r="JM360" i="12"/>
  <c r="M139" i="5"/>
  <c r="BA263" i="12"/>
  <c r="JM163" i="12"/>
  <c r="JA163" i="12"/>
  <c r="M62" i="5"/>
  <c r="BA348" i="12"/>
  <c r="JA248" i="12"/>
  <c r="JM248" i="12"/>
  <c r="EQ182" i="12"/>
  <c r="ER182" i="12" s="1"/>
  <c r="ES182" i="12" s="1"/>
  <c r="FE182" i="12"/>
  <c r="FC182" i="12"/>
  <c r="FF182" i="12"/>
  <c r="FB182" i="12"/>
  <c r="JM191" i="12"/>
  <c r="JA191" i="12"/>
  <c r="BA291" i="12"/>
  <c r="M36" i="5"/>
  <c r="JM239" i="12"/>
  <c r="BA339" i="12"/>
  <c r="JA239" i="12"/>
  <c r="BA249" i="12"/>
  <c r="JM149" i="12"/>
  <c r="JA149" i="12"/>
  <c r="FC131" i="12"/>
  <c r="FF131" i="12"/>
  <c r="FB131" i="12"/>
  <c r="FF353" i="12"/>
  <c r="FC353" i="12"/>
  <c r="FE353" i="12"/>
  <c r="EQ353" i="12"/>
  <c r="ER353" i="12" s="1"/>
  <c r="ES353" i="12" s="1"/>
  <c r="FB353" i="12"/>
  <c r="FB387" i="12"/>
  <c r="FC387" i="12"/>
  <c r="FE387" i="12"/>
  <c r="FF387" i="12"/>
  <c r="FE318" i="12"/>
  <c r="FF318" i="12"/>
  <c r="EQ318" i="12"/>
  <c r="ER318" i="12" s="1"/>
  <c r="ES318" i="12" s="1"/>
  <c r="FB318" i="12"/>
  <c r="FC318" i="12"/>
  <c r="M98" i="5"/>
  <c r="M101" i="5"/>
  <c r="JM296" i="12"/>
  <c r="BA396" i="12"/>
  <c r="JA296" i="12"/>
  <c r="JM219" i="12"/>
  <c r="BA319" i="12"/>
  <c r="BD319" i="12" s="1"/>
  <c r="JA219" i="12"/>
  <c r="M49" i="5"/>
  <c r="FC188" i="12"/>
  <c r="FB188" i="12"/>
  <c r="FF188" i="12"/>
  <c r="FE188" i="12"/>
  <c r="EQ188" i="12"/>
  <c r="ER188" i="12" s="1"/>
  <c r="ES188" i="12" s="1"/>
  <c r="FF253" i="12"/>
  <c r="FB253" i="12"/>
  <c r="FE253" i="12"/>
  <c r="FC253" i="12"/>
  <c r="EQ253" i="12"/>
  <c r="ER253" i="12" s="1"/>
  <c r="ES253" i="12" s="1"/>
  <c r="FE348" i="12"/>
  <c r="FC348" i="12"/>
  <c r="FB348" i="12"/>
  <c r="FF348" i="12"/>
  <c r="EQ348" i="12"/>
  <c r="ER348" i="12" s="1"/>
  <c r="ES348" i="12" s="1"/>
  <c r="FB336" i="12"/>
  <c r="EQ336" i="12"/>
  <c r="ER336" i="12" s="1"/>
  <c r="ES336" i="12" s="1"/>
  <c r="FC336" i="12"/>
  <c r="FF336" i="12"/>
  <c r="FE336" i="12"/>
  <c r="JM202" i="12"/>
  <c r="JA202" i="12"/>
  <c r="BA302" i="12"/>
  <c r="EQ306" i="12"/>
  <c r="ER306" i="12" s="1"/>
  <c r="ES306" i="12" s="1"/>
  <c r="FC306" i="12"/>
  <c r="FE306" i="12"/>
  <c r="FF306" i="12"/>
  <c r="FB306" i="12"/>
  <c r="FC207" i="12"/>
  <c r="EQ207" i="12"/>
  <c r="ER207" i="12" s="1"/>
  <c r="ES207" i="12" s="1"/>
  <c r="FF207" i="12"/>
  <c r="FB207" i="12"/>
  <c r="FE207" i="12"/>
  <c r="M290" i="5"/>
  <c r="FB165" i="12"/>
  <c r="FE165" i="12"/>
  <c r="FC165" i="12"/>
  <c r="EQ165" i="12"/>
  <c r="ER165" i="12" s="1"/>
  <c r="ES165" i="12" s="1"/>
  <c r="FF165" i="12"/>
  <c r="BA451" i="12"/>
  <c r="JA351" i="12"/>
  <c r="JM351" i="12"/>
  <c r="FC180" i="12"/>
  <c r="FE180" i="12"/>
  <c r="EQ180" i="12"/>
  <c r="ER180" i="12" s="1"/>
  <c r="ES180" i="12" s="1"/>
  <c r="FB180" i="12"/>
  <c r="FF180" i="12"/>
  <c r="FE380" i="12"/>
  <c r="FB380" i="12"/>
  <c r="FC380" i="12"/>
  <c r="FF380" i="12"/>
  <c r="M124" i="5"/>
  <c r="FF311" i="12"/>
  <c r="FE311" i="12"/>
  <c r="FC311" i="12"/>
  <c r="FB311" i="12"/>
  <c r="EQ311" i="12"/>
  <c r="ER311" i="12" s="1"/>
  <c r="ES311" i="12" s="1"/>
  <c r="BA324" i="12"/>
  <c r="JM224" i="12"/>
  <c r="JA224" i="12"/>
  <c r="FF216" i="12"/>
  <c r="FB216" i="12"/>
  <c r="EQ216" i="12"/>
  <c r="ER216" i="12" s="1"/>
  <c r="ES216" i="12" s="1"/>
  <c r="FE216" i="12"/>
  <c r="FC216" i="12"/>
  <c r="FB397" i="12"/>
  <c r="FC397" i="12"/>
  <c r="FE397" i="12"/>
  <c r="FF397" i="12"/>
  <c r="M56" i="5"/>
  <c r="FC236" i="12"/>
  <c r="FE236" i="12"/>
  <c r="FF236" i="12"/>
  <c r="EQ236" i="12"/>
  <c r="ER236" i="12" s="1"/>
  <c r="ES236" i="12" s="1"/>
  <c r="FB236" i="12"/>
  <c r="M84" i="5"/>
  <c r="JM359" i="12"/>
  <c r="BA459" i="12"/>
  <c r="JA359" i="12"/>
  <c r="M194" i="5"/>
  <c r="FE262" i="12"/>
  <c r="EQ262" i="12"/>
  <c r="ER262" i="12" s="1"/>
  <c r="ES262" i="12" s="1"/>
  <c r="FB262" i="12"/>
  <c r="FC262" i="12"/>
  <c r="FF262" i="12"/>
  <c r="FC119" i="12"/>
  <c r="FF119" i="12"/>
  <c r="FB119" i="12"/>
  <c r="JM313" i="12"/>
  <c r="JA313" i="12"/>
  <c r="BA413" i="12"/>
  <c r="JA116" i="12"/>
  <c r="BA216" i="12"/>
  <c r="JM116" i="12"/>
  <c r="FB107" i="12"/>
  <c r="FC107" i="12"/>
  <c r="FF107" i="12"/>
  <c r="M121" i="5"/>
  <c r="FF120" i="12"/>
  <c r="FC120" i="12"/>
  <c r="FB120" i="12"/>
  <c r="FE392" i="12"/>
  <c r="FC392" i="12"/>
  <c r="FF392" i="12"/>
  <c r="FB392" i="12"/>
  <c r="FC105" i="12"/>
  <c r="FF105" i="12"/>
  <c r="FB105" i="12"/>
  <c r="FE105" i="12"/>
  <c r="EQ105" i="12"/>
  <c r="ER105" i="12" s="1"/>
  <c r="ES105" i="12" s="1"/>
  <c r="BA358" i="12"/>
  <c r="JA258" i="12"/>
  <c r="JM258" i="12"/>
  <c r="BA417" i="12"/>
  <c r="JA317" i="12"/>
  <c r="JM317" i="12"/>
  <c r="EQ200" i="12"/>
  <c r="ER200" i="12" s="1"/>
  <c r="ES200" i="12" s="1"/>
  <c r="FC200" i="12"/>
  <c r="FF200" i="12"/>
  <c r="FE200" i="12"/>
  <c r="FB200" i="12"/>
  <c r="M111" i="5"/>
  <c r="JA127" i="12"/>
  <c r="BA227" i="12"/>
  <c r="JM127" i="12"/>
  <c r="FC147" i="12"/>
  <c r="FB147" i="12"/>
  <c r="FF147" i="12"/>
  <c r="M208" i="5"/>
  <c r="BA465" i="12"/>
  <c r="BC465" i="12" s="1"/>
  <c r="JA365" i="12"/>
  <c r="JM365" i="12"/>
  <c r="FB173" i="12"/>
  <c r="FC173" i="12"/>
  <c r="FF173" i="12"/>
  <c r="FE173" i="12"/>
  <c r="EQ173" i="12"/>
  <c r="ER173" i="12" s="1"/>
  <c r="ES173" i="12" s="1"/>
  <c r="BA480" i="12"/>
  <c r="JM380" i="12"/>
  <c r="JA380" i="12"/>
  <c r="M166" i="5"/>
  <c r="M134" i="5"/>
  <c r="JA201" i="12"/>
  <c r="BA301" i="12"/>
  <c r="JM201" i="12"/>
  <c r="M305" i="5"/>
  <c r="JA237" i="12"/>
  <c r="JM237" i="12"/>
  <c r="BA337" i="12"/>
  <c r="M267" i="5"/>
  <c r="M201" i="5"/>
  <c r="JA192" i="12"/>
  <c r="BA292" i="12"/>
  <c r="JM192" i="12"/>
  <c r="FE373" i="12"/>
  <c r="FF373" i="12"/>
  <c r="FB373" i="12"/>
  <c r="FC373" i="12"/>
  <c r="FB352" i="12"/>
  <c r="EQ352" i="12"/>
  <c r="ER352" i="12" s="1"/>
  <c r="ES352" i="12" s="1"/>
  <c r="FF352" i="12"/>
  <c r="FE352" i="12"/>
  <c r="FC352" i="12"/>
  <c r="JM392" i="12"/>
  <c r="JA392" i="12"/>
  <c r="BA492" i="12"/>
  <c r="M104" i="5"/>
  <c r="M93" i="5"/>
  <c r="JA164" i="12"/>
  <c r="BA264" i="12"/>
  <c r="JM164" i="12"/>
  <c r="BA359" i="12"/>
  <c r="JM259" i="12"/>
  <c r="JA259" i="12"/>
  <c r="BA414" i="12"/>
  <c r="JA314" i="12"/>
  <c r="JM314" i="12"/>
  <c r="JM352" i="12"/>
  <c r="JA352" i="12"/>
  <c r="BA452" i="12"/>
  <c r="FB197" i="12"/>
  <c r="JD197" i="12" s="1"/>
  <c r="FF197" i="12"/>
  <c r="FE197" i="12"/>
  <c r="EQ197" i="12"/>
  <c r="ER197" i="12" s="1"/>
  <c r="ES197" i="12" s="1"/>
  <c r="FC197" i="12"/>
  <c r="JM108" i="12"/>
  <c r="JA108" i="12"/>
  <c r="BA208" i="12"/>
  <c r="EQ204" i="12"/>
  <c r="ER204" i="12" s="1"/>
  <c r="ES204" i="12" s="1"/>
  <c r="FF204" i="12"/>
  <c r="FE204" i="12"/>
  <c r="FB204" i="12"/>
  <c r="FC204" i="12"/>
  <c r="FF330" i="12"/>
  <c r="FC330" i="12"/>
  <c r="EQ330" i="12"/>
  <c r="ER330" i="12" s="1"/>
  <c r="ES330" i="12" s="1"/>
  <c r="FB330" i="12"/>
  <c r="FE330" i="12"/>
  <c r="JA129" i="12"/>
  <c r="JM129" i="12"/>
  <c r="BA229" i="12"/>
  <c r="AZ229" i="12" s="1"/>
  <c r="FB114" i="12"/>
  <c r="FF114" i="12"/>
  <c r="FC114" i="12"/>
  <c r="JM297" i="12"/>
  <c r="JA297" i="12"/>
  <c r="BA397" i="12"/>
  <c r="JA240" i="12"/>
  <c r="BA340" i="12"/>
  <c r="JM240" i="12"/>
  <c r="M240" i="5"/>
  <c r="M190" i="5"/>
  <c r="M247" i="5"/>
  <c r="M256" i="5"/>
  <c r="M238" i="5"/>
  <c r="BA242" i="12"/>
  <c r="JA142" i="12"/>
  <c r="JM142" i="12"/>
  <c r="M14" i="5"/>
  <c r="FC215" i="12"/>
  <c r="EQ215" i="12"/>
  <c r="ER215" i="12" s="1"/>
  <c r="ES215" i="12" s="1"/>
  <c r="FF215" i="12"/>
  <c r="FB215" i="12"/>
  <c r="FE215" i="12"/>
  <c r="FE389" i="12"/>
  <c r="FC389" i="12"/>
  <c r="FF389" i="12"/>
  <c r="FB389" i="12"/>
  <c r="M279" i="5"/>
  <c r="JM382" i="12"/>
  <c r="BA482" i="12"/>
  <c r="JA382" i="12"/>
  <c r="M185" i="5"/>
  <c r="M308" i="5"/>
  <c r="FE388" i="12"/>
  <c r="FF388" i="12"/>
  <c r="FB388" i="12"/>
  <c r="FC388" i="12"/>
  <c r="FB128" i="12"/>
  <c r="FC128" i="12"/>
  <c r="FF128" i="12"/>
  <c r="FF242" i="12"/>
  <c r="FE242" i="12"/>
  <c r="EQ242" i="12"/>
  <c r="ER242" i="12" s="1"/>
  <c r="ES242" i="12" s="1"/>
  <c r="FC242" i="12"/>
  <c r="FB242" i="12"/>
  <c r="M180" i="5"/>
  <c r="M193" i="5"/>
  <c r="FE293" i="12"/>
  <c r="EQ293" i="12"/>
  <c r="ER293" i="12" s="1"/>
  <c r="ES293" i="12" s="1"/>
  <c r="FC293" i="12"/>
  <c r="FF293" i="12"/>
  <c r="FB293" i="12"/>
  <c r="FE371" i="12"/>
  <c r="FB371" i="12"/>
  <c r="FF371" i="12"/>
  <c r="FC371" i="12"/>
  <c r="M126" i="5"/>
  <c r="JA109" i="12"/>
  <c r="JM109" i="12"/>
  <c r="BA209" i="12"/>
  <c r="FC219" i="12"/>
  <c r="EQ219" i="12"/>
  <c r="ER219" i="12" s="1"/>
  <c r="ES219" i="12" s="1"/>
  <c r="FB219" i="12"/>
  <c r="FE219" i="12"/>
  <c r="FF219" i="12"/>
  <c r="JA187" i="12"/>
  <c r="BA287" i="12"/>
  <c r="JM187" i="12"/>
  <c r="FF186" i="12"/>
  <c r="FC186" i="12"/>
  <c r="EQ186" i="12"/>
  <c r="ER186" i="12" s="1"/>
  <c r="ES186" i="12" s="1"/>
  <c r="FE186" i="12"/>
  <c r="FB186" i="12"/>
  <c r="JA283" i="12"/>
  <c r="BA383" i="12"/>
  <c r="JM283" i="12"/>
  <c r="JM277" i="12"/>
  <c r="BA377" i="12"/>
  <c r="JA277" i="12"/>
  <c r="BA373" i="12"/>
  <c r="JA273" i="12"/>
  <c r="JM273" i="12"/>
  <c r="BA218" i="12"/>
  <c r="JA118" i="12"/>
  <c r="JM118" i="12"/>
  <c r="FC210" i="12"/>
  <c r="FB210" i="12"/>
  <c r="FE210" i="12"/>
  <c r="EQ210" i="12"/>
  <c r="ER210" i="12" s="1"/>
  <c r="ES210" i="12" s="1"/>
  <c r="FF210" i="12"/>
  <c r="M77" i="5"/>
  <c r="M173" i="5"/>
  <c r="M54" i="5"/>
  <c r="FC376" i="12"/>
  <c r="FF376" i="12"/>
  <c r="FE376" i="12"/>
  <c r="FB376" i="12"/>
  <c r="M253" i="5"/>
  <c r="M120" i="5"/>
  <c r="M44" i="5"/>
  <c r="JA285" i="12"/>
  <c r="JM285" i="12"/>
  <c r="BA385" i="12"/>
  <c r="GQ313" i="12"/>
  <c r="GQ359" i="12"/>
  <c r="FM11" i="12"/>
  <c r="GQ222" i="12"/>
  <c r="GQ5" i="12"/>
  <c r="GU5" i="12" s="1"/>
  <c r="GV5" i="12" s="1"/>
  <c r="GQ247" i="12"/>
  <c r="GQ16" i="12"/>
  <c r="GU16" i="12" s="1"/>
  <c r="GV16" i="12" s="1"/>
  <c r="GQ253" i="12"/>
  <c r="GQ269" i="12"/>
  <c r="GU269" i="12" s="1"/>
  <c r="GV269" i="12" s="1"/>
  <c r="GQ286" i="12"/>
  <c r="GQ239" i="12"/>
  <c r="GQ293" i="12"/>
  <c r="GQ341" i="12"/>
  <c r="GQ291" i="12"/>
  <c r="GQ232" i="12"/>
  <c r="GQ383" i="12"/>
  <c r="GQ6" i="12"/>
  <c r="GU6" i="12" s="1"/>
  <c r="GV6" i="12" s="1"/>
  <c r="GQ256" i="12"/>
  <c r="GQ8" i="12"/>
  <c r="GU8" i="12" s="1"/>
  <c r="GV8" i="12" s="1"/>
  <c r="GQ15" i="12"/>
  <c r="GU15" i="12" s="1"/>
  <c r="GV15" i="12" s="1"/>
  <c r="GQ353" i="12"/>
  <c r="GQ345" i="12"/>
  <c r="GU345" i="12" s="1"/>
  <c r="GV345" i="12" s="1"/>
  <c r="FM13" i="12"/>
  <c r="GQ249" i="12"/>
  <c r="GQ276" i="12"/>
  <c r="GQ324" i="12"/>
  <c r="GU324" i="12" s="1"/>
  <c r="GV324" i="12" s="1"/>
  <c r="GQ14" i="12"/>
  <c r="GU14" i="12" s="1"/>
  <c r="GV14" i="12" s="1"/>
  <c r="FM23" i="12"/>
  <c r="FN23" i="12" s="1"/>
  <c r="GQ337" i="12"/>
  <c r="EV7" i="12"/>
  <c r="GQ13" i="12"/>
  <c r="GU13" i="12" s="1"/>
  <c r="GV13" i="12" s="1"/>
  <c r="FM9" i="12"/>
  <c r="FO9" i="12" s="1"/>
  <c r="GQ348" i="12"/>
  <c r="FS348" i="12" s="1"/>
  <c r="GQ275" i="12"/>
  <c r="GQ290" i="12"/>
  <c r="FS290" i="12" s="1"/>
  <c r="GQ246" i="12"/>
  <c r="GQ393" i="12"/>
  <c r="GQ325" i="12"/>
  <c r="GQ368" i="12"/>
  <c r="GQ395" i="12"/>
  <c r="FT395" i="12" s="1"/>
  <c r="GQ277" i="12"/>
  <c r="GQ347" i="12"/>
  <c r="GQ314" i="12"/>
  <c r="EV24" i="12"/>
  <c r="GQ363" i="12"/>
  <c r="EV6" i="12"/>
  <c r="GQ295" i="12"/>
  <c r="GU295" i="12" s="1"/>
  <c r="GV295" i="12" s="1"/>
  <c r="GQ381" i="12"/>
  <c r="GQ315" i="12"/>
  <c r="GU315" i="12" s="1"/>
  <c r="GV315" i="12" s="1"/>
  <c r="GQ330" i="12"/>
  <c r="GQ361" i="12"/>
  <c r="FT361" i="12" s="1"/>
  <c r="GQ394" i="12"/>
  <c r="GQ386" i="12"/>
  <c r="GQ397" i="12"/>
  <c r="FS397" i="12" s="1"/>
  <c r="GQ23" i="12"/>
  <c r="GU23" i="12" s="1"/>
  <c r="GV23" i="12" s="1"/>
  <c r="GQ236" i="12"/>
  <c r="GU236" i="12" s="1"/>
  <c r="GV236" i="12" s="1"/>
  <c r="GQ261" i="12"/>
  <c r="GQ257" i="12"/>
  <c r="FS257" i="12" s="1"/>
  <c r="GQ228" i="12"/>
  <c r="GQ9" i="12"/>
  <c r="GU9" i="12" s="1"/>
  <c r="GV9" i="12" s="1"/>
  <c r="GQ373" i="12"/>
  <c r="FT373" i="12" s="1"/>
  <c r="GQ371" i="12"/>
  <c r="FS371" i="12" s="1"/>
  <c r="GQ242" i="12"/>
  <c r="GU242" i="12" s="1"/>
  <c r="GV242" i="12" s="1"/>
  <c r="GQ306" i="12"/>
  <c r="FT306" i="12" s="1"/>
  <c r="GQ358" i="12"/>
  <c r="FS358" i="12" s="1"/>
  <c r="GQ384" i="12"/>
  <c r="FS384" i="12" s="1"/>
  <c r="GQ297" i="12"/>
  <c r="GU297" i="12" s="1"/>
  <c r="GV297" i="12" s="1"/>
  <c r="GQ223" i="12"/>
  <c r="FS223" i="12" s="1"/>
  <c r="EV23" i="12"/>
  <c r="FF103" i="12"/>
  <c r="FM8" i="12"/>
  <c r="FO8" i="12" s="1"/>
  <c r="GQ264" i="12"/>
  <c r="GU264" i="12" s="1"/>
  <c r="GV264" i="12" s="1"/>
  <c r="FM10" i="12"/>
  <c r="FN10" i="12" s="1"/>
  <c r="GQ335" i="12"/>
  <c r="FS335" i="12" s="1"/>
  <c r="GQ329" i="12"/>
  <c r="FS329" i="12" s="1"/>
  <c r="GQ288" i="12"/>
  <c r="FT288" i="12" s="1"/>
  <c r="GQ251" i="12"/>
  <c r="FT251" i="12" s="1"/>
  <c r="GQ10" i="12"/>
  <c r="GU10" i="12" s="1"/>
  <c r="GV10" i="12" s="1"/>
  <c r="GQ342" i="12"/>
  <c r="GQ229" i="12"/>
  <c r="FT229" i="12" s="1"/>
  <c r="GQ284" i="12"/>
  <c r="FT284" i="12" s="1"/>
  <c r="FM20" i="12"/>
  <c r="FO20" i="12" s="1"/>
  <c r="GQ265" i="12"/>
  <c r="GQ225" i="12"/>
  <c r="GQ238" i="12"/>
  <c r="GQ356" i="12"/>
  <c r="GQ352" i="12"/>
  <c r="FM5" i="12"/>
  <c r="GQ388" i="12"/>
  <c r="GQ332" i="12"/>
  <c r="GQ267" i="12"/>
  <c r="GQ301" i="12"/>
  <c r="FM14" i="12"/>
  <c r="GQ322" i="12"/>
  <c r="GQ321" i="12"/>
  <c r="GQ365" i="12"/>
  <c r="GQ250" i="12"/>
  <c r="GQ398" i="12"/>
  <c r="GQ233" i="12"/>
  <c r="FM4" i="12"/>
  <c r="GQ274" i="12"/>
  <c r="GQ224" i="12"/>
  <c r="GQ278" i="12"/>
  <c r="GQ328" i="12"/>
  <c r="GQ280" i="12"/>
  <c r="GQ298" i="12"/>
  <c r="GQ391" i="12"/>
  <c r="GQ390" i="12"/>
  <c r="GQ392" i="12"/>
  <c r="FS392" i="12" s="1"/>
  <c r="GQ20" i="12"/>
  <c r="GU20" i="12" s="1"/>
  <c r="GV20" i="12" s="1"/>
  <c r="GQ240" i="12"/>
  <c r="GQ282" i="12"/>
  <c r="GQ379" i="12"/>
  <c r="GU379" i="12" s="1"/>
  <c r="GV379" i="12" s="1"/>
  <c r="GQ266" i="12"/>
  <c r="GQ302" i="12"/>
  <c r="GQ245" i="12"/>
  <c r="GQ303" i="12"/>
  <c r="GQ400" i="12"/>
  <c r="GQ237" i="12"/>
  <c r="GQ283" i="12"/>
  <c r="GQ260" i="12"/>
  <c r="GQ354" i="12"/>
  <c r="GQ272" i="12"/>
  <c r="GQ355" i="12"/>
  <c r="GQ362" i="12"/>
  <c r="GQ331" i="12"/>
  <c r="GQ235" i="12"/>
  <c r="GU235" i="12" s="1"/>
  <c r="GV235" i="12" s="1"/>
  <c r="GQ389" i="12"/>
  <c r="GQ366" i="12"/>
  <c r="GQ270" i="12"/>
  <c r="GQ334" i="12"/>
  <c r="GQ318" i="12"/>
  <c r="GQ300" i="12"/>
  <c r="GQ319" i="12"/>
  <c r="GQ255" i="12"/>
  <c r="GQ370" i="12"/>
  <c r="GU370" i="12" s="1"/>
  <c r="GV370" i="12" s="1"/>
  <c r="GQ252" i="12"/>
  <c r="GU252" i="12" s="1"/>
  <c r="GV252" i="12" s="1"/>
  <c r="FM22" i="12"/>
  <c r="FN22" i="12" s="1"/>
  <c r="GQ316" i="12"/>
  <c r="GQ387" i="12"/>
  <c r="GQ310" i="12"/>
  <c r="FM18" i="12"/>
  <c r="GQ271" i="12"/>
  <c r="GQ234" i="12"/>
  <c r="FS234" i="12" s="1"/>
  <c r="GQ308" i="12"/>
  <c r="GQ263" i="12"/>
  <c r="GQ258" i="12"/>
  <c r="GQ380" i="12"/>
  <c r="GQ248" i="12"/>
  <c r="GQ333" i="12"/>
  <c r="GQ244" i="12"/>
  <c r="GQ340" i="12"/>
  <c r="GQ346" i="12"/>
  <c r="GQ262" i="12"/>
  <c r="GQ396" i="12"/>
  <c r="GQ285" i="12"/>
  <c r="GQ227" i="12"/>
  <c r="GQ399" i="12"/>
  <c r="GQ372" i="12"/>
  <c r="GQ221" i="12"/>
  <c r="GQ351" i="12"/>
  <c r="FM16" i="12"/>
  <c r="GQ273" i="12"/>
  <c r="GQ294" i="12"/>
  <c r="FT294" i="12" s="1"/>
  <c r="EV22" i="12"/>
  <c r="GQ21" i="12"/>
  <c r="GU21" i="12" s="1"/>
  <c r="GV21" i="12" s="1"/>
  <c r="FM15" i="12"/>
  <c r="GQ309" i="12"/>
  <c r="GQ254" i="12"/>
  <c r="GQ336" i="12"/>
  <c r="GQ317" i="12"/>
  <c r="GQ385" i="12"/>
  <c r="GQ241" i="12"/>
  <c r="GQ323" i="12"/>
  <c r="GQ376" i="12"/>
  <c r="FT376" i="12" s="1"/>
  <c r="GQ349" i="12"/>
  <c r="GQ231" i="12"/>
  <c r="GQ369" i="12"/>
  <c r="GQ312" i="12"/>
  <c r="GU312" i="12" s="1"/>
  <c r="GV312" i="12" s="1"/>
  <c r="GQ18" i="12"/>
  <c r="GU18" i="12" s="1"/>
  <c r="GV18" i="12" s="1"/>
  <c r="GQ311" i="12"/>
  <c r="GQ281" i="12"/>
  <c r="GQ375" i="12"/>
  <c r="FS375" i="12" s="1"/>
  <c r="GQ377" i="12"/>
  <c r="GQ382" i="12"/>
  <c r="FT382" i="12" s="1"/>
  <c r="GQ307" i="12"/>
  <c r="GQ230" i="12"/>
  <c r="FT230" i="12" s="1"/>
  <c r="GQ327" i="12"/>
  <c r="GU327" i="12" s="1"/>
  <c r="GV327" i="12" s="1"/>
  <c r="GQ326" i="12"/>
  <c r="GU326" i="12" s="1"/>
  <c r="GV326" i="12" s="1"/>
  <c r="FM7" i="12"/>
  <c r="FO7" i="12" s="1"/>
  <c r="GQ343" i="12"/>
  <c r="FS343" i="12" s="1"/>
  <c r="GQ299" i="12"/>
  <c r="GU299" i="12" s="1"/>
  <c r="GV299" i="12" s="1"/>
  <c r="GQ350" i="12"/>
  <c r="FT350" i="12" s="1"/>
  <c r="GQ22" i="12"/>
  <c r="GU22" i="12" s="1"/>
  <c r="GV22" i="12" s="1"/>
  <c r="GQ296" i="12"/>
  <c r="GQ268" i="12"/>
  <c r="GQ378" i="12"/>
  <c r="GQ279" i="12"/>
  <c r="GQ289" i="12"/>
  <c r="GQ292" i="12"/>
  <c r="FS292" i="12" s="1"/>
  <c r="FM17" i="12"/>
  <c r="GQ17" i="12"/>
  <c r="GU17" i="12" s="1"/>
  <c r="GV17" i="12" s="1"/>
  <c r="GQ320" i="12"/>
  <c r="FT320" i="12" s="1"/>
  <c r="GQ357" i="12"/>
  <c r="GQ367" i="12"/>
  <c r="GQ287" i="12"/>
  <c r="GQ338" i="12"/>
  <c r="GQ339" i="12"/>
  <c r="GQ374" i="12"/>
  <c r="GQ344" i="12"/>
  <c r="GQ360" i="12"/>
  <c r="GQ304" i="12"/>
  <c r="GQ364" i="12"/>
  <c r="GQ4" i="12"/>
  <c r="FM6" i="12"/>
  <c r="GQ226" i="12"/>
  <c r="FS226" i="12" s="1"/>
  <c r="GQ11" i="12"/>
  <c r="FT11" i="12" s="1"/>
  <c r="GQ305" i="12"/>
  <c r="GQ243" i="12"/>
  <c r="GQ7" i="12"/>
  <c r="GU7" i="12" s="1"/>
  <c r="GV7" i="12" s="1"/>
  <c r="GQ259" i="12"/>
  <c r="GU259" i="12" s="1"/>
  <c r="GV259" i="12" s="1"/>
  <c r="FM21" i="12"/>
  <c r="FO21" i="12" s="1"/>
  <c r="FB103" i="12"/>
  <c r="FM19" i="12"/>
  <c r="FO19" i="12" s="1"/>
  <c r="FC103" i="12"/>
  <c r="GQ19" i="12"/>
  <c r="GU19" i="12" s="1"/>
  <c r="BA336" i="12"/>
  <c r="JM236" i="12"/>
  <c r="JA236" i="12"/>
  <c r="M203" i="5"/>
  <c r="FE158" i="12"/>
  <c r="FC158" i="12"/>
  <c r="FB158" i="12"/>
  <c r="EQ158" i="12"/>
  <c r="ER158" i="12" s="1"/>
  <c r="ES158" i="12" s="1"/>
  <c r="FF158" i="12"/>
  <c r="JA226" i="12"/>
  <c r="JM226" i="12"/>
  <c r="BA326" i="12"/>
  <c r="FF298" i="12"/>
  <c r="FB298" i="12"/>
  <c r="EQ298" i="12"/>
  <c r="ER298" i="12" s="1"/>
  <c r="ES298" i="12" s="1"/>
  <c r="FC298" i="12"/>
  <c r="FE298" i="12"/>
  <c r="FB181" i="12"/>
  <c r="FC181" i="12"/>
  <c r="FF181" i="12"/>
  <c r="FE181" i="12"/>
  <c r="EQ181" i="12"/>
  <c r="ER181" i="12" s="1"/>
  <c r="ES181" i="12" s="1"/>
  <c r="FE377" i="12"/>
  <c r="FB377" i="12"/>
  <c r="JC377" i="12" s="1"/>
  <c r="FC377" i="12"/>
  <c r="FF377" i="12"/>
  <c r="M192" i="5"/>
  <c r="FB323" i="12"/>
  <c r="EQ323" i="12"/>
  <c r="ER323" i="12" s="1"/>
  <c r="ES323" i="12" s="1"/>
  <c r="FF323" i="12"/>
  <c r="FC323" i="12"/>
  <c r="FE323" i="12"/>
  <c r="FE260" i="12"/>
  <c r="FF260" i="12"/>
  <c r="FB260" i="12"/>
  <c r="FC260" i="12"/>
  <c r="EQ260" i="12"/>
  <c r="ER260" i="12" s="1"/>
  <c r="ES260" i="12" s="1"/>
  <c r="M150" i="5"/>
  <c r="JM111" i="12"/>
  <c r="JA111" i="12"/>
  <c r="BA211" i="12"/>
  <c r="AZ211" i="12" s="1"/>
  <c r="M63" i="5"/>
  <c r="FF289" i="12"/>
  <c r="EQ289" i="12"/>
  <c r="ER289" i="12" s="1"/>
  <c r="ES289" i="12" s="1"/>
  <c r="FB289" i="12"/>
  <c r="FE289" i="12"/>
  <c r="FC289" i="12"/>
  <c r="M24" i="5"/>
  <c r="M214" i="5"/>
  <c r="FE285" i="12"/>
  <c r="FF285" i="12"/>
  <c r="FC285" i="12"/>
  <c r="FB285" i="12"/>
  <c r="EQ285" i="12"/>
  <c r="ER285" i="12" s="1"/>
  <c r="ES285" i="12" s="1"/>
  <c r="M135" i="5"/>
  <c r="JA361" i="12"/>
  <c r="JM361" i="12"/>
  <c r="BA461" i="12"/>
  <c r="EQ259" i="12"/>
  <c r="ER259" i="12" s="1"/>
  <c r="ES259" i="12" s="1"/>
  <c r="FE259" i="12"/>
  <c r="FB259" i="12"/>
  <c r="FF259" i="12"/>
  <c r="FC259" i="12"/>
  <c r="BA322" i="12"/>
  <c r="JM222" i="12"/>
  <c r="JA222" i="12"/>
  <c r="FF217" i="12"/>
  <c r="FE217" i="12"/>
  <c r="EQ217" i="12"/>
  <c r="ER217" i="12" s="1"/>
  <c r="ES217" i="12" s="1"/>
  <c r="FB217" i="12"/>
  <c r="FC217" i="12"/>
  <c r="JA188" i="12"/>
  <c r="JM188" i="12"/>
  <c r="BA288" i="12"/>
  <c r="BD288" i="12" s="1"/>
  <c r="M159" i="5"/>
  <c r="M152" i="5"/>
  <c r="M246" i="5"/>
  <c r="JA217" i="12"/>
  <c r="JM217" i="12"/>
  <c r="BA317" i="12"/>
  <c r="BA468" i="12"/>
  <c r="JM368" i="12"/>
  <c r="JA368" i="12"/>
  <c r="M284" i="5"/>
  <c r="JM389" i="12"/>
  <c r="JA389" i="12"/>
  <c r="BA489" i="12"/>
  <c r="M99" i="5"/>
  <c r="M286" i="5"/>
  <c r="FB349" i="12"/>
  <c r="FE349" i="12"/>
  <c r="FF349" i="12"/>
  <c r="FC349" i="12"/>
  <c r="EQ349" i="12"/>
  <c r="ER349" i="12" s="1"/>
  <c r="ES349" i="12" s="1"/>
  <c r="BA333" i="12"/>
  <c r="BB333" i="12" s="1"/>
  <c r="JA233" i="12"/>
  <c r="JM233" i="12"/>
  <c r="M17" i="5"/>
  <c r="FF171" i="12"/>
  <c r="FC171" i="12"/>
  <c r="FB171" i="12"/>
  <c r="FE171" i="12"/>
  <c r="EQ171" i="12"/>
  <c r="ER171" i="12" s="1"/>
  <c r="ES171" i="12" s="1"/>
  <c r="JM150" i="12"/>
  <c r="BA250" i="12"/>
  <c r="JA150" i="12"/>
  <c r="M87" i="5"/>
  <c r="EQ177" i="12"/>
  <c r="ER177" i="12" s="1"/>
  <c r="ES177" i="12" s="1"/>
  <c r="FB177" i="12"/>
  <c r="FF177" i="12"/>
  <c r="FC177" i="12"/>
  <c r="FE177" i="12"/>
  <c r="BA443" i="12"/>
  <c r="JM343" i="12"/>
  <c r="JA343" i="12"/>
  <c r="BA253" i="12"/>
  <c r="JA153" i="12"/>
  <c r="JM153" i="12"/>
  <c r="FB175" i="12"/>
  <c r="FC175" i="12"/>
  <c r="FF175" i="12"/>
  <c r="EQ175" i="12"/>
  <c r="ER175" i="12" s="1"/>
  <c r="ES175" i="12" s="1"/>
  <c r="FE175" i="12"/>
  <c r="JM198" i="12"/>
  <c r="JA198" i="12"/>
  <c r="BA298" i="12"/>
  <c r="FB144" i="12"/>
  <c r="FC144" i="12"/>
  <c r="FF144" i="12"/>
  <c r="M195" i="5"/>
  <c r="M228" i="5"/>
  <c r="FC130" i="12"/>
  <c r="FB130" i="12"/>
  <c r="FF130" i="12"/>
  <c r="FF369" i="12"/>
  <c r="FE369" i="12"/>
  <c r="FC369" i="12"/>
  <c r="FB369" i="12"/>
  <c r="M95" i="5"/>
  <c r="FF390" i="12"/>
  <c r="FB390" i="12"/>
  <c r="FE390" i="12"/>
  <c r="FC390" i="12"/>
  <c r="FF136" i="12"/>
  <c r="FB136" i="12"/>
  <c r="FC136" i="12"/>
  <c r="JA235" i="12"/>
  <c r="JM235" i="12"/>
  <c r="BA335" i="12"/>
  <c r="EM335" i="12" s="1"/>
  <c r="M51" i="5"/>
  <c r="BA386" i="12"/>
  <c r="JM286" i="12"/>
  <c r="JA286" i="12"/>
  <c r="FE381" i="12"/>
  <c r="FB381" i="12"/>
  <c r="FC381" i="12"/>
  <c r="FF381" i="12"/>
  <c r="FF153" i="12"/>
  <c r="FC153" i="12"/>
  <c r="FB153" i="12"/>
  <c r="FF320" i="12"/>
  <c r="FE320" i="12"/>
  <c r="FB320" i="12"/>
  <c r="EQ320" i="12"/>
  <c r="ER320" i="12" s="1"/>
  <c r="ES320" i="12" s="1"/>
  <c r="FC320" i="12"/>
  <c r="FE281" i="12"/>
  <c r="FB281" i="12"/>
  <c r="FC281" i="12"/>
  <c r="FF281" i="12"/>
  <c r="EQ281" i="12"/>
  <c r="ER281" i="12" s="1"/>
  <c r="ES281" i="12" s="1"/>
  <c r="JM204" i="12"/>
  <c r="BA304" i="12"/>
  <c r="AZ304" i="12" s="1"/>
  <c r="JA204" i="12"/>
  <c r="M106" i="5"/>
  <c r="M178" i="5"/>
  <c r="M209" i="5"/>
  <c r="FB278" i="12"/>
  <c r="FE278" i="12"/>
  <c r="EQ278" i="12"/>
  <c r="ER278" i="12" s="1"/>
  <c r="ES278" i="12" s="1"/>
  <c r="FF278" i="12"/>
  <c r="FC278" i="12"/>
  <c r="JA242" i="12"/>
  <c r="JM242" i="12"/>
  <c r="BA342" i="12"/>
  <c r="M197" i="5"/>
  <c r="M68" i="5"/>
  <c r="FF325" i="12"/>
  <c r="FC325" i="12"/>
  <c r="FB325" i="12"/>
  <c r="EQ325" i="12"/>
  <c r="ER325" i="12" s="1"/>
  <c r="ES325" i="12" s="1"/>
  <c r="FE325" i="12"/>
  <c r="BA310" i="12"/>
  <c r="JA210" i="12"/>
  <c r="JM210" i="12"/>
  <c r="JA263" i="12"/>
  <c r="JM263" i="12"/>
  <c r="BA363" i="12"/>
  <c r="M94" i="5"/>
  <c r="JM333" i="12"/>
  <c r="JA333" i="12"/>
  <c r="BA433" i="12"/>
  <c r="FC374" i="12"/>
  <c r="FE374" i="12"/>
  <c r="FB374" i="12"/>
  <c r="FF374" i="12"/>
  <c r="JM211" i="12"/>
  <c r="JA211" i="12"/>
  <c r="BA311" i="12"/>
  <c r="M301" i="5"/>
  <c r="FC326" i="12"/>
  <c r="FB326" i="12"/>
  <c r="EQ326" i="12"/>
  <c r="ER326" i="12" s="1"/>
  <c r="ES326" i="12" s="1"/>
  <c r="FE326" i="12"/>
  <c r="FF326" i="12"/>
  <c r="FE206" i="12"/>
  <c r="FB206" i="12"/>
  <c r="FC206" i="12"/>
  <c r="EQ206" i="12"/>
  <c r="ER206" i="12" s="1"/>
  <c r="ES206" i="12" s="1"/>
  <c r="FF206" i="12"/>
  <c r="M292" i="5"/>
  <c r="JA322" i="12"/>
  <c r="BA422" i="12"/>
  <c r="JM322" i="12"/>
  <c r="M293" i="5"/>
  <c r="BA313" i="12"/>
  <c r="JM213" i="12"/>
  <c r="JA213" i="12"/>
  <c r="EQ350" i="12"/>
  <c r="ER350" i="12" s="1"/>
  <c r="ES350" i="12" s="1"/>
  <c r="FF350" i="12"/>
  <c r="FB350" i="12"/>
  <c r="FE350" i="12"/>
  <c r="FC350" i="12"/>
  <c r="M221" i="5"/>
  <c r="JA227" i="12"/>
  <c r="BA327" i="12"/>
  <c r="JM227" i="12"/>
  <c r="FF327" i="12"/>
  <c r="EQ327" i="12"/>
  <c r="ER327" i="12" s="1"/>
  <c r="ES327" i="12" s="1"/>
  <c r="FB327" i="12"/>
  <c r="FC327" i="12"/>
  <c r="FE327" i="12"/>
  <c r="JA260" i="12"/>
  <c r="BA360" i="12"/>
  <c r="JM260" i="12"/>
  <c r="M130" i="5"/>
  <c r="JM345" i="12"/>
  <c r="JA345" i="12"/>
  <c r="BA445" i="12"/>
  <c r="BE445" i="12" s="1"/>
  <c r="JA182" i="12"/>
  <c r="BA282" i="12"/>
  <c r="JM182" i="12"/>
  <c r="FE232" i="12"/>
  <c r="FF232" i="12"/>
  <c r="FB232" i="12"/>
  <c r="EQ232" i="12"/>
  <c r="ER232" i="12" s="1"/>
  <c r="ES232" i="12" s="1"/>
  <c r="FC232" i="12"/>
  <c r="FE246" i="12"/>
  <c r="FB246" i="12"/>
  <c r="FF246" i="12"/>
  <c r="FC246" i="12"/>
  <c r="EQ246" i="12"/>
  <c r="ER246" i="12" s="1"/>
  <c r="ES246" i="12" s="1"/>
  <c r="M302" i="5"/>
  <c r="FC296" i="12"/>
  <c r="FF296" i="12"/>
  <c r="EQ296" i="12"/>
  <c r="ER296" i="12" s="1"/>
  <c r="ES296" i="12" s="1"/>
  <c r="FE296" i="12"/>
  <c r="FB296" i="12"/>
  <c r="EQ211" i="12"/>
  <c r="ER211" i="12" s="1"/>
  <c r="ES211" i="12" s="1"/>
  <c r="FF211" i="12"/>
  <c r="FC211" i="12"/>
  <c r="FE211" i="12"/>
  <c r="FB211" i="12"/>
  <c r="BA318" i="12"/>
  <c r="JM218" i="12"/>
  <c r="JA218" i="12"/>
  <c r="FC347" i="12"/>
  <c r="EQ347" i="12"/>
  <c r="ER347" i="12" s="1"/>
  <c r="ES347" i="12" s="1"/>
  <c r="FE347" i="12"/>
  <c r="FF347" i="12"/>
  <c r="FB347" i="12"/>
  <c r="BA402" i="12"/>
  <c r="JM302" i="12"/>
  <c r="JA302" i="12"/>
  <c r="BA220" i="12"/>
  <c r="JA120" i="12"/>
  <c r="JM120" i="12"/>
  <c r="JM205" i="12"/>
  <c r="JA205" i="12"/>
  <c r="BA305" i="12"/>
  <c r="M272" i="5"/>
  <c r="M236" i="5"/>
  <c r="BA424" i="12"/>
  <c r="JA324" i="12"/>
  <c r="JM324" i="12"/>
  <c r="BA378" i="12"/>
  <c r="JA278" i="12"/>
  <c r="JM278" i="12"/>
  <c r="FE202" i="12"/>
  <c r="FF202" i="12"/>
  <c r="EQ202" i="12"/>
  <c r="ER202" i="12" s="1"/>
  <c r="ES202" i="12" s="1"/>
  <c r="FC202" i="12"/>
  <c r="FB202" i="12"/>
  <c r="EQ179" i="12"/>
  <c r="ER179" i="12" s="1"/>
  <c r="ES179" i="12" s="1"/>
  <c r="FF179" i="12"/>
  <c r="FE179" i="12"/>
  <c r="FB179" i="12"/>
  <c r="FC179" i="12"/>
  <c r="JA393" i="12"/>
  <c r="BA493" i="12"/>
  <c r="JM393" i="12"/>
  <c r="M148" i="5"/>
  <c r="EQ151" i="12"/>
  <c r="ER151" i="12" s="1"/>
  <c r="ES151" i="12" s="1"/>
  <c r="FB151" i="12"/>
  <c r="FE151" i="12"/>
  <c r="FF151" i="12"/>
  <c r="FC151" i="12"/>
  <c r="M258" i="5"/>
  <c r="JM199" i="12"/>
  <c r="BA299" i="12"/>
  <c r="BC299" i="12" s="1"/>
  <c r="JA199" i="12"/>
  <c r="M38" i="5"/>
  <c r="M70" i="5"/>
  <c r="BA450" i="12"/>
  <c r="JA350" i="12"/>
  <c r="JM350" i="12"/>
  <c r="M231" i="5"/>
  <c r="M188" i="5"/>
  <c r="M151" i="5"/>
  <c r="EQ345" i="12"/>
  <c r="ER345" i="12" s="1"/>
  <c r="ES345" i="12" s="1"/>
  <c r="FB345" i="12"/>
  <c r="FF345" i="12"/>
  <c r="FC345" i="12"/>
  <c r="FE345" i="12"/>
  <c r="BA409" i="12"/>
  <c r="JA309" i="12"/>
  <c r="JM309" i="12"/>
  <c r="M275" i="5"/>
  <c r="FF132" i="12"/>
  <c r="FC132" i="12"/>
  <c r="FB132" i="12"/>
  <c r="JA215" i="12"/>
  <c r="JM215" i="12"/>
  <c r="BA315" i="12"/>
  <c r="JA281" i="12"/>
  <c r="BA381" i="12"/>
  <c r="JM281" i="12"/>
  <c r="M212" i="5"/>
  <c r="FC141" i="12"/>
  <c r="FF141" i="12"/>
  <c r="FB141" i="12"/>
  <c r="JA321" i="12"/>
  <c r="BA421" i="12"/>
  <c r="JM321" i="12"/>
  <c r="JA310" i="12"/>
  <c r="JM310" i="12"/>
  <c r="BA410" i="12"/>
  <c r="M102" i="5"/>
  <c r="EQ223" i="12"/>
  <c r="ER223" i="12" s="1"/>
  <c r="ES223" i="12" s="1"/>
  <c r="FF223" i="12"/>
  <c r="FE223" i="12"/>
  <c r="FC223" i="12"/>
  <c r="FB223" i="12"/>
  <c r="BA491" i="12"/>
  <c r="JM391" i="12"/>
  <c r="JA391" i="12"/>
  <c r="M136" i="5"/>
  <c r="BA261" i="12"/>
  <c r="JA161" i="12"/>
  <c r="JM161" i="12"/>
  <c r="BA210" i="12"/>
  <c r="JM110" i="12"/>
  <c r="JA110" i="12"/>
  <c r="JM139" i="12"/>
  <c r="BA239" i="12"/>
  <c r="JA139" i="12"/>
  <c r="FE395" i="12"/>
  <c r="FF395" i="12"/>
  <c r="FC395" i="12"/>
  <c r="FB395" i="12"/>
  <c r="JC395" i="12" s="1"/>
  <c r="FB339" i="12"/>
  <c r="FC339" i="12"/>
  <c r="FE339" i="12"/>
  <c r="EQ339" i="12"/>
  <c r="ER339" i="12" s="1"/>
  <c r="ES339" i="12" s="1"/>
  <c r="FF339" i="12"/>
  <c r="FC118" i="12"/>
  <c r="FF118" i="12"/>
  <c r="FB118" i="12"/>
  <c r="JA348" i="12"/>
  <c r="JM348" i="12"/>
  <c r="BA448" i="12"/>
  <c r="M171" i="5"/>
  <c r="JA135" i="12"/>
  <c r="BA235" i="12"/>
  <c r="JM135" i="12"/>
  <c r="FE196" i="12"/>
  <c r="FC196" i="12"/>
  <c r="EQ196" i="12"/>
  <c r="ER196" i="12" s="1"/>
  <c r="ES196" i="12" s="1"/>
  <c r="FB196" i="12"/>
  <c r="FF196" i="12"/>
  <c r="M157" i="5"/>
  <c r="JM214" i="12"/>
  <c r="BA314" i="12"/>
  <c r="JA214" i="12"/>
  <c r="EQ155" i="12"/>
  <c r="ER155" i="12" s="1"/>
  <c r="ES155" i="12" s="1"/>
  <c r="FC155" i="12"/>
  <c r="FB155" i="12"/>
  <c r="FE155" i="12"/>
  <c r="FF155" i="12"/>
  <c r="FF201" i="12"/>
  <c r="FE201" i="12"/>
  <c r="FB201" i="12"/>
  <c r="FC201" i="12"/>
  <c r="EQ201" i="12"/>
  <c r="ER201" i="12" s="1"/>
  <c r="ES201" i="12" s="1"/>
  <c r="M252" i="5"/>
  <c r="M72" i="5"/>
  <c r="M281" i="5"/>
  <c r="FC263" i="12"/>
  <c r="FF263" i="12"/>
  <c r="EQ263" i="12"/>
  <c r="ER263" i="12" s="1"/>
  <c r="ES263" i="12" s="1"/>
  <c r="FB263" i="12"/>
  <c r="FE263" i="12"/>
  <c r="M244" i="5"/>
  <c r="M306" i="5"/>
  <c r="M269" i="5"/>
  <c r="JM328" i="12"/>
  <c r="JA328" i="12"/>
  <c r="BA428" i="12"/>
  <c r="JA272" i="12"/>
  <c r="JM272" i="12"/>
  <c r="BA372" i="12"/>
  <c r="AZ372" i="12" s="1"/>
  <c r="M91" i="5"/>
  <c r="M61" i="5"/>
  <c r="FF115" i="12"/>
  <c r="FC115" i="12"/>
  <c r="FB115" i="12"/>
  <c r="M26" i="5"/>
  <c r="M199" i="5"/>
  <c r="FC391" i="12"/>
  <c r="FE391" i="12"/>
  <c r="FB391" i="12"/>
  <c r="JD391" i="12" s="1"/>
  <c r="FF391" i="12"/>
  <c r="JA388" i="12"/>
  <c r="JM388" i="12"/>
  <c r="BA488" i="12"/>
  <c r="JM151" i="12"/>
  <c r="JA151" i="12"/>
  <c r="BA251" i="12"/>
  <c r="BB251" i="12" s="1"/>
  <c r="M206" i="5"/>
  <c r="FF135" i="12"/>
  <c r="FC135" i="12"/>
  <c r="FB135" i="12"/>
  <c r="JM269" i="12"/>
  <c r="BA369" i="12"/>
  <c r="JA269" i="12"/>
  <c r="M80" i="5"/>
  <c r="FB243" i="12"/>
  <c r="JD243" i="12" s="1"/>
  <c r="FF243" i="12"/>
  <c r="FE243" i="12"/>
  <c r="FC243" i="12"/>
  <c r="EQ243" i="12"/>
  <c r="ER243" i="12" s="1"/>
  <c r="ES243" i="12" s="1"/>
  <c r="EQ159" i="12"/>
  <c r="ER159" i="12" s="1"/>
  <c r="ES159" i="12" s="1"/>
  <c r="FF159" i="12"/>
  <c r="FB159" i="12"/>
  <c r="FC159" i="12"/>
  <c r="FE159" i="12"/>
  <c r="BA415" i="12"/>
  <c r="BE415" i="12" s="1"/>
  <c r="JA315" i="12"/>
  <c r="JM315" i="12"/>
  <c r="FF307" i="12"/>
  <c r="EQ307" i="12"/>
  <c r="ER307" i="12" s="1"/>
  <c r="ES307" i="12" s="1"/>
  <c r="FE307" i="12"/>
  <c r="FB307" i="12"/>
  <c r="FC307" i="12"/>
  <c r="JA122" i="12"/>
  <c r="BA222" i="12"/>
  <c r="JM122" i="12"/>
  <c r="M155" i="5"/>
  <c r="M41" i="5"/>
  <c r="FB252" i="12"/>
  <c r="FC252" i="12"/>
  <c r="FE252" i="12"/>
  <c r="EQ252" i="12"/>
  <c r="ER252" i="12" s="1"/>
  <c r="ES252" i="12" s="1"/>
  <c r="FF252" i="12"/>
  <c r="M15" i="5"/>
  <c r="M138" i="5"/>
  <c r="BA499" i="12"/>
  <c r="JA399" i="12"/>
  <c r="JM399" i="12"/>
  <c r="FE178" i="12"/>
  <c r="FB178" i="12"/>
  <c r="FC178" i="12"/>
  <c r="FF178" i="12"/>
  <c r="EQ178" i="12"/>
  <c r="ER178" i="12" s="1"/>
  <c r="ES178" i="12" s="1"/>
  <c r="M219" i="5"/>
  <c r="M18" i="5"/>
  <c r="FB266" i="12"/>
  <c r="FF266" i="12"/>
  <c r="FC266" i="12"/>
  <c r="EQ266" i="12"/>
  <c r="ER266" i="12" s="1"/>
  <c r="ES266" i="12" s="1"/>
  <c r="FE266" i="12"/>
  <c r="BA240" i="12"/>
  <c r="JA140" i="12"/>
  <c r="JM140" i="12"/>
  <c r="FF254" i="12"/>
  <c r="FB254" i="12"/>
  <c r="EQ254" i="12"/>
  <c r="ER254" i="12" s="1"/>
  <c r="ES254" i="12" s="1"/>
  <c r="FE254" i="12"/>
  <c r="FC254" i="12"/>
  <c r="FB222" i="12"/>
  <c r="FE222" i="12"/>
  <c r="EQ222" i="12"/>
  <c r="ER222" i="12" s="1"/>
  <c r="ES222" i="12" s="1"/>
  <c r="FC222" i="12"/>
  <c r="JD222" i="12" s="1"/>
  <c r="FF222" i="12"/>
  <c r="FF238" i="12"/>
  <c r="FC238" i="12"/>
  <c r="EQ238" i="12"/>
  <c r="ER238" i="12" s="1"/>
  <c r="ES238" i="12" s="1"/>
  <c r="FE238" i="12"/>
  <c r="FB238" i="12"/>
  <c r="M131" i="5"/>
  <c r="FF126" i="12"/>
  <c r="FC126" i="12"/>
  <c r="FB126" i="12"/>
  <c r="FF267" i="12"/>
  <c r="FB267" i="12"/>
  <c r="FE267" i="12"/>
  <c r="FC267" i="12"/>
  <c r="EQ267" i="12"/>
  <c r="ER267" i="12" s="1"/>
  <c r="ES267" i="12" s="1"/>
  <c r="M213" i="5"/>
  <c r="JM156" i="12"/>
  <c r="JA156" i="12"/>
  <c r="BA256" i="12"/>
  <c r="BA219" i="12"/>
  <c r="JM119" i="12"/>
  <c r="JA119" i="12"/>
  <c r="M268" i="5"/>
  <c r="M232" i="5"/>
  <c r="JA234" i="12"/>
  <c r="JM234" i="12"/>
  <c r="BA334" i="12"/>
  <c r="M55" i="5"/>
  <c r="BA217" i="12"/>
  <c r="AZ217" i="12" s="1"/>
  <c r="JM117" i="12"/>
  <c r="JA117" i="12"/>
  <c r="M74" i="5"/>
  <c r="EQ360" i="12"/>
  <c r="ER360" i="12" s="1"/>
  <c r="ES360" i="12" s="1"/>
  <c r="FB360" i="12"/>
  <c r="FE360" i="12"/>
  <c r="FF360" i="12"/>
  <c r="FC360" i="12"/>
  <c r="JA167" i="12"/>
  <c r="JM167" i="12"/>
  <c r="BA267" i="12"/>
  <c r="EQ247" i="12"/>
  <c r="ER247" i="12" s="1"/>
  <c r="ES247" i="12" s="1"/>
  <c r="FB247" i="12"/>
  <c r="FC247" i="12"/>
  <c r="FE247" i="12"/>
  <c r="FF247" i="12"/>
  <c r="M79" i="5"/>
  <c r="BA393" i="12"/>
  <c r="JM293" i="12"/>
  <c r="JA293" i="12"/>
  <c r="FE286" i="12"/>
  <c r="FB286" i="12"/>
  <c r="EQ286" i="12"/>
  <c r="ER286" i="12" s="1"/>
  <c r="ES286" i="12" s="1"/>
  <c r="FF286" i="12"/>
  <c r="FC286" i="12"/>
  <c r="M217" i="5"/>
  <c r="FC304" i="12"/>
  <c r="FE304" i="12"/>
  <c r="EQ304" i="12"/>
  <c r="ER304" i="12" s="1"/>
  <c r="ES304" i="12" s="1"/>
  <c r="FF304" i="12"/>
  <c r="FB304" i="12"/>
  <c r="M100" i="5"/>
  <c r="FF146" i="12"/>
  <c r="FC146" i="12"/>
  <c r="FB146" i="12"/>
  <c r="M172" i="5"/>
  <c r="M123" i="5"/>
  <c r="FB264" i="12"/>
  <c r="EQ264" i="12"/>
  <c r="ER264" i="12" s="1"/>
  <c r="ES264" i="12" s="1"/>
  <c r="FC264" i="12"/>
  <c r="FE264" i="12"/>
  <c r="FF264" i="12"/>
  <c r="M175" i="5"/>
  <c r="FB164" i="12"/>
  <c r="FE164" i="12"/>
  <c r="FF164" i="12"/>
  <c r="FC164" i="12"/>
  <c r="EQ164" i="12"/>
  <c r="ER164" i="12" s="1"/>
  <c r="ES164" i="12" s="1"/>
  <c r="JM126" i="12"/>
  <c r="JA126" i="12"/>
  <c r="BA226" i="12"/>
  <c r="JA138" i="12"/>
  <c r="BA238" i="12"/>
  <c r="BB238" i="12" s="1"/>
  <c r="JM138" i="12"/>
  <c r="FB312" i="12"/>
  <c r="FE312" i="12"/>
  <c r="EQ312" i="12"/>
  <c r="ER312" i="12" s="1"/>
  <c r="ES312" i="12" s="1"/>
  <c r="FC312" i="12"/>
  <c r="FF312" i="12"/>
  <c r="EQ240" i="12"/>
  <c r="ER240" i="12" s="1"/>
  <c r="ES240" i="12" s="1"/>
  <c r="FF240" i="12"/>
  <c r="FB240" i="12"/>
  <c r="JC240" i="12" s="1"/>
  <c r="FE240" i="12"/>
  <c r="FC240" i="12"/>
  <c r="EQ299" i="12"/>
  <c r="ER299" i="12" s="1"/>
  <c r="ES299" i="12" s="1"/>
  <c r="FB299" i="12"/>
  <c r="FC299" i="12"/>
  <c r="FF299" i="12"/>
  <c r="FE299" i="12"/>
  <c r="JM254" i="12"/>
  <c r="BA354" i="12"/>
  <c r="JA254" i="12"/>
  <c r="M116" i="5"/>
  <c r="M287" i="5"/>
  <c r="M177" i="5"/>
  <c r="JA262" i="12"/>
  <c r="BA362" i="12"/>
  <c r="JM262" i="12"/>
  <c r="FE382" i="12"/>
  <c r="FB382" i="12"/>
  <c r="FC382" i="12"/>
  <c r="FF382" i="12"/>
  <c r="FF328" i="12"/>
  <c r="FB328" i="12"/>
  <c r="FE328" i="12"/>
  <c r="EQ328" i="12"/>
  <c r="ER328" i="12" s="1"/>
  <c r="ES328" i="12" s="1"/>
  <c r="FC328" i="12"/>
  <c r="M133" i="5"/>
  <c r="M241" i="5"/>
  <c r="JM180" i="12"/>
  <c r="JA180" i="12"/>
  <c r="BA280" i="12"/>
  <c r="AZ280" i="12" s="1"/>
  <c r="JM378" i="12"/>
  <c r="BA478" i="12"/>
  <c r="JA378" i="12"/>
  <c r="JA299" i="12"/>
  <c r="BA399" i="12"/>
  <c r="JM299" i="12"/>
  <c r="FC290" i="12"/>
  <c r="JC290" i="12" s="1"/>
  <c r="FF290" i="12"/>
  <c r="FB290" i="12"/>
  <c r="EQ290" i="12"/>
  <c r="ER290" i="12" s="1"/>
  <c r="ES290" i="12" s="1"/>
  <c r="FE290" i="12"/>
  <c r="FE226" i="12"/>
  <c r="FF226" i="12"/>
  <c r="FB226" i="12"/>
  <c r="FC226" i="12"/>
  <c r="EQ226" i="12"/>
  <c r="ER226" i="12" s="1"/>
  <c r="ES226" i="12" s="1"/>
  <c r="M274" i="5"/>
  <c r="JM303" i="12"/>
  <c r="BA403" i="12"/>
  <c r="JA303" i="12"/>
  <c r="M64" i="5"/>
  <c r="M296" i="5"/>
  <c r="FF199" i="12"/>
  <c r="EQ199" i="12"/>
  <c r="ER199" i="12" s="1"/>
  <c r="ES199" i="12" s="1"/>
  <c r="FE199" i="12"/>
  <c r="FB199" i="12"/>
  <c r="JC199" i="12" s="1"/>
  <c r="FC199" i="12"/>
  <c r="FC384" i="12"/>
  <c r="FB384" i="12"/>
  <c r="FF384" i="12"/>
  <c r="FE384" i="12"/>
  <c r="FC385" i="12"/>
  <c r="FF385" i="12"/>
  <c r="FE385" i="12"/>
  <c r="FB385" i="12"/>
  <c r="FF258" i="12"/>
  <c r="EQ258" i="12"/>
  <c r="ER258" i="12" s="1"/>
  <c r="ES258" i="12" s="1"/>
  <c r="FB258" i="12"/>
  <c r="FE258" i="12"/>
  <c r="FC258" i="12"/>
  <c r="FC279" i="12"/>
  <c r="EQ279" i="12"/>
  <c r="ER279" i="12" s="1"/>
  <c r="ES279" i="12" s="1"/>
  <c r="FE279" i="12"/>
  <c r="FB279" i="12"/>
  <c r="FF279" i="12"/>
  <c r="FB149" i="12"/>
  <c r="FC149" i="12"/>
  <c r="FF149" i="12"/>
  <c r="FB112" i="12"/>
  <c r="FF112" i="12"/>
  <c r="FC112" i="12"/>
  <c r="M43" i="5"/>
  <c r="M229" i="5"/>
  <c r="FE255" i="12"/>
  <c r="FC255" i="12"/>
  <c r="EQ255" i="12"/>
  <c r="ER255" i="12" s="1"/>
  <c r="ES255" i="12" s="1"/>
  <c r="FB255" i="12"/>
  <c r="FF255" i="12"/>
  <c r="FF354" i="12"/>
  <c r="FB354" i="12"/>
  <c r="FE354" i="12"/>
  <c r="FC354" i="12"/>
  <c r="JD354" i="12" s="1"/>
  <c r="EQ354" i="12"/>
  <c r="ER354" i="12" s="1"/>
  <c r="ES354" i="12" s="1"/>
  <c r="M254" i="5"/>
  <c r="JA306" i="12"/>
  <c r="BA406" i="12"/>
  <c r="JM306" i="12"/>
  <c r="BA351" i="12"/>
  <c r="JM251" i="12"/>
  <c r="JA251" i="12"/>
  <c r="EQ309" i="12"/>
  <c r="ER309" i="12" s="1"/>
  <c r="ES309" i="12" s="1"/>
  <c r="FB309" i="12"/>
  <c r="JC309" i="12" s="1"/>
  <c r="FC309" i="12"/>
  <c r="FF309" i="12"/>
  <c r="FE309" i="12"/>
  <c r="BA273" i="12"/>
  <c r="JM173" i="12"/>
  <c r="JA173" i="12"/>
  <c r="M103" i="5"/>
  <c r="JM230" i="12"/>
  <c r="BA330" i="12"/>
  <c r="JA230" i="12"/>
  <c r="M303" i="5"/>
  <c r="JA318" i="12"/>
  <c r="BA418" i="12"/>
  <c r="BB418" i="12" s="1"/>
  <c r="JM318" i="12"/>
  <c r="M118" i="5"/>
  <c r="FF305" i="12"/>
  <c r="FE305" i="12"/>
  <c r="FB305" i="12"/>
  <c r="JD305" i="12" s="1"/>
  <c r="EQ305" i="12"/>
  <c r="ER305" i="12" s="1"/>
  <c r="ES305" i="12" s="1"/>
  <c r="FC305" i="12"/>
  <c r="FC396" i="12"/>
  <c r="FB396" i="12"/>
  <c r="JC396" i="12" s="1"/>
  <c r="FE396" i="12"/>
  <c r="FF396" i="12"/>
  <c r="FC332" i="12"/>
  <c r="FF332" i="12"/>
  <c r="FB332" i="12"/>
  <c r="FE332" i="12"/>
  <c r="EQ332" i="12"/>
  <c r="ER332" i="12" s="1"/>
  <c r="ES332" i="12" s="1"/>
  <c r="BA236" i="12"/>
  <c r="JM136" i="12"/>
  <c r="JA136" i="12"/>
  <c r="FB205" i="12"/>
  <c r="FE205" i="12"/>
  <c r="FF205" i="12"/>
  <c r="FC205" i="12"/>
  <c r="EQ205" i="12"/>
  <c r="ER205" i="12" s="1"/>
  <c r="ES205" i="12" s="1"/>
  <c r="JM206" i="12"/>
  <c r="BA306" i="12"/>
  <c r="JA206" i="12"/>
  <c r="FB111" i="12"/>
  <c r="FC111" i="12"/>
  <c r="FF111" i="12"/>
  <c r="M35" i="5"/>
  <c r="FF341" i="12"/>
  <c r="EQ341" i="12"/>
  <c r="ER341" i="12" s="1"/>
  <c r="ES341" i="12" s="1"/>
  <c r="FE341" i="12"/>
  <c r="FC341" i="12"/>
  <c r="FB341" i="12"/>
  <c r="M153" i="5"/>
  <c r="JA189" i="12"/>
  <c r="JM189" i="12"/>
  <c r="BA289" i="12"/>
  <c r="M156" i="5"/>
  <c r="JM141" i="12"/>
  <c r="BA241" i="12"/>
  <c r="JA141" i="12"/>
  <c r="M282" i="5"/>
  <c r="FC379" i="12"/>
  <c r="FE379" i="12"/>
  <c r="FB379" i="12"/>
  <c r="FF379" i="12"/>
  <c r="M53" i="5"/>
  <c r="M207" i="5"/>
  <c r="JM338" i="12"/>
  <c r="JA338" i="12"/>
  <c r="BA438" i="12"/>
  <c r="JM157" i="12"/>
  <c r="BA257" i="12"/>
  <c r="JA157" i="12"/>
  <c r="JA123" i="12"/>
  <c r="JM123" i="12"/>
  <c r="BA223" i="12"/>
  <c r="BC223" i="12" s="1"/>
  <c r="M216" i="5"/>
  <c r="JA295" i="12"/>
  <c r="BA395" i="12"/>
  <c r="JM295" i="12"/>
  <c r="FB378" i="12"/>
  <c r="FE378" i="12"/>
  <c r="FF378" i="12"/>
  <c r="FC378" i="12"/>
  <c r="M245" i="5"/>
  <c r="FE174" i="12"/>
  <c r="FF174" i="12"/>
  <c r="EQ174" i="12"/>
  <c r="ER174" i="12" s="1"/>
  <c r="ES174" i="12" s="1"/>
  <c r="FB174" i="12"/>
  <c r="FC174" i="12"/>
  <c r="FF168" i="12"/>
  <c r="EQ168" i="12"/>
  <c r="ER168" i="12" s="1"/>
  <c r="ES168" i="12" s="1"/>
  <c r="FE168" i="12"/>
  <c r="FB168" i="12"/>
  <c r="FC168" i="12"/>
  <c r="JM232" i="12"/>
  <c r="JA232" i="12"/>
  <c r="BA332" i="12"/>
  <c r="AZ332" i="12" s="1"/>
  <c r="M67" i="5"/>
  <c r="JM179" i="12"/>
  <c r="JA179" i="12"/>
  <c r="BA279" i="12"/>
  <c r="FC268" i="12"/>
  <c r="FE268" i="12"/>
  <c r="FB268" i="12"/>
  <c r="FF268" i="12"/>
  <c r="EQ268" i="12"/>
  <c r="ER268" i="12" s="1"/>
  <c r="ES268" i="12" s="1"/>
  <c r="M96" i="5"/>
  <c r="JM261" i="12"/>
  <c r="JA261" i="12"/>
  <c r="BA361" i="12"/>
  <c r="JA176" i="12"/>
  <c r="JM176" i="12"/>
  <c r="BA276" i="12"/>
  <c r="BA300" i="12"/>
  <c r="JA200" i="12"/>
  <c r="JM200" i="12"/>
  <c r="BA237" i="12"/>
  <c r="JA137" i="12"/>
  <c r="JM137" i="12"/>
  <c r="M184" i="5"/>
  <c r="JA400" i="12"/>
  <c r="JM400" i="12"/>
  <c r="BA500" i="12"/>
  <c r="M66" i="5"/>
  <c r="BA206" i="12"/>
  <c r="BD206" i="12" s="1"/>
  <c r="JA106" i="12"/>
  <c r="JM106" i="12"/>
  <c r="JM134" i="12"/>
  <c r="JA134" i="12"/>
  <c r="BA234" i="12"/>
  <c r="FC142" i="12"/>
  <c r="FB142" i="12"/>
  <c r="FF142" i="12"/>
  <c r="JA308" i="12"/>
  <c r="JM308" i="12"/>
  <c r="BA408" i="12"/>
  <c r="FF375" i="12"/>
  <c r="FB375" i="12"/>
  <c r="JD375" i="12" s="1"/>
  <c r="FE375" i="12"/>
  <c r="FC375" i="12"/>
  <c r="JA253" i="12"/>
  <c r="BA353" i="12"/>
  <c r="JM253" i="12"/>
  <c r="JA184" i="12"/>
  <c r="BA284" i="12"/>
  <c r="BB284" i="12" s="1"/>
  <c r="JM184" i="12"/>
  <c r="JA186" i="12"/>
  <c r="BA286" i="12"/>
  <c r="JM186" i="12"/>
  <c r="JA270" i="12"/>
  <c r="BA370" i="12"/>
  <c r="JM270" i="12"/>
  <c r="JM174" i="12"/>
  <c r="BA274" i="12"/>
  <c r="BC274" i="12" s="1"/>
  <c r="JA174" i="12"/>
  <c r="M142" i="5"/>
  <c r="M189" i="5"/>
  <c r="BA269" i="12"/>
  <c r="JA169" i="12"/>
  <c r="JM169" i="12"/>
  <c r="FF370" i="12"/>
  <c r="FC370" i="12"/>
  <c r="FE370" i="12"/>
  <c r="FB370" i="12"/>
  <c r="JD370" i="12" s="1"/>
  <c r="JM274" i="12"/>
  <c r="JA274" i="12"/>
  <c r="BA374" i="12"/>
  <c r="FC287" i="12"/>
  <c r="FB287" i="12"/>
  <c r="EQ287" i="12"/>
  <c r="ER287" i="12" s="1"/>
  <c r="ES287" i="12" s="1"/>
  <c r="FF287" i="12"/>
  <c r="FE287" i="12"/>
  <c r="M239" i="5"/>
  <c r="M283" i="5"/>
  <c r="BA225" i="12"/>
  <c r="BD225" i="12" s="1"/>
  <c r="JA125" i="12"/>
  <c r="JM125" i="12"/>
  <c r="JA175" i="12"/>
  <c r="JM175" i="12"/>
  <c r="BA275" i="12"/>
  <c r="AZ275" i="12" s="1"/>
  <c r="JM252" i="12"/>
  <c r="JA252" i="12"/>
  <c r="BA352" i="12"/>
  <c r="FC134" i="12"/>
  <c r="FB134" i="12"/>
  <c r="FF134" i="12"/>
  <c r="M110" i="5"/>
  <c r="M113" i="5"/>
  <c r="BA213" i="12"/>
  <c r="BD213" i="12" s="1"/>
  <c r="JA113" i="12"/>
  <c r="JM113" i="12"/>
  <c r="FB400" i="12"/>
  <c r="FC400" i="12"/>
  <c r="JC400" i="12" s="1"/>
  <c r="FE400" i="12"/>
  <c r="FF400" i="12"/>
  <c r="FF110" i="12"/>
  <c r="FC110" i="12"/>
  <c r="FB110" i="12"/>
  <c r="JA115" i="12"/>
  <c r="BA215" i="12"/>
  <c r="JM115" i="12"/>
  <c r="JM307" i="12"/>
  <c r="JA307" i="12"/>
  <c r="BA407" i="12"/>
  <c r="AZ407" i="12" s="1"/>
  <c r="BA458" i="12"/>
  <c r="JA358" i="12"/>
  <c r="JM358" i="12"/>
  <c r="JM145" i="12"/>
  <c r="BA245" i="12"/>
  <c r="JA145" i="12"/>
  <c r="FF138" i="12"/>
  <c r="FC138" i="12"/>
  <c r="FB138" i="12"/>
  <c r="FC291" i="12"/>
  <c r="FE291" i="12"/>
  <c r="FB291" i="12"/>
  <c r="EQ291" i="12"/>
  <c r="ER291" i="12" s="1"/>
  <c r="ES291" i="12" s="1"/>
  <c r="FF291" i="12"/>
  <c r="JA367" i="12"/>
  <c r="BA467" i="12"/>
  <c r="JM367" i="12"/>
  <c r="JA344" i="12"/>
  <c r="JM344" i="12"/>
  <c r="BA444" i="12"/>
  <c r="M233" i="5"/>
  <c r="BA457" i="12"/>
  <c r="JA357" i="12"/>
  <c r="JM357" i="12"/>
  <c r="M191" i="5"/>
  <c r="JM194" i="12"/>
  <c r="JA194" i="12"/>
  <c r="BA294" i="12"/>
  <c r="BD294" i="12" s="1"/>
  <c r="FB221" i="12"/>
  <c r="JD221" i="12" s="1"/>
  <c r="FC221" i="12"/>
  <c r="FE221" i="12"/>
  <c r="EQ221" i="12"/>
  <c r="ER221" i="12" s="1"/>
  <c r="ES221" i="12" s="1"/>
  <c r="FF221" i="12"/>
  <c r="JM342" i="12"/>
  <c r="JA342" i="12"/>
  <c r="BA442" i="12"/>
  <c r="M205" i="5"/>
  <c r="BA425" i="12"/>
  <c r="BE425" i="12" s="1"/>
  <c r="JM325" i="12"/>
  <c r="JA325" i="12"/>
  <c r="FC140" i="12"/>
  <c r="FB140" i="12"/>
  <c r="FF140" i="12"/>
  <c r="BA439" i="12"/>
  <c r="JM339" i="12"/>
  <c r="JA339" i="12"/>
  <c r="FB257" i="12"/>
  <c r="FC257" i="12"/>
  <c r="FF257" i="12"/>
  <c r="EQ257" i="12"/>
  <c r="ER257" i="12" s="1"/>
  <c r="ES257" i="12" s="1"/>
  <c r="FE257" i="12"/>
  <c r="JA238" i="12"/>
  <c r="JM238" i="12"/>
  <c r="BA338" i="12"/>
  <c r="FF368" i="12"/>
  <c r="FE368" i="12"/>
  <c r="FC368" i="12"/>
  <c r="FB368" i="12"/>
  <c r="JA158" i="12"/>
  <c r="JM158" i="12"/>
  <c r="BA258" i="12"/>
  <c r="EM258" i="12" s="1"/>
  <c r="JA384" i="12"/>
  <c r="BA484" i="12"/>
  <c r="JM384" i="12"/>
  <c r="JM275" i="12"/>
  <c r="BA375" i="12"/>
  <c r="JA275" i="12"/>
  <c r="BA400" i="12"/>
  <c r="BB400" i="12" s="1"/>
  <c r="JA300" i="12"/>
  <c r="JM300" i="12"/>
  <c r="FC124" i="12"/>
  <c r="FB124" i="12"/>
  <c r="JD124" i="12" s="1"/>
  <c r="FF124" i="12"/>
  <c r="JA304" i="12"/>
  <c r="BA404" i="12"/>
  <c r="JM304" i="12"/>
  <c r="JM154" i="12"/>
  <c r="JA154" i="12"/>
  <c r="BA254" i="12"/>
  <c r="M249" i="5"/>
  <c r="M251" i="5"/>
  <c r="M158" i="5"/>
  <c r="M294" i="5"/>
  <c r="EQ274" i="12"/>
  <c r="ER274" i="12" s="1"/>
  <c r="ES274" i="12" s="1"/>
  <c r="FC274" i="12"/>
  <c r="FF274" i="12"/>
  <c r="FE274" i="12"/>
  <c r="FB274" i="12"/>
  <c r="BA349" i="12"/>
  <c r="JM249" i="12"/>
  <c r="JA249" i="12"/>
  <c r="FB214" i="12"/>
  <c r="FF214" i="12"/>
  <c r="FE214" i="12"/>
  <c r="FC214" i="12"/>
  <c r="EQ214" i="12"/>
  <c r="ER214" i="12" s="1"/>
  <c r="ES214" i="12" s="1"/>
  <c r="FB322" i="12"/>
  <c r="FF322" i="12"/>
  <c r="FC322" i="12"/>
  <c r="FE322" i="12"/>
  <c r="EQ322" i="12"/>
  <c r="ER322" i="12" s="1"/>
  <c r="ES322" i="12" s="1"/>
  <c r="FF297" i="12"/>
  <c r="EQ297" i="12"/>
  <c r="ER297" i="12" s="1"/>
  <c r="ES297" i="12" s="1"/>
  <c r="FC297" i="12"/>
  <c r="FE297" i="12"/>
  <c r="FB297" i="12"/>
  <c r="FC113" i="12"/>
  <c r="FB113" i="12"/>
  <c r="FF113" i="12"/>
  <c r="FE294" i="12"/>
  <c r="FC294" i="12"/>
  <c r="FF294" i="12"/>
  <c r="FB294" i="12"/>
  <c r="EQ294" i="12"/>
  <c r="ER294" i="12" s="1"/>
  <c r="ES294" i="12" s="1"/>
  <c r="BA328" i="12"/>
  <c r="JM228" i="12"/>
  <c r="JA228" i="12"/>
  <c r="JA196" i="12"/>
  <c r="BA296" i="12"/>
  <c r="JM196" i="12"/>
  <c r="M59" i="5"/>
  <c r="JA364" i="12"/>
  <c r="JM364" i="12"/>
  <c r="BA464" i="12"/>
  <c r="M235" i="5"/>
  <c r="M250" i="5"/>
  <c r="JM341" i="12"/>
  <c r="BA441" i="12"/>
  <c r="JA341" i="12"/>
  <c r="JM287" i="12"/>
  <c r="BA387" i="12"/>
  <c r="JA287" i="12"/>
  <c r="BA265" i="12"/>
  <c r="BC265" i="12" s="1"/>
  <c r="JM165" i="12"/>
  <c r="JA165" i="12"/>
  <c r="M76" i="5"/>
  <c r="M227" i="5"/>
  <c r="EQ234" i="12"/>
  <c r="ER234" i="12" s="1"/>
  <c r="ES234" i="12" s="1"/>
  <c r="FB234" i="12"/>
  <c r="FF234" i="12"/>
  <c r="FC234" i="12"/>
  <c r="FE234" i="12"/>
  <c r="M291" i="5"/>
  <c r="FC121" i="12"/>
  <c r="JD121" i="12" s="1"/>
  <c r="FF121" i="12"/>
  <c r="FB121" i="12"/>
  <c r="JA147" i="12"/>
  <c r="JM147" i="12"/>
  <c r="BA247" i="12"/>
  <c r="BE247" i="12" s="1"/>
  <c r="FB117" i="12"/>
  <c r="FF117" i="12"/>
  <c r="FC117" i="12"/>
  <c r="JM203" i="12"/>
  <c r="JA203" i="12"/>
  <c r="BA303" i="12"/>
  <c r="BE303" i="12" s="1"/>
  <c r="M13" i="5"/>
  <c r="FC250" i="12"/>
  <c r="JD250" i="12" s="1"/>
  <c r="EQ250" i="12"/>
  <c r="ER250" i="12" s="1"/>
  <c r="ES250" i="12" s="1"/>
  <c r="FB250" i="12"/>
  <c r="FF250" i="12"/>
  <c r="FE250" i="12"/>
  <c r="FF364" i="12"/>
  <c r="FC364" i="12"/>
  <c r="FB364" i="12"/>
  <c r="FE364" i="12"/>
  <c r="FC292" i="12"/>
  <c r="FB292" i="12"/>
  <c r="EQ292" i="12"/>
  <c r="ER292" i="12" s="1"/>
  <c r="ES292" i="12" s="1"/>
  <c r="FE292" i="12"/>
  <c r="FF292" i="12"/>
  <c r="M230" i="5"/>
  <c r="M276" i="5"/>
  <c r="M215" i="5"/>
  <c r="EQ343" i="12"/>
  <c r="ER343" i="12" s="1"/>
  <c r="ES343" i="12" s="1"/>
  <c r="FC343" i="12"/>
  <c r="FE343" i="12"/>
  <c r="FF343" i="12"/>
  <c r="FB343" i="12"/>
  <c r="BA255" i="12"/>
  <c r="JA155" i="12"/>
  <c r="JM155" i="12"/>
  <c r="M200" i="5"/>
  <c r="FB333" i="12"/>
  <c r="EQ333" i="12"/>
  <c r="ER333" i="12" s="1"/>
  <c r="ES333" i="12" s="1"/>
  <c r="FF333" i="12"/>
  <c r="FE333" i="12"/>
  <c r="FC333" i="12"/>
  <c r="M105" i="5"/>
  <c r="BA355" i="12"/>
  <c r="BD355" i="12" s="1"/>
  <c r="JA255" i="12"/>
  <c r="JM255" i="12"/>
  <c r="JA103" i="12"/>
  <c r="EV17" i="12" s="1"/>
  <c r="JM103" i="12"/>
  <c r="BA203" i="12"/>
  <c r="BB203" i="12" s="1"/>
  <c r="EV36" i="12"/>
  <c r="EU36" i="12" s="1"/>
  <c r="JA144" i="12"/>
  <c r="BA244" i="12"/>
  <c r="JM144" i="12"/>
  <c r="JA183" i="12"/>
  <c r="JM183" i="12"/>
  <c r="BA283" i="12"/>
  <c r="M86" i="5"/>
  <c r="JA340" i="12"/>
  <c r="JM340" i="12"/>
  <c r="BA440" i="12"/>
  <c r="FF209" i="12"/>
  <c r="EQ209" i="12"/>
  <c r="ER209" i="12" s="1"/>
  <c r="ES209" i="12" s="1"/>
  <c r="FC209" i="12"/>
  <c r="FB209" i="12"/>
  <c r="FE209" i="12"/>
  <c r="M257" i="5"/>
  <c r="FF269" i="12"/>
  <c r="FE269" i="12"/>
  <c r="FB269" i="12"/>
  <c r="FC269" i="12"/>
  <c r="EQ269" i="12"/>
  <c r="ER269" i="12" s="1"/>
  <c r="ES269" i="12" s="1"/>
  <c r="M117" i="5"/>
  <c r="JA363" i="12"/>
  <c r="BA463" i="12"/>
  <c r="BC463" i="12" s="1"/>
  <c r="JM363" i="12"/>
  <c r="M181" i="5"/>
  <c r="EQ344" i="12"/>
  <c r="ER344" i="12" s="1"/>
  <c r="ES344" i="12" s="1"/>
  <c r="FB344" i="12"/>
  <c r="FE344" i="12"/>
  <c r="FF344" i="12"/>
  <c r="FC344" i="12"/>
  <c r="FC172" i="12"/>
  <c r="FE172" i="12"/>
  <c r="FB172" i="12"/>
  <c r="FF172" i="12"/>
  <c r="EQ172" i="12"/>
  <c r="ER172" i="12" s="1"/>
  <c r="ES172" i="12" s="1"/>
  <c r="JA208" i="12"/>
  <c r="JM208" i="12"/>
  <c r="BA308" i="12"/>
  <c r="FE302" i="12"/>
  <c r="FC302" i="12"/>
  <c r="FF302" i="12"/>
  <c r="EQ302" i="12"/>
  <c r="ER302" i="12" s="1"/>
  <c r="ES302" i="12" s="1"/>
  <c r="FB302" i="12"/>
  <c r="M187" i="5"/>
  <c r="FC351" i="12"/>
  <c r="FE351" i="12"/>
  <c r="EQ351" i="12"/>
  <c r="ER351" i="12" s="1"/>
  <c r="ES351" i="12" s="1"/>
  <c r="FB351" i="12"/>
  <c r="FF351" i="12"/>
  <c r="FF104" i="12"/>
  <c r="FC104" i="12"/>
  <c r="FB104" i="12"/>
  <c r="M127" i="5"/>
  <c r="JA121" i="12"/>
  <c r="BA221" i="12"/>
  <c r="JM121" i="12"/>
  <c r="FB229" i="12"/>
  <c r="FC229" i="12"/>
  <c r="FF229" i="12"/>
  <c r="FE229" i="12"/>
  <c r="EQ229" i="12"/>
  <c r="ER229" i="12" s="1"/>
  <c r="ES229" i="12" s="1"/>
  <c r="M132" i="5"/>
  <c r="M160" i="5"/>
  <c r="FB310" i="12"/>
  <c r="FF310" i="12"/>
  <c r="EQ310" i="12"/>
  <c r="ER310" i="12" s="1"/>
  <c r="ES310" i="12" s="1"/>
  <c r="FE310" i="12"/>
  <c r="FC310" i="12"/>
  <c r="EQ190" i="12"/>
  <c r="ER190" i="12" s="1"/>
  <c r="ES190" i="12" s="1"/>
  <c r="FC190" i="12"/>
  <c r="FB190" i="12"/>
  <c r="JD190" i="12" s="1"/>
  <c r="FE190" i="12"/>
  <c r="FF190" i="12"/>
  <c r="FB314" i="12"/>
  <c r="FF314" i="12"/>
  <c r="FC314" i="12"/>
  <c r="FE314" i="12"/>
  <c r="EQ314" i="12"/>
  <c r="ER314" i="12" s="1"/>
  <c r="ES314" i="12" s="1"/>
  <c r="M288" i="5"/>
  <c r="FB127" i="12"/>
  <c r="FF127" i="12"/>
  <c r="FC127" i="12"/>
  <c r="FE319" i="12"/>
  <c r="FB319" i="12"/>
  <c r="FF319" i="12"/>
  <c r="FC319" i="12"/>
  <c r="EQ319" i="12"/>
  <c r="ER319" i="12" s="1"/>
  <c r="ES319" i="12" s="1"/>
  <c r="JM221" i="12"/>
  <c r="JA221" i="12"/>
  <c r="BA321" i="12"/>
  <c r="JM374" i="12"/>
  <c r="BA474" i="12"/>
  <c r="JA374" i="12"/>
  <c r="JM335" i="12"/>
  <c r="BA435" i="12"/>
  <c r="JA335" i="12"/>
  <c r="JA267" i="12"/>
  <c r="JM267" i="12"/>
  <c r="BA367" i="12"/>
  <c r="FE315" i="12"/>
  <c r="FF315" i="12"/>
  <c r="FC315" i="12"/>
  <c r="EQ315" i="12"/>
  <c r="ER315" i="12" s="1"/>
  <c r="ES315" i="12" s="1"/>
  <c r="FB315" i="12"/>
  <c r="FF241" i="12"/>
  <c r="FB241" i="12"/>
  <c r="FE241" i="12"/>
  <c r="FC241" i="12"/>
  <c r="EQ241" i="12"/>
  <c r="ER241" i="12" s="1"/>
  <c r="ES241" i="12" s="1"/>
  <c r="FF152" i="12"/>
  <c r="FC152" i="12"/>
  <c r="FB152" i="12"/>
  <c r="BA243" i="12"/>
  <c r="BE243" i="12" s="1"/>
  <c r="JA143" i="12"/>
  <c r="JM143" i="12"/>
  <c r="M29" i="5"/>
  <c r="JA288" i="12"/>
  <c r="BA388" i="12"/>
  <c r="BB388" i="12" s="1"/>
  <c r="JM288" i="12"/>
  <c r="BA449" i="12"/>
  <c r="JM349" i="12"/>
  <c r="JA349" i="12"/>
  <c r="EQ249" i="12"/>
  <c r="ER249" i="12" s="1"/>
  <c r="ES249" i="12" s="1"/>
  <c r="FE249" i="12"/>
  <c r="FB249" i="12"/>
  <c r="FF249" i="12"/>
  <c r="FC249" i="12"/>
  <c r="JD249" i="12" s="1"/>
  <c r="M137" i="5"/>
  <c r="M196" i="5"/>
  <c r="BA496" i="12"/>
  <c r="JM396" i="12"/>
  <c r="JA396" i="12"/>
  <c r="FB346" i="12"/>
  <c r="EQ346" i="12"/>
  <c r="ER346" i="12" s="1"/>
  <c r="ES346" i="12" s="1"/>
  <c r="FF346" i="12"/>
  <c r="FE346" i="12"/>
  <c r="FC346" i="12"/>
  <c r="M285" i="5"/>
  <c r="FF187" i="12"/>
  <c r="FB187" i="12"/>
  <c r="FE187" i="12"/>
  <c r="FC187" i="12"/>
  <c r="EQ187" i="12"/>
  <c r="ER187" i="12" s="1"/>
  <c r="ES187" i="12" s="1"/>
  <c r="M307" i="5"/>
  <c r="EQ316" i="12"/>
  <c r="ER316" i="12" s="1"/>
  <c r="ES316" i="12" s="1"/>
  <c r="FC316" i="12"/>
  <c r="JD316" i="12" s="1"/>
  <c r="FF316" i="12"/>
  <c r="FE316" i="12"/>
  <c r="FB316" i="12"/>
  <c r="EQ271" i="12"/>
  <c r="ER271" i="12" s="1"/>
  <c r="ES271" i="12" s="1"/>
  <c r="FC271" i="12"/>
  <c r="FF271" i="12"/>
  <c r="FB271" i="12"/>
  <c r="JD271" i="12" s="1"/>
  <c r="FE271" i="12"/>
  <c r="EQ251" i="12"/>
  <c r="ER251" i="12" s="1"/>
  <c r="ES251" i="12" s="1"/>
  <c r="FE251" i="12"/>
  <c r="FC251" i="12"/>
  <c r="FB251" i="12"/>
  <c r="FF251" i="12"/>
  <c r="FC282" i="12"/>
  <c r="FE282" i="12"/>
  <c r="FB282" i="12"/>
  <c r="FF282" i="12"/>
  <c r="EQ282" i="12"/>
  <c r="ER282" i="12" s="1"/>
  <c r="ES282" i="12" s="1"/>
  <c r="FB161" i="12"/>
  <c r="EQ161" i="12"/>
  <c r="ER161" i="12" s="1"/>
  <c r="ES161" i="12" s="1"/>
  <c r="FC161" i="12"/>
  <c r="JD161" i="12" s="1"/>
  <c r="FE161" i="12"/>
  <c r="FF161" i="12"/>
  <c r="FC366" i="12"/>
  <c r="FB366" i="12"/>
  <c r="FF366" i="12"/>
  <c r="FE366" i="12"/>
  <c r="M234" i="5"/>
  <c r="JA170" i="12"/>
  <c r="BA270" i="12"/>
  <c r="JM170" i="12"/>
  <c r="M162" i="5"/>
  <c r="JA131" i="12"/>
  <c r="JM131" i="12"/>
  <c r="BA231" i="12"/>
  <c r="BE231" i="12" s="1"/>
  <c r="M186" i="5"/>
  <c r="JM190" i="12"/>
  <c r="BA290" i="12"/>
  <c r="JA190" i="12"/>
  <c r="M295" i="5"/>
  <c r="JM271" i="12"/>
  <c r="JA271" i="12"/>
  <c r="BA371" i="12"/>
  <c r="BB371" i="12" s="1"/>
  <c r="BA309" i="12"/>
  <c r="JA209" i="12"/>
  <c r="JM209" i="12"/>
  <c r="M46" i="5"/>
  <c r="FC367" i="12"/>
  <c r="FE367" i="12"/>
  <c r="FF367" i="12"/>
  <c r="FB367" i="12"/>
  <c r="BA401" i="12"/>
  <c r="EM401" i="12" s="1"/>
  <c r="JM301" i="12"/>
  <c r="JA301" i="12"/>
  <c r="BA347" i="12"/>
  <c r="BD347" i="12" s="1"/>
  <c r="JM247" i="12"/>
  <c r="JA247" i="12"/>
  <c r="JA197" i="12"/>
  <c r="JM197" i="12"/>
  <c r="BA297" i="12"/>
  <c r="M176" i="5"/>
  <c r="BA486" i="12"/>
  <c r="JM386" i="12"/>
  <c r="JA386" i="12"/>
  <c r="JM381" i="12"/>
  <c r="JA381" i="12"/>
  <c r="BA481" i="12"/>
  <c r="JM104" i="12"/>
  <c r="BA204" i="12"/>
  <c r="JA104" i="12"/>
  <c r="FF365" i="12"/>
  <c r="FE365" i="12"/>
  <c r="FC365" i="12"/>
  <c r="FB365" i="12"/>
  <c r="M129" i="5"/>
  <c r="FE198" i="12"/>
  <c r="FC198" i="12"/>
  <c r="FB198" i="12"/>
  <c r="EQ198" i="12"/>
  <c r="ER198" i="12" s="1"/>
  <c r="ES198" i="12" s="1"/>
  <c r="FF198" i="12"/>
  <c r="FC183" i="12"/>
  <c r="FB183" i="12"/>
  <c r="JD183" i="12" s="1"/>
  <c r="EQ183" i="12"/>
  <c r="ER183" i="12" s="1"/>
  <c r="ES183" i="12" s="1"/>
  <c r="FE183" i="12"/>
  <c r="FF183" i="12"/>
  <c r="JA390" i="12"/>
  <c r="BA490" i="12"/>
  <c r="JM390" i="12"/>
  <c r="M128" i="5"/>
  <c r="M90" i="5"/>
  <c r="M298" i="5"/>
  <c r="FB244" i="12"/>
  <c r="EQ244" i="12"/>
  <c r="ER244" i="12" s="1"/>
  <c r="ES244" i="12" s="1"/>
  <c r="FE244" i="12"/>
  <c r="FC244" i="12"/>
  <c r="JD244" i="12" s="1"/>
  <c r="FF244" i="12"/>
  <c r="FE192" i="12"/>
  <c r="FF192" i="12"/>
  <c r="FC192" i="12"/>
  <c r="EQ192" i="12"/>
  <c r="ER192" i="12" s="1"/>
  <c r="ES192" i="12" s="1"/>
  <c r="FB192" i="12"/>
  <c r="JM105" i="12"/>
  <c r="BA205" i="12"/>
  <c r="JA105" i="12"/>
  <c r="JA398" i="12"/>
  <c r="BA498" i="12"/>
  <c r="JM398" i="12"/>
  <c r="FF239" i="12"/>
  <c r="EQ239" i="12"/>
  <c r="ER239" i="12" s="1"/>
  <c r="ES239" i="12" s="1"/>
  <c r="FE239" i="12"/>
  <c r="FB239" i="12"/>
  <c r="FC239" i="12"/>
  <c r="FF125" i="12"/>
  <c r="FC125" i="12"/>
  <c r="FB125" i="12"/>
  <c r="FB245" i="12"/>
  <c r="FC245" i="12"/>
  <c r="FF245" i="12"/>
  <c r="EQ245" i="12"/>
  <c r="ER245" i="12" s="1"/>
  <c r="ES245" i="12" s="1"/>
  <c r="FE245" i="12"/>
  <c r="FF386" i="12"/>
  <c r="FB386" i="12"/>
  <c r="FE386" i="12"/>
  <c r="FC386" i="12"/>
  <c r="EQ166" i="12"/>
  <c r="ER166" i="12" s="1"/>
  <c r="ES166" i="12" s="1"/>
  <c r="FF166" i="12"/>
  <c r="FE166" i="12"/>
  <c r="FB166" i="12"/>
  <c r="FC166" i="12"/>
  <c r="JA375" i="12"/>
  <c r="JM375" i="12"/>
  <c r="BA475" i="12"/>
  <c r="FC123" i="12"/>
  <c r="FB123" i="12"/>
  <c r="FF123" i="12"/>
  <c r="BA447" i="12"/>
  <c r="JA347" i="12"/>
  <c r="JM347" i="12"/>
  <c r="EQ170" i="12"/>
  <c r="ER170" i="12" s="1"/>
  <c r="ES170" i="12" s="1"/>
  <c r="FC170" i="12"/>
  <c r="FE170" i="12"/>
  <c r="FB170" i="12"/>
  <c r="FF170" i="12"/>
  <c r="FF145" i="12"/>
  <c r="FB145" i="12"/>
  <c r="FC145" i="12"/>
  <c r="M141" i="5"/>
  <c r="JM268" i="12"/>
  <c r="BA368" i="12"/>
  <c r="JA268" i="12"/>
  <c r="FE393" i="12"/>
  <c r="FF393" i="12"/>
  <c r="FC393" i="12"/>
  <c r="FB393" i="12"/>
  <c r="JC393" i="12" s="1"/>
  <c r="M109" i="5"/>
  <c r="FB372" i="12"/>
  <c r="FF372" i="12"/>
  <c r="FE372" i="12"/>
  <c r="FC372" i="12"/>
  <c r="JC372" i="12" s="1"/>
  <c r="JA244" i="12"/>
  <c r="JM244" i="12"/>
  <c r="BA344" i="12"/>
  <c r="JM168" i="12"/>
  <c r="JA168" i="12"/>
  <c r="BA268" i="12"/>
  <c r="EQ194" i="12"/>
  <c r="ER194" i="12" s="1"/>
  <c r="ES194" i="12" s="1"/>
  <c r="FF194" i="12"/>
  <c r="FE194" i="12"/>
  <c r="FB194" i="12"/>
  <c r="FC194" i="12"/>
  <c r="JD194" i="12" s="1"/>
  <c r="M273" i="5"/>
  <c r="FE162" i="12"/>
  <c r="FC162" i="12"/>
  <c r="EQ162" i="12"/>
  <c r="ER162" i="12" s="1"/>
  <c r="ES162" i="12" s="1"/>
  <c r="FF162" i="12"/>
  <c r="FB162" i="12"/>
  <c r="JC162" i="12" s="1"/>
  <c r="JM107" i="12"/>
  <c r="JA107" i="12"/>
  <c r="BA207" i="12"/>
  <c r="BD207" i="12" s="1"/>
  <c r="FB324" i="12"/>
  <c r="FE324" i="12"/>
  <c r="FF324" i="12"/>
  <c r="EQ324" i="12"/>
  <c r="ER324" i="12" s="1"/>
  <c r="ES324" i="12" s="1"/>
  <c r="FC324" i="12"/>
  <c r="FE218" i="12"/>
  <c r="FC218" i="12"/>
  <c r="EQ218" i="12"/>
  <c r="ER218" i="12" s="1"/>
  <c r="ES218" i="12" s="1"/>
  <c r="FB218" i="12"/>
  <c r="FF218" i="12"/>
  <c r="M143" i="5"/>
  <c r="JA280" i="12"/>
  <c r="BA380" i="12"/>
  <c r="JM280" i="12"/>
  <c r="M89" i="5"/>
  <c r="BA477" i="12"/>
  <c r="JM377" i="12"/>
  <c r="JA377" i="12"/>
  <c r="M222" i="5"/>
  <c r="FC272" i="12"/>
  <c r="EQ272" i="12"/>
  <c r="ER272" i="12" s="1"/>
  <c r="ES272" i="12" s="1"/>
  <c r="FF272" i="12"/>
  <c r="FB272" i="12"/>
  <c r="FE272" i="12"/>
  <c r="M179" i="5"/>
  <c r="BA293" i="12"/>
  <c r="JA193" i="12"/>
  <c r="JM193" i="12"/>
  <c r="BA323" i="12"/>
  <c r="JA223" i="12"/>
  <c r="JM223" i="12"/>
  <c r="EQ265" i="12"/>
  <c r="ER265" i="12" s="1"/>
  <c r="ES265" i="12" s="1"/>
  <c r="FE265" i="12"/>
  <c r="FF265" i="12"/>
  <c r="FB265" i="12"/>
  <c r="FC265" i="12"/>
  <c r="JC265" i="12" s="1"/>
  <c r="BA350" i="12"/>
  <c r="JM250" i="12"/>
  <c r="JA250" i="12"/>
  <c r="BA295" i="12"/>
  <c r="JA195" i="12"/>
  <c r="JM195" i="12"/>
  <c r="BA266" i="12"/>
  <c r="JM166" i="12"/>
  <c r="JA166" i="12"/>
  <c r="JA337" i="12"/>
  <c r="BA437" i="12"/>
  <c r="JM337" i="12"/>
  <c r="BA434" i="12"/>
  <c r="JM334" i="12"/>
  <c r="JA334" i="12"/>
  <c r="JM148" i="12"/>
  <c r="JM2" i="12" s="1"/>
  <c r="JM1" i="12" s="1"/>
  <c r="F3" i="5" s="1"/>
  <c r="JA148" i="12"/>
  <c r="BA248" i="12"/>
  <c r="FC137" i="12"/>
  <c r="JC137" i="12" s="1"/>
  <c r="FF137" i="12"/>
  <c r="FB137" i="12"/>
  <c r="JM245" i="12"/>
  <c r="JA245" i="12"/>
  <c r="BA345" i="12"/>
  <c r="BC345" i="12" s="1"/>
  <c r="M270" i="5"/>
  <c r="M218" i="5"/>
  <c r="M149" i="5"/>
  <c r="FC230" i="12"/>
  <c r="FE230" i="12"/>
  <c r="FF230" i="12"/>
  <c r="EQ230" i="12"/>
  <c r="ER230" i="12" s="1"/>
  <c r="ES230" i="12" s="1"/>
  <c r="FB230" i="12"/>
  <c r="JD230" i="12" s="1"/>
  <c r="M280" i="5"/>
  <c r="FF317" i="12"/>
  <c r="FC317" i="12"/>
  <c r="FB317" i="12"/>
  <c r="EQ317" i="12"/>
  <c r="ER317" i="12" s="1"/>
  <c r="ES317" i="12" s="1"/>
  <c r="FE317" i="12"/>
  <c r="BA391" i="12"/>
  <c r="JM291" i="12"/>
  <c r="JA291" i="12"/>
  <c r="JA207" i="12"/>
  <c r="JM207" i="12"/>
  <c r="BA307" i="12"/>
  <c r="BA430" i="12"/>
  <c r="JA330" i="12"/>
  <c r="JM330" i="12"/>
  <c r="FC108" i="12"/>
  <c r="JD108" i="12" s="1"/>
  <c r="FF108" i="12"/>
  <c r="FB108" i="12"/>
  <c r="JC108" i="12" s="1"/>
  <c r="FB331" i="12"/>
  <c r="FE331" i="12"/>
  <c r="FF331" i="12"/>
  <c r="EQ331" i="12"/>
  <c r="ER331" i="12" s="1"/>
  <c r="ES331" i="12" s="1"/>
  <c r="FC331" i="12"/>
  <c r="M78" i="5"/>
  <c r="BA329" i="12"/>
  <c r="JM229" i="12"/>
  <c r="JA229" i="12"/>
  <c r="EQ275" i="12"/>
  <c r="ER275" i="12" s="1"/>
  <c r="ES275" i="12" s="1"/>
  <c r="FC275" i="12"/>
  <c r="FF275" i="12"/>
  <c r="FE275" i="12"/>
  <c r="FB275" i="12"/>
  <c r="JC275" i="12" s="1"/>
  <c r="EQ160" i="12"/>
  <c r="ER160" i="12" s="1"/>
  <c r="ES160" i="12" s="1"/>
  <c r="FE160" i="12"/>
  <c r="FB160" i="12"/>
  <c r="JC160" i="12" s="1"/>
  <c r="FC160" i="12"/>
  <c r="FF160" i="12"/>
  <c r="EQ363" i="12"/>
  <c r="ER363" i="12" s="1"/>
  <c r="ES363" i="12" s="1"/>
  <c r="FB363" i="12"/>
  <c r="JD363" i="12" s="1"/>
  <c r="FF363" i="12"/>
  <c r="FE363" i="12"/>
  <c r="FC363" i="12"/>
  <c r="FF157" i="12"/>
  <c r="FB157" i="12"/>
  <c r="FE157" i="12"/>
  <c r="FC157" i="12"/>
  <c r="EQ157" i="12"/>
  <c r="ER157" i="12" s="1"/>
  <c r="ES157" i="12" s="1"/>
  <c r="FB356" i="12"/>
  <c r="JD356" i="12" s="1"/>
  <c r="FE356" i="12"/>
  <c r="EQ356" i="12"/>
  <c r="ER356" i="12" s="1"/>
  <c r="ES356" i="12" s="1"/>
  <c r="FC356" i="12"/>
  <c r="FF356" i="12"/>
  <c r="M300" i="5"/>
  <c r="FE273" i="12"/>
  <c r="FB273" i="12"/>
  <c r="FC273" i="12"/>
  <c r="JD273" i="12" s="1"/>
  <c r="FF273" i="12"/>
  <c r="EQ273" i="12"/>
  <c r="ER273" i="12" s="1"/>
  <c r="ES273" i="12" s="1"/>
  <c r="JM290" i="12"/>
  <c r="JA290" i="12"/>
  <c r="BA390" i="12"/>
  <c r="M262" i="5"/>
  <c r="JM279" i="12"/>
  <c r="JA279" i="12"/>
  <c r="BA379" i="12"/>
  <c r="JM385" i="12"/>
  <c r="JA385" i="12"/>
  <c r="BA485" i="12"/>
  <c r="M299" i="5"/>
  <c r="BA466" i="12"/>
  <c r="JA366" i="12"/>
  <c r="JM366" i="12"/>
  <c r="FC277" i="12"/>
  <c r="JD277" i="12" s="1"/>
  <c r="FB277" i="12"/>
  <c r="FE277" i="12"/>
  <c r="FF277" i="12"/>
  <c r="EQ277" i="12"/>
  <c r="ER277" i="12" s="1"/>
  <c r="ES277" i="12" s="1"/>
  <c r="JA336" i="12"/>
  <c r="BA436" i="12"/>
  <c r="EM436" i="12" s="1"/>
  <c r="JM336" i="12"/>
  <c r="M224" i="5"/>
  <c r="JM276" i="12"/>
  <c r="BA376" i="12"/>
  <c r="JA276" i="12"/>
  <c r="JM373" i="12"/>
  <c r="BA473" i="12"/>
  <c r="EM473" i="12" s="1"/>
  <c r="JA373" i="12"/>
  <c r="EQ191" i="12"/>
  <c r="ER191" i="12" s="1"/>
  <c r="ES191" i="12" s="1"/>
  <c r="FC191" i="12"/>
  <c r="FB191" i="12"/>
  <c r="FE191" i="12"/>
  <c r="FF191" i="12"/>
  <c r="JM326" i="12"/>
  <c r="BA426" i="12"/>
  <c r="EM426" i="12" s="1"/>
  <c r="JA326" i="12"/>
  <c r="M75" i="5"/>
  <c r="M183" i="5"/>
  <c r="BA252" i="12"/>
  <c r="JA152" i="12"/>
  <c r="JM152" i="12"/>
  <c r="M174" i="5"/>
  <c r="M33" i="5"/>
  <c r="JA177" i="12"/>
  <c r="JM177" i="12"/>
  <c r="BA277" i="12"/>
  <c r="JA181" i="12"/>
  <c r="JM181" i="12"/>
  <c r="BA281" i="12"/>
  <c r="M165" i="5"/>
  <c r="M108" i="5"/>
  <c r="FF399" i="12"/>
  <c r="FE399" i="12"/>
  <c r="FB399" i="12"/>
  <c r="JC399" i="12" s="1"/>
  <c r="FC399" i="12"/>
  <c r="FF150" i="12"/>
  <c r="FC150" i="12"/>
  <c r="FB150" i="12"/>
  <c r="BA462" i="12"/>
  <c r="JA362" i="12"/>
  <c r="JM362" i="12"/>
  <c r="JM265" i="12"/>
  <c r="BA365" i="12"/>
  <c r="JA265" i="12"/>
  <c r="M225" i="5"/>
  <c r="M73" i="5"/>
  <c r="EQ167" i="12"/>
  <c r="ER167" i="12" s="1"/>
  <c r="ES167" i="12" s="1"/>
  <c r="FF167" i="12"/>
  <c r="FE167" i="12"/>
  <c r="FB167" i="12"/>
  <c r="FC167" i="12"/>
  <c r="M147" i="5"/>
  <c r="FF109" i="12"/>
  <c r="FB109" i="12"/>
  <c r="FC109" i="12"/>
  <c r="M20" i="5"/>
  <c r="EQ184" i="12"/>
  <c r="ER184" i="12" s="1"/>
  <c r="ES184" i="12" s="1"/>
  <c r="FE184" i="12"/>
  <c r="FB184" i="12"/>
  <c r="JC184" i="12" s="1"/>
  <c r="FF184" i="12"/>
  <c r="FC184" i="12"/>
  <c r="M170" i="5"/>
  <c r="JA353" i="12"/>
  <c r="JM353" i="12"/>
  <c r="BA453" i="12"/>
  <c r="EQ321" i="12"/>
  <c r="ER321" i="12" s="1"/>
  <c r="ES321" i="12" s="1"/>
  <c r="FE321" i="12"/>
  <c r="FB321" i="12"/>
  <c r="FF321" i="12"/>
  <c r="FC321" i="12"/>
  <c r="JA225" i="12"/>
  <c r="JM225" i="12"/>
  <c r="BA325" i="12"/>
  <c r="JA185" i="12"/>
  <c r="BA285" i="12"/>
  <c r="JM185" i="12"/>
  <c r="BA455" i="12"/>
  <c r="JA355" i="12"/>
  <c r="JM355" i="12"/>
  <c r="FB261" i="12"/>
  <c r="FE261" i="12"/>
  <c r="EQ261" i="12"/>
  <c r="ER261" i="12" s="1"/>
  <c r="ES261" i="12" s="1"/>
  <c r="FC261" i="12"/>
  <c r="FF261" i="12"/>
  <c r="M260" i="5"/>
  <c r="FB313" i="12"/>
  <c r="FE313" i="12"/>
  <c r="EQ313" i="12"/>
  <c r="ER313" i="12" s="1"/>
  <c r="ES313" i="12" s="1"/>
  <c r="FF313" i="12"/>
  <c r="FC313" i="12"/>
  <c r="FC398" i="12"/>
  <c r="FF398" i="12"/>
  <c r="FB398" i="12"/>
  <c r="FE398" i="12"/>
  <c r="FC394" i="12"/>
  <c r="FF394" i="12"/>
  <c r="FE394" i="12"/>
  <c r="FB394" i="12"/>
  <c r="JC394" i="12" s="1"/>
  <c r="M289" i="5"/>
  <c r="BA427" i="12"/>
  <c r="JM327" i="12"/>
  <c r="JA327" i="12"/>
  <c r="M107" i="5"/>
  <c r="EQ248" i="12"/>
  <c r="ER248" i="12" s="1"/>
  <c r="ES248" i="12" s="1"/>
  <c r="FC248" i="12"/>
  <c r="JD248" i="12" s="1"/>
  <c r="FB248" i="12"/>
  <c r="FF248" i="12"/>
  <c r="FE248" i="12"/>
  <c r="JM372" i="12"/>
  <c r="JA372" i="12"/>
  <c r="BA472" i="12"/>
  <c r="EM472" i="12" s="1"/>
  <c r="M263" i="5"/>
  <c r="JA369" i="12"/>
  <c r="BA469" i="12"/>
  <c r="JM369" i="12"/>
  <c r="JM397" i="12"/>
  <c r="BA497" i="12"/>
  <c r="JA397" i="12"/>
  <c r="FE227" i="12"/>
  <c r="FC227" i="12"/>
  <c r="EQ227" i="12"/>
  <c r="ER227" i="12" s="1"/>
  <c r="ES227" i="12" s="1"/>
  <c r="FB227" i="12"/>
  <c r="JC227" i="12" s="1"/>
  <c r="FF227" i="12"/>
  <c r="FC329" i="12"/>
  <c r="FB329" i="12"/>
  <c r="FE329" i="12"/>
  <c r="EQ329" i="12"/>
  <c r="ER329" i="12" s="1"/>
  <c r="ES329" i="12" s="1"/>
  <c r="FF329" i="12"/>
  <c r="M202" i="5"/>
  <c r="FC342" i="12"/>
  <c r="FE342" i="12"/>
  <c r="FF342" i="12"/>
  <c r="FB342" i="12"/>
  <c r="EQ342" i="12"/>
  <c r="ER342" i="12" s="1"/>
  <c r="ES342" i="12" s="1"/>
  <c r="JM319" i="12"/>
  <c r="BA419" i="12"/>
  <c r="JA319" i="12"/>
  <c r="FE335" i="12"/>
  <c r="FB335" i="12"/>
  <c r="FC335" i="12"/>
  <c r="FF335" i="12"/>
  <c r="EQ335" i="12"/>
  <c r="ER335" i="12" s="1"/>
  <c r="ES335" i="12" s="1"/>
  <c r="FB340" i="12"/>
  <c r="FC340" i="12"/>
  <c r="FE340" i="12"/>
  <c r="FF340" i="12"/>
  <c r="EQ340" i="12"/>
  <c r="ER340" i="12" s="1"/>
  <c r="ES340" i="12" s="1"/>
  <c r="JM171" i="12"/>
  <c r="JA171" i="12"/>
  <c r="BA271" i="12"/>
  <c r="FC154" i="12"/>
  <c r="FB154" i="12"/>
  <c r="FF154" i="12"/>
  <c r="M169" i="5"/>
  <c r="M57" i="5"/>
  <c r="FC220" i="12"/>
  <c r="JD220" i="12" s="1"/>
  <c r="FB220" i="12"/>
  <c r="FE220" i="12"/>
  <c r="EQ220" i="12"/>
  <c r="ER220" i="12" s="1"/>
  <c r="ES220" i="12" s="1"/>
  <c r="FF220" i="12"/>
  <c r="FF122" i="12"/>
  <c r="FB122" i="12"/>
  <c r="FC122" i="12"/>
  <c r="FE300" i="12"/>
  <c r="FC300" i="12"/>
  <c r="FB300" i="12"/>
  <c r="EQ300" i="12"/>
  <c r="ER300" i="12" s="1"/>
  <c r="ES300" i="12" s="1"/>
  <c r="FF300" i="12"/>
  <c r="FC225" i="12"/>
  <c r="JC225" i="12" s="1"/>
  <c r="FF225" i="12"/>
  <c r="EQ225" i="12"/>
  <c r="ER225" i="12" s="1"/>
  <c r="ES225" i="12" s="1"/>
  <c r="FB225" i="12"/>
  <c r="FE225" i="12"/>
  <c r="FE237" i="12"/>
  <c r="FF237" i="12"/>
  <c r="EQ237" i="12"/>
  <c r="ER237" i="12" s="1"/>
  <c r="ES237" i="12" s="1"/>
  <c r="FC237" i="12"/>
  <c r="JC237" i="12" s="1"/>
  <c r="FB237" i="12"/>
  <c r="FF301" i="12"/>
  <c r="EQ301" i="12"/>
  <c r="ER301" i="12" s="1"/>
  <c r="ES301" i="12" s="1"/>
  <c r="FC301" i="12"/>
  <c r="FB301" i="12"/>
  <c r="FE301" i="12"/>
  <c r="EQ270" i="12"/>
  <c r="ER270" i="12" s="1"/>
  <c r="ES270" i="12" s="1"/>
  <c r="FF270" i="12"/>
  <c r="FB270" i="12"/>
  <c r="FC270" i="12"/>
  <c r="FE270" i="12"/>
  <c r="FE228" i="12"/>
  <c r="FB228" i="12"/>
  <c r="FF228" i="12"/>
  <c r="FC228" i="12"/>
  <c r="EQ228" i="12"/>
  <c r="ER228" i="12" s="1"/>
  <c r="ES228" i="12" s="1"/>
  <c r="M125" i="5"/>
  <c r="FF362" i="12"/>
  <c r="FB362" i="12"/>
  <c r="JC362" i="12" s="1"/>
  <c r="EQ362" i="12"/>
  <c r="ER362" i="12" s="1"/>
  <c r="ES362" i="12" s="1"/>
  <c r="FC362" i="12"/>
  <c r="FE362" i="12"/>
  <c r="JA289" i="12"/>
  <c r="BA389" i="12"/>
  <c r="JM289" i="12"/>
  <c r="BA487" i="12"/>
  <c r="JA387" i="12"/>
  <c r="JM387" i="12"/>
  <c r="BA429" i="12"/>
  <c r="JA329" i="12"/>
  <c r="JM329" i="12"/>
  <c r="M161" i="5"/>
  <c r="M60" i="5"/>
  <c r="FF283" i="12"/>
  <c r="FB283" i="12"/>
  <c r="JD283" i="12" s="1"/>
  <c r="FE283" i="12"/>
  <c r="FC283" i="12"/>
  <c r="EQ283" i="12"/>
  <c r="ER283" i="12" s="1"/>
  <c r="ES283" i="12" s="1"/>
  <c r="M71" i="5"/>
  <c r="M25" i="5"/>
  <c r="FB337" i="12"/>
  <c r="FF337" i="12"/>
  <c r="FE337" i="12"/>
  <c r="EQ337" i="12"/>
  <c r="ER337" i="12" s="1"/>
  <c r="ES337" i="12" s="1"/>
  <c r="FC337" i="12"/>
  <c r="BA233" i="12"/>
  <c r="JM133" i="12"/>
  <c r="JA133" i="12"/>
  <c r="M264" i="5"/>
  <c r="JM379" i="12"/>
  <c r="JA379" i="12"/>
  <c r="BA479" i="12"/>
  <c r="EQ203" i="12"/>
  <c r="ER203" i="12" s="1"/>
  <c r="ES203" i="12" s="1"/>
  <c r="FE203" i="12"/>
  <c r="FC203" i="12"/>
  <c r="FB203" i="12"/>
  <c r="JD203" i="12" s="1"/>
  <c r="FF203" i="12"/>
  <c r="FC288" i="12"/>
  <c r="FB288" i="12"/>
  <c r="FF288" i="12"/>
  <c r="EQ288" i="12"/>
  <c r="ER288" i="12" s="1"/>
  <c r="ES288" i="12" s="1"/>
  <c r="FE288" i="12"/>
  <c r="M237" i="5"/>
  <c r="M154" i="5"/>
  <c r="M168" i="5"/>
  <c r="M92" i="5"/>
  <c r="FE156" i="12"/>
  <c r="FC156" i="12"/>
  <c r="FB156" i="12"/>
  <c r="EQ156" i="12"/>
  <c r="ER156" i="12" s="1"/>
  <c r="ES156" i="12" s="1"/>
  <c r="FF156" i="12"/>
  <c r="JM159" i="12"/>
  <c r="JA159" i="12"/>
  <c r="BA259" i="12"/>
  <c r="BA212" i="12"/>
  <c r="JA112" i="12"/>
  <c r="JM112" i="12"/>
  <c r="JA241" i="12"/>
  <c r="JM241" i="12"/>
  <c r="BA341" i="12"/>
  <c r="M97" i="5"/>
  <c r="FF129" i="12"/>
  <c r="FB129" i="12"/>
  <c r="FC129" i="12"/>
  <c r="JM284" i="12"/>
  <c r="BA384" i="12"/>
  <c r="JA284" i="12"/>
  <c r="FF116" i="12"/>
  <c r="FC116" i="12"/>
  <c r="FB116" i="12"/>
  <c r="M82" i="5"/>
  <c r="JA354" i="12"/>
  <c r="BA454" i="12"/>
  <c r="JM354" i="12"/>
  <c r="M248" i="5"/>
  <c r="JM394" i="12"/>
  <c r="BA494" i="12"/>
  <c r="BE494" i="12" s="1"/>
  <c r="JA394" i="12"/>
  <c r="JA298" i="12"/>
  <c r="JM298" i="12"/>
  <c r="BA398" i="12"/>
  <c r="BA357" i="12"/>
  <c r="BB357" i="12" s="1"/>
  <c r="JA257" i="12"/>
  <c r="JM257" i="12"/>
  <c r="FN7" i="12"/>
  <c r="FT326" i="12"/>
  <c r="FT343" i="12"/>
  <c r="GU343" i="12"/>
  <c r="GV343" i="12" s="1"/>
  <c r="FS327" i="12"/>
  <c r="FS326" i="12"/>
  <c r="JC187" i="12"/>
  <c r="BC203" i="12"/>
  <c r="FT345" i="12"/>
  <c r="JC259" i="12"/>
  <c r="FS276" i="12"/>
  <c r="FT300" i="12"/>
  <c r="JC300" i="12"/>
  <c r="JC186" i="12"/>
  <c r="JD358" i="12"/>
  <c r="JC268" i="12"/>
  <c r="JC214" i="12"/>
  <c r="JC382" i="12"/>
  <c r="FS305" i="12"/>
  <c r="GU11" i="12"/>
  <c r="GV11" i="12" s="1"/>
  <c r="BB225" i="12"/>
  <c r="GU257" i="12"/>
  <c r="GV257" i="12" s="1"/>
  <c r="FS345" i="12"/>
  <c r="FU345" i="12" s="1"/>
  <c r="GR345" i="12" s="1"/>
  <c r="FT364" i="12"/>
  <c r="JD324" i="12"/>
  <c r="FS259" i="12"/>
  <c r="FT259" i="12"/>
  <c r="FT371" i="12"/>
  <c r="FU371" i="12" s="1"/>
  <c r="GR371" i="12" s="1"/>
  <c r="BB335" i="12"/>
  <c r="FT223" i="12"/>
  <c r="FU223" i="12" s="1"/>
  <c r="GR223" i="12" s="1"/>
  <c r="FT226" i="12"/>
  <c r="GU329" i="12"/>
  <c r="GV329" i="12" s="1"/>
  <c r="GU230" i="12"/>
  <c r="GV230" i="12" s="1"/>
  <c r="FT327" i="12"/>
  <c r="FU327" i="12" s="1"/>
  <c r="GR327" i="12" s="1"/>
  <c r="GU226" i="12"/>
  <c r="GV226" i="12" s="1"/>
  <c r="BE374" i="12"/>
  <c r="BD400" i="12"/>
  <c r="BB217" i="12"/>
  <c r="FS230" i="12"/>
  <c r="FT360" i="12"/>
  <c r="GU307" i="12"/>
  <c r="GV307" i="12" s="1"/>
  <c r="FT242" i="12"/>
  <c r="AZ432" i="12"/>
  <c r="BD372" i="12"/>
  <c r="BC472" i="12"/>
  <c r="JD393" i="12"/>
  <c r="JD135" i="12"/>
  <c r="JD302" i="12"/>
  <c r="JD253" i="12"/>
  <c r="JC106" i="12"/>
  <c r="BD243" i="12"/>
  <c r="BB213" i="12"/>
  <c r="JD269" i="12"/>
  <c r="EM465" i="12"/>
  <c r="BD303" i="12"/>
  <c r="BC229" i="12"/>
  <c r="AZ463" i="12"/>
  <c r="FT324" i="12"/>
  <c r="JD214" i="12"/>
  <c r="BC416" i="12"/>
  <c r="GU294" i="12"/>
  <c r="GV294" i="12" s="1"/>
  <c r="EM416" i="12"/>
  <c r="JC373" i="12"/>
  <c r="JD267" i="12"/>
  <c r="JD209" i="12"/>
  <c r="JC264" i="12"/>
  <c r="FS277" i="12"/>
  <c r="FT277" i="12"/>
  <c r="GU277" i="12"/>
  <c r="GV277" i="12" s="1"/>
  <c r="GU330" i="12"/>
  <c r="GV330" i="12" s="1"/>
  <c r="FT330" i="12"/>
  <c r="FS330" i="12"/>
  <c r="FS314" i="12"/>
  <c r="GU314" i="12"/>
  <c r="GV314" i="12" s="1"/>
  <c r="FT314" i="12"/>
  <c r="FT246" i="12"/>
  <c r="GU246" i="12"/>
  <c r="GV246" i="12" s="1"/>
  <c r="FS246" i="12"/>
  <c r="EM230" i="12"/>
  <c r="BD230" i="12"/>
  <c r="BE230" i="12"/>
  <c r="JD390" i="12"/>
  <c r="JC390" i="12"/>
  <c r="JC249" i="12"/>
  <c r="JD162" i="12"/>
  <c r="EM478" i="12"/>
  <c r="BE478" i="12"/>
  <c r="AZ478" i="12"/>
  <c r="BB478" i="12"/>
  <c r="BE456" i="12"/>
  <c r="BD456" i="12"/>
  <c r="BB456" i="12"/>
  <c r="EM456" i="12"/>
  <c r="BB364" i="12"/>
  <c r="EM364" i="12"/>
  <c r="BC364" i="12"/>
  <c r="BE364" i="12"/>
  <c r="AZ364" i="12"/>
  <c r="BD364" i="12"/>
  <c r="BB483" i="12"/>
  <c r="BD483" i="12"/>
  <c r="BC483" i="12"/>
  <c r="AZ483" i="12"/>
  <c r="BE228" i="12"/>
  <c r="BD228" i="12"/>
  <c r="GU381" i="12"/>
  <c r="GV381" i="12" s="1"/>
  <c r="FT381" i="12"/>
  <c r="FS381" i="12"/>
  <c r="FS337" i="12"/>
  <c r="GU337" i="12"/>
  <c r="GV337" i="12" s="1"/>
  <c r="FT337" i="12"/>
  <c r="JD137" i="12"/>
  <c r="BB274" i="12"/>
  <c r="EM274" i="12"/>
  <c r="BE274" i="12"/>
  <c r="JC356" i="12"/>
  <c r="JD291" i="12"/>
  <c r="JC291" i="12"/>
  <c r="JD223" i="12"/>
  <c r="JC223" i="12"/>
  <c r="JC360" i="12"/>
  <c r="JD360" i="12"/>
  <c r="AZ251" i="12"/>
  <c r="BE251" i="12"/>
  <c r="EM251" i="12"/>
  <c r="EM207" i="12"/>
  <c r="BB207" i="12"/>
  <c r="AZ207" i="12"/>
  <c r="BE207" i="12"/>
  <c r="BC207" i="12"/>
  <c r="EM375" i="12"/>
  <c r="BC375" i="12"/>
  <c r="BD375" i="12"/>
  <c r="BE375" i="12"/>
  <c r="AZ375" i="12"/>
  <c r="BB375" i="12"/>
  <c r="BE399" i="12"/>
  <c r="BD399" i="12"/>
  <c r="BB399" i="12"/>
  <c r="AZ399" i="12"/>
  <c r="BC399" i="12"/>
  <c r="JD207" i="12"/>
  <c r="JC207" i="12"/>
  <c r="AZ319" i="12"/>
  <c r="BE319" i="12"/>
  <c r="BB319" i="12"/>
  <c r="EM319" i="12"/>
  <c r="BC319" i="12"/>
  <c r="BC478" i="12"/>
  <c r="EM483" i="12"/>
  <c r="JD106" i="12"/>
  <c r="EM346" i="12"/>
  <c r="AZ346" i="12"/>
  <c r="FS315" i="12"/>
  <c r="FT315" i="12"/>
  <c r="FS393" i="12"/>
  <c r="GU393" i="12"/>
  <c r="GV393" i="12" s="1"/>
  <c r="FT393" i="12"/>
  <c r="BB473" i="12"/>
  <c r="JD351" i="12"/>
  <c r="JC351" i="12"/>
  <c r="JD278" i="12"/>
  <c r="JC278" i="12"/>
  <c r="BC445" i="12"/>
  <c r="AZ445" i="12"/>
  <c r="JD143" i="12"/>
  <c r="JC143" i="12"/>
  <c r="JC205" i="12"/>
  <c r="JD205" i="12"/>
  <c r="AZ272" i="12"/>
  <c r="BC272" i="12"/>
  <c r="BD272" i="12"/>
  <c r="BB272" i="12"/>
  <c r="EM272" i="12"/>
  <c r="BC296" i="12"/>
  <c r="BD296" i="12"/>
  <c r="EM296" i="12"/>
  <c r="AZ296" i="12"/>
  <c r="BE296" i="12"/>
  <c r="BB296" i="12"/>
  <c r="BD478" i="12"/>
  <c r="BE483" i="12"/>
  <c r="FN9" i="12"/>
  <c r="JC209" i="12"/>
  <c r="JC302" i="12"/>
  <c r="FT363" i="12"/>
  <c r="GU363" i="12"/>
  <c r="GV363" i="12" s="1"/>
  <c r="FS325" i="12"/>
  <c r="GU325" i="12"/>
  <c r="GV325" i="12" s="1"/>
  <c r="FT325" i="12"/>
  <c r="GU275" i="12"/>
  <c r="GV275" i="12" s="1"/>
  <c r="FS275" i="12"/>
  <c r="FT275" i="12"/>
  <c r="JC112" i="12"/>
  <c r="JD112" i="12"/>
  <c r="JC157" i="12"/>
  <c r="JD157" i="12"/>
  <c r="BE436" i="12"/>
  <c r="JC246" i="12"/>
  <c r="JD246" i="12"/>
  <c r="JC323" i="12"/>
  <c r="JD323" i="12"/>
  <c r="JD129" i="12"/>
  <c r="JC129" i="12"/>
  <c r="BD275" i="12"/>
  <c r="BC275" i="12"/>
  <c r="BB275" i="12"/>
  <c r="JC385" i="12"/>
  <c r="JD385" i="12"/>
  <c r="EM407" i="12"/>
  <c r="BD407" i="12"/>
  <c r="BB407" i="12"/>
  <c r="BE407" i="12"/>
  <c r="JC331" i="12"/>
  <c r="JD331" i="12"/>
  <c r="BE332" i="12"/>
  <c r="BC332" i="12"/>
  <c r="JC340" i="12"/>
  <c r="JD340" i="12"/>
  <c r="JD187" i="12"/>
  <c r="BD251" i="12"/>
  <c r="FT394" i="12"/>
  <c r="FS394" i="12"/>
  <c r="GU394" i="12"/>
  <c r="GV394" i="12" s="1"/>
  <c r="GU368" i="12"/>
  <c r="GV368" i="12" s="1"/>
  <c r="FS368" i="12"/>
  <c r="FT368" i="12"/>
  <c r="GU348" i="12"/>
  <c r="GV348" i="12" s="1"/>
  <c r="FT348" i="12"/>
  <c r="FU348" i="12" s="1"/>
  <c r="GR348" i="12" s="1"/>
  <c r="JC148" i="12"/>
  <c r="JD148" i="12"/>
  <c r="JD260" i="12"/>
  <c r="JC260" i="12"/>
  <c r="EM467" i="12"/>
  <c r="AZ467" i="12"/>
  <c r="BB467" i="12"/>
  <c r="JC136" i="12"/>
  <c r="JD136" i="12"/>
  <c r="JC375" i="12"/>
  <c r="BC479" i="12"/>
  <c r="BD479" i="12"/>
  <c r="EM479" i="12"/>
  <c r="AZ479" i="12"/>
  <c r="BB479" i="12"/>
  <c r="BE479" i="12"/>
  <c r="JC183" i="12"/>
  <c r="BC388" i="12"/>
  <c r="BE388" i="12"/>
  <c r="BD388" i="12"/>
  <c r="EM388" i="12"/>
  <c r="AZ388" i="12"/>
  <c r="JD312" i="12"/>
  <c r="JC312" i="12"/>
  <c r="BE232" i="12"/>
  <c r="BD232" i="12"/>
  <c r="JD303" i="12"/>
  <c r="JC303" i="12"/>
  <c r="JC318" i="12"/>
  <c r="JD318" i="12"/>
  <c r="EM445" i="12"/>
  <c r="BC456" i="12"/>
  <c r="FS363" i="12"/>
  <c r="AZ274" i="12"/>
  <c r="GU397" i="12"/>
  <c r="GV397" i="12" s="1"/>
  <c r="FS347" i="12"/>
  <c r="FU347" i="12" s="1"/>
  <c r="GR347" i="12" s="1"/>
  <c r="GU347" i="12"/>
  <c r="GV347" i="12" s="1"/>
  <c r="FT347" i="12"/>
  <c r="GU290" i="12"/>
  <c r="GV290" i="12" s="1"/>
  <c r="FT290" i="12"/>
  <c r="FU290" i="12" s="1"/>
  <c r="GR290" i="12" s="1"/>
  <c r="EM399" i="12"/>
  <c r="BC251" i="12"/>
  <c r="JD115" i="12"/>
  <c r="EM304" i="12"/>
  <c r="BD238" i="12"/>
  <c r="GU392" i="12"/>
  <c r="GV392" i="12" s="1"/>
  <c r="JD210" i="12"/>
  <c r="JC121" i="12"/>
  <c r="JC147" i="12"/>
  <c r="JC381" i="12"/>
  <c r="JC179" i="12"/>
  <c r="EM243" i="12"/>
  <c r="FO23" i="12"/>
  <c r="BB492" i="12"/>
  <c r="JC190" i="12"/>
  <c r="JD349" i="12"/>
  <c r="JD327" i="12"/>
  <c r="BB416" i="12"/>
  <c r="JD307" i="12"/>
  <c r="FN21" i="12"/>
  <c r="BC303" i="12"/>
  <c r="BC206" i="12"/>
  <c r="FS390" i="12"/>
  <c r="EM303" i="12"/>
  <c r="BB280" i="12"/>
  <c r="JC316" i="12"/>
  <c r="JC374" i="12"/>
  <c r="JD330" i="12"/>
  <c r="AZ418" i="12"/>
  <c r="BD492" i="12"/>
  <c r="BE238" i="12"/>
  <c r="GU350" i="12"/>
  <c r="GV350" i="12" s="1"/>
  <c r="BD346" i="12"/>
  <c r="JD388" i="12"/>
  <c r="JD343" i="12"/>
  <c r="JC200" i="12"/>
  <c r="JD163" i="12"/>
  <c r="JD192" i="12"/>
  <c r="JC363" i="12"/>
  <c r="JD186" i="12"/>
  <c r="JC131" i="12"/>
  <c r="JC236" i="12"/>
  <c r="JC345" i="12"/>
  <c r="JC358" i="12"/>
  <c r="JD268" i="12"/>
  <c r="JC379" i="12"/>
  <c r="JC324" i="12"/>
  <c r="JC292" i="12"/>
  <c r="JD326" i="12"/>
  <c r="JD384" i="12"/>
  <c r="JC263" i="12"/>
  <c r="JC282" i="12"/>
  <c r="JC293" i="12"/>
  <c r="JD184" i="12"/>
  <c r="JD394" i="12"/>
  <c r="JD265" i="12"/>
  <c r="JD367" i="12"/>
  <c r="JD341" i="12"/>
  <c r="JC297" i="12"/>
  <c r="JD216" i="12"/>
  <c r="EM418" i="12"/>
  <c r="BE418" i="12"/>
  <c r="BC333" i="12"/>
  <c r="EM238" i="12"/>
  <c r="JD262" i="12"/>
  <c r="JD371" i="12"/>
  <c r="FN20" i="12"/>
  <c r="AZ450" i="12"/>
  <c r="JD236" i="12"/>
  <c r="FT329" i="12"/>
  <c r="AZ415" i="12"/>
  <c r="JD395" i="12"/>
  <c r="JD147" i="12"/>
  <c r="BE225" i="12"/>
  <c r="BE443" i="12"/>
  <c r="JC277" i="12"/>
  <c r="BE465" i="12"/>
  <c r="GU223" i="12"/>
  <c r="GV223" i="12" s="1"/>
  <c r="BC217" i="12"/>
  <c r="BE432" i="12"/>
  <c r="BC372" i="12"/>
  <c r="GU371" i="12"/>
  <c r="GV371" i="12" s="1"/>
  <c r="FS242" i="12"/>
  <c r="FN8" i="12"/>
  <c r="JD345" i="12"/>
  <c r="FS306" i="12"/>
  <c r="FU306" i="12" s="1"/>
  <c r="GR306" i="12" s="1"/>
  <c r="JC124" i="12"/>
  <c r="JC326" i="12"/>
  <c r="JD156" i="12"/>
  <c r="JD347" i="12"/>
  <c r="JD199" i="12"/>
  <c r="GU373" i="12"/>
  <c r="GV373" i="12" s="1"/>
  <c r="JD300" i="12"/>
  <c r="BD265" i="12"/>
  <c r="BC415" i="12"/>
  <c r="FS236" i="12"/>
  <c r="FS229" i="12"/>
  <c r="GU358" i="12"/>
  <c r="GV358" i="12" s="1"/>
  <c r="BD425" i="12"/>
  <c r="BE211" i="12"/>
  <c r="JC341" i="12"/>
  <c r="EM225" i="12"/>
  <c r="BD231" i="12"/>
  <c r="AZ335" i="12"/>
  <c r="BD217" i="12"/>
  <c r="BB432" i="12"/>
  <c r="JC388" i="12"/>
  <c r="EM372" i="12"/>
  <c r="BB472" i="12"/>
  <c r="BE472" i="12"/>
  <c r="GU251" i="12"/>
  <c r="GV251" i="12" s="1"/>
  <c r="JD290" i="12"/>
  <c r="BB401" i="12"/>
  <c r="JD131" i="12"/>
  <c r="GU306" i="12"/>
  <c r="GV306" i="12" s="1"/>
  <c r="FS284" i="12"/>
  <c r="FU284" i="12" s="1"/>
  <c r="GR284" i="12" s="1"/>
  <c r="EM450" i="12"/>
  <c r="BC450" i="12"/>
  <c r="FT384" i="12"/>
  <c r="FU384" i="12" s="1"/>
  <c r="GR384" i="12" s="1"/>
  <c r="FS373" i="12"/>
  <c r="FU373" i="12" s="1"/>
  <c r="GR373" i="12" s="1"/>
  <c r="JD381" i="12"/>
  <c r="BD415" i="12"/>
  <c r="FT236" i="12"/>
  <c r="GU229" i="12"/>
  <c r="GV229" i="12" s="1"/>
  <c r="FT358" i="12"/>
  <c r="FU358" i="12" s="1"/>
  <c r="GR358" i="12" s="1"/>
  <c r="EM425" i="12"/>
  <c r="BB211" i="12"/>
  <c r="EM495" i="12"/>
  <c r="AZ225" i="12"/>
  <c r="EM217" i="12"/>
  <c r="EM432" i="12"/>
  <c r="BB372" i="12"/>
  <c r="FO10" i="12"/>
  <c r="BD335" i="12"/>
  <c r="BE223" i="12"/>
  <c r="JC269" i="12"/>
  <c r="FS251" i="12"/>
  <c r="FU251" i="12" s="1"/>
  <c r="GR251" i="12" s="1"/>
  <c r="BE401" i="12"/>
  <c r="JC216" i="12"/>
  <c r="GU288" i="12"/>
  <c r="GV288" i="12" s="1"/>
  <c r="JC343" i="12"/>
  <c r="JD353" i="12"/>
  <c r="BD450" i="12"/>
  <c r="GU384" i="12"/>
  <c r="GV384" i="12" s="1"/>
  <c r="BC211" i="12"/>
  <c r="BC225" i="12"/>
  <c r="EM294" i="12"/>
  <c r="FT264" i="12"/>
  <c r="BC432" i="12"/>
  <c r="JD292" i="12"/>
  <c r="BB425" i="12"/>
  <c r="AZ495" i="12"/>
  <c r="BB443" i="12"/>
  <c r="JD200" i="12"/>
  <c r="BE217" i="12"/>
  <c r="BE372" i="12"/>
  <c r="JD259" i="12"/>
  <c r="AZ374" i="12"/>
  <c r="BD416" i="12"/>
  <c r="BE265" i="12"/>
  <c r="JD379" i="12"/>
  <c r="AZ425" i="12"/>
  <c r="BD211" i="12"/>
  <c r="BE495" i="12"/>
  <c r="BE335" i="12"/>
  <c r="BE294" i="12"/>
  <c r="EM443" i="12"/>
  <c r="FS264" i="12"/>
  <c r="BD280" i="12"/>
  <c r="JC161" i="12"/>
  <c r="AZ223" i="12"/>
  <c r="JD282" i="12"/>
  <c r="BB223" i="12"/>
  <c r="JD179" i="12"/>
  <c r="JD118" i="12"/>
  <c r="EM211" i="12"/>
  <c r="JC210" i="12"/>
  <c r="FT257" i="12"/>
  <c r="FU257" i="12" s="1"/>
  <c r="GR257" i="12" s="1"/>
  <c r="BD401" i="12"/>
  <c r="AZ401" i="12"/>
  <c r="BC401" i="12"/>
  <c r="JD376" i="12"/>
  <c r="BC425" i="12"/>
  <c r="BD495" i="12"/>
  <c r="BB294" i="12"/>
  <c r="BD443" i="12"/>
  <c r="GU284" i="12"/>
  <c r="GV284" i="12" s="1"/>
  <c r="JC192" i="12"/>
  <c r="BC233" i="12"/>
  <c r="EM223" i="12"/>
  <c r="BD223" i="12"/>
  <c r="BC335" i="12"/>
  <c r="JD293" i="12"/>
  <c r="FT335" i="12"/>
  <c r="FU335" i="12" s="1"/>
  <c r="GR335" i="12" s="1"/>
  <c r="FS288" i="12"/>
  <c r="FU288" i="12" s="1"/>
  <c r="GR288" i="12" s="1"/>
  <c r="GU335" i="12"/>
  <c r="GV335" i="12" s="1"/>
  <c r="JC389" i="12"/>
  <c r="FS350" i="12"/>
  <c r="FS324" i="12"/>
  <c r="JC349" i="12"/>
  <c r="BC213" i="12"/>
  <c r="BB465" i="12"/>
  <c r="BC238" i="12"/>
  <c r="JC271" i="12"/>
  <c r="JC242" i="12"/>
  <c r="JD373" i="12"/>
  <c r="BD299" i="12"/>
  <c r="JC352" i="12"/>
  <c r="JC114" i="12"/>
  <c r="BB206" i="12"/>
  <c r="BD333" i="12"/>
  <c r="FS361" i="12"/>
  <c r="FU361" i="12" s="1"/>
  <c r="GR361" i="12" s="1"/>
  <c r="BC346" i="12"/>
  <c r="AZ299" i="12"/>
  <c r="EM299" i="12"/>
  <c r="BE492" i="12"/>
  <c r="JD114" i="12"/>
  <c r="JC327" i="12"/>
  <c r="BD247" i="12"/>
  <c r="FT397" i="12"/>
  <c r="FU397" i="12" s="1"/>
  <c r="GR397" i="12" s="1"/>
  <c r="BE206" i="12"/>
  <c r="BB229" i="12"/>
  <c r="FS294" i="12"/>
  <c r="FU294" i="12" s="1"/>
  <c r="GR294" i="12" s="1"/>
  <c r="JD374" i="12"/>
  <c r="JC305" i="12"/>
  <c r="BC492" i="12"/>
  <c r="AZ206" i="12"/>
  <c r="BE229" i="12"/>
  <c r="GU361" i="12"/>
  <c r="GV361" i="12" s="1"/>
  <c r="JC289" i="12"/>
  <c r="JD399" i="12"/>
  <c r="JD107" i="12"/>
  <c r="JD263" i="12"/>
  <c r="JD368" i="12"/>
  <c r="JD281" i="12"/>
  <c r="JD245" i="12"/>
  <c r="JD309" i="12"/>
  <c r="JD377" i="12"/>
  <c r="JC391" i="12"/>
  <c r="JD242" i="12"/>
  <c r="AZ203" i="12"/>
  <c r="EM213" i="12"/>
  <c r="FT252" i="12"/>
  <c r="BE280" i="12"/>
  <c r="BD229" i="12"/>
  <c r="BD418" i="12"/>
  <c r="BE213" i="12"/>
  <c r="EM280" i="12"/>
  <c r="EM229" i="12"/>
  <c r="BB463" i="12"/>
  <c r="JC107" i="12"/>
  <c r="FO22" i="12"/>
  <c r="JC307" i="12"/>
  <c r="BC418" i="12"/>
  <c r="BD371" i="12"/>
  <c r="JC118" i="12"/>
  <c r="JC135" i="12"/>
  <c r="EM371" i="12"/>
  <c r="BE371" i="12"/>
  <c r="JC387" i="12"/>
  <c r="JC267" i="12"/>
  <c r="JD264" i="12"/>
  <c r="FS252" i="12"/>
  <c r="JD389" i="12"/>
  <c r="JD217" i="12"/>
  <c r="JD166" i="12"/>
  <c r="JC245" i="12"/>
  <c r="BE416" i="12"/>
  <c r="AZ213" i="12"/>
  <c r="FT392" i="12"/>
  <c r="BC280" i="12"/>
  <c r="AZ333" i="12"/>
  <c r="AZ238" i="12"/>
  <c r="FU326" i="12"/>
  <c r="GR326" i="12" s="1"/>
  <c r="BB299" i="12"/>
  <c r="BE288" i="12"/>
  <c r="BB243" i="12"/>
  <c r="JC156" i="12"/>
  <c r="JC353" i="12"/>
  <c r="JC376" i="12"/>
  <c r="JC347" i="12"/>
  <c r="JD310" i="12"/>
  <c r="JD297" i="12"/>
  <c r="BC371" i="12"/>
  <c r="JC166" i="12"/>
  <c r="EM333" i="12"/>
  <c r="BE299" i="12"/>
  <c r="BC357" i="12"/>
  <c r="JC370" i="12"/>
  <c r="JC368" i="12"/>
  <c r="JD301" i="12"/>
  <c r="AZ371" i="12"/>
  <c r="JC357" i="12"/>
  <c r="JD295" i="12"/>
  <c r="JD352" i="12"/>
  <c r="JD227" i="12"/>
  <c r="JD193" i="12"/>
  <c r="JD387" i="12"/>
  <c r="JD342" i="12"/>
  <c r="JC313" i="12"/>
  <c r="JC281" i="12"/>
  <c r="BD426" i="12"/>
  <c r="BE203" i="12"/>
  <c r="H4" i="5"/>
  <c r="GQ12" i="12"/>
  <c r="FM12" i="12"/>
  <c r="FO12" i="12" s="1"/>
  <c r="JC104" i="12"/>
  <c r="JD104" i="12"/>
  <c r="BE204" i="12"/>
  <c r="G4" i="5"/>
  <c r="K11" i="5"/>
  <c r="BD203" i="12"/>
  <c r="GQ3" i="12"/>
  <c r="GU3" i="12" s="1"/>
  <c r="GV3" i="12" s="1"/>
  <c r="JD103" i="12"/>
  <c r="JC103" i="12"/>
  <c r="FM3" i="12"/>
  <c r="FO3" i="12" s="1"/>
  <c r="K12" i="5"/>
  <c r="JC342" i="12"/>
  <c r="JC221" i="12"/>
  <c r="AZ499" i="12"/>
  <c r="BC499" i="12"/>
  <c r="EM499" i="12"/>
  <c r="BE499" i="12"/>
  <c r="BB499" i="12"/>
  <c r="BD499" i="12"/>
  <c r="JC109" i="12"/>
  <c r="JD109" i="12"/>
  <c r="JD386" i="12"/>
  <c r="JC386" i="12"/>
  <c r="JD117" i="12"/>
  <c r="JC117" i="12"/>
  <c r="GU383" i="12"/>
  <c r="GV383" i="12" s="1"/>
  <c r="FT383" i="12"/>
  <c r="FS383" i="12"/>
  <c r="FS269" i="12"/>
  <c r="FT269" i="12"/>
  <c r="FT247" i="12"/>
  <c r="GU247" i="12"/>
  <c r="GV247" i="12" s="1"/>
  <c r="FS247" i="12"/>
  <c r="FT222" i="12"/>
  <c r="GU222" i="12"/>
  <c r="GV222" i="12" s="1"/>
  <c r="FS222" i="12"/>
  <c r="FS359" i="12"/>
  <c r="GU359" i="12"/>
  <c r="GV359" i="12" s="1"/>
  <c r="FT359" i="12"/>
  <c r="JC378" i="12"/>
  <c r="JD378" i="12"/>
  <c r="JD185" i="12"/>
  <c r="JC185" i="12"/>
  <c r="JC128" i="12"/>
  <c r="JD128" i="12"/>
  <c r="BE457" i="12"/>
  <c r="AZ457" i="12"/>
  <c r="BC457" i="12"/>
  <c r="BB457" i="12"/>
  <c r="BD457" i="12"/>
  <c r="EM457" i="12"/>
  <c r="BB393" i="12"/>
  <c r="EM393" i="12"/>
  <c r="BE393" i="12"/>
  <c r="BC393" i="12"/>
  <c r="AZ393" i="12"/>
  <c r="BD393" i="12"/>
  <c r="BB493" i="12"/>
  <c r="BE493" i="12"/>
  <c r="JD233" i="12"/>
  <c r="JC233" i="12"/>
  <c r="JD382" i="12"/>
  <c r="BC285" i="12"/>
  <c r="BD285" i="12"/>
  <c r="AZ285" i="12"/>
  <c r="BB285" i="12"/>
  <c r="EM285" i="12"/>
  <c r="BE285" i="12"/>
  <c r="BD273" i="12"/>
  <c r="AZ273" i="12"/>
  <c r="BE273" i="12"/>
  <c r="BC273" i="12"/>
  <c r="EM273" i="12"/>
  <c r="BB273" i="12"/>
  <c r="BD452" i="12"/>
  <c r="BB452" i="12"/>
  <c r="JD126" i="12"/>
  <c r="JC126" i="12"/>
  <c r="AZ266" i="12"/>
  <c r="BD266" i="12"/>
  <c r="BC266" i="12"/>
  <c r="EM266" i="12"/>
  <c r="BB266" i="12"/>
  <c r="BE266" i="12"/>
  <c r="BD295" i="12"/>
  <c r="BC295" i="12"/>
  <c r="EM295" i="12"/>
  <c r="BE295" i="12"/>
  <c r="AZ295" i="12"/>
  <c r="BB295" i="12"/>
  <c r="BE458" i="12"/>
  <c r="BB458" i="12"/>
  <c r="EM458" i="12"/>
  <c r="BD458" i="12"/>
  <c r="AZ458" i="12"/>
  <c r="BC458" i="12"/>
  <c r="EM449" i="12"/>
  <c r="BD449" i="12"/>
  <c r="BC449" i="12"/>
  <c r="BB449" i="12"/>
  <c r="AZ449" i="12"/>
  <c r="BE449" i="12"/>
  <c r="JC213" i="12"/>
  <c r="JD213" i="12"/>
  <c r="JC141" i="12"/>
  <c r="JD141" i="12"/>
  <c r="BB291" i="12"/>
  <c r="EM291" i="12"/>
  <c r="AZ291" i="12"/>
  <c r="BC291" i="12"/>
  <c r="BD291" i="12"/>
  <c r="BE291" i="12"/>
  <c r="BC374" i="12"/>
  <c r="BD374" i="12"/>
  <c r="BB214" i="12"/>
  <c r="AZ214" i="12"/>
  <c r="EM214" i="12"/>
  <c r="BC214" i="12"/>
  <c r="BD214" i="12"/>
  <c r="BE214" i="12"/>
  <c r="BE297" i="12"/>
  <c r="BD297" i="12"/>
  <c r="BB297" i="12"/>
  <c r="AZ297" i="12"/>
  <c r="EM297" i="12"/>
  <c r="BC297" i="12"/>
  <c r="BB402" i="12"/>
  <c r="BC402" i="12"/>
  <c r="AZ402" i="12"/>
  <c r="EM402" i="12"/>
  <c r="BD402" i="12"/>
  <c r="BE402" i="12"/>
  <c r="JD400" i="12"/>
  <c r="FS243" i="12"/>
  <c r="FT243" i="12"/>
  <c r="GU243" i="12"/>
  <c r="GV243" i="12" s="1"/>
  <c r="GU320" i="12"/>
  <c r="GV320" i="12" s="1"/>
  <c r="FS320" i="12"/>
  <c r="FU320" i="12" s="1"/>
  <c r="GR320" i="12" s="1"/>
  <c r="GU292" i="12"/>
  <c r="GV292" i="12" s="1"/>
  <c r="FT292" i="12"/>
  <c r="FU292" i="12" s="1"/>
  <c r="GR292" i="12" s="1"/>
  <c r="BC338" i="12"/>
  <c r="BE338" i="12"/>
  <c r="BD338" i="12"/>
  <c r="EM338" i="12"/>
  <c r="AZ338" i="12"/>
  <c r="BB338" i="12"/>
  <c r="JD139" i="12"/>
  <c r="JC139" i="12"/>
  <c r="BB205" i="12"/>
  <c r="AZ313" i="12"/>
  <c r="BC313" i="12"/>
  <c r="BD313" i="12"/>
  <c r="JC220" i="12"/>
  <c r="AZ284" i="12"/>
  <c r="BD284" i="12"/>
  <c r="BE284" i="12"/>
  <c r="EM284" i="12"/>
  <c r="BC284" i="12"/>
  <c r="BC467" i="12"/>
  <c r="BE467" i="12"/>
  <c r="BD467" i="12"/>
  <c r="JD279" i="12"/>
  <c r="JC279" i="12"/>
  <c r="EM461" i="12"/>
  <c r="BE461" i="12"/>
  <c r="AZ461" i="12"/>
  <c r="BC461" i="12"/>
  <c r="BB461" i="12"/>
  <c r="BD461" i="12"/>
  <c r="BB230" i="12"/>
  <c r="AZ230" i="12"/>
  <c r="BC230" i="12"/>
  <c r="JD238" i="12"/>
  <c r="JC238" i="12"/>
  <c r="BE279" i="12"/>
  <c r="BB279" i="12"/>
  <c r="EM279" i="12"/>
  <c r="BC279" i="12"/>
  <c r="AZ279" i="12"/>
  <c r="BD279" i="12"/>
  <c r="JC105" i="12"/>
  <c r="JD105" i="12"/>
  <c r="AZ442" i="12"/>
  <c r="EM442" i="12"/>
  <c r="BD442" i="12"/>
  <c r="BB442" i="12"/>
  <c r="BC442" i="12"/>
  <c r="BE442" i="12"/>
  <c r="JC228" i="12"/>
  <c r="JD228" i="12"/>
  <c r="JC130" i="12"/>
  <c r="JD130" i="12"/>
  <c r="JD251" i="12"/>
  <c r="JC251" i="12"/>
  <c r="JC311" i="12"/>
  <c r="JD311" i="12"/>
  <c r="EM232" i="12"/>
  <c r="BC232" i="12"/>
  <c r="AZ232" i="12"/>
  <c r="BB232" i="12"/>
  <c r="BB394" i="12"/>
  <c r="BC394" i="12"/>
  <c r="BE394" i="12"/>
  <c r="BD394" i="12"/>
  <c r="EM394" i="12"/>
  <c r="AZ394" i="12"/>
  <c r="BC405" i="12"/>
  <c r="BE405" i="12"/>
  <c r="EM405" i="12"/>
  <c r="BD405" i="12"/>
  <c r="BB405" i="12"/>
  <c r="AZ405" i="12"/>
  <c r="EM228" i="12"/>
  <c r="BC228" i="12"/>
  <c r="BB228" i="12"/>
  <c r="AZ228" i="12"/>
  <c r="AZ334" i="12"/>
  <c r="BB334" i="12"/>
  <c r="BC334" i="12"/>
  <c r="BE334" i="12"/>
  <c r="EM334" i="12"/>
  <c r="BD334" i="12"/>
  <c r="JD256" i="12"/>
  <c r="JC256" i="12"/>
  <c r="EM268" i="12"/>
  <c r="BD268" i="12"/>
  <c r="AZ268" i="12"/>
  <c r="BB268" i="12"/>
  <c r="BC268" i="12"/>
  <c r="BE268" i="12"/>
  <c r="AZ433" i="12"/>
  <c r="BE433" i="12"/>
  <c r="EM433" i="12"/>
  <c r="BB433" i="12"/>
  <c r="BC433" i="12"/>
  <c r="BD433" i="12"/>
  <c r="BD269" i="12"/>
  <c r="BE269" i="12"/>
  <c r="EM269" i="12"/>
  <c r="BC269" i="12"/>
  <c r="AZ269" i="12"/>
  <c r="BB269" i="12"/>
  <c r="JC339" i="12"/>
  <c r="JD339" i="12"/>
  <c r="FT299" i="12"/>
  <c r="FS299" i="12"/>
  <c r="GU382" i="12"/>
  <c r="GV382" i="12" s="1"/>
  <c r="FS382" i="12"/>
  <c r="FU382" i="12" s="1"/>
  <c r="GR382" i="12" s="1"/>
  <c r="GU375" i="12"/>
  <c r="GV375" i="12" s="1"/>
  <c r="FT375" i="12"/>
  <c r="FU375" i="12" s="1"/>
  <c r="GR375" i="12" s="1"/>
  <c r="FT281" i="12"/>
  <c r="FS281" i="12"/>
  <c r="GU281" i="12"/>
  <c r="GV281" i="12" s="1"/>
  <c r="FS312" i="12"/>
  <c r="FT312" i="12"/>
  <c r="FS231" i="12"/>
  <c r="GU231" i="12"/>
  <c r="GV231" i="12" s="1"/>
  <c r="FT231" i="12"/>
  <c r="FS376" i="12"/>
  <c r="FU376" i="12" s="1"/>
  <c r="GR376" i="12" s="1"/>
  <c r="GU376" i="12"/>
  <c r="GV376" i="12" s="1"/>
  <c r="JD180" i="12"/>
  <c r="JC243" i="12"/>
  <c r="BB477" i="12"/>
  <c r="BC477" i="12"/>
  <c r="EM477" i="12"/>
  <c r="BE477" i="12"/>
  <c r="BD477" i="12"/>
  <c r="AZ477" i="12"/>
  <c r="BC413" i="12"/>
  <c r="BD413" i="12"/>
  <c r="AZ413" i="12"/>
  <c r="BB413" i="12"/>
  <c r="EM413" i="12"/>
  <c r="BE413" i="12"/>
  <c r="EM498" i="12"/>
  <c r="BB498" i="12"/>
  <c r="BD498" i="12"/>
  <c r="AZ208" i="12"/>
  <c r="BB208" i="12"/>
  <c r="BC208" i="12"/>
  <c r="EM208" i="12"/>
  <c r="AZ370" i="12"/>
  <c r="BE370" i="12"/>
  <c r="BD370" i="12"/>
  <c r="BB370" i="12"/>
  <c r="EM370" i="12"/>
  <c r="BC370" i="12"/>
  <c r="BC444" i="12"/>
  <c r="BE444" i="12"/>
  <c r="BD444" i="12"/>
  <c r="EM444" i="12"/>
  <c r="BB444" i="12"/>
  <c r="AZ444" i="12"/>
  <c r="BE403" i="12"/>
  <c r="EM403" i="12"/>
  <c r="BD403" i="12"/>
  <c r="BB403" i="12"/>
  <c r="BC403" i="12"/>
  <c r="AZ403" i="12"/>
  <c r="BC428" i="12"/>
  <c r="BE428" i="12"/>
  <c r="AZ428" i="12"/>
  <c r="BB428" i="12"/>
  <c r="EM428" i="12"/>
  <c r="BD428" i="12"/>
  <c r="JC134" i="12"/>
  <c r="JD134" i="12"/>
  <c r="BD353" i="12"/>
  <c r="BB353" i="12"/>
  <c r="BE353" i="12"/>
  <c r="AZ353" i="12"/>
  <c r="AZ253" i="12"/>
  <c r="EM253" i="12"/>
  <c r="BB253" i="12"/>
  <c r="BC253" i="12"/>
  <c r="EM496" i="12"/>
  <c r="BE496" i="12"/>
  <c r="BB496" i="12"/>
  <c r="BD496" i="12"/>
  <c r="AZ496" i="12"/>
  <c r="BC496" i="12"/>
  <c r="JD138" i="12"/>
  <c r="EM235" i="12"/>
  <c r="BC235" i="12"/>
  <c r="BB397" i="12"/>
  <c r="BC397" i="12"/>
  <c r="BE397" i="12"/>
  <c r="EM397" i="12"/>
  <c r="BB419" i="12"/>
  <c r="BD419" i="12"/>
  <c r="BE419" i="12"/>
  <c r="AZ419" i="12"/>
  <c r="EM419" i="12"/>
  <c r="BC419" i="12"/>
  <c r="EM316" i="12"/>
  <c r="BB316" i="12"/>
  <c r="AZ316" i="12"/>
  <c r="BE316" i="12"/>
  <c r="BC316" i="12"/>
  <c r="BD316" i="12"/>
  <c r="JC332" i="12"/>
  <c r="JD332" i="12"/>
  <c r="EM415" i="12"/>
  <c r="AZ294" i="12"/>
  <c r="EM357" i="12"/>
  <c r="JC301" i="12"/>
  <c r="BE346" i="12"/>
  <c r="BB346" i="12"/>
  <c r="JC194" i="12"/>
  <c r="BC426" i="12"/>
  <c r="AZ379" i="12"/>
  <c r="BB379" i="12"/>
  <c r="BD379" i="12"/>
  <c r="BE379" i="12"/>
  <c r="BC379" i="12"/>
  <c r="EM379" i="12"/>
  <c r="BB258" i="12"/>
  <c r="BE258" i="12"/>
  <c r="BC258" i="12"/>
  <c r="AZ258" i="12"/>
  <c r="BD360" i="12"/>
  <c r="EM360" i="12"/>
  <c r="BB360" i="12"/>
  <c r="AZ360" i="12"/>
  <c r="BC360" i="12"/>
  <c r="BE360" i="12"/>
  <c r="JC115" i="12"/>
  <c r="BC247" i="12"/>
  <c r="EM247" i="12"/>
  <c r="AZ247" i="12"/>
  <c r="BB247" i="12"/>
  <c r="GU262" i="12"/>
  <c r="GV262" i="12" s="1"/>
  <c r="FT262" i="12"/>
  <c r="FS262" i="12"/>
  <c r="FT234" i="12"/>
  <c r="FU234" i="12" s="1"/>
  <c r="GR234" i="12" s="1"/>
  <c r="GU234" i="12"/>
  <c r="GV234" i="12" s="1"/>
  <c r="JC215" i="12"/>
  <c r="JD215" i="12"/>
  <c r="JC191" i="12"/>
  <c r="JD191" i="12"/>
  <c r="BD307" i="12"/>
  <c r="AZ307" i="12"/>
  <c r="BB307" i="12"/>
  <c r="BC307" i="12"/>
  <c r="EM307" i="12"/>
  <c r="BE307" i="12"/>
  <c r="BC216" i="12"/>
  <c r="AZ216" i="12"/>
  <c r="BC500" i="12"/>
  <c r="EM500" i="12"/>
  <c r="BB500" i="12"/>
  <c r="BD500" i="12"/>
  <c r="AZ500" i="12"/>
  <c r="BE500" i="12"/>
  <c r="EM252" i="12"/>
  <c r="BC252" i="12"/>
  <c r="BB255" i="12"/>
  <c r="BD255" i="12"/>
  <c r="AZ255" i="12"/>
  <c r="BE255" i="12"/>
  <c r="EM255" i="12"/>
  <c r="BC255" i="12"/>
  <c r="JD122" i="12"/>
  <c r="JC122" i="12"/>
  <c r="BE429" i="12"/>
  <c r="AZ429" i="12"/>
  <c r="BD429" i="12"/>
  <c r="BE380" i="12"/>
  <c r="EM380" i="12"/>
  <c r="JC163" i="12"/>
  <c r="JC158" i="12"/>
  <c r="JD158" i="12"/>
  <c r="EM414" i="12"/>
  <c r="BC414" i="12"/>
  <c r="BE414" i="12"/>
  <c r="AZ414" i="12"/>
  <c r="BD414" i="12"/>
  <c r="BB414" i="12"/>
  <c r="JC202" i="12"/>
  <c r="JD202" i="12"/>
  <c r="BC267" i="12"/>
  <c r="AZ267" i="12"/>
  <c r="BE267" i="12"/>
  <c r="BB267" i="12"/>
  <c r="BD267" i="12"/>
  <c r="EM267" i="12"/>
  <c r="BD317" i="12"/>
  <c r="AZ317" i="12"/>
  <c r="JC365" i="12"/>
  <c r="JD365" i="12"/>
  <c r="JC366" i="12"/>
  <c r="JD366" i="12"/>
  <c r="BB490" i="12"/>
  <c r="JD392" i="12"/>
  <c r="JC392" i="12"/>
  <c r="JC314" i="12"/>
  <c r="JD314" i="12"/>
  <c r="JC354" i="12"/>
  <c r="JC253" i="12"/>
  <c r="BB336" i="12"/>
  <c r="AZ336" i="12"/>
  <c r="BE336" i="12"/>
  <c r="BD336" i="12"/>
  <c r="BC336" i="12"/>
  <c r="EM336" i="12"/>
  <c r="JD182" i="12"/>
  <c r="JC182" i="12"/>
  <c r="BB448" i="12"/>
  <c r="BE448" i="12"/>
  <c r="AZ448" i="12"/>
  <c r="EM448" i="12"/>
  <c r="BD448" i="12"/>
  <c r="BC448" i="12"/>
  <c r="BB355" i="12"/>
  <c r="BE355" i="12"/>
  <c r="AZ355" i="12"/>
  <c r="BC355" i="12"/>
  <c r="EM355" i="12"/>
  <c r="FS370" i="12"/>
  <c r="FT370" i="12"/>
  <c r="FT235" i="12"/>
  <c r="FS235" i="12"/>
  <c r="FT331" i="12"/>
  <c r="GU331" i="12"/>
  <c r="GV331" i="12" s="1"/>
  <c r="FS331" i="12"/>
  <c r="GU362" i="12"/>
  <c r="GV362" i="12" s="1"/>
  <c r="FS362" i="12"/>
  <c r="FT362" i="12"/>
  <c r="GU272" i="12"/>
  <c r="GV272" i="12" s="1"/>
  <c r="FS272" i="12"/>
  <c r="FT272" i="12"/>
  <c r="FT354" i="12"/>
  <c r="FS354" i="12"/>
  <c r="GU354" i="12"/>
  <c r="GV354" i="12" s="1"/>
  <c r="FT379" i="12"/>
  <c r="FS379" i="12"/>
  <c r="GU282" i="12"/>
  <c r="GV282" i="12" s="1"/>
  <c r="FT282" i="12"/>
  <c r="FS282" i="12"/>
  <c r="AZ292" i="12"/>
  <c r="BB292" i="12"/>
  <c r="BE292" i="12"/>
  <c r="BC292" i="12"/>
  <c r="EM292" i="12"/>
  <c r="BD292" i="12"/>
  <c r="BD242" i="12"/>
  <c r="BB242" i="12"/>
  <c r="BC242" i="12"/>
  <c r="AZ242" i="12"/>
  <c r="EM242" i="12"/>
  <c r="BE242" i="12"/>
  <c r="JD280" i="12"/>
  <c r="JC197" i="12"/>
  <c r="BE257" i="12"/>
  <c r="EM257" i="12"/>
  <c r="BD257" i="12"/>
  <c r="BB257" i="12"/>
  <c r="AZ257" i="12"/>
  <c r="BC257" i="12"/>
  <c r="BE386" i="12"/>
  <c r="EM386" i="12"/>
  <c r="BB386" i="12"/>
  <c r="BC386" i="12"/>
  <c r="BE270" i="12"/>
  <c r="EM270" i="12"/>
  <c r="BC270" i="12"/>
  <c r="BB270" i="12"/>
  <c r="AZ270" i="12"/>
  <c r="BD270" i="12"/>
  <c r="AZ286" i="12"/>
  <c r="BB286" i="12"/>
  <c r="EM365" i="12"/>
  <c r="AZ365" i="12"/>
  <c r="BC365" i="12"/>
  <c r="BD365" i="12"/>
  <c r="BE365" i="12"/>
  <c r="BB365" i="12"/>
  <c r="BB261" i="12"/>
  <c r="BC261" i="12"/>
  <c r="BD261" i="12"/>
  <c r="AZ261" i="12"/>
  <c r="EM261" i="12"/>
  <c r="BE261" i="12"/>
  <c r="BD487" i="12"/>
  <c r="BC487" i="12"/>
  <c r="BE487" i="12"/>
  <c r="AZ487" i="12"/>
  <c r="EM487" i="12"/>
  <c r="BB487" i="12"/>
  <c r="BD384" i="12"/>
  <c r="BB384" i="12"/>
  <c r="AZ384" i="12"/>
  <c r="EM384" i="12"/>
  <c r="BE384" i="12"/>
  <c r="BC384" i="12"/>
  <c r="JD218" i="12"/>
  <c r="BC352" i="12"/>
  <c r="EM352" i="12"/>
  <c r="BD352" i="12"/>
  <c r="BE352" i="12"/>
  <c r="EM474" i="12"/>
  <c r="BE474" i="12"/>
  <c r="BB474" i="12"/>
  <c r="BD424" i="12"/>
  <c r="AZ424" i="12"/>
  <c r="EM424" i="12"/>
  <c r="EM464" i="12"/>
  <c r="BE464" i="12"/>
  <c r="AZ464" i="12"/>
  <c r="BC464" i="12"/>
  <c r="BB464" i="12"/>
  <c r="BD464" i="12"/>
  <c r="BD271" i="12"/>
  <c r="BC271" i="12"/>
  <c r="EM271" i="12"/>
  <c r="AZ271" i="12"/>
  <c r="BB271" i="12"/>
  <c r="BE271" i="12"/>
  <c r="BD241" i="12"/>
  <c r="BC241" i="12"/>
  <c r="AZ241" i="12"/>
  <c r="EM241" i="12"/>
  <c r="BE241" i="12"/>
  <c r="BB241" i="12"/>
  <c r="BD482" i="12"/>
  <c r="BE482" i="12"/>
  <c r="BC482" i="12"/>
  <c r="AZ482" i="12"/>
  <c r="EM482" i="12"/>
  <c r="BB482" i="12"/>
  <c r="JD123" i="12"/>
  <c r="JC123" i="12"/>
  <c r="JC168" i="12"/>
  <c r="JD168" i="12"/>
  <c r="BE411" i="12"/>
  <c r="BB411" i="12"/>
  <c r="AZ411" i="12"/>
  <c r="BC411" i="12"/>
  <c r="BD411" i="12"/>
  <c r="EM411" i="12"/>
  <c r="AZ475" i="12"/>
  <c r="BD475" i="12"/>
  <c r="BE475" i="12"/>
  <c r="BC475" i="12"/>
  <c r="EM475" i="12"/>
  <c r="BB475" i="12"/>
  <c r="BC311" i="12"/>
  <c r="BD311" i="12"/>
  <c r="EM311" i="12"/>
  <c r="BE311" i="12"/>
  <c r="BE289" i="12"/>
  <c r="EM289" i="12"/>
  <c r="BC289" i="12"/>
  <c r="AZ289" i="12"/>
  <c r="BD289" i="12"/>
  <c r="BB289" i="12"/>
  <c r="JC189" i="12"/>
  <c r="JD189" i="12"/>
  <c r="BE481" i="12"/>
  <c r="BC481" i="12"/>
  <c r="BD481" i="12"/>
  <c r="BB481" i="12"/>
  <c r="AZ481" i="12"/>
  <c r="EM481" i="12"/>
  <c r="JC235" i="12"/>
  <c r="JD235" i="12"/>
  <c r="JC188" i="12"/>
  <c r="JD188" i="12"/>
  <c r="BE431" i="12"/>
  <c r="BC431" i="12"/>
  <c r="AZ431" i="12"/>
  <c r="BD431" i="12"/>
  <c r="EM431" i="12"/>
  <c r="BB431" i="12"/>
  <c r="EM347" i="12"/>
  <c r="BB347" i="12"/>
  <c r="BE347" i="12"/>
  <c r="AZ288" i="12"/>
  <c r="EM288" i="12"/>
  <c r="JC255" i="12"/>
  <c r="JD255" i="12"/>
  <c r="BD281" i="12"/>
  <c r="BE281" i="12"/>
  <c r="AZ281" i="12"/>
  <c r="EM281" i="12"/>
  <c r="BC281" i="12"/>
  <c r="BB281" i="12"/>
  <c r="JD306" i="12"/>
  <c r="JC306" i="12"/>
  <c r="GU332" i="12"/>
  <c r="GV332" i="12" s="1"/>
  <c r="FT332" i="12"/>
  <c r="FS332" i="12"/>
  <c r="GU238" i="12"/>
  <c r="GV238" i="12" s="1"/>
  <c r="FT238" i="12"/>
  <c r="FS238" i="12"/>
  <c r="BB330" i="12"/>
  <c r="EM330" i="12"/>
  <c r="BE330" i="12"/>
  <c r="BD330" i="12"/>
  <c r="BD373" i="12"/>
  <c r="AZ373" i="12"/>
  <c r="BE373" i="12"/>
  <c r="EM373" i="12"/>
  <c r="JD372" i="12"/>
  <c r="EM439" i="12"/>
  <c r="BC439" i="12"/>
  <c r="BE439" i="12"/>
  <c r="BD439" i="12"/>
  <c r="BB439" i="12"/>
  <c r="AZ439" i="12"/>
  <c r="BB391" i="12"/>
  <c r="BE391" i="12"/>
  <c r="JD175" i="12"/>
  <c r="JC175" i="12"/>
  <c r="JC346" i="12"/>
  <c r="JD346" i="12"/>
  <c r="JC288" i="12"/>
  <c r="JD288" i="12"/>
  <c r="JC196" i="12"/>
  <c r="JD196" i="12"/>
  <c r="JD154" i="12"/>
  <c r="JC154" i="12"/>
  <c r="JC258" i="12"/>
  <c r="JD258" i="12"/>
  <c r="JD321" i="12"/>
  <c r="JC321" i="12"/>
  <c r="JC203" i="12"/>
  <c r="BD392" i="12"/>
  <c r="BB392" i="12"/>
  <c r="EM392" i="12"/>
  <c r="AZ392" i="12"/>
  <c r="BC392" i="12"/>
  <c r="BE392" i="12"/>
  <c r="JC206" i="12"/>
  <c r="JD206" i="12"/>
  <c r="BE359" i="12"/>
  <c r="EM359" i="12"/>
  <c r="BB359" i="12"/>
  <c r="BC359" i="12"/>
  <c r="AZ359" i="12"/>
  <c r="BD359" i="12"/>
  <c r="BC421" i="12"/>
  <c r="BB421" i="12"/>
  <c r="AZ421" i="12"/>
  <c r="BE421" i="12"/>
  <c r="EM421" i="12"/>
  <c r="BD421" i="12"/>
  <c r="EM480" i="12"/>
  <c r="BC480" i="12"/>
  <c r="BB350" i="12"/>
  <c r="BD350" i="12"/>
  <c r="BE350" i="12"/>
  <c r="BC350" i="12"/>
  <c r="EM350" i="12"/>
  <c r="AZ350" i="12"/>
  <c r="JC171" i="12"/>
  <c r="JD171" i="12"/>
  <c r="JC270" i="12"/>
  <c r="JD270" i="12"/>
  <c r="EM234" i="12"/>
  <c r="BC234" i="12"/>
  <c r="JD398" i="12"/>
  <c r="JC165" i="12"/>
  <c r="JD165" i="12"/>
  <c r="BD320" i="12"/>
  <c r="AZ320" i="12"/>
  <c r="BE320" i="12"/>
  <c r="EM320" i="12"/>
  <c r="BC320" i="12"/>
  <c r="BB320" i="12"/>
  <c r="JC383" i="12"/>
  <c r="JD383" i="12"/>
  <c r="BB415" i="12"/>
  <c r="BC495" i="12"/>
  <c r="BC294" i="12"/>
  <c r="JC310" i="12"/>
  <c r="BE333" i="12"/>
  <c r="JC330" i="12"/>
  <c r="BE357" i="12"/>
  <c r="JD313" i="12"/>
  <c r="AZ303" i="12"/>
  <c r="BB303" i="12"/>
  <c r="GU342" i="12"/>
  <c r="GV342" i="12" s="1"/>
  <c r="FT342" i="12"/>
  <c r="FS342" i="12"/>
  <c r="FS297" i="12"/>
  <c r="FT297" i="12"/>
  <c r="FS228" i="12"/>
  <c r="GU228" i="12"/>
  <c r="GV228" i="12" s="1"/>
  <c r="FT228" i="12"/>
  <c r="FS261" i="12"/>
  <c r="FT261" i="12"/>
  <c r="GU261" i="12"/>
  <c r="GV261" i="12" s="1"/>
  <c r="BD318" i="12"/>
  <c r="EM318" i="12"/>
  <c r="BE318" i="12"/>
  <c r="AZ318" i="12"/>
  <c r="BC318" i="12"/>
  <c r="BB318" i="12"/>
  <c r="JD125" i="12"/>
  <c r="JC125" i="12"/>
  <c r="BC231" i="12"/>
  <c r="AZ231" i="12"/>
  <c r="EM231" i="12"/>
  <c r="BB231" i="12"/>
  <c r="BB254" i="12"/>
  <c r="BC254" i="12"/>
  <c r="BE254" i="12"/>
  <c r="BD254" i="12"/>
  <c r="AZ254" i="12"/>
  <c r="EM254" i="12"/>
  <c r="JC296" i="12"/>
  <c r="JD296" i="12"/>
  <c r="BC468" i="12"/>
  <c r="EM468" i="12"/>
  <c r="BE468" i="12"/>
  <c r="AZ468" i="12"/>
  <c r="BD468" i="12"/>
  <c r="BB468" i="12"/>
  <c r="AZ378" i="12"/>
  <c r="BD378" i="12"/>
  <c r="BC378" i="12"/>
  <c r="EM378" i="12"/>
  <c r="BE378" i="12"/>
  <c r="BB378" i="12"/>
  <c r="AZ417" i="12"/>
  <c r="BC417" i="12"/>
  <c r="BB417" i="12"/>
  <c r="EM417" i="12"/>
  <c r="BE417" i="12"/>
  <c r="BD417" i="12"/>
  <c r="AZ343" i="12"/>
  <c r="BD343" i="12"/>
  <c r="BC343" i="12"/>
  <c r="BE343" i="12"/>
  <c r="EM343" i="12"/>
  <c r="BB343" i="12"/>
  <c r="JD304" i="12"/>
  <c r="JC304" i="12"/>
  <c r="EM215" i="12"/>
  <c r="BC215" i="12"/>
  <c r="BB215" i="12"/>
  <c r="BE215" i="12"/>
  <c r="BD215" i="12"/>
  <c r="AZ215" i="12"/>
  <c r="JC335" i="12"/>
  <c r="JD335" i="12"/>
  <c r="BB356" i="12"/>
  <c r="AZ356" i="12"/>
  <c r="BD356" i="12"/>
  <c r="BC356" i="12"/>
  <c r="EM356" i="12"/>
  <c r="BE356" i="12"/>
  <c r="BD476" i="12"/>
  <c r="AZ476" i="12"/>
  <c r="EM476" i="12"/>
  <c r="BE476" i="12"/>
  <c r="BB476" i="12"/>
  <c r="BC476" i="12"/>
  <c r="JD396" i="12"/>
  <c r="BC288" i="12"/>
  <c r="BB288" i="12"/>
  <c r="BD357" i="12"/>
  <c r="BE304" i="12"/>
  <c r="BD304" i="12"/>
  <c r="BC304" i="12"/>
  <c r="BB304" i="12"/>
  <c r="BD293" i="12"/>
  <c r="BB293" i="12"/>
  <c r="BE293" i="12"/>
  <c r="EM293" i="12"/>
  <c r="AZ293" i="12"/>
  <c r="BC293" i="12"/>
  <c r="AZ465" i="12"/>
  <c r="BD465" i="12"/>
  <c r="JD289" i="12"/>
  <c r="BC246" i="12"/>
  <c r="BB246" i="12"/>
  <c r="EM246" i="12"/>
  <c r="BE246" i="12"/>
  <c r="AZ246" i="12"/>
  <c r="BD246" i="12"/>
  <c r="BE471" i="12"/>
  <c r="EM471" i="12"/>
  <c r="BD471" i="12"/>
  <c r="BB471" i="12"/>
  <c r="AZ471" i="12"/>
  <c r="BC471" i="12"/>
  <c r="BD390" i="12"/>
  <c r="BB390" i="12"/>
  <c r="BE390" i="12"/>
  <c r="BC390" i="12"/>
  <c r="EM390" i="12"/>
  <c r="AZ390" i="12"/>
  <c r="FS386" i="12"/>
  <c r="FT386" i="12"/>
  <c r="GU386" i="12"/>
  <c r="GV386" i="12" s="1"/>
  <c r="FT295" i="12"/>
  <c r="FS295" i="12"/>
  <c r="GU395" i="12"/>
  <c r="GV395" i="12" s="1"/>
  <c r="FS395" i="12"/>
  <c r="FU395" i="12" s="1"/>
  <c r="GR395" i="12" s="1"/>
  <c r="JD329" i="12"/>
  <c r="JC329" i="12"/>
  <c r="BE290" i="12"/>
  <c r="BC290" i="12"/>
  <c r="BD290" i="12"/>
  <c r="BB290" i="12"/>
  <c r="AZ290" i="12"/>
  <c r="EM290" i="12"/>
  <c r="JC273" i="12"/>
  <c r="JC286" i="12"/>
  <c r="JD286" i="12"/>
  <c r="JC151" i="12"/>
  <c r="JD151" i="12"/>
  <c r="BD494" i="12"/>
  <c r="EM494" i="12"/>
  <c r="AZ494" i="12"/>
  <c r="BC494" i="12"/>
  <c r="BC473" i="12"/>
  <c r="BD473" i="12"/>
  <c r="AZ473" i="12"/>
  <c r="BD455" i="12"/>
  <c r="BC455" i="12"/>
  <c r="BE455" i="12"/>
  <c r="AZ455" i="12"/>
  <c r="EM455" i="12"/>
  <c r="BB455" i="12"/>
  <c r="EM314" i="12"/>
  <c r="BE314" i="12"/>
  <c r="BD314" i="12"/>
  <c r="BB314" i="12"/>
  <c r="AZ314" i="12"/>
  <c r="BC314" i="12"/>
  <c r="BB469" i="12"/>
  <c r="AZ469" i="12"/>
  <c r="BD469" i="12"/>
  <c r="BE469" i="12"/>
  <c r="BC469" i="12"/>
  <c r="EM469" i="12"/>
  <c r="BB276" i="12"/>
  <c r="BC276" i="12"/>
  <c r="EM276" i="12"/>
  <c r="BD276" i="12"/>
  <c r="AZ276" i="12"/>
  <c r="BE276" i="12"/>
  <c r="AZ436" i="12"/>
  <c r="BD436" i="12"/>
  <c r="BB436" i="12"/>
  <c r="BC436" i="12"/>
  <c r="JC150" i="12"/>
  <c r="JD150" i="12"/>
  <c r="BE312" i="12"/>
  <c r="BB312" i="12"/>
  <c r="AZ312" i="12"/>
  <c r="BB451" i="12"/>
  <c r="EM451" i="12"/>
  <c r="BE451" i="12"/>
  <c r="AZ451" i="12"/>
  <c r="BC451" i="12"/>
  <c r="BD451" i="12"/>
  <c r="BD387" i="12"/>
  <c r="BC387" i="12"/>
  <c r="EM387" i="12"/>
  <c r="BB387" i="12"/>
  <c r="EM354" i="12"/>
  <c r="BB354" i="12"/>
  <c r="BE354" i="12"/>
  <c r="BD354" i="12"/>
  <c r="AZ354" i="12"/>
  <c r="BC354" i="12"/>
  <c r="JC384" i="12"/>
  <c r="BE260" i="12"/>
  <c r="BB260" i="12"/>
  <c r="AZ260" i="12"/>
  <c r="JC337" i="12"/>
  <c r="JD337" i="12"/>
  <c r="JC266" i="12"/>
  <c r="JD266" i="12"/>
  <c r="BD420" i="12"/>
  <c r="BC420" i="12"/>
  <c r="AZ420" i="12"/>
  <c r="BB420" i="12"/>
  <c r="EM470" i="12"/>
  <c r="BC470" i="12"/>
  <c r="BB470" i="12"/>
  <c r="BE470" i="12"/>
  <c r="BE486" i="12"/>
  <c r="EM486" i="12"/>
  <c r="JD322" i="12"/>
  <c r="JC322" i="12"/>
  <c r="AL181" i="12"/>
  <c r="AL186" i="12" s="1"/>
  <c r="FU325" i="12"/>
  <c r="GR325" i="12" s="1"/>
  <c r="FU229" i="12"/>
  <c r="GR229" i="12" s="1"/>
  <c r="FU394" i="12"/>
  <c r="GR394" i="12" s="1"/>
  <c r="FU226" i="12"/>
  <c r="GR226" i="12" s="1"/>
  <c r="FU275" i="12"/>
  <c r="GR275" i="12" s="1"/>
  <c r="FU230" i="12"/>
  <c r="GR230" i="12" s="1"/>
  <c r="FU343" i="12"/>
  <c r="GR343" i="12" s="1"/>
  <c r="FU392" i="12"/>
  <c r="GR392" i="12" s="1"/>
  <c r="FU350" i="12"/>
  <c r="GR350" i="12" s="1"/>
  <c r="FU329" i="12"/>
  <c r="GR329" i="12" s="1"/>
  <c r="AL188" i="12"/>
  <c r="AL187" i="12"/>
  <c r="AL190" i="12" s="1"/>
  <c r="AL191" i="12" s="1"/>
  <c r="FV24" i="12"/>
  <c r="R24" i="12"/>
  <c r="CD24" i="12"/>
  <c r="CK24" i="12"/>
  <c r="Y29" i="12"/>
  <c r="Y30" i="12" s="1"/>
  <c r="BG24" i="12"/>
  <c r="FM24" i="12"/>
  <c r="FN24" i="12" s="1"/>
  <c r="Z25" i="12"/>
  <c r="II24" i="12"/>
  <c r="FQ24" i="12"/>
  <c r="FG24" i="12"/>
  <c r="GQ24" i="12"/>
  <c r="GU24" i="12" s="1"/>
  <c r="GV24" i="12" s="1"/>
  <c r="FR24" i="12"/>
  <c r="IJ20" i="12"/>
  <c r="IK20" i="12" s="1"/>
  <c r="IL20" i="12" s="1"/>
  <c r="FN19" i="12"/>
  <c r="AS23" i="12"/>
  <c r="AS24" i="12" s="1"/>
  <c r="AQ23" i="12"/>
  <c r="AR21" i="12"/>
  <c r="AR22" i="12" s="1"/>
  <c r="GV19" i="12"/>
  <c r="IK19" i="12"/>
  <c r="L12" i="5"/>
  <c r="L11" i="5"/>
  <c r="JC248" i="12" l="1"/>
  <c r="JD237" i="12"/>
  <c r="JD167" i="12"/>
  <c r="JC167" i="12"/>
  <c r="BE277" i="12"/>
  <c r="EM277" i="12"/>
  <c r="BB277" i="12"/>
  <c r="BD277" i="12"/>
  <c r="BC277" i="12"/>
  <c r="AZ277" i="12"/>
  <c r="BE329" i="12"/>
  <c r="BB329" i="12"/>
  <c r="BC329" i="12"/>
  <c r="EM329" i="12"/>
  <c r="BD329" i="12"/>
  <c r="AZ329" i="12"/>
  <c r="BE323" i="12"/>
  <c r="BD323" i="12"/>
  <c r="AZ323" i="12"/>
  <c r="BC323" i="12"/>
  <c r="EM323" i="12"/>
  <c r="BB323" i="12"/>
  <c r="BC380" i="12"/>
  <c r="BB380" i="12"/>
  <c r="AZ380" i="12"/>
  <c r="BD380" i="12"/>
  <c r="AZ447" i="12"/>
  <c r="BB447" i="12"/>
  <c r="BE447" i="12"/>
  <c r="EM447" i="12"/>
  <c r="BD447" i="12"/>
  <c r="BC447" i="12"/>
  <c r="JC241" i="12"/>
  <c r="JD241" i="12"/>
  <c r="BD321" i="12"/>
  <c r="EM321" i="12"/>
  <c r="BB321" i="12"/>
  <c r="BC321" i="12"/>
  <c r="BE321" i="12"/>
  <c r="AZ321" i="12"/>
  <c r="BB234" i="12"/>
  <c r="AZ234" i="12"/>
  <c r="BD234" i="12"/>
  <c r="BE234" i="12"/>
  <c r="EM300" i="12"/>
  <c r="BE300" i="12"/>
  <c r="BC300" i="12"/>
  <c r="AZ300" i="12"/>
  <c r="BB300" i="12"/>
  <c r="BD300" i="12"/>
  <c r="JC328" i="12"/>
  <c r="JD328" i="12"/>
  <c r="JC164" i="12"/>
  <c r="JD164" i="12"/>
  <c r="JC254" i="12"/>
  <c r="JD254" i="12"/>
  <c r="BB235" i="12"/>
  <c r="BD235" i="12"/>
  <c r="AZ235" i="12"/>
  <c r="BE235" i="12"/>
  <c r="BC381" i="12"/>
  <c r="BD381" i="12"/>
  <c r="BE381" i="12"/>
  <c r="AZ381" i="12"/>
  <c r="BB381" i="12"/>
  <c r="EM381" i="12"/>
  <c r="BC305" i="12"/>
  <c r="AZ305" i="12"/>
  <c r="BD305" i="12"/>
  <c r="BE305" i="12"/>
  <c r="BB305" i="12"/>
  <c r="EM305" i="12"/>
  <c r="BE313" i="12"/>
  <c r="EM313" i="12"/>
  <c r="BB313" i="12"/>
  <c r="BC443" i="12"/>
  <c r="AZ443" i="12"/>
  <c r="BD250" i="12"/>
  <c r="BE250" i="12"/>
  <c r="EM250" i="12"/>
  <c r="BC250" i="12"/>
  <c r="AZ250" i="12"/>
  <c r="BB250" i="12"/>
  <c r="FS360" i="12"/>
  <c r="FU360" i="12" s="1"/>
  <c r="GR360" i="12" s="1"/>
  <c r="GU360" i="12"/>
  <c r="GV360" i="12" s="1"/>
  <c r="GU296" i="12"/>
  <c r="GV296" i="12" s="1"/>
  <c r="FS296" i="12"/>
  <c r="FU296" i="12" s="1"/>
  <c r="GR296" i="12" s="1"/>
  <c r="FT296" i="12"/>
  <c r="FS317" i="12"/>
  <c r="FT317" i="12"/>
  <c r="GU317" i="12"/>
  <c r="GV317" i="12" s="1"/>
  <c r="GU273" i="12"/>
  <c r="GV273" i="12" s="1"/>
  <c r="FT273" i="12"/>
  <c r="FS273" i="12"/>
  <c r="FU273" i="12" s="1"/>
  <c r="GR273" i="12" s="1"/>
  <c r="FT396" i="12"/>
  <c r="GU396" i="12"/>
  <c r="GV396" i="12" s="1"/>
  <c r="FS396" i="12"/>
  <c r="GU258" i="12"/>
  <c r="GV258" i="12" s="1"/>
  <c r="FT258" i="12"/>
  <c r="FS258" i="12"/>
  <c r="FU258" i="12" s="1"/>
  <c r="GR258" i="12" s="1"/>
  <c r="FT316" i="12"/>
  <c r="FS316" i="12"/>
  <c r="FU316" i="12" s="1"/>
  <c r="GR316" i="12" s="1"/>
  <c r="GU316" i="12"/>
  <c r="GV316" i="12" s="1"/>
  <c r="GU334" i="12"/>
  <c r="GV334" i="12" s="1"/>
  <c r="FT334" i="12"/>
  <c r="FS334" i="12"/>
  <c r="FU334" i="12" s="1"/>
  <c r="GR334" i="12" s="1"/>
  <c r="FS302" i="12"/>
  <c r="GU302" i="12"/>
  <c r="GV302" i="12" s="1"/>
  <c r="FT302" i="12"/>
  <c r="FT391" i="12"/>
  <c r="FS391" i="12"/>
  <c r="GU391" i="12"/>
  <c r="GV391" i="12" s="1"/>
  <c r="FT233" i="12"/>
  <c r="FS233" i="12"/>
  <c r="FU233" i="12" s="1"/>
  <c r="GR233" i="12" s="1"/>
  <c r="GU233" i="12"/>
  <c r="GV233" i="12" s="1"/>
  <c r="FS267" i="12"/>
  <c r="GU267" i="12"/>
  <c r="GV267" i="12" s="1"/>
  <c r="FT267" i="12"/>
  <c r="FT265" i="12"/>
  <c r="GU265" i="12"/>
  <c r="GV265" i="12" s="1"/>
  <c r="FS265" i="12"/>
  <c r="FT239" i="12"/>
  <c r="GU239" i="12"/>
  <c r="GV239" i="12" s="1"/>
  <c r="FS239" i="12"/>
  <c r="FU239" i="12" s="1"/>
  <c r="GR239" i="12" s="1"/>
  <c r="FN11" i="12"/>
  <c r="FO11" i="12"/>
  <c r="JC262" i="12"/>
  <c r="BB396" i="12"/>
  <c r="AZ396" i="12"/>
  <c r="BD396" i="12"/>
  <c r="BE396" i="12"/>
  <c r="EM396" i="12"/>
  <c r="BC396" i="12"/>
  <c r="JD357" i="12"/>
  <c r="JC284" i="12"/>
  <c r="JD284" i="12"/>
  <c r="BD341" i="12"/>
  <c r="AZ341" i="12"/>
  <c r="BE341" i="12"/>
  <c r="EM341" i="12"/>
  <c r="BB341" i="12"/>
  <c r="BC341" i="12"/>
  <c r="BE389" i="12"/>
  <c r="AZ389" i="12"/>
  <c r="BB389" i="12"/>
  <c r="BC389" i="12"/>
  <c r="BD389" i="12"/>
  <c r="EM389" i="12"/>
  <c r="BD325" i="12"/>
  <c r="BB325" i="12"/>
  <c r="EM325" i="12"/>
  <c r="BC325" i="12"/>
  <c r="AZ325" i="12"/>
  <c r="BE325" i="12"/>
  <c r="BD453" i="12"/>
  <c r="BB453" i="12"/>
  <c r="AZ453" i="12"/>
  <c r="BC453" i="12"/>
  <c r="BE453" i="12"/>
  <c r="EM453" i="12"/>
  <c r="JD239" i="12"/>
  <c r="JC239" i="12"/>
  <c r="BE205" i="12"/>
  <c r="BD205" i="12"/>
  <c r="BD490" i="12"/>
  <c r="EM490" i="12"/>
  <c r="BC490" i="12"/>
  <c r="AZ490" i="12"/>
  <c r="JD229" i="12"/>
  <c r="JC229" i="12"/>
  <c r="JD172" i="12"/>
  <c r="JC172" i="12"/>
  <c r="EM440" i="12"/>
  <c r="AZ440" i="12"/>
  <c r="BE440" i="12"/>
  <c r="BB440" i="12"/>
  <c r="BD440" i="12"/>
  <c r="BC440" i="12"/>
  <c r="BD244" i="12"/>
  <c r="BB244" i="12"/>
  <c r="BE244" i="12"/>
  <c r="EM244" i="12"/>
  <c r="BC244" i="12"/>
  <c r="AZ244" i="12"/>
  <c r="EM245" i="12"/>
  <c r="AZ245" i="12"/>
  <c r="BC245" i="12"/>
  <c r="BB245" i="12"/>
  <c r="BE245" i="12"/>
  <c r="BD245" i="12"/>
  <c r="JC287" i="12"/>
  <c r="JD287" i="12"/>
  <c r="BD306" i="12"/>
  <c r="BC306" i="12"/>
  <c r="EM306" i="12"/>
  <c r="AZ306" i="12"/>
  <c r="BE306" i="12"/>
  <c r="BB306" i="12"/>
  <c r="BE226" i="12"/>
  <c r="BB226" i="12"/>
  <c r="EM226" i="12"/>
  <c r="BD226" i="12"/>
  <c r="AZ226" i="12"/>
  <c r="BC226" i="12"/>
  <c r="JC146" i="12"/>
  <c r="JD146" i="12"/>
  <c r="JC211" i="12"/>
  <c r="JD211" i="12"/>
  <c r="AZ311" i="12"/>
  <c r="BB311" i="12"/>
  <c r="BC310" i="12"/>
  <c r="EM310" i="12"/>
  <c r="BD310" i="12"/>
  <c r="BB310" i="12"/>
  <c r="BE310" i="12"/>
  <c r="AZ310" i="12"/>
  <c r="BB342" i="12"/>
  <c r="EM342" i="12"/>
  <c r="BE342" i="12"/>
  <c r="BC342" i="12"/>
  <c r="BD342" i="12"/>
  <c r="AZ342" i="12"/>
  <c r="JC153" i="12"/>
  <c r="JD153" i="12"/>
  <c r="BE317" i="12"/>
  <c r="BC317" i="12"/>
  <c r="BB317" i="12"/>
  <c r="EM317" i="12"/>
  <c r="EM322" i="12"/>
  <c r="BE322" i="12"/>
  <c r="BC322" i="12"/>
  <c r="AZ322" i="12"/>
  <c r="BD322" i="12"/>
  <c r="BB322" i="12"/>
  <c r="FT305" i="12"/>
  <c r="FU305" i="12" s="1"/>
  <c r="GR305" i="12" s="1"/>
  <c r="GU305" i="12"/>
  <c r="GV305" i="12" s="1"/>
  <c r="GU344" i="12"/>
  <c r="GV344" i="12" s="1"/>
  <c r="FS344" i="12"/>
  <c r="FU344" i="12" s="1"/>
  <c r="GR344" i="12" s="1"/>
  <c r="FT344" i="12"/>
  <c r="FT307" i="12"/>
  <c r="FS307" i="12"/>
  <c r="GU369" i="12"/>
  <c r="GV369" i="12" s="1"/>
  <c r="FS369" i="12"/>
  <c r="FT369" i="12"/>
  <c r="GU336" i="12"/>
  <c r="GV336" i="12" s="1"/>
  <c r="FT336" i="12"/>
  <c r="FS336" i="12"/>
  <c r="FN16" i="12"/>
  <c r="FO16" i="12"/>
  <c r="FT263" i="12"/>
  <c r="FS263" i="12"/>
  <c r="FU263" i="12" s="1"/>
  <c r="GR263" i="12" s="1"/>
  <c r="GU263" i="12"/>
  <c r="GV263" i="12" s="1"/>
  <c r="GU270" i="12"/>
  <c r="GV270" i="12" s="1"/>
  <c r="FT270" i="12"/>
  <c r="FS270" i="12"/>
  <c r="FS266" i="12"/>
  <c r="FU266" i="12" s="1"/>
  <c r="GR266" i="12" s="1"/>
  <c r="FT266" i="12"/>
  <c r="GU266" i="12"/>
  <c r="GV266" i="12" s="1"/>
  <c r="FS298" i="12"/>
  <c r="FT298" i="12"/>
  <c r="GU298" i="12"/>
  <c r="GV298" i="12" s="1"/>
  <c r="FS398" i="12"/>
  <c r="FU398" i="12" s="1"/>
  <c r="GR398" i="12" s="1"/>
  <c r="GU398" i="12"/>
  <c r="GV398" i="12" s="1"/>
  <c r="FT398" i="12"/>
  <c r="GU256" i="12"/>
  <c r="GV256" i="12" s="1"/>
  <c r="FS256" i="12"/>
  <c r="FT256" i="12"/>
  <c r="GU286" i="12"/>
  <c r="GV286" i="12" s="1"/>
  <c r="FT286" i="12"/>
  <c r="FS286" i="12"/>
  <c r="FU286" i="12" s="1"/>
  <c r="GR286" i="12" s="1"/>
  <c r="BD264" i="12"/>
  <c r="BB264" i="12"/>
  <c r="BC264" i="12"/>
  <c r="BE264" i="12"/>
  <c r="AZ264" i="12"/>
  <c r="EM264" i="12"/>
  <c r="AZ480" i="12"/>
  <c r="BB480" i="12"/>
  <c r="BE480" i="12"/>
  <c r="BD480" i="12"/>
  <c r="JD397" i="12"/>
  <c r="JC397" i="12"/>
  <c r="BC324" i="12"/>
  <c r="BE324" i="12"/>
  <c r="AZ324" i="12"/>
  <c r="BD324" i="12"/>
  <c r="EM324" i="12"/>
  <c r="BB324" i="12"/>
  <c r="AZ339" i="12"/>
  <c r="BD339" i="12"/>
  <c r="EM339" i="12"/>
  <c r="BB339" i="12"/>
  <c r="BC339" i="12"/>
  <c r="BE339" i="12"/>
  <c r="EM312" i="12"/>
  <c r="BD312" i="12"/>
  <c r="BC312" i="12"/>
  <c r="EM423" i="12"/>
  <c r="BB423" i="12"/>
  <c r="BD423" i="12"/>
  <c r="BC423" i="12"/>
  <c r="AZ423" i="12"/>
  <c r="BE423" i="12"/>
  <c r="BE224" i="12"/>
  <c r="BB224" i="12"/>
  <c r="BD224" i="12"/>
  <c r="AZ224" i="12"/>
  <c r="EM224" i="12"/>
  <c r="BC224" i="12"/>
  <c r="AZ205" i="12"/>
  <c r="AZ345" i="12"/>
  <c r="BE345" i="12"/>
  <c r="JD275" i="12"/>
  <c r="EM265" i="12"/>
  <c r="BB265" i="12"/>
  <c r="JD261" i="12"/>
  <c r="JC261" i="12"/>
  <c r="AZ391" i="12"/>
  <c r="BD391" i="12"/>
  <c r="EM391" i="12"/>
  <c r="BC391" i="12"/>
  <c r="JD170" i="12"/>
  <c r="JC170" i="12"/>
  <c r="JD198" i="12"/>
  <c r="JC198" i="12"/>
  <c r="BB486" i="12"/>
  <c r="BC486" i="12"/>
  <c r="BD486" i="12"/>
  <c r="AZ486" i="12"/>
  <c r="JD152" i="12"/>
  <c r="JC152" i="12"/>
  <c r="JC315" i="12"/>
  <c r="JD315" i="12"/>
  <c r="JD127" i="12"/>
  <c r="JC127" i="12"/>
  <c r="JD364" i="12"/>
  <c r="JC364" i="12"/>
  <c r="JD113" i="12"/>
  <c r="JC113" i="12"/>
  <c r="EM408" i="12"/>
  <c r="BC408" i="12"/>
  <c r="BD408" i="12"/>
  <c r="AZ408" i="12"/>
  <c r="BE408" i="12"/>
  <c r="BB408" i="12"/>
  <c r="JC174" i="12"/>
  <c r="JD174" i="12"/>
  <c r="BC236" i="12"/>
  <c r="BE236" i="12"/>
  <c r="BD236" i="12"/>
  <c r="BB236" i="12"/>
  <c r="AZ236" i="12"/>
  <c r="EM236" i="12"/>
  <c r="JC149" i="12"/>
  <c r="JD149" i="12"/>
  <c r="JC226" i="12"/>
  <c r="JD226" i="12"/>
  <c r="JD299" i="12"/>
  <c r="JC299" i="12"/>
  <c r="JD252" i="12"/>
  <c r="JC252" i="12"/>
  <c r="JD159" i="12"/>
  <c r="JC159" i="12"/>
  <c r="EM315" i="12"/>
  <c r="AZ315" i="12"/>
  <c r="BC315" i="12"/>
  <c r="BE315" i="12"/>
  <c r="BB315" i="12"/>
  <c r="BD315" i="12"/>
  <c r="AZ386" i="12"/>
  <c r="BD386" i="12"/>
  <c r="JD144" i="12"/>
  <c r="JC144" i="12"/>
  <c r="EM489" i="12"/>
  <c r="BB489" i="12"/>
  <c r="AZ489" i="12"/>
  <c r="BC489" i="12"/>
  <c r="BD489" i="12"/>
  <c r="BE489" i="12"/>
  <c r="GU374" i="12"/>
  <c r="GV374" i="12" s="1"/>
  <c r="FS374" i="12"/>
  <c r="FU374" i="12" s="1"/>
  <c r="GR374" i="12" s="1"/>
  <c r="FT374" i="12"/>
  <c r="FO17" i="12"/>
  <c r="FN17" i="12"/>
  <c r="GU254" i="12"/>
  <c r="GV254" i="12" s="1"/>
  <c r="FT254" i="12"/>
  <c r="FS254" i="12"/>
  <c r="FU254" i="12" s="1"/>
  <c r="GR254" i="12" s="1"/>
  <c r="FS351" i="12"/>
  <c r="FT351" i="12"/>
  <c r="FU351" i="12" s="1"/>
  <c r="GR351" i="12" s="1"/>
  <c r="GU351" i="12"/>
  <c r="GV351" i="12" s="1"/>
  <c r="GU346" i="12"/>
  <c r="GV346" i="12" s="1"/>
  <c r="FT346" i="12"/>
  <c r="FS346" i="12"/>
  <c r="FU346" i="12" s="1"/>
  <c r="GR346" i="12" s="1"/>
  <c r="GU308" i="12"/>
  <c r="GV308" i="12" s="1"/>
  <c r="FS308" i="12"/>
  <c r="FU308" i="12" s="1"/>
  <c r="GR308" i="12" s="1"/>
  <c r="FT308" i="12"/>
  <c r="GU366" i="12"/>
  <c r="GV366" i="12" s="1"/>
  <c r="FS366" i="12"/>
  <c r="FU366" i="12" s="1"/>
  <c r="GR366" i="12" s="1"/>
  <c r="FT366" i="12"/>
  <c r="FS260" i="12"/>
  <c r="FT260" i="12"/>
  <c r="GU260" i="12"/>
  <c r="GV260" i="12" s="1"/>
  <c r="FT280" i="12"/>
  <c r="GU280" i="12"/>
  <c r="GV280" i="12" s="1"/>
  <c r="FS280" i="12"/>
  <c r="FU280" i="12" s="1"/>
  <c r="GR280" i="12" s="1"/>
  <c r="FS250" i="12"/>
  <c r="FU250" i="12" s="1"/>
  <c r="GR250" i="12" s="1"/>
  <c r="GU250" i="12"/>
  <c r="GV250" i="12" s="1"/>
  <c r="FT250" i="12"/>
  <c r="FS388" i="12"/>
  <c r="FT388" i="12"/>
  <c r="GU388" i="12"/>
  <c r="GV388" i="12" s="1"/>
  <c r="GU276" i="12"/>
  <c r="GV276" i="12" s="1"/>
  <c r="FT276" i="12"/>
  <c r="FU276" i="12" s="1"/>
  <c r="GR276" i="12" s="1"/>
  <c r="FT313" i="12"/>
  <c r="FS313" i="12"/>
  <c r="GU313" i="12"/>
  <c r="GV313" i="12" s="1"/>
  <c r="BC373" i="12"/>
  <c r="BB373" i="12"/>
  <c r="BB340" i="12"/>
  <c r="AZ340" i="12"/>
  <c r="BD340" i="12"/>
  <c r="EM340" i="12"/>
  <c r="BC340" i="12"/>
  <c r="BE340" i="12"/>
  <c r="JC380" i="12"/>
  <c r="JD380" i="12"/>
  <c r="BE263" i="12"/>
  <c r="AZ263" i="12"/>
  <c r="BD263" i="12"/>
  <c r="BB263" i="12"/>
  <c r="EM263" i="12"/>
  <c r="BC263" i="12"/>
  <c r="EM412" i="12"/>
  <c r="BE412" i="12"/>
  <c r="BB412" i="12"/>
  <c r="BC412" i="12"/>
  <c r="BD412" i="12"/>
  <c r="AZ412" i="12"/>
  <c r="JD308" i="12"/>
  <c r="JC308" i="12"/>
  <c r="JC208" i="12"/>
  <c r="JD208" i="12"/>
  <c r="BB345" i="12"/>
  <c r="EM233" i="12"/>
  <c r="BE233" i="12"/>
  <c r="BD233" i="12"/>
  <c r="BC462" i="12"/>
  <c r="AZ462" i="12"/>
  <c r="BB462" i="12"/>
  <c r="BE462" i="12"/>
  <c r="BD462" i="12"/>
  <c r="EM462" i="12"/>
  <c r="BE466" i="12"/>
  <c r="BC466" i="12"/>
  <c r="BB466" i="12"/>
  <c r="EM466" i="12"/>
  <c r="AZ466" i="12"/>
  <c r="BD466" i="12"/>
  <c r="BD368" i="12"/>
  <c r="AZ368" i="12"/>
  <c r="BC368" i="12"/>
  <c r="BB368" i="12"/>
  <c r="EM368" i="12"/>
  <c r="BE368" i="12"/>
  <c r="AZ204" i="12"/>
  <c r="BC204" i="12"/>
  <c r="BB204" i="12"/>
  <c r="BE435" i="12"/>
  <c r="BC435" i="12"/>
  <c r="BD435" i="12"/>
  <c r="AZ435" i="12"/>
  <c r="BB435" i="12"/>
  <c r="EM435" i="12"/>
  <c r="AZ221" i="12"/>
  <c r="BB221" i="12"/>
  <c r="BC221" i="12"/>
  <c r="EM221" i="12"/>
  <c r="BE221" i="12"/>
  <c r="BD221" i="12"/>
  <c r="JC234" i="12"/>
  <c r="JD234" i="12"/>
  <c r="AZ387" i="12"/>
  <c r="BE387" i="12"/>
  <c r="EM328" i="12"/>
  <c r="BE328" i="12"/>
  <c r="AZ328" i="12"/>
  <c r="BC328" i="12"/>
  <c r="BD328" i="12"/>
  <c r="BB328" i="12"/>
  <c r="AZ404" i="12"/>
  <c r="BB404" i="12"/>
  <c r="EM404" i="12"/>
  <c r="BC404" i="12"/>
  <c r="BD404" i="12"/>
  <c r="BE404" i="12"/>
  <c r="BB352" i="12"/>
  <c r="AZ352" i="12"/>
  <c r="EM374" i="12"/>
  <c r="BB374" i="12"/>
  <c r="JD155" i="12"/>
  <c r="JC155" i="12"/>
  <c r="BB239" i="12"/>
  <c r="BD239" i="12"/>
  <c r="BE239" i="12"/>
  <c r="AZ239" i="12"/>
  <c r="BC239" i="12"/>
  <c r="EM239" i="12"/>
  <c r="BD409" i="12"/>
  <c r="EM409" i="12"/>
  <c r="AZ409" i="12"/>
  <c r="BE409" i="12"/>
  <c r="BC409" i="12"/>
  <c r="BB409" i="12"/>
  <c r="JD232" i="12"/>
  <c r="JC232" i="12"/>
  <c r="JD350" i="12"/>
  <c r="JC350" i="12"/>
  <c r="BE422" i="12"/>
  <c r="EM422" i="12"/>
  <c r="BB422" i="12"/>
  <c r="AZ422" i="12"/>
  <c r="BD422" i="12"/>
  <c r="BC422" i="12"/>
  <c r="BC298" i="12"/>
  <c r="BE298" i="12"/>
  <c r="BB298" i="12"/>
  <c r="BD298" i="12"/>
  <c r="AZ298" i="12"/>
  <c r="EM298" i="12"/>
  <c r="JC217" i="12"/>
  <c r="JD298" i="12"/>
  <c r="JC298" i="12"/>
  <c r="FT339" i="12"/>
  <c r="FS339" i="12"/>
  <c r="GU339" i="12"/>
  <c r="GV339" i="12" s="1"/>
  <c r="FS377" i="12"/>
  <c r="GU377" i="12"/>
  <c r="GV377" i="12" s="1"/>
  <c r="FT377" i="12"/>
  <c r="FS349" i="12"/>
  <c r="FU349" i="12" s="1"/>
  <c r="GR349" i="12" s="1"/>
  <c r="FT349" i="12"/>
  <c r="GU349" i="12"/>
  <c r="GV349" i="12" s="1"/>
  <c r="GU309" i="12"/>
  <c r="GV309" i="12" s="1"/>
  <c r="FT309" i="12"/>
  <c r="FS309" i="12"/>
  <c r="GU221" i="12"/>
  <c r="GV221" i="12" s="1"/>
  <c r="FS221" i="12"/>
  <c r="FT221" i="12"/>
  <c r="GU340" i="12"/>
  <c r="GV340" i="12" s="1"/>
  <c r="FT340" i="12"/>
  <c r="FS340" i="12"/>
  <c r="GU389" i="12"/>
  <c r="GV389" i="12" s="1"/>
  <c r="FT389" i="12"/>
  <c r="FS389" i="12"/>
  <c r="FU389" i="12" s="1"/>
  <c r="GR389" i="12" s="1"/>
  <c r="FT283" i="12"/>
  <c r="FS283" i="12"/>
  <c r="FU283" i="12" s="1"/>
  <c r="GR283" i="12" s="1"/>
  <c r="GU283" i="12"/>
  <c r="GV283" i="12" s="1"/>
  <c r="FT328" i="12"/>
  <c r="GU328" i="12"/>
  <c r="GV328" i="12" s="1"/>
  <c r="FS328" i="12"/>
  <c r="FT365" i="12"/>
  <c r="GU365" i="12"/>
  <c r="GV365" i="12" s="1"/>
  <c r="FS365" i="12"/>
  <c r="FU365" i="12" s="1"/>
  <c r="GR365" i="12" s="1"/>
  <c r="FN5" i="12"/>
  <c r="FO5" i="12"/>
  <c r="GU249" i="12"/>
  <c r="GV249" i="12" s="1"/>
  <c r="FS249" i="12"/>
  <c r="FU249" i="12" s="1"/>
  <c r="GR249" i="12" s="1"/>
  <c r="FT249" i="12"/>
  <c r="FT253" i="12"/>
  <c r="FS253" i="12"/>
  <c r="FU253" i="12" s="1"/>
  <c r="GR253" i="12" s="1"/>
  <c r="GU253" i="12"/>
  <c r="GV253" i="12" s="1"/>
  <c r="AZ385" i="12"/>
  <c r="EM385" i="12"/>
  <c r="BE385" i="12"/>
  <c r="BC385" i="12"/>
  <c r="BD385" i="12"/>
  <c r="BB385" i="12"/>
  <c r="JD219" i="12"/>
  <c r="JC219" i="12"/>
  <c r="JD204" i="12"/>
  <c r="JC204" i="12"/>
  <c r="AZ301" i="12"/>
  <c r="BD301" i="12"/>
  <c r="BE301" i="12"/>
  <c r="BC301" i="12"/>
  <c r="EM301" i="12"/>
  <c r="BB301" i="12"/>
  <c r="JC119" i="12"/>
  <c r="JD119" i="12"/>
  <c r="JD336" i="12"/>
  <c r="JC336" i="12"/>
  <c r="EM260" i="12"/>
  <c r="BD260" i="12"/>
  <c r="BC260" i="12"/>
  <c r="JC231" i="12"/>
  <c r="JD231" i="12"/>
  <c r="AZ347" i="12"/>
  <c r="BD258" i="12"/>
  <c r="BC205" i="12"/>
  <c r="BD204" i="12"/>
  <c r="BD463" i="12"/>
  <c r="AZ426" i="12"/>
  <c r="JD362" i="12"/>
  <c r="BD345" i="12"/>
  <c r="BC243" i="12"/>
  <c r="EM463" i="12"/>
  <c r="BD472" i="12"/>
  <c r="BE400" i="12"/>
  <c r="JC250" i="12"/>
  <c r="BB445" i="12"/>
  <c r="BD332" i="12"/>
  <c r="BC407" i="12"/>
  <c r="EM275" i="12"/>
  <c r="BB494" i="12"/>
  <c r="BD445" i="12"/>
  <c r="BE473" i="12"/>
  <c r="BD274" i="12"/>
  <c r="JD160" i="12"/>
  <c r="BC400" i="12"/>
  <c r="BE398" i="12"/>
  <c r="BB398" i="12"/>
  <c r="BC398" i="12"/>
  <c r="AZ398" i="12"/>
  <c r="EM398" i="12"/>
  <c r="BD398" i="12"/>
  <c r="BB454" i="12"/>
  <c r="BE454" i="12"/>
  <c r="BD454" i="12"/>
  <c r="BC454" i="12"/>
  <c r="AZ454" i="12"/>
  <c r="EM454" i="12"/>
  <c r="BC429" i="12"/>
  <c r="EM429" i="12"/>
  <c r="BB429" i="12"/>
  <c r="BB430" i="12"/>
  <c r="BD430" i="12"/>
  <c r="EM430" i="12"/>
  <c r="BE430" i="12"/>
  <c r="BC430" i="12"/>
  <c r="AZ430" i="12"/>
  <c r="BB434" i="12"/>
  <c r="BC434" i="12"/>
  <c r="BD434" i="12"/>
  <c r="EM434" i="12"/>
  <c r="AZ434" i="12"/>
  <c r="BE434" i="12"/>
  <c r="JC218" i="12"/>
  <c r="JC244" i="12"/>
  <c r="BC309" i="12"/>
  <c r="BE309" i="12"/>
  <c r="AZ309" i="12"/>
  <c r="BB309" i="12"/>
  <c r="EM309" i="12"/>
  <c r="BD309" i="12"/>
  <c r="AZ308" i="12"/>
  <c r="BC308" i="12"/>
  <c r="BB308" i="12"/>
  <c r="BE308" i="12"/>
  <c r="BD308" i="12"/>
  <c r="EM308" i="12"/>
  <c r="JD140" i="12"/>
  <c r="JC140" i="12"/>
  <c r="JC110" i="12"/>
  <c r="JD110" i="12"/>
  <c r="EM353" i="12"/>
  <c r="BC353" i="12"/>
  <c r="BD361" i="12"/>
  <c r="BC361" i="12"/>
  <c r="AZ361" i="12"/>
  <c r="BE361" i="12"/>
  <c r="BB361" i="12"/>
  <c r="EM361" i="12"/>
  <c r="AZ395" i="12"/>
  <c r="BB395" i="12"/>
  <c r="BC395" i="12"/>
  <c r="BD395" i="12"/>
  <c r="EM395" i="12"/>
  <c r="BE395" i="12"/>
  <c r="EM351" i="12"/>
  <c r="BC351" i="12"/>
  <c r="AZ351" i="12"/>
  <c r="BB351" i="12"/>
  <c r="BE351" i="12"/>
  <c r="BD351" i="12"/>
  <c r="JC222" i="12"/>
  <c r="BC240" i="12"/>
  <c r="BE240" i="12"/>
  <c r="BD240" i="12"/>
  <c r="BB240" i="12"/>
  <c r="AZ240" i="12"/>
  <c r="EM240" i="12"/>
  <c r="BE369" i="12"/>
  <c r="BB369" i="12"/>
  <c r="BC369" i="12"/>
  <c r="BD369" i="12"/>
  <c r="AZ369" i="12"/>
  <c r="EM369" i="12"/>
  <c r="BD493" i="12"/>
  <c r="AZ493" i="12"/>
  <c r="BC493" i="12"/>
  <c r="EM493" i="12"/>
  <c r="BD363" i="12"/>
  <c r="BB363" i="12"/>
  <c r="EM363" i="12"/>
  <c r="BC363" i="12"/>
  <c r="AZ363" i="12"/>
  <c r="BE363" i="12"/>
  <c r="JC325" i="12"/>
  <c r="JD325" i="12"/>
  <c r="JD177" i="12"/>
  <c r="JC177" i="12"/>
  <c r="JD285" i="12"/>
  <c r="JC285" i="12"/>
  <c r="FO6" i="12"/>
  <c r="FN6" i="12"/>
  <c r="FT338" i="12"/>
  <c r="GU338" i="12"/>
  <c r="GV338" i="12" s="1"/>
  <c r="FS338" i="12"/>
  <c r="FU338" i="12" s="1"/>
  <c r="GR338" i="12" s="1"/>
  <c r="FT289" i="12"/>
  <c r="FS289" i="12"/>
  <c r="GU289" i="12"/>
  <c r="GV289" i="12" s="1"/>
  <c r="FN15" i="12"/>
  <c r="FO15" i="12"/>
  <c r="FS372" i="12"/>
  <c r="GU372" i="12"/>
  <c r="GV372" i="12" s="1"/>
  <c r="FT372" i="12"/>
  <c r="FU372" i="12" s="1"/>
  <c r="GR372" i="12" s="1"/>
  <c r="GU244" i="12"/>
  <c r="GV244" i="12" s="1"/>
  <c r="FT244" i="12"/>
  <c r="FS244" i="12"/>
  <c r="FT271" i="12"/>
  <c r="FS271" i="12"/>
  <c r="GU271" i="12"/>
  <c r="GV271" i="12" s="1"/>
  <c r="FT255" i="12"/>
  <c r="FS255" i="12"/>
  <c r="FU255" i="12" s="1"/>
  <c r="GR255" i="12" s="1"/>
  <c r="GU255" i="12"/>
  <c r="GV255" i="12" s="1"/>
  <c r="GU237" i="12"/>
  <c r="GV237" i="12" s="1"/>
  <c r="FS237" i="12"/>
  <c r="FT237" i="12"/>
  <c r="FT240" i="12"/>
  <c r="FS240" i="12"/>
  <c r="FU240" i="12" s="1"/>
  <c r="GR240" i="12" s="1"/>
  <c r="GU240" i="12"/>
  <c r="GV240" i="12" s="1"/>
  <c r="FT278" i="12"/>
  <c r="FS278" i="12"/>
  <c r="GU278" i="12"/>
  <c r="GV278" i="12" s="1"/>
  <c r="GU321" i="12"/>
  <c r="GV321" i="12" s="1"/>
  <c r="FS321" i="12"/>
  <c r="FU321" i="12" s="1"/>
  <c r="GR321" i="12" s="1"/>
  <c r="FT321" i="12"/>
  <c r="FS352" i="12"/>
  <c r="FU352" i="12" s="1"/>
  <c r="GR352" i="12" s="1"/>
  <c r="FT352" i="12"/>
  <c r="GU352" i="12"/>
  <c r="GV352" i="12" s="1"/>
  <c r="FO13" i="12"/>
  <c r="FN13" i="12"/>
  <c r="FT232" i="12"/>
  <c r="FS232" i="12"/>
  <c r="FU232" i="12" s="1"/>
  <c r="GR232" i="12" s="1"/>
  <c r="GU232" i="12"/>
  <c r="GV232" i="12" s="1"/>
  <c r="BC377" i="12"/>
  <c r="EM377" i="12"/>
  <c r="BD377" i="12"/>
  <c r="BE377" i="12"/>
  <c r="BB377" i="12"/>
  <c r="AZ377" i="12"/>
  <c r="JC371" i="12"/>
  <c r="BD397" i="12"/>
  <c r="AZ397" i="12"/>
  <c r="BB358" i="12"/>
  <c r="BC358" i="12"/>
  <c r="BD358" i="12"/>
  <c r="AZ358" i="12"/>
  <c r="EM358" i="12"/>
  <c r="BE358" i="12"/>
  <c r="BC302" i="12"/>
  <c r="BB302" i="12"/>
  <c r="BD302" i="12"/>
  <c r="BE302" i="12"/>
  <c r="EM302" i="12"/>
  <c r="AZ302" i="12"/>
  <c r="JD195" i="12"/>
  <c r="JC195" i="12"/>
  <c r="JD176" i="12"/>
  <c r="JC176" i="12"/>
  <c r="JD276" i="12"/>
  <c r="JC276" i="12"/>
  <c r="BD382" i="12"/>
  <c r="BC382" i="12"/>
  <c r="BE382" i="12"/>
  <c r="AZ382" i="12"/>
  <c r="BB382" i="12"/>
  <c r="EM382" i="12"/>
  <c r="JC359" i="12"/>
  <c r="JD359" i="12"/>
  <c r="JD334" i="12"/>
  <c r="JC334" i="12"/>
  <c r="BD446" i="12"/>
  <c r="BE446" i="12"/>
  <c r="AZ446" i="12"/>
  <c r="BB446" i="12"/>
  <c r="BC446" i="12"/>
  <c r="EM446" i="12"/>
  <c r="BC347" i="12"/>
  <c r="BB426" i="12"/>
  <c r="BE426" i="12"/>
  <c r="AZ357" i="12"/>
  <c r="BE463" i="12"/>
  <c r="JC283" i="12"/>
  <c r="AZ472" i="12"/>
  <c r="AZ400" i="12"/>
  <c r="AZ233" i="12"/>
  <c r="JC230" i="12"/>
  <c r="BB233" i="12"/>
  <c r="EM400" i="12"/>
  <c r="JD240" i="12"/>
  <c r="BE275" i="12"/>
  <c r="EM332" i="12"/>
  <c r="BB497" i="12"/>
  <c r="BD497" i="12"/>
  <c r="BE497" i="12"/>
  <c r="EM497" i="12"/>
  <c r="AZ497" i="12"/>
  <c r="BC497" i="12"/>
  <c r="JC398" i="12"/>
  <c r="EM485" i="12"/>
  <c r="BC485" i="12"/>
  <c r="AZ485" i="12"/>
  <c r="BB485" i="12"/>
  <c r="BD485" i="12"/>
  <c r="BE485" i="12"/>
  <c r="JD317" i="12"/>
  <c r="JC317" i="12"/>
  <c r="JC367" i="12"/>
  <c r="BD283" i="12"/>
  <c r="BB283" i="12"/>
  <c r="BE283" i="12"/>
  <c r="EM283" i="12"/>
  <c r="BC283" i="12"/>
  <c r="AZ283" i="12"/>
  <c r="JC294" i="12"/>
  <c r="JD294" i="12"/>
  <c r="AZ349" i="12"/>
  <c r="BB349" i="12"/>
  <c r="BC349" i="12"/>
  <c r="BE349" i="12"/>
  <c r="EM349" i="12"/>
  <c r="BD349" i="12"/>
  <c r="JC138" i="12"/>
  <c r="BD237" i="12"/>
  <c r="AZ237" i="12"/>
  <c r="BC237" i="12"/>
  <c r="EM237" i="12"/>
  <c r="BB237" i="12"/>
  <c r="BE237" i="12"/>
  <c r="BB438" i="12"/>
  <c r="BC438" i="12"/>
  <c r="EM438" i="12"/>
  <c r="AZ438" i="12"/>
  <c r="BD438" i="12"/>
  <c r="BE438" i="12"/>
  <c r="BE219" i="12"/>
  <c r="EM219" i="12"/>
  <c r="AZ219" i="12"/>
  <c r="BD219" i="12"/>
  <c r="BB219" i="12"/>
  <c r="BC219" i="12"/>
  <c r="BE488" i="12"/>
  <c r="EM488" i="12"/>
  <c r="BD488" i="12"/>
  <c r="BC488" i="12"/>
  <c r="BB488" i="12"/>
  <c r="AZ488" i="12"/>
  <c r="EM410" i="12"/>
  <c r="BD410" i="12"/>
  <c r="BE410" i="12"/>
  <c r="AZ410" i="12"/>
  <c r="BB410" i="12"/>
  <c r="BC410" i="12"/>
  <c r="JC132" i="12"/>
  <c r="JD132" i="12"/>
  <c r="BB424" i="12"/>
  <c r="BC424" i="12"/>
  <c r="BE424" i="12"/>
  <c r="BB220" i="12"/>
  <c r="EM220" i="12"/>
  <c r="BC220" i="12"/>
  <c r="AZ220" i="12"/>
  <c r="BE220" i="12"/>
  <c r="BD220" i="12"/>
  <c r="BD253" i="12"/>
  <c r="BE253" i="12"/>
  <c r="BB326" i="12"/>
  <c r="EM326" i="12"/>
  <c r="AZ326" i="12"/>
  <c r="BE326" i="12"/>
  <c r="BD326" i="12"/>
  <c r="BC326" i="12"/>
  <c r="GU4" i="12"/>
  <c r="GV4" i="12" s="1"/>
  <c r="FT4" i="12"/>
  <c r="FS287" i="12"/>
  <c r="GU287" i="12"/>
  <c r="GV287" i="12" s="1"/>
  <c r="FT287" i="12"/>
  <c r="GU279" i="12"/>
  <c r="GV279" i="12" s="1"/>
  <c r="FS279" i="12"/>
  <c r="FU279" i="12" s="1"/>
  <c r="GR279" i="12" s="1"/>
  <c r="FT279" i="12"/>
  <c r="FS323" i="12"/>
  <c r="FU323" i="12" s="1"/>
  <c r="GR323" i="12" s="1"/>
  <c r="GU323" i="12"/>
  <c r="GV323" i="12" s="1"/>
  <c r="FT323" i="12"/>
  <c r="FS399" i="12"/>
  <c r="FT399" i="12"/>
  <c r="GU399" i="12"/>
  <c r="GV399" i="12" s="1"/>
  <c r="FS333" i="12"/>
  <c r="FU333" i="12" s="1"/>
  <c r="GR333" i="12" s="1"/>
  <c r="FT333" i="12"/>
  <c r="GU333" i="12"/>
  <c r="GV333" i="12" s="1"/>
  <c r="FN18" i="12"/>
  <c r="FO18" i="12"/>
  <c r="FS319" i="12"/>
  <c r="FT319" i="12"/>
  <c r="GU319" i="12"/>
  <c r="GV319" i="12" s="1"/>
  <c r="GU400" i="12"/>
  <c r="GV400" i="12" s="1"/>
  <c r="FT400" i="12"/>
  <c r="FS400" i="12"/>
  <c r="FU400" i="12" s="1"/>
  <c r="GR400" i="12" s="1"/>
  <c r="GU224" i="12"/>
  <c r="GV224" i="12" s="1"/>
  <c r="FT224" i="12"/>
  <c r="FS224" i="12"/>
  <c r="FU224" i="12" s="1"/>
  <c r="GR224" i="12" s="1"/>
  <c r="FS322" i="12"/>
  <c r="FU322" i="12" s="1"/>
  <c r="GR322" i="12" s="1"/>
  <c r="GU322" i="12"/>
  <c r="GV322" i="12" s="1"/>
  <c r="FT322" i="12"/>
  <c r="GU356" i="12"/>
  <c r="GV356" i="12" s="1"/>
  <c r="FT356" i="12"/>
  <c r="FS356" i="12"/>
  <c r="GU291" i="12"/>
  <c r="GV291" i="12" s="1"/>
  <c r="FT291" i="12"/>
  <c r="FS291" i="12"/>
  <c r="FU291" i="12" s="1"/>
  <c r="GR291" i="12" s="1"/>
  <c r="AZ492" i="12"/>
  <c r="EM492" i="12"/>
  <c r="BC459" i="12"/>
  <c r="BE459" i="12"/>
  <c r="BB459" i="12"/>
  <c r="AZ459" i="12"/>
  <c r="BD459" i="12"/>
  <c r="EM459" i="12"/>
  <c r="JC180" i="12"/>
  <c r="JD361" i="12"/>
  <c r="JC361" i="12"/>
  <c r="JD338" i="12"/>
  <c r="JC338" i="12"/>
  <c r="JC212" i="12"/>
  <c r="JD212" i="12"/>
  <c r="JC280" i="12"/>
  <c r="BD366" i="12"/>
  <c r="AZ366" i="12"/>
  <c r="BC366" i="12"/>
  <c r="EM366" i="12"/>
  <c r="BB366" i="12"/>
  <c r="BE366" i="12"/>
  <c r="AZ212" i="12"/>
  <c r="EM212" i="12"/>
  <c r="BB212" i="12"/>
  <c r="BC212" i="12"/>
  <c r="BD212" i="12"/>
  <c r="BE212" i="12"/>
  <c r="JD225" i="12"/>
  <c r="EM427" i="12"/>
  <c r="BE427" i="12"/>
  <c r="AZ427" i="12"/>
  <c r="BB427" i="12"/>
  <c r="BD427" i="12"/>
  <c r="BC427" i="12"/>
  <c r="BB376" i="12"/>
  <c r="BD376" i="12"/>
  <c r="BC376" i="12"/>
  <c r="BE376" i="12"/>
  <c r="AZ376" i="12"/>
  <c r="EM376" i="12"/>
  <c r="AZ437" i="12"/>
  <c r="BE437" i="12"/>
  <c r="BC437" i="12"/>
  <c r="BB437" i="12"/>
  <c r="EM437" i="12"/>
  <c r="BD437" i="12"/>
  <c r="JD272" i="12"/>
  <c r="JC272" i="12"/>
  <c r="BD344" i="12"/>
  <c r="BE344" i="12"/>
  <c r="EM344" i="12"/>
  <c r="BB344" i="12"/>
  <c r="AZ344" i="12"/>
  <c r="BC344" i="12"/>
  <c r="BC498" i="12"/>
  <c r="AZ498" i="12"/>
  <c r="BE498" i="12"/>
  <c r="AZ474" i="12"/>
  <c r="BD474" i="12"/>
  <c r="BC474" i="12"/>
  <c r="JD319" i="12"/>
  <c r="JC319" i="12"/>
  <c r="BE441" i="12"/>
  <c r="EM441" i="12"/>
  <c r="BC441" i="12"/>
  <c r="AZ441" i="12"/>
  <c r="BD441" i="12"/>
  <c r="BB441" i="12"/>
  <c r="JC274" i="12"/>
  <c r="JD274" i="12"/>
  <c r="BE286" i="12"/>
  <c r="BC286" i="12"/>
  <c r="EM286" i="12"/>
  <c r="BD286" i="12"/>
  <c r="JC142" i="12"/>
  <c r="JD142" i="12"/>
  <c r="BC406" i="12"/>
  <c r="BE406" i="12"/>
  <c r="EM406" i="12"/>
  <c r="BB406" i="12"/>
  <c r="AZ406" i="12"/>
  <c r="BD406" i="12"/>
  <c r="BB256" i="12"/>
  <c r="AZ256" i="12"/>
  <c r="BD256" i="12"/>
  <c r="BE256" i="12"/>
  <c r="BC256" i="12"/>
  <c r="EM256" i="12"/>
  <c r="BB222" i="12"/>
  <c r="BC222" i="12"/>
  <c r="EM222" i="12"/>
  <c r="BE222" i="12"/>
  <c r="AZ222" i="12"/>
  <c r="BD222" i="12"/>
  <c r="JD201" i="12"/>
  <c r="JC201" i="12"/>
  <c r="BE491" i="12"/>
  <c r="BB491" i="12"/>
  <c r="BD491" i="12"/>
  <c r="BC491" i="12"/>
  <c r="AZ491" i="12"/>
  <c r="EM491" i="12"/>
  <c r="BE450" i="12"/>
  <c r="BB450" i="12"/>
  <c r="BE327" i="12"/>
  <c r="EM327" i="12"/>
  <c r="AZ327" i="12"/>
  <c r="BD327" i="12"/>
  <c r="BB327" i="12"/>
  <c r="BC327" i="12"/>
  <c r="JD320" i="12"/>
  <c r="JC320" i="12"/>
  <c r="FS364" i="12"/>
  <c r="GU364" i="12"/>
  <c r="GV364" i="12" s="1"/>
  <c r="FT367" i="12"/>
  <c r="GU367" i="12"/>
  <c r="GV367" i="12" s="1"/>
  <c r="FS367" i="12"/>
  <c r="FS378" i="12"/>
  <c r="GU378" i="12"/>
  <c r="GV378" i="12" s="1"/>
  <c r="FT378" i="12"/>
  <c r="FT311" i="12"/>
  <c r="GU311" i="12"/>
  <c r="GV311" i="12" s="1"/>
  <c r="FS311" i="12"/>
  <c r="FU311" i="12" s="1"/>
  <c r="GR311" i="12" s="1"/>
  <c r="GU241" i="12"/>
  <c r="GV241" i="12" s="1"/>
  <c r="FT241" i="12"/>
  <c r="FS241" i="12"/>
  <c r="FU241" i="12" s="1"/>
  <c r="GR241" i="12" s="1"/>
  <c r="GU227" i="12"/>
  <c r="GV227" i="12" s="1"/>
  <c r="FT227" i="12"/>
  <c r="FS227" i="12"/>
  <c r="FU227" i="12" s="1"/>
  <c r="GR227" i="12" s="1"/>
  <c r="FS248" i="12"/>
  <c r="GU248" i="12"/>
  <c r="GV248" i="12" s="1"/>
  <c r="FT248" i="12"/>
  <c r="FT310" i="12"/>
  <c r="GU310" i="12"/>
  <c r="GV310" i="12" s="1"/>
  <c r="FS310" i="12"/>
  <c r="FU310" i="12" s="1"/>
  <c r="GR310" i="12" s="1"/>
  <c r="GU300" i="12"/>
  <c r="GV300" i="12" s="1"/>
  <c r="FS300" i="12"/>
  <c r="FU300" i="12" s="1"/>
  <c r="GR300" i="12" s="1"/>
  <c r="FT303" i="12"/>
  <c r="GU303" i="12"/>
  <c r="GV303" i="12" s="1"/>
  <c r="FS303" i="12"/>
  <c r="FU303" i="12" s="1"/>
  <c r="GR303" i="12" s="1"/>
  <c r="FS274" i="12"/>
  <c r="FT274" i="12"/>
  <c r="GU274" i="12"/>
  <c r="GV274" i="12" s="1"/>
  <c r="FO14" i="12"/>
  <c r="FN14" i="12"/>
  <c r="FS353" i="12"/>
  <c r="FT353" i="12"/>
  <c r="GU353" i="12"/>
  <c r="GV353" i="12" s="1"/>
  <c r="FT341" i="12"/>
  <c r="FS341" i="12"/>
  <c r="FU341" i="12" s="1"/>
  <c r="GR341" i="12" s="1"/>
  <c r="GU341" i="12"/>
  <c r="GV341" i="12" s="1"/>
  <c r="BB209" i="12"/>
  <c r="AZ209" i="12"/>
  <c r="BD209" i="12"/>
  <c r="BC209" i="12"/>
  <c r="BE209" i="12"/>
  <c r="EM209" i="12"/>
  <c r="EM337" i="12"/>
  <c r="BD337" i="12"/>
  <c r="BC337" i="12"/>
  <c r="BB337" i="12"/>
  <c r="BE337" i="12"/>
  <c r="AZ337" i="12"/>
  <c r="JD173" i="12"/>
  <c r="JC173" i="12"/>
  <c r="JD120" i="12"/>
  <c r="JC120" i="12"/>
  <c r="BE216" i="12"/>
  <c r="BB216" i="12"/>
  <c r="EM216" i="12"/>
  <c r="BD216" i="12"/>
  <c r="JD348" i="12"/>
  <c r="JC348" i="12"/>
  <c r="BC348" i="12"/>
  <c r="AZ348" i="12"/>
  <c r="EM348" i="12"/>
  <c r="BE348" i="12"/>
  <c r="BD348" i="12"/>
  <c r="BB348" i="12"/>
  <c r="BC460" i="12"/>
  <c r="BB460" i="12"/>
  <c r="EM460" i="12"/>
  <c r="BD460" i="12"/>
  <c r="AZ460" i="12"/>
  <c r="BE460" i="12"/>
  <c r="BE420" i="12"/>
  <c r="EM420" i="12"/>
  <c r="BC262" i="12"/>
  <c r="BB262" i="12"/>
  <c r="BD262" i="12"/>
  <c r="AZ262" i="12"/>
  <c r="EM262" i="12"/>
  <c r="BE262" i="12"/>
  <c r="JC169" i="12"/>
  <c r="JD169" i="12"/>
  <c r="JC133" i="12"/>
  <c r="JD133" i="12"/>
  <c r="BB278" i="12"/>
  <c r="BD278" i="12"/>
  <c r="AZ278" i="12"/>
  <c r="BC278" i="12"/>
  <c r="BE278" i="12"/>
  <c r="EM278" i="12"/>
  <c r="BE490" i="12"/>
  <c r="AZ243" i="12"/>
  <c r="EM345" i="12"/>
  <c r="AZ265" i="12"/>
  <c r="BB332" i="12"/>
  <c r="FU364" i="12"/>
  <c r="GR364" i="12" s="1"/>
  <c r="JD116" i="12"/>
  <c r="JC116" i="12"/>
  <c r="BC259" i="12"/>
  <c r="AZ259" i="12"/>
  <c r="EM259" i="12"/>
  <c r="BB259" i="12"/>
  <c r="BD259" i="12"/>
  <c r="BE259" i="12"/>
  <c r="AZ252" i="12"/>
  <c r="BB252" i="12"/>
  <c r="BE252" i="12"/>
  <c r="BD252" i="12"/>
  <c r="BE248" i="12"/>
  <c r="BC248" i="12"/>
  <c r="BB248" i="12"/>
  <c r="BD248" i="12"/>
  <c r="EM248" i="12"/>
  <c r="AZ248" i="12"/>
  <c r="JD145" i="12"/>
  <c r="JC145" i="12"/>
  <c r="EM367" i="12"/>
  <c r="BC367" i="12"/>
  <c r="BD367" i="12"/>
  <c r="BE367" i="12"/>
  <c r="AZ367" i="12"/>
  <c r="BB367" i="12"/>
  <c r="JC344" i="12"/>
  <c r="JD344" i="12"/>
  <c r="JD333" i="12"/>
  <c r="JC333" i="12"/>
  <c r="BB484" i="12"/>
  <c r="BD484" i="12"/>
  <c r="BC484" i="12"/>
  <c r="EM484" i="12"/>
  <c r="AZ484" i="12"/>
  <c r="BE484" i="12"/>
  <c r="JC257" i="12"/>
  <c r="JD257" i="12"/>
  <c r="JC111" i="12"/>
  <c r="JD111" i="12"/>
  <c r="BC330" i="12"/>
  <c r="AZ330" i="12"/>
  <c r="BB362" i="12"/>
  <c r="BE362" i="12"/>
  <c r="BD362" i="12"/>
  <c r="BC362" i="12"/>
  <c r="EM362" i="12"/>
  <c r="AZ362" i="12"/>
  <c r="JD247" i="12"/>
  <c r="JC247" i="12"/>
  <c r="JC178" i="12"/>
  <c r="JD178" i="12"/>
  <c r="BC210" i="12"/>
  <c r="BE210" i="12"/>
  <c r="BB210" i="12"/>
  <c r="AZ210" i="12"/>
  <c r="BD210" i="12"/>
  <c r="EM210" i="12"/>
  <c r="BC282" i="12"/>
  <c r="EM282" i="12"/>
  <c r="BE282" i="12"/>
  <c r="BD282" i="12"/>
  <c r="AZ282" i="12"/>
  <c r="BB282" i="12"/>
  <c r="JD369" i="12"/>
  <c r="JC369" i="12"/>
  <c r="JD181" i="12"/>
  <c r="JC181" i="12"/>
  <c r="FS304" i="12"/>
  <c r="FU304" i="12" s="1"/>
  <c r="GR304" i="12" s="1"/>
  <c r="GU304" i="12"/>
  <c r="GV304" i="12" s="1"/>
  <c r="FT304" i="12"/>
  <c r="FT357" i="12"/>
  <c r="FS357" i="12"/>
  <c r="GU357" i="12"/>
  <c r="GV357" i="12" s="1"/>
  <c r="GU268" i="12"/>
  <c r="GV268" i="12" s="1"/>
  <c r="FT268" i="12"/>
  <c r="FS268" i="12"/>
  <c r="FU268" i="12" s="1"/>
  <c r="GR268" i="12" s="1"/>
  <c r="FT385" i="12"/>
  <c r="FS385" i="12"/>
  <c r="GU385" i="12"/>
  <c r="GV385" i="12" s="1"/>
  <c r="FT285" i="12"/>
  <c r="FS285" i="12"/>
  <c r="FU285" i="12" s="1"/>
  <c r="GR285" i="12" s="1"/>
  <c r="GU285" i="12"/>
  <c r="GV285" i="12" s="1"/>
  <c r="FS380" i="12"/>
  <c r="FT380" i="12"/>
  <c r="GU380" i="12"/>
  <c r="GV380" i="12" s="1"/>
  <c r="GU387" i="12"/>
  <c r="GV387" i="12" s="1"/>
  <c r="FS387" i="12"/>
  <c r="FU387" i="12" s="1"/>
  <c r="GR387" i="12" s="1"/>
  <c r="FT387" i="12"/>
  <c r="FS318" i="12"/>
  <c r="FT318" i="12"/>
  <c r="GU318" i="12"/>
  <c r="GV318" i="12" s="1"/>
  <c r="FS355" i="12"/>
  <c r="FU355" i="12" s="1"/>
  <c r="GR355" i="12" s="1"/>
  <c r="FT355" i="12"/>
  <c r="GU355" i="12"/>
  <c r="GV355" i="12" s="1"/>
  <c r="FT245" i="12"/>
  <c r="GU245" i="12"/>
  <c r="GV245" i="12" s="1"/>
  <c r="FS245" i="12"/>
  <c r="FU245" i="12" s="1"/>
  <c r="GR245" i="12" s="1"/>
  <c r="GU390" i="12"/>
  <c r="GV390" i="12" s="1"/>
  <c r="FT390" i="12"/>
  <c r="FU390" i="12" s="1"/>
  <c r="GR390" i="12" s="1"/>
  <c r="FN4" i="12"/>
  <c r="FO4" i="12"/>
  <c r="GU301" i="12"/>
  <c r="GV301" i="12" s="1"/>
  <c r="FS301" i="12"/>
  <c r="FU301" i="12" s="1"/>
  <c r="GR301" i="12" s="1"/>
  <c r="FT301" i="12"/>
  <c r="FT225" i="12"/>
  <c r="FS225" i="12"/>
  <c r="GU225" i="12"/>
  <c r="GV225" i="12" s="1"/>
  <c r="FS293" i="12"/>
  <c r="GU293" i="12"/>
  <c r="GV293" i="12" s="1"/>
  <c r="FT293" i="12"/>
  <c r="BD218" i="12"/>
  <c r="EM218" i="12"/>
  <c r="BE218" i="12"/>
  <c r="AZ218" i="12"/>
  <c r="BC218" i="12"/>
  <c r="BB218" i="12"/>
  <c r="BB383" i="12"/>
  <c r="BD383" i="12"/>
  <c r="BE383" i="12"/>
  <c r="EM383" i="12"/>
  <c r="AZ383" i="12"/>
  <c r="BC383" i="12"/>
  <c r="AZ287" i="12"/>
  <c r="BB287" i="12"/>
  <c r="BC287" i="12"/>
  <c r="BE287" i="12"/>
  <c r="EM287" i="12"/>
  <c r="BD287" i="12"/>
  <c r="BD208" i="12"/>
  <c r="BE208" i="12"/>
  <c r="EM452" i="12"/>
  <c r="BE452" i="12"/>
  <c r="BC452" i="12"/>
  <c r="AZ452" i="12"/>
  <c r="AZ227" i="12"/>
  <c r="EM227" i="12"/>
  <c r="BC227" i="12"/>
  <c r="BD227" i="12"/>
  <c r="BE227" i="12"/>
  <c r="BB227" i="12"/>
  <c r="BD249" i="12"/>
  <c r="EM249" i="12"/>
  <c r="BB249" i="12"/>
  <c r="AZ249" i="12"/>
  <c r="BC249" i="12"/>
  <c r="BE249" i="12"/>
  <c r="JD224" i="12"/>
  <c r="JC224" i="12"/>
  <c r="BD470" i="12"/>
  <c r="AZ470" i="12"/>
  <c r="JC355" i="12"/>
  <c r="JD355" i="12"/>
  <c r="AZ331" i="12"/>
  <c r="BB331" i="12"/>
  <c r="BE331" i="12"/>
  <c r="BC331" i="12"/>
  <c r="EM331" i="12"/>
  <c r="BD331" i="12"/>
  <c r="FU337" i="12"/>
  <c r="GR337" i="12" s="1"/>
  <c r="FU314" i="12"/>
  <c r="GR314" i="12" s="1"/>
  <c r="FU330" i="12"/>
  <c r="GR330" i="12" s="1"/>
  <c r="FU236" i="12"/>
  <c r="GR236" i="12" s="1"/>
  <c r="FU315" i="12"/>
  <c r="GR315" i="12" s="1"/>
  <c r="FU368" i="12"/>
  <c r="GR368" i="12" s="1"/>
  <c r="FU324" i="12"/>
  <c r="GR324" i="12" s="1"/>
  <c r="FU381" i="12"/>
  <c r="GR381" i="12" s="1"/>
  <c r="FU242" i="12"/>
  <c r="GR242" i="12" s="1"/>
  <c r="FU259" i="12"/>
  <c r="GR259" i="12" s="1"/>
  <c r="FN12" i="12"/>
  <c r="FU243" i="12"/>
  <c r="GR243" i="12" s="1"/>
  <c r="FU252" i="12"/>
  <c r="GR252" i="12" s="1"/>
  <c r="FU264" i="12"/>
  <c r="GR264" i="12" s="1"/>
  <c r="FU246" i="12"/>
  <c r="GR246" i="12" s="1"/>
  <c r="FU277" i="12"/>
  <c r="GR277" i="12" s="1"/>
  <c r="FU363" i="12"/>
  <c r="GR363" i="12" s="1"/>
  <c r="FN3" i="12"/>
  <c r="FU393" i="12"/>
  <c r="GR393" i="12" s="1"/>
  <c r="FU299" i="12"/>
  <c r="GR299" i="12" s="1"/>
  <c r="FU383" i="12"/>
  <c r="GR383" i="12" s="1"/>
  <c r="FU342" i="12"/>
  <c r="GR342" i="12" s="1"/>
  <c r="FU238" i="12"/>
  <c r="GR238" i="12" s="1"/>
  <c r="FU282" i="12"/>
  <c r="GR282" i="12" s="1"/>
  <c r="FU228" i="12"/>
  <c r="GR228" i="12" s="1"/>
  <c r="FU281" i="12"/>
  <c r="GR281" i="12" s="1"/>
  <c r="FU312" i="12"/>
  <c r="GR312" i="12" s="1"/>
  <c r="EV11" i="12"/>
  <c r="EV8" i="12"/>
  <c r="FU222" i="12"/>
  <c r="GR222" i="12" s="1"/>
  <c r="FT3" i="12"/>
  <c r="FU235" i="12"/>
  <c r="GR235" i="12" s="1"/>
  <c r="FU261" i="12"/>
  <c r="GR261" i="12" s="1"/>
  <c r="FU332" i="12"/>
  <c r="GR332" i="12" s="1"/>
  <c r="FU379" i="12"/>
  <c r="GR379" i="12" s="1"/>
  <c r="FU247" i="12"/>
  <c r="GR247" i="12" s="1"/>
  <c r="FU231" i="12"/>
  <c r="GR231" i="12" s="1"/>
  <c r="M12" i="5"/>
  <c r="M11" i="5"/>
  <c r="P4" i="5" s="1"/>
  <c r="FU362" i="12"/>
  <c r="GR362" i="12" s="1"/>
  <c r="FU370" i="12"/>
  <c r="GR370" i="12" s="1"/>
  <c r="FU297" i="12"/>
  <c r="GR297" i="12" s="1"/>
  <c r="FU272" i="12"/>
  <c r="GR272" i="12" s="1"/>
  <c r="FU354" i="12"/>
  <c r="GR354" i="12" s="1"/>
  <c r="FU331" i="12"/>
  <c r="GR331" i="12" s="1"/>
  <c r="FU262" i="12"/>
  <c r="GR262" i="12" s="1"/>
  <c r="FU295" i="12"/>
  <c r="GR295" i="12" s="1"/>
  <c r="FU359" i="12"/>
  <c r="GR359" i="12" s="1"/>
  <c r="FU269" i="12"/>
  <c r="GR269" i="12" s="1"/>
  <c r="GU12" i="12"/>
  <c r="GV12" i="12" s="1"/>
  <c r="FT12" i="12"/>
  <c r="FU386" i="12"/>
  <c r="GR386" i="12" s="1"/>
  <c r="AL189" i="12"/>
  <c r="AL192" i="12"/>
  <c r="AL193" i="12" s="1"/>
  <c r="Z26" i="12"/>
  <c r="AI26" i="12" s="1"/>
  <c r="AL194" i="12"/>
  <c r="AL196" i="12" s="1"/>
  <c r="Y31" i="12"/>
  <c r="Z27" i="12" s="1"/>
  <c r="AD27" i="12" s="1"/>
  <c r="AQ24" i="12"/>
  <c r="FO24" i="12"/>
  <c r="AD25" i="12"/>
  <c r="AE25" i="12"/>
  <c r="AC25" i="12"/>
  <c r="AJ25" i="12"/>
  <c r="AB25" i="12"/>
  <c r="AI25" i="12"/>
  <c r="AS25" i="12" s="1"/>
  <c r="AG25" i="12"/>
  <c r="AH25" i="12"/>
  <c r="AA25" i="12"/>
  <c r="IJ21" i="12"/>
  <c r="IK21" i="12" s="1"/>
  <c r="IL21" i="12" s="1"/>
  <c r="AR23" i="12"/>
  <c r="IL19" i="12"/>
  <c r="FU380" i="12" l="1"/>
  <c r="GR380" i="12" s="1"/>
  <c r="FU274" i="12"/>
  <c r="GR274" i="12" s="1"/>
  <c r="FU367" i="12"/>
  <c r="GR367" i="12" s="1"/>
  <c r="FU287" i="12"/>
  <c r="GR287" i="12" s="1"/>
  <c r="FU289" i="12"/>
  <c r="GR289" i="12" s="1"/>
  <c r="FU328" i="12"/>
  <c r="GR328" i="12" s="1"/>
  <c r="FU313" i="12"/>
  <c r="GR313" i="12" s="1"/>
  <c r="FU225" i="12"/>
  <c r="GR225" i="12" s="1"/>
  <c r="FU318" i="12"/>
  <c r="GR318" i="12" s="1"/>
  <c r="FU356" i="12"/>
  <c r="GR356" i="12" s="1"/>
  <c r="FU278" i="12"/>
  <c r="GR278" i="12" s="1"/>
  <c r="FU340" i="12"/>
  <c r="GR340" i="12" s="1"/>
  <c r="FU339" i="12"/>
  <c r="GR339" i="12" s="1"/>
  <c r="FU270" i="12"/>
  <c r="GR270" i="12" s="1"/>
  <c r="FU336" i="12"/>
  <c r="GR336" i="12" s="1"/>
  <c r="FU391" i="12"/>
  <c r="GR391" i="12" s="1"/>
  <c r="FU357" i="12"/>
  <c r="GR357" i="12" s="1"/>
  <c r="FU353" i="12"/>
  <c r="GR353" i="12" s="1"/>
  <c r="FU248" i="12"/>
  <c r="GR248" i="12" s="1"/>
  <c r="FU267" i="12"/>
  <c r="GR267" i="12" s="1"/>
  <c r="FU293" i="12"/>
  <c r="GR293" i="12" s="1"/>
  <c r="FU385" i="12"/>
  <c r="GR385" i="12" s="1"/>
  <c r="FU271" i="12"/>
  <c r="GR271" i="12" s="1"/>
  <c r="FU221" i="12"/>
  <c r="GR221" i="12" s="1"/>
  <c r="FU388" i="12"/>
  <c r="GR388" i="12" s="1"/>
  <c r="FU298" i="12"/>
  <c r="GR298" i="12" s="1"/>
  <c r="FU369" i="12"/>
  <c r="GR369" i="12" s="1"/>
  <c r="FU302" i="12"/>
  <c r="GR302" i="12" s="1"/>
  <c r="FU256" i="12"/>
  <c r="GR256" i="12" s="1"/>
  <c r="FU378" i="12"/>
  <c r="GR378" i="12" s="1"/>
  <c r="FU319" i="12"/>
  <c r="GR319" i="12" s="1"/>
  <c r="FU399" i="12"/>
  <c r="GR399" i="12" s="1"/>
  <c r="FU237" i="12"/>
  <c r="GR237" i="12" s="1"/>
  <c r="FU244" i="12"/>
  <c r="GR244" i="12" s="1"/>
  <c r="FU309" i="12"/>
  <c r="GR309" i="12" s="1"/>
  <c r="FU377" i="12"/>
  <c r="GR377" i="12" s="1"/>
  <c r="FU260" i="12"/>
  <c r="GR260" i="12" s="1"/>
  <c r="FU307" i="12"/>
  <c r="GR307" i="12" s="1"/>
  <c r="FU265" i="12"/>
  <c r="GR265" i="12" s="1"/>
  <c r="FU396" i="12"/>
  <c r="GR396" i="12" s="1"/>
  <c r="FU317" i="12"/>
  <c r="GR317" i="12" s="1"/>
  <c r="P10" i="5"/>
  <c r="N206" i="5" s="1"/>
  <c r="O206" i="5" s="1"/>
  <c r="AL195" i="12"/>
  <c r="AL197" i="12" s="1"/>
  <c r="AQ25" i="12"/>
  <c r="AD26" i="12"/>
  <c r="IJ26" i="12" s="1"/>
  <c r="AE26" i="12"/>
  <c r="FQ26" i="12" s="1"/>
  <c r="AS26" i="12"/>
  <c r="AA26" i="12"/>
  <c r="AH26" i="12"/>
  <c r="AC26" i="12"/>
  <c r="AB26" i="12"/>
  <c r="AG26" i="12"/>
  <c r="AJ26" i="12"/>
  <c r="AC27" i="12"/>
  <c r="AH27" i="12"/>
  <c r="AG27" i="12"/>
  <c r="AB27" i="12"/>
  <c r="AA27" i="12"/>
  <c r="FV27" i="12" s="1"/>
  <c r="Y32" i="12"/>
  <c r="AI27" i="12"/>
  <c r="AJ27" i="12"/>
  <c r="AE27" i="12"/>
  <c r="FR27" i="12" s="1"/>
  <c r="FV25" i="12"/>
  <c r="R25" i="12"/>
  <c r="BG25" i="12"/>
  <c r="CD25" i="12"/>
  <c r="CK25" i="12"/>
  <c r="II25" i="12"/>
  <c r="GQ25" i="12"/>
  <c r="GU25" i="12" s="1"/>
  <c r="GV25" i="12" s="1"/>
  <c r="FQ25" i="12"/>
  <c r="FR25" i="12"/>
  <c r="FG25" i="12"/>
  <c r="FM25" i="12"/>
  <c r="IJ27" i="12"/>
  <c r="II27" i="12"/>
  <c r="AL205" i="12"/>
  <c r="IJ22" i="12"/>
  <c r="AR24" i="12"/>
  <c r="N150" i="5" l="1"/>
  <c r="O150" i="5" s="1"/>
  <c r="N262" i="5"/>
  <c r="O262" i="5" s="1"/>
  <c r="N122" i="5"/>
  <c r="O122" i="5" s="1"/>
  <c r="N308" i="5"/>
  <c r="O308" i="5" s="1"/>
  <c r="N157" i="5"/>
  <c r="O157" i="5" s="1"/>
  <c r="N106" i="5"/>
  <c r="O106" i="5" s="1"/>
  <c r="N163" i="5"/>
  <c r="O163" i="5" s="1"/>
  <c r="N30" i="5"/>
  <c r="O30" i="5" s="1"/>
  <c r="N207" i="5"/>
  <c r="O207" i="5" s="1"/>
  <c r="N102" i="5"/>
  <c r="O102" i="5" s="1"/>
  <c r="N306" i="5"/>
  <c r="O306" i="5" s="1"/>
  <c r="N100" i="5"/>
  <c r="O100" i="5" s="1"/>
  <c r="N214" i="5"/>
  <c r="O214" i="5" s="1"/>
  <c r="N301" i="5"/>
  <c r="O301" i="5" s="1"/>
  <c r="N223" i="5"/>
  <c r="O223" i="5" s="1"/>
  <c r="N144" i="5"/>
  <c r="O144" i="5" s="1"/>
  <c r="N25" i="5"/>
  <c r="O25" i="5" s="1"/>
  <c r="N133" i="5"/>
  <c r="O133" i="5" s="1"/>
  <c r="N68" i="5"/>
  <c r="O68" i="5" s="1"/>
  <c r="N139" i="5"/>
  <c r="O139" i="5" s="1"/>
  <c r="N128" i="5"/>
  <c r="O128" i="5" s="1"/>
  <c r="N166" i="5"/>
  <c r="O166" i="5" s="1"/>
  <c r="N118" i="5"/>
  <c r="O118" i="5" s="1"/>
  <c r="N187" i="5"/>
  <c r="O187" i="5" s="1"/>
  <c r="N216" i="5"/>
  <c r="O216" i="5" s="1"/>
  <c r="N201" i="5"/>
  <c r="O201" i="5" s="1"/>
  <c r="N63" i="5"/>
  <c r="O63" i="5" s="1"/>
  <c r="N148" i="5"/>
  <c r="O148" i="5" s="1"/>
  <c r="N36" i="5"/>
  <c r="O36" i="5" s="1"/>
  <c r="N252" i="5"/>
  <c r="O252" i="5" s="1"/>
  <c r="N37" i="5"/>
  <c r="O37" i="5" s="1"/>
  <c r="N111" i="5"/>
  <c r="O111" i="5" s="1"/>
  <c r="N143" i="5"/>
  <c r="O143" i="5" s="1"/>
  <c r="N137" i="5"/>
  <c r="O137" i="5" s="1"/>
  <c r="N177" i="5"/>
  <c r="O177" i="5" s="1"/>
  <c r="N222" i="5"/>
  <c r="O222" i="5" s="1"/>
  <c r="N99" i="5"/>
  <c r="O99" i="5" s="1"/>
  <c r="N120" i="5"/>
  <c r="O120" i="5" s="1"/>
  <c r="N134" i="5"/>
  <c r="O134" i="5" s="1"/>
  <c r="N65" i="5"/>
  <c r="O65" i="5" s="1"/>
  <c r="N78" i="5"/>
  <c r="O78" i="5" s="1"/>
  <c r="N18" i="5"/>
  <c r="O18" i="5" s="1"/>
  <c r="N209" i="5"/>
  <c r="O209" i="5" s="1"/>
  <c r="N20" i="5"/>
  <c r="O20" i="5" s="1"/>
  <c r="N179" i="5"/>
  <c r="O179" i="5" s="1"/>
  <c r="N172" i="5"/>
  <c r="O172" i="5" s="1"/>
  <c r="N286" i="5"/>
  <c r="O286" i="5" s="1"/>
  <c r="N241" i="5"/>
  <c r="O241" i="5" s="1"/>
  <c r="N304" i="5"/>
  <c r="O304" i="5" s="1"/>
  <c r="N213" i="5"/>
  <c r="O213" i="5" s="1"/>
  <c r="N275" i="5"/>
  <c r="O275" i="5" s="1"/>
  <c r="N13" i="5"/>
  <c r="O13" i="5" s="1"/>
  <c r="N52" i="5"/>
  <c r="O52" i="5" s="1"/>
  <c r="N260" i="5"/>
  <c r="O260" i="5" s="1"/>
  <c r="N299" i="5"/>
  <c r="O299" i="5" s="1"/>
  <c r="N116" i="5"/>
  <c r="O116" i="5" s="1"/>
  <c r="N28" i="5"/>
  <c r="O28" i="5" s="1"/>
  <c r="N131" i="5"/>
  <c r="O131" i="5" s="1"/>
  <c r="N167" i="5"/>
  <c r="O167" i="5" s="1"/>
  <c r="N80" i="5"/>
  <c r="O80" i="5" s="1"/>
  <c r="N250" i="5"/>
  <c r="O250" i="5" s="1"/>
  <c r="N76" i="5"/>
  <c r="O76" i="5" s="1"/>
  <c r="N291" i="5"/>
  <c r="O291" i="5" s="1"/>
  <c r="N38" i="5"/>
  <c r="O38" i="5" s="1"/>
  <c r="N217" i="5"/>
  <c r="O217" i="5" s="1"/>
  <c r="N284" i="5"/>
  <c r="O284" i="5" s="1"/>
  <c r="N283" i="5"/>
  <c r="O283" i="5" s="1"/>
  <c r="N208" i="5"/>
  <c r="O208" i="5" s="1"/>
  <c r="N264" i="5"/>
  <c r="O264" i="5" s="1"/>
  <c r="N182" i="5"/>
  <c r="O182" i="5" s="1"/>
  <c r="N302" i="5"/>
  <c r="O302" i="5" s="1"/>
  <c r="N165" i="5"/>
  <c r="O165" i="5" s="1"/>
  <c r="N224" i="5"/>
  <c r="O224" i="5" s="1"/>
  <c r="N256" i="5"/>
  <c r="O256" i="5" s="1"/>
  <c r="N200" i="5"/>
  <c r="O200" i="5" s="1"/>
  <c r="N247" i="5"/>
  <c r="O247" i="5" s="1"/>
  <c r="N47" i="5"/>
  <c r="O47" i="5" s="1"/>
  <c r="N265" i="5"/>
  <c r="O265" i="5" s="1"/>
  <c r="N87" i="5"/>
  <c r="O87" i="5" s="1"/>
  <c r="N135" i="5"/>
  <c r="O135" i="5" s="1"/>
  <c r="N74" i="5"/>
  <c r="O74" i="5" s="1"/>
  <c r="N257" i="5"/>
  <c r="O257" i="5" s="1"/>
  <c r="N31" i="5"/>
  <c r="O31" i="5" s="1"/>
  <c r="N121" i="5"/>
  <c r="O121" i="5" s="1"/>
  <c r="N297" i="5"/>
  <c r="O297" i="5" s="1"/>
  <c r="N227" i="5"/>
  <c r="O227" i="5" s="1"/>
  <c r="N249" i="5"/>
  <c r="O249" i="5" s="1"/>
  <c r="N151" i="5"/>
  <c r="O151" i="5" s="1"/>
  <c r="N85" i="5"/>
  <c r="O85" i="5" s="1"/>
  <c r="N161" i="5"/>
  <c r="O161" i="5" s="1"/>
  <c r="N140" i="5"/>
  <c r="O140" i="5" s="1"/>
  <c r="N192" i="5"/>
  <c r="O192" i="5" s="1"/>
  <c r="N146" i="5"/>
  <c r="O146" i="5" s="1"/>
  <c r="N218" i="5"/>
  <c r="O218" i="5" s="1"/>
  <c r="N127" i="5"/>
  <c r="O127" i="5" s="1"/>
  <c r="N198" i="5"/>
  <c r="O198" i="5" s="1"/>
  <c r="N12" i="5"/>
  <c r="O12" i="5" s="1"/>
  <c r="N62" i="5"/>
  <c r="N149" i="5"/>
  <c r="O149" i="5" s="1"/>
  <c r="N289" i="5"/>
  <c r="O289" i="5" s="1"/>
  <c r="N303" i="5"/>
  <c r="O303" i="5" s="1"/>
  <c r="N258" i="5"/>
  <c r="O258" i="5" s="1"/>
  <c r="N272" i="5"/>
  <c r="O272" i="5" s="1"/>
  <c r="N195" i="5"/>
  <c r="O195" i="5" s="1"/>
  <c r="N57" i="5"/>
  <c r="O57" i="5" s="1"/>
  <c r="N70" i="5"/>
  <c r="O70" i="5" s="1"/>
  <c r="N237" i="5"/>
  <c r="O237" i="5" s="1"/>
  <c r="N225" i="5"/>
  <c r="O225" i="5" s="1"/>
  <c r="N188" i="5"/>
  <c r="O188" i="5" s="1"/>
  <c r="N112" i="5"/>
  <c r="O112" i="5" s="1"/>
  <c r="N171" i="5"/>
  <c r="O171" i="5" s="1"/>
  <c r="N197" i="5"/>
  <c r="O197" i="5" s="1"/>
  <c r="N226" i="5"/>
  <c r="O226" i="5" s="1"/>
  <c r="N108" i="5"/>
  <c r="O108" i="5" s="1"/>
  <c r="N266" i="5"/>
  <c r="O266" i="5" s="1"/>
  <c r="N263" i="5"/>
  <c r="O263" i="5" s="1"/>
  <c r="N141" i="5"/>
  <c r="O141" i="5" s="1"/>
  <c r="N23" i="5"/>
  <c r="O23" i="5" s="1"/>
  <c r="N178" i="5"/>
  <c r="O178" i="5" s="1"/>
  <c r="N45" i="5"/>
  <c r="O45" i="5" s="1"/>
  <c r="N210" i="5"/>
  <c r="O210" i="5" s="1"/>
  <c r="N67" i="5"/>
  <c r="O67" i="5" s="1"/>
  <c r="N220" i="5"/>
  <c r="O220" i="5" s="1"/>
  <c r="N16" i="5"/>
  <c r="O16" i="5" s="1"/>
  <c r="N236" i="5"/>
  <c r="O236" i="5" s="1"/>
  <c r="N293" i="5"/>
  <c r="O293" i="5" s="1"/>
  <c r="N285" i="5"/>
  <c r="O285" i="5" s="1"/>
  <c r="N170" i="5"/>
  <c r="O170" i="5" s="1"/>
  <c r="N43" i="5"/>
  <c r="O43" i="5" s="1"/>
  <c r="N154" i="5"/>
  <c r="O154" i="5" s="1"/>
  <c r="N233" i="5"/>
  <c r="O233" i="5" s="1"/>
  <c r="N242" i="5"/>
  <c r="O242" i="5" s="1"/>
  <c r="N159" i="5"/>
  <c r="O159" i="5" s="1"/>
  <c r="N183" i="5"/>
  <c r="O183" i="5" s="1"/>
  <c r="N71" i="5"/>
  <c r="O71" i="5" s="1"/>
  <c r="N32" i="5"/>
  <c r="O32" i="5" s="1"/>
  <c r="N49" i="5"/>
  <c r="O49" i="5" s="1"/>
  <c r="N73" i="5"/>
  <c r="O73" i="5" s="1"/>
  <c r="N270" i="5"/>
  <c r="O270" i="5" s="1"/>
  <c r="N117" i="5"/>
  <c r="O117" i="5" s="1"/>
  <c r="N168" i="5"/>
  <c r="O168" i="5" s="1"/>
  <c r="N94" i="5"/>
  <c r="O94" i="5" s="1"/>
  <c r="N48" i="5"/>
  <c r="O48" i="5" s="1"/>
  <c r="N215" i="5"/>
  <c r="O215" i="5" s="1"/>
  <c r="N84" i="5"/>
  <c r="O84" i="5" s="1"/>
  <c r="N288" i="5"/>
  <c r="O288" i="5" s="1"/>
  <c r="N42" i="5"/>
  <c r="O42" i="5" s="1"/>
  <c r="N125" i="5"/>
  <c r="O125" i="5" s="1"/>
  <c r="N35" i="5"/>
  <c r="O35" i="5" s="1"/>
  <c r="N145" i="5"/>
  <c r="O145" i="5" s="1"/>
  <c r="N196" i="5"/>
  <c r="O196" i="5" s="1"/>
  <c r="N239" i="5"/>
  <c r="O239" i="5" s="1"/>
  <c r="N296" i="5"/>
  <c r="O296" i="5" s="1"/>
  <c r="N55" i="5"/>
  <c r="O55" i="5" s="1"/>
  <c r="N221" i="5"/>
  <c r="O221" i="5" s="1"/>
  <c r="N181" i="5"/>
  <c r="O181" i="5" s="1"/>
  <c r="N58" i="5"/>
  <c r="O58" i="5" s="1"/>
  <c r="N22" i="5"/>
  <c r="O22" i="5" s="1"/>
  <c r="N290" i="5"/>
  <c r="O290" i="5" s="1"/>
  <c r="N259" i="5"/>
  <c r="O259" i="5" s="1"/>
  <c r="N203" i="5"/>
  <c r="O203" i="5" s="1"/>
  <c r="N129" i="5"/>
  <c r="O129" i="5" s="1"/>
  <c r="N231" i="5"/>
  <c r="O231" i="5" s="1"/>
  <c r="N39" i="5"/>
  <c r="O39" i="5" s="1"/>
  <c r="N271" i="5"/>
  <c r="O271" i="5" s="1"/>
  <c r="N103" i="5"/>
  <c r="O103" i="5" s="1"/>
  <c r="N142" i="5"/>
  <c r="O142" i="5" s="1"/>
  <c r="N185" i="5"/>
  <c r="O185" i="5" s="1"/>
  <c r="N75" i="5"/>
  <c r="O75" i="5" s="1"/>
  <c r="N235" i="5"/>
  <c r="O235" i="5" s="1"/>
  <c r="N156" i="5"/>
  <c r="O156" i="5" s="1"/>
  <c r="N96" i="5"/>
  <c r="O96" i="5" s="1"/>
  <c r="N245" i="5"/>
  <c r="O245" i="5" s="1"/>
  <c r="N147" i="5"/>
  <c r="O147" i="5" s="1"/>
  <c r="N193" i="5"/>
  <c r="O193" i="5" s="1"/>
  <c r="N240" i="5"/>
  <c r="O240" i="5" s="1"/>
  <c r="N173" i="5"/>
  <c r="O173" i="5" s="1"/>
  <c r="N243" i="5"/>
  <c r="O243" i="5" s="1"/>
  <c r="N51" i="5"/>
  <c r="O51" i="5" s="1"/>
  <c r="N204" i="5"/>
  <c r="O204" i="5" s="1"/>
  <c r="N152" i="5"/>
  <c r="O152" i="5" s="1"/>
  <c r="N295" i="5"/>
  <c r="O295" i="5" s="1"/>
  <c r="N77" i="5"/>
  <c r="O77" i="5" s="1"/>
  <c r="N180" i="5"/>
  <c r="O180" i="5" s="1"/>
  <c r="N53" i="5"/>
  <c r="O53" i="5" s="1"/>
  <c r="N175" i="5"/>
  <c r="O175" i="5" s="1"/>
  <c r="N14" i="5"/>
  <c r="O14" i="5" s="1"/>
  <c r="N130" i="5"/>
  <c r="O130" i="5" s="1"/>
  <c r="N97" i="5"/>
  <c r="O97" i="5" s="1"/>
  <c r="N82" i="5"/>
  <c r="O82" i="5" s="1"/>
  <c r="N273" i="5"/>
  <c r="O273" i="5" s="1"/>
  <c r="N281" i="5"/>
  <c r="O281" i="5" s="1"/>
  <c r="N115" i="5"/>
  <c r="O115" i="5" s="1"/>
  <c r="N21" i="5"/>
  <c r="O21" i="5" s="1"/>
  <c r="N155" i="5"/>
  <c r="O155" i="5" s="1"/>
  <c r="N15" i="5"/>
  <c r="O15" i="5" s="1"/>
  <c r="N307" i="5"/>
  <c r="O307" i="5" s="1"/>
  <c r="N276" i="5"/>
  <c r="O276" i="5" s="1"/>
  <c r="N60" i="5"/>
  <c r="N169" i="5"/>
  <c r="O169" i="5" s="1"/>
  <c r="N248" i="5"/>
  <c r="O248" i="5" s="1"/>
  <c r="N50" i="5"/>
  <c r="O50" i="5" s="1"/>
  <c r="N230" i="5"/>
  <c r="O230" i="5" s="1"/>
  <c r="N110" i="5"/>
  <c r="O110" i="5" s="1"/>
  <c r="N189" i="5"/>
  <c r="O189" i="5" s="1"/>
  <c r="N54" i="5"/>
  <c r="O54" i="5" s="1"/>
  <c r="N59" i="5"/>
  <c r="O59" i="5" s="1"/>
  <c r="N277" i="5"/>
  <c r="O277" i="5" s="1"/>
  <c r="N268" i="5"/>
  <c r="O268" i="5" s="1"/>
  <c r="N26" i="5"/>
  <c r="O26" i="5" s="1"/>
  <c r="N27" i="5"/>
  <c r="O27" i="5" s="1"/>
  <c r="N119" i="5"/>
  <c r="O119" i="5" s="1"/>
  <c r="N44" i="5"/>
  <c r="O44" i="5" s="1"/>
  <c r="N41" i="5"/>
  <c r="O41" i="5" s="1"/>
  <c r="N126" i="5"/>
  <c r="O126" i="5" s="1"/>
  <c r="N298" i="5"/>
  <c r="O298" i="5" s="1"/>
  <c r="N90" i="5"/>
  <c r="O90" i="5" s="1"/>
  <c r="N138" i="5"/>
  <c r="O138" i="5" s="1"/>
  <c r="N40" i="5"/>
  <c r="O40" i="5" s="1"/>
  <c r="N93" i="5"/>
  <c r="O93" i="5" s="1"/>
  <c r="N92" i="5"/>
  <c r="O92" i="5" s="1"/>
  <c r="N104" i="5"/>
  <c r="O104" i="5" s="1"/>
  <c r="N287" i="5"/>
  <c r="O287" i="5" s="1"/>
  <c r="N109" i="5"/>
  <c r="O109" i="5" s="1"/>
  <c r="N255" i="5"/>
  <c r="O255" i="5" s="1"/>
  <c r="N294" i="5"/>
  <c r="O294" i="5" s="1"/>
  <c r="N191" i="5"/>
  <c r="O191" i="5" s="1"/>
  <c r="N246" i="5"/>
  <c r="O246" i="5" s="1"/>
  <c r="N229" i="5"/>
  <c r="O229" i="5" s="1"/>
  <c r="N274" i="5"/>
  <c r="O274" i="5" s="1"/>
  <c r="N228" i="5"/>
  <c r="O228" i="5" s="1"/>
  <c r="N253" i="5"/>
  <c r="O253" i="5" s="1"/>
  <c r="N88" i="5"/>
  <c r="O88" i="5" s="1"/>
  <c r="N205" i="5"/>
  <c r="O205" i="5" s="1"/>
  <c r="N232" i="5"/>
  <c r="O232" i="5" s="1"/>
  <c r="N29" i="5"/>
  <c r="O29" i="5" s="1"/>
  <c r="N101" i="5"/>
  <c r="O101" i="5" s="1"/>
  <c r="N202" i="5"/>
  <c r="O202" i="5" s="1"/>
  <c r="N61" i="5"/>
  <c r="N184" i="5"/>
  <c r="O184" i="5" s="1"/>
  <c r="N238" i="5"/>
  <c r="O238" i="5" s="1"/>
  <c r="N162" i="5"/>
  <c r="O162" i="5" s="1"/>
  <c r="N98" i="5"/>
  <c r="O98" i="5" s="1"/>
  <c r="N279" i="5"/>
  <c r="O279" i="5" s="1"/>
  <c r="N234" i="5"/>
  <c r="O234" i="5" s="1"/>
  <c r="N64" i="5"/>
  <c r="O64" i="5" s="1"/>
  <c r="N261" i="5"/>
  <c r="O261" i="5" s="1"/>
  <c r="N34" i="5"/>
  <c r="O34" i="5" s="1"/>
  <c r="N186" i="5"/>
  <c r="O186" i="5" s="1"/>
  <c r="N190" i="5"/>
  <c r="O190" i="5" s="1"/>
  <c r="N83" i="5"/>
  <c r="O83" i="5" s="1"/>
  <c r="N46" i="5"/>
  <c r="O46" i="5" s="1"/>
  <c r="N282" i="5"/>
  <c r="O282" i="5" s="1"/>
  <c r="N69" i="5"/>
  <c r="O69" i="5" s="1"/>
  <c r="N292" i="5"/>
  <c r="O292" i="5" s="1"/>
  <c r="N219" i="5"/>
  <c r="O219" i="5" s="1"/>
  <c r="N11" i="5"/>
  <c r="O11" i="5" s="1"/>
  <c r="N158" i="5"/>
  <c r="O158" i="5" s="1"/>
  <c r="N56" i="5"/>
  <c r="O56" i="5" s="1"/>
  <c r="N300" i="5"/>
  <c r="O300" i="5" s="1"/>
  <c r="N176" i="5"/>
  <c r="O176" i="5" s="1"/>
  <c r="N136" i="5"/>
  <c r="O136" i="5" s="1"/>
  <c r="N211" i="5"/>
  <c r="O211" i="5" s="1"/>
  <c r="N254" i="5"/>
  <c r="O254" i="5" s="1"/>
  <c r="N278" i="5"/>
  <c r="O278" i="5" s="1"/>
  <c r="N123" i="5"/>
  <c r="O123" i="5" s="1"/>
  <c r="N17" i="5"/>
  <c r="O17" i="5" s="1"/>
  <c r="N251" i="5"/>
  <c r="O251" i="5" s="1"/>
  <c r="N174" i="5"/>
  <c r="O174" i="5" s="1"/>
  <c r="N24" i="5"/>
  <c r="O24" i="5" s="1"/>
  <c r="N66" i="5"/>
  <c r="O66" i="5" s="1"/>
  <c r="N89" i="5"/>
  <c r="O89" i="5" s="1"/>
  <c r="N33" i="5"/>
  <c r="O33" i="5" s="1"/>
  <c r="N194" i="5"/>
  <c r="O194" i="5" s="1"/>
  <c r="N199" i="5"/>
  <c r="O199" i="5" s="1"/>
  <c r="N105" i="5"/>
  <c r="O105" i="5" s="1"/>
  <c r="N212" i="5"/>
  <c r="O212" i="5" s="1"/>
  <c r="N280" i="5"/>
  <c r="O280" i="5" s="1"/>
  <c r="N114" i="5"/>
  <c r="O114" i="5" s="1"/>
  <c r="N244" i="5"/>
  <c r="O244" i="5" s="1"/>
  <c r="N113" i="5"/>
  <c r="O113" i="5" s="1"/>
  <c r="N95" i="5"/>
  <c r="O95" i="5" s="1"/>
  <c r="N107" i="5"/>
  <c r="O107" i="5" s="1"/>
  <c r="N19" i="5"/>
  <c r="O19" i="5" s="1"/>
  <c r="N305" i="5"/>
  <c r="O305" i="5" s="1"/>
  <c r="N91" i="5"/>
  <c r="O91" i="5" s="1"/>
  <c r="N81" i="5"/>
  <c r="O81" i="5" s="1"/>
  <c r="N267" i="5"/>
  <c r="O267" i="5" s="1"/>
  <c r="N164" i="5"/>
  <c r="O164" i="5" s="1"/>
  <c r="N86" i="5"/>
  <c r="O86" i="5" s="1"/>
  <c r="N153" i="5"/>
  <c r="O153" i="5" s="1"/>
  <c r="N79" i="5"/>
  <c r="O79" i="5" s="1"/>
  <c r="N132" i="5"/>
  <c r="O132" i="5" s="1"/>
  <c r="N72" i="5"/>
  <c r="O72" i="5" s="1"/>
  <c r="N124" i="5"/>
  <c r="O124" i="5" s="1"/>
  <c r="N269" i="5"/>
  <c r="O269" i="5" s="1"/>
  <c r="N160" i="5"/>
  <c r="O160" i="5" s="1"/>
  <c r="AL199" i="12"/>
  <c r="AL202" i="12" s="1"/>
  <c r="AL198" i="12"/>
  <c r="FR26" i="12"/>
  <c r="IK22" i="12"/>
  <c r="IL22" i="12" s="1"/>
  <c r="AL206" i="12"/>
  <c r="AQ26" i="12"/>
  <c r="AQ27" i="12" s="1"/>
  <c r="GQ26" i="12"/>
  <c r="FT26" i="12" s="1"/>
  <c r="II26" i="12"/>
  <c r="IK26" i="12" s="1"/>
  <c r="IL26" i="12" s="1"/>
  <c r="AS27" i="12"/>
  <c r="FV26" i="12"/>
  <c r="GQ27" i="12"/>
  <c r="GU27" i="12" s="1"/>
  <c r="GV27" i="12" s="1"/>
  <c r="FG26" i="12"/>
  <c r="R27" i="12"/>
  <c r="FM26" i="12"/>
  <c r="FO26" i="12" s="1"/>
  <c r="BG26" i="12"/>
  <c r="CK26" i="12"/>
  <c r="CD26" i="12"/>
  <c r="R26" i="12"/>
  <c r="BG27" i="12"/>
  <c r="FM27" i="12"/>
  <c r="FO27" i="12" s="1"/>
  <c r="FG27" i="12"/>
  <c r="CK27" i="12"/>
  <c r="FQ27" i="12"/>
  <c r="CD27" i="12"/>
  <c r="Z28" i="12"/>
  <c r="Y33" i="12"/>
  <c r="Y34" i="12" s="1"/>
  <c r="FO25" i="12"/>
  <c r="FN25" i="12"/>
  <c r="IK27" i="12"/>
  <c r="IL27" i="12" s="1"/>
  <c r="AL210" i="12"/>
  <c r="IJ23" i="12"/>
  <c r="IK23" i="12" s="1"/>
  <c r="IL23" i="12" s="1"/>
  <c r="AR25" i="12"/>
  <c r="O60" i="5" l="1"/>
  <c r="AL208" i="12"/>
  <c r="AL204" i="12"/>
  <c r="AL203" i="12"/>
  <c r="IJ24" i="12"/>
  <c r="IK24" i="12" s="1"/>
  <c r="IL24" i="12" s="1"/>
  <c r="AL212" i="12"/>
  <c r="GU26" i="12"/>
  <c r="GV26" i="12" s="1"/>
  <c r="Z29" i="12"/>
  <c r="AE29" i="12" s="1"/>
  <c r="Y35" i="12"/>
  <c r="FN26" i="12"/>
  <c r="FT27" i="12"/>
  <c r="FN27" i="12"/>
  <c r="AG28" i="12"/>
  <c r="AQ28" i="12" s="1"/>
  <c r="AB28" i="12"/>
  <c r="AJ28" i="12"/>
  <c r="AI28" i="12"/>
  <c r="AS28" i="12" s="1"/>
  <c r="AE28" i="12"/>
  <c r="AA28" i="12"/>
  <c r="AC28" i="12"/>
  <c r="AH28" i="12"/>
  <c r="AD28" i="12"/>
  <c r="Z30" i="12"/>
  <c r="Y36" i="12"/>
  <c r="Z31" i="12" s="1"/>
  <c r="AL216" i="12"/>
  <c r="AL217" i="12" s="1"/>
  <c r="AR26" i="12"/>
  <c r="B40" i="5"/>
  <c r="B44" i="5"/>
  <c r="O61" i="5" l="1"/>
  <c r="AL209" i="12"/>
  <c r="AL211" i="12" s="1"/>
  <c r="AA29" i="12"/>
  <c r="GQ29" i="12" s="1"/>
  <c r="GU29" i="12" s="1"/>
  <c r="GV29" i="12" s="1"/>
  <c r="IJ25" i="12"/>
  <c r="IK25" i="12" s="1"/>
  <c r="IL25" i="12" s="1"/>
  <c r="AC29" i="12"/>
  <c r="AJ29" i="12"/>
  <c r="AB29" i="12"/>
  <c r="AD29" i="12"/>
  <c r="II29" i="12" s="1"/>
  <c r="AH29" i="12"/>
  <c r="AI29" i="12"/>
  <c r="AS29" i="12" s="1"/>
  <c r="AG29" i="12"/>
  <c r="AQ29" i="12" s="1"/>
  <c r="II28" i="12"/>
  <c r="IJ28" i="12"/>
  <c r="GQ28" i="12"/>
  <c r="GU28" i="12" s="1"/>
  <c r="GV28" i="12" s="1"/>
  <c r="FR28" i="12"/>
  <c r="FG28" i="12"/>
  <c r="FQ28" i="12"/>
  <c r="CK28" i="12"/>
  <c r="BG28" i="12"/>
  <c r="FV28" i="12"/>
  <c r="CD28" i="12"/>
  <c r="R28" i="12"/>
  <c r="FM28" i="12"/>
  <c r="FQ29" i="12"/>
  <c r="FR29" i="12"/>
  <c r="FG29" i="12"/>
  <c r="Y37" i="12"/>
  <c r="AD30" i="12"/>
  <c r="AH30" i="12"/>
  <c r="AE30" i="12"/>
  <c r="AI30" i="12"/>
  <c r="AC30" i="12"/>
  <c r="AB30" i="12"/>
  <c r="AA30" i="12"/>
  <c r="AG30" i="12"/>
  <c r="AJ30" i="12"/>
  <c r="AI31" i="12"/>
  <c r="AH31" i="12"/>
  <c r="AE31" i="12"/>
  <c r="AC31" i="12"/>
  <c r="AA31" i="12"/>
  <c r="AJ31" i="12"/>
  <c r="AD31" i="12"/>
  <c r="AB31" i="12"/>
  <c r="AG31" i="12"/>
  <c r="AL219" i="12"/>
  <c r="AL218" i="12"/>
  <c r="AM31" i="12" s="1"/>
  <c r="AN31" i="12" s="1"/>
  <c r="AO31" i="12" s="1"/>
  <c r="N47" i="12" s="1"/>
  <c r="AR27" i="12"/>
  <c r="O62" i="5" l="1"/>
  <c r="JE102" i="12" s="1"/>
  <c r="JF102" i="12" s="1"/>
  <c r="CD29" i="12"/>
  <c r="R29" i="12"/>
  <c r="BG29" i="12"/>
  <c r="FV29" i="12"/>
  <c r="CK29" i="12"/>
  <c r="FM29" i="12"/>
  <c r="FO29" i="12" s="1"/>
  <c r="IJ29" i="12"/>
  <c r="IK29" i="12" s="1"/>
  <c r="IL29" i="12" s="1"/>
  <c r="AQ30" i="12"/>
  <c r="AQ31" i="12" s="1"/>
  <c r="AS30" i="12"/>
  <c r="AS31" i="12" s="1"/>
  <c r="IK28" i="12"/>
  <c r="IL28" i="12" s="1"/>
  <c r="FO28" i="12"/>
  <c r="FN28" i="12"/>
  <c r="FT28" i="12"/>
  <c r="AM3" i="12"/>
  <c r="AM4" i="12"/>
  <c r="AN4" i="12" s="1"/>
  <c r="AO4" i="12" s="1"/>
  <c r="N20" i="12" s="1"/>
  <c r="AM7" i="12"/>
  <c r="AN7" i="12" s="1"/>
  <c r="AO7" i="12" s="1"/>
  <c r="N23" i="12" s="1"/>
  <c r="AM5" i="12"/>
  <c r="AN5" i="12" s="1"/>
  <c r="AO5" i="12" s="1"/>
  <c r="N21" i="12" s="1"/>
  <c r="AM9" i="12"/>
  <c r="AN9" i="12" s="1"/>
  <c r="AO9" i="12" s="1"/>
  <c r="N25" i="12" s="1"/>
  <c r="AM6" i="12"/>
  <c r="AN6" i="12" s="1"/>
  <c r="AO6" i="12" s="1"/>
  <c r="N22" i="12" s="1"/>
  <c r="AM8" i="12"/>
  <c r="AN8" i="12" s="1"/>
  <c r="AO8" i="12" s="1"/>
  <c r="N24" i="12" s="1"/>
  <c r="AM12" i="12"/>
  <c r="AN12" i="12" s="1"/>
  <c r="AO12" i="12" s="1"/>
  <c r="N28" i="12" s="1"/>
  <c r="AM11" i="12"/>
  <c r="AN11" i="12" s="1"/>
  <c r="AO11" i="12" s="1"/>
  <c r="N27" i="12" s="1"/>
  <c r="AM13" i="12"/>
  <c r="AN13" i="12" s="1"/>
  <c r="AO13" i="12" s="1"/>
  <c r="N29" i="12" s="1"/>
  <c r="AM10" i="12"/>
  <c r="AN10" i="12" s="1"/>
  <c r="AO10" i="12" s="1"/>
  <c r="N26" i="12" s="1"/>
  <c r="AM14" i="12"/>
  <c r="AN14" i="12" s="1"/>
  <c r="AO14" i="12" s="1"/>
  <c r="N30" i="12" s="1"/>
  <c r="AM16" i="12"/>
  <c r="AN16" i="12" s="1"/>
  <c r="AO16" i="12" s="1"/>
  <c r="N32" i="12" s="1"/>
  <c r="AM18" i="12"/>
  <c r="AN18" i="12" s="1"/>
  <c r="AO18" i="12" s="1"/>
  <c r="N34" i="12" s="1"/>
  <c r="AM17" i="12"/>
  <c r="AN17" i="12" s="1"/>
  <c r="AO17" i="12" s="1"/>
  <c r="N33" i="12" s="1"/>
  <c r="AM15" i="12"/>
  <c r="AN15" i="12" s="1"/>
  <c r="AO15" i="12" s="1"/>
  <c r="N31" i="12" s="1"/>
  <c r="AM20" i="12"/>
  <c r="AN20" i="12" s="1"/>
  <c r="AO20" i="12" s="1"/>
  <c r="N36" i="12" s="1"/>
  <c r="AM19" i="12"/>
  <c r="AN19" i="12" s="1"/>
  <c r="AO19" i="12" s="1"/>
  <c r="N35" i="12" s="1"/>
  <c r="AM21" i="12"/>
  <c r="AN21" i="12" s="1"/>
  <c r="AO21" i="12" s="1"/>
  <c r="N37" i="12" s="1"/>
  <c r="AM22" i="12"/>
  <c r="AN22" i="12" s="1"/>
  <c r="AO22" i="12" s="1"/>
  <c r="N38" i="12" s="1"/>
  <c r="AM23" i="12"/>
  <c r="AN23" i="12" s="1"/>
  <c r="AO23" i="12" s="1"/>
  <c r="N39" i="12" s="1"/>
  <c r="AM25" i="12"/>
  <c r="AN25" i="12" s="1"/>
  <c r="AO25" i="12" s="1"/>
  <c r="N41" i="12" s="1"/>
  <c r="AM24" i="12"/>
  <c r="AN24" i="12" s="1"/>
  <c r="AO24" i="12" s="1"/>
  <c r="N40" i="12" s="1"/>
  <c r="AM32" i="12"/>
  <c r="AN32" i="12" s="1"/>
  <c r="AO32" i="12" s="1"/>
  <c r="N48" i="12" s="1"/>
  <c r="AM30" i="12"/>
  <c r="AN30" i="12" s="1"/>
  <c r="AO30" i="12" s="1"/>
  <c r="N46" i="12" s="1"/>
  <c r="AM29" i="12"/>
  <c r="AN29" i="12" s="1"/>
  <c r="AO29" i="12" s="1"/>
  <c r="N45" i="12" s="1"/>
  <c r="AM27" i="12"/>
  <c r="AN27" i="12" s="1"/>
  <c r="AO27" i="12" s="1"/>
  <c r="N43" i="12" s="1"/>
  <c r="AM33" i="12"/>
  <c r="AN33" i="12" s="1"/>
  <c r="AO33" i="12" s="1"/>
  <c r="N49" i="12" s="1"/>
  <c r="AM26" i="12"/>
  <c r="AN26" i="12" s="1"/>
  <c r="AO26" i="12" s="1"/>
  <c r="N42" i="12" s="1"/>
  <c r="AM28" i="12"/>
  <c r="AN28" i="12" s="1"/>
  <c r="AO28" i="12" s="1"/>
  <c r="N44" i="12" s="1"/>
  <c r="FV30" i="12"/>
  <c r="R30" i="12"/>
  <c r="BG30" i="12"/>
  <c r="CK30" i="12"/>
  <c r="CD30" i="12"/>
  <c r="IJ31" i="12"/>
  <c r="II31" i="12"/>
  <c r="FR31" i="12"/>
  <c r="FQ31" i="12"/>
  <c r="GQ31" i="12"/>
  <c r="GU31" i="12" s="1"/>
  <c r="GV31" i="12" s="1"/>
  <c r="FG31" i="12"/>
  <c r="IJ30" i="12"/>
  <c r="II30" i="12"/>
  <c r="FM31" i="12"/>
  <c r="FM30" i="12"/>
  <c r="FG30" i="12"/>
  <c r="GQ30" i="12"/>
  <c r="GU30" i="12" s="1"/>
  <c r="GV30" i="12" s="1"/>
  <c r="FR30" i="12"/>
  <c r="FQ30" i="12"/>
  <c r="Y38" i="12"/>
  <c r="Z33" i="12" s="1"/>
  <c r="FV31" i="12"/>
  <c r="R31" i="12"/>
  <c r="CK31" i="12"/>
  <c r="CD31" i="12"/>
  <c r="BG31" i="12"/>
  <c r="FT29" i="12"/>
  <c r="AM58" i="12"/>
  <c r="AN58" i="12" s="1"/>
  <c r="AO58" i="12" s="1"/>
  <c r="AM159" i="12"/>
  <c r="AN159" i="12" s="1"/>
  <c r="AO159" i="12" s="1"/>
  <c r="AM131" i="12"/>
  <c r="AN131" i="12" s="1"/>
  <c r="AO131" i="12" s="1"/>
  <c r="AM156" i="12"/>
  <c r="AN156" i="12" s="1"/>
  <c r="AO156" i="12" s="1"/>
  <c r="AM176" i="12"/>
  <c r="AN176" i="12" s="1"/>
  <c r="AO176" i="12" s="1"/>
  <c r="AM206" i="12"/>
  <c r="AN206" i="12" s="1"/>
  <c r="AO206" i="12" s="1"/>
  <c r="AM114" i="12"/>
  <c r="AN114" i="12" s="1"/>
  <c r="AO114" i="12" s="1"/>
  <c r="AM201" i="12"/>
  <c r="AN201" i="12" s="1"/>
  <c r="AO201" i="12" s="1"/>
  <c r="AM160" i="12"/>
  <c r="AN160" i="12" s="1"/>
  <c r="AO160" i="12" s="1"/>
  <c r="AM135" i="12"/>
  <c r="AN135" i="12" s="1"/>
  <c r="AO135" i="12" s="1"/>
  <c r="AM195" i="12"/>
  <c r="AN195" i="12" s="1"/>
  <c r="AO195" i="12" s="1"/>
  <c r="AM145" i="12"/>
  <c r="AN145" i="12" s="1"/>
  <c r="AO145" i="12" s="1"/>
  <c r="AM112" i="12"/>
  <c r="AN112" i="12" s="1"/>
  <c r="AO112" i="12" s="1"/>
  <c r="AM143" i="12"/>
  <c r="AN143" i="12" s="1"/>
  <c r="AO143" i="12" s="1"/>
  <c r="AM81" i="12"/>
  <c r="AN81" i="12" s="1"/>
  <c r="AO81" i="12" s="1"/>
  <c r="AM39" i="12"/>
  <c r="AN39" i="12" s="1"/>
  <c r="AO39" i="12" s="1"/>
  <c r="N55" i="12" s="1"/>
  <c r="AM65" i="12"/>
  <c r="AN65" i="12" s="1"/>
  <c r="AO65" i="12" s="1"/>
  <c r="AM142" i="12"/>
  <c r="AN142" i="12" s="1"/>
  <c r="AO142" i="12" s="1"/>
  <c r="AM77" i="12"/>
  <c r="AN77" i="12" s="1"/>
  <c r="AO77" i="12" s="1"/>
  <c r="AM162" i="12"/>
  <c r="AN162" i="12" s="1"/>
  <c r="AO162" i="12" s="1"/>
  <c r="AM62" i="12"/>
  <c r="AN62" i="12" s="1"/>
  <c r="AO62" i="12" s="1"/>
  <c r="AM76" i="12"/>
  <c r="AN76" i="12" s="1"/>
  <c r="AO76" i="12" s="1"/>
  <c r="AM166" i="12"/>
  <c r="AN166" i="12" s="1"/>
  <c r="AO166" i="12" s="1"/>
  <c r="AM100" i="12"/>
  <c r="AN100" i="12" s="1"/>
  <c r="AO100" i="12" s="1"/>
  <c r="AM105" i="12"/>
  <c r="AN105" i="12" s="1"/>
  <c r="AO105" i="12" s="1"/>
  <c r="AM119" i="12"/>
  <c r="AN119" i="12" s="1"/>
  <c r="AO119" i="12" s="1"/>
  <c r="AM53" i="12"/>
  <c r="AN53" i="12" s="1"/>
  <c r="AO53" i="12" s="1"/>
  <c r="AM139" i="12"/>
  <c r="AN139" i="12" s="1"/>
  <c r="AO139" i="12" s="1"/>
  <c r="AM127" i="12"/>
  <c r="AN127" i="12" s="1"/>
  <c r="AO127" i="12" s="1"/>
  <c r="AM194" i="12"/>
  <c r="AN194" i="12" s="1"/>
  <c r="AO194" i="12" s="1"/>
  <c r="AM212" i="12"/>
  <c r="AN212" i="12" s="1"/>
  <c r="AO212" i="12" s="1"/>
  <c r="AM61" i="12"/>
  <c r="AN61" i="12" s="1"/>
  <c r="AO61" i="12" s="1"/>
  <c r="AM54" i="12"/>
  <c r="AN54" i="12" s="1"/>
  <c r="AO54" i="12" s="1"/>
  <c r="AM60" i="12"/>
  <c r="AN60" i="12" s="1"/>
  <c r="AO60" i="12" s="1"/>
  <c r="AM152" i="12"/>
  <c r="AN152" i="12" s="1"/>
  <c r="AO152" i="12" s="1"/>
  <c r="AM73" i="12"/>
  <c r="AN73" i="12" s="1"/>
  <c r="AO73" i="12" s="1"/>
  <c r="AM118" i="12"/>
  <c r="AN118" i="12" s="1"/>
  <c r="AO118" i="12" s="1"/>
  <c r="AM86" i="12"/>
  <c r="AN86" i="12" s="1"/>
  <c r="AO86" i="12" s="1"/>
  <c r="AM67" i="12"/>
  <c r="AN67" i="12" s="1"/>
  <c r="AO67" i="12" s="1"/>
  <c r="AM111" i="12"/>
  <c r="AN111" i="12" s="1"/>
  <c r="AO111" i="12" s="1"/>
  <c r="AM153" i="12"/>
  <c r="AN153" i="12" s="1"/>
  <c r="AO153" i="12" s="1"/>
  <c r="AM113" i="12"/>
  <c r="AN113" i="12" s="1"/>
  <c r="AO113" i="12" s="1"/>
  <c r="AM93" i="12"/>
  <c r="AN93" i="12" s="1"/>
  <c r="AO93" i="12" s="1"/>
  <c r="AM184" i="12"/>
  <c r="AN184" i="12" s="1"/>
  <c r="AO184" i="12" s="1"/>
  <c r="AM42" i="12"/>
  <c r="AN42" i="12" s="1"/>
  <c r="AO42" i="12" s="1"/>
  <c r="N58" i="12" s="1"/>
  <c r="AM50" i="12"/>
  <c r="AN50" i="12" s="1"/>
  <c r="AO50" i="12" s="1"/>
  <c r="AM203" i="12"/>
  <c r="AN203" i="12" s="1"/>
  <c r="AO203" i="12" s="1"/>
  <c r="AM150" i="12"/>
  <c r="AN150" i="12" s="1"/>
  <c r="AO150" i="12" s="1"/>
  <c r="AM188" i="12"/>
  <c r="AN188" i="12" s="1"/>
  <c r="AO188" i="12" s="1"/>
  <c r="AM63" i="12"/>
  <c r="AN63" i="12" s="1"/>
  <c r="AO63" i="12" s="1"/>
  <c r="AM104" i="12"/>
  <c r="AN104" i="12" s="1"/>
  <c r="AO104" i="12" s="1"/>
  <c r="AM198" i="12"/>
  <c r="AN198" i="12" s="1"/>
  <c r="AO198" i="12" s="1"/>
  <c r="AM106" i="12"/>
  <c r="AN106" i="12" s="1"/>
  <c r="AO106" i="12" s="1"/>
  <c r="AM45" i="12"/>
  <c r="AN45" i="12" s="1"/>
  <c r="AO45" i="12" s="1"/>
  <c r="AM130" i="12"/>
  <c r="AN130" i="12" s="1"/>
  <c r="AO130" i="12" s="1"/>
  <c r="AM41" i="12"/>
  <c r="AN41" i="12" s="1"/>
  <c r="AO41" i="12" s="1"/>
  <c r="N57" i="12" s="1"/>
  <c r="AM91" i="12"/>
  <c r="AN91" i="12" s="1"/>
  <c r="AO91" i="12" s="1"/>
  <c r="AM148" i="12"/>
  <c r="AN148" i="12" s="1"/>
  <c r="AO148" i="12" s="1"/>
  <c r="AM217" i="12"/>
  <c r="AN217" i="12" s="1"/>
  <c r="AO217" i="12" s="1"/>
  <c r="AM197" i="12"/>
  <c r="AN197" i="12" s="1"/>
  <c r="AO197" i="12" s="1"/>
  <c r="AM163" i="12"/>
  <c r="AN163" i="12" s="1"/>
  <c r="AO163" i="12" s="1"/>
  <c r="AM144" i="12"/>
  <c r="AN144" i="12" s="1"/>
  <c r="AO144" i="12" s="1"/>
  <c r="AM110" i="12"/>
  <c r="AN110" i="12" s="1"/>
  <c r="AO110" i="12" s="1"/>
  <c r="AM87" i="12"/>
  <c r="AN87" i="12" s="1"/>
  <c r="AO87" i="12" s="1"/>
  <c r="AM98" i="12"/>
  <c r="AN98" i="12" s="1"/>
  <c r="AO98" i="12" s="1"/>
  <c r="AM213" i="12"/>
  <c r="AN213" i="12" s="1"/>
  <c r="AO213" i="12" s="1"/>
  <c r="AM59" i="12"/>
  <c r="AN59" i="12" s="1"/>
  <c r="AO59" i="12" s="1"/>
  <c r="AM75" i="12"/>
  <c r="AN75" i="12" s="1"/>
  <c r="AO75" i="12" s="1"/>
  <c r="AM78" i="12"/>
  <c r="AN78" i="12" s="1"/>
  <c r="AO78" i="12" s="1"/>
  <c r="AM55" i="12"/>
  <c r="AN55" i="12" s="1"/>
  <c r="AO55" i="12" s="1"/>
  <c r="AM107" i="12"/>
  <c r="AN107" i="12" s="1"/>
  <c r="AO107" i="12" s="1"/>
  <c r="AM35" i="12"/>
  <c r="AN35" i="12" s="1"/>
  <c r="AO35" i="12" s="1"/>
  <c r="N51" i="12" s="1"/>
  <c r="AM129" i="12"/>
  <c r="AN129" i="12" s="1"/>
  <c r="AO129" i="12" s="1"/>
  <c r="AM186" i="12"/>
  <c r="AN186" i="12" s="1"/>
  <c r="AO186" i="12" s="1"/>
  <c r="AM204" i="12"/>
  <c r="AN204" i="12" s="1"/>
  <c r="AO204" i="12" s="1"/>
  <c r="AM134" i="12"/>
  <c r="AN134" i="12" s="1"/>
  <c r="AO134" i="12" s="1"/>
  <c r="AM205" i="12"/>
  <c r="AN205" i="12" s="1"/>
  <c r="AO205" i="12" s="1"/>
  <c r="AM94" i="12"/>
  <c r="AN94" i="12" s="1"/>
  <c r="AO94" i="12" s="1"/>
  <c r="AM161" i="12"/>
  <c r="AN161" i="12" s="1"/>
  <c r="AO161" i="12" s="1"/>
  <c r="AM95" i="12"/>
  <c r="AN95" i="12" s="1"/>
  <c r="AO95" i="12" s="1"/>
  <c r="AM88" i="12"/>
  <c r="AN88" i="12" s="1"/>
  <c r="AO88" i="12" s="1"/>
  <c r="AM215" i="12"/>
  <c r="AN215" i="12" s="1"/>
  <c r="AO215" i="12" s="1"/>
  <c r="AM56" i="12"/>
  <c r="AN56" i="12" s="1"/>
  <c r="AO56" i="12" s="1"/>
  <c r="AM116" i="12"/>
  <c r="AN116" i="12" s="1"/>
  <c r="AO116" i="12" s="1"/>
  <c r="AM185" i="12"/>
  <c r="AN185" i="12" s="1"/>
  <c r="AO185" i="12" s="1"/>
  <c r="AM124" i="12"/>
  <c r="AN124" i="12" s="1"/>
  <c r="AO124" i="12" s="1"/>
  <c r="AM209" i="12"/>
  <c r="AN209" i="12" s="1"/>
  <c r="AO209" i="12" s="1"/>
  <c r="AM218" i="12"/>
  <c r="AN218" i="12" s="1"/>
  <c r="AO218" i="12" s="1"/>
  <c r="AM173" i="12"/>
  <c r="AN173" i="12" s="1"/>
  <c r="AO173" i="12" s="1"/>
  <c r="AM46" i="12"/>
  <c r="AN46" i="12" s="1"/>
  <c r="AO46" i="12" s="1"/>
  <c r="AM84" i="12"/>
  <c r="AN84" i="12" s="1"/>
  <c r="AO84" i="12" s="1"/>
  <c r="AM40" i="12"/>
  <c r="AN40" i="12" s="1"/>
  <c r="AO40" i="12" s="1"/>
  <c r="N56" i="12" s="1"/>
  <c r="AM179" i="12"/>
  <c r="AN179" i="12" s="1"/>
  <c r="AO179" i="12" s="1"/>
  <c r="AM83" i="12"/>
  <c r="AN83" i="12" s="1"/>
  <c r="AO83" i="12" s="1"/>
  <c r="AM74" i="12"/>
  <c r="AN74" i="12" s="1"/>
  <c r="AO74" i="12" s="1"/>
  <c r="AM177" i="12"/>
  <c r="AN177" i="12" s="1"/>
  <c r="AO177" i="12" s="1"/>
  <c r="AM120" i="12"/>
  <c r="AN120" i="12" s="1"/>
  <c r="AO120" i="12" s="1"/>
  <c r="AM123" i="12"/>
  <c r="AN123" i="12" s="1"/>
  <c r="AO123" i="12" s="1"/>
  <c r="AM174" i="12"/>
  <c r="AN174" i="12" s="1"/>
  <c r="AO174" i="12" s="1"/>
  <c r="AM175" i="12"/>
  <c r="AN175" i="12" s="1"/>
  <c r="AO175" i="12" s="1"/>
  <c r="AM180" i="12"/>
  <c r="AN180" i="12" s="1"/>
  <c r="AO180" i="12" s="1"/>
  <c r="AM155" i="12"/>
  <c r="AN155" i="12" s="1"/>
  <c r="AO155" i="12" s="1"/>
  <c r="AM207" i="12"/>
  <c r="AN207" i="12" s="1"/>
  <c r="AO207" i="12" s="1"/>
  <c r="AM187" i="12"/>
  <c r="AN187" i="12" s="1"/>
  <c r="AO187" i="12" s="1"/>
  <c r="AM164" i="12"/>
  <c r="AN164" i="12" s="1"/>
  <c r="AO164" i="12" s="1"/>
  <c r="AM34" i="12"/>
  <c r="AN34" i="12" s="1"/>
  <c r="AO34" i="12" s="1"/>
  <c r="N50" i="12" s="1"/>
  <c r="AM103" i="12"/>
  <c r="AN103" i="12" s="1"/>
  <c r="AO103" i="12" s="1"/>
  <c r="AM85" i="12"/>
  <c r="AN85" i="12" s="1"/>
  <c r="AO85" i="12" s="1"/>
  <c r="AM196" i="12"/>
  <c r="AN196" i="12" s="1"/>
  <c r="AO196" i="12" s="1"/>
  <c r="AM172" i="12"/>
  <c r="AN172" i="12" s="1"/>
  <c r="AO172" i="12" s="1"/>
  <c r="AM132" i="12"/>
  <c r="AN132" i="12" s="1"/>
  <c r="AO132" i="12" s="1"/>
  <c r="AM154" i="12"/>
  <c r="AN154" i="12" s="1"/>
  <c r="AO154" i="12" s="1"/>
  <c r="AM43" i="12"/>
  <c r="AN43" i="12" s="1"/>
  <c r="AO43" i="12" s="1"/>
  <c r="N59" i="12" s="1"/>
  <c r="AM99" i="12"/>
  <c r="AN99" i="12" s="1"/>
  <c r="AO99" i="12" s="1"/>
  <c r="AM36" i="12"/>
  <c r="AN36" i="12" s="1"/>
  <c r="AO36" i="12" s="1"/>
  <c r="N52" i="12" s="1"/>
  <c r="AM169" i="12"/>
  <c r="AN169" i="12" s="1"/>
  <c r="AO169" i="12" s="1"/>
  <c r="AM158" i="12"/>
  <c r="AN158" i="12" s="1"/>
  <c r="AO158" i="12" s="1"/>
  <c r="AM183" i="12"/>
  <c r="AN183" i="12" s="1"/>
  <c r="AO183" i="12" s="1"/>
  <c r="AM121" i="12"/>
  <c r="AN121" i="12" s="1"/>
  <c r="AO121" i="12" s="1"/>
  <c r="AM140" i="12"/>
  <c r="AN140" i="12" s="1"/>
  <c r="AO140" i="12" s="1"/>
  <c r="AM96" i="12"/>
  <c r="AN96" i="12" s="1"/>
  <c r="AO96" i="12" s="1"/>
  <c r="AM57" i="12"/>
  <c r="AN57" i="12" s="1"/>
  <c r="AO57" i="12" s="1"/>
  <c r="AM49" i="12"/>
  <c r="AN49" i="12" s="1"/>
  <c r="AO49" i="12" s="1"/>
  <c r="AM48" i="12"/>
  <c r="AN48" i="12" s="1"/>
  <c r="AO48" i="12" s="1"/>
  <c r="AM181" i="12"/>
  <c r="AN181" i="12" s="1"/>
  <c r="AO181" i="12" s="1"/>
  <c r="AM115" i="12"/>
  <c r="AN115" i="12" s="1"/>
  <c r="AO115" i="12" s="1"/>
  <c r="AM192" i="12"/>
  <c r="AN192" i="12" s="1"/>
  <c r="AO192" i="12" s="1"/>
  <c r="AM52" i="12"/>
  <c r="AN52" i="12" s="1"/>
  <c r="AO52" i="12" s="1"/>
  <c r="AM141" i="12"/>
  <c r="AN141" i="12" s="1"/>
  <c r="AO141" i="12" s="1"/>
  <c r="AM210" i="12"/>
  <c r="AN210" i="12" s="1"/>
  <c r="AO210" i="12" s="1"/>
  <c r="AM165" i="12"/>
  <c r="AN165" i="12" s="1"/>
  <c r="AO165" i="12" s="1"/>
  <c r="AM72" i="12"/>
  <c r="AN72" i="12" s="1"/>
  <c r="AO72" i="12" s="1"/>
  <c r="AM199" i="12"/>
  <c r="AN199" i="12" s="1"/>
  <c r="AO199" i="12" s="1"/>
  <c r="AM220" i="12"/>
  <c r="AN220" i="12" s="1"/>
  <c r="AO220" i="12" s="1"/>
  <c r="AM170" i="12"/>
  <c r="AN170" i="12" s="1"/>
  <c r="AO170" i="12" s="1"/>
  <c r="AM66" i="12"/>
  <c r="AN66" i="12" s="1"/>
  <c r="AO66" i="12" s="1"/>
  <c r="AM214" i="12"/>
  <c r="AN214" i="12" s="1"/>
  <c r="AO214" i="12" s="1"/>
  <c r="AM149" i="12"/>
  <c r="AN149" i="12" s="1"/>
  <c r="AO149" i="12" s="1"/>
  <c r="AM136" i="12"/>
  <c r="AN136" i="12" s="1"/>
  <c r="AO136" i="12" s="1"/>
  <c r="AM191" i="12"/>
  <c r="AN191" i="12" s="1"/>
  <c r="AO191" i="12" s="1"/>
  <c r="AM108" i="12"/>
  <c r="AN108" i="12" s="1"/>
  <c r="AO108" i="12" s="1"/>
  <c r="AM167" i="12"/>
  <c r="AN167" i="12" s="1"/>
  <c r="AO167" i="12" s="1"/>
  <c r="AM219" i="12"/>
  <c r="AN219" i="12" s="1"/>
  <c r="AO219" i="12" s="1"/>
  <c r="AM69" i="12"/>
  <c r="AN69" i="12" s="1"/>
  <c r="AO69" i="12" s="1"/>
  <c r="AM90" i="12"/>
  <c r="AN90" i="12" s="1"/>
  <c r="AO90" i="12" s="1"/>
  <c r="AM216" i="12"/>
  <c r="AN216" i="12" s="1"/>
  <c r="AO216" i="12" s="1"/>
  <c r="AM200" i="12"/>
  <c r="AN200" i="12" s="1"/>
  <c r="AO200" i="12" s="1"/>
  <c r="AM147" i="12"/>
  <c r="AN147" i="12" s="1"/>
  <c r="AO147" i="12" s="1"/>
  <c r="AM178" i="12"/>
  <c r="AN178" i="12" s="1"/>
  <c r="AO178" i="12" s="1"/>
  <c r="AM171" i="12"/>
  <c r="AN171" i="12" s="1"/>
  <c r="AO171" i="12" s="1"/>
  <c r="AM92" i="12"/>
  <c r="AN92" i="12" s="1"/>
  <c r="AO92" i="12" s="1"/>
  <c r="AM44" i="12"/>
  <c r="AN44" i="12" s="1"/>
  <c r="AO44" i="12" s="1"/>
  <c r="N60" i="12" s="1"/>
  <c r="AM117" i="12"/>
  <c r="AN117" i="12" s="1"/>
  <c r="AO117" i="12" s="1"/>
  <c r="AM82" i="12"/>
  <c r="AN82" i="12" s="1"/>
  <c r="AO82" i="12" s="1"/>
  <c r="AM64" i="12"/>
  <c r="AN64" i="12" s="1"/>
  <c r="AO64" i="12" s="1"/>
  <c r="AM146" i="12"/>
  <c r="AN146" i="12" s="1"/>
  <c r="AO146" i="12" s="1"/>
  <c r="AM51" i="12"/>
  <c r="AN51" i="12" s="1"/>
  <c r="AO51" i="12" s="1"/>
  <c r="AM79" i="12"/>
  <c r="AN79" i="12" s="1"/>
  <c r="AO79" i="12" s="1"/>
  <c r="AM189" i="12"/>
  <c r="AN189" i="12" s="1"/>
  <c r="AO189" i="12" s="1"/>
  <c r="AM101" i="12"/>
  <c r="AN101" i="12" s="1"/>
  <c r="AO101" i="12" s="1"/>
  <c r="AM37" i="12"/>
  <c r="AN37" i="12" s="1"/>
  <c r="AO37" i="12" s="1"/>
  <c r="N53" i="12" s="1"/>
  <c r="AM211" i="12"/>
  <c r="AN211" i="12" s="1"/>
  <c r="AO211" i="12" s="1"/>
  <c r="AM109" i="12"/>
  <c r="AN109" i="12" s="1"/>
  <c r="AO109" i="12" s="1"/>
  <c r="AM80" i="12"/>
  <c r="AN80" i="12" s="1"/>
  <c r="AO80" i="12" s="1"/>
  <c r="AM97" i="12"/>
  <c r="AN97" i="12" s="1"/>
  <c r="AO97" i="12" s="1"/>
  <c r="AM102" i="12"/>
  <c r="AN102" i="12" s="1"/>
  <c r="AO102" i="12" s="1"/>
  <c r="AM122" i="12"/>
  <c r="AN122" i="12" s="1"/>
  <c r="AO122" i="12" s="1"/>
  <c r="AM125" i="12"/>
  <c r="AN125" i="12" s="1"/>
  <c r="AO125" i="12" s="1"/>
  <c r="AM208" i="12"/>
  <c r="AN208" i="12" s="1"/>
  <c r="AO208" i="12" s="1"/>
  <c r="AM151" i="12"/>
  <c r="AN151" i="12" s="1"/>
  <c r="AO151" i="12" s="1"/>
  <c r="AM133" i="12"/>
  <c r="AN133" i="12" s="1"/>
  <c r="AO133" i="12" s="1"/>
  <c r="AM157" i="12"/>
  <c r="AN157" i="12" s="1"/>
  <c r="AO157" i="12" s="1"/>
  <c r="AM89" i="12"/>
  <c r="AN89" i="12" s="1"/>
  <c r="AO89" i="12" s="1"/>
  <c r="AM182" i="12"/>
  <c r="AN182" i="12" s="1"/>
  <c r="AO182" i="12" s="1"/>
  <c r="AM193" i="12"/>
  <c r="AN193" i="12" s="1"/>
  <c r="AO193" i="12" s="1"/>
  <c r="AM128" i="12"/>
  <c r="AN128" i="12" s="1"/>
  <c r="AO128" i="12" s="1"/>
  <c r="AM126" i="12"/>
  <c r="AN126" i="12" s="1"/>
  <c r="AO126" i="12" s="1"/>
  <c r="AM38" i="12"/>
  <c r="AN38" i="12" s="1"/>
  <c r="AO38" i="12" s="1"/>
  <c r="N54" i="12" s="1"/>
  <c r="AM138" i="12"/>
  <c r="AN138" i="12" s="1"/>
  <c r="AO138" i="12" s="1"/>
  <c r="AM68" i="12"/>
  <c r="AN68" i="12" s="1"/>
  <c r="AO68" i="12" s="1"/>
  <c r="AM190" i="12"/>
  <c r="AN190" i="12" s="1"/>
  <c r="AO190" i="12" s="1"/>
  <c r="AM202" i="12"/>
  <c r="AN202" i="12" s="1"/>
  <c r="AO202" i="12" s="1"/>
  <c r="AM47" i="12"/>
  <c r="AN47" i="12" s="1"/>
  <c r="AO47" i="12" s="1"/>
  <c r="AM168" i="12"/>
  <c r="AN168" i="12" s="1"/>
  <c r="AO168" i="12" s="1"/>
  <c r="AM137" i="12"/>
  <c r="AN137" i="12" s="1"/>
  <c r="AO137" i="12" s="1"/>
  <c r="AM71" i="12"/>
  <c r="AN71" i="12" s="1"/>
  <c r="AO71" i="12" s="1"/>
  <c r="AM70" i="12"/>
  <c r="AN70" i="12" s="1"/>
  <c r="AO70" i="12" s="1"/>
  <c r="AR28" i="12"/>
  <c r="AR29" i="12" s="1"/>
  <c r="JE3" i="12" l="1"/>
  <c r="JF3" i="12" s="1"/>
  <c r="JE88" i="12"/>
  <c r="JF88" i="12" s="1"/>
  <c r="JE15" i="12"/>
  <c r="JF15" i="12" s="1"/>
  <c r="JE16" i="12"/>
  <c r="JF16" i="12" s="1"/>
  <c r="JE110" i="12"/>
  <c r="JF110" i="12" s="1"/>
  <c r="JE72" i="12"/>
  <c r="JF72" i="12" s="1"/>
  <c r="JE44" i="12"/>
  <c r="JF44" i="12" s="1"/>
  <c r="JE25" i="12"/>
  <c r="JF25" i="12" s="1"/>
  <c r="JE66" i="12"/>
  <c r="JF66" i="12" s="1"/>
  <c r="JE94" i="12"/>
  <c r="JF94" i="12" s="1"/>
  <c r="JE18" i="12"/>
  <c r="JF18" i="12" s="1"/>
  <c r="JE47" i="12"/>
  <c r="JF47" i="12" s="1"/>
  <c r="JE19" i="12"/>
  <c r="JF19" i="12" s="1"/>
  <c r="JE91" i="12"/>
  <c r="JF91" i="12" s="1"/>
  <c r="JE52" i="12"/>
  <c r="JF52" i="12" s="1"/>
  <c r="JE12" i="12"/>
  <c r="JF12" i="12" s="1"/>
  <c r="JE89" i="12"/>
  <c r="JF89" i="12" s="1"/>
  <c r="JE7" i="12"/>
  <c r="JF7" i="12" s="1"/>
  <c r="JE99" i="12"/>
  <c r="JF99" i="12" s="1"/>
  <c r="JE96" i="12"/>
  <c r="JF96" i="12" s="1"/>
  <c r="JE75" i="12"/>
  <c r="JF75" i="12" s="1"/>
  <c r="JE24" i="12"/>
  <c r="JF24" i="12" s="1"/>
  <c r="JE60" i="12"/>
  <c r="JF60" i="12" s="1"/>
  <c r="JE124" i="12"/>
  <c r="JF124" i="12" s="1"/>
  <c r="JE107" i="12"/>
  <c r="JF107" i="12" s="1"/>
  <c r="JE106" i="12"/>
  <c r="JF106" i="12" s="1"/>
  <c r="JE8" i="12"/>
  <c r="JF8" i="12" s="1"/>
  <c r="JE45" i="12"/>
  <c r="JF45" i="12" s="1"/>
  <c r="JE104" i="12"/>
  <c r="JF104" i="12" s="1"/>
  <c r="JE53" i="12"/>
  <c r="JF53" i="12" s="1"/>
  <c r="JE123" i="12"/>
  <c r="JF123" i="12" s="1"/>
  <c r="JE69" i="12"/>
  <c r="JF69" i="12" s="1"/>
  <c r="JE64" i="12"/>
  <c r="JF64" i="12" s="1"/>
  <c r="JE101" i="12"/>
  <c r="JF101" i="12" s="1"/>
  <c r="JG102" i="12" s="1"/>
  <c r="JI102" i="12" s="1"/>
  <c r="JE33" i="12"/>
  <c r="JF33" i="12" s="1"/>
  <c r="JE71" i="12"/>
  <c r="JF71" i="12" s="1"/>
  <c r="JE56" i="12"/>
  <c r="JF56" i="12" s="1"/>
  <c r="JE85" i="12"/>
  <c r="JF85" i="12" s="1"/>
  <c r="JE78" i="12"/>
  <c r="JF78" i="12" s="1"/>
  <c r="JE48" i="12"/>
  <c r="JF48" i="12" s="1"/>
  <c r="JE13" i="12"/>
  <c r="JF13" i="12" s="1"/>
  <c r="JE30" i="12"/>
  <c r="JF30" i="12" s="1"/>
  <c r="JE119" i="12"/>
  <c r="JF119" i="12" s="1"/>
  <c r="JE43" i="12"/>
  <c r="JF43" i="12" s="1"/>
  <c r="JE46" i="12"/>
  <c r="JF46" i="12" s="1"/>
  <c r="JE109" i="12"/>
  <c r="JF109" i="12" s="1"/>
  <c r="JE87" i="12"/>
  <c r="JF87" i="12" s="1"/>
  <c r="JG88" i="12" s="1"/>
  <c r="JI88" i="12" s="1"/>
  <c r="JE113" i="12"/>
  <c r="JF113" i="12" s="1"/>
  <c r="JE81" i="12"/>
  <c r="JF81" i="12" s="1"/>
  <c r="JE17" i="12"/>
  <c r="JF17" i="12" s="1"/>
  <c r="JE54" i="12"/>
  <c r="JF54" i="12" s="1"/>
  <c r="JE23" i="12"/>
  <c r="JF23" i="12" s="1"/>
  <c r="JE31" i="12"/>
  <c r="JF31" i="12" s="1"/>
  <c r="JE84" i="12"/>
  <c r="JF84" i="12" s="1"/>
  <c r="JE20" i="12"/>
  <c r="JF20" i="12" s="1"/>
  <c r="JE98" i="12"/>
  <c r="JF98" i="12" s="1"/>
  <c r="JE112" i="12"/>
  <c r="JF112" i="12" s="1"/>
  <c r="JE77" i="12"/>
  <c r="JF77" i="12" s="1"/>
  <c r="JE34" i="12"/>
  <c r="JF34" i="12" s="1"/>
  <c r="JE61" i="12"/>
  <c r="JF61" i="12" s="1"/>
  <c r="JE38" i="12"/>
  <c r="JF38" i="12" s="1"/>
  <c r="JE116" i="12"/>
  <c r="JF116" i="12" s="1"/>
  <c r="JE82" i="12"/>
  <c r="JF82" i="12" s="1"/>
  <c r="JE100" i="12"/>
  <c r="JF100" i="12" s="1"/>
  <c r="JE51" i="12"/>
  <c r="JF51" i="12" s="1"/>
  <c r="JE65" i="12"/>
  <c r="JF65" i="12" s="1"/>
  <c r="JE14" i="12"/>
  <c r="JF14" i="12" s="1"/>
  <c r="JE79" i="12"/>
  <c r="JF79" i="12" s="1"/>
  <c r="JE122" i="12"/>
  <c r="JF122" i="12" s="1"/>
  <c r="JE108" i="12"/>
  <c r="JF108" i="12" s="1"/>
  <c r="JE118" i="12"/>
  <c r="JF118" i="12" s="1"/>
  <c r="JE90" i="12"/>
  <c r="JF90" i="12" s="1"/>
  <c r="JE95" i="12"/>
  <c r="JF95" i="12" s="1"/>
  <c r="JG95" i="12" s="1"/>
  <c r="JI95" i="12" s="1"/>
  <c r="JE76" i="12"/>
  <c r="JF76" i="12" s="1"/>
  <c r="JE6" i="12"/>
  <c r="JF6" i="12" s="1"/>
  <c r="JE114" i="12"/>
  <c r="JF114" i="12" s="1"/>
  <c r="JE115" i="12"/>
  <c r="JF115" i="12" s="1"/>
  <c r="JE9" i="12"/>
  <c r="JF9" i="12" s="1"/>
  <c r="JG9" i="12" s="1"/>
  <c r="JI9" i="12" s="1"/>
  <c r="JE37" i="12"/>
  <c r="JF37" i="12" s="1"/>
  <c r="JE11" i="12"/>
  <c r="JF11" i="12" s="1"/>
  <c r="JE74" i="12"/>
  <c r="JF74" i="12" s="1"/>
  <c r="JE22" i="12"/>
  <c r="JF22" i="12" s="1"/>
  <c r="JE80" i="12"/>
  <c r="JF80" i="12" s="1"/>
  <c r="JE10" i="12"/>
  <c r="JF10" i="12" s="1"/>
  <c r="JE29" i="12"/>
  <c r="JF29" i="12" s="1"/>
  <c r="JE28" i="12"/>
  <c r="JF28" i="12" s="1"/>
  <c r="JE86" i="12"/>
  <c r="JF86" i="12" s="1"/>
  <c r="JE59" i="12"/>
  <c r="JF59" i="12" s="1"/>
  <c r="JE5" i="12"/>
  <c r="JF5" i="12" s="1"/>
  <c r="JE97" i="12"/>
  <c r="JF97" i="12" s="1"/>
  <c r="JE62" i="12"/>
  <c r="JF62" i="12" s="1"/>
  <c r="JE103" i="12"/>
  <c r="JF103" i="12" s="1"/>
  <c r="JE68" i="12"/>
  <c r="JF68" i="12" s="1"/>
  <c r="JE40" i="12"/>
  <c r="JF40" i="12" s="1"/>
  <c r="JE93" i="12"/>
  <c r="JF93" i="12" s="1"/>
  <c r="JE35" i="12"/>
  <c r="JF35" i="12" s="1"/>
  <c r="JE42" i="12"/>
  <c r="JF42" i="12" s="1"/>
  <c r="JE111" i="12"/>
  <c r="JF111" i="12" s="1"/>
  <c r="JE50" i="12"/>
  <c r="JF50" i="12" s="1"/>
  <c r="JE67" i="12"/>
  <c r="JF67" i="12" s="1"/>
  <c r="JE57" i="12"/>
  <c r="JF57" i="12" s="1"/>
  <c r="JE92" i="12"/>
  <c r="JF92" i="12" s="1"/>
  <c r="JE4" i="12"/>
  <c r="JF4" i="12" s="1"/>
  <c r="JE105" i="12"/>
  <c r="JF105" i="12" s="1"/>
  <c r="JE55" i="12"/>
  <c r="JF55" i="12" s="1"/>
  <c r="JE39" i="12"/>
  <c r="JF39" i="12" s="1"/>
  <c r="JE120" i="12"/>
  <c r="JF120" i="12" s="1"/>
  <c r="JE27" i="12"/>
  <c r="JF27" i="12" s="1"/>
  <c r="JE58" i="12"/>
  <c r="JF58" i="12" s="1"/>
  <c r="JG58" i="12" s="1"/>
  <c r="JI58" i="12" s="1"/>
  <c r="JE21" i="12"/>
  <c r="JF21" i="12" s="1"/>
  <c r="JE70" i="12"/>
  <c r="JF70" i="12" s="1"/>
  <c r="JE117" i="12"/>
  <c r="JF117" i="12" s="1"/>
  <c r="JE121" i="12"/>
  <c r="JF121" i="12" s="1"/>
  <c r="JE83" i="12"/>
  <c r="JF83" i="12" s="1"/>
  <c r="JE26" i="12"/>
  <c r="JF26" i="12" s="1"/>
  <c r="JE49" i="12"/>
  <c r="JF49" i="12" s="1"/>
  <c r="JE32" i="12"/>
  <c r="JF32" i="12" s="1"/>
  <c r="JE41" i="12"/>
  <c r="JF41" i="12" s="1"/>
  <c r="JE73" i="12"/>
  <c r="JF73" i="12" s="1"/>
  <c r="JG73" i="12" s="1"/>
  <c r="JI73" i="12" s="1"/>
  <c r="JE36" i="12"/>
  <c r="JF36" i="12" s="1"/>
  <c r="JG36" i="12" s="1"/>
  <c r="JI36" i="12" s="1"/>
  <c r="JE63" i="12"/>
  <c r="JF63" i="12" s="1"/>
  <c r="FN29" i="12"/>
  <c r="AR30" i="12"/>
  <c r="AR31" i="12" s="1"/>
  <c r="AN3" i="12"/>
  <c r="AO3" i="12" s="1"/>
  <c r="N19" i="12" s="1"/>
  <c r="AP13" i="12"/>
  <c r="AF13" i="12" s="1"/>
  <c r="AP15" i="12"/>
  <c r="AF15" i="12" s="1"/>
  <c r="AP12" i="12"/>
  <c r="AF12" i="12" s="1"/>
  <c r="AP14" i="12"/>
  <c r="AF14" i="12" s="1"/>
  <c r="AP18" i="12"/>
  <c r="AF18" i="12" s="1"/>
  <c r="AP16" i="12"/>
  <c r="AF16" i="12" s="1"/>
  <c r="AP17" i="12"/>
  <c r="AF17" i="12" s="1"/>
  <c r="AP21" i="12"/>
  <c r="AF21" i="12" s="1"/>
  <c r="AP23" i="12"/>
  <c r="AF23" i="12" s="1"/>
  <c r="AP20" i="12"/>
  <c r="AF20" i="12" s="1"/>
  <c r="AP22" i="12"/>
  <c r="AF22" i="12" s="1"/>
  <c r="AP19" i="12"/>
  <c r="AF19" i="12" s="1"/>
  <c r="AP24" i="12"/>
  <c r="AF24" i="12" s="1"/>
  <c r="AP27" i="12"/>
  <c r="AF27" i="12" s="1"/>
  <c r="AP25" i="12"/>
  <c r="AF25" i="12" s="1"/>
  <c r="AP28" i="12"/>
  <c r="AF28" i="12" s="1"/>
  <c r="AP26" i="12"/>
  <c r="AF26" i="12" s="1"/>
  <c r="AP29" i="12"/>
  <c r="AF29" i="12" s="1"/>
  <c r="AP30" i="12"/>
  <c r="AF30" i="12" s="1"/>
  <c r="AP31" i="12"/>
  <c r="AF31" i="12" s="1"/>
  <c r="AC33" i="12"/>
  <c r="AB33" i="12"/>
  <c r="AA33" i="12"/>
  <c r="AG33" i="12"/>
  <c r="AH33" i="12"/>
  <c r="AE33" i="12"/>
  <c r="AI33" i="12"/>
  <c r="AD33" i="12"/>
  <c r="AJ33" i="12"/>
  <c r="AP33" i="12" s="1"/>
  <c r="AF33" i="12" s="1"/>
  <c r="FT31" i="12"/>
  <c r="FN31" i="12"/>
  <c r="FO31" i="12"/>
  <c r="FO30" i="12"/>
  <c r="FN30" i="12"/>
  <c r="Y39" i="12"/>
  <c r="IK30" i="12"/>
  <c r="IL30" i="12" s="1"/>
  <c r="IK31" i="12"/>
  <c r="IL31" i="12" s="1"/>
  <c r="JG100" i="12" l="1"/>
  <c r="JI100" i="12" s="1"/>
  <c r="JG72" i="12"/>
  <c r="JI72" i="12" s="1"/>
  <c r="JG79" i="12"/>
  <c r="JI79" i="12" s="1"/>
  <c r="JG61" i="12"/>
  <c r="JI61" i="12" s="1"/>
  <c r="JG44" i="12"/>
  <c r="JI44" i="12" s="1"/>
  <c r="JG45" i="12"/>
  <c r="JI45" i="12" s="1"/>
  <c r="JG114" i="12"/>
  <c r="JI114" i="12" s="1"/>
  <c r="JG48" i="12"/>
  <c r="JI48" i="12" s="1"/>
  <c r="JG89" i="12"/>
  <c r="JI89" i="12" s="1"/>
  <c r="JG26" i="12"/>
  <c r="JI26" i="12" s="1"/>
  <c r="JG67" i="12"/>
  <c r="JI67" i="12" s="1"/>
  <c r="JG16" i="12"/>
  <c r="JI16" i="12" s="1"/>
  <c r="JG110" i="12"/>
  <c r="JI110" i="12" s="1"/>
  <c r="JG111" i="12"/>
  <c r="JI111" i="12" s="1"/>
  <c r="JG97" i="12"/>
  <c r="JI97" i="12" s="1"/>
  <c r="JG57" i="12"/>
  <c r="JI57" i="12" s="1"/>
  <c r="JG52" i="12"/>
  <c r="JI52" i="12" s="1"/>
  <c r="JG13" i="12"/>
  <c r="JI13" i="12" s="1"/>
  <c r="JG53" i="12"/>
  <c r="JI53" i="12" s="1"/>
  <c r="JG25" i="12"/>
  <c r="JI25" i="12" s="1"/>
  <c r="JG19" i="12"/>
  <c r="JI19" i="12" s="1"/>
  <c r="JG8" i="12"/>
  <c r="JI8" i="12" s="1"/>
  <c r="JG107" i="12"/>
  <c r="JI107" i="12" s="1"/>
  <c r="JG120" i="12"/>
  <c r="JI120" i="12" s="1"/>
  <c r="JG62" i="12"/>
  <c r="JI62" i="12" s="1"/>
  <c r="JG20" i="12"/>
  <c r="JI20" i="12" s="1"/>
  <c r="JG54" i="12"/>
  <c r="JI54" i="12" s="1"/>
  <c r="JG92" i="12"/>
  <c r="JI92" i="12" s="1"/>
  <c r="JG76" i="12"/>
  <c r="JI76" i="12" s="1"/>
  <c r="JG65" i="12"/>
  <c r="JI65" i="12" s="1"/>
  <c r="JG63" i="12"/>
  <c r="JI63" i="12" s="1"/>
  <c r="JG83" i="12"/>
  <c r="JI83" i="12" s="1"/>
  <c r="JG21" i="12"/>
  <c r="JI21" i="12" s="1"/>
  <c r="JG124" i="12"/>
  <c r="JI124" i="12" s="1"/>
  <c r="JG35" i="12"/>
  <c r="JI35" i="12" s="1"/>
  <c r="JG121" i="12"/>
  <c r="JI121" i="12" s="1"/>
  <c r="JG49" i="12"/>
  <c r="JI49" i="12" s="1"/>
  <c r="JG46" i="12"/>
  <c r="JI46" i="12" s="1"/>
  <c r="JG33" i="12"/>
  <c r="JI33" i="12" s="1"/>
  <c r="JG117" i="12"/>
  <c r="JI117" i="12" s="1"/>
  <c r="JG80" i="12"/>
  <c r="JI80" i="12" s="1"/>
  <c r="JG34" i="12"/>
  <c r="JI34" i="12" s="1"/>
  <c r="JG96" i="12"/>
  <c r="JI96" i="12" s="1"/>
  <c r="JG39" i="12"/>
  <c r="JI39" i="12" s="1"/>
  <c r="JG82" i="12"/>
  <c r="JI82" i="12" s="1"/>
  <c r="JG10" i="12"/>
  <c r="JI10" i="12" s="1"/>
  <c r="JG115" i="12"/>
  <c r="JI115" i="12" s="1"/>
  <c r="JG27" i="12"/>
  <c r="JI27" i="12" s="1"/>
  <c r="JG41" i="12"/>
  <c r="JI41" i="12" s="1"/>
  <c r="JG40" i="12"/>
  <c r="JI40" i="12" s="1"/>
  <c r="JG28" i="12"/>
  <c r="JI28" i="12" s="1"/>
  <c r="JG22" i="12"/>
  <c r="JI22" i="12" s="1"/>
  <c r="JG109" i="12"/>
  <c r="JI109" i="12" s="1"/>
  <c r="JG108" i="12"/>
  <c r="JI108" i="12" s="1"/>
  <c r="JG116" i="12"/>
  <c r="JI116" i="12" s="1"/>
  <c r="JG77" i="12"/>
  <c r="JI77" i="12" s="1"/>
  <c r="JG84" i="12"/>
  <c r="JI84" i="12" s="1"/>
  <c r="JG85" i="12"/>
  <c r="JI85" i="12" s="1"/>
  <c r="JG18" i="12"/>
  <c r="JI18" i="12" s="1"/>
  <c r="JG17" i="12"/>
  <c r="JI17" i="12" s="1"/>
  <c r="JG64" i="12"/>
  <c r="JI64" i="12" s="1"/>
  <c r="JG55" i="12"/>
  <c r="JI55" i="12" s="1"/>
  <c r="JG56" i="12"/>
  <c r="JI56" i="12" s="1"/>
  <c r="JG43" i="12"/>
  <c r="JI43" i="12" s="1"/>
  <c r="JG42" i="12"/>
  <c r="JI42" i="12" s="1"/>
  <c r="JG68" i="12"/>
  <c r="JI68" i="12" s="1"/>
  <c r="JG69" i="12"/>
  <c r="JI69" i="12" s="1"/>
  <c r="JG30" i="12"/>
  <c r="JI30" i="12" s="1"/>
  <c r="JG29" i="12"/>
  <c r="JI29" i="12" s="1"/>
  <c r="JG74" i="12"/>
  <c r="JI74" i="12" s="1"/>
  <c r="JG122" i="12"/>
  <c r="JI122" i="12" s="1"/>
  <c r="JG123" i="12"/>
  <c r="JI123" i="12" s="1"/>
  <c r="JG38" i="12"/>
  <c r="JI38" i="12" s="1"/>
  <c r="JG112" i="12"/>
  <c r="JI112" i="12" s="1"/>
  <c r="JG32" i="12"/>
  <c r="JI32" i="12" s="1"/>
  <c r="JG31" i="12"/>
  <c r="JI31" i="12" s="1"/>
  <c r="JG81" i="12"/>
  <c r="JI81" i="12" s="1"/>
  <c r="JG119" i="12"/>
  <c r="JI119" i="12" s="1"/>
  <c r="JG75" i="12"/>
  <c r="JI75" i="12" s="1"/>
  <c r="JG105" i="12"/>
  <c r="JI105" i="12" s="1"/>
  <c r="JG106" i="12"/>
  <c r="JI106" i="12" s="1"/>
  <c r="JG104" i="12"/>
  <c r="JI104" i="12" s="1"/>
  <c r="JG103" i="12"/>
  <c r="JI103" i="12" s="1"/>
  <c r="JG60" i="12"/>
  <c r="JI60" i="12" s="1"/>
  <c r="JG59" i="12"/>
  <c r="JI59" i="12" s="1"/>
  <c r="JG12" i="12"/>
  <c r="JI12" i="12" s="1"/>
  <c r="JG11" i="12"/>
  <c r="JI11" i="12" s="1"/>
  <c r="JG91" i="12"/>
  <c r="JI91" i="12" s="1"/>
  <c r="JG90" i="12"/>
  <c r="JI90" i="12" s="1"/>
  <c r="JG99" i="12"/>
  <c r="JI99" i="12" s="1"/>
  <c r="JG98" i="12"/>
  <c r="JI98" i="12" s="1"/>
  <c r="JG24" i="12"/>
  <c r="JI24" i="12" s="1"/>
  <c r="JG23" i="12"/>
  <c r="JI23" i="12" s="1"/>
  <c r="JG113" i="12"/>
  <c r="JI113" i="12" s="1"/>
  <c r="JG47" i="12"/>
  <c r="JI47" i="12" s="1"/>
  <c r="JG66" i="12"/>
  <c r="JI66" i="12" s="1"/>
  <c r="JG71" i="12"/>
  <c r="JI71" i="12" s="1"/>
  <c r="JG70" i="12"/>
  <c r="JI70" i="12" s="1"/>
  <c r="JG51" i="12"/>
  <c r="JI51" i="12" s="1"/>
  <c r="JG50" i="12"/>
  <c r="JI50" i="12" s="1"/>
  <c r="JG93" i="12"/>
  <c r="JI93" i="12" s="1"/>
  <c r="JG94" i="12"/>
  <c r="JI94" i="12" s="1"/>
  <c r="JG87" i="12"/>
  <c r="JI87" i="12" s="1"/>
  <c r="JG86" i="12"/>
  <c r="JI86" i="12" s="1"/>
  <c r="JG37" i="12"/>
  <c r="JI37" i="12" s="1"/>
  <c r="JG118" i="12"/>
  <c r="JI118" i="12" s="1"/>
  <c r="JG14" i="12"/>
  <c r="JI14" i="12" s="1"/>
  <c r="JG15" i="12"/>
  <c r="JI15" i="12" s="1"/>
  <c r="JG78" i="12"/>
  <c r="JI78" i="12" s="1"/>
  <c r="JG101" i="12"/>
  <c r="JI101" i="12" s="1"/>
  <c r="AP10" i="12"/>
  <c r="AF10" i="12" s="1"/>
  <c r="AP11" i="12"/>
  <c r="AF11" i="12" s="1"/>
  <c r="AP3" i="12"/>
  <c r="AF3" i="12" s="1"/>
  <c r="AP6" i="12"/>
  <c r="AF6" i="12" s="1"/>
  <c r="AP8" i="12"/>
  <c r="AF8" i="12" s="1"/>
  <c r="AP7" i="12"/>
  <c r="AF7" i="12" s="1"/>
  <c r="AP4" i="12"/>
  <c r="AF4" i="12" s="1"/>
  <c r="AP9" i="12"/>
  <c r="AF9" i="12" s="1"/>
  <c r="AP5" i="12"/>
  <c r="AF5" i="12" s="1"/>
  <c r="Y40" i="12"/>
  <c r="II33" i="12"/>
  <c r="IJ33" i="12"/>
  <c r="FM33" i="12"/>
  <c r="FR33" i="12"/>
  <c r="FQ33" i="12"/>
  <c r="FG33" i="12"/>
  <c r="GQ33" i="12"/>
  <c r="GU33" i="12" s="1"/>
  <c r="GV33" i="12" s="1"/>
  <c r="FV33" i="12"/>
  <c r="IK33" i="12" l="1"/>
  <c r="IL33" i="12" s="1"/>
  <c r="Y41" i="12"/>
  <c r="FO33" i="12"/>
  <c r="FN33" i="12"/>
  <c r="B27" i="5"/>
  <c r="B12" i="5"/>
  <c r="Y42" i="12" l="1"/>
  <c r="FE4" i="12"/>
  <c r="B9" i="13" s="1"/>
  <c r="EQ4" i="12"/>
  <c r="ER4" i="12" s="1"/>
  <c r="ES4" i="12" s="1"/>
  <c r="EQ3" i="12"/>
  <c r="ER3" i="12" s="1"/>
  <c r="ES3" i="12" s="1"/>
  <c r="FE3" i="12"/>
  <c r="B8" i="13" s="1"/>
  <c r="EQ104" i="12"/>
  <c r="ER104" i="12" s="1"/>
  <c r="ES104" i="12" s="1"/>
  <c r="FE119" i="12"/>
  <c r="FE104" i="12"/>
  <c r="EQ119" i="12"/>
  <c r="ER119" i="12" s="1"/>
  <c r="ES119" i="12" s="1"/>
  <c r="I3" i="13"/>
  <c r="H3" i="13"/>
  <c r="Y43" i="12" l="1"/>
  <c r="I4" i="5"/>
  <c r="F4" i="5" s="1"/>
  <c r="Y44" i="12" l="1"/>
  <c r="Y45" i="12" l="1"/>
  <c r="Y46" i="12" l="1"/>
  <c r="Y47" i="12" l="1"/>
  <c r="Z40" i="12" l="1"/>
  <c r="Y48" i="12"/>
  <c r="AB40" i="12" l="1"/>
  <c r="AI40" i="12"/>
  <c r="AC40" i="12"/>
  <c r="AD40" i="12"/>
  <c r="AG40" i="12"/>
  <c r="AE40" i="12"/>
  <c r="AH40" i="12"/>
  <c r="AJ40" i="12"/>
  <c r="AP40" i="12" s="1"/>
  <c r="AF40" i="12" s="1"/>
  <c r="AA40" i="12"/>
  <c r="Y49" i="12"/>
  <c r="DG4" i="12"/>
  <c r="FV40" i="12" l="1"/>
  <c r="Y50" i="12"/>
  <c r="Y51" i="12" s="1"/>
  <c r="GQ40" i="12"/>
  <c r="GU40" i="12" s="1"/>
  <c r="GV40" i="12" s="1"/>
  <c r="FQ40" i="12"/>
  <c r="FG40" i="12"/>
  <c r="FR40" i="12"/>
  <c r="FM40" i="12"/>
  <c r="II40" i="12"/>
  <c r="IJ40" i="12"/>
  <c r="IK40" i="12" l="1"/>
  <c r="IL40" i="12" s="1"/>
  <c r="FN40" i="12"/>
  <c r="FO40" i="12"/>
  <c r="Z43" i="12"/>
  <c r="Y52" i="12"/>
  <c r="Y53" i="12" s="1"/>
  <c r="Y54" i="12" s="1"/>
  <c r="Y55" i="12" s="1"/>
  <c r="Y56" i="12" s="1"/>
  <c r="Y57" i="12" s="1"/>
  <c r="Y58" i="12" s="1"/>
  <c r="Y59" i="12" s="1"/>
  <c r="Y60" i="12" s="1"/>
  <c r="Y61" i="12" s="1"/>
  <c r="Y62" i="12" s="1"/>
  <c r="Y63" i="12" s="1"/>
  <c r="Y64" i="12" s="1"/>
  <c r="Y65" i="12" s="1"/>
  <c r="Y66" i="12" s="1"/>
  <c r="Y67" i="12" s="1"/>
  <c r="Y68" i="12" s="1"/>
  <c r="Y69" i="12" s="1"/>
  <c r="Y70" i="12" s="1"/>
  <c r="Y71" i="12" s="1"/>
  <c r="Y72" i="12" s="1"/>
  <c r="Y73" i="12" s="1"/>
  <c r="Y74" i="12" s="1"/>
  <c r="Y75" i="12" s="1"/>
  <c r="EM104" i="12"/>
  <c r="AB43" i="12" l="1"/>
  <c r="AA43" i="12"/>
  <c r="AC43" i="12"/>
  <c r="AE43" i="12"/>
  <c r="AJ43" i="12"/>
  <c r="AP43" i="12" s="1"/>
  <c r="AF43" i="12" s="1"/>
  <c r="AG43" i="12"/>
  <c r="AD43" i="12"/>
  <c r="AI43" i="12"/>
  <c r="AH43" i="12"/>
  <c r="Z61" i="12"/>
  <c r="Y76" i="12"/>
  <c r="Y77" i="12" s="1"/>
  <c r="Y78" i="12" s="1"/>
  <c r="Y79" i="12" s="1"/>
  <c r="Y80" i="12" s="1"/>
  <c r="Y81" i="12" s="1"/>
  <c r="Y82" i="12" s="1"/>
  <c r="Y83" i="12" s="1"/>
  <c r="Y84" i="12" s="1"/>
  <c r="Y85" i="12" s="1"/>
  <c r="Y86" i="12" s="1"/>
  <c r="Y87" i="12" s="1"/>
  <c r="Y88" i="12" s="1"/>
  <c r="Y89" i="12" s="1"/>
  <c r="Y90" i="12" s="1"/>
  <c r="Y91" i="12" s="1"/>
  <c r="Y92" i="12" s="1"/>
  <c r="Y93" i="12" s="1"/>
  <c r="Y94" i="12" s="1"/>
  <c r="Y95" i="12" s="1"/>
  <c r="Y96" i="12" s="1"/>
  <c r="Y97" i="12" s="1"/>
  <c r="Y98" i="12" s="1"/>
  <c r="Y99" i="12" s="1"/>
  <c r="Y100" i="12" s="1"/>
  <c r="Y101" i="12" s="1"/>
  <c r="Y102" i="12" s="1"/>
  <c r="Y103" i="12" s="1"/>
  <c r="Y104" i="12" s="1"/>
  <c r="Y105" i="12" s="1"/>
  <c r="Y106" i="12" s="1"/>
  <c r="Y107" i="12" s="1"/>
  <c r="Y108" i="12" s="1"/>
  <c r="Y109" i="12" s="1"/>
  <c r="Y110" i="12" s="1"/>
  <c r="Y111" i="12" s="1"/>
  <c r="Y112" i="12" s="1"/>
  <c r="Y113" i="12" s="1"/>
  <c r="Y114" i="12" s="1"/>
  <c r="Y115" i="12" s="1"/>
  <c r="Y116" i="12" s="1"/>
  <c r="Y117" i="12" s="1"/>
  <c r="Y118" i="12" s="1"/>
  <c r="Y119" i="12" s="1"/>
  <c r="Y120" i="12" s="1"/>
  <c r="Y121" i="12" s="1"/>
  <c r="Y122" i="12" s="1"/>
  <c r="Y123" i="12" s="1"/>
  <c r="Y124" i="12" s="1"/>
  <c r="Y125" i="12" s="1"/>
  <c r="Y126" i="12" s="1"/>
  <c r="Y127" i="12" s="1"/>
  <c r="Y128" i="12" s="1"/>
  <c r="Y129" i="12" s="1"/>
  <c r="Y130" i="12" s="1"/>
  <c r="Y131" i="12" s="1"/>
  <c r="Y132" i="12" s="1"/>
  <c r="Y133" i="12" s="1"/>
  <c r="Y134" i="12" s="1"/>
  <c r="Y135" i="12" s="1"/>
  <c r="Y136" i="12" s="1"/>
  <c r="Y137" i="12" s="1"/>
  <c r="Y138" i="12" s="1"/>
  <c r="Y139" i="12" s="1"/>
  <c r="Y140" i="12" s="1"/>
  <c r="Y141" i="12" s="1"/>
  <c r="Y142" i="12" s="1"/>
  <c r="Y143" i="12" s="1"/>
  <c r="Y144" i="12" s="1"/>
  <c r="Y145" i="12" s="1"/>
  <c r="Y146" i="12" s="1"/>
  <c r="Y147" i="12" s="1"/>
  <c r="Y148" i="12" s="1"/>
  <c r="Y149" i="12" s="1"/>
  <c r="Y150" i="12" s="1"/>
  <c r="Y151" i="12" s="1"/>
  <c r="Y152" i="12" s="1"/>
  <c r="Y153" i="12" s="1"/>
  <c r="Y154" i="12" s="1"/>
  <c r="Y155" i="12" s="1"/>
  <c r="Y156" i="12" s="1"/>
  <c r="Y157" i="12" s="1"/>
  <c r="Y158" i="12" s="1"/>
  <c r="Y159" i="12" s="1"/>
  <c r="Y160" i="12" s="1"/>
  <c r="Y161" i="12" s="1"/>
  <c r="Y162" i="12" s="1"/>
  <c r="Y163" i="12" s="1"/>
  <c r="Y164" i="12" s="1"/>
  <c r="Y165" i="12" s="1"/>
  <c r="Y166" i="12" s="1"/>
  <c r="Y167" i="12" s="1"/>
  <c r="Y168" i="12" s="1"/>
  <c r="Y169" i="12" s="1"/>
  <c r="Y170" i="12" s="1"/>
  <c r="Y171" i="12" s="1"/>
  <c r="Y172" i="12" s="1"/>
  <c r="Y173" i="12" s="1"/>
  <c r="Y174" i="12" s="1"/>
  <c r="Y175" i="12" s="1"/>
  <c r="Y176" i="12" s="1"/>
  <c r="Y177" i="12" s="1"/>
  <c r="Y178" i="12" s="1"/>
  <c r="Y179" i="12" s="1"/>
  <c r="Y180" i="12" s="1"/>
  <c r="Y181" i="12" s="1"/>
  <c r="Y182" i="12" s="1"/>
  <c r="Y183" i="12" s="1"/>
  <c r="Y184" i="12" s="1"/>
  <c r="Y185" i="12" s="1"/>
  <c r="Y186" i="12" s="1"/>
  <c r="Y187" i="12" s="1"/>
  <c r="Y188" i="12" s="1"/>
  <c r="Y189" i="12" s="1"/>
  <c r="Y190" i="12" s="1"/>
  <c r="Y191" i="12" s="1"/>
  <c r="Y192" i="12" s="1"/>
  <c r="Y193" i="12" s="1"/>
  <c r="Y194" i="12" s="1"/>
  <c r="Y195" i="12" s="1"/>
  <c r="Y196" i="12" s="1"/>
  <c r="Y197" i="12" s="1"/>
  <c r="Y198" i="12" s="1"/>
  <c r="Y199" i="12" s="1"/>
  <c r="Y200" i="12" s="1"/>
  <c r="Y201" i="12" s="1"/>
  <c r="Y202" i="12" s="1"/>
  <c r="Y203" i="12" s="1"/>
  <c r="Y204" i="12" s="1"/>
  <c r="Y205" i="12" s="1"/>
  <c r="Y206" i="12" s="1"/>
  <c r="Y207" i="12" s="1"/>
  <c r="Y208" i="12" s="1"/>
  <c r="Y209" i="12" s="1"/>
  <c r="Y210" i="12" s="1"/>
  <c r="Y211" i="12" s="1"/>
  <c r="Y212" i="12" s="1"/>
  <c r="Y213" i="12" s="1"/>
  <c r="Z187" i="12" l="1"/>
  <c r="AA187" i="12" s="1"/>
  <c r="Z196" i="12"/>
  <c r="AA196" i="12" s="1"/>
  <c r="Z193" i="12"/>
  <c r="AA193" i="12" s="1"/>
  <c r="Z201" i="12"/>
  <c r="AA201" i="12" s="1"/>
  <c r="Z197" i="12"/>
  <c r="AA197" i="12" s="1"/>
  <c r="Z190" i="12"/>
  <c r="AA190" i="12" s="1"/>
  <c r="Z199" i="12"/>
  <c r="AA199" i="12" s="1"/>
  <c r="Z213" i="12"/>
  <c r="AA213" i="12" s="1"/>
  <c r="Z219" i="12"/>
  <c r="AA219" i="12" s="1"/>
  <c r="Z220" i="12"/>
  <c r="AA220" i="12" s="1"/>
  <c r="Z185" i="12"/>
  <c r="AA185" i="12" s="1"/>
  <c r="Z208" i="12"/>
  <c r="AA208" i="12" s="1"/>
  <c r="Z200" i="12"/>
  <c r="AA200" i="12" s="1"/>
  <c r="Z202" i="12"/>
  <c r="AA202" i="12" s="1"/>
  <c r="Z209" i="12"/>
  <c r="AA209" i="12" s="1"/>
  <c r="Z212" i="12"/>
  <c r="AA212" i="12" s="1"/>
  <c r="Z215" i="12"/>
  <c r="AA215" i="12" s="1"/>
  <c r="Z194" i="12"/>
  <c r="AA194" i="12" s="1"/>
  <c r="Z192" i="12"/>
  <c r="AA192" i="12" s="1"/>
  <c r="Z188" i="12"/>
  <c r="AA188" i="12" s="1"/>
  <c r="Z204" i="12"/>
  <c r="AA204" i="12" s="1"/>
  <c r="Z198" i="12"/>
  <c r="AA198" i="12" s="1"/>
  <c r="Z216" i="12"/>
  <c r="AA216" i="12" s="1"/>
  <c r="Z184" i="12"/>
  <c r="AA184" i="12" s="1"/>
  <c r="Z195" i="12"/>
  <c r="AA195" i="12" s="1"/>
  <c r="Z214" i="12"/>
  <c r="AA214" i="12" s="1"/>
  <c r="Z205" i="12"/>
  <c r="AA205" i="12" s="1"/>
  <c r="Z211" i="12"/>
  <c r="AA211" i="12" s="1"/>
  <c r="Z191" i="12"/>
  <c r="AA191" i="12" s="1"/>
  <c r="Z189" i="12"/>
  <c r="AA189" i="12" s="1"/>
  <c r="Z210" i="12"/>
  <c r="AA210" i="12" s="1"/>
  <c r="Z217" i="12"/>
  <c r="AA217" i="12" s="1"/>
  <c r="Z183" i="12"/>
  <c r="AA183" i="12" s="1"/>
  <c r="Z186" i="12"/>
  <c r="AA186" i="12" s="1"/>
  <c r="Z182" i="12"/>
  <c r="AA182" i="12" s="1"/>
  <c r="Z203" i="12"/>
  <c r="AA203" i="12" s="1"/>
  <c r="Z218" i="12"/>
  <c r="AA218" i="12" s="1"/>
  <c r="Z207" i="12"/>
  <c r="AA207" i="12" s="1"/>
  <c r="Z206" i="12"/>
  <c r="AA206" i="12" s="1"/>
  <c r="FM43" i="12"/>
  <c r="FO43" i="12" s="1"/>
  <c r="AJ61" i="12"/>
  <c r="AP61" i="12" s="1"/>
  <c r="AF61" i="12" s="1"/>
  <c r="AE61" i="12"/>
  <c r="AG61" i="12"/>
  <c r="AQ61" i="12" s="1"/>
  <c r="AD61" i="12"/>
  <c r="AC61" i="12"/>
  <c r="AA61" i="12"/>
  <c r="AB61" i="12"/>
  <c r="AI61" i="12"/>
  <c r="AH61" i="12"/>
  <c r="FV43" i="12"/>
  <c r="Z107" i="12"/>
  <c r="Z37" i="12"/>
  <c r="Z32" i="12"/>
  <c r="Z38" i="12"/>
  <c r="Z36" i="12"/>
  <c r="Z35" i="12"/>
  <c r="Z34" i="12"/>
  <c r="Z39" i="12"/>
  <c r="Z41" i="12"/>
  <c r="Z42" i="12"/>
  <c r="Z47" i="12"/>
  <c r="Z44" i="12"/>
  <c r="Z57" i="12"/>
  <c r="Z52" i="12"/>
  <c r="Z58" i="12"/>
  <c r="Z56" i="12"/>
  <c r="Z46" i="12"/>
  <c r="Z59" i="12"/>
  <c r="Z45" i="12"/>
  <c r="Z60" i="12"/>
  <c r="Z55" i="12"/>
  <c r="Z49" i="12"/>
  <c r="Z48" i="12"/>
  <c r="Z54" i="12"/>
  <c r="Z53" i="12"/>
  <c r="Z50" i="12"/>
  <c r="Z64" i="12"/>
  <c r="Z135" i="12"/>
  <c r="Z67" i="12"/>
  <c r="Z169" i="12"/>
  <c r="Z136" i="12"/>
  <c r="Z152" i="12"/>
  <c r="Z102" i="12"/>
  <c r="Z100" i="12"/>
  <c r="Z132" i="12"/>
  <c r="Z167" i="12"/>
  <c r="Z175" i="12"/>
  <c r="Z114" i="12"/>
  <c r="Z177" i="12"/>
  <c r="Z145" i="12"/>
  <c r="Z98" i="12"/>
  <c r="Z87" i="12"/>
  <c r="Z104" i="12"/>
  <c r="Z73" i="12"/>
  <c r="Z93" i="12"/>
  <c r="Z130" i="12"/>
  <c r="Z141" i="12"/>
  <c r="Z125" i="12"/>
  <c r="Z123" i="12"/>
  <c r="Z163" i="12"/>
  <c r="Z111" i="12"/>
  <c r="Z99" i="12"/>
  <c r="Z143" i="12"/>
  <c r="Z140" i="12"/>
  <c r="Z79" i="12"/>
  <c r="Z84" i="12"/>
  <c r="Z118" i="12"/>
  <c r="Z172" i="12"/>
  <c r="Z78" i="12"/>
  <c r="Z133" i="12"/>
  <c r="Z164" i="12"/>
  <c r="Z161" i="12"/>
  <c r="Z144" i="12"/>
  <c r="Z179" i="12"/>
  <c r="Z120" i="12"/>
  <c r="Z117" i="12"/>
  <c r="Z81" i="12"/>
  <c r="Z63" i="12"/>
  <c r="Z83" i="12"/>
  <c r="Z121" i="12"/>
  <c r="Z134" i="12"/>
  <c r="Z126" i="12"/>
  <c r="Z137" i="12"/>
  <c r="Z157" i="12"/>
  <c r="Z80" i="12"/>
  <c r="Z131" i="12"/>
  <c r="Z106" i="12"/>
  <c r="Z168" i="12"/>
  <c r="Z181" i="12"/>
  <c r="Z148" i="12"/>
  <c r="Z155" i="12"/>
  <c r="Z75" i="12"/>
  <c r="Z159" i="12"/>
  <c r="Z139" i="12"/>
  <c r="Z62" i="12"/>
  <c r="Z90" i="12"/>
  <c r="Z112" i="12"/>
  <c r="Z69" i="12"/>
  <c r="Z176" i="12"/>
  <c r="Z158" i="12"/>
  <c r="Z86" i="12"/>
  <c r="Z97" i="12"/>
  <c r="Z146" i="12"/>
  <c r="Z66" i="12"/>
  <c r="Z127" i="12"/>
  <c r="Z151" i="12"/>
  <c r="Z103" i="12"/>
  <c r="Z82" i="12"/>
  <c r="Z162" i="12"/>
  <c r="Z71" i="12"/>
  <c r="Z122" i="12"/>
  <c r="Z110" i="12"/>
  <c r="Z74" i="12"/>
  <c r="Z154" i="12"/>
  <c r="Z119" i="12"/>
  <c r="Z170" i="12"/>
  <c r="Z129" i="12"/>
  <c r="Z124" i="12"/>
  <c r="Z116" i="12"/>
  <c r="Z96" i="12"/>
  <c r="Z113" i="12"/>
  <c r="Z65" i="12"/>
  <c r="Z105" i="12"/>
  <c r="Z76" i="12"/>
  <c r="Z101" i="12"/>
  <c r="Z108" i="12"/>
  <c r="Z180" i="12"/>
  <c r="Z94" i="12"/>
  <c r="Z178" i="12"/>
  <c r="Z77" i="12"/>
  <c r="Z68" i="12"/>
  <c r="Z51" i="12"/>
  <c r="Z171" i="12"/>
  <c r="Z142" i="12"/>
  <c r="Z138" i="12"/>
  <c r="Z85" i="12"/>
  <c r="Z89" i="12"/>
  <c r="Z91" i="12"/>
  <c r="Z166" i="12"/>
  <c r="Z165" i="12"/>
  <c r="Z147" i="12"/>
  <c r="Z115" i="12"/>
  <c r="Z150" i="12"/>
  <c r="Z149" i="12"/>
  <c r="Z92" i="12"/>
  <c r="Z156" i="12"/>
  <c r="Z72" i="12"/>
  <c r="Z128" i="12"/>
  <c r="Z70" i="12"/>
  <c r="Z95" i="12"/>
  <c r="Z109" i="12"/>
  <c r="Z173" i="12"/>
  <c r="Z174" i="12"/>
  <c r="Z88" i="12"/>
  <c r="Z153" i="12"/>
  <c r="Z160" i="12"/>
  <c r="II43" i="12"/>
  <c r="IJ43" i="12"/>
  <c r="FG43" i="12"/>
  <c r="FR43" i="12"/>
  <c r="FQ43" i="12"/>
  <c r="GQ43" i="12"/>
  <c r="GU43" i="12" s="1"/>
  <c r="GV43" i="12" s="1"/>
  <c r="FN43" i="12" l="1"/>
  <c r="AC153" i="12"/>
  <c r="AA153" i="12"/>
  <c r="AH153" i="12"/>
  <c r="AG153" i="12"/>
  <c r="AQ153" i="12" s="1"/>
  <c r="AD153" i="12"/>
  <c r="AB153" i="12"/>
  <c r="AI153" i="12"/>
  <c r="AE153" i="12"/>
  <c r="AJ153" i="12"/>
  <c r="AP153" i="12" s="1"/>
  <c r="AF153" i="12" s="1"/>
  <c r="AH215" i="12"/>
  <c r="AR215" i="12" s="1"/>
  <c r="AC215" i="12"/>
  <c r="AD215" i="12"/>
  <c r="AG215" i="12"/>
  <c r="AQ215" i="12" s="1"/>
  <c r="AB215" i="12"/>
  <c r="AJ215" i="12"/>
  <c r="AP215" i="12" s="1"/>
  <c r="AF215" i="12" s="1"/>
  <c r="AE215" i="12"/>
  <c r="AI215" i="12"/>
  <c r="AS215" i="12" s="1"/>
  <c r="AC109" i="12"/>
  <c r="AB109" i="12"/>
  <c r="AD109" i="12"/>
  <c r="AA109" i="12"/>
  <c r="AE109" i="12"/>
  <c r="AG109" i="12"/>
  <c r="AI109" i="12"/>
  <c r="AH109" i="12"/>
  <c r="AJ109" i="12"/>
  <c r="AP109" i="12" s="1"/>
  <c r="AF109" i="12" s="1"/>
  <c r="AJ72" i="12"/>
  <c r="AP72" i="12" s="1"/>
  <c r="AF72" i="12" s="1"/>
  <c r="AC72" i="12"/>
  <c r="AH72" i="12"/>
  <c r="AB72" i="12"/>
  <c r="AI72" i="12"/>
  <c r="AG72" i="12"/>
  <c r="AD72" i="12"/>
  <c r="AA72" i="12"/>
  <c r="AE72" i="12"/>
  <c r="AA150" i="12"/>
  <c r="AJ150" i="12"/>
  <c r="AP150" i="12" s="1"/>
  <c r="AF150" i="12" s="1"/>
  <c r="AD150" i="12"/>
  <c r="AB150" i="12"/>
  <c r="AG150" i="12"/>
  <c r="AE150" i="12"/>
  <c r="AC150" i="12"/>
  <c r="AI150" i="12"/>
  <c r="AH150" i="12"/>
  <c r="AE166" i="12"/>
  <c r="AD166" i="12"/>
  <c r="AJ166" i="12"/>
  <c r="AP166" i="12" s="1"/>
  <c r="AF166" i="12" s="1"/>
  <c r="AC166" i="12"/>
  <c r="AI166" i="12"/>
  <c r="AB166" i="12"/>
  <c r="AG166" i="12"/>
  <c r="AH166" i="12"/>
  <c r="AA166" i="12"/>
  <c r="AI138" i="12"/>
  <c r="AE138" i="12"/>
  <c r="AB138" i="12"/>
  <c r="AH138" i="12"/>
  <c r="AG138" i="12"/>
  <c r="AA138" i="12"/>
  <c r="AJ138" i="12"/>
  <c r="AP138" i="12" s="1"/>
  <c r="AF138" i="12" s="1"/>
  <c r="AC138" i="12"/>
  <c r="AD138" i="12"/>
  <c r="AG51" i="12"/>
  <c r="AI51" i="12"/>
  <c r="AD51" i="12"/>
  <c r="AH51" i="12"/>
  <c r="AC51" i="12"/>
  <c r="AA51" i="12"/>
  <c r="AB51" i="12"/>
  <c r="AE51" i="12"/>
  <c r="AJ51" i="12"/>
  <c r="AP51" i="12" s="1"/>
  <c r="AF51" i="12" s="1"/>
  <c r="AJ178" i="12"/>
  <c r="AP178" i="12" s="1"/>
  <c r="AF178" i="12" s="1"/>
  <c r="AI178" i="12"/>
  <c r="AH178" i="12"/>
  <c r="AB178" i="12"/>
  <c r="AA178" i="12"/>
  <c r="AG178" i="12"/>
  <c r="AE178" i="12"/>
  <c r="AC178" i="12"/>
  <c r="AD178" i="12"/>
  <c r="AG180" i="12"/>
  <c r="AD180" i="12"/>
  <c r="AC180" i="12"/>
  <c r="AI180" i="12"/>
  <c r="AH180" i="12"/>
  <c r="AJ180" i="12"/>
  <c r="AP180" i="12" s="1"/>
  <c r="AF180" i="12" s="1"/>
  <c r="AE180" i="12"/>
  <c r="AA180" i="12"/>
  <c r="AB180" i="12"/>
  <c r="AJ105" i="12"/>
  <c r="AP105" i="12" s="1"/>
  <c r="AF105" i="12" s="1"/>
  <c r="AB105" i="12"/>
  <c r="AH105" i="12"/>
  <c r="AC105" i="12"/>
  <c r="AI105" i="12"/>
  <c r="AD105" i="12"/>
  <c r="AG105" i="12"/>
  <c r="AA105" i="12"/>
  <c r="AE105" i="12"/>
  <c r="AJ198" i="12"/>
  <c r="AP198" i="12" s="1"/>
  <c r="AF198" i="12" s="1"/>
  <c r="AB198" i="12"/>
  <c r="AG198" i="12"/>
  <c r="AQ198" i="12" s="1"/>
  <c r="AI198" i="12"/>
  <c r="AS198" i="12" s="1"/>
  <c r="AH198" i="12"/>
  <c r="AR198" i="12" s="1"/>
  <c r="AD198" i="12"/>
  <c r="AE198" i="12"/>
  <c r="AC198" i="12"/>
  <c r="AD124" i="12"/>
  <c r="AG124" i="12"/>
  <c r="AB124" i="12"/>
  <c r="AE124" i="12"/>
  <c r="AH124" i="12"/>
  <c r="AC124" i="12"/>
  <c r="AJ124" i="12"/>
  <c r="AP124" i="12" s="1"/>
  <c r="AF124" i="12" s="1"/>
  <c r="AI124" i="12"/>
  <c r="AA124" i="12"/>
  <c r="AD119" i="12"/>
  <c r="AB119" i="12"/>
  <c r="AG119" i="12"/>
  <c r="AE119" i="12"/>
  <c r="AH119" i="12"/>
  <c r="AC119" i="12"/>
  <c r="AA119" i="12"/>
  <c r="AJ119" i="12"/>
  <c r="AP119" i="12" s="1"/>
  <c r="AF119" i="12" s="1"/>
  <c r="AI119" i="12"/>
  <c r="AE122" i="12"/>
  <c r="AC122" i="12"/>
  <c r="AI122" i="12"/>
  <c r="AB122" i="12"/>
  <c r="AH122" i="12"/>
  <c r="AA122" i="12"/>
  <c r="AG122" i="12"/>
  <c r="AD122" i="12"/>
  <c r="AJ122" i="12"/>
  <c r="AP122" i="12" s="1"/>
  <c r="AF122" i="12" s="1"/>
  <c r="AC82" i="12"/>
  <c r="AE82" i="12"/>
  <c r="AG82" i="12"/>
  <c r="AD82" i="12"/>
  <c r="AJ82" i="12"/>
  <c r="AP82" i="12" s="1"/>
  <c r="AF82" i="12" s="1"/>
  <c r="AH82" i="12"/>
  <c r="AA82" i="12"/>
  <c r="AB82" i="12"/>
  <c r="AI82" i="12"/>
  <c r="AE66" i="12"/>
  <c r="AJ66" i="12"/>
  <c r="AP66" i="12" s="1"/>
  <c r="AF66" i="12" s="1"/>
  <c r="AI66" i="12"/>
  <c r="AD66" i="12"/>
  <c r="AC66" i="12"/>
  <c r="AB66" i="12"/>
  <c r="AA66" i="12"/>
  <c r="AH66" i="12"/>
  <c r="AG66" i="12"/>
  <c r="AD204" i="12"/>
  <c r="I210" i="1" s="1"/>
  <c r="AC204" i="12"/>
  <c r="AE204" i="12"/>
  <c r="AH204" i="12"/>
  <c r="AR204" i="12" s="1"/>
  <c r="AB204" i="12"/>
  <c r="AI204" i="12"/>
  <c r="AS204" i="12" s="1"/>
  <c r="AG204" i="12"/>
  <c r="AQ204" i="12" s="1"/>
  <c r="AJ204" i="12"/>
  <c r="AP204" i="12" s="1"/>
  <c r="AF204" i="12" s="1"/>
  <c r="AI69" i="12"/>
  <c r="AE69" i="12"/>
  <c r="AC69" i="12"/>
  <c r="AD69" i="12"/>
  <c r="AJ69" i="12"/>
  <c r="AP69" i="12" s="1"/>
  <c r="AF69" i="12" s="1"/>
  <c r="AA69" i="12"/>
  <c r="AB69" i="12"/>
  <c r="AG69" i="12"/>
  <c r="AQ69" i="12" s="1"/>
  <c r="AH69" i="12"/>
  <c r="AI90" i="12"/>
  <c r="AB90" i="12"/>
  <c r="AH90" i="12"/>
  <c r="AD90" i="12"/>
  <c r="AA90" i="12"/>
  <c r="AG90" i="12"/>
  <c r="AE90" i="12"/>
  <c r="AJ90" i="12"/>
  <c r="AP90" i="12" s="1"/>
  <c r="AF90" i="12" s="1"/>
  <c r="AC90" i="12"/>
  <c r="AE159" i="12"/>
  <c r="AD159" i="12"/>
  <c r="AA159" i="12"/>
  <c r="AJ159" i="12"/>
  <c r="AP159" i="12" s="1"/>
  <c r="AF159" i="12" s="1"/>
  <c r="AB159" i="12"/>
  <c r="AH159" i="12"/>
  <c r="AC159" i="12"/>
  <c r="AG159" i="12"/>
  <c r="AQ159" i="12" s="1"/>
  <c r="AI159" i="12"/>
  <c r="AH148" i="12"/>
  <c r="AJ148" i="12"/>
  <c r="AP148" i="12" s="1"/>
  <c r="AF148" i="12" s="1"/>
  <c r="AG148" i="12"/>
  <c r="AB148" i="12"/>
  <c r="AD148" i="12"/>
  <c r="AC148" i="12"/>
  <c r="AI148" i="12"/>
  <c r="AE148" i="12"/>
  <c r="AA148" i="12"/>
  <c r="AD131" i="12"/>
  <c r="AC131" i="12"/>
  <c r="AI131" i="12"/>
  <c r="AJ131" i="12"/>
  <c r="AP131" i="12" s="1"/>
  <c r="AF131" i="12" s="1"/>
  <c r="AE131" i="12"/>
  <c r="FQ131" i="12" s="1"/>
  <c r="AB131" i="12"/>
  <c r="AA131" i="12"/>
  <c r="AG131" i="12"/>
  <c r="AH131" i="12"/>
  <c r="AE137" i="12"/>
  <c r="AJ137" i="12"/>
  <c r="AP137" i="12" s="1"/>
  <c r="AF137" i="12" s="1"/>
  <c r="AD137" i="12"/>
  <c r="AA137" i="12"/>
  <c r="AH137" i="12"/>
  <c r="AC137" i="12"/>
  <c r="AB137" i="12"/>
  <c r="AG137" i="12"/>
  <c r="AI137" i="12"/>
  <c r="AE83" i="12"/>
  <c r="AC83" i="12"/>
  <c r="AH83" i="12"/>
  <c r="AB83" i="12"/>
  <c r="AG83" i="12"/>
  <c r="AA83" i="12"/>
  <c r="AJ83" i="12"/>
  <c r="AP83" i="12" s="1"/>
  <c r="AF83" i="12" s="1"/>
  <c r="AD83" i="12"/>
  <c r="AI83" i="12"/>
  <c r="AE120" i="12"/>
  <c r="AD120" i="12"/>
  <c r="AB120" i="12"/>
  <c r="AG120" i="12"/>
  <c r="AH120" i="12"/>
  <c r="AI120" i="12"/>
  <c r="AC120" i="12"/>
  <c r="AJ120" i="12"/>
  <c r="AP120" i="12" s="1"/>
  <c r="AF120" i="12" s="1"/>
  <c r="AA120" i="12"/>
  <c r="AE161" i="12"/>
  <c r="AB161" i="12"/>
  <c r="AD161" i="12"/>
  <c r="AC161" i="12"/>
  <c r="AI161" i="12"/>
  <c r="AH161" i="12"/>
  <c r="AA161" i="12"/>
  <c r="AJ161" i="12"/>
  <c r="AP161" i="12" s="1"/>
  <c r="AF161" i="12" s="1"/>
  <c r="AG161" i="12"/>
  <c r="AQ161" i="12" s="1"/>
  <c r="AC133" i="12"/>
  <c r="AG133" i="12"/>
  <c r="AA133" i="12"/>
  <c r="AD133" i="12"/>
  <c r="AI133" i="12"/>
  <c r="AJ133" i="12"/>
  <c r="AP133" i="12" s="1"/>
  <c r="AF133" i="12" s="1"/>
  <c r="AE133" i="12"/>
  <c r="AB133" i="12"/>
  <c r="AH133" i="12"/>
  <c r="AC84" i="12"/>
  <c r="AA84" i="12"/>
  <c r="AJ84" i="12"/>
  <c r="AP84" i="12" s="1"/>
  <c r="AF84" i="12" s="1"/>
  <c r="AB84" i="12"/>
  <c r="AE84" i="12"/>
  <c r="AD84" i="12"/>
  <c r="AH84" i="12"/>
  <c r="AI84" i="12"/>
  <c r="AG84" i="12"/>
  <c r="AI140" i="12"/>
  <c r="AG140" i="12"/>
  <c r="AJ140" i="12"/>
  <c r="AP140" i="12" s="1"/>
  <c r="AF140" i="12" s="1"/>
  <c r="AC140" i="12"/>
  <c r="AD140" i="12"/>
  <c r="AB140" i="12"/>
  <c r="AA140" i="12"/>
  <c r="AE140" i="12"/>
  <c r="AH140" i="12"/>
  <c r="AD163" i="12"/>
  <c r="AA163" i="12"/>
  <c r="AB163" i="12"/>
  <c r="AG163" i="12"/>
  <c r="AJ163" i="12"/>
  <c r="AP163" i="12" s="1"/>
  <c r="AF163" i="12" s="1"/>
  <c r="AC163" i="12"/>
  <c r="AH163" i="12"/>
  <c r="AE163" i="12"/>
  <c r="AI163" i="12"/>
  <c r="AD130" i="12"/>
  <c r="AC130" i="12"/>
  <c r="AA130" i="12"/>
  <c r="AG130" i="12"/>
  <c r="AI130" i="12"/>
  <c r="AH130" i="12"/>
  <c r="AE130" i="12"/>
  <c r="AJ130" i="12"/>
  <c r="AP130" i="12" s="1"/>
  <c r="AF130" i="12" s="1"/>
  <c r="AB130" i="12"/>
  <c r="AH73" i="12"/>
  <c r="AC73" i="12"/>
  <c r="AE73" i="12"/>
  <c r="AI73" i="12"/>
  <c r="AA73" i="12"/>
  <c r="AB73" i="12"/>
  <c r="AJ73" i="12"/>
  <c r="AP73" i="12" s="1"/>
  <c r="AF73" i="12" s="1"/>
  <c r="AD73" i="12"/>
  <c r="AG73" i="12"/>
  <c r="AH98" i="12"/>
  <c r="AD98" i="12"/>
  <c r="AG98" i="12"/>
  <c r="AC98" i="12"/>
  <c r="AI98" i="12"/>
  <c r="AB98" i="12"/>
  <c r="AA98" i="12"/>
  <c r="AJ98" i="12"/>
  <c r="AP98" i="12" s="1"/>
  <c r="AF98" i="12" s="1"/>
  <c r="AE98" i="12"/>
  <c r="AC193" i="12"/>
  <c r="AB193" i="12"/>
  <c r="AE193" i="12"/>
  <c r="AG193" i="12"/>
  <c r="AQ193" i="12" s="1"/>
  <c r="AJ193" i="12"/>
  <c r="AP193" i="12" s="1"/>
  <c r="AF193" i="12" s="1"/>
  <c r="AI193" i="12"/>
  <c r="AS193" i="12" s="1"/>
  <c r="AD193" i="12"/>
  <c r="AH193" i="12"/>
  <c r="AR193" i="12" s="1"/>
  <c r="AA175" i="12"/>
  <c r="AI175" i="12"/>
  <c r="AD175" i="12"/>
  <c r="AH175" i="12"/>
  <c r="AC175" i="12"/>
  <c r="AE175" i="12"/>
  <c r="AJ175" i="12"/>
  <c r="AP175" i="12" s="1"/>
  <c r="AF175" i="12" s="1"/>
  <c r="AB175" i="12"/>
  <c r="AG175" i="12"/>
  <c r="AC100" i="12"/>
  <c r="AB100" i="12"/>
  <c r="AE100" i="12"/>
  <c r="AD100" i="12"/>
  <c r="AJ100" i="12"/>
  <c r="AP100" i="12" s="1"/>
  <c r="AF100" i="12" s="1"/>
  <c r="AH100" i="12"/>
  <c r="AA100" i="12"/>
  <c r="AG100" i="12"/>
  <c r="AI100" i="12"/>
  <c r="AB205" i="12"/>
  <c r="AD205" i="12"/>
  <c r="I211" i="1" s="1"/>
  <c r="AC205" i="12"/>
  <c r="AE205" i="12"/>
  <c r="AH205" i="12"/>
  <c r="AR205" i="12" s="1"/>
  <c r="AI205" i="12"/>
  <c r="AS205" i="12" s="1"/>
  <c r="AJ205" i="12"/>
  <c r="AP205" i="12" s="1"/>
  <c r="AF205" i="12" s="1"/>
  <c r="AG205" i="12"/>
  <c r="AQ205" i="12" s="1"/>
  <c r="AA135" i="12"/>
  <c r="AD135" i="12"/>
  <c r="AC135" i="12"/>
  <c r="AJ135" i="12"/>
  <c r="AP135" i="12" s="1"/>
  <c r="AF135" i="12" s="1"/>
  <c r="AH135" i="12"/>
  <c r="AG135" i="12"/>
  <c r="AE135" i="12"/>
  <c r="AB135" i="12"/>
  <c r="AI135" i="12"/>
  <c r="AC54" i="12"/>
  <c r="AA54" i="12"/>
  <c r="AD54" i="12"/>
  <c r="AI54" i="12"/>
  <c r="AG54" i="12"/>
  <c r="AJ54" i="12"/>
  <c r="AP54" i="12" s="1"/>
  <c r="AF54" i="12" s="1"/>
  <c r="AE54" i="12"/>
  <c r="AB54" i="12"/>
  <c r="AH54" i="12"/>
  <c r="AG60" i="12"/>
  <c r="AH60" i="12"/>
  <c r="AC60" i="12"/>
  <c r="AJ60" i="12"/>
  <c r="AP60" i="12" s="1"/>
  <c r="AF60" i="12" s="1"/>
  <c r="AD60" i="12"/>
  <c r="AI60" i="12"/>
  <c r="AA60" i="12"/>
  <c r="AE60" i="12"/>
  <c r="AB60" i="12"/>
  <c r="AB56" i="12"/>
  <c r="AH56" i="12"/>
  <c r="AJ56" i="12"/>
  <c r="AP56" i="12" s="1"/>
  <c r="AF56" i="12" s="1"/>
  <c r="AI56" i="12"/>
  <c r="AG56" i="12"/>
  <c r="AQ56" i="12" s="1"/>
  <c r="AD56" i="12"/>
  <c r="AC56" i="12"/>
  <c r="AE56" i="12"/>
  <c r="AA56" i="12"/>
  <c r="AI44" i="12"/>
  <c r="AJ44" i="12"/>
  <c r="AP44" i="12" s="1"/>
  <c r="AF44" i="12" s="1"/>
  <c r="AG44" i="12"/>
  <c r="AQ44" i="12" s="1"/>
  <c r="AD44" i="12"/>
  <c r="AA44" i="12"/>
  <c r="AC44" i="12"/>
  <c r="AH44" i="12"/>
  <c r="AB44" i="12"/>
  <c r="AE44" i="12"/>
  <c r="AA39" i="12"/>
  <c r="AE39" i="12"/>
  <c r="AJ39" i="12"/>
  <c r="AP39" i="12" s="1"/>
  <c r="AF39" i="12" s="1"/>
  <c r="AH39" i="12"/>
  <c r="AG39" i="12"/>
  <c r="AC39" i="12"/>
  <c r="AB39" i="12"/>
  <c r="AD39" i="12"/>
  <c r="AI39" i="12"/>
  <c r="AA38" i="12"/>
  <c r="AI38" i="12"/>
  <c r="AH38" i="12"/>
  <c r="AC38" i="12"/>
  <c r="AD38" i="12"/>
  <c r="AJ38" i="12"/>
  <c r="AP38" i="12" s="1"/>
  <c r="AF38" i="12" s="1"/>
  <c r="AB38" i="12"/>
  <c r="AG38" i="12"/>
  <c r="AE38" i="12"/>
  <c r="AE189" i="12"/>
  <c r="AC189" i="12"/>
  <c r="AI189" i="12"/>
  <c r="AJ189" i="12"/>
  <c r="AP189" i="12" s="1"/>
  <c r="AF189" i="12" s="1"/>
  <c r="AH189" i="12"/>
  <c r="AG189" i="12"/>
  <c r="AQ189" i="12" s="1"/>
  <c r="AB189" i="12"/>
  <c r="AD189" i="12"/>
  <c r="II61" i="12"/>
  <c r="IJ61" i="12"/>
  <c r="AI201" i="12"/>
  <c r="AS201" i="12" s="1"/>
  <c r="AB201" i="12"/>
  <c r="AE201" i="12"/>
  <c r="AC201" i="12"/>
  <c r="AD201" i="12"/>
  <c r="I207" i="1" s="1"/>
  <c r="AH201" i="12"/>
  <c r="AR201" i="12" s="1"/>
  <c r="AG201" i="12"/>
  <c r="AQ201" i="12" s="1"/>
  <c r="AJ201" i="12"/>
  <c r="AP201" i="12" s="1"/>
  <c r="AF201" i="12" s="1"/>
  <c r="AI174" i="12"/>
  <c r="AD174" i="12"/>
  <c r="AJ174" i="12"/>
  <c r="AP174" i="12" s="1"/>
  <c r="AF174" i="12" s="1"/>
  <c r="AB174" i="12"/>
  <c r="AG174" i="12"/>
  <c r="AE174" i="12"/>
  <c r="AA174" i="12"/>
  <c r="AH174" i="12"/>
  <c r="AC174" i="12"/>
  <c r="AD219" i="12"/>
  <c r="AH219" i="12"/>
  <c r="AR219" i="12" s="1"/>
  <c r="AE219" i="12"/>
  <c r="AC219" i="12"/>
  <c r="AG219" i="12"/>
  <c r="AQ219" i="12" s="1"/>
  <c r="AJ219" i="12"/>
  <c r="AP219" i="12" s="1"/>
  <c r="AF219" i="12" s="1"/>
  <c r="AB219" i="12"/>
  <c r="AI219" i="12"/>
  <c r="AS219" i="12" s="1"/>
  <c r="AC128" i="12"/>
  <c r="AD128" i="12"/>
  <c r="AE128" i="12"/>
  <c r="AA128" i="12"/>
  <c r="AG128" i="12"/>
  <c r="AH128" i="12"/>
  <c r="AB128" i="12"/>
  <c r="AJ128" i="12"/>
  <c r="AP128" i="12" s="1"/>
  <c r="AF128" i="12" s="1"/>
  <c r="AI128" i="12"/>
  <c r="AB149" i="12"/>
  <c r="AH149" i="12"/>
  <c r="AI149" i="12"/>
  <c r="AE149" i="12"/>
  <c r="AG149" i="12"/>
  <c r="AD149" i="12"/>
  <c r="AC149" i="12"/>
  <c r="AA149" i="12"/>
  <c r="AJ149" i="12"/>
  <c r="AP149" i="12" s="1"/>
  <c r="AF149" i="12" s="1"/>
  <c r="AE165" i="12"/>
  <c r="AA165" i="12"/>
  <c r="AG165" i="12"/>
  <c r="AH165" i="12"/>
  <c r="AD165" i="12"/>
  <c r="AB165" i="12"/>
  <c r="AC165" i="12"/>
  <c r="AI165" i="12"/>
  <c r="AJ165" i="12"/>
  <c r="AP165" i="12" s="1"/>
  <c r="AF165" i="12" s="1"/>
  <c r="AA85" i="12"/>
  <c r="AB85" i="12"/>
  <c r="AE85" i="12"/>
  <c r="AI85" i="12"/>
  <c r="AG85" i="12"/>
  <c r="AD85" i="12"/>
  <c r="AJ85" i="12"/>
  <c r="AP85" i="12" s="1"/>
  <c r="AF85" i="12" s="1"/>
  <c r="AC85" i="12"/>
  <c r="AH85" i="12"/>
  <c r="AE206" i="12"/>
  <c r="AJ206" i="12"/>
  <c r="AP206" i="12" s="1"/>
  <c r="AF206" i="12" s="1"/>
  <c r="AB206" i="12"/>
  <c r="AI206" i="12"/>
  <c r="AS206" i="12" s="1"/>
  <c r="AC206" i="12"/>
  <c r="FM206" i="12" s="1"/>
  <c r="AH206" i="12"/>
  <c r="AR206" i="12" s="1"/>
  <c r="AD206" i="12"/>
  <c r="I212" i="1" s="1"/>
  <c r="AG206" i="12"/>
  <c r="AQ206" i="12" s="1"/>
  <c r="AC77" i="12"/>
  <c r="AG77" i="12"/>
  <c r="AB77" i="12"/>
  <c r="AA77" i="12"/>
  <c r="AI77" i="12"/>
  <c r="AJ77" i="12"/>
  <c r="AP77" i="12" s="1"/>
  <c r="AF77" i="12" s="1"/>
  <c r="AH77" i="12"/>
  <c r="AD77" i="12"/>
  <c r="AE77" i="12"/>
  <c r="AA94" i="12"/>
  <c r="AC94" i="12"/>
  <c r="AD94" i="12"/>
  <c r="AG94" i="12"/>
  <c r="AH94" i="12"/>
  <c r="AE94" i="12"/>
  <c r="AB94" i="12"/>
  <c r="AJ94" i="12"/>
  <c r="AP94" i="12" s="1"/>
  <c r="AF94" i="12" s="1"/>
  <c r="AI94" i="12"/>
  <c r="AA76" i="12"/>
  <c r="AB76" i="12"/>
  <c r="AE76" i="12"/>
  <c r="AD76" i="12"/>
  <c r="AC76" i="12"/>
  <c r="AH76" i="12"/>
  <c r="AG76" i="12"/>
  <c r="AJ76" i="12"/>
  <c r="AP76" i="12" s="1"/>
  <c r="AF76" i="12" s="1"/>
  <c r="AI76" i="12"/>
  <c r="AD190" i="12"/>
  <c r="AG190" i="12"/>
  <c r="AQ190" i="12" s="1"/>
  <c r="AH190" i="12"/>
  <c r="AJ190" i="12"/>
  <c r="AP190" i="12" s="1"/>
  <c r="AF190" i="12" s="1"/>
  <c r="AB190" i="12"/>
  <c r="AE190" i="12"/>
  <c r="AI190" i="12"/>
  <c r="AC190" i="12"/>
  <c r="AI194" i="12"/>
  <c r="AS194" i="12" s="1"/>
  <c r="AC194" i="12"/>
  <c r="AG194" i="12"/>
  <c r="AQ194" i="12" s="1"/>
  <c r="AJ194" i="12"/>
  <c r="AP194" i="12" s="1"/>
  <c r="AF194" i="12" s="1"/>
  <c r="AE194" i="12"/>
  <c r="AH194" i="12"/>
  <c r="AR194" i="12" s="1"/>
  <c r="AD194" i="12"/>
  <c r="AB194" i="12"/>
  <c r="AG183" i="12"/>
  <c r="AE183" i="12"/>
  <c r="AC183" i="12"/>
  <c r="AH183" i="12"/>
  <c r="AI183" i="12"/>
  <c r="AB183" i="12"/>
  <c r="AJ183" i="12"/>
  <c r="AP183" i="12" s="1"/>
  <c r="AF183" i="12" s="1"/>
  <c r="AD183" i="12"/>
  <c r="AI110" i="12"/>
  <c r="AJ110" i="12"/>
  <c r="AP110" i="12" s="1"/>
  <c r="AF110" i="12" s="1"/>
  <c r="AG110" i="12"/>
  <c r="AD110" i="12"/>
  <c r="AE110" i="12"/>
  <c r="AA110" i="12"/>
  <c r="AH110" i="12"/>
  <c r="AB110" i="12"/>
  <c r="AC110" i="12"/>
  <c r="AD196" i="12"/>
  <c r="AC196" i="12"/>
  <c r="AE196" i="12"/>
  <c r="AH196" i="12"/>
  <c r="AR196" i="12" s="1"/>
  <c r="AJ196" i="12"/>
  <c r="AP196" i="12" s="1"/>
  <c r="AF196" i="12" s="1"/>
  <c r="AB196" i="12"/>
  <c r="AG196" i="12"/>
  <c r="AQ196" i="12" s="1"/>
  <c r="AI196" i="12"/>
  <c r="AS196" i="12" s="1"/>
  <c r="AG127" i="12"/>
  <c r="AA127" i="12"/>
  <c r="AI127" i="12"/>
  <c r="AH127" i="12"/>
  <c r="AC127" i="12"/>
  <c r="AJ127" i="12"/>
  <c r="AP127" i="12" s="1"/>
  <c r="AF127" i="12" s="1"/>
  <c r="AD127" i="12"/>
  <c r="AE127" i="12"/>
  <c r="AB127" i="12"/>
  <c r="AG86" i="12"/>
  <c r="AI86" i="12"/>
  <c r="AB86" i="12"/>
  <c r="AC86" i="12"/>
  <c r="AE86" i="12"/>
  <c r="AD86" i="12"/>
  <c r="AH86" i="12"/>
  <c r="AJ86" i="12"/>
  <c r="AP86" i="12" s="1"/>
  <c r="AF86" i="12" s="1"/>
  <c r="AA86" i="12"/>
  <c r="AD176" i="12"/>
  <c r="AE176" i="12"/>
  <c r="AB176" i="12"/>
  <c r="AC176" i="12"/>
  <c r="AH176" i="12"/>
  <c r="AA176" i="12"/>
  <c r="AG176" i="12"/>
  <c r="AJ176" i="12"/>
  <c r="AP176" i="12" s="1"/>
  <c r="AF176" i="12" s="1"/>
  <c r="AI176" i="12"/>
  <c r="AI200" i="12"/>
  <c r="AS200" i="12" s="1"/>
  <c r="AG200" i="12"/>
  <c r="AQ200" i="12" s="1"/>
  <c r="AC200" i="12"/>
  <c r="AJ200" i="12"/>
  <c r="AP200" i="12" s="1"/>
  <c r="AF200" i="12" s="1"/>
  <c r="AH200" i="12"/>
  <c r="AR200" i="12" s="1"/>
  <c r="AE200" i="12"/>
  <c r="AB200" i="12"/>
  <c r="AD200" i="12"/>
  <c r="AC203" i="12"/>
  <c r="AE203" i="12"/>
  <c r="AH203" i="12"/>
  <c r="AR203" i="12" s="1"/>
  <c r="AD203" i="12"/>
  <c r="I209" i="1" s="1"/>
  <c r="AJ203" i="12"/>
  <c r="AP203" i="12" s="1"/>
  <c r="AF203" i="12" s="1"/>
  <c r="AG203" i="12"/>
  <c r="AQ203" i="12" s="1"/>
  <c r="AB203" i="12"/>
  <c r="AI203" i="12"/>
  <c r="AS203" i="12" s="1"/>
  <c r="AC155" i="12"/>
  <c r="AA155" i="12"/>
  <c r="AJ155" i="12"/>
  <c r="AP155" i="12" s="1"/>
  <c r="AF155" i="12" s="1"/>
  <c r="AH155" i="12"/>
  <c r="AE155" i="12"/>
  <c r="AI155" i="12"/>
  <c r="AG155" i="12"/>
  <c r="AQ155" i="12" s="1"/>
  <c r="AB155" i="12"/>
  <c r="AD155" i="12"/>
  <c r="AE106" i="12"/>
  <c r="AA106" i="12"/>
  <c r="AD106" i="12"/>
  <c r="AC106" i="12"/>
  <c r="AB106" i="12"/>
  <c r="AH106" i="12"/>
  <c r="AG106" i="12"/>
  <c r="AI106" i="12"/>
  <c r="AJ106" i="12"/>
  <c r="AP106" i="12" s="1"/>
  <c r="AF106" i="12" s="1"/>
  <c r="AG157" i="12"/>
  <c r="AQ157" i="12" s="1"/>
  <c r="AC157" i="12"/>
  <c r="AD157" i="12"/>
  <c r="AH157" i="12"/>
  <c r="AE157" i="12"/>
  <c r="AB157" i="12"/>
  <c r="AA157" i="12"/>
  <c r="AJ157" i="12"/>
  <c r="AP157" i="12" s="1"/>
  <c r="AF157" i="12" s="1"/>
  <c r="AI157" i="12"/>
  <c r="AJ121" i="12"/>
  <c r="AP121" i="12" s="1"/>
  <c r="AF121" i="12" s="1"/>
  <c r="AI121" i="12"/>
  <c r="AG121" i="12"/>
  <c r="AD121" i="12"/>
  <c r="AC121" i="12"/>
  <c r="AH121" i="12"/>
  <c r="AE121" i="12"/>
  <c r="AA121" i="12"/>
  <c r="AB121" i="12"/>
  <c r="AI117" i="12"/>
  <c r="AJ117" i="12"/>
  <c r="AP117" i="12" s="1"/>
  <c r="AF117" i="12" s="1"/>
  <c r="AA117" i="12"/>
  <c r="AG117" i="12"/>
  <c r="AC117" i="12"/>
  <c r="AD117" i="12"/>
  <c r="AE117" i="12"/>
  <c r="AH117" i="12"/>
  <c r="AB117" i="12"/>
  <c r="AG210" i="12"/>
  <c r="AQ210" i="12" s="1"/>
  <c r="AH210" i="12"/>
  <c r="AR210" i="12" s="1"/>
  <c r="AJ210" i="12"/>
  <c r="AP210" i="12" s="1"/>
  <c r="AF210" i="12" s="1"/>
  <c r="AI210" i="12"/>
  <c r="AS210" i="12" s="1"/>
  <c r="AC210" i="12"/>
  <c r="AE210" i="12"/>
  <c r="AB210" i="12"/>
  <c r="AD210" i="12"/>
  <c r="AD220" i="12"/>
  <c r="AC220" i="12"/>
  <c r="AB220" i="12"/>
  <c r="AE220" i="12"/>
  <c r="AI220" i="12"/>
  <c r="AS220" i="12" s="1"/>
  <c r="AH220" i="12"/>
  <c r="AR220" i="12" s="1"/>
  <c r="AJ220" i="12"/>
  <c r="AP220" i="12" s="1"/>
  <c r="AF220" i="12" s="1"/>
  <c r="AG220" i="12"/>
  <c r="AQ220" i="12" s="1"/>
  <c r="AD118" i="12"/>
  <c r="AC118" i="12"/>
  <c r="AB118" i="12"/>
  <c r="AJ118" i="12"/>
  <c r="AP118" i="12" s="1"/>
  <c r="AF118" i="12" s="1"/>
  <c r="AH118" i="12"/>
  <c r="AE118" i="12"/>
  <c r="AG118" i="12"/>
  <c r="AI118" i="12"/>
  <c r="AA118" i="12"/>
  <c r="AD79" i="12"/>
  <c r="AE79" i="12"/>
  <c r="AH79" i="12"/>
  <c r="AC79" i="12"/>
  <c r="AB79" i="12"/>
  <c r="AI79" i="12"/>
  <c r="AA79" i="12"/>
  <c r="AG79" i="12"/>
  <c r="AJ79" i="12"/>
  <c r="AP79" i="12" s="1"/>
  <c r="AF79" i="12" s="1"/>
  <c r="AJ111" i="12"/>
  <c r="AP111" i="12" s="1"/>
  <c r="AF111" i="12" s="1"/>
  <c r="AB111" i="12"/>
  <c r="AI111" i="12"/>
  <c r="AH111" i="12"/>
  <c r="AC111" i="12"/>
  <c r="AA111" i="12"/>
  <c r="AG111" i="12"/>
  <c r="AE111" i="12"/>
  <c r="AD111" i="12"/>
  <c r="AA141" i="12"/>
  <c r="AH141" i="12"/>
  <c r="AI141" i="12"/>
  <c r="AB141" i="12"/>
  <c r="AD141" i="12"/>
  <c r="AG141" i="12"/>
  <c r="AJ141" i="12"/>
  <c r="AP141" i="12" s="1"/>
  <c r="AF141" i="12" s="1"/>
  <c r="AC141" i="12"/>
  <c r="AE141" i="12"/>
  <c r="AG93" i="12"/>
  <c r="AH93" i="12"/>
  <c r="AD93" i="12"/>
  <c r="AI93" i="12"/>
  <c r="AJ93" i="12"/>
  <c r="AP93" i="12" s="1"/>
  <c r="AF93" i="12" s="1"/>
  <c r="AB93" i="12"/>
  <c r="AA93" i="12"/>
  <c r="AC93" i="12"/>
  <c r="AE93" i="12"/>
  <c r="AB87" i="12"/>
  <c r="AJ87" i="12"/>
  <c r="AP87" i="12" s="1"/>
  <c r="AF87" i="12" s="1"/>
  <c r="AE87" i="12"/>
  <c r="AA87" i="12"/>
  <c r="AI87" i="12"/>
  <c r="AC87" i="12"/>
  <c r="AD87" i="12"/>
  <c r="AG87" i="12"/>
  <c r="AH87" i="12"/>
  <c r="AI177" i="12"/>
  <c r="AA177" i="12"/>
  <c r="AB177" i="12"/>
  <c r="AE177" i="12"/>
  <c r="AG177" i="12"/>
  <c r="AC177" i="12"/>
  <c r="AH177" i="12"/>
  <c r="AD177" i="12"/>
  <c r="AJ177" i="12"/>
  <c r="AP177" i="12" s="1"/>
  <c r="AF177" i="12" s="1"/>
  <c r="AG214" i="12"/>
  <c r="AQ214" i="12" s="1"/>
  <c r="AI214" i="12"/>
  <c r="AS214" i="12" s="1"/>
  <c r="AJ214" i="12"/>
  <c r="AP214" i="12" s="1"/>
  <c r="AF214" i="12" s="1"/>
  <c r="AE214" i="12"/>
  <c r="AD214" i="12"/>
  <c r="AH214" i="12"/>
  <c r="AR214" i="12" s="1"/>
  <c r="AC214" i="12"/>
  <c r="AB214" i="12"/>
  <c r="AH213" i="12"/>
  <c r="AR213" i="12" s="1"/>
  <c r="AD213" i="12"/>
  <c r="AE213" i="12"/>
  <c r="AJ213" i="12"/>
  <c r="AP213" i="12" s="1"/>
  <c r="AF213" i="12" s="1"/>
  <c r="AG213" i="12"/>
  <c r="AQ213" i="12" s="1"/>
  <c r="AI213" i="12"/>
  <c r="AS213" i="12" s="1"/>
  <c r="AB213" i="12"/>
  <c r="AC213" i="12"/>
  <c r="AI136" i="12"/>
  <c r="AA136" i="12"/>
  <c r="AD136" i="12"/>
  <c r="AJ136" i="12"/>
  <c r="AP136" i="12" s="1"/>
  <c r="AF136" i="12" s="1"/>
  <c r="AC136" i="12"/>
  <c r="AB136" i="12"/>
  <c r="AE136" i="12"/>
  <c r="AG136" i="12"/>
  <c r="AH136" i="12"/>
  <c r="AG67" i="12"/>
  <c r="AE67" i="12"/>
  <c r="AB67" i="12"/>
  <c r="AH67" i="12"/>
  <c r="AJ67" i="12"/>
  <c r="AP67" i="12" s="1"/>
  <c r="AF67" i="12" s="1"/>
  <c r="AC67" i="12"/>
  <c r="AA67" i="12"/>
  <c r="AI67" i="12"/>
  <c r="AD67" i="12"/>
  <c r="AA53" i="12"/>
  <c r="AG53" i="12"/>
  <c r="AI53" i="12"/>
  <c r="AE53" i="12"/>
  <c r="AC53" i="12"/>
  <c r="AH53" i="12"/>
  <c r="AD53" i="12"/>
  <c r="AB53" i="12"/>
  <c r="AJ53" i="12"/>
  <c r="AP53" i="12" s="1"/>
  <c r="AF53" i="12" s="1"/>
  <c r="AG55" i="12"/>
  <c r="AQ55" i="12" s="1"/>
  <c r="AJ55" i="12"/>
  <c r="AP55" i="12" s="1"/>
  <c r="AF55" i="12" s="1"/>
  <c r="AI55" i="12"/>
  <c r="AD55" i="12"/>
  <c r="AC55" i="12"/>
  <c r="AH55" i="12"/>
  <c r="AE55" i="12"/>
  <c r="AB55" i="12"/>
  <c r="AA55" i="12"/>
  <c r="AG46" i="12"/>
  <c r="AC46" i="12"/>
  <c r="AJ46" i="12"/>
  <c r="AP46" i="12" s="1"/>
  <c r="AF46" i="12" s="1"/>
  <c r="AE46" i="12"/>
  <c r="AI46" i="12"/>
  <c r="AD46" i="12"/>
  <c r="AH46" i="12"/>
  <c r="AB46" i="12"/>
  <c r="AA46" i="12"/>
  <c r="AB57" i="12"/>
  <c r="AG57" i="12"/>
  <c r="AC57" i="12"/>
  <c r="AH57" i="12"/>
  <c r="AE57" i="12"/>
  <c r="AI57" i="12"/>
  <c r="AD57" i="12"/>
  <c r="AJ57" i="12"/>
  <c r="AP57" i="12" s="1"/>
  <c r="AF57" i="12" s="1"/>
  <c r="AA57" i="12"/>
  <c r="AC41" i="12"/>
  <c r="AG41" i="12"/>
  <c r="AB41" i="12"/>
  <c r="AI41" i="12"/>
  <c r="AA41" i="12"/>
  <c r="AD41" i="12"/>
  <c r="AH41" i="12"/>
  <c r="AJ41" i="12"/>
  <c r="AP41" i="12" s="1"/>
  <c r="AF41" i="12" s="1"/>
  <c r="AE41" i="12"/>
  <c r="AB36" i="12"/>
  <c r="AC36" i="12"/>
  <c r="AE36" i="12"/>
  <c r="AI36" i="12"/>
  <c r="AG36" i="12"/>
  <c r="AH36" i="12"/>
  <c r="AD36" i="12"/>
  <c r="AA36" i="12"/>
  <c r="AJ36" i="12"/>
  <c r="AP36" i="12" s="1"/>
  <c r="AF36" i="12" s="1"/>
  <c r="AH188" i="12"/>
  <c r="AG188" i="12"/>
  <c r="AE188" i="12"/>
  <c r="AD188" i="12"/>
  <c r="AC188" i="12"/>
  <c r="AJ188" i="12"/>
  <c r="AP188" i="12" s="1"/>
  <c r="AF188" i="12" s="1"/>
  <c r="AI188" i="12"/>
  <c r="AB188" i="12"/>
  <c r="FM61" i="12"/>
  <c r="AJ160" i="12"/>
  <c r="AP160" i="12" s="1"/>
  <c r="AF160" i="12" s="1"/>
  <c r="AB160" i="12"/>
  <c r="AC160" i="12"/>
  <c r="AD160" i="12"/>
  <c r="AH160" i="12"/>
  <c r="AG160" i="12"/>
  <c r="AQ160" i="12" s="1"/>
  <c r="AI160" i="12"/>
  <c r="AA160" i="12"/>
  <c r="AE160" i="12"/>
  <c r="AC88" i="12"/>
  <c r="AA88" i="12"/>
  <c r="AB88" i="12"/>
  <c r="AG88" i="12"/>
  <c r="AJ88" i="12"/>
  <c r="AP88" i="12" s="1"/>
  <c r="AF88" i="12" s="1"/>
  <c r="AH88" i="12"/>
  <c r="AD88" i="12"/>
  <c r="AI88" i="12"/>
  <c r="AE88" i="12"/>
  <c r="AJ208" i="12"/>
  <c r="AP208" i="12" s="1"/>
  <c r="AF208" i="12" s="1"/>
  <c r="AG208" i="12"/>
  <c r="AQ208" i="12" s="1"/>
  <c r="AE208" i="12"/>
  <c r="AH208" i="12"/>
  <c r="AR208" i="12" s="1"/>
  <c r="AD208" i="12"/>
  <c r="I214" i="1" s="1"/>
  <c r="AI208" i="12"/>
  <c r="AS208" i="12" s="1"/>
  <c r="AC208" i="12"/>
  <c r="FM208" i="12" s="1"/>
  <c r="AB208" i="12"/>
  <c r="AD70" i="12"/>
  <c r="AE70" i="12"/>
  <c r="AJ70" i="12"/>
  <c r="AP70" i="12" s="1"/>
  <c r="AF70" i="12" s="1"/>
  <c r="AI70" i="12"/>
  <c r="AB70" i="12"/>
  <c r="AC70" i="12"/>
  <c r="AH70" i="12"/>
  <c r="AA70" i="12"/>
  <c r="AG70" i="12"/>
  <c r="AQ70" i="12" s="1"/>
  <c r="AG92" i="12"/>
  <c r="AJ92" i="12"/>
  <c r="AP92" i="12" s="1"/>
  <c r="AF92" i="12" s="1"/>
  <c r="AB92" i="12"/>
  <c r="AI92" i="12"/>
  <c r="AH92" i="12"/>
  <c r="AE92" i="12"/>
  <c r="AA92" i="12"/>
  <c r="AC92" i="12"/>
  <c r="AD92" i="12"/>
  <c r="AH147" i="12"/>
  <c r="AB147" i="12"/>
  <c r="AC147" i="12"/>
  <c r="AG147" i="12"/>
  <c r="AA147" i="12"/>
  <c r="AD147" i="12"/>
  <c r="AJ147" i="12"/>
  <c r="AP147" i="12" s="1"/>
  <c r="AF147" i="12" s="1"/>
  <c r="AI147" i="12"/>
  <c r="AE147" i="12"/>
  <c r="AI89" i="12"/>
  <c r="AE89" i="12"/>
  <c r="AA89" i="12"/>
  <c r="AJ89" i="12"/>
  <c r="AP89" i="12" s="1"/>
  <c r="AF89" i="12" s="1"/>
  <c r="AD89" i="12"/>
  <c r="AC89" i="12"/>
  <c r="AG89" i="12"/>
  <c r="AB89" i="12"/>
  <c r="AH89" i="12"/>
  <c r="AD171" i="12"/>
  <c r="AE171" i="12"/>
  <c r="AB171" i="12"/>
  <c r="AG171" i="12"/>
  <c r="AJ171" i="12"/>
  <c r="AP171" i="12" s="1"/>
  <c r="AF171" i="12" s="1"/>
  <c r="AH171" i="12"/>
  <c r="AA171" i="12"/>
  <c r="AC171" i="12"/>
  <c r="AI171" i="12"/>
  <c r="AG202" i="12"/>
  <c r="AQ202" i="12" s="1"/>
  <c r="AH202" i="12"/>
  <c r="AR202" i="12" s="1"/>
  <c r="AC202" i="12"/>
  <c r="AI202" i="12"/>
  <c r="AS202" i="12" s="1"/>
  <c r="AE202" i="12"/>
  <c r="AJ202" i="12"/>
  <c r="AP202" i="12" s="1"/>
  <c r="AF202" i="12" s="1"/>
  <c r="AD202" i="12"/>
  <c r="I208" i="1" s="1"/>
  <c r="AB202" i="12"/>
  <c r="AG184" i="12"/>
  <c r="AJ184" i="12"/>
  <c r="AP184" i="12" s="1"/>
  <c r="AF184" i="12" s="1"/>
  <c r="AE184" i="12"/>
  <c r="AB184" i="12"/>
  <c r="AC184" i="12"/>
  <c r="AH184" i="12"/>
  <c r="AI184" i="12"/>
  <c r="AD184" i="12"/>
  <c r="AD101" i="12"/>
  <c r="AH101" i="12"/>
  <c r="AC101" i="12"/>
  <c r="AI101" i="12"/>
  <c r="AE101" i="12"/>
  <c r="AA101" i="12"/>
  <c r="AJ101" i="12"/>
  <c r="AP101" i="12" s="1"/>
  <c r="AF101" i="12" s="1"/>
  <c r="AB101" i="12"/>
  <c r="AG101" i="12"/>
  <c r="AE113" i="12"/>
  <c r="AH113" i="12"/>
  <c r="AB113" i="12"/>
  <c r="AJ113" i="12"/>
  <c r="AP113" i="12" s="1"/>
  <c r="AF113" i="12" s="1"/>
  <c r="AG113" i="12"/>
  <c r="AD113" i="12"/>
  <c r="AA113" i="12"/>
  <c r="AI113" i="12"/>
  <c r="AC113" i="12"/>
  <c r="AA116" i="12"/>
  <c r="AE116" i="12"/>
  <c r="AC116" i="12"/>
  <c r="AB116" i="12"/>
  <c r="AH116" i="12"/>
  <c r="AG116" i="12"/>
  <c r="AD116" i="12"/>
  <c r="AI116" i="12"/>
  <c r="AJ116" i="12"/>
  <c r="AP116" i="12" s="1"/>
  <c r="AF116" i="12" s="1"/>
  <c r="AH170" i="12"/>
  <c r="AI170" i="12"/>
  <c r="AG170" i="12"/>
  <c r="AD170" i="12"/>
  <c r="AE170" i="12"/>
  <c r="AA170" i="12"/>
  <c r="AB170" i="12"/>
  <c r="AC170" i="12"/>
  <c r="AJ170" i="12"/>
  <c r="AP170" i="12" s="1"/>
  <c r="AF170" i="12" s="1"/>
  <c r="AA74" i="12"/>
  <c r="AI74" i="12"/>
  <c r="AH74" i="12"/>
  <c r="AG74" i="12"/>
  <c r="AJ74" i="12"/>
  <c r="AP74" i="12" s="1"/>
  <c r="AF74" i="12" s="1"/>
  <c r="AC74" i="12"/>
  <c r="AB74" i="12"/>
  <c r="AE74" i="12"/>
  <c r="AD74" i="12"/>
  <c r="AH162" i="12"/>
  <c r="AD162" i="12"/>
  <c r="AI162" i="12"/>
  <c r="AG162" i="12"/>
  <c r="AB162" i="12"/>
  <c r="AA162" i="12"/>
  <c r="AC162" i="12"/>
  <c r="AJ162" i="12"/>
  <c r="AP162" i="12" s="1"/>
  <c r="AF162" i="12" s="1"/>
  <c r="AE162" i="12"/>
  <c r="AJ151" i="12"/>
  <c r="AP151" i="12" s="1"/>
  <c r="AF151" i="12" s="1"/>
  <c r="AD151" i="12"/>
  <c r="AI151" i="12"/>
  <c r="AB151" i="12"/>
  <c r="AH151" i="12"/>
  <c r="AE151" i="12"/>
  <c r="AA151" i="12"/>
  <c r="AG151" i="12"/>
  <c r="AC151" i="12"/>
  <c r="AH97" i="12"/>
  <c r="AB97" i="12"/>
  <c r="AE97" i="12"/>
  <c r="AI97" i="12"/>
  <c r="AA97" i="12"/>
  <c r="AG97" i="12"/>
  <c r="AC97" i="12"/>
  <c r="FM97" i="12" s="1"/>
  <c r="AD97" i="12"/>
  <c r="AJ97" i="12"/>
  <c r="AP97" i="12" s="1"/>
  <c r="AF97" i="12" s="1"/>
  <c r="AB158" i="12"/>
  <c r="AA158" i="12"/>
  <c r="AH158" i="12"/>
  <c r="AD158" i="12"/>
  <c r="AJ158" i="12"/>
  <c r="AP158" i="12" s="1"/>
  <c r="AF158" i="12" s="1"/>
  <c r="AI158" i="12"/>
  <c r="AE158" i="12"/>
  <c r="AC158" i="12"/>
  <c r="AG158" i="12"/>
  <c r="AE112" i="12"/>
  <c r="AG112" i="12"/>
  <c r="AI112" i="12"/>
  <c r="AB112" i="12"/>
  <c r="AA112" i="12"/>
  <c r="AD112" i="12"/>
  <c r="AC112" i="12"/>
  <c r="AJ112" i="12"/>
  <c r="AP112" i="12" s="1"/>
  <c r="AF112" i="12" s="1"/>
  <c r="AH112" i="12"/>
  <c r="AC139" i="12"/>
  <c r="AE139" i="12"/>
  <c r="AH139" i="12"/>
  <c r="AB139" i="12"/>
  <c r="AJ139" i="12"/>
  <c r="AP139" i="12" s="1"/>
  <c r="AF139" i="12" s="1"/>
  <c r="AG139" i="12"/>
  <c r="AI139" i="12"/>
  <c r="AD139" i="12"/>
  <c r="AA139" i="12"/>
  <c r="AC75" i="12"/>
  <c r="AG75" i="12"/>
  <c r="AJ75" i="12"/>
  <c r="AP75" i="12" s="1"/>
  <c r="AF75" i="12" s="1"/>
  <c r="AA75" i="12"/>
  <c r="AE75" i="12"/>
  <c r="AD75" i="12"/>
  <c r="AB75" i="12"/>
  <c r="AH75" i="12"/>
  <c r="AI75" i="12"/>
  <c r="AJ168" i="12"/>
  <c r="AP168" i="12" s="1"/>
  <c r="AF168" i="12" s="1"/>
  <c r="AD168" i="12"/>
  <c r="AA168" i="12"/>
  <c r="AC168" i="12"/>
  <c r="AB168" i="12"/>
  <c r="AI168" i="12"/>
  <c r="AE168" i="12"/>
  <c r="AG168" i="12"/>
  <c r="AH168" i="12"/>
  <c r="AB80" i="12"/>
  <c r="AC80" i="12"/>
  <c r="AG80" i="12"/>
  <c r="AH80" i="12"/>
  <c r="AI80" i="12"/>
  <c r="AA80" i="12"/>
  <c r="AJ80" i="12"/>
  <c r="AP80" i="12" s="1"/>
  <c r="AF80" i="12" s="1"/>
  <c r="AE80" i="12"/>
  <c r="AD80" i="12"/>
  <c r="AA134" i="12"/>
  <c r="AD134" i="12"/>
  <c r="AB134" i="12"/>
  <c r="AG134" i="12"/>
  <c r="AJ134" i="12"/>
  <c r="AP134" i="12" s="1"/>
  <c r="AF134" i="12" s="1"/>
  <c r="AC134" i="12"/>
  <c r="AE134" i="12"/>
  <c r="AH134" i="12"/>
  <c r="AI134" i="12"/>
  <c r="AC81" i="12"/>
  <c r="AI81" i="12"/>
  <c r="AE81" i="12"/>
  <c r="AG81" i="12"/>
  <c r="AH81" i="12"/>
  <c r="AD81" i="12"/>
  <c r="AJ81" i="12"/>
  <c r="AP81" i="12" s="1"/>
  <c r="AF81" i="12" s="1"/>
  <c r="AA81" i="12"/>
  <c r="AB81" i="12"/>
  <c r="AE144" i="12"/>
  <c r="AG144" i="12"/>
  <c r="AJ144" i="12"/>
  <c r="AP144" i="12" s="1"/>
  <c r="AF144" i="12" s="1"/>
  <c r="AI144" i="12"/>
  <c r="AC144" i="12"/>
  <c r="AD144" i="12"/>
  <c r="AB144" i="12"/>
  <c r="AA144" i="12"/>
  <c r="AH144" i="12"/>
  <c r="AE164" i="12"/>
  <c r="AH164" i="12"/>
  <c r="AD164" i="12"/>
  <c r="AB164" i="12"/>
  <c r="AA164" i="12"/>
  <c r="AG164" i="12"/>
  <c r="AC164" i="12"/>
  <c r="AJ164" i="12"/>
  <c r="AP164" i="12" s="1"/>
  <c r="AF164" i="12" s="1"/>
  <c r="AI164" i="12"/>
  <c r="AH172" i="12"/>
  <c r="AI172" i="12"/>
  <c r="AA172" i="12"/>
  <c r="AC172" i="12"/>
  <c r="AE172" i="12"/>
  <c r="AB172" i="12"/>
  <c r="AG172" i="12"/>
  <c r="AD172" i="12"/>
  <c r="AJ172" i="12"/>
  <c r="AP172" i="12" s="1"/>
  <c r="AF172" i="12" s="1"/>
  <c r="AC192" i="12"/>
  <c r="AJ192" i="12"/>
  <c r="AP192" i="12" s="1"/>
  <c r="AF192" i="12" s="1"/>
  <c r="AI192" i="12"/>
  <c r="AG192" i="12"/>
  <c r="AQ192" i="12" s="1"/>
  <c r="AD192" i="12"/>
  <c r="AE192" i="12"/>
  <c r="AB192" i="12"/>
  <c r="AH192" i="12"/>
  <c r="AJ99" i="12"/>
  <c r="AP99" i="12" s="1"/>
  <c r="AF99" i="12" s="1"/>
  <c r="AH99" i="12"/>
  <c r="AB99" i="12"/>
  <c r="AA99" i="12"/>
  <c r="AG99" i="12"/>
  <c r="AE99" i="12"/>
  <c r="AD99" i="12"/>
  <c r="AC99" i="12"/>
  <c r="AI99" i="12"/>
  <c r="AH125" i="12"/>
  <c r="AB125" i="12"/>
  <c r="AE125" i="12"/>
  <c r="AI125" i="12"/>
  <c r="AJ125" i="12"/>
  <c r="AP125" i="12" s="1"/>
  <c r="AF125" i="12" s="1"/>
  <c r="AG125" i="12"/>
  <c r="AA125" i="12"/>
  <c r="AD125" i="12"/>
  <c r="AC125" i="12"/>
  <c r="AC216" i="12"/>
  <c r="AE216" i="12"/>
  <c r="AB216" i="12"/>
  <c r="AH216" i="12"/>
  <c r="AR216" i="12" s="1"/>
  <c r="AJ216" i="12"/>
  <c r="AP216" i="12" s="1"/>
  <c r="AF216" i="12" s="1"/>
  <c r="AI216" i="12"/>
  <c r="AS216" i="12" s="1"/>
  <c r="AG216" i="12"/>
  <c r="AQ216" i="12" s="1"/>
  <c r="AD216" i="12"/>
  <c r="AI104" i="12"/>
  <c r="AB104" i="12"/>
  <c r="AH104" i="12"/>
  <c r="AG104" i="12"/>
  <c r="AJ104" i="12"/>
  <c r="AP104" i="12" s="1"/>
  <c r="AF104" i="12" s="1"/>
  <c r="AD104" i="12"/>
  <c r="AE104" i="12"/>
  <c r="AA104" i="12"/>
  <c r="AC104" i="12"/>
  <c r="AB145" i="12"/>
  <c r="AJ145" i="12"/>
  <c r="AP145" i="12" s="1"/>
  <c r="AF145" i="12" s="1"/>
  <c r="AD145" i="12"/>
  <c r="AE145" i="12"/>
  <c r="AA145" i="12"/>
  <c r="AG145" i="12"/>
  <c r="AH145" i="12"/>
  <c r="AC145" i="12"/>
  <c r="AI145" i="12"/>
  <c r="AA114" i="12"/>
  <c r="AC114" i="12"/>
  <c r="AH114" i="12"/>
  <c r="AG114" i="12"/>
  <c r="AD114" i="12"/>
  <c r="AJ114" i="12"/>
  <c r="AP114" i="12" s="1"/>
  <c r="AF114" i="12" s="1"/>
  <c r="AB114" i="12"/>
  <c r="AE114" i="12"/>
  <c r="AI114" i="12"/>
  <c r="AE132" i="12"/>
  <c r="AJ132" i="12"/>
  <c r="AP132" i="12" s="1"/>
  <c r="AF132" i="12" s="1"/>
  <c r="AH132" i="12"/>
  <c r="AB132" i="12"/>
  <c r="AD132" i="12"/>
  <c r="AA132" i="12"/>
  <c r="AG132" i="12"/>
  <c r="AC132" i="12"/>
  <c r="AI132" i="12"/>
  <c r="AB152" i="12"/>
  <c r="AI152" i="12"/>
  <c r="AA152" i="12"/>
  <c r="AD152" i="12"/>
  <c r="AG152" i="12"/>
  <c r="AH152" i="12"/>
  <c r="AJ152" i="12"/>
  <c r="AP152" i="12" s="1"/>
  <c r="AF152" i="12" s="1"/>
  <c r="AE152" i="12"/>
  <c r="AC152" i="12"/>
  <c r="AB209" i="12"/>
  <c r="AD209" i="12"/>
  <c r="AE209" i="12"/>
  <c r="AI209" i="12"/>
  <c r="AS209" i="12" s="1"/>
  <c r="AG209" i="12"/>
  <c r="AQ209" i="12" s="1"/>
  <c r="AC209" i="12"/>
  <c r="AH209" i="12"/>
  <c r="AR209" i="12" s="1"/>
  <c r="AJ209" i="12"/>
  <c r="AP209" i="12" s="1"/>
  <c r="AF209" i="12" s="1"/>
  <c r="AE50" i="12"/>
  <c r="AB50" i="12"/>
  <c r="AH50" i="12"/>
  <c r="AC50" i="12"/>
  <c r="AG50" i="12"/>
  <c r="AD50" i="12"/>
  <c r="AA50" i="12"/>
  <c r="AI50" i="12"/>
  <c r="AJ50" i="12"/>
  <c r="AP50" i="12" s="1"/>
  <c r="AF50" i="12" s="1"/>
  <c r="AD49" i="12"/>
  <c r="AC49" i="12"/>
  <c r="AG49" i="12"/>
  <c r="AJ49" i="12"/>
  <c r="AP49" i="12" s="1"/>
  <c r="AF49" i="12" s="1"/>
  <c r="AH49" i="12"/>
  <c r="AI49" i="12"/>
  <c r="AE49" i="12"/>
  <c r="AB49" i="12"/>
  <c r="AA49" i="12"/>
  <c r="AG59" i="12"/>
  <c r="AA59" i="12"/>
  <c r="AD59" i="12"/>
  <c r="AB59" i="12"/>
  <c r="AI59" i="12"/>
  <c r="AC59" i="12"/>
  <c r="AJ59" i="12"/>
  <c r="AP59" i="12" s="1"/>
  <c r="AF59" i="12" s="1"/>
  <c r="AH59" i="12"/>
  <c r="AE59" i="12"/>
  <c r="AH52" i="12"/>
  <c r="AD52" i="12"/>
  <c r="AB52" i="12"/>
  <c r="AG52" i="12"/>
  <c r="AA52" i="12"/>
  <c r="AE52" i="12"/>
  <c r="AI52" i="12"/>
  <c r="AC52" i="12"/>
  <c r="AJ52" i="12"/>
  <c r="AP52" i="12" s="1"/>
  <c r="AF52" i="12" s="1"/>
  <c r="AH42" i="12"/>
  <c r="AE42" i="12"/>
  <c r="AC42" i="12"/>
  <c r="AI42" i="12"/>
  <c r="AA42" i="12"/>
  <c r="AG42" i="12"/>
  <c r="AB42" i="12"/>
  <c r="AD42" i="12"/>
  <c r="AJ42" i="12"/>
  <c r="AP42" i="12" s="1"/>
  <c r="AF42" i="12" s="1"/>
  <c r="AD35" i="12"/>
  <c r="AH35" i="12"/>
  <c r="AI35" i="12"/>
  <c r="AJ35" i="12"/>
  <c r="AP35" i="12" s="1"/>
  <c r="AF35" i="12" s="1"/>
  <c r="AA35" i="12"/>
  <c r="AB35" i="12"/>
  <c r="AE35" i="12"/>
  <c r="AC35" i="12"/>
  <c r="AG35" i="12"/>
  <c r="AE37" i="12"/>
  <c r="AI37" i="12"/>
  <c r="AB37" i="12"/>
  <c r="AG37" i="12"/>
  <c r="AH37" i="12"/>
  <c r="AJ37" i="12"/>
  <c r="AP37" i="12" s="1"/>
  <c r="AF37" i="12" s="1"/>
  <c r="AC37" i="12"/>
  <c r="AA37" i="12"/>
  <c r="AD37" i="12"/>
  <c r="AE107" i="12"/>
  <c r="AA107" i="12"/>
  <c r="AI107" i="12"/>
  <c r="AC107" i="12"/>
  <c r="AG107" i="12"/>
  <c r="AH107" i="12"/>
  <c r="AJ107" i="12"/>
  <c r="AP107" i="12" s="1"/>
  <c r="AF107" i="12" s="1"/>
  <c r="AB107" i="12"/>
  <c r="AD107" i="12"/>
  <c r="FV61" i="12"/>
  <c r="GQ61" i="12"/>
  <c r="GU61" i="12" s="1"/>
  <c r="GV61" i="12" s="1"/>
  <c r="FQ61" i="12"/>
  <c r="FG61" i="12"/>
  <c r="FR61" i="12"/>
  <c r="AG217" i="12"/>
  <c r="AQ217" i="12" s="1"/>
  <c r="AH217" i="12"/>
  <c r="AR217" i="12" s="1"/>
  <c r="AI217" i="12"/>
  <c r="AS217" i="12" s="1"/>
  <c r="AJ217" i="12"/>
  <c r="AP217" i="12" s="1"/>
  <c r="AF217" i="12" s="1"/>
  <c r="AC217" i="12"/>
  <c r="AD217" i="12"/>
  <c r="AE217" i="12"/>
  <c r="AB217" i="12"/>
  <c r="AB173" i="12"/>
  <c r="AE173" i="12"/>
  <c r="AJ173" i="12"/>
  <c r="AP173" i="12" s="1"/>
  <c r="AF173" i="12" s="1"/>
  <c r="AD173" i="12"/>
  <c r="AH173" i="12"/>
  <c r="AA173" i="12"/>
  <c r="AG173" i="12"/>
  <c r="AC173" i="12"/>
  <c r="AI173" i="12"/>
  <c r="AG95" i="12"/>
  <c r="AJ95" i="12"/>
  <c r="AP95" i="12" s="1"/>
  <c r="AF95" i="12" s="1"/>
  <c r="AE95" i="12"/>
  <c r="AA95" i="12"/>
  <c r="AD95" i="12"/>
  <c r="AI95" i="12"/>
  <c r="AH95" i="12"/>
  <c r="AC95" i="12"/>
  <c r="AB95" i="12"/>
  <c r="AH156" i="12"/>
  <c r="AG156" i="12"/>
  <c r="AQ156" i="12" s="1"/>
  <c r="AD156" i="12"/>
  <c r="AA156" i="12"/>
  <c r="AE156" i="12"/>
  <c r="AC156" i="12"/>
  <c r="AI156" i="12"/>
  <c r="AJ156" i="12"/>
  <c r="AP156" i="12" s="1"/>
  <c r="AF156" i="12" s="1"/>
  <c r="AB156" i="12"/>
  <c r="AJ115" i="12"/>
  <c r="AP115" i="12" s="1"/>
  <c r="AF115" i="12" s="1"/>
  <c r="AB115" i="12"/>
  <c r="AI115" i="12"/>
  <c r="AH115" i="12"/>
  <c r="AA115" i="12"/>
  <c r="AD115" i="12"/>
  <c r="AG115" i="12"/>
  <c r="AE115" i="12"/>
  <c r="AC115" i="12"/>
  <c r="AB91" i="12"/>
  <c r="AC91" i="12"/>
  <c r="AG91" i="12"/>
  <c r="AH91" i="12"/>
  <c r="AI91" i="12"/>
  <c r="AD91" i="12"/>
  <c r="AA91" i="12"/>
  <c r="AE91" i="12"/>
  <c r="AJ91" i="12"/>
  <c r="AP91" i="12" s="1"/>
  <c r="AF91" i="12" s="1"/>
  <c r="AG142" i="12"/>
  <c r="AB142" i="12"/>
  <c r="AD142" i="12"/>
  <c r="AC142" i="12"/>
  <c r="AH142" i="12"/>
  <c r="AI142" i="12"/>
  <c r="AE142" i="12"/>
  <c r="AJ142" i="12"/>
  <c r="AP142" i="12" s="1"/>
  <c r="AF142" i="12" s="1"/>
  <c r="AA142" i="12"/>
  <c r="AG68" i="12"/>
  <c r="AH68" i="12"/>
  <c r="AI68" i="12"/>
  <c r="AB68" i="12"/>
  <c r="AA68" i="12"/>
  <c r="AC68" i="12"/>
  <c r="AJ68" i="12"/>
  <c r="AP68" i="12" s="1"/>
  <c r="AF68" i="12" s="1"/>
  <c r="AE68" i="12"/>
  <c r="AD68" i="12"/>
  <c r="AD211" i="12"/>
  <c r="AH211" i="12"/>
  <c r="AR211" i="12" s="1"/>
  <c r="AC211" i="12"/>
  <c r="AI211" i="12"/>
  <c r="AS211" i="12" s="1"/>
  <c r="AJ211" i="12"/>
  <c r="AP211" i="12" s="1"/>
  <c r="AF211" i="12" s="1"/>
  <c r="AE211" i="12"/>
  <c r="AG211" i="12"/>
  <c r="AQ211" i="12" s="1"/>
  <c r="AB211" i="12"/>
  <c r="AI108" i="12"/>
  <c r="AC108" i="12"/>
  <c r="AJ108" i="12"/>
  <c r="AP108" i="12" s="1"/>
  <c r="AF108" i="12" s="1"/>
  <c r="AD108" i="12"/>
  <c r="AE108" i="12"/>
  <c r="AG108" i="12"/>
  <c r="AA108" i="12"/>
  <c r="AB108" i="12"/>
  <c r="AH108" i="12"/>
  <c r="AA65" i="12"/>
  <c r="AG65" i="12"/>
  <c r="AD65" i="12"/>
  <c r="AJ65" i="12"/>
  <c r="AP65" i="12" s="1"/>
  <c r="AF65" i="12" s="1"/>
  <c r="AH65" i="12"/>
  <c r="AI65" i="12"/>
  <c r="AC65" i="12"/>
  <c r="AE65" i="12"/>
  <c r="AB65" i="12"/>
  <c r="AE96" i="12"/>
  <c r="AD96" i="12"/>
  <c r="AH96" i="12"/>
  <c r="AI96" i="12"/>
  <c r="AG96" i="12"/>
  <c r="AJ96" i="12"/>
  <c r="AP96" i="12" s="1"/>
  <c r="AF96" i="12" s="1"/>
  <c r="AB96" i="12"/>
  <c r="AA96" i="12"/>
  <c r="AC96" i="12"/>
  <c r="FM96" i="12" s="1"/>
  <c r="AI129" i="12"/>
  <c r="AH129" i="12"/>
  <c r="AB129" i="12"/>
  <c r="AE129" i="12"/>
  <c r="AG129" i="12"/>
  <c r="AA129" i="12"/>
  <c r="AJ129" i="12"/>
  <c r="AP129" i="12" s="1"/>
  <c r="AF129" i="12" s="1"/>
  <c r="AC129" i="12"/>
  <c r="AD129" i="12"/>
  <c r="AG154" i="12"/>
  <c r="AQ154" i="12" s="1"/>
  <c r="AE154" i="12"/>
  <c r="AA154" i="12"/>
  <c r="AC154" i="12"/>
  <c r="AB154" i="12"/>
  <c r="AJ154" i="12"/>
  <c r="AP154" i="12" s="1"/>
  <c r="AF154" i="12" s="1"/>
  <c r="AI154" i="12"/>
  <c r="AH154" i="12"/>
  <c r="AD154" i="12"/>
  <c r="AE71" i="12"/>
  <c r="AC71" i="12"/>
  <c r="AA71" i="12"/>
  <c r="AD71" i="12"/>
  <c r="AG71" i="12"/>
  <c r="AB71" i="12"/>
  <c r="AJ71" i="12"/>
  <c r="AP71" i="12" s="1"/>
  <c r="AF71" i="12" s="1"/>
  <c r="AH71" i="12"/>
  <c r="AI71" i="12"/>
  <c r="AC103" i="12"/>
  <c r="AE103" i="12"/>
  <c r="AA103" i="12"/>
  <c r="AD103" i="12"/>
  <c r="AJ103" i="12"/>
  <c r="AP103" i="12" s="1"/>
  <c r="AF103" i="12" s="1"/>
  <c r="AH103" i="12"/>
  <c r="AI103" i="12"/>
  <c r="AG103" i="12"/>
  <c r="AB103" i="12"/>
  <c r="AH146" i="12"/>
  <c r="AE146" i="12"/>
  <c r="AI146" i="12"/>
  <c r="AB146" i="12"/>
  <c r="AA146" i="12"/>
  <c r="AG146" i="12"/>
  <c r="AC146" i="12"/>
  <c r="AD146" i="12"/>
  <c r="AJ146" i="12"/>
  <c r="AP146" i="12" s="1"/>
  <c r="AF146" i="12" s="1"/>
  <c r="AC195" i="12"/>
  <c r="AH195" i="12"/>
  <c r="AR195" i="12" s="1"/>
  <c r="AB195" i="12"/>
  <c r="AD195" i="12"/>
  <c r="AG195" i="12"/>
  <c r="AQ195" i="12" s="1"/>
  <c r="AE195" i="12"/>
  <c r="AJ195" i="12"/>
  <c r="AP195" i="12" s="1"/>
  <c r="AF195" i="12" s="1"/>
  <c r="AI195" i="12"/>
  <c r="AS195" i="12" s="1"/>
  <c r="AB199" i="12"/>
  <c r="AH199" i="12"/>
  <c r="AR199" i="12" s="1"/>
  <c r="AJ199" i="12"/>
  <c r="AP199" i="12" s="1"/>
  <c r="AF199" i="12" s="1"/>
  <c r="AC199" i="12"/>
  <c r="AD199" i="12"/>
  <c r="AG199" i="12"/>
  <c r="AQ199" i="12" s="1"/>
  <c r="AE199" i="12"/>
  <c r="AI199" i="12"/>
  <c r="AS199" i="12" s="1"/>
  <c r="AC62" i="12"/>
  <c r="AJ62" i="12"/>
  <c r="AP62" i="12" s="1"/>
  <c r="AF62" i="12" s="1"/>
  <c r="AH62" i="12"/>
  <c r="AR62" i="12" s="1"/>
  <c r="AB62" i="12"/>
  <c r="AI62" i="12"/>
  <c r="AA62" i="12"/>
  <c r="AD62" i="12"/>
  <c r="AG62" i="12"/>
  <c r="AQ62" i="12" s="1"/>
  <c r="AE62" i="12"/>
  <c r="AJ212" i="12"/>
  <c r="AP212" i="12" s="1"/>
  <c r="AF212" i="12" s="1"/>
  <c r="AE212" i="12"/>
  <c r="AC212" i="12"/>
  <c r="AD212" i="12"/>
  <c r="AB212" i="12"/>
  <c r="AI212" i="12"/>
  <c r="AS212" i="12" s="1"/>
  <c r="AH212" i="12"/>
  <c r="AR212" i="12" s="1"/>
  <c r="AG212" i="12"/>
  <c r="AQ212" i="12" s="1"/>
  <c r="AD181" i="12"/>
  <c r="AC181" i="12"/>
  <c r="AH181" i="12"/>
  <c r="AB181" i="12"/>
  <c r="AA181" i="12"/>
  <c r="AJ181" i="12"/>
  <c r="AP181" i="12" s="1"/>
  <c r="AF181" i="12" s="1"/>
  <c r="AI181" i="12"/>
  <c r="AE181" i="12"/>
  <c r="AG181" i="12"/>
  <c r="AG197" i="12"/>
  <c r="AQ197" i="12" s="1"/>
  <c r="AD197" i="12"/>
  <c r="AJ197" i="12"/>
  <c r="AP197" i="12" s="1"/>
  <c r="AF197" i="12" s="1"/>
  <c r="AE197" i="12"/>
  <c r="AI197" i="12"/>
  <c r="AS197" i="12" s="1"/>
  <c r="AH197" i="12"/>
  <c r="AR197" i="12" s="1"/>
  <c r="AB197" i="12"/>
  <c r="AC197" i="12"/>
  <c r="AE126" i="12"/>
  <c r="AJ126" i="12"/>
  <c r="AP126" i="12" s="1"/>
  <c r="AF126" i="12" s="1"/>
  <c r="AA126" i="12"/>
  <c r="AI126" i="12"/>
  <c r="AH126" i="12"/>
  <c r="AD126" i="12"/>
  <c r="AC126" i="12"/>
  <c r="AB126" i="12"/>
  <c r="AG126" i="12"/>
  <c r="AH63" i="12"/>
  <c r="AJ63" i="12"/>
  <c r="AP63" i="12" s="1"/>
  <c r="AF63" i="12" s="1"/>
  <c r="AE63" i="12"/>
  <c r="AD63" i="12"/>
  <c r="AA63" i="12"/>
  <c r="AG63" i="12"/>
  <c r="AC63" i="12"/>
  <c r="AI63" i="12"/>
  <c r="AB63" i="12"/>
  <c r="AJ179" i="12"/>
  <c r="AP179" i="12" s="1"/>
  <c r="AF179" i="12" s="1"/>
  <c r="AH179" i="12"/>
  <c r="AB179" i="12"/>
  <c r="AD179" i="12"/>
  <c r="AA179" i="12"/>
  <c r="AE179" i="12"/>
  <c r="AC179" i="12"/>
  <c r="AI179" i="12"/>
  <c r="AG179" i="12"/>
  <c r="AH185" i="12"/>
  <c r="AC185" i="12"/>
  <c r="AE185" i="12"/>
  <c r="AG185" i="12"/>
  <c r="AB185" i="12"/>
  <c r="AJ185" i="12"/>
  <c r="AP185" i="12" s="1"/>
  <c r="AF185" i="12" s="1"/>
  <c r="AI185" i="12"/>
  <c r="AD185" i="12"/>
  <c r="AG78" i="12"/>
  <c r="AB78" i="12"/>
  <c r="AI78" i="12"/>
  <c r="AJ78" i="12"/>
  <c r="AP78" i="12" s="1"/>
  <c r="AF78" i="12" s="1"/>
  <c r="AA78" i="12"/>
  <c r="AE78" i="12"/>
  <c r="AH78" i="12"/>
  <c r="AC78" i="12"/>
  <c r="AD78" i="12"/>
  <c r="AE218" i="12"/>
  <c r="AG218" i="12"/>
  <c r="AQ218" i="12" s="1"/>
  <c r="AI218" i="12"/>
  <c r="AS218" i="12" s="1"/>
  <c r="AJ218" i="12"/>
  <c r="AP218" i="12" s="1"/>
  <c r="AF218" i="12" s="1"/>
  <c r="AC218" i="12"/>
  <c r="FM218" i="12" s="1"/>
  <c r="AB218" i="12"/>
  <c r="AD218" i="12"/>
  <c r="AH218" i="12"/>
  <c r="AR218" i="12" s="1"/>
  <c r="AD143" i="12"/>
  <c r="AC143" i="12"/>
  <c r="AI143" i="12"/>
  <c r="AB143" i="12"/>
  <c r="AH143" i="12"/>
  <c r="AA143" i="12"/>
  <c r="AE143" i="12"/>
  <c r="AG143" i="12"/>
  <c r="AJ143" i="12"/>
  <c r="AP143" i="12" s="1"/>
  <c r="AF143" i="12" s="1"/>
  <c r="AC123" i="12"/>
  <c r="AD123" i="12"/>
  <c r="AB123" i="12"/>
  <c r="AJ123" i="12"/>
  <c r="AP123" i="12" s="1"/>
  <c r="AF123" i="12" s="1"/>
  <c r="AH123" i="12"/>
  <c r="AI123" i="12"/>
  <c r="AG123" i="12"/>
  <c r="AA123" i="12"/>
  <c r="AE123" i="12"/>
  <c r="AD207" i="12"/>
  <c r="I213" i="1" s="1"/>
  <c r="AE207" i="12"/>
  <c r="AJ207" i="12"/>
  <c r="AP207" i="12" s="1"/>
  <c r="AF207" i="12" s="1"/>
  <c r="AC207" i="12"/>
  <c r="AG207" i="12"/>
  <c r="AQ207" i="12" s="1"/>
  <c r="AB207" i="12"/>
  <c r="AI207" i="12"/>
  <c r="AS207" i="12" s="1"/>
  <c r="AH207" i="12"/>
  <c r="AR207" i="12" s="1"/>
  <c r="AG191" i="12"/>
  <c r="AQ191" i="12" s="1"/>
  <c r="AD191" i="12"/>
  <c r="AI191" i="12"/>
  <c r="AB191" i="12"/>
  <c r="AH191" i="12"/>
  <c r="AE191" i="12"/>
  <c r="AJ191" i="12"/>
  <c r="AP191" i="12" s="1"/>
  <c r="AF191" i="12" s="1"/>
  <c r="AC191" i="12"/>
  <c r="AJ182" i="12"/>
  <c r="AP182" i="12" s="1"/>
  <c r="AF182" i="12" s="1"/>
  <c r="AC182" i="12"/>
  <c r="AG182" i="12"/>
  <c r="AI182" i="12"/>
  <c r="AD182" i="12"/>
  <c r="AH182" i="12"/>
  <c r="AB182" i="12"/>
  <c r="AE182" i="12"/>
  <c r="AJ186" i="12"/>
  <c r="AP186" i="12" s="1"/>
  <c r="AF186" i="12" s="1"/>
  <c r="AC186" i="12"/>
  <c r="AB186" i="12"/>
  <c r="AG186" i="12"/>
  <c r="AI186" i="12"/>
  <c r="AH186" i="12"/>
  <c r="AE186" i="12"/>
  <c r="AD186" i="12"/>
  <c r="AI167" i="12"/>
  <c r="AH167" i="12"/>
  <c r="AE167" i="12"/>
  <c r="AG167" i="12"/>
  <c r="AB167" i="12"/>
  <c r="AD167" i="12"/>
  <c r="AA167" i="12"/>
  <c r="AJ167" i="12"/>
  <c r="AP167" i="12" s="1"/>
  <c r="AF167" i="12" s="1"/>
  <c r="AC167" i="12"/>
  <c r="AJ102" i="12"/>
  <c r="AP102" i="12" s="1"/>
  <c r="AF102" i="12" s="1"/>
  <c r="AE102" i="12"/>
  <c r="AG102" i="12"/>
  <c r="AC102" i="12"/>
  <c r="AH102" i="12"/>
  <c r="AI102" i="12"/>
  <c r="AD102" i="12"/>
  <c r="AB102" i="12"/>
  <c r="AA102" i="12"/>
  <c r="AJ169" i="12"/>
  <c r="AP169" i="12" s="1"/>
  <c r="AF169" i="12" s="1"/>
  <c r="AG169" i="12"/>
  <c r="AC169" i="12"/>
  <c r="AH169" i="12"/>
  <c r="AD169" i="12"/>
  <c r="AE169" i="12"/>
  <c r="AB169" i="12"/>
  <c r="AI169" i="12"/>
  <c r="AA169" i="12"/>
  <c r="AI64" i="12"/>
  <c r="AD64" i="12"/>
  <c r="AB64" i="12"/>
  <c r="AE64" i="12"/>
  <c r="AA64" i="12"/>
  <c r="AG64" i="12"/>
  <c r="AH64" i="12"/>
  <c r="AR64" i="12" s="1"/>
  <c r="AC64" i="12"/>
  <c r="AJ64" i="12"/>
  <c r="AP64" i="12" s="1"/>
  <c r="AF64" i="12" s="1"/>
  <c r="AE48" i="12"/>
  <c r="AI48" i="12"/>
  <c r="AC48" i="12"/>
  <c r="AH48" i="12"/>
  <c r="AA48" i="12"/>
  <c r="AD48" i="12"/>
  <c r="AG48" i="12"/>
  <c r="AJ48" i="12"/>
  <c r="AP48" i="12" s="1"/>
  <c r="AF48" i="12" s="1"/>
  <c r="AB48" i="12"/>
  <c r="AJ45" i="12"/>
  <c r="AP45" i="12" s="1"/>
  <c r="AF45" i="12" s="1"/>
  <c r="AC45" i="12"/>
  <c r="AG45" i="12"/>
  <c r="AQ45" i="12" s="1"/>
  <c r="AD45" i="12"/>
  <c r="AB45" i="12"/>
  <c r="AE45" i="12"/>
  <c r="AH45" i="12"/>
  <c r="AI45" i="12"/>
  <c r="AA45" i="12"/>
  <c r="AC58" i="12"/>
  <c r="AI58" i="12"/>
  <c r="AB58" i="12"/>
  <c r="AG58" i="12"/>
  <c r="AE58" i="12"/>
  <c r="AH58" i="12"/>
  <c r="AA58" i="12"/>
  <c r="AJ58" i="12"/>
  <c r="AP58" i="12" s="1"/>
  <c r="AF58" i="12" s="1"/>
  <c r="AD58" i="12"/>
  <c r="AB47" i="12"/>
  <c r="AE47" i="12"/>
  <c r="AH47" i="12"/>
  <c r="AC47" i="12"/>
  <c r="AD47" i="12"/>
  <c r="AG47" i="12"/>
  <c r="AA47" i="12"/>
  <c r="AI47" i="12"/>
  <c r="AJ47" i="12"/>
  <c r="AP47" i="12" s="1"/>
  <c r="AF47" i="12" s="1"/>
  <c r="AH34" i="12"/>
  <c r="AD34" i="12"/>
  <c r="AJ34" i="12"/>
  <c r="AP34" i="12" s="1"/>
  <c r="AF34" i="12" s="1"/>
  <c r="AB34" i="12"/>
  <c r="AE34" i="12"/>
  <c r="AG34" i="12"/>
  <c r="AC34" i="12"/>
  <c r="AI34" i="12"/>
  <c r="AA34" i="12"/>
  <c r="AH32" i="12"/>
  <c r="AR32" i="12" s="1"/>
  <c r="AE32" i="12"/>
  <c r="AI32" i="12"/>
  <c r="AS32" i="12" s="1"/>
  <c r="AJ32" i="12"/>
  <c r="AP32" i="12" s="1"/>
  <c r="AF32" i="12" s="1"/>
  <c r="AA32" i="12"/>
  <c r="AD32" i="12"/>
  <c r="AB32" i="12"/>
  <c r="AC32" i="12"/>
  <c r="AG32" i="12"/>
  <c r="AQ32" i="12" s="1"/>
  <c r="AH187" i="12"/>
  <c r="AG187" i="12"/>
  <c r="AB187" i="12"/>
  <c r="AJ187" i="12"/>
  <c r="AP187" i="12" s="1"/>
  <c r="AF187" i="12" s="1"/>
  <c r="AC187" i="12"/>
  <c r="AD187" i="12"/>
  <c r="AE187" i="12"/>
  <c r="AI187" i="12"/>
  <c r="FT43" i="12"/>
  <c r="IK43" i="12"/>
  <c r="IL43" i="12" s="1"/>
  <c r="B60" i="5"/>
  <c r="B45" i="5"/>
  <c r="B61" i="5"/>
  <c r="B54" i="5"/>
  <c r="B29" i="5"/>
  <c r="B56" i="5"/>
  <c r="B58" i="5"/>
  <c r="B55" i="5"/>
  <c r="B62" i="5"/>
  <c r="B17" i="5"/>
  <c r="FM197" i="12" l="1"/>
  <c r="DG154" i="12"/>
  <c r="FE154" i="12"/>
  <c r="EQ154" i="12"/>
  <c r="ER154" i="12" s="1"/>
  <c r="ES154" i="12" s="1"/>
  <c r="DG153" i="12"/>
  <c r="EQ153" i="12"/>
  <c r="ER153" i="12" s="1"/>
  <c r="ES153" i="12" s="1"/>
  <c r="FE153" i="12"/>
  <c r="EQ147" i="12"/>
  <c r="ER147" i="12" s="1"/>
  <c r="ES147" i="12" s="1"/>
  <c r="FE147" i="12"/>
  <c r="DG151" i="12"/>
  <c r="DG152" i="12"/>
  <c r="FE152" i="12"/>
  <c r="FE148" i="12"/>
  <c r="EQ148" i="12"/>
  <c r="ER148" i="12" s="1"/>
  <c r="ES148" i="12" s="1"/>
  <c r="EQ152" i="12"/>
  <c r="DG150" i="12"/>
  <c r="FE150" i="12"/>
  <c r="FE146" i="12"/>
  <c r="EQ150" i="12"/>
  <c r="ER150" i="12" s="1"/>
  <c r="ES150" i="12" s="1"/>
  <c r="EQ146" i="12"/>
  <c r="ER146" i="12" s="1"/>
  <c r="ES146" i="12" s="1"/>
  <c r="B28" i="5"/>
  <c r="B25" i="5"/>
  <c r="B38" i="5"/>
  <c r="B39" i="5"/>
  <c r="B24" i="5"/>
  <c r="B51" i="5"/>
  <c r="B16" i="5"/>
  <c r="B57" i="5"/>
  <c r="B35" i="5"/>
  <c r="B48" i="5"/>
  <c r="B37" i="5"/>
  <c r="B31" i="5"/>
  <c r="B30" i="5"/>
  <c r="B36" i="5"/>
  <c r="B42" i="5"/>
  <c r="B53" i="5"/>
  <c r="B47" i="5"/>
  <c r="B26" i="5"/>
  <c r="B32" i="5"/>
  <c r="B34" i="5"/>
  <c r="B43" i="5"/>
  <c r="B50" i="5"/>
  <c r="B18" i="5"/>
  <c r="B20" i="5"/>
  <c r="B49" i="5"/>
  <c r="B19" i="5"/>
  <c r="B21" i="5"/>
  <c r="B33" i="5"/>
  <c r="B15" i="5"/>
  <c r="B23" i="5"/>
  <c r="B46" i="5"/>
  <c r="B52" i="5"/>
  <c r="B41" i="5"/>
  <c r="B22" i="5"/>
  <c r="B14" i="5"/>
  <c r="B11" i="5"/>
  <c r="DG146" i="12" l="1"/>
  <c r="DG149" i="12"/>
  <c r="DG148" i="12"/>
  <c r="DG144" i="12"/>
  <c r="DG147" i="12"/>
  <c r="DG145" i="12"/>
  <c r="EQ149" i="12"/>
  <c r="FE144" i="12"/>
  <c r="EQ144" i="12"/>
  <c r="EQ145" i="12"/>
  <c r="FE149" i="12"/>
  <c r="FE145" i="12"/>
  <c r="EQ110" i="12"/>
  <c r="FE110" i="12"/>
  <c r="AQ33" i="12"/>
  <c r="AQ34" i="12" s="1"/>
  <c r="AQ36" i="12" s="1"/>
  <c r="FG113" i="12"/>
  <c r="FM110" i="12"/>
  <c r="FO110" i="12" s="1"/>
  <c r="FG118" i="12"/>
  <c r="FH118" i="12" s="1"/>
  <c r="FG103" i="12"/>
  <c r="FI103" i="12" s="1"/>
  <c r="FG109" i="12"/>
  <c r="FH109" i="12" s="1"/>
  <c r="FG117" i="12"/>
  <c r="FI117" i="12" s="1"/>
  <c r="FG107" i="12"/>
  <c r="FG114" i="12"/>
  <c r="FI114" i="12" s="1"/>
  <c r="FG101" i="12"/>
  <c r="FI101" i="12" s="1"/>
  <c r="FG102" i="12"/>
  <c r="FH102" i="12" s="1"/>
  <c r="FG108" i="12"/>
  <c r="FG116" i="12"/>
  <c r="FI116" i="12" s="1"/>
  <c r="FG119" i="12"/>
  <c r="FI119" i="12" s="1"/>
  <c r="FG111" i="12"/>
  <c r="FH111" i="12" s="1"/>
  <c r="FG120" i="12"/>
  <c r="FI120" i="12" s="1"/>
  <c r="FH121" i="12"/>
  <c r="FI122" i="12"/>
  <c r="FH123" i="12"/>
  <c r="FI123" i="12"/>
  <c r="FH122" i="12"/>
  <c r="FG115" i="12"/>
  <c r="FI115" i="12" s="1"/>
  <c r="FG104" i="12"/>
  <c r="FI104" i="12" s="1"/>
  <c r="FG112" i="12"/>
  <c r="FI112" i="12" s="1"/>
  <c r="FG106" i="12"/>
  <c r="FI106" i="12" s="1"/>
  <c r="FG110" i="12"/>
  <c r="FI110" i="12" s="1"/>
  <c r="FG105" i="12"/>
  <c r="FH105" i="12" s="1"/>
  <c r="FI118" i="12"/>
  <c r="FI108" i="12"/>
  <c r="FH120" i="12"/>
  <c r="FI113" i="12"/>
  <c r="FH108" i="12"/>
  <c r="FI107" i="12"/>
  <c r="FH113" i="12"/>
  <c r="FH107" i="12"/>
  <c r="FE136" i="12"/>
  <c r="EQ139" i="12"/>
  <c r="ER139" i="12" s="1"/>
  <c r="ES139" i="12" s="1"/>
  <c r="FE132" i="12"/>
  <c r="FE134" i="12"/>
  <c r="EQ135" i="12"/>
  <c r="ER135" i="12" s="1"/>
  <c r="ES135" i="12" s="1"/>
  <c r="EQ143" i="12"/>
  <c r="ER143" i="12" s="1"/>
  <c r="ES143" i="12" s="1"/>
  <c r="EQ134" i="12"/>
  <c r="ER134" i="12" s="1"/>
  <c r="ES134" i="12" s="1"/>
  <c r="EQ131" i="12"/>
  <c r="ER131" i="12" s="1"/>
  <c r="ES131" i="12" s="1"/>
  <c r="FE131" i="12"/>
  <c r="FE135" i="12"/>
  <c r="EQ137" i="12"/>
  <c r="ER137" i="12" s="1"/>
  <c r="ES137" i="12" s="1"/>
  <c r="FE143" i="12"/>
  <c r="FE137" i="12"/>
  <c r="EQ132" i="12"/>
  <c r="ER132" i="12" s="1"/>
  <c r="ES132" i="12" s="1"/>
  <c r="FE139" i="12"/>
  <c r="EQ136" i="12"/>
  <c r="ER136" i="12" s="1"/>
  <c r="ES136" i="12" s="1"/>
  <c r="EQ127" i="12"/>
  <c r="FE127" i="12"/>
  <c r="EQ116" i="12"/>
  <c r="EQ128" i="12"/>
  <c r="ER128" i="12" s="1"/>
  <c r="ES128" i="12" s="1"/>
  <c r="FE114" i="12"/>
  <c r="FE123" i="12"/>
  <c r="EQ123" i="12"/>
  <c r="ER123" i="12" s="1"/>
  <c r="ES123" i="12" s="1"/>
  <c r="FE116" i="12"/>
  <c r="EQ114" i="12"/>
  <c r="ER114" i="12" s="1"/>
  <c r="ES114" i="12" s="1"/>
  <c r="FE128" i="12"/>
  <c r="EQ103" i="12"/>
  <c r="ER103" i="12" s="1"/>
  <c r="ES103" i="12" s="1"/>
  <c r="FE111" i="12"/>
  <c r="EQ122" i="12"/>
  <c r="ER122" i="12" s="1"/>
  <c r="ES122" i="12" s="1"/>
  <c r="FE112" i="12"/>
  <c r="FE130" i="12"/>
  <c r="EQ111" i="12"/>
  <c r="ER111" i="12" s="1"/>
  <c r="ES111" i="12" s="1"/>
  <c r="EQ109" i="12"/>
  <c r="ER109" i="12" s="1"/>
  <c r="ES109" i="12" s="1"/>
  <c r="FE121" i="12"/>
  <c r="EQ121" i="12"/>
  <c r="ER121" i="12" s="1"/>
  <c r="ES121" i="12" s="1"/>
  <c r="EQ130" i="12"/>
  <c r="ER130" i="12" s="1"/>
  <c r="ES130" i="12" s="1"/>
  <c r="EQ113" i="12"/>
  <c r="ER113" i="12" s="1"/>
  <c r="ES113" i="12" s="1"/>
  <c r="EQ112" i="12"/>
  <c r="ER112" i="12" s="1"/>
  <c r="ES112" i="12" s="1"/>
  <c r="EQ107" i="12"/>
  <c r="FE113" i="12"/>
  <c r="EQ126" i="12"/>
  <c r="ER126" i="12" s="1"/>
  <c r="ES126" i="12" s="1"/>
  <c r="EQ120" i="12"/>
  <c r="ER120" i="12" s="1"/>
  <c r="ES120" i="12" s="1"/>
  <c r="FE126" i="12"/>
  <c r="FE120" i="12"/>
  <c r="FE107" i="12"/>
  <c r="FE122" i="12"/>
  <c r="FE109" i="12"/>
  <c r="FE103" i="12"/>
  <c r="DG143" i="12"/>
  <c r="DG132" i="12"/>
  <c r="DG139" i="12"/>
  <c r="EQ141" i="12"/>
  <c r="DG138" i="12"/>
  <c r="DG135" i="12"/>
  <c r="DG136" i="12"/>
  <c r="EQ138" i="12"/>
  <c r="FE133" i="12"/>
  <c r="EQ140" i="12"/>
  <c r="DG131" i="12"/>
  <c r="DG140" i="12"/>
  <c r="DG133" i="12"/>
  <c r="FE138" i="12"/>
  <c r="EQ142" i="12"/>
  <c r="FE142" i="12"/>
  <c r="DG141" i="12"/>
  <c r="DG137" i="12"/>
  <c r="DG142" i="12"/>
  <c r="DG134" i="12"/>
  <c r="EQ133" i="12"/>
  <c r="ER133" i="12" s="1"/>
  <c r="ES133" i="12" s="1"/>
  <c r="FE140" i="12"/>
  <c r="FE141" i="12"/>
  <c r="FE124" i="12"/>
  <c r="EQ124" i="12"/>
  <c r="EQ125" i="12"/>
  <c r="ER125" i="12" s="1"/>
  <c r="ES125" i="12" s="1"/>
  <c r="EQ118" i="12"/>
  <c r="FE118" i="12"/>
  <c r="FE125" i="12"/>
  <c r="DG110" i="12"/>
  <c r="DG121" i="12"/>
  <c r="DG119" i="12"/>
  <c r="DG107" i="12"/>
  <c r="DG120" i="12"/>
  <c r="DG126" i="12"/>
  <c r="DG109" i="12"/>
  <c r="FE106" i="12"/>
  <c r="DG108" i="12"/>
  <c r="DG111" i="12"/>
  <c r="DG113" i="12"/>
  <c r="EQ115" i="12"/>
  <c r="ER115" i="12" s="1"/>
  <c r="ES115" i="12" s="1"/>
  <c r="DG106" i="12"/>
  <c r="EQ106" i="12"/>
  <c r="ER106" i="12" s="1"/>
  <c r="EQ108" i="12"/>
  <c r="ER108" i="12" s="1"/>
  <c r="ES108" i="12" s="1"/>
  <c r="DG122" i="12"/>
  <c r="EQ129" i="12"/>
  <c r="DG130" i="12"/>
  <c r="DG123" i="12"/>
  <c r="DG117" i="12"/>
  <c r="DG103" i="12"/>
  <c r="DG116" i="12"/>
  <c r="FE108" i="12"/>
  <c r="DG124" i="12"/>
  <c r="FE129" i="12"/>
  <c r="DG129" i="12"/>
  <c r="DG104" i="12"/>
  <c r="EQ117" i="12"/>
  <c r="ER117" i="12" s="1"/>
  <c r="ES117" i="12" s="1"/>
  <c r="DG128" i="12"/>
  <c r="DG127" i="12"/>
  <c r="DG112" i="12"/>
  <c r="FE117" i="12"/>
  <c r="DG125" i="12"/>
  <c r="DG115" i="12"/>
  <c r="FE115" i="12"/>
  <c r="DG105" i="12"/>
  <c r="DG114" i="12"/>
  <c r="DG118" i="12"/>
  <c r="FM159" i="12"/>
  <c r="FO159" i="12" s="1"/>
  <c r="FH21" i="12"/>
  <c r="FI19" i="12"/>
  <c r="FI20" i="12"/>
  <c r="FI21" i="12"/>
  <c r="FH29" i="12"/>
  <c r="FH25" i="12"/>
  <c r="FI22" i="12"/>
  <c r="FI23" i="12"/>
  <c r="FH20" i="12"/>
  <c r="FI29" i="12"/>
  <c r="FH28" i="12"/>
  <c r="FI26" i="12"/>
  <c r="FH27" i="12"/>
  <c r="FH26" i="12"/>
  <c r="FI28" i="12"/>
  <c r="FH22" i="12"/>
  <c r="FI24" i="12"/>
  <c r="FI27" i="12"/>
  <c r="FH19" i="12"/>
  <c r="FI25" i="12"/>
  <c r="FH24" i="12"/>
  <c r="FH31" i="12"/>
  <c r="FH30" i="12"/>
  <c r="FI30" i="12"/>
  <c r="FI31" i="12"/>
  <c r="FH3" i="12"/>
  <c r="FH6" i="12"/>
  <c r="FI3" i="12"/>
  <c r="FH5" i="12"/>
  <c r="FH4" i="12"/>
  <c r="FI6" i="12"/>
  <c r="FI4" i="12"/>
  <c r="FI5" i="12"/>
  <c r="FI7" i="12"/>
  <c r="FH8" i="12"/>
  <c r="FI8" i="12"/>
  <c r="FI9" i="12"/>
  <c r="FI10" i="12"/>
  <c r="FH10" i="12"/>
  <c r="FH9" i="12"/>
  <c r="FH7" i="12"/>
  <c r="FH12" i="12"/>
  <c r="FH13" i="12"/>
  <c r="FI11" i="12"/>
  <c r="FH11" i="12"/>
  <c r="FI13" i="12"/>
  <c r="FH18" i="12"/>
  <c r="FH17" i="12"/>
  <c r="FI17" i="12"/>
  <c r="FH23" i="12"/>
  <c r="FI15" i="12"/>
  <c r="FI14" i="12"/>
  <c r="FI18" i="12"/>
  <c r="FI12" i="12"/>
  <c r="FH16" i="12"/>
  <c r="FI16" i="12"/>
  <c r="FH15" i="12"/>
  <c r="FH14" i="12"/>
  <c r="FM64" i="12"/>
  <c r="FO64" i="12" s="1"/>
  <c r="FS61" i="12"/>
  <c r="FM126" i="12"/>
  <c r="FO126" i="12" s="1"/>
  <c r="FM217" i="12"/>
  <c r="FO217" i="12" s="1"/>
  <c r="FM116" i="12"/>
  <c r="FO116" i="12" s="1"/>
  <c r="FM171" i="12"/>
  <c r="FN171" i="12" s="1"/>
  <c r="FM117" i="12"/>
  <c r="FO117" i="12" s="1"/>
  <c r="FM176" i="12"/>
  <c r="FN176" i="12" s="1"/>
  <c r="FM124" i="12"/>
  <c r="FN124" i="12" s="1"/>
  <c r="FM138" i="12"/>
  <c r="FO138" i="12" s="1"/>
  <c r="FM34" i="12"/>
  <c r="FN34" i="12" s="1"/>
  <c r="FM48" i="12"/>
  <c r="FN48" i="12" s="1"/>
  <c r="FM172" i="12"/>
  <c r="FO172" i="12" s="1"/>
  <c r="FM74" i="12"/>
  <c r="FN74" i="12" s="1"/>
  <c r="FM113" i="12"/>
  <c r="FO113" i="12" s="1"/>
  <c r="FM202" i="12"/>
  <c r="FO202" i="12" s="1"/>
  <c r="FM89" i="12"/>
  <c r="FN89" i="12" s="1"/>
  <c r="FM147" i="12"/>
  <c r="FO147" i="12" s="1"/>
  <c r="FM92" i="12"/>
  <c r="FO92" i="12" s="1"/>
  <c r="FM188" i="12"/>
  <c r="FO188" i="12" s="1"/>
  <c r="FM46" i="12"/>
  <c r="FO46" i="12" s="1"/>
  <c r="FM214" i="12"/>
  <c r="FM87" i="12"/>
  <c r="FO87" i="12" s="1"/>
  <c r="FM141" i="12"/>
  <c r="FN141" i="12" s="1"/>
  <c r="FM194" i="12"/>
  <c r="FO194" i="12" s="1"/>
  <c r="FM76" i="12"/>
  <c r="FO76" i="12" s="1"/>
  <c r="FM149" i="12"/>
  <c r="FO149" i="12" s="1"/>
  <c r="IK61" i="12"/>
  <c r="IL61" i="12" s="1"/>
  <c r="FM212" i="12"/>
  <c r="FN212" i="12" s="1"/>
  <c r="FM211" i="12"/>
  <c r="FM191" i="12"/>
  <c r="FN191" i="12" s="1"/>
  <c r="FM154" i="12"/>
  <c r="FN154" i="12" s="1"/>
  <c r="FM65" i="12"/>
  <c r="FN65" i="12" s="1"/>
  <c r="FM68" i="12"/>
  <c r="FN68" i="12" s="1"/>
  <c r="FM115" i="12"/>
  <c r="FO115" i="12" s="1"/>
  <c r="FM156" i="12"/>
  <c r="FN156" i="12" s="1"/>
  <c r="FM173" i="12"/>
  <c r="FN173" i="12" s="1"/>
  <c r="FM107" i="12"/>
  <c r="FN107" i="12" s="1"/>
  <c r="FM52" i="12"/>
  <c r="FN52" i="12" s="1"/>
  <c r="FM49" i="12"/>
  <c r="FO49" i="12" s="1"/>
  <c r="FM152" i="12"/>
  <c r="FO152" i="12" s="1"/>
  <c r="FM145" i="12"/>
  <c r="FO145" i="12" s="1"/>
  <c r="FM104" i="12"/>
  <c r="FO104" i="12" s="1"/>
  <c r="FM216" i="12"/>
  <c r="FO216" i="12" s="1"/>
  <c r="FM99" i="12"/>
  <c r="FO99" i="12" s="1"/>
  <c r="FM164" i="12"/>
  <c r="FO164" i="12" s="1"/>
  <c r="FM81" i="12"/>
  <c r="FN81" i="12" s="1"/>
  <c r="FM134" i="12"/>
  <c r="FO134" i="12" s="1"/>
  <c r="FM168" i="12"/>
  <c r="FO168" i="12" s="1"/>
  <c r="FM112" i="12"/>
  <c r="FN112" i="12" s="1"/>
  <c r="FM213" i="12"/>
  <c r="FN213" i="12" s="1"/>
  <c r="FM201" i="12"/>
  <c r="FO201" i="12" s="1"/>
  <c r="FM39" i="12"/>
  <c r="FO39" i="12" s="1"/>
  <c r="FM69" i="12"/>
  <c r="FN69" i="12" s="1"/>
  <c r="FM111" i="12"/>
  <c r="FN111" i="12" s="1"/>
  <c r="FM200" i="12"/>
  <c r="FN200" i="12" s="1"/>
  <c r="FM219" i="12"/>
  <c r="FN219" i="12" s="1"/>
  <c r="FM148" i="12"/>
  <c r="FO148" i="12" s="1"/>
  <c r="FM119" i="12"/>
  <c r="FO119" i="12" s="1"/>
  <c r="FM150" i="12"/>
  <c r="FN150" i="12" s="1"/>
  <c r="II158" i="12"/>
  <c r="IJ158" i="12"/>
  <c r="CD97" i="12"/>
  <c r="R97" i="12"/>
  <c r="FV97" i="12"/>
  <c r="BG97" i="12"/>
  <c r="CK97" i="12"/>
  <c r="FQ151" i="12"/>
  <c r="GQ151" i="12"/>
  <c r="GU151" i="12" s="1"/>
  <c r="GV151" i="12" s="1"/>
  <c r="II151" i="12"/>
  <c r="IJ151" i="12"/>
  <c r="GQ74" i="12"/>
  <c r="GU74" i="12" s="1"/>
  <c r="GV74" i="12" s="1"/>
  <c r="FR74" i="12"/>
  <c r="FQ74" i="12"/>
  <c r="FG74" i="12"/>
  <c r="GQ170" i="12"/>
  <c r="GU170" i="12" s="1"/>
  <c r="GV170" i="12" s="1"/>
  <c r="GQ116" i="12"/>
  <c r="GU116" i="12" s="1"/>
  <c r="GV116" i="12" s="1"/>
  <c r="FV113" i="12"/>
  <c r="CD113" i="12"/>
  <c r="BG113" i="12"/>
  <c r="R113" i="12"/>
  <c r="CK113" i="12"/>
  <c r="II184" i="12"/>
  <c r="IJ184" i="12"/>
  <c r="FQ202" i="12"/>
  <c r="GQ202" i="12"/>
  <c r="GU202" i="12" s="1"/>
  <c r="GV202" i="12" s="1"/>
  <c r="FR202" i="12"/>
  <c r="FV171" i="12"/>
  <c r="R171" i="12"/>
  <c r="CD171" i="12"/>
  <c r="BG171" i="12"/>
  <c r="CK171" i="12"/>
  <c r="GQ147" i="12"/>
  <c r="GU147" i="12" s="1"/>
  <c r="GV147" i="12" s="1"/>
  <c r="FQ147" i="12"/>
  <c r="R147" i="12"/>
  <c r="CK147" i="12"/>
  <c r="FV147" i="12"/>
  <c r="BG147" i="12"/>
  <c r="CD147" i="12"/>
  <c r="GQ92" i="12"/>
  <c r="GU92" i="12" s="1"/>
  <c r="GV92" i="12" s="1"/>
  <c r="FG92" i="12"/>
  <c r="FR92" i="12"/>
  <c r="FQ92" i="12"/>
  <c r="FN208" i="12"/>
  <c r="FO208" i="12"/>
  <c r="FQ208" i="12"/>
  <c r="GQ208" i="12"/>
  <c r="GU208" i="12" s="1"/>
  <c r="GV208" i="12" s="1"/>
  <c r="FR208" i="12"/>
  <c r="FR88" i="12"/>
  <c r="FG88" i="12"/>
  <c r="GQ88" i="12"/>
  <c r="GU88" i="12" s="1"/>
  <c r="GV88" i="12" s="1"/>
  <c r="FQ88" i="12"/>
  <c r="FQ188" i="12"/>
  <c r="GQ188" i="12"/>
  <c r="GU188" i="12" s="1"/>
  <c r="GV188" i="12" s="1"/>
  <c r="FR188" i="12"/>
  <c r="IJ41" i="12"/>
  <c r="II41" i="12"/>
  <c r="II57" i="12"/>
  <c r="IJ57" i="12"/>
  <c r="FQ46" i="12"/>
  <c r="GQ46" i="12"/>
  <c r="GU46" i="12" s="1"/>
  <c r="GV46" i="12" s="1"/>
  <c r="FR46" i="12"/>
  <c r="FG46" i="12"/>
  <c r="FV55" i="12"/>
  <c r="R55" i="12"/>
  <c r="CK55" i="12"/>
  <c r="BG55" i="12"/>
  <c r="CD55" i="12"/>
  <c r="CK67" i="12"/>
  <c r="BG67" i="12"/>
  <c r="FV67" i="12"/>
  <c r="CD67" i="12"/>
  <c r="R67" i="12"/>
  <c r="BG213" i="12"/>
  <c r="FV213" i="12"/>
  <c r="CD213" i="12"/>
  <c r="R213" i="12"/>
  <c r="CK213" i="12"/>
  <c r="FV87" i="12"/>
  <c r="R87" i="12"/>
  <c r="CD87" i="12"/>
  <c r="BG87" i="12"/>
  <c r="CK87" i="12"/>
  <c r="FG93" i="12"/>
  <c r="GQ93" i="12"/>
  <c r="GU93" i="12" s="1"/>
  <c r="GV93" i="12" s="1"/>
  <c r="FR93" i="12"/>
  <c r="FQ93" i="12"/>
  <c r="CK118" i="12"/>
  <c r="R118" i="12"/>
  <c r="FV118" i="12"/>
  <c r="BG118" i="12"/>
  <c r="CD118" i="12"/>
  <c r="II118" i="12"/>
  <c r="IJ118" i="12"/>
  <c r="FR210" i="12"/>
  <c r="FQ210" i="12"/>
  <c r="GQ210" i="12"/>
  <c r="GU210" i="12" s="1"/>
  <c r="GV210" i="12" s="1"/>
  <c r="II106" i="12"/>
  <c r="IJ106" i="12"/>
  <c r="BG203" i="12"/>
  <c r="R203" i="12"/>
  <c r="CK203" i="12"/>
  <c r="FV203" i="12"/>
  <c r="CD203" i="12"/>
  <c r="II196" i="12"/>
  <c r="IJ196" i="12"/>
  <c r="FV194" i="12"/>
  <c r="BG194" i="12"/>
  <c r="R194" i="12"/>
  <c r="CD194" i="12"/>
  <c r="CK194" i="12"/>
  <c r="II190" i="12"/>
  <c r="IJ190" i="12"/>
  <c r="FR76" i="12"/>
  <c r="GQ76" i="12"/>
  <c r="GU76" i="12" s="1"/>
  <c r="GV76" i="12" s="1"/>
  <c r="FQ76" i="12"/>
  <c r="FG76" i="12"/>
  <c r="FR77" i="12"/>
  <c r="FG77" i="12"/>
  <c r="GQ77" i="12"/>
  <c r="GU77" i="12" s="1"/>
  <c r="GV77" i="12" s="1"/>
  <c r="FQ77" i="12"/>
  <c r="FO206" i="12"/>
  <c r="FN206" i="12"/>
  <c r="FR206" i="12"/>
  <c r="GQ206" i="12"/>
  <c r="GU206" i="12" s="1"/>
  <c r="GV206" i="12" s="1"/>
  <c r="FQ206" i="12"/>
  <c r="GQ85" i="12"/>
  <c r="GU85" i="12" s="1"/>
  <c r="GV85" i="12" s="1"/>
  <c r="FR85" i="12"/>
  <c r="FG85" i="12"/>
  <c r="FQ85" i="12"/>
  <c r="II128" i="12"/>
  <c r="IJ128" i="12"/>
  <c r="CK201" i="12"/>
  <c r="FV201" i="12"/>
  <c r="BG201" i="12"/>
  <c r="CD201" i="12"/>
  <c r="R201" i="12"/>
  <c r="FG38" i="12"/>
  <c r="GQ38" i="12"/>
  <c r="GU38" i="12" s="1"/>
  <c r="GV38" i="12" s="1"/>
  <c r="FR38" i="12"/>
  <c r="FQ38" i="12"/>
  <c r="IJ38" i="12"/>
  <c r="II38" i="12"/>
  <c r="FV38" i="12"/>
  <c r="R38" i="12"/>
  <c r="CD38" i="12"/>
  <c r="CK38" i="12"/>
  <c r="BG38" i="12"/>
  <c r="FR39" i="12"/>
  <c r="GQ39" i="12"/>
  <c r="GU39" i="12" s="1"/>
  <c r="GV39" i="12" s="1"/>
  <c r="FQ39" i="12"/>
  <c r="FG39" i="12"/>
  <c r="FR56" i="12"/>
  <c r="FQ56" i="12"/>
  <c r="FG56" i="12"/>
  <c r="GQ56" i="12"/>
  <c r="GU56" i="12" s="1"/>
  <c r="GV56" i="12" s="1"/>
  <c r="II60" i="12"/>
  <c r="IJ60" i="12"/>
  <c r="FV54" i="12"/>
  <c r="CK54" i="12"/>
  <c r="CD54" i="12"/>
  <c r="R54" i="12"/>
  <c r="BG54" i="12"/>
  <c r="GQ135" i="12"/>
  <c r="GU135" i="12" s="1"/>
  <c r="GV135" i="12" s="1"/>
  <c r="FQ135" i="12"/>
  <c r="GQ175" i="12"/>
  <c r="GU175" i="12" s="1"/>
  <c r="GV175" i="12" s="1"/>
  <c r="FQ175" i="12"/>
  <c r="FV73" i="12"/>
  <c r="BG73" i="12"/>
  <c r="R73" i="12"/>
  <c r="CD73" i="12"/>
  <c r="CK73" i="12"/>
  <c r="FQ140" i="12"/>
  <c r="GQ140" i="12"/>
  <c r="GU140" i="12" s="1"/>
  <c r="GV140" i="12" s="1"/>
  <c r="GQ84" i="12"/>
  <c r="GU84" i="12" s="1"/>
  <c r="GV84" i="12" s="1"/>
  <c r="FR84" i="12"/>
  <c r="FG84" i="12"/>
  <c r="FQ84" i="12"/>
  <c r="FV161" i="12"/>
  <c r="R161" i="12"/>
  <c r="BG161" i="12"/>
  <c r="CD161" i="12"/>
  <c r="CK161" i="12"/>
  <c r="II161" i="12"/>
  <c r="IJ161" i="12"/>
  <c r="FR83" i="12"/>
  <c r="GQ83" i="12"/>
  <c r="GU83" i="12" s="1"/>
  <c r="GV83" i="12" s="1"/>
  <c r="FG83" i="12"/>
  <c r="FQ83" i="12"/>
  <c r="R131" i="12"/>
  <c r="FV131" i="12"/>
  <c r="CD131" i="12"/>
  <c r="CK131" i="12"/>
  <c r="BG131" i="12"/>
  <c r="GQ148" i="12"/>
  <c r="GU148" i="12" s="1"/>
  <c r="GV148" i="12" s="1"/>
  <c r="FQ148" i="12"/>
  <c r="GQ159" i="12"/>
  <c r="GU159" i="12" s="1"/>
  <c r="GV159" i="12" s="1"/>
  <c r="FR204" i="12"/>
  <c r="GQ204" i="12"/>
  <c r="GU204" i="12" s="1"/>
  <c r="GV204" i="12" s="1"/>
  <c r="FQ204" i="12"/>
  <c r="FG66" i="12"/>
  <c r="FQ66" i="12"/>
  <c r="FR66" i="12"/>
  <c r="GQ66" i="12"/>
  <c r="GU66" i="12" s="1"/>
  <c r="GV66" i="12" s="1"/>
  <c r="FG82" i="12"/>
  <c r="FQ82" i="12"/>
  <c r="FR82" i="12"/>
  <c r="GQ82" i="12"/>
  <c r="GU82" i="12" s="1"/>
  <c r="GV82" i="12" s="1"/>
  <c r="GQ119" i="12"/>
  <c r="GU119" i="12" s="1"/>
  <c r="GV119" i="12" s="1"/>
  <c r="FV124" i="12"/>
  <c r="BG124" i="12"/>
  <c r="CD124" i="12"/>
  <c r="CK124" i="12"/>
  <c r="R124" i="12"/>
  <c r="IJ124" i="12"/>
  <c r="II124" i="12"/>
  <c r="CD180" i="12"/>
  <c r="FV180" i="12"/>
  <c r="BG180" i="12"/>
  <c r="R180" i="12"/>
  <c r="CK180" i="12"/>
  <c r="II178" i="12"/>
  <c r="IJ178" i="12"/>
  <c r="R178" i="12"/>
  <c r="CD178" i="12"/>
  <c r="FV178" i="12"/>
  <c r="CK178" i="12"/>
  <c r="BG178" i="12"/>
  <c r="FV51" i="12"/>
  <c r="R51" i="12"/>
  <c r="BG51" i="12"/>
  <c r="CD51" i="12"/>
  <c r="CK51" i="12"/>
  <c r="CK150" i="12"/>
  <c r="CD150" i="12"/>
  <c r="BG150" i="12"/>
  <c r="FV150" i="12"/>
  <c r="R150" i="12"/>
  <c r="II109" i="12"/>
  <c r="IJ109" i="12"/>
  <c r="FQ215" i="12"/>
  <c r="GQ215" i="12"/>
  <c r="GU215" i="12" s="1"/>
  <c r="GV215" i="12" s="1"/>
  <c r="FR215" i="12"/>
  <c r="IJ153" i="12"/>
  <c r="II153" i="12"/>
  <c r="FM158" i="12"/>
  <c r="FM162" i="12"/>
  <c r="FM184" i="12"/>
  <c r="FM88" i="12"/>
  <c r="FM57" i="12"/>
  <c r="FM55" i="12"/>
  <c r="FM79" i="12"/>
  <c r="FM220" i="12"/>
  <c r="FM121" i="12"/>
  <c r="FM157" i="12"/>
  <c r="FM86" i="12"/>
  <c r="FM127" i="12"/>
  <c r="FM77" i="12"/>
  <c r="FM135" i="12"/>
  <c r="FM205" i="12"/>
  <c r="FM100" i="12"/>
  <c r="FM98" i="12"/>
  <c r="FM130" i="12"/>
  <c r="FM140" i="12"/>
  <c r="FM84" i="12"/>
  <c r="FM137" i="12"/>
  <c r="FM66" i="12"/>
  <c r="FM166" i="12"/>
  <c r="FM72" i="12"/>
  <c r="FM153" i="12"/>
  <c r="GQ187" i="12"/>
  <c r="GU187" i="12" s="1"/>
  <c r="GV187" i="12" s="1"/>
  <c r="FQ187" i="12"/>
  <c r="FR187" i="12"/>
  <c r="BG32" i="12"/>
  <c r="R32" i="12"/>
  <c r="CD32" i="12"/>
  <c r="CK32" i="12"/>
  <c r="FV32" i="12"/>
  <c r="R33" i="12"/>
  <c r="BG33" i="12"/>
  <c r="CK33" i="12"/>
  <c r="CD33" i="12"/>
  <c r="FH33" i="12"/>
  <c r="FI33" i="12"/>
  <c r="FD110" i="12"/>
  <c r="FD127" i="12"/>
  <c r="JB124" i="12"/>
  <c r="FD105" i="12"/>
  <c r="JB125" i="12"/>
  <c r="EP125" i="12"/>
  <c r="FD114" i="12"/>
  <c r="ED227" i="12"/>
  <c r="ED225" i="12"/>
  <c r="ED218" i="12"/>
  <c r="JB158" i="12"/>
  <c r="JB14" i="12"/>
  <c r="ED193" i="12"/>
  <c r="FD187" i="12"/>
  <c r="FD15" i="12"/>
  <c r="FD13" i="12"/>
  <c r="JB61" i="12"/>
  <c r="FD172" i="12"/>
  <c r="ED386" i="12"/>
  <c r="EP103" i="12"/>
  <c r="EP378" i="12"/>
  <c r="EP250" i="12"/>
  <c r="EP256" i="12"/>
  <c r="ED431" i="12"/>
  <c r="JB313" i="12"/>
  <c r="ED433" i="12"/>
  <c r="FD164" i="12"/>
  <c r="ED229" i="12"/>
  <c r="ED485" i="12"/>
  <c r="JB68" i="12"/>
  <c r="JB376" i="12"/>
  <c r="JB304" i="12"/>
  <c r="ED381" i="12"/>
  <c r="JB93" i="12"/>
  <c r="EP274" i="12"/>
  <c r="EP92" i="12"/>
  <c r="EP112" i="12"/>
  <c r="EP354" i="12"/>
  <c r="ED253" i="12"/>
  <c r="JB180" i="12"/>
  <c r="JB346" i="12"/>
  <c r="ED483" i="12"/>
  <c r="FD272" i="12"/>
  <c r="JB15" i="12"/>
  <c r="ED241" i="12"/>
  <c r="ED486" i="12"/>
  <c r="EP461" i="12"/>
  <c r="EP345" i="12"/>
  <c r="EP165" i="12"/>
  <c r="EP402" i="12"/>
  <c r="FD391" i="12"/>
  <c r="FD294" i="12"/>
  <c r="ED119" i="12"/>
  <c r="EP5" i="12"/>
  <c r="JB298" i="12"/>
  <c r="JB240" i="12"/>
  <c r="FD24" i="12"/>
  <c r="JB103" i="12"/>
  <c r="FD331" i="12"/>
  <c r="JB21" i="12"/>
  <c r="FD97" i="12"/>
  <c r="FD73" i="12"/>
  <c r="EP348" i="12"/>
  <c r="EP130" i="12"/>
  <c r="EP184" i="12"/>
  <c r="EP140" i="12"/>
  <c r="JB354" i="12"/>
  <c r="JB25" i="12"/>
  <c r="ED219" i="12"/>
  <c r="JB132" i="12"/>
  <c r="JB37" i="12"/>
  <c r="JB399" i="12"/>
  <c r="ED320" i="12"/>
  <c r="FD18" i="12"/>
  <c r="FD398" i="12"/>
  <c r="JB5" i="12"/>
  <c r="JB382" i="12"/>
  <c r="EP162" i="12"/>
  <c r="EP155" i="12"/>
  <c r="EP36" i="12"/>
  <c r="JB120" i="12"/>
  <c r="FD261" i="12"/>
  <c r="ED376" i="12"/>
  <c r="JB36" i="12"/>
  <c r="FD236" i="12"/>
  <c r="FD25" i="12"/>
  <c r="JB310" i="12"/>
  <c r="ED157" i="12"/>
  <c r="ED419" i="12"/>
  <c r="JB327" i="12"/>
  <c r="EP244" i="12"/>
  <c r="EP63" i="12"/>
  <c r="EP373" i="12"/>
  <c r="EP284" i="12"/>
  <c r="ED113" i="12"/>
  <c r="FD139" i="12"/>
  <c r="JB148" i="12"/>
  <c r="JB118" i="12"/>
  <c r="JB127" i="12"/>
  <c r="JB116" i="12"/>
  <c r="JB105" i="12"/>
  <c r="EP110" i="12"/>
  <c r="FD124" i="12"/>
  <c r="EP114" i="12"/>
  <c r="ED228" i="12"/>
  <c r="ED214" i="12"/>
  <c r="JB315" i="12"/>
  <c r="ED391" i="12"/>
  <c r="JB44" i="12"/>
  <c r="EP372" i="12"/>
  <c r="EP22" i="12"/>
  <c r="EP229" i="12"/>
  <c r="JB393" i="12"/>
  <c r="FD175" i="12"/>
  <c r="ED323" i="12"/>
  <c r="ED171" i="12"/>
  <c r="JB378" i="12"/>
  <c r="ED384" i="12"/>
  <c r="FD5" i="12"/>
  <c r="ED296" i="12"/>
  <c r="JB48" i="12"/>
  <c r="EP294" i="12"/>
  <c r="EP415" i="12"/>
  <c r="EP283" i="12"/>
  <c r="EP153" i="12"/>
  <c r="ED363" i="12"/>
  <c r="FD94" i="12"/>
  <c r="ED191" i="12"/>
  <c r="ED208" i="12"/>
  <c r="FD201" i="12"/>
  <c r="JB230" i="12"/>
  <c r="JB137" i="12"/>
  <c r="ED339" i="12"/>
  <c r="ED500" i="12"/>
  <c r="FD322" i="12"/>
  <c r="FD181" i="12"/>
  <c r="FD200" i="12"/>
  <c r="FD59" i="12"/>
  <c r="EP83" i="12"/>
  <c r="EP430" i="12"/>
  <c r="EP258" i="12"/>
  <c r="ED490" i="12"/>
  <c r="JB131" i="12"/>
  <c r="JB338" i="12"/>
  <c r="ED449" i="12"/>
  <c r="ED377" i="12"/>
  <c r="ED415" i="12"/>
  <c r="JB323" i="12"/>
  <c r="ED428" i="12"/>
  <c r="ED397" i="12"/>
  <c r="EP282" i="12"/>
  <c r="ED257" i="12"/>
  <c r="JB12" i="12"/>
  <c r="FD7" i="12"/>
  <c r="EP85" i="12"/>
  <c r="EP293" i="12"/>
  <c r="EP371" i="12"/>
  <c r="FD343" i="12"/>
  <c r="FD304" i="12"/>
  <c r="FD301" i="12"/>
  <c r="ED263" i="12"/>
  <c r="FD70" i="12"/>
  <c r="ED311" i="12"/>
  <c r="ED260" i="12"/>
  <c r="JB386" i="12"/>
  <c r="JB140" i="12"/>
  <c r="ED484" i="12"/>
  <c r="EP485" i="12"/>
  <c r="EP422" i="12"/>
  <c r="EP270" i="12"/>
  <c r="EP179" i="12"/>
  <c r="JB181" i="12"/>
  <c r="FD295" i="12"/>
  <c r="FD372" i="12"/>
  <c r="JB325" i="12"/>
  <c r="FD162" i="12"/>
  <c r="EP245" i="12"/>
  <c r="EP457" i="12"/>
  <c r="EP98" i="12"/>
  <c r="EP93" i="12"/>
  <c r="JB43" i="12"/>
  <c r="ED248" i="12"/>
  <c r="JB347" i="12"/>
  <c r="FD346" i="12"/>
  <c r="JB291" i="12"/>
  <c r="ED154" i="12"/>
  <c r="JB52" i="12"/>
  <c r="JB97" i="12"/>
  <c r="EP50" i="12"/>
  <c r="EP17" i="12"/>
  <c r="EP216" i="12"/>
  <c r="EP202" i="12"/>
  <c r="EP105" i="12"/>
  <c r="JB123" i="12"/>
  <c r="FD125" i="12"/>
  <c r="JB110" i="12"/>
  <c r="FD123" i="12"/>
  <c r="EP123" i="12"/>
  <c r="FD118" i="12"/>
  <c r="JB114" i="12"/>
  <c r="ED205" i="12"/>
  <c r="ED223" i="12"/>
  <c r="ED173" i="12"/>
  <c r="ED402" i="12"/>
  <c r="EP146" i="12"/>
  <c r="EP500" i="12"/>
  <c r="EP134" i="12"/>
  <c r="EP491" i="12"/>
  <c r="FD155" i="12"/>
  <c r="FD333" i="12"/>
  <c r="ED366" i="12"/>
  <c r="JB146" i="12"/>
  <c r="ED396" i="12"/>
  <c r="ED189" i="12"/>
  <c r="FD148" i="12"/>
  <c r="JB383" i="12"/>
  <c r="FD345" i="12"/>
  <c r="EP356" i="12"/>
  <c r="EP456" i="12"/>
  <c r="EP139" i="12"/>
  <c r="EP243" i="12"/>
  <c r="FD135" i="12"/>
  <c r="ED345" i="12"/>
  <c r="EP459" i="12"/>
  <c r="JB388" i="12"/>
  <c r="FD367" i="12"/>
  <c r="ED466" i="12"/>
  <c r="ED106" i="12"/>
  <c r="ED383" i="12"/>
  <c r="JB60" i="12"/>
  <c r="ED413" i="12"/>
  <c r="JB91" i="12"/>
  <c r="EP234" i="12"/>
  <c r="EP69" i="12"/>
  <c r="EP28" i="12"/>
  <c r="EP292" i="12"/>
  <c r="JB86" i="12"/>
  <c r="ED264" i="12"/>
  <c r="JB326" i="12"/>
  <c r="ED444" i="12"/>
  <c r="JB92" i="12"/>
  <c r="ED347" i="12"/>
  <c r="FD232" i="12"/>
  <c r="JB366" i="12"/>
  <c r="JB4" i="12"/>
  <c r="FD210" i="12"/>
  <c r="ED450" i="12"/>
  <c r="EP41" i="12"/>
  <c r="EP209" i="12"/>
  <c r="EP161" i="12"/>
  <c r="EP210" i="12"/>
  <c r="FD340" i="12"/>
  <c r="JB212" i="12"/>
  <c r="ED286" i="12"/>
  <c r="ED240" i="12"/>
  <c r="ED494" i="12"/>
  <c r="JB279" i="12"/>
  <c r="JB228" i="12"/>
  <c r="FD361" i="12"/>
  <c r="EP194" i="12"/>
  <c r="EP466" i="12"/>
  <c r="EP444" i="12"/>
  <c r="EP75" i="12"/>
  <c r="ED138" i="12"/>
  <c r="ED169" i="12"/>
  <c r="ED422" i="12"/>
  <c r="JB361" i="12"/>
  <c r="FD217" i="12"/>
  <c r="FD115" i="12"/>
  <c r="FD132" i="12"/>
  <c r="ED393" i="12"/>
  <c r="JB375" i="12"/>
  <c r="ED243" i="12"/>
  <c r="FD221" i="12"/>
  <c r="FD311" i="12"/>
  <c r="EP358" i="12"/>
  <c r="EP241" i="12"/>
  <c r="EP164" i="12"/>
  <c r="ED287" i="12"/>
  <c r="ED115" i="12"/>
  <c r="ED452" i="12"/>
  <c r="JB194" i="12"/>
  <c r="ED469" i="12"/>
  <c r="JB45" i="12"/>
  <c r="JB256" i="12"/>
  <c r="FD128" i="12"/>
  <c r="FD116" i="12"/>
  <c r="EP116" i="12"/>
  <c r="EP127" i="12"/>
  <c r="EP124" i="12"/>
  <c r="EP118" i="12"/>
  <c r="EP128" i="12"/>
  <c r="JB128" i="12"/>
  <c r="ED224" i="12"/>
  <c r="ED216" i="12"/>
  <c r="ED210" i="12"/>
  <c r="FD154" i="12"/>
  <c r="ED395" i="12"/>
  <c r="JB165" i="12"/>
  <c r="FD330" i="12"/>
  <c r="JB153" i="12"/>
  <c r="JB337" i="12"/>
  <c r="JB203" i="12"/>
  <c r="FD159" i="12"/>
  <c r="FD253" i="12"/>
  <c r="EP132" i="12"/>
  <c r="EP109" i="12"/>
  <c r="EP15" i="12"/>
  <c r="JB374" i="12"/>
  <c r="ED139" i="12"/>
  <c r="JB329" i="12"/>
  <c r="FD214" i="12"/>
  <c r="ED335" i="12"/>
  <c r="JB119" i="12"/>
  <c r="JB201" i="12"/>
  <c r="FD216" i="12"/>
  <c r="JB241" i="12"/>
  <c r="EP172" i="12"/>
  <c r="ED183" i="12"/>
  <c r="ED297" i="12"/>
  <c r="JB200" i="12"/>
  <c r="EP182" i="12"/>
  <c r="EP80" i="12"/>
  <c r="EP174" i="12"/>
  <c r="FD319" i="12"/>
  <c r="FD273" i="12"/>
  <c r="JB99" i="12"/>
  <c r="ED398" i="12"/>
  <c r="JB269" i="12"/>
  <c r="JB369" i="12"/>
  <c r="JB66" i="12"/>
  <c r="FD286" i="12"/>
  <c r="JB238" i="12"/>
  <c r="EP277" i="12"/>
  <c r="EP222" i="12"/>
  <c r="EP376" i="12"/>
  <c r="EP382" i="12"/>
  <c r="JB286" i="12"/>
  <c r="ED441" i="12"/>
  <c r="JB271" i="12"/>
  <c r="JB11" i="12"/>
  <c r="FD26" i="12"/>
  <c r="ED407" i="12"/>
  <c r="ED159" i="12"/>
  <c r="ED172" i="12"/>
  <c r="ED303" i="12"/>
  <c r="FD316" i="12"/>
  <c r="FD104" i="12"/>
  <c r="ED147" i="12"/>
  <c r="ED105" i="12"/>
  <c r="EP473" i="12"/>
  <c r="EP395" i="12"/>
  <c r="EP64" i="12"/>
  <c r="FD147" i="12"/>
  <c r="FD141" i="12"/>
  <c r="JB213" i="12"/>
  <c r="FD299" i="12"/>
  <c r="ED279" i="12"/>
  <c r="FD378" i="12"/>
  <c r="ED459" i="12"/>
  <c r="JB309" i="12"/>
  <c r="ED365" i="12"/>
  <c r="JB63" i="12"/>
  <c r="JB74" i="12"/>
  <c r="FD150" i="12"/>
  <c r="FD218" i="12"/>
  <c r="JB193" i="12"/>
  <c r="ED176" i="12"/>
  <c r="FD283" i="12"/>
  <c r="FD144" i="12"/>
  <c r="EP60" i="12"/>
  <c r="EP497" i="12"/>
  <c r="EP357" i="12"/>
  <c r="EP102" i="12"/>
  <c r="JB169" i="12"/>
  <c r="JB145" i="12"/>
  <c r="JB364" i="12"/>
  <c r="ED325" i="12"/>
  <c r="FD205" i="12"/>
  <c r="JB284" i="12"/>
  <c r="FD84" i="12"/>
  <c r="ED199" i="12"/>
  <c r="EP96" i="12"/>
  <c r="FD31" i="12"/>
  <c r="EP323" i="12"/>
  <c r="ED348" i="12"/>
  <c r="FD69" i="12"/>
  <c r="ED314" i="12"/>
  <c r="FD67" i="12"/>
  <c r="EP339" i="12"/>
  <c r="EP73" i="12"/>
  <c r="EP412" i="12"/>
  <c r="FD168" i="12"/>
  <c r="ED112" i="12"/>
  <c r="ED212" i="12"/>
  <c r="JB166" i="12"/>
  <c r="ED104" i="12"/>
  <c r="FD369" i="12"/>
  <c r="ED254" i="12"/>
  <c r="JB293" i="12"/>
  <c r="FD20" i="12"/>
  <c r="ED144" i="12"/>
  <c r="EP408" i="12"/>
  <c r="EP448" i="12"/>
  <c r="EP142" i="12"/>
  <c r="EP394" i="12"/>
  <c r="ED304" i="12"/>
  <c r="JB350" i="12"/>
  <c r="FD255" i="12"/>
  <c r="FD387" i="12"/>
  <c r="FD280" i="12"/>
  <c r="ED496" i="12"/>
  <c r="EP120" i="12"/>
  <c r="EP307" i="12"/>
  <c r="EP351" i="12"/>
  <c r="FD296" i="12"/>
  <c r="FD177" i="12"/>
  <c r="FD350" i="12"/>
  <c r="FD65" i="12"/>
  <c r="JB39" i="12"/>
  <c r="FD289" i="12"/>
  <c r="ED129" i="12"/>
  <c r="FD199" i="12"/>
  <c r="ED438" i="12"/>
  <c r="FD142" i="12"/>
  <c r="EP14" i="12"/>
  <c r="EP267" i="12"/>
  <c r="EP70" i="12"/>
  <c r="ED137" i="12"/>
  <c r="JB100" i="12"/>
  <c r="ED416" i="12"/>
  <c r="EP25" i="12"/>
  <c r="EP268" i="12"/>
  <c r="FD365" i="12"/>
  <c r="ED221" i="12"/>
  <c r="FD16" i="12"/>
  <c r="EP200" i="12"/>
  <c r="EP304" i="12"/>
  <c r="EP287" i="12"/>
  <c r="EP23" i="12"/>
  <c r="ED125" i="12"/>
  <c r="JB396" i="12"/>
  <c r="FD8" i="12"/>
  <c r="FD72" i="12"/>
  <c r="JB395" i="12"/>
  <c r="FD87" i="12"/>
  <c r="FD285" i="12"/>
  <c r="FD223" i="12"/>
  <c r="FD43" i="12"/>
  <c r="EP197" i="12"/>
  <c r="JB111" i="12"/>
  <c r="ED178" i="12"/>
  <c r="FD38" i="12"/>
  <c r="EP144" i="12"/>
  <c r="EP108" i="12"/>
  <c r="ED196" i="12"/>
  <c r="JB135" i="12"/>
  <c r="FD96" i="12"/>
  <c r="FD102" i="12"/>
  <c r="JB112" i="12"/>
  <c r="FD98" i="12"/>
  <c r="JB300" i="12"/>
  <c r="EP423" i="12"/>
  <c r="FD375" i="12"/>
  <c r="JB182" i="12"/>
  <c r="JB76" i="12"/>
  <c r="EP97" i="12"/>
  <c r="JB207" i="12"/>
  <c r="JB246" i="12"/>
  <c r="ED290" i="12"/>
  <c r="EP186" i="12"/>
  <c r="EP363" i="12"/>
  <c r="EP183" i="12"/>
  <c r="JB170" i="12"/>
  <c r="JB126" i="12"/>
  <c r="JB41" i="12"/>
  <c r="ED291" i="12"/>
  <c r="JB81" i="12"/>
  <c r="FD129" i="12"/>
  <c r="EP238" i="12"/>
  <c r="FD46" i="12"/>
  <c r="FD133" i="12"/>
  <c r="FD284" i="12"/>
  <c r="EP321" i="12"/>
  <c r="EP318" i="12"/>
  <c r="JB331" i="12"/>
  <c r="JB159" i="12"/>
  <c r="ED492" i="12"/>
  <c r="ED420" i="12"/>
  <c r="ED258" i="12"/>
  <c r="JB263" i="12"/>
  <c r="FD120" i="12"/>
  <c r="EP71" i="12"/>
  <c r="FD167" i="12"/>
  <c r="ED340" i="12"/>
  <c r="FD279" i="12"/>
  <c r="JB104" i="12"/>
  <c r="ED142" i="12"/>
  <c r="ED211" i="12"/>
  <c r="FD352" i="12"/>
  <c r="ED265" i="12"/>
  <c r="ED333" i="12"/>
  <c r="EP61" i="12"/>
  <c r="EP133" i="12"/>
  <c r="EP242" i="12"/>
  <c r="JB47" i="12"/>
  <c r="JB299" i="12"/>
  <c r="JB260" i="12"/>
  <c r="FD377" i="12"/>
  <c r="JB143" i="12"/>
  <c r="ED390" i="12"/>
  <c r="JB289" i="12"/>
  <c r="JB247" i="12"/>
  <c r="FD238" i="12"/>
  <c r="FD356" i="12"/>
  <c r="JB268" i="12"/>
  <c r="ED322" i="12"/>
  <c r="JB373" i="12"/>
  <c r="ED474" i="12"/>
  <c r="JB59" i="12"/>
  <c r="EP169" i="12"/>
  <c r="EP260" i="12"/>
  <c r="EP290" i="12"/>
  <c r="EP149" i="12"/>
  <c r="JB307" i="12"/>
  <c r="ED185" i="12"/>
  <c r="JB272" i="12"/>
  <c r="ED121" i="12"/>
  <c r="JB236" i="12"/>
  <c r="JB222" i="12"/>
  <c r="FD23" i="12"/>
  <c r="JB368" i="12"/>
  <c r="JB163" i="12"/>
  <c r="FD157" i="12"/>
  <c r="FD158" i="12"/>
  <c r="FD10" i="12"/>
  <c r="ED203" i="12"/>
  <c r="EP449" i="12"/>
  <c r="EP273" i="12"/>
  <c r="EP319" i="12"/>
  <c r="EP349" i="12"/>
  <c r="ED478" i="12"/>
  <c r="JB290" i="12"/>
  <c r="FD76" i="12"/>
  <c r="JB101" i="12"/>
  <c r="FD291" i="12"/>
  <c r="ED479" i="12"/>
  <c r="JB223" i="12"/>
  <c r="JB138" i="12"/>
  <c r="ED437" i="12"/>
  <c r="EP176" i="12"/>
  <c r="EP496" i="12"/>
  <c r="EP393" i="12"/>
  <c r="EP417" i="12"/>
  <c r="JB192" i="12"/>
  <c r="JB283" i="12"/>
  <c r="EP291" i="12"/>
  <c r="FD85" i="12"/>
  <c r="FD55" i="12"/>
  <c r="ED280" i="12"/>
  <c r="FD152" i="12"/>
  <c r="JB172" i="12"/>
  <c r="FD320" i="12"/>
  <c r="FD400" i="12"/>
  <c r="JB221" i="12"/>
  <c r="JB30" i="12"/>
  <c r="EP271" i="12"/>
  <c r="EP117" i="12"/>
  <c r="EP145" i="12"/>
  <c r="EP171" i="12"/>
  <c r="FD327" i="12"/>
  <c r="JB84" i="12"/>
  <c r="ED145" i="12"/>
  <c r="ED252" i="12"/>
  <c r="JB19" i="12"/>
  <c r="FD262" i="12"/>
  <c r="FD119" i="12"/>
  <c r="JB257" i="12"/>
  <c r="FD107" i="12"/>
  <c r="ED226" i="12"/>
  <c r="FD251" i="12"/>
  <c r="FD190" i="12"/>
  <c r="ED364" i="12"/>
  <c r="JB70" i="12"/>
  <c r="ED118" i="12"/>
  <c r="FD242" i="12"/>
  <c r="ED321" i="12"/>
  <c r="ED261" i="12"/>
  <c r="JB392" i="12"/>
  <c r="ED282" i="12"/>
  <c r="FD21" i="12"/>
  <c r="FD169" i="12"/>
  <c r="EP335" i="12"/>
  <c r="EP208" i="12"/>
  <c r="EP266" i="12"/>
  <c r="ED328" i="12"/>
  <c r="FD276" i="12"/>
  <c r="JB28" i="12"/>
  <c r="ED317" i="12"/>
  <c r="ED128" i="12"/>
  <c r="FD386" i="12"/>
  <c r="ED153" i="12"/>
  <c r="EP8" i="12"/>
  <c r="FD27" i="12"/>
  <c r="JB96" i="12"/>
  <c r="EP225" i="12"/>
  <c r="EP460" i="12"/>
  <c r="ED457" i="12"/>
  <c r="FD45" i="12"/>
  <c r="JB117" i="12"/>
  <c r="FD325" i="12"/>
  <c r="EP233" i="12"/>
  <c r="EP94" i="12"/>
  <c r="JB266" i="12"/>
  <c r="FD267" i="12"/>
  <c r="JB183" i="12"/>
  <c r="ED235" i="12"/>
  <c r="ED423" i="12"/>
  <c r="EP428" i="12"/>
  <c r="JB217" i="12"/>
  <c r="EP204" i="12"/>
  <c r="EP486" i="12"/>
  <c r="FD183" i="12"/>
  <c r="EP391" i="12"/>
  <c r="EP332" i="12"/>
  <c r="FD41" i="12"/>
  <c r="ED273" i="12"/>
  <c r="JB379" i="12"/>
  <c r="JB342" i="12"/>
  <c r="JB301" i="12"/>
  <c r="FD252" i="12"/>
  <c r="JB365" i="12"/>
  <c r="EP316" i="12"/>
  <c r="FD89" i="12"/>
  <c r="FD160" i="12"/>
  <c r="FD394" i="12"/>
  <c r="ED368" i="12"/>
  <c r="FD121" i="12"/>
  <c r="FD34" i="12"/>
  <c r="JB185" i="12"/>
  <c r="EP411" i="12"/>
  <c r="EP68" i="12"/>
  <c r="EP248" i="12"/>
  <c r="EP386" i="12"/>
  <c r="EP328" i="12"/>
  <c r="EP476" i="12"/>
  <c r="ED443" i="12"/>
  <c r="JB394" i="12"/>
  <c r="JB235" i="12"/>
  <c r="EP445" i="12"/>
  <c r="EP468" i="12"/>
  <c r="EP347" i="12"/>
  <c r="FD189" i="12"/>
  <c r="ED163" i="12"/>
  <c r="JB34" i="12"/>
  <c r="ED202" i="12"/>
  <c r="JB356" i="12"/>
  <c r="EP198" i="12"/>
  <c r="EP366" i="12"/>
  <c r="ED378" i="12"/>
  <c r="ED350" i="12"/>
  <c r="JB176" i="12"/>
  <c r="EP228" i="12"/>
  <c r="ED215" i="12"/>
  <c r="JB18" i="12"/>
  <c r="JB198" i="12"/>
  <c r="FD305" i="12"/>
  <c r="FD191" i="12"/>
  <c r="ED332" i="12"/>
  <c r="EP481" i="12"/>
  <c r="EP263" i="12"/>
  <c r="FD77" i="12"/>
  <c r="FD229" i="12"/>
  <c r="EP337" i="12"/>
  <c r="EP492" i="12"/>
  <c r="EP48" i="12"/>
  <c r="EP440" i="12"/>
  <c r="EP88" i="12"/>
  <c r="JB317" i="12"/>
  <c r="JB385" i="12"/>
  <c r="FD298" i="12"/>
  <c r="JB17" i="12"/>
  <c r="ED421" i="12"/>
  <c r="EP224" i="12"/>
  <c r="EP280" i="12"/>
  <c r="JB227" i="12"/>
  <c r="ED127" i="12"/>
  <c r="JB199" i="12"/>
  <c r="FD74" i="12"/>
  <c r="FD389" i="12"/>
  <c r="FD338" i="12"/>
  <c r="EP150" i="12"/>
  <c r="EP414" i="12"/>
  <c r="EP101" i="12"/>
  <c r="EP381" i="12"/>
  <c r="EP303" i="12"/>
  <c r="EP249" i="12"/>
  <c r="FD366" i="12"/>
  <c r="EP442" i="12"/>
  <c r="EP240" i="12"/>
  <c r="ED109" i="12"/>
  <c r="FD336" i="12"/>
  <c r="JB133" i="12"/>
  <c r="FD243" i="12"/>
  <c r="FD58" i="12"/>
  <c r="JB255" i="12"/>
  <c r="ED255" i="12"/>
  <c r="EP106" i="12"/>
  <c r="FD396" i="12"/>
  <c r="EP471" i="12"/>
  <c r="EP311" i="12"/>
  <c r="JB27" i="12"/>
  <c r="ED493" i="12"/>
  <c r="FD282" i="12"/>
  <c r="ED272" i="12"/>
  <c r="JB214" i="12"/>
  <c r="FD324" i="12"/>
  <c r="ED124" i="12"/>
  <c r="FD250" i="12"/>
  <c r="EP325" i="12"/>
  <c r="EP113" i="12"/>
  <c r="EP190" i="12"/>
  <c r="JB113" i="12"/>
  <c r="FD99" i="12"/>
  <c r="ED388" i="12"/>
  <c r="ED300" i="12"/>
  <c r="JB339" i="12"/>
  <c r="JB78" i="12"/>
  <c r="ED410" i="12"/>
  <c r="JB398" i="12"/>
  <c r="JB129" i="12"/>
  <c r="FD254" i="12"/>
  <c r="EP310" i="12"/>
  <c r="EP443" i="12"/>
  <c r="EP122" i="12"/>
  <c r="JB253" i="12"/>
  <c r="JB355" i="12"/>
  <c r="FD182" i="12"/>
  <c r="EP326" i="12"/>
  <c r="FD57" i="12"/>
  <c r="JB195" i="12"/>
  <c r="JB343" i="12"/>
  <c r="FD83" i="12"/>
  <c r="JB332" i="12"/>
  <c r="ED375" i="12"/>
  <c r="FD39" i="12"/>
  <c r="FD62" i="12"/>
  <c r="ED237" i="12"/>
  <c r="EP470" i="12"/>
  <c r="EP392" i="12"/>
  <c r="EP81" i="12"/>
  <c r="JB139" i="12"/>
  <c r="FD266" i="12"/>
  <c r="ED166" i="12"/>
  <c r="ED194" i="12"/>
  <c r="FD310" i="12"/>
  <c r="FD359" i="12"/>
  <c r="FD274" i="12"/>
  <c r="ED425" i="12"/>
  <c r="JB281" i="12"/>
  <c r="EP309" i="12"/>
  <c r="EP276" i="12"/>
  <c r="JB167" i="12"/>
  <c r="FD303" i="12"/>
  <c r="JB79" i="12"/>
  <c r="JB178" i="12"/>
  <c r="FD19" i="12"/>
  <c r="EP138" i="12"/>
  <c r="EP405" i="12"/>
  <c r="FD151" i="12"/>
  <c r="JB174" i="12"/>
  <c r="FD318" i="12"/>
  <c r="FD176" i="12"/>
  <c r="ED476" i="12"/>
  <c r="JB297" i="12"/>
  <c r="FD247" i="12"/>
  <c r="JB237" i="12"/>
  <c r="ED409" i="12"/>
  <c r="FD270" i="12"/>
  <c r="JB349" i="12"/>
  <c r="ED201" i="12"/>
  <c r="EP313" i="12"/>
  <c r="EP439" i="12"/>
  <c r="EP478" i="12"/>
  <c r="ED107" i="12"/>
  <c r="FD382" i="12"/>
  <c r="JB285" i="12"/>
  <c r="JB184" i="12"/>
  <c r="ED442" i="12"/>
  <c r="ED326" i="12"/>
  <c r="JB273" i="12"/>
  <c r="JB69" i="12"/>
  <c r="JB51" i="12"/>
  <c r="JB80" i="12"/>
  <c r="ED242" i="12"/>
  <c r="JB400" i="12"/>
  <c r="FD381" i="12"/>
  <c r="EP252" i="12"/>
  <c r="EP401" i="12"/>
  <c r="EP379" i="12"/>
  <c r="EP462" i="12"/>
  <c r="JB141" i="12"/>
  <c r="FD277" i="12"/>
  <c r="ED315" i="12"/>
  <c r="FD209" i="12"/>
  <c r="JB231" i="12"/>
  <c r="FD348" i="12"/>
  <c r="ED432" i="12"/>
  <c r="JB336" i="12"/>
  <c r="FD263" i="12"/>
  <c r="EP367" i="12"/>
  <c r="EP269" i="12"/>
  <c r="EP322" i="12"/>
  <c r="EP95" i="12"/>
  <c r="FD82" i="12"/>
  <c r="JB9" i="12"/>
  <c r="FD184" i="12"/>
  <c r="EP3" i="12"/>
  <c r="JB372" i="12"/>
  <c r="FD81" i="12"/>
  <c r="EP111" i="12"/>
  <c r="ED244" i="12"/>
  <c r="FD194" i="12"/>
  <c r="FD166" i="12"/>
  <c r="FD368" i="12"/>
  <c r="FD163" i="12"/>
  <c r="ED140" i="12"/>
  <c r="JB54" i="12"/>
  <c r="JB197" i="12"/>
  <c r="EP180" i="12"/>
  <c r="EP236" i="12"/>
  <c r="EP158" i="12"/>
  <c r="EP469" i="12"/>
  <c r="FD42" i="12"/>
  <c r="ED424" i="12"/>
  <c r="ED358" i="12"/>
  <c r="JB254" i="12"/>
  <c r="FD357" i="12"/>
  <c r="ED160" i="12"/>
  <c r="FD14" i="12"/>
  <c r="EP420" i="12"/>
  <c r="EP434" i="12"/>
  <c r="EP29" i="12"/>
  <c r="ED177" i="12"/>
  <c r="FD335" i="12"/>
  <c r="ED394" i="12"/>
  <c r="JB319" i="12"/>
  <c r="JB33" i="12"/>
  <c r="FD363" i="12"/>
  <c r="JB280" i="12"/>
  <c r="FD161" i="12"/>
  <c r="FD393" i="12"/>
  <c r="EP377" i="12"/>
  <c r="EP387" i="12"/>
  <c r="EP403" i="12"/>
  <c r="EP278" i="12"/>
  <c r="JB389" i="12"/>
  <c r="ED266" i="12"/>
  <c r="ED445" i="12"/>
  <c r="FD307" i="12"/>
  <c r="ED362" i="12"/>
  <c r="JB75" i="12"/>
  <c r="ED122" i="12"/>
  <c r="JB344" i="12"/>
  <c r="JB40" i="12"/>
  <c r="ED231" i="12"/>
  <c r="FD61" i="12"/>
  <c r="JB204" i="12"/>
  <c r="EP418" i="12"/>
  <c r="EP331" i="12"/>
  <c r="EP213" i="12"/>
  <c r="ED357" i="12"/>
  <c r="FD287" i="12"/>
  <c r="FD395" i="12"/>
  <c r="JB67" i="12"/>
  <c r="ED352" i="12"/>
  <c r="ED170" i="12"/>
  <c r="ED278" i="12"/>
  <c r="ED126" i="12"/>
  <c r="ED217" i="12"/>
  <c r="FD364" i="12"/>
  <c r="EP24" i="12"/>
  <c r="FD347" i="12"/>
  <c r="ED369" i="12"/>
  <c r="EP51" i="12"/>
  <c r="EP409" i="12"/>
  <c r="EP79" i="12"/>
  <c r="ED399" i="12"/>
  <c r="FD269" i="12"/>
  <c r="FD4" i="12"/>
  <c r="ED414" i="12"/>
  <c r="FD374" i="12"/>
  <c r="ED289" i="12"/>
  <c r="ED123" i="12"/>
  <c r="JB242" i="12"/>
  <c r="EP416" i="12"/>
  <c r="EP251" i="12"/>
  <c r="EP65" i="12"/>
  <c r="EP168" i="12"/>
  <c r="JB384" i="12"/>
  <c r="ED406" i="12"/>
  <c r="ED162" i="12"/>
  <c r="JB115" i="12"/>
  <c r="FD323" i="12"/>
  <c r="ED312" i="12"/>
  <c r="EP329" i="12"/>
  <c r="JB274" i="12"/>
  <c r="FD197" i="12"/>
  <c r="ED116" i="12"/>
  <c r="EP464" i="12"/>
  <c r="FD192" i="12"/>
  <c r="JB142" i="12"/>
  <c r="FD354" i="12"/>
  <c r="JB56" i="12"/>
  <c r="FD245" i="12"/>
  <c r="JB224" i="12"/>
  <c r="EP487" i="12"/>
  <c r="EP56" i="12"/>
  <c r="EP188" i="12"/>
  <c r="JB277" i="12"/>
  <c r="FD78" i="12"/>
  <c r="ED346" i="12"/>
  <c r="EP498" i="12"/>
  <c r="ED374" i="12"/>
  <c r="JB250" i="12"/>
  <c r="ED141" i="12"/>
  <c r="FD49" i="12"/>
  <c r="EP173" i="12"/>
  <c r="JB234" i="12"/>
  <c r="ED136" i="12"/>
  <c r="FD6" i="12"/>
  <c r="ED440" i="12"/>
  <c r="EP135" i="12"/>
  <c r="EP157" i="12"/>
  <c r="FD171" i="12"/>
  <c r="ED276" i="12"/>
  <c r="ED408" i="12"/>
  <c r="EP39" i="12"/>
  <c r="ED267" i="12"/>
  <c r="ED489" i="12"/>
  <c r="ED316" i="12"/>
  <c r="JB10" i="12"/>
  <c r="ED324" i="12"/>
  <c r="FD241" i="12"/>
  <c r="EP295" i="12"/>
  <c r="EP9" i="12"/>
  <c r="ED284" i="12"/>
  <c r="ED499" i="12"/>
  <c r="EP344" i="12"/>
  <c r="EP59" i="12"/>
  <c r="FD204" i="12"/>
  <c r="EP192" i="12"/>
  <c r="EP475" i="12"/>
  <c r="FD86" i="12"/>
  <c r="JB205" i="12"/>
  <c r="EP53" i="12"/>
  <c r="FD137" i="12"/>
  <c r="FD17" i="12"/>
  <c r="ED301" i="12"/>
  <c r="FD355" i="12"/>
  <c r="ED294" i="12"/>
  <c r="EP166" i="12"/>
  <c r="EP374" i="12"/>
  <c r="ED344" i="12"/>
  <c r="JB98" i="12"/>
  <c r="FD275" i="12"/>
  <c r="JB391" i="12"/>
  <c r="EP432" i="12"/>
  <c r="EP455" i="12"/>
  <c r="EP160" i="12"/>
  <c r="ED331" i="12"/>
  <c r="JB83" i="12"/>
  <c r="EP463" i="12"/>
  <c r="EP330" i="12"/>
  <c r="EP7" i="12"/>
  <c r="JB311" i="12"/>
  <c r="JB89" i="12"/>
  <c r="EP437" i="12"/>
  <c r="EP191" i="12"/>
  <c r="FD185" i="12"/>
  <c r="EP484" i="12"/>
  <c r="EP253" i="12"/>
  <c r="JB345" i="12"/>
  <c r="FD288" i="12"/>
  <c r="JB218" i="12"/>
  <c r="ED268" i="12"/>
  <c r="FD44" i="12"/>
  <c r="EP19" i="12"/>
  <c r="JB261" i="12"/>
  <c r="JB209" i="12"/>
  <c r="ED175" i="12"/>
  <c r="JB262" i="12"/>
  <c r="EP141" i="12"/>
  <c r="EP163" i="12"/>
  <c r="JB136" i="12"/>
  <c r="EP265" i="12"/>
  <c r="ED281" i="12"/>
  <c r="EP364" i="12"/>
  <c r="EP338" i="12"/>
  <c r="ED247" i="12"/>
  <c r="JB62" i="12"/>
  <c r="ED288" i="12"/>
  <c r="EP370" i="12"/>
  <c r="ED209" i="12"/>
  <c r="JB348" i="12"/>
  <c r="JB248" i="12"/>
  <c r="EP196" i="12"/>
  <c r="EP302" i="12"/>
  <c r="JB320" i="12"/>
  <c r="JB152" i="12"/>
  <c r="ED299" i="12"/>
  <c r="JB380" i="12"/>
  <c r="EP78" i="12"/>
  <c r="EP206" i="12"/>
  <c r="ED246" i="12"/>
  <c r="JB295" i="12"/>
  <c r="JB82" i="12"/>
  <c r="FD126" i="12"/>
  <c r="ED269" i="12"/>
  <c r="ED114" i="12"/>
  <c r="JB278" i="12"/>
  <c r="JB155" i="12"/>
  <c r="ED313" i="12"/>
  <c r="EP35" i="12"/>
  <c r="EP255" i="12"/>
  <c r="JB358" i="12"/>
  <c r="EP131" i="12"/>
  <c r="EP399" i="12"/>
  <c r="JB162" i="12"/>
  <c r="FD249" i="12"/>
  <c r="FD258" i="12"/>
  <c r="JB318" i="12"/>
  <c r="ED480" i="12"/>
  <c r="ED230" i="12"/>
  <c r="EP441" i="12"/>
  <c r="EP454" i="12"/>
  <c r="ED488" i="12"/>
  <c r="EP257" i="12"/>
  <c r="ED130" i="12"/>
  <c r="EP42" i="12"/>
  <c r="FD131" i="12"/>
  <c r="ED477" i="12"/>
  <c r="ED458" i="12"/>
  <c r="JB20" i="12"/>
  <c r="JB275" i="12"/>
  <c r="FD349" i="12"/>
  <c r="ED259" i="12"/>
  <c r="FD33" i="12"/>
  <c r="ED373" i="12"/>
  <c r="FD360" i="12"/>
  <c r="JB216" i="12"/>
  <c r="FD392" i="12"/>
  <c r="JB64" i="12"/>
  <c r="EP217" i="12"/>
  <c r="EP375" i="12"/>
  <c r="EP74" i="12"/>
  <c r="FD48" i="12"/>
  <c r="JB187" i="12"/>
  <c r="ED192" i="12"/>
  <c r="FD50" i="12"/>
  <c r="JB287" i="12"/>
  <c r="FD37" i="12"/>
  <c r="FD134" i="12"/>
  <c r="ED207" i="12"/>
  <c r="FD300" i="12"/>
  <c r="EP489" i="12"/>
  <c r="FD278" i="12"/>
  <c r="JB144" i="12"/>
  <c r="FD362" i="12"/>
  <c r="EP226" i="12"/>
  <c r="FD180" i="12"/>
  <c r="FD145" i="12"/>
  <c r="JB6" i="12"/>
  <c r="ED220" i="12"/>
  <c r="JB351" i="12"/>
  <c r="FD202" i="12"/>
  <c r="EP350" i="12"/>
  <c r="EP86" i="12"/>
  <c r="EP336" i="12"/>
  <c r="ED319" i="12"/>
  <c r="JB340" i="12"/>
  <c r="FD117" i="12"/>
  <c r="ED285" i="12"/>
  <c r="FD244" i="12"/>
  <c r="JB308" i="12"/>
  <c r="JB157" i="12"/>
  <c r="FD329" i="12"/>
  <c r="ED108" i="12"/>
  <c r="FD370" i="12"/>
  <c r="JB38" i="12"/>
  <c r="ED161" i="12"/>
  <c r="JB270" i="12"/>
  <c r="FD106" i="12"/>
  <c r="JB202" i="12"/>
  <c r="FD195" i="12"/>
  <c r="FD240" i="12"/>
  <c r="FD40" i="12"/>
  <c r="JB370" i="12"/>
  <c r="JB258" i="12"/>
  <c r="FD297" i="12"/>
  <c r="EP82" i="12"/>
  <c r="ED491" i="12"/>
  <c r="FD54" i="12"/>
  <c r="ED403" i="12"/>
  <c r="EP195" i="12"/>
  <c r="EP20" i="12"/>
  <c r="FD376" i="12"/>
  <c r="JB219" i="12"/>
  <c r="FD188" i="12"/>
  <c r="JB7" i="12"/>
  <c r="ED389" i="12"/>
  <c r="JB102" i="12"/>
  <c r="EP300" i="12"/>
  <c r="EP286" i="12"/>
  <c r="ED427" i="12"/>
  <c r="JB171" i="12"/>
  <c r="ED447" i="12"/>
  <c r="EP54" i="12"/>
  <c r="EP62" i="12"/>
  <c r="ED471" i="12"/>
  <c r="JB314" i="12"/>
  <c r="ED110" i="12"/>
  <c r="ED190" i="12"/>
  <c r="ED379" i="12"/>
  <c r="FD35" i="12"/>
  <c r="FD248" i="12"/>
  <c r="FD122" i="12"/>
  <c r="FD30" i="12"/>
  <c r="ED472" i="12"/>
  <c r="JB267" i="12"/>
  <c r="FD256" i="12"/>
  <c r="ED238" i="12"/>
  <c r="JB360" i="12"/>
  <c r="EP247" i="12"/>
  <c r="EP187" i="12"/>
  <c r="ED204" i="12"/>
  <c r="FD344" i="12"/>
  <c r="FD334" i="12"/>
  <c r="FD112" i="12"/>
  <c r="JB31" i="12"/>
  <c r="FD36" i="12"/>
  <c r="FD153" i="12"/>
  <c r="JB377" i="12"/>
  <c r="FD196" i="12"/>
  <c r="ED292" i="12"/>
  <c r="ED305" i="12"/>
  <c r="EP297" i="12"/>
  <c r="EP447" i="12"/>
  <c r="EP84" i="12"/>
  <c r="EP368" i="12"/>
  <c r="ED482" i="12"/>
  <c r="FD109" i="12"/>
  <c r="EP159" i="12"/>
  <c r="EP44" i="12"/>
  <c r="EP426" i="12"/>
  <c r="ED236" i="12"/>
  <c r="JB220" i="12"/>
  <c r="JB282" i="12"/>
  <c r="FD101" i="12"/>
  <c r="ED239" i="12"/>
  <c r="FD215" i="12"/>
  <c r="JB186" i="12"/>
  <c r="FD383" i="12"/>
  <c r="ED117" i="12"/>
  <c r="FD234" i="12"/>
  <c r="EP67" i="12"/>
  <c r="EP33" i="12"/>
  <c r="ED164" i="12"/>
  <c r="JB85" i="12"/>
  <c r="ED404" i="12"/>
  <c r="EP361" i="12"/>
  <c r="EP107" i="12"/>
  <c r="EP317" i="12"/>
  <c r="EP315" i="12"/>
  <c r="ED222" i="12"/>
  <c r="JB215" i="12"/>
  <c r="JB168" i="12"/>
  <c r="FD79" i="12"/>
  <c r="JB296" i="12"/>
  <c r="JB190" i="12"/>
  <c r="FD385" i="12"/>
  <c r="ED429" i="12"/>
  <c r="ED165" i="12"/>
  <c r="EP148" i="12"/>
  <c r="EP355" i="12"/>
  <c r="EP175" i="12"/>
  <c r="EP246" i="12"/>
  <c r="ED342" i="12"/>
  <c r="JB72" i="12"/>
  <c r="ED430" i="12"/>
  <c r="EP259" i="12"/>
  <c r="JB22" i="12"/>
  <c r="FD174" i="12"/>
  <c r="ED133" i="12"/>
  <c r="JB8" i="12"/>
  <c r="ED188" i="12"/>
  <c r="JB164" i="12"/>
  <c r="ED152" i="12"/>
  <c r="JB3" i="12"/>
  <c r="JB381" i="12"/>
  <c r="EP91" i="12"/>
  <c r="EP52" i="12"/>
  <c r="EP58" i="12"/>
  <c r="EP87" i="12"/>
  <c r="ED156" i="12"/>
  <c r="FD140" i="12"/>
  <c r="FD268" i="12"/>
  <c r="ED167" i="12"/>
  <c r="FD88" i="12"/>
  <c r="ED349" i="12"/>
  <c r="JB188" i="12"/>
  <c r="FD60" i="12"/>
  <c r="FD225" i="12"/>
  <c r="ED251" i="12"/>
  <c r="JB196" i="12"/>
  <c r="JB229" i="12"/>
  <c r="FD292" i="12"/>
  <c r="EP215" i="12"/>
  <c r="EP340" i="12"/>
  <c r="EP306" i="12"/>
  <c r="EP4" i="12"/>
  <c r="ED187" i="12"/>
  <c r="FD178" i="12"/>
  <c r="JB371" i="12"/>
  <c r="ED446" i="12"/>
  <c r="FD226" i="12"/>
  <c r="ED436" i="12"/>
  <c r="ED356" i="12"/>
  <c r="JB259" i="12"/>
  <c r="FD281" i="12"/>
  <c r="EP115" i="12"/>
  <c r="EP119" i="12"/>
  <c r="EP151" i="12"/>
  <c r="EP18" i="12"/>
  <c r="ED250" i="12"/>
  <c r="ED186" i="12"/>
  <c r="EP436" i="12"/>
  <c r="EP380" i="12"/>
  <c r="EP262" i="12"/>
  <c r="EP482" i="12"/>
  <c r="ED465" i="12"/>
  <c r="FD193" i="12"/>
  <c r="JB32" i="12"/>
  <c r="EP275" i="12"/>
  <c r="EP89" i="12"/>
  <c r="EP264" i="12"/>
  <c r="FD290" i="12"/>
  <c r="ED198" i="12"/>
  <c r="FD306" i="12"/>
  <c r="FD71" i="12"/>
  <c r="JB179" i="12"/>
  <c r="ED355" i="12"/>
  <c r="ED295" i="12"/>
  <c r="FD208" i="12"/>
  <c r="FD138" i="12"/>
  <c r="EP11" i="12"/>
  <c r="EP72" i="12"/>
  <c r="EP199" i="12"/>
  <c r="EP398" i="12"/>
  <c r="JB333" i="12"/>
  <c r="EP425" i="12"/>
  <c r="JB276" i="12"/>
  <c r="EP427" i="12"/>
  <c r="EP272" i="12"/>
  <c r="ED213" i="12"/>
  <c r="JB134" i="12"/>
  <c r="ED180" i="12"/>
  <c r="FD66" i="12"/>
  <c r="ED149" i="12"/>
  <c r="EP493" i="12"/>
  <c r="JB58" i="12"/>
  <c r="FD231" i="12"/>
  <c r="FD380" i="12"/>
  <c r="JB189" i="12"/>
  <c r="EP324" i="12"/>
  <c r="EP230" i="12"/>
  <c r="EP45" i="12"/>
  <c r="EP396" i="12"/>
  <c r="ED336" i="12"/>
  <c r="EP343" i="12"/>
  <c r="EP203" i="12"/>
  <c r="ED451" i="12"/>
  <c r="JB156" i="12"/>
  <c r="EP341" i="12"/>
  <c r="EP218" i="12"/>
  <c r="FD317" i="12"/>
  <c r="EP220" i="12"/>
  <c r="ED405" i="12"/>
  <c r="FD22" i="12"/>
  <c r="JB303" i="12"/>
  <c r="ED475" i="12"/>
  <c r="EP99" i="12"/>
  <c r="EP129" i="12"/>
  <c r="ED309" i="12"/>
  <c r="FD212" i="12"/>
  <c r="FD9" i="12"/>
  <c r="EP66" i="12"/>
  <c r="ED418" i="12"/>
  <c r="ED426" i="12"/>
  <c r="ED120" i="12"/>
  <c r="FD351" i="12"/>
  <c r="FD259" i="12"/>
  <c r="ED367" i="12"/>
  <c r="EP121" i="12"/>
  <c r="EP467" i="12"/>
  <c r="JB130" i="12"/>
  <c r="ED111" i="12"/>
  <c r="FD353" i="12"/>
  <c r="EP90" i="12"/>
  <c r="EP136" i="12"/>
  <c r="EP43" i="12"/>
  <c r="EP237" i="12"/>
  <c r="FD341" i="12"/>
  <c r="JB42" i="12"/>
  <c r="ED174" i="12"/>
  <c r="FD173" i="12"/>
  <c r="EP308" i="12"/>
  <c r="FD47" i="12"/>
  <c r="ED461" i="12"/>
  <c r="ED271" i="12"/>
  <c r="FD213" i="12"/>
  <c r="ED179" i="12"/>
  <c r="JB107" i="12"/>
  <c r="EP404" i="12"/>
  <c r="EP353" i="12"/>
  <c r="EP181" i="12"/>
  <c r="EP346" i="12"/>
  <c r="EP465" i="12"/>
  <c r="EP452" i="12"/>
  <c r="ED293" i="12"/>
  <c r="EP314" i="12"/>
  <c r="EP397" i="12"/>
  <c r="EP298" i="12"/>
  <c r="EP104" i="12"/>
  <c r="EP390" i="12"/>
  <c r="JB306" i="12"/>
  <c r="FD342" i="12"/>
  <c r="FD222" i="12"/>
  <c r="JB367" i="12"/>
  <c r="EP488" i="12"/>
  <c r="EP37" i="12"/>
  <c r="ED341" i="12"/>
  <c r="JB335" i="12"/>
  <c r="ED329" i="12"/>
  <c r="EP6" i="12"/>
  <c r="ED195" i="12"/>
  <c r="ED448" i="12"/>
  <c r="FD227" i="12"/>
  <c r="ED155" i="12"/>
  <c r="ED283" i="12"/>
  <c r="ED150" i="12"/>
  <c r="EP342" i="12"/>
  <c r="EP40" i="12"/>
  <c r="ED151" i="12"/>
  <c r="ED158" i="12"/>
  <c r="EP12" i="12"/>
  <c r="EP221" i="12"/>
  <c r="FD91" i="12"/>
  <c r="JB239" i="12"/>
  <c r="EP384" i="12"/>
  <c r="JB35" i="12"/>
  <c r="JB324" i="12"/>
  <c r="JB122" i="12"/>
  <c r="EP177" i="12"/>
  <c r="FD246" i="12"/>
  <c r="JB316" i="12"/>
  <c r="FD156" i="12"/>
  <c r="FD390" i="12"/>
  <c r="EP360" i="12"/>
  <c r="JB121" i="12"/>
  <c r="JB210" i="12"/>
  <c r="FD384" i="12"/>
  <c r="FD314" i="12"/>
  <c r="EP76" i="12"/>
  <c r="JB151" i="12"/>
  <c r="JB191" i="12"/>
  <c r="JB175" i="12"/>
  <c r="EP32" i="12"/>
  <c r="FD328" i="12"/>
  <c r="FD203" i="12"/>
  <c r="ED337" i="12"/>
  <c r="EP433" i="12"/>
  <c r="ED372" i="12"/>
  <c r="EP239" i="12"/>
  <c r="EP235" i="12"/>
  <c r="EP480" i="12"/>
  <c r="ED456" i="12"/>
  <c r="FD51" i="12"/>
  <c r="ED197" i="12"/>
  <c r="EP178" i="12"/>
  <c r="ED411" i="12"/>
  <c r="JB24" i="12"/>
  <c r="FD29" i="12"/>
  <c r="FD224" i="12"/>
  <c r="ED249" i="12"/>
  <c r="FD371" i="12"/>
  <c r="EP223" i="12"/>
  <c r="JB232" i="12"/>
  <c r="JB49" i="12"/>
  <c r="FD233" i="12"/>
  <c r="FD32" i="12"/>
  <c r="FD265" i="12"/>
  <c r="FD207" i="12"/>
  <c r="FD399" i="12"/>
  <c r="EP38" i="12"/>
  <c r="FD75" i="12"/>
  <c r="ED497" i="12"/>
  <c r="ED168" i="12"/>
  <c r="ED182" i="12"/>
  <c r="EP495" i="12"/>
  <c r="ED382" i="12"/>
  <c r="FD337" i="12"/>
  <c r="FD220" i="12"/>
  <c r="JB161" i="12"/>
  <c r="EP413" i="12"/>
  <c r="JB341" i="12"/>
  <c r="ED351" i="12"/>
  <c r="ED143" i="12"/>
  <c r="JB46" i="12"/>
  <c r="EP474" i="12"/>
  <c r="FD379" i="12"/>
  <c r="JB106" i="12"/>
  <c r="JB173" i="12"/>
  <c r="ED135" i="12"/>
  <c r="ED277" i="12"/>
  <c r="ED103" i="12"/>
  <c r="EP438" i="12"/>
  <c r="JB264" i="12"/>
  <c r="FD165" i="12"/>
  <c r="JB352" i="12"/>
  <c r="EP327" i="12"/>
  <c r="JB294" i="12"/>
  <c r="JB243" i="12"/>
  <c r="ED495" i="12"/>
  <c r="EP46" i="12"/>
  <c r="ED359" i="12"/>
  <c r="EP13" i="12"/>
  <c r="ED360" i="12"/>
  <c r="FD302" i="12"/>
  <c r="FD228" i="12"/>
  <c r="EP385" i="12"/>
  <c r="ED146" i="12"/>
  <c r="EP446" i="12"/>
  <c r="EP16" i="12"/>
  <c r="EP31" i="12"/>
  <c r="ED371" i="12"/>
  <c r="ED387" i="12"/>
  <c r="EP383" i="12"/>
  <c r="FD313" i="12"/>
  <c r="EP207" i="12"/>
  <c r="ED470" i="12"/>
  <c r="JB330" i="12"/>
  <c r="EP359" i="12"/>
  <c r="JB26" i="12"/>
  <c r="JB147" i="12"/>
  <c r="ED327" i="12"/>
  <c r="FD113" i="12"/>
  <c r="FD257" i="12"/>
  <c r="FD239" i="12"/>
  <c r="FD63" i="12"/>
  <c r="ED132" i="12"/>
  <c r="ED343" i="12"/>
  <c r="EP477" i="12"/>
  <c r="EP352" i="12"/>
  <c r="EP100" i="12"/>
  <c r="FD12" i="12"/>
  <c r="JB206" i="12"/>
  <c r="ED270" i="12"/>
  <c r="ED134" i="12"/>
  <c r="ED310" i="12"/>
  <c r="FD206" i="12"/>
  <c r="EP472" i="12"/>
  <c r="ED307" i="12"/>
  <c r="ED453" i="12"/>
  <c r="ED487" i="12"/>
  <c r="FD92" i="12"/>
  <c r="JB334" i="12"/>
  <c r="ED385" i="12"/>
  <c r="EP77" i="12"/>
  <c r="JB251" i="12"/>
  <c r="FD321" i="12"/>
  <c r="FD53" i="12"/>
  <c r="JB16" i="12"/>
  <c r="JB357" i="12"/>
  <c r="EP296" i="12"/>
  <c r="ED455" i="12"/>
  <c r="EP30" i="12"/>
  <c r="EP147" i="12"/>
  <c r="JB252" i="12"/>
  <c r="JB359" i="12"/>
  <c r="EP193" i="12"/>
  <c r="JB65" i="12"/>
  <c r="FD211" i="12"/>
  <c r="FD149" i="12"/>
  <c r="EP167" i="12"/>
  <c r="ED463" i="12"/>
  <c r="ED330" i="12"/>
  <c r="EP154" i="12"/>
  <c r="ED262" i="12"/>
  <c r="JB53" i="12"/>
  <c r="EP137" i="12"/>
  <c r="JB87" i="12"/>
  <c r="JB397" i="12"/>
  <c r="FD198" i="12"/>
  <c r="EP435" i="12"/>
  <c r="ED200" i="12"/>
  <c r="ED434" i="12"/>
  <c r="EP424" i="12"/>
  <c r="FD230" i="12"/>
  <c r="ED354" i="12"/>
  <c r="EP47" i="12"/>
  <c r="ED473" i="12"/>
  <c r="EP279" i="12"/>
  <c r="FD326" i="12"/>
  <c r="JB154" i="12"/>
  <c r="FD11" i="12"/>
  <c r="FD237" i="12"/>
  <c r="ED338" i="12"/>
  <c r="EP27" i="12"/>
  <c r="FD64" i="12"/>
  <c r="ED467" i="12"/>
  <c r="FD260" i="12"/>
  <c r="EP419" i="12"/>
  <c r="EP232" i="12"/>
  <c r="ED498" i="12"/>
  <c r="ED206" i="12"/>
  <c r="ED392" i="12"/>
  <c r="EP219" i="12"/>
  <c r="JB208" i="12"/>
  <c r="EP431" i="12"/>
  <c r="EP406" i="12"/>
  <c r="ED401" i="12"/>
  <c r="JB390" i="12"/>
  <c r="ED184" i="12"/>
  <c r="EP458" i="12"/>
  <c r="JB109" i="12"/>
  <c r="ED274" i="12"/>
  <c r="FD80" i="12"/>
  <c r="EP143" i="12"/>
  <c r="EP201" i="12"/>
  <c r="ED400" i="12"/>
  <c r="EP289" i="12"/>
  <c r="EP410" i="12"/>
  <c r="EP288" i="12"/>
  <c r="EP55" i="12"/>
  <c r="FD235" i="12"/>
  <c r="ED234" i="12"/>
  <c r="JB160" i="12"/>
  <c r="ED361" i="12"/>
  <c r="EP10" i="12"/>
  <c r="ED412" i="12"/>
  <c r="JB321" i="12"/>
  <c r="FD219" i="12"/>
  <c r="EP365" i="12"/>
  <c r="JB305" i="12"/>
  <c r="ED232" i="12"/>
  <c r="EP490" i="12"/>
  <c r="JB29" i="12"/>
  <c r="EP49" i="12"/>
  <c r="ED308" i="12"/>
  <c r="FD93" i="12"/>
  <c r="JB211" i="12"/>
  <c r="ED148" i="12"/>
  <c r="ED439" i="12"/>
  <c r="ED181" i="12"/>
  <c r="ED435" i="12"/>
  <c r="EP254" i="12"/>
  <c r="EP185" i="12"/>
  <c r="EP407" i="12"/>
  <c r="FD108" i="12"/>
  <c r="EP451" i="12"/>
  <c r="JB77" i="12"/>
  <c r="FD111" i="12"/>
  <c r="EP429" i="12"/>
  <c r="ED460" i="12"/>
  <c r="ED462" i="12"/>
  <c r="FD186" i="12"/>
  <c r="JB265" i="12"/>
  <c r="JB150" i="12"/>
  <c r="JB23" i="12"/>
  <c r="EP499" i="12"/>
  <c r="JB88" i="12"/>
  <c r="JB149" i="12"/>
  <c r="FD339" i="12"/>
  <c r="FD293" i="12"/>
  <c r="EP388" i="12"/>
  <c r="ED256" i="12"/>
  <c r="EP189" i="12"/>
  <c r="ED454" i="12"/>
  <c r="JB226" i="12"/>
  <c r="EP421" i="12"/>
  <c r="ED417" i="12"/>
  <c r="JB50" i="12"/>
  <c r="EP389" i="12"/>
  <c r="JB292" i="12"/>
  <c r="FD264" i="12"/>
  <c r="FD28" i="12"/>
  <c r="EP320" i="12"/>
  <c r="JB57" i="12"/>
  <c r="JB322" i="12"/>
  <c r="FD271" i="12"/>
  <c r="EP301" i="12"/>
  <c r="ED318" i="12"/>
  <c r="JB95" i="12"/>
  <c r="FD358" i="12"/>
  <c r="EP126" i="12"/>
  <c r="JB177" i="12"/>
  <c r="EP21" i="12"/>
  <c r="FD388" i="12"/>
  <c r="ED380" i="12"/>
  <c r="EP170" i="12"/>
  <c r="FD3" i="12"/>
  <c r="FD52" i="12"/>
  <c r="JB353" i="12"/>
  <c r="ED334" i="12"/>
  <c r="ED370" i="12"/>
  <c r="ED131" i="12"/>
  <c r="EP285" i="12"/>
  <c r="FD95" i="12"/>
  <c r="ED233" i="12"/>
  <c r="FD309" i="12"/>
  <c r="EP312" i="12"/>
  <c r="FD170" i="12"/>
  <c r="FD136" i="12"/>
  <c r="JB387" i="12"/>
  <c r="ED302" i="12"/>
  <c r="FD68" i="12"/>
  <c r="ED468" i="12"/>
  <c r="EP26" i="12"/>
  <c r="JB249" i="12"/>
  <c r="EP400" i="12"/>
  <c r="FD332" i="12"/>
  <c r="EP450" i="12"/>
  <c r="FD90" i="12"/>
  <c r="ED481" i="12"/>
  <c r="FD103" i="12"/>
  <c r="JB288" i="12"/>
  <c r="EP152" i="12"/>
  <c r="FD312" i="12"/>
  <c r="EP156" i="12"/>
  <c r="EP261" i="12"/>
  <c r="JB73" i="12"/>
  <c r="JB362" i="12"/>
  <c r="FD397" i="12"/>
  <c r="JB90" i="12"/>
  <c r="ED245" i="12"/>
  <c r="EP205" i="12"/>
  <c r="EP362" i="12"/>
  <c r="JB71" i="12"/>
  <c r="EP57" i="12"/>
  <c r="FD373" i="12"/>
  <c r="EP212" i="12"/>
  <c r="EP333" i="12"/>
  <c r="EP494" i="12"/>
  <c r="EP369" i="12"/>
  <c r="FD56" i="12"/>
  <c r="JB108" i="12"/>
  <c r="EP231" i="12"/>
  <c r="JB363" i="12"/>
  <c r="ED275" i="12"/>
  <c r="EP305" i="12"/>
  <c r="EP211" i="12"/>
  <c r="ED353" i="12"/>
  <c r="ED298" i="12"/>
  <c r="FD308" i="12"/>
  <c r="JB94" i="12"/>
  <c r="FD143" i="12"/>
  <c r="JB245" i="12"/>
  <c r="FD100" i="12"/>
  <c r="EP299" i="12"/>
  <c r="FD315" i="12"/>
  <c r="EP334" i="12"/>
  <c r="FD146" i="12"/>
  <c r="ED306" i="12"/>
  <c r="EP227" i="12"/>
  <c r="FD130" i="12"/>
  <c r="EP214" i="12"/>
  <c r="JB13" i="12"/>
  <c r="EP34" i="12"/>
  <c r="JB55" i="12"/>
  <c r="EP479" i="12"/>
  <c r="EP453" i="12"/>
  <c r="ED464" i="12"/>
  <c r="JB328" i="12"/>
  <c r="JB244" i="12"/>
  <c r="JB225" i="12"/>
  <c r="JB233" i="12"/>
  <c r="JB312" i="12"/>
  <c r="JB302" i="12"/>
  <c r="FD179" i="12"/>
  <c r="EP281" i="12"/>
  <c r="EP483" i="12"/>
  <c r="R40" i="12"/>
  <c r="BG40" i="12"/>
  <c r="CK40" i="12"/>
  <c r="CD40" i="12"/>
  <c r="FH40" i="12"/>
  <c r="FI40" i="12"/>
  <c r="BG43" i="12"/>
  <c r="R43" i="12"/>
  <c r="CK43" i="12"/>
  <c r="CD43" i="12"/>
  <c r="FV47" i="12"/>
  <c r="CD47" i="12"/>
  <c r="R47" i="12"/>
  <c r="CK47" i="12"/>
  <c r="BG47" i="12"/>
  <c r="IJ48" i="12"/>
  <c r="II48" i="12"/>
  <c r="CK102" i="12"/>
  <c r="R102" i="12"/>
  <c r="CD102" i="12"/>
  <c r="FV102" i="12"/>
  <c r="BG102" i="12"/>
  <c r="CK182" i="12"/>
  <c r="BG182" i="12"/>
  <c r="R182" i="12"/>
  <c r="FV182" i="12"/>
  <c r="CD182" i="12"/>
  <c r="FQ207" i="12"/>
  <c r="GQ207" i="12"/>
  <c r="GU207" i="12" s="1"/>
  <c r="GV207" i="12" s="1"/>
  <c r="FR207" i="12"/>
  <c r="CK218" i="12"/>
  <c r="R218" i="12"/>
  <c r="BG218" i="12"/>
  <c r="CD218" i="12"/>
  <c r="FV218" i="12"/>
  <c r="FV185" i="12"/>
  <c r="CD185" i="12"/>
  <c r="R185" i="12"/>
  <c r="CK185" i="12"/>
  <c r="BG185" i="12"/>
  <c r="II179" i="12"/>
  <c r="IJ179" i="12"/>
  <c r="R63" i="12"/>
  <c r="CD63" i="12"/>
  <c r="CK63" i="12"/>
  <c r="FV63" i="12"/>
  <c r="BG63" i="12"/>
  <c r="FQ181" i="12"/>
  <c r="GQ181" i="12"/>
  <c r="GU181" i="12" s="1"/>
  <c r="GV181" i="12" s="1"/>
  <c r="R212" i="12"/>
  <c r="CK212" i="12"/>
  <c r="FV212" i="12"/>
  <c r="BG212" i="12"/>
  <c r="CD212" i="12"/>
  <c r="GQ103" i="12"/>
  <c r="GU103" i="12" s="1"/>
  <c r="GV103" i="12" s="1"/>
  <c r="FQ103" i="12"/>
  <c r="GQ71" i="12"/>
  <c r="GU71" i="12" s="1"/>
  <c r="GV71" i="12" s="1"/>
  <c r="CK71" i="12"/>
  <c r="FV71" i="12"/>
  <c r="BG71" i="12"/>
  <c r="CD71" i="12"/>
  <c r="R71" i="12"/>
  <c r="II129" i="12"/>
  <c r="IJ129" i="12"/>
  <c r="II65" i="12"/>
  <c r="IJ65" i="12"/>
  <c r="II108" i="12"/>
  <c r="IJ108" i="12"/>
  <c r="FV211" i="12"/>
  <c r="CK211" i="12"/>
  <c r="CD211" i="12"/>
  <c r="R211" i="12"/>
  <c r="BG211" i="12"/>
  <c r="FV115" i="12"/>
  <c r="CK115" i="12"/>
  <c r="BG115" i="12"/>
  <c r="CD115" i="12"/>
  <c r="R115" i="12"/>
  <c r="CK35" i="12"/>
  <c r="R35" i="12"/>
  <c r="CD35" i="12"/>
  <c r="BG35" i="12"/>
  <c r="FV35" i="12"/>
  <c r="IJ35" i="12"/>
  <c r="II35" i="12"/>
  <c r="FV187" i="12"/>
  <c r="BG187" i="12"/>
  <c r="CK187" i="12"/>
  <c r="CD187" i="12"/>
  <c r="R187" i="12"/>
  <c r="II32" i="12"/>
  <c r="IJ32" i="12"/>
  <c r="FR32" i="12"/>
  <c r="FQ32" i="12"/>
  <c r="FG32" i="12"/>
  <c r="GQ32" i="12"/>
  <c r="GU32" i="12" s="1"/>
  <c r="FR58" i="12"/>
  <c r="FG58" i="12"/>
  <c r="FQ58" i="12"/>
  <c r="GQ58" i="12"/>
  <c r="GU58" i="12" s="1"/>
  <c r="GV58" i="12" s="1"/>
  <c r="GQ45" i="12"/>
  <c r="GU45" i="12" s="1"/>
  <c r="GV45" i="12" s="1"/>
  <c r="FR45" i="12"/>
  <c r="FG45" i="12"/>
  <c r="FQ45" i="12"/>
  <c r="FG64" i="12"/>
  <c r="FR64" i="12"/>
  <c r="FQ64" i="12"/>
  <c r="GQ64" i="12"/>
  <c r="GU64" i="12" s="1"/>
  <c r="GV64" i="12" s="1"/>
  <c r="IJ169" i="12"/>
  <c r="II169" i="12"/>
  <c r="FQ102" i="12"/>
  <c r="GQ102" i="12"/>
  <c r="GU102" i="12" s="1"/>
  <c r="GV102" i="12" s="1"/>
  <c r="FV167" i="12"/>
  <c r="CD167" i="12"/>
  <c r="R167" i="12"/>
  <c r="BG167" i="12"/>
  <c r="CK167" i="12"/>
  <c r="FQ186" i="12"/>
  <c r="GQ186" i="12"/>
  <c r="GU186" i="12" s="1"/>
  <c r="GV186" i="12" s="1"/>
  <c r="FQ182" i="12"/>
  <c r="GQ182" i="12"/>
  <c r="GU182" i="12" s="1"/>
  <c r="GV182" i="12" s="1"/>
  <c r="IJ143" i="12"/>
  <c r="II143" i="12"/>
  <c r="FR218" i="12"/>
  <c r="FQ218" i="12"/>
  <c r="GQ218" i="12"/>
  <c r="GU218" i="12" s="1"/>
  <c r="GV218" i="12" s="1"/>
  <c r="R181" i="12"/>
  <c r="FV181" i="12"/>
  <c r="BG181" i="12"/>
  <c r="CK181" i="12"/>
  <c r="CD181" i="12"/>
  <c r="II62" i="12"/>
  <c r="IJ62" i="12"/>
  <c r="FR199" i="12"/>
  <c r="GQ199" i="12"/>
  <c r="GU199" i="12" s="1"/>
  <c r="GV199" i="12" s="1"/>
  <c r="FQ199" i="12"/>
  <c r="II195" i="12"/>
  <c r="IJ195" i="12"/>
  <c r="II154" i="12"/>
  <c r="IJ154" i="12"/>
  <c r="II156" i="12"/>
  <c r="IJ156" i="12"/>
  <c r="FH61" i="12"/>
  <c r="FI61" i="12"/>
  <c r="II37" i="12"/>
  <c r="IJ37" i="12"/>
  <c r="FG37" i="12"/>
  <c r="FQ37" i="12"/>
  <c r="FR37" i="12"/>
  <c r="GQ37" i="12"/>
  <c r="GU37" i="12" s="1"/>
  <c r="GV37" i="12" s="1"/>
  <c r="CK50" i="12"/>
  <c r="CD50" i="12"/>
  <c r="FV50" i="12"/>
  <c r="R50" i="12"/>
  <c r="BG50" i="12"/>
  <c r="GQ209" i="12"/>
  <c r="GU209" i="12" s="1"/>
  <c r="GV209" i="12" s="1"/>
  <c r="FQ209" i="12"/>
  <c r="FR209" i="12"/>
  <c r="CD132" i="12"/>
  <c r="R132" i="12"/>
  <c r="CK132" i="12"/>
  <c r="BG132" i="12"/>
  <c r="FV132" i="12"/>
  <c r="FQ145" i="12"/>
  <c r="GQ145" i="12"/>
  <c r="GU145" i="12" s="1"/>
  <c r="GV145" i="12" s="1"/>
  <c r="FN216" i="12"/>
  <c r="BG125" i="12"/>
  <c r="CD125" i="12"/>
  <c r="CK125" i="12"/>
  <c r="FV125" i="12"/>
  <c r="R125" i="12"/>
  <c r="FV99" i="12"/>
  <c r="CD99" i="12"/>
  <c r="R99" i="12"/>
  <c r="CK99" i="12"/>
  <c r="BG99" i="12"/>
  <c r="BG192" i="12"/>
  <c r="CK192" i="12"/>
  <c r="CD192" i="12"/>
  <c r="R192" i="12"/>
  <c r="FV192" i="12"/>
  <c r="IJ164" i="12"/>
  <c r="II164" i="12"/>
  <c r="BG144" i="12"/>
  <c r="R144" i="12"/>
  <c r="FV144" i="12"/>
  <c r="CD144" i="12"/>
  <c r="CK144" i="12"/>
  <c r="IJ134" i="12"/>
  <c r="II134" i="12"/>
  <c r="FQ75" i="12"/>
  <c r="FG75" i="12"/>
  <c r="GQ75" i="12"/>
  <c r="GU75" i="12" s="1"/>
  <c r="GV75" i="12" s="1"/>
  <c r="FR75" i="12"/>
  <c r="FQ139" i="12"/>
  <c r="GQ139" i="12"/>
  <c r="GU139" i="12" s="1"/>
  <c r="GV139" i="12" s="1"/>
  <c r="AS33" i="12"/>
  <c r="AS34" i="12" s="1"/>
  <c r="AS35" i="12" s="1"/>
  <c r="AS36" i="12" s="1"/>
  <c r="AS37" i="12" s="1"/>
  <c r="AS38" i="12" s="1"/>
  <c r="AS39" i="12" s="1"/>
  <c r="AS40" i="12" s="1"/>
  <c r="AS41" i="12" s="1"/>
  <c r="AS42" i="12" s="1"/>
  <c r="AS43" i="12" s="1"/>
  <c r="AS44" i="12" s="1"/>
  <c r="AS45" i="12" s="1"/>
  <c r="AS46" i="12" s="1"/>
  <c r="IJ47" i="12"/>
  <c r="II47" i="12"/>
  <c r="R64" i="12"/>
  <c r="CK64" i="12"/>
  <c r="FV64" i="12"/>
  <c r="BG64" i="12"/>
  <c r="CD64" i="12"/>
  <c r="GQ169" i="12"/>
  <c r="GU169" i="12" s="1"/>
  <c r="GV169" i="12" s="1"/>
  <c r="IJ102" i="12"/>
  <c r="II102" i="12"/>
  <c r="IJ186" i="12"/>
  <c r="II186" i="12"/>
  <c r="IJ182" i="12"/>
  <c r="II182" i="12"/>
  <c r="FQ191" i="12"/>
  <c r="FR191" i="12"/>
  <c r="GQ191" i="12"/>
  <c r="GU191" i="12" s="1"/>
  <c r="GV191" i="12" s="1"/>
  <c r="II191" i="12"/>
  <c r="IJ191" i="12"/>
  <c r="CD207" i="12"/>
  <c r="FV207" i="12"/>
  <c r="R207" i="12"/>
  <c r="CK207" i="12"/>
  <c r="BG207" i="12"/>
  <c r="GQ123" i="12"/>
  <c r="GU123" i="12" s="1"/>
  <c r="GV123" i="12" s="1"/>
  <c r="BG143" i="12"/>
  <c r="R143" i="12"/>
  <c r="CD143" i="12"/>
  <c r="FV143" i="12"/>
  <c r="CK143" i="12"/>
  <c r="IJ185" i="12"/>
  <c r="II185" i="12"/>
  <c r="GQ179" i="12"/>
  <c r="GU179" i="12" s="1"/>
  <c r="GV179" i="12" s="1"/>
  <c r="FG63" i="12"/>
  <c r="FR63" i="12"/>
  <c r="FQ63" i="12"/>
  <c r="GQ63" i="12"/>
  <c r="GU63" i="12" s="1"/>
  <c r="GV63" i="12" s="1"/>
  <c r="FO197" i="12"/>
  <c r="FN197" i="12"/>
  <c r="FR197" i="12"/>
  <c r="GQ197" i="12"/>
  <c r="GU197" i="12" s="1"/>
  <c r="GV197" i="12" s="1"/>
  <c r="FQ197" i="12"/>
  <c r="CD197" i="12"/>
  <c r="FV197" i="12"/>
  <c r="BG197" i="12"/>
  <c r="CK197" i="12"/>
  <c r="R197" i="12"/>
  <c r="GQ212" i="12"/>
  <c r="GU212" i="12" s="1"/>
  <c r="GV212" i="12" s="1"/>
  <c r="FQ212" i="12"/>
  <c r="FR212" i="12"/>
  <c r="R199" i="12"/>
  <c r="CD199" i="12"/>
  <c r="CK199" i="12"/>
  <c r="BG199" i="12"/>
  <c r="FV199" i="12"/>
  <c r="II103" i="12"/>
  <c r="IJ103" i="12"/>
  <c r="FR71" i="12"/>
  <c r="FQ71" i="12"/>
  <c r="FG71" i="12"/>
  <c r="GQ154" i="12"/>
  <c r="GU154" i="12" s="1"/>
  <c r="GV154" i="12" s="1"/>
  <c r="FQ154" i="12"/>
  <c r="CK96" i="12"/>
  <c r="FV96" i="12"/>
  <c r="BG96" i="12"/>
  <c r="CD96" i="12"/>
  <c r="R96" i="12"/>
  <c r="CD65" i="12"/>
  <c r="CK65" i="12"/>
  <c r="FV65" i="12"/>
  <c r="R65" i="12"/>
  <c r="BG65" i="12"/>
  <c r="FR211" i="12"/>
  <c r="FQ211" i="12"/>
  <c r="GQ211" i="12"/>
  <c r="GU211" i="12" s="1"/>
  <c r="GV211" i="12" s="1"/>
  <c r="GQ68" i="12"/>
  <c r="GU68" i="12" s="1"/>
  <c r="GV68" i="12" s="1"/>
  <c r="FR68" i="12"/>
  <c r="FQ68" i="12"/>
  <c r="FG68" i="12"/>
  <c r="R142" i="12"/>
  <c r="CD142" i="12"/>
  <c r="BG142" i="12"/>
  <c r="CK142" i="12"/>
  <c r="FV142" i="12"/>
  <c r="II91" i="12"/>
  <c r="IJ91" i="12"/>
  <c r="CD156" i="12"/>
  <c r="BG156" i="12"/>
  <c r="FV156" i="12"/>
  <c r="CK156" i="12"/>
  <c r="R156" i="12"/>
  <c r="II95" i="12"/>
  <c r="IJ95" i="12"/>
  <c r="R173" i="12"/>
  <c r="BG173" i="12"/>
  <c r="CD173" i="12"/>
  <c r="FV173" i="12"/>
  <c r="CK173" i="12"/>
  <c r="GQ173" i="12"/>
  <c r="GU173" i="12" s="1"/>
  <c r="GV173" i="12" s="1"/>
  <c r="II107" i="12"/>
  <c r="IJ107" i="12"/>
  <c r="GQ107" i="12"/>
  <c r="GU107" i="12" s="1"/>
  <c r="GV107" i="12" s="1"/>
  <c r="FR35" i="12"/>
  <c r="GQ35" i="12"/>
  <c r="GU35" i="12" s="1"/>
  <c r="GV35" i="12" s="1"/>
  <c r="FQ35" i="12"/>
  <c r="FG35" i="12"/>
  <c r="IJ42" i="12"/>
  <c r="II42" i="12"/>
  <c r="FV52" i="12"/>
  <c r="BG52" i="12"/>
  <c r="CK52" i="12"/>
  <c r="R52" i="12"/>
  <c r="CD52" i="12"/>
  <c r="FV59" i="12"/>
  <c r="CD59" i="12"/>
  <c r="CK59" i="12"/>
  <c r="BG59" i="12"/>
  <c r="R59" i="12"/>
  <c r="FR49" i="12"/>
  <c r="FG49" i="12"/>
  <c r="GQ49" i="12"/>
  <c r="GU49" i="12" s="1"/>
  <c r="GV49" i="12" s="1"/>
  <c r="FQ49" i="12"/>
  <c r="CK209" i="12"/>
  <c r="BG209" i="12"/>
  <c r="R209" i="12"/>
  <c r="CD209" i="12"/>
  <c r="FV209" i="12"/>
  <c r="GQ114" i="12"/>
  <c r="GU114" i="12" s="1"/>
  <c r="GV114" i="12" s="1"/>
  <c r="FV145" i="12"/>
  <c r="R145" i="12"/>
  <c r="BG145" i="12"/>
  <c r="CD145" i="12"/>
  <c r="CK145" i="12"/>
  <c r="II104" i="12"/>
  <c r="IJ104" i="12"/>
  <c r="FQ216" i="12"/>
  <c r="FR216" i="12"/>
  <c r="GQ216" i="12"/>
  <c r="GU216" i="12" s="1"/>
  <c r="GV216" i="12" s="1"/>
  <c r="II125" i="12"/>
  <c r="IJ125" i="12"/>
  <c r="IJ192" i="12"/>
  <c r="II192" i="12"/>
  <c r="CD172" i="12"/>
  <c r="FV172" i="12"/>
  <c r="BG172" i="12"/>
  <c r="R172" i="12"/>
  <c r="CK172" i="12"/>
  <c r="FQ144" i="12"/>
  <c r="GQ144" i="12"/>
  <c r="GU144" i="12" s="1"/>
  <c r="GV144" i="12" s="1"/>
  <c r="IJ81" i="12"/>
  <c r="II81" i="12"/>
  <c r="GQ134" i="12"/>
  <c r="GU134" i="12" s="1"/>
  <c r="GV134" i="12" s="1"/>
  <c r="FQ80" i="12"/>
  <c r="FG80" i="12"/>
  <c r="FR80" i="12"/>
  <c r="GQ80" i="12"/>
  <c r="GU80" i="12" s="1"/>
  <c r="GV80" i="12" s="1"/>
  <c r="II75" i="12"/>
  <c r="IJ75" i="12"/>
  <c r="FV151" i="12"/>
  <c r="R151" i="12"/>
  <c r="BG151" i="12"/>
  <c r="CK151" i="12"/>
  <c r="CD151" i="12"/>
  <c r="II74" i="12"/>
  <c r="IJ74" i="12"/>
  <c r="FV74" i="12"/>
  <c r="CK74" i="12"/>
  <c r="BG74" i="12"/>
  <c r="CD74" i="12"/>
  <c r="R74" i="12"/>
  <c r="FV170" i="12"/>
  <c r="R170" i="12"/>
  <c r="BG170" i="12"/>
  <c r="CK170" i="12"/>
  <c r="CD170" i="12"/>
  <c r="II116" i="12"/>
  <c r="IJ116" i="12"/>
  <c r="GQ101" i="12"/>
  <c r="GU101" i="12" s="1"/>
  <c r="GV101" i="12" s="1"/>
  <c r="FQ101" i="12"/>
  <c r="II101" i="12"/>
  <c r="IJ101" i="12"/>
  <c r="IJ89" i="12"/>
  <c r="II89" i="12"/>
  <c r="IJ147" i="12"/>
  <c r="II147" i="12"/>
  <c r="CD92" i="12"/>
  <c r="CK92" i="12"/>
  <c r="FV92" i="12"/>
  <c r="R92" i="12"/>
  <c r="BG92" i="12"/>
  <c r="CD70" i="12"/>
  <c r="FV70" i="12"/>
  <c r="R70" i="12"/>
  <c r="BG70" i="12"/>
  <c r="CK70" i="12"/>
  <c r="BG208" i="12"/>
  <c r="CK208" i="12"/>
  <c r="FV208" i="12"/>
  <c r="CD208" i="12"/>
  <c r="R208" i="12"/>
  <c r="R88" i="12"/>
  <c r="CK88" i="12"/>
  <c r="FV88" i="12"/>
  <c r="BG88" i="12"/>
  <c r="CD88" i="12"/>
  <c r="II188" i="12"/>
  <c r="IJ188" i="12"/>
  <c r="CK188" i="12"/>
  <c r="R188" i="12"/>
  <c r="BG188" i="12"/>
  <c r="CD188" i="12"/>
  <c r="FV188" i="12"/>
  <c r="FV46" i="12"/>
  <c r="CK46" i="12"/>
  <c r="BG46" i="12"/>
  <c r="R46" i="12"/>
  <c r="CD46" i="12"/>
  <c r="II53" i="12"/>
  <c r="IJ53" i="12"/>
  <c r="IJ177" i="12"/>
  <c r="II177" i="12"/>
  <c r="GQ177" i="12"/>
  <c r="GU177" i="12" s="1"/>
  <c r="GV177" i="12" s="1"/>
  <c r="GQ111" i="12"/>
  <c r="GU111" i="12" s="1"/>
  <c r="GV111" i="12" s="1"/>
  <c r="IJ79" i="12"/>
  <c r="II79" i="12"/>
  <c r="GQ118" i="12"/>
  <c r="GU118" i="12" s="1"/>
  <c r="GV118" i="12" s="1"/>
  <c r="R157" i="12"/>
  <c r="CD157" i="12"/>
  <c r="FV157" i="12"/>
  <c r="BG157" i="12"/>
  <c r="CK157" i="12"/>
  <c r="II157" i="12"/>
  <c r="IJ157" i="12"/>
  <c r="IJ155" i="12"/>
  <c r="II155" i="12"/>
  <c r="GQ155" i="12"/>
  <c r="GU155" i="12" s="1"/>
  <c r="GV155" i="12" s="1"/>
  <c r="FQ155" i="12"/>
  <c r="FR200" i="12"/>
  <c r="GQ200" i="12"/>
  <c r="GU200" i="12" s="1"/>
  <c r="GV200" i="12" s="1"/>
  <c r="FQ200" i="12"/>
  <c r="CK86" i="12"/>
  <c r="BG86" i="12"/>
  <c r="R86" i="12"/>
  <c r="FV86" i="12"/>
  <c r="CD86" i="12"/>
  <c r="GQ86" i="12"/>
  <c r="GU86" i="12" s="1"/>
  <c r="GV86" i="12" s="1"/>
  <c r="FG86" i="12"/>
  <c r="FR86" i="12"/>
  <c r="FQ86" i="12"/>
  <c r="R127" i="12"/>
  <c r="FV127" i="12"/>
  <c r="BG127" i="12"/>
  <c r="CD127" i="12"/>
  <c r="CK127" i="12"/>
  <c r="IJ110" i="12"/>
  <c r="II110" i="12"/>
  <c r="II183" i="12"/>
  <c r="IJ183" i="12"/>
  <c r="FR194" i="12"/>
  <c r="FQ194" i="12"/>
  <c r="GQ194" i="12"/>
  <c r="GU194" i="12" s="1"/>
  <c r="GV194" i="12" s="1"/>
  <c r="FR190" i="12"/>
  <c r="FQ190" i="12"/>
  <c r="GQ190" i="12"/>
  <c r="GU190" i="12" s="1"/>
  <c r="GV190" i="12" s="1"/>
  <c r="IJ76" i="12"/>
  <c r="II76" i="12"/>
  <c r="CK94" i="12"/>
  <c r="R94" i="12"/>
  <c r="CD94" i="12"/>
  <c r="FV94" i="12"/>
  <c r="BG94" i="12"/>
  <c r="II165" i="12"/>
  <c r="IJ165" i="12"/>
  <c r="GQ165" i="12"/>
  <c r="GU165" i="12" s="1"/>
  <c r="GV165" i="12" s="1"/>
  <c r="FQ165" i="12"/>
  <c r="II149" i="12"/>
  <c r="IJ149" i="12"/>
  <c r="GQ128" i="12"/>
  <c r="GU128" i="12" s="1"/>
  <c r="GV128" i="12" s="1"/>
  <c r="FQ219" i="12"/>
  <c r="FR219" i="12"/>
  <c r="GQ219" i="12"/>
  <c r="GU219" i="12" s="1"/>
  <c r="GV219" i="12" s="1"/>
  <c r="II189" i="12"/>
  <c r="IJ189" i="12"/>
  <c r="CK189" i="12"/>
  <c r="CD189" i="12"/>
  <c r="R189" i="12"/>
  <c r="BG189" i="12"/>
  <c r="FV189" i="12"/>
  <c r="II44" i="12"/>
  <c r="IJ44" i="12"/>
  <c r="FV56" i="12"/>
  <c r="CK56" i="12"/>
  <c r="CD56" i="12"/>
  <c r="BG56" i="12"/>
  <c r="R56" i="12"/>
  <c r="FR54" i="12"/>
  <c r="GQ54" i="12"/>
  <c r="GU54" i="12" s="1"/>
  <c r="GV54" i="12" s="1"/>
  <c r="FQ54" i="12"/>
  <c r="FG54" i="12"/>
  <c r="II54" i="12"/>
  <c r="IJ54" i="12"/>
  <c r="FQ205" i="12"/>
  <c r="GQ205" i="12"/>
  <c r="GU205" i="12" s="1"/>
  <c r="GV205" i="12" s="1"/>
  <c r="FR205" i="12"/>
  <c r="CK205" i="12"/>
  <c r="FV205" i="12"/>
  <c r="R205" i="12"/>
  <c r="BG205" i="12"/>
  <c r="CD205" i="12"/>
  <c r="II175" i="12"/>
  <c r="IJ175" i="12"/>
  <c r="IJ193" i="12"/>
  <c r="II193" i="12"/>
  <c r="FQ193" i="12"/>
  <c r="GQ193" i="12"/>
  <c r="GU193" i="12" s="1"/>
  <c r="GV193" i="12" s="1"/>
  <c r="FR193" i="12"/>
  <c r="FG98" i="12"/>
  <c r="GQ98" i="12"/>
  <c r="GU98" i="12" s="1"/>
  <c r="GV98" i="12" s="1"/>
  <c r="FQ98" i="12"/>
  <c r="GQ130" i="12"/>
  <c r="GU130" i="12" s="1"/>
  <c r="GV130" i="12" s="1"/>
  <c r="BG130" i="12"/>
  <c r="CK130" i="12"/>
  <c r="CD130" i="12"/>
  <c r="R130" i="12"/>
  <c r="FV130" i="12"/>
  <c r="FQ163" i="12"/>
  <c r="GQ163" i="12"/>
  <c r="GU163" i="12" s="1"/>
  <c r="GV163" i="12" s="1"/>
  <c r="II140" i="12"/>
  <c r="IJ140" i="12"/>
  <c r="IJ84" i="12"/>
  <c r="II84" i="12"/>
  <c r="R84" i="12"/>
  <c r="CD84" i="12"/>
  <c r="BG84" i="12"/>
  <c r="FV84" i="12"/>
  <c r="CK84" i="12"/>
  <c r="GQ133" i="12"/>
  <c r="GU133" i="12" s="1"/>
  <c r="GV133" i="12" s="1"/>
  <c r="FV133" i="12"/>
  <c r="CD133" i="12"/>
  <c r="BG133" i="12"/>
  <c r="CK133" i="12"/>
  <c r="R133" i="12"/>
  <c r="CK120" i="12"/>
  <c r="FV120" i="12"/>
  <c r="R120" i="12"/>
  <c r="CD120" i="12"/>
  <c r="BG120" i="12"/>
  <c r="GQ120" i="12"/>
  <c r="GU120" i="12" s="1"/>
  <c r="GV120" i="12" s="1"/>
  <c r="R83" i="12"/>
  <c r="CD83" i="12"/>
  <c r="FV83" i="12"/>
  <c r="BG83" i="12"/>
  <c r="CK83" i="12"/>
  <c r="II137" i="12"/>
  <c r="IJ137" i="12"/>
  <c r="CD148" i="12"/>
  <c r="CK148" i="12"/>
  <c r="BG148" i="12"/>
  <c r="FV148" i="12"/>
  <c r="R148" i="12"/>
  <c r="IJ148" i="12"/>
  <c r="II148" i="12"/>
  <c r="IJ159" i="12"/>
  <c r="II159" i="12"/>
  <c r="GQ90" i="12"/>
  <c r="GU90" i="12" s="1"/>
  <c r="GV90" i="12" s="1"/>
  <c r="FG90" i="12"/>
  <c r="FQ90" i="12"/>
  <c r="IJ69" i="12"/>
  <c r="II69" i="12"/>
  <c r="BG204" i="12"/>
  <c r="CK204" i="12"/>
  <c r="R204" i="12"/>
  <c r="CD204" i="12"/>
  <c r="FV204" i="12"/>
  <c r="BG82" i="12"/>
  <c r="FV82" i="12"/>
  <c r="R82" i="12"/>
  <c r="CK82" i="12"/>
  <c r="CD82" i="12"/>
  <c r="II122" i="12"/>
  <c r="IJ122" i="12"/>
  <c r="IJ119" i="12"/>
  <c r="II119" i="12"/>
  <c r="IJ198" i="12"/>
  <c r="II198" i="12"/>
  <c r="CD105" i="12"/>
  <c r="BG105" i="12"/>
  <c r="R105" i="12"/>
  <c r="FV105" i="12"/>
  <c r="CK105" i="12"/>
  <c r="IJ51" i="12"/>
  <c r="II51" i="12"/>
  <c r="CK166" i="12"/>
  <c r="BG166" i="12"/>
  <c r="CD166" i="12"/>
  <c r="R166" i="12"/>
  <c r="FV166" i="12"/>
  <c r="GQ166" i="12"/>
  <c r="GU166" i="12" s="1"/>
  <c r="GV166" i="12" s="1"/>
  <c r="FQ166" i="12"/>
  <c r="FQ150" i="12"/>
  <c r="GQ150" i="12"/>
  <c r="GU150" i="12" s="1"/>
  <c r="GV150" i="12" s="1"/>
  <c r="II72" i="12"/>
  <c r="IJ72" i="12"/>
  <c r="FV109" i="12"/>
  <c r="CK109" i="12"/>
  <c r="CD109" i="12"/>
  <c r="R109" i="12"/>
  <c r="BG109" i="12"/>
  <c r="CK215" i="12"/>
  <c r="FV215" i="12"/>
  <c r="BG215" i="12"/>
  <c r="CD215" i="12"/>
  <c r="R215" i="12"/>
  <c r="FV153" i="12"/>
  <c r="R153" i="12"/>
  <c r="BG153" i="12"/>
  <c r="CD153" i="12"/>
  <c r="CK153" i="12"/>
  <c r="FI43" i="12"/>
  <c r="FM47" i="12"/>
  <c r="FM142" i="12"/>
  <c r="CD61" i="12"/>
  <c r="FM42" i="12"/>
  <c r="FM75" i="12"/>
  <c r="FM187" i="12"/>
  <c r="FM182" i="12"/>
  <c r="FM207" i="12"/>
  <c r="FM123" i="12"/>
  <c r="FM143" i="12"/>
  <c r="FM78" i="12"/>
  <c r="FM63" i="12"/>
  <c r="FM181" i="12"/>
  <c r="FM199" i="12"/>
  <c r="FM195" i="12"/>
  <c r="FM146" i="12"/>
  <c r="FM108" i="12"/>
  <c r="FM91" i="12"/>
  <c r="BG61" i="12"/>
  <c r="FM59" i="12"/>
  <c r="FM50" i="12"/>
  <c r="FM192" i="12"/>
  <c r="FM144" i="12"/>
  <c r="FM160" i="12"/>
  <c r="FM36" i="12"/>
  <c r="FM136" i="12"/>
  <c r="FM118" i="12"/>
  <c r="FM106" i="12"/>
  <c r="FM155" i="12"/>
  <c r="FM203" i="12"/>
  <c r="FM196" i="12"/>
  <c r="FM85" i="12"/>
  <c r="FM174" i="12"/>
  <c r="FM73" i="12"/>
  <c r="FM161" i="12"/>
  <c r="FM83" i="12"/>
  <c r="FM105" i="12"/>
  <c r="AR33" i="12"/>
  <c r="AR34" i="12" s="1"/>
  <c r="IJ34" i="12"/>
  <c r="II34" i="12"/>
  <c r="FV45" i="12"/>
  <c r="CD45" i="12"/>
  <c r="CK45" i="12"/>
  <c r="R45" i="12"/>
  <c r="BG45" i="12"/>
  <c r="II167" i="12"/>
  <c r="IJ167" i="12"/>
  <c r="CK186" i="12"/>
  <c r="R186" i="12"/>
  <c r="CD186" i="12"/>
  <c r="FV186" i="12"/>
  <c r="BG186" i="12"/>
  <c r="FV191" i="12"/>
  <c r="CD191" i="12"/>
  <c r="BG191" i="12"/>
  <c r="CK191" i="12"/>
  <c r="R191" i="12"/>
  <c r="FR78" i="12"/>
  <c r="FG78" i="12"/>
  <c r="FQ78" i="12"/>
  <c r="GQ78" i="12"/>
  <c r="GU78" i="12" s="1"/>
  <c r="GV78" i="12" s="1"/>
  <c r="II126" i="12"/>
  <c r="IJ126" i="12"/>
  <c r="II197" i="12"/>
  <c r="IJ197" i="12"/>
  <c r="CK62" i="12"/>
  <c r="R62" i="12"/>
  <c r="FV62" i="12"/>
  <c r="CD62" i="12"/>
  <c r="BG62" i="12"/>
  <c r="CK146" i="12"/>
  <c r="BG146" i="12"/>
  <c r="CD146" i="12"/>
  <c r="R146" i="12"/>
  <c r="FV146" i="12"/>
  <c r="IJ96" i="12"/>
  <c r="II96" i="12"/>
  <c r="GQ142" i="12"/>
  <c r="GU142" i="12" s="1"/>
  <c r="GV142" i="12" s="1"/>
  <c r="II142" i="12"/>
  <c r="IJ142" i="12"/>
  <c r="FG91" i="12"/>
  <c r="FR91" i="12"/>
  <c r="GQ91" i="12"/>
  <c r="GU91" i="12" s="1"/>
  <c r="GV91" i="12" s="1"/>
  <c r="FQ91" i="12"/>
  <c r="FG95" i="12"/>
  <c r="FQ95" i="12"/>
  <c r="GQ95" i="12"/>
  <c r="GU95" i="12" s="1"/>
  <c r="GV95" i="12" s="1"/>
  <c r="IJ173" i="12"/>
  <c r="II173" i="12"/>
  <c r="R217" i="12"/>
  <c r="BG217" i="12"/>
  <c r="CK217" i="12"/>
  <c r="FV217" i="12"/>
  <c r="CD217" i="12"/>
  <c r="FV37" i="12"/>
  <c r="BG37" i="12"/>
  <c r="CD37" i="12"/>
  <c r="CK37" i="12"/>
  <c r="R37" i="12"/>
  <c r="II58" i="12"/>
  <c r="IJ58" i="12"/>
  <c r="CD169" i="12"/>
  <c r="BG169" i="12"/>
  <c r="FV169" i="12"/>
  <c r="CK169" i="12"/>
  <c r="R169" i="12"/>
  <c r="GQ167" i="12"/>
  <c r="GU167" i="12" s="1"/>
  <c r="GV167" i="12" s="1"/>
  <c r="FQ167" i="12"/>
  <c r="CK123" i="12"/>
  <c r="BG123" i="12"/>
  <c r="R123" i="12"/>
  <c r="FV123" i="12"/>
  <c r="CD123" i="12"/>
  <c r="FN218" i="12"/>
  <c r="FO218" i="12"/>
  <c r="GQ185" i="12"/>
  <c r="GU185" i="12" s="1"/>
  <c r="GV185" i="12" s="1"/>
  <c r="FQ185" i="12"/>
  <c r="CK179" i="12"/>
  <c r="R179" i="12"/>
  <c r="FV179" i="12"/>
  <c r="CD179" i="12"/>
  <c r="BG179" i="12"/>
  <c r="R126" i="12"/>
  <c r="FV126" i="12"/>
  <c r="CK126" i="12"/>
  <c r="BG126" i="12"/>
  <c r="CD126" i="12"/>
  <c r="II181" i="12"/>
  <c r="IJ181" i="12"/>
  <c r="CK195" i="12"/>
  <c r="FV195" i="12"/>
  <c r="BG195" i="12"/>
  <c r="CD195" i="12"/>
  <c r="R195" i="12"/>
  <c r="FQ146" i="12"/>
  <c r="GQ146" i="12"/>
  <c r="GU146" i="12" s="1"/>
  <c r="GV146" i="12" s="1"/>
  <c r="CK103" i="12"/>
  <c r="FV103" i="12"/>
  <c r="BG103" i="12"/>
  <c r="CD103" i="12"/>
  <c r="R103" i="12"/>
  <c r="IJ71" i="12"/>
  <c r="II71" i="12"/>
  <c r="CK129" i="12"/>
  <c r="FV129" i="12"/>
  <c r="BG129" i="12"/>
  <c r="CD129" i="12"/>
  <c r="R129" i="12"/>
  <c r="FQ65" i="12"/>
  <c r="GQ65" i="12"/>
  <c r="GU65" i="12" s="1"/>
  <c r="GV65" i="12" s="1"/>
  <c r="FG65" i="12"/>
  <c r="FR65" i="12"/>
  <c r="GQ108" i="12"/>
  <c r="GU108" i="12" s="1"/>
  <c r="GV108" i="12" s="1"/>
  <c r="IJ115" i="12"/>
  <c r="II115" i="12"/>
  <c r="R95" i="12"/>
  <c r="FV95" i="12"/>
  <c r="BG95" i="12"/>
  <c r="CD95" i="12"/>
  <c r="CK95" i="12"/>
  <c r="FG59" i="12"/>
  <c r="GQ59" i="12"/>
  <c r="GU59" i="12" s="1"/>
  <c r="GV59" i="12" s="1"/>
  <c r="FR59" i="12"/>
  <c r="FQ59" i="12"/>
  <c r="GQ125" i="12"/>
  <c r="GU125" i="12" s="1"/>
  <c r="GV125" i="12" s="1"/>
  <c r="FQ125" i="12"/>
  <c r="IJ187" i="12"/>
  <c r="II187" i="12"/>
  <c r="R34" i="12"/>
  <c r="CK34" i="12"/>
  <c r="FV34" i="12"/>
  <c r="BG34" i="12"/>
  <c r="CD34" i="12"/>
  <c r="FQ34" i="12"/>
  <c r="FG34" i="12"/>
  <c r="GQ34" i="12"/>
  <c r="GU34" i="12" s="1"/>
  <c r="GV34" i="12" s="1"/>
  <c r="FR34" i="12"/>
  <c r="FR47" i="12"/>
  <c r="FQ47" i="12"/>
  <c r="GQ47" i="12"/>
  <c r="GU47" i="12" s="1"/>
  <c r="GV47" i="12" s="1"/>
  <c r="FG47" i="12"/>
  <c r="FV58" i="12"/>
  <c r="BG58" i="12"/>
  <c r="CK58" i="12"/>
  <c r="CD58" i="12"/>
  <c r="R58" i="12"/>
  <c r="IJ45" i="12"/>
  <c r="II45" i="12"/>
  <c r="FV48" i="12"/>
  <c r="CK48" i="12"/>
  <c r="R48" i="12"/>
  <c r="CD48" i="12"/>
  <c r="BG48" i="12"/>
  <c r="GQ48" i="12"/>
  <c r="GU48" i="12" s="1"/>
  <c r="GV48" i="12" s="1"/>
  <c r="FR48" i="12"/>
  <c r="FQ48" i="12"/>
  <c r="FG48" i="12"/>
  <c r="IJ64" i="12"/>
  <c r="II64" i="12"/>
  <c r="IJ123" i="12"/>
  <c r="II123" i="12"/>
  <c r="GQ143" i="12"/>
  <c r="GU143" i="12" s="1"/>
  <c r="GV143" i="12" s="1"/>
  <c r="II78" i="12"/>
  <c r="IJ78" i="12"/>
  <c r="CD78" i="12"/>
  <c r="R78" i="12"/>
  <c r="CK78" i="12"/>
  <c r="BG78" i="12"/>
  <c r="FV78" i="12"/>
  <c r="II63" i="12"/>
  <c r="IJ63" i="12"/>
  <c r="FQ126" i="12"/>
  <c r="GQ126" i="12"/>
  <c r="GU126" i="12" s="1"/>
  <c r="GV126" i="12" s="1"/>
  <c r="FQ62" i="12"/>
  <c r="FR62" i="12"/>
  <c r="GQ62" i="12"/>
  <c r="GU62" i="12" s="1"/>
  <c r="GV62" i="12" s="1"/>
  <c r="FG62" i="12"/>
  <c r="II199" i="12"/>
  <c r="IJ199" i="12"/>
  <c r="FR195" i="12"/>
  <c r="FQ195" i="12"/>
  <c r="GQ195" i="12"/>
  <c r="GU195" i="12" s="1"/>
  <c r="GV195" i="12" s="1"/>
  <c r="IJ146" i="12"/>
  <c r="II146" i="12"/>
  <c r="R154" i="12"/>
  <c r="FV154" i="12"/>
  <c r="BG154" i="12"/>
  <c r="CD154" i="12"/>
  <c r="CK154" i="12"/>
  <c r="GQ129" i="12"/>
  <c r="GU129" i="12" s="1"/>
  <c r="GV129" i="12" s="1"/>
  <c r="FO96" i="12"/>
  <c r="FN96" i="12"/>
  <c r="GQ96" i="12"/>
  <c r="FG96" i="12"/>
  <c r="FR96" i="12"/>
  <c r="FQ96" i="12"/>
  <c r="FV108" i="12"/>
  <c r="CK108" i="12"/>
  <c r="R108" i="12"/>
  <c r="CD108" i="12"/>
  <c r="BG108" i="12"/>
  <c r="FN211" i="12"/>
  <c r="FO211" i="12"/>
  <c r="II68" i="12"/>
  <c r="IJ68" i="12"/>
  <c r="R68" i="12"/>
  <c r="FV68" i="12"/>
  <c r="BG68" i="12"/>
  <c r="CD68" i="12"/>
  <c r="CK68" i="12"/>
  <c r="BG91" i="12"/>
  <c r="CK91" i="12"/>
  <c r="FV91" i="12"/>
  <c r="R91" i="12"/>
  <c r="CD91" i="12"/>
  <c r="GQ115" i="12"/>
  <c r="GU115" i="12" s="1"/>
  <c r="GV115" i="12" s="1"/>
  <c r="FQ156" i="12"/>
  <c r="GQ156" i="12"/>
  <c r="GU156" i="12" s="1"/>
  <c r="GV156" i="12" s="1"/>
  <c r="FQ217" i="12"/>
  <c r="GQ217" i="12"/>
  <c r="GU217" i="12" s="1"/>
  <c r="GV217" i="12" s="1"/>
  <c r="FR217" i="12"/>
  <c r="FV107" i="12"/>
  <c r="BG107" i="12"/>
  <c r="CK107" i="12"/>
  <c r="CD107" i="12"/>
  <c r="R107" i="12"/>
  <c r="BG42" i="12"/>
  <c r="FV42" i="12"/>
  <c r="CK42" i="12"/>
  <c r="R42" i="12"/>
  <c r="CD42" i="12"/>
  <c r="FR52" i="12"/>
  <c r="FG52" i="12"/>
  <c r="GQ52" i="12"/>
  <c r="GU52" i="12" s="1"/>
  <c r="GV52" i="12" s="1"/>
  <c r="FQ52" i="12"/>
  <c r="II52" i="12"/>
  <c r="IJ52" i="12"/>
  <c r="II59" i="12"/>
  <c r="IJ59" i="12"/>
  <c r="GQ50" i="12"/>
  <c r="GU50" i="12" s="1"/>
  <c r="GV50" i="12" s="1"/>
  <c r="FQ50" i="12"/>
  <c r="FR50" i="12"/>
  <c r="FG50" i="12"/>
  <c r="BG152" i="12"/>
  <c r="CK152" i="12"/>
  <c r="R152" i="12"/>
  <c r="CD152" i="12"/>
  <c r="FV152" i="12"/>
  <c r="II114" i="12"/>
  <c r="IJ114" i="12"/>
  <c r="CK114" i="12"/>
  <c r="R114" i="12"/>
  <c r="CD114" i="12"/>
  <c r="BG114" i="12"/>
  <c r="FV114" i="12"/>
  <c r="GQ104" i="12"/>
  <c r="GU104" i="12" s="1"/>
  <c r="GV104" i="12" s="1"/>
  <c r="FQ99" i="12"/>
  <c r="FG99" i="12"/>
  <c r="GQ99" i="12"/>
  <c r="GU99" i="12" s="1"/>
  <c r="GV99" i="12" s="1"/>
  <c r="FR192" i="12"/>
  <c r="GQ192" i="12"/>
  <c r="GU192" i="12" s="1"/>
  <c r="GV192" i="12" s="1"/>
  <c r="FQ192" i="12"/>
  <c r="IJ172" i="12"/>
  <c r="II172" i="12"/>
  <c r="R164" i="12"/>
  <c r="FV164" i="12"/>
  <c r="CD164" i="12"/>
  <c r="CK164" i="12"/>
  <c r="BG164" i="12"/>
  <c r="GQ164" i="12"/>
  <c r="GU164" i="12" s="1"/>
  <c r="GV164" i="12" s="1"/>
  <c r="FQ164" i="12"/>
  <c r="II144" i="12"/>
  <c r="IJ144" i="12"/>
  <c r="FQ81" i="12"/>
  <c r="FR81" i="12"/>
  <c r="GQ81" i="12"/>
  <c r="GU81" i="12" s="1"/>
  <c r="GV81" i="12" s="1"/>
  <c r="FG81" i="12"/>
  <c r="IJ80" i="12"/>
  <c r="II80" i="12"/>
  <c r="II168" i="12"/>
  <c r="IJ168" i="12"/>
  <c r="IJ139" i="12"/>
  <c r="II139" i="12"/>
  <c r="FV112" i="12"/>
  <c r="CD112" i="12"/>
  <c r="BG112" i="12"/>
  <c r="R112" i="12"/>
  <c r="CK112" i="12"/>
  <c r="GQ112" i="12"/>
  <c r="GU112" i="12" s="1"/>
  <c r="GV112" i="12" s="1"/>
  <c r="R158" i="12"/>
  <c r="CK158" i="12"/>
  <c r="CD158" i="12"/>
  <c r="FV158" i="12"/>
  <c r="BG158" i="12"/>
  <c r="FO97" i="12"/>
  <c r="FN97" i="12"/>
  <c r="GQ97" i="12"/>
  <c r="GU97" i="12" s="1"/>
  <c r="GV97" i="12" s="1"/>
  <c r="FG97" i="12"/>
  <c r="FQ97" i="12"/>
  <c r="GQ162" i="12"/>
  <c r="GU162" i="12" s="1"/>
  <c r="GV162" i="12" s="1"/>
  <c r="FQ162" i="12"/>
  <c r="GQ113" i="12"/>
  <c r="GU113" i="12" s="1"/>
  <c r="GV113" i="12" s="1"/>
  <c r="CD101" i="12"/>
  <c r="CK101" i="12"/>
  <c r="R101" i="12"/>
  <c r="BG101" i="12"/>
  <c r="FV101" i="12"/>
  <c r="FQ184" i="12"/>
  <c r="GQ184" i="12"/>
  <c r="GU184" i="12" s="1"/>
  <c r="GV184" i="12" s="1"/>
  <c r="FN202" i="12"/>
  <c r="IJ171" i="12"/>
  <c r="II171" i="12"/>
  <c r="GQ89" i="12"/>
  <c r="GU89" i="12" s="1"/>
  <c r="GV89" i="12" s="1"/>
  <c r="FR89" i="12"/>
  <c r="FR90" i="12" s="1"/>
  <c r="FG89" i="12"/>
  <c r="FQ89" i="12"/>
  <c r="II70" i="12"/>
  <c r="IJ70" i="12"/>
  <c r="IJ88" i="12"/>
  <c r="II88" i="12"/>
  <c r="CK160" i="12"/>
  <c r="BG160" i="12"/>
  <c r="CD160" i="12"/>
  <c r="FV160" i="12"/>
  <c r="R160" i="12"/>
  <c r="IJ160" i="12"/>
  <c r="II160" i="12"/>
  <c r="FN61" i="12"/>
  <c r="FO61" i="12"/>
  <c r="FN188" i="12"/>
  <c r="II36" i="12"/>
  <c r="IJ36" i="12"/>
  <c r="FQ36" i="12"/>
  <c r="FG36" i="12"/>
  <c r="FR36" i="12"/>
  <c r="GQ36" i="12"/>
  <c r="GU36" i="12" s="1"/>
  <c r="GV36" i="12" s="1"/>
  <c r="FV57" i="12"/>
  <c r="R57" i="12"/>
  <c r="CK57" i="12"/>
  <c r="BG57" i="12"/>
  <c r="CD57" i="12"/>
  <c r="GQ57" i="12"/>
  <c r="GU57" i="12" s="1"/>
  <c r="GV57" i="12" s="1"/>
  <c r="FR57" i="12"/>
  <c r="FQ57" i="12"/>
  <c r="FG57" i="12"/>
  <c r="IJ46" i="12"/>
  <c r="II46" i="12"/>
  <c r="FQ55" i="12"/>
  <c r="GQ55" i="12"/>
  <c r="GU55" i="12" s="1"/>
  <c r="GV55" i="12" s="1"/>
  <c r="FG55" i="12"/>
  <c r="FR55" i="12"/>
  <c r="FQ53" i="12"/>
  <c r="FR53" i="12"/>
  <c r="GQ53" i="12"/>
  <c r="GU53" i="12" s="1"/>
  <c r="GV53" i="12" s="1"/>
  <c r="FG53" i="12"/>
  <c r="II67" i="12"/>
  <c r="IJ67" i="12"/>
  <c r="FV136" i="12"/>
  <c r="BG136" i="12"/>
  <c r="R136" i="12"/>
  <c r="CD136" i="12"/>
  <c r="CK136" i="12"/>
  <c r="FO214" i="12"/>
  <c r="FN214" i="12"/>
  <c r="CK93" i="12"/>
  <c r="BG93" i="12"/>
  <c r="FV93" i="12"/>
  <c r="CD93" i="12"/>
  <c r="R93" i="12"/>
  <c r="II93" i="12"/>
  <c r="IJ93" i="12"/>
  <c r="II111" i="12"/>
  <c r="IJ111" i="12"/>
  <c r="FG79" i="12"/>
  <c r="FQ79" i="12"/>
  <c r="GQ79" i="12"/>
  <c r="GU79" i="12" s="1"/>
  <c r="GV79" i="12" s="1"/>
  <c r="FR79" i="12"/>
  <c r="GQ220" i="12"/>
  <c r="GU220" i="12" s="1"/>
  <c r="GV220" i="12" s="1"/>
  <c r="FQ220" i="12"/>
  <c r="FR220" i="12"/>
  <c r="CK210" i="12"/>
  <c r="CD210" i="12"/>
  <c r="FV210" i="12"/>
  <c r="BG210" i="12"/>
  <c r="R210" i="12"/>
  <c r="II117" i="12"/>
  <c r="IJ117" i="12"/>
  <c r="GQ121" i="12"/>
  <c r="GU121" i="12" s="1"/>
  <c r="GV121" i="12" s="1"/>
  <c r="GQ106" i="12"/>
  <c r="GU106" i="12" s="1"/>
  <c r="GV106" i="12" s="1"/>
  <c r="BG155" i="12"/>
  <c r="CK155" i="12"/>
  <c r="R155" i="12"/>
  <c r="CD155" i="12"/>
  <c r="FV155" i="12"/>
  <c r="GQ203" i="12"/>
  <c r="GU203" i="12" s="1"/>
  <c r="GV203" i="12" s="1"/>
  <c r="FR203" i="12"/>
  <c r="FQ203" i="12"/>
  <c r="FO200" i="12"/>
  <c r="II176" i="12"/>
  <c r="IJ176" i="12"/>
  <c r="II86" i="12"/>
  <c r="IJ86" i="12"/>
  <c r="II127" i="12"/>
  <c r="IJ127" i="12"/>
  <c r="FR196" i="12"/>
  <c r="FQ196" i="12"/>
  <c r="GQ196" i="12"/>
  <c r="GU196" i="12" s="1"/>
  <c r="GV196" i="12" s="1"/>
  <c r="GQ110" i="12"/>
  <c r="GU110" i="12" s="1"/>
  <c r="GV110" i="12" s="1"/>
  <c r="FV183" i="12"/>
  <c r="CD183" i="12"/>
  <c r="CK183" i="12"/>
  <c r="R183" i="12"/>
  <c r="BG183" i="12"/>
  <c r="FQ183" i="12"/>
  <c r="GQ183" i="12"/>
  <c r="GU183" i="12" s="1"/>
  <c r="GV183" i="12" s="1"/>
  <c r="CD76" i="12"/>
  <c r="R76" i="12"/>
  <c r="CK76" i="12"/>
  <c r="BG76" i="12"/>
  <c r="FV76" i="12"/>
  <c r="FG94" i="12"/>
  <c r="FQ94" i="12"/>
  <c r="GQ94" i="12"/>
  <c r="GU94" i="12" s="1"/>
  <c r="GV94" i="12" s="1"/>
  <c r="FV85" i="12"/>
  <c r="BG85" i="12"/>
  <c r="R85" i="12"/>
  <c r="CK85" i="12"/>
  <c r="CD85" i="12"/>
  <c r="CD165" i="12"/>
  <c r="FV165" i="12"/>
  <c r="BG165" i="12"/>
  <c r="CK165" i="12"/>
  <c r="R165" i="12"/>
  <c r="BG128" i="12"/>
  <c r="CK128" i="12"/>
  <c r="CD128" i="12"/>
  <c r="FV128" i="12"/>
  <c r="R128" i="12"/>
  <c r="FO219" i="12"/>
  <c r="CD219" i="12"/>
  <c r="FV219" i="12"/>
  <c r="CK219" i="12"/>
  <c r="R219" i="12"/>
  <c r="BG219" i="12"/>
  <c r="GQ174" i="12"/>
  <c r="GU174" i="12" s="1"/>
  <c r="GV174" i="12" s="1"/>
  <c r="IJ174" i="12"/>
  <c r="II174" i="12"/>
  <c r="GQ189" i="12"/>
  <c r="GU189" i="12" s="1"/>
  <c r="GV189" i="12" s="1"/>
  <c r="FQ189" i="12"/>
  <c r="FR189" i="12"/>
  <c r="IJ39" i="12"/>
  <c r="II39" i="12"/>
  <c r="FQ44" i="12"/>
  <c r="FR44" i="12"/>
  <c r="FG44" i="12"/>
  <c r="GQ44" i="12"/>
  <c r="GU44" i="12" s="1"/>
  <c r="GV44" i="12" s="1"/>
  <c r="BG44" i="12"/>
  <c r="CD44" i="12"/>
  <c r="R44" i="12"/>
  <c r="FV44" i="12"/>
  <c r="CK44" i="12"/>
  <c r="II56" i="12"/>
  <c r="IJ56" i="12"/>
  <c r="FV60" i="12"/>
  <c r="CD60" i="12"/>
  <c r="CK60" i="12"/>
  <c r="BG60" i="12"/>
  <c r="R60" i="12"/>
  <c r="FV135" i="12"/>
  <c r="R135" i="12"/>
  <c r="CD135" i="12"/>
  <c r="BG135" i="12"/>
  <c r="CK135" i="12"/>
  <c r="CD100" i="12"/>
  <c r="BG100" i="12"/>
  <c r="CK100" i="12"/>
  <c r="FV100" i="12"/>
  <c r="R100" i="12"/>
  <c r="FQ100" i="12"/>
  <c r="FG100" i="12"/>
  <c r="GQ100" i="12"/>
  <c r="GU100" i="12" s="1"/>
  <c r="GV100" i="12" s="1"/>
  <c r="BG193" i="12"/>
  <c r="CK193" i="12"/>
  <c r="FV193" i="12"/>
  <c r="CD193" i="12"/>
  <c r="R193" i="12"/>
  <c r="II98" i="12"/>
  <c r="IJ98" i="12"/>
  <c r="GQ73" i="12"/>
  <c r="GU73" i="12" s="1"/>
  <c r="GV73" i="12" s="1"/>
  <c r="FG73" i="12"/>
  <c r="FQ73" i="12"/>
  <c r="FR73" i="12"/>
  <c r="II163" i="12"/>
  <c r="IJ163" i="12"/>
  <c r="IJ133" i="12"/>
  <c r="II133" i="12"/>
  <c r="GQ161" i="12"/>
  <c r="GU161" i="12" s="1"/>
  <c r="GV161" i="12" s="1"/>
  <c r="IJ120" i="12"/>
  <c r="II120" i="12"/>
  <c r="GQ137" i="12"/>
  <c r="GU137" i="12" s="1"/>
  <c r="GV137" i="12" s="1"/>
  <c r="FV137" i="12"/>
  <c r="BG137" i="12"/>
  <c r="CD137" i="12"/>
  <c r="R137" i="12"/>
  <c r="CK137" i="12"/>
  <c r="GQ131" i="12"/>
  <c r="GU131" i="12" s="1"/>
  <c r="GV131" i="12" s="1"/>
  <c r="II131" i="12"/>
  <c r="IJ131" i="12"/>
  <c r="CK159" i="12"/>
  <c r="FV159" i="12"/>
  <c r="CD159" i="12"/>
  <c r="BG159" i="12"/>
  <c r="R159" i="12"/>
  <c r="IJ90" i="12"/>
  <c r="II90" i="12"/>
  <c r="CK66" i="12"/>
  <c r="CD66" i="12"/>
  <c r="FV66" i="12"/>
  <c r="BG66" i="12"/>
  <c r="R66" i="12"/>
  <c r="IJ82" i="12"/>
  <c r="II82" i="12"/>
  <c r="GQ122" i="12"/>
  <c r="GU122" i="12" s="1"/>
  <c r="GV122" i="12" s="1"/>
  <c r="GQ198" i="12"/>
  <c r="GU198" i="12" s="1"/>
  <c r="GV198" i="12" s="1"/>
  <c r="FQ198" i="12"/>
  <c r="FR198" i="12"/>
  <c r="GQ105" i="12"/>
  <c r="GU105" i="12" s="1"/>
  <c r="GV105" i="12" s="1"/>
  <c r="IJ180" i="12"/>
  <c r="II180" i="12"/>
  <c r="GQ178" i="12"/>
  <c r="GU178" i="12" s="1"/>
  <c r="GV178" i="12" s="1"/>
  <c r="FQ51" i="12"/>
  <c r="GQ51" i="12"/>
  <c r="GU51" i="12" s="1"/>
  <c r="GV51" i="12" s="1"/>
  <c r="FR51" i="12"/>
  <c r="FG51" i="12"/>
  <c r="II138" i="12"/>
  <c r="IJ138" i="12"/>
  <c r="II166" i="12"/>
  <c r="IJ166" i="12"/>
  <c r="II150" i="12"/>
  <c r="IJ150" i="12"/>
  <c r="CD72" i="12"/>
  <c r="CK72" i="12"/>
  <c r="FV72" i="12"/>
  <c r="R72" i="12"/>
  <c r="BG72" i="12"/>
  <c r="FQ109" i="12"/>
  <c r="GQ109" i="12"/>
  <c r="GU109" i="12" s="1"/>
  <c r="GV109" i="12" s="1"/>
  <c r="CK61" i="12"/>
  <c r="FM58" i="12"/>
  <c r="FM45" i="12"/>
  <c r="FM95" i="12"/>
  <c r="FH43" i="12"/>
  <c r="FM32" i="12"/>
  <c r="FM169" i="12"/>
  <c r="FM102" i="12"/>
  <c r="FM167" i="12"/>
  <c r="FM186" i="12"/>
  <c r="FM185" i="12"/>
  <c r="FM179" i="12"/>
  <c r="FM62" i="12"/>
  <c r="FM103" i="12"/>
  <c r="FM71" i="12"/>
  <c r="FM129" i="12"/>
  <c r="R61" i="12"/>
  <c r="FM37" i="12"/>
  <c r="FM35" i="12"/>
  <c r="FM132" i="12"/>
  <c r="FM125" i="12"/>
  <c r="FM94" i="12"/>
  <c r="FM60" i="12"/>
  <c r="FM109" i="12"/>
  <c r="FQ42" i="12"/>
  <c r="FR42" i="12"/>
  <c r="FG42" i="12"/>
  <c r="GQ42" i="12"/>
  <c r="FV49" i="12"/>
  <c r="BG49" i="12"/>
  <c r="CK49" i="12"/>
  <c r="CD49" i="12"/>
  <c r="R49" i="12"/>
  <c r="IJ49" i="12"/>
  <c r="II49" i="12"/>
  <c r="IJ50" i="12"/>
  <c r="II50" i="12"/>
  <c r="FQ152" i="12"/>
  <c r="GQ152" i="12"/>
  <c r="GU152" i="12" s="1"/>
  <c r="GV152" i="12" s="1"/>
  <c r="IJ152" i="12"/>
  <c r="II152" i="12"/>
  <c r="IJ132" i="12"/>
  <c r="II132" i="12"/>
  <c r="GQ132" i="12"/>
  <c r="GU132" i="12" s="1"/>
  <c r="GV132" i="12" s="1"/>
  <c r="II145" i="12"/>
  <c r="IJ145" i="12"/>
  <c r="FV104" i="12"/>
  <c r="CD104" i="12"/>
  <c r="R104" i="12"/>
  <c r="BG104" i="12"/>
  <c r="CK104" i="12"/>
  <c r="CK216" i="12"/>
  <c r="CD216" i="12"/>
  <c r="R216" i="12"/>
  <c r="FV216" i="12"/>
  <c r="BG216" i="12"/>
  <c r="II99" i="12"/>
  <c r="IJ99" i="12"/>
  <c r="GQ172" i="12"/>
  <c r="GU172" i="12" s="1"/>
  <c r="GV172" i="12" s="1"/>
  <c r="FV81" i="12"/>
  <c r="R81" i="12"/>
  <c r="BG81" i="12"/>
  <c r="CD81" i="12"/>
  <c r="CK81" i="12"/>
  <c r="R134" i="12"/>
  <c r="FV134" i="12"/>
  <c r="BG134" i="12"/>
  <c r="CD134" i="12"/>
  <c r="CK134" i="12"/>
  <c r="FV80" i="12"/>
  <c r="R80" i="12"/>
  <c r="BG80" i="12"/>
  <c r="CD80" i="12"/>
  <c r="CK80" i="12"/>
  <c r="FQ168" i="12"/>
  <c r="GQ168" i="12"/>
  <c r="GU168" i="12" s="1"/>
  <c r="GV168" i="12" s="1"/>
  <c r="BG168" i="12"/>
  <c r="CD168" i="12"/>
  <c r="R168" i="12"/>
  <c r="FV168" i="12"/>
  <c r="CK168" i="12"/>
  <c r="CD75" i="12"/>
  <c r="R75" i="12"/>
  <c r="BG75" i="12"/>
  <c r="CK75" i="12"/>
  <c r="FV75" i="12"/>
  <c r="CD139" i="12"/>
  <c r="R139" i="12"/>
  <c r="BG139" i="12"/>
  <c r="FV139" i="12"/>
  <c r="CK139" i="12"/>
  <c r="IJ112" i="12"/>
  <c r="II112" i="12"/>
  <c r="GQ158" i="12"/>
  <c r="II97" i="12"/>
  <c r="IJ97" i="12"/>
  <c r="CD162" i="12"/>
  <c r="BG162" i="12"/>
  <c r="R162" i="12"/>
  <c r="CK162" i="12"/>
  <c r="FV162" i="12"/>
  <c r="IJ162" i="12"/>
  <c r="II162" i="12"/>
  <c r="II170" i="12"/>
  <c r="IJ170" i="12"/>
  <c r="R116" i="12"/>
  <c r="CD116" i="12"/>
  <c r="CK116" i="12"/>
  <c r="FV116" i="12"/>
  <c r="BG116" i="12"/>
  <c r="IJ113" i="12"/>
  <c r="II113" i="12"/>
  <c r="BG184" i="12"/>
  <c r="CD184" i="12"/>
  <c r="R184" i="12"/>
  <c r="FV184" i="12"/>
  <c r="CK184" i="12"/>
  <c r="CK202" i="12"/>
  <c r="BG202" i="12"/>
  <c r="R202" i="12"/>
  <c r="FV202" i="12"/>
  <c r="CD202" i="12"/>
  <c r="GQ171" i="12"/>
  <c r="BG89" i="12"/>
  <c r="R89" i="12"/>
  <c r="CD89" i="12"/>
  <c r="FV89" i="12"/>
  <c r="CK89" i="12"/>
  <c r="IJ92" i="12"/>
  <c r="II92" i="12"/>
  <c r="FQ70" i="12"/>
  <c r="FG70" i="12"/>
  <c r="GQ70" i="12"/>
  <c r="GU70" i="12" s="1"/>
  <c r="GV70" i="12" s="1"/>
  <c r="FR70" i="12"/>
  <c r="GQ160" i="12"/>
  <c r="GU160" i="12" s="1"/>
  <c r="GV160" i="12" s="1"/>
  <c r="FV36" i="12"/>
  <c r="BG36" i="12"/>
  <c r="CD36" i="12"/>
  <c r="R36" i="12"/>
  <c r="CK36" i="12"/>
  <c r="FR41" i="12"/>
  <c r="GQ41" i="12"/>
  <c r="GU41" i="12" s="1"/>
  <c r="GV41" i="12" s="1"/>
  <c r="FG41" i="12"/>
  <c r="FQ41" i="12"/>
  <c r="R41" i="12"/>
  <c r="CK41" i="12"/>
  <c r="BG41" i="12"/>
  <c r="FV41" i="12"/>
  <c r="CD41" i="12"/>
  <c r="IJ55" i="12"/>
  <c r="II55" i="12"/>
  <c r="FV53" i="12"/>
  <c r="CD53" i="12"/>
  <c r="BG53" i="12"/>
  <c r="CK53" i="12"/>
  <c r="R53" i="12"/>
  <c r="FR67" i="12"/>
  <c r="FG67" i="12"/>
  <c r="GQ67" i="12"/>
  <c r="GU67" i="12" s="1"/>
  <c r="GV67" i="12" s="1"/>
  <c r="FQ67" i="12"/>
  <c r="FQ136" i="12"/>
  <c r="GQ136" i="12"/>
  <c r="GU136" i="12" s="1"/>
  <c r="GV136" i="12" s="1"/>
  <c r="IJ136" i="12"/>
  <c r="II136" i="12"/>
  <c r="GQ213" i="12"/>
  <c r="GU213" i="12" s="1"/>
  <c r="GV213" i="12" s="1"/>
  <c r="FR213" i="12"/>
  <c r="FQ213" i="12"/>
  <c r="GQ214" i="12"/>
  <c r="FT214" i="12" s="1"/>
  <c r="FQ214" i="12"/>
  <c r="FR214" i="12"/>
  <c r="BG214" i="12"/>
  <c r="FV214" i="12"/>
  <c r="R214" i="12"/>
  <c r="CD214" i="12"/>
  <c r="CK214" i="12"/>
  <c r="R177" i="12"/>
  <c r="BG177" i="12"/>
  <c r="FV177" i="12"/>
  <c r="CD177" i="12"/>
  <c r="CK177" i="12"/>
  <c r="IJ87" i="12"/>
  <c r="II87" i="12"/>
  <c r="FQ87" i="12"/>
  <c r="FG87" i="12"/>
  <c r="GQ87" i="12"/>
  <c r="GU87" i="12" s="1"/>
  <c r="GV87" i="12" s="1"/>
  <c r="GQ141" i="12"/>
  <c r="GU141" i="12" s="1"/>
  <c r="GV141" i="12" s="1"/>
  <c r="IJ141" i="12"/>
  <c r="II141" i="12"/>
  <c r="R141" i="12"/>
  <c r="CD141" i="12"/>
  <c r="BG141" i="12"/>
  <c r="CK141" i="12"/>
  <c r="FV141" i="12"/>
  <c r="BG111" i="12"/>
  <c r="R111" i="12"/>
  <c r="CD111" i="12"/>
  <c r="CK111" i="12"/>
  <c r="FV111" i="12"/>
  <c r="BG79" i="12"/>
  <c r="R79" i="12"/>
  <c r="CK79" i="12"/>
  <c r="CD79" i="12"/>
  <c r="FV79" i="12"/>
  <c r="R220" i="12"/>
  <c r="BG220" i="12"/>
  <c r="CK220" i="12"/>
  <c r="CD220" i="12"/>
  <c r="FV220" i="12"/>
  <c r="GQ117" i="12"/>
  <c r="R117" i="12"/>
  <c r="CD117" i="12"/>
  <c r="FV117" i="12"/>
  <c r="BG117" i="12"/>
  <c r="CK117" i="12"/>
  <c r="CD121" i="12"/>
  <c r="BG121" i="12"/>
  <c r="CK121" i="12"/>
  <c r="R121" i="12"/>
  <c r="FV121" i="12"/>
  <c r="II121" i="12"/>
  <c r="IJ121" i="12"/>
  <c r="FQ157" i="12"/>
  <c r="GQ157" i="12"/>
  <c r="GU157" i="12" s="1"/>
  <c r="GV157" i="12" s="1"/>
  <c r="BG106" i="12"/>
  <c r="FV106" i="12"/>
  <c r="CK106" i="12"/>
  <c r="CD106" i="12"/>
  <c r="R106" i="12"/>
  <c r="II200" i="12"/>
  <c r="IJ200" i="12"/>
  <c r="CK200" i="12"/>
  <c r="CD200" i="12"/>
  <c r="R200" i="12"/>
  <c r="BG200" i="12"/>
  <c r="FV200" i="12"/>
  <c r="FV176" i="12"/>
  <c r="CK176" i="12"/>
  <c r="BG176" i="12"/>
  <c r="CD176" i="12"/>
  <c r="R176" i="12"/>
  <c r="GQ176" i="12"/>
  <c r="GU176" i="12" s="1"/>
  <c r="GV176" i="12" s="1"/>
  <c r="GQ127" i="12"/>
  <c r="GU127" i="12" s="1"/>
  <c r="GV127" i="12" s="1"/>
  <c r="FV196" i="12"/>
  <c r="CK196" i="12"/>
  <c r="R196" i="12"/>
  <c r="CD196" i="12"/>
  <c r="BG196" i="12"/>
  <c r="FV110" i="12"/>
  <c r="CD110" i="12"/>
  <c r="CK110" i="12"/>
  <c r="R110" i="12"/>
  <c r="BG110" i="12"/>
  <c r="II194" i="12"/>
  <c r="IJ194" i="12"/>
  <c r="BG190" i="12"/>
  <c r="FV190" i="12"/>
  <c r="CD190" i="12"/>
  <c r="CK190" i="12"/>
  <c r="R190" i="12"/>
  <c r="II94" i="12"/>
  <c r="IJ94" i="12"/>
  <c r="IJ77" i="12"/>
  <c r="II77" i="12"/>
  <c r="FV77" i="12"/>
  <c r="CK77" i="12"/>
  <c r="BG77" i="12"/>
  <c r="R77" i="12"/>
  <c r="CD77" i="12"/>
  <c r="R206" i="12"/>
  <c r="BG206" i="12"/>
  <c r="FV206" i="12"/>
  <c r="CK206" i="12"/>
  <c r="CD206" i="12"/>
  <c r="IJ85" i="12"/>
  <c r="II85" i="12"/>
  <c r="FV149" i="12"/>
  <c r="BG149" i="12"/>
  <c r="CD149" i="12"/>
  <c r="CK149" i="12"/>
  <c r="R149" i="12"/>
  <c r="FQ149" i="12"/>
  <c r="GQ149" i="12"/>
  <c r="GU149" i="12" s="1"/>
  <c r="GV149" i="12" s="1"/>
  <c r="R174" i="12"/>
  <c r="FV174" i="12"/>
  <c r="BG174" i="12"/>
  <c r="CD174" i="12"/>
  <c r="CK174" i="12"/>
  <c r="GQ201" i="12"/>
  <c r="GU201" i="12" s="1"/>
  <c r="GV201" i="12" s="1"/>
  <c r="FQ201" i="12"/>
  <c r="FR201" i="12"/>
  <c r="FV39" i="12"/>
  <c r="CK39" i="12"/>
  <c r="R39" i="12"/>
  <c r="BG39" i="12"/>
  <c r="CD39" i="12"/>
  <c r="FQ60" i="12"/>
  <c r="FR60" i="12"/>
  <c r="GQ60" i="12"/>
  <c r="FG60" i="12"/>
  <c r="II135" i="12"/>
  <c r="IJ135" i="12"/>
  <c r="IJ100" i="12"/>
  <c r="II100" i="12"/>
  <c r="CD175" i="12"/>
  <c r="CK175" i="12"/>
  <c r="R175" i="12"/>
  <c r="BG175" i="12"/>
  <c r="FV175" i="12"/>
  <c r="CK98" i="12"/>
  <c r="FV98" i="12"/>
  <c r="R98" i="12"/>
  <c r="BG98" i="12"/>
  <c r="CD98" i="12"/>
  <c r="II73" i="12"/>
  <c r="IJ73" i="12"/>
  <c r="IJ130" i="12"/>
  <c r="II130" i="12"/>
  <c r="CD163" i="12"/>
  <c r="BG163" i="12"/>
  <c r="CK163" i="12"/>
  <c r="R163" i="12"/>
  <c r="FV163" i="12"/>
  <c r="BG140" i="12"/>
  <c r="FV140" i="12"/>
  <c r="R140" i="12"/>
  <c r="CD140" i="12"/>
  <c r="CK140" i="12"/>
  <c r="II83" i="12"/>
  <c r="IJ83" i="12"/>
  <c r="FQ137" i="12"/>
  <c r="R90" i="12"/>
  <c r="BG90" i="12"/>
  <c r="CK90" i="12"/>
  <c r="FV90" i="12"/>
  <c r="CD90" i="12"/>
  <c r="R69" i="12"/>
  <c r="CD69" i="12"/>
  <c r="BG69" i="12"/>
  <c r="CK69" i="12"/>
  <c r="FV69" i="12"/>
  <c r="GQ69" i="12"/>
  <c r="GU69" i="12" s="1"/>
  <c r="GV69" i="12" s="1"/>
  <c r="FQ69" i="12"/>
  <c r="FR69" i="12"/>
  <c r="FG69" i="12"/>
  <c r="II66" i="12"/>
  <c r="IJ66" i="12"/>
  <c r="CD122" i="12"/>
  <c r="BG122" i="12"/>
  <c r="R122" i="12"/>
  <c r="FV122" i="12"/>
  <c r="CK122" i="12"/>
  <c r="CD119" i="12"/>
  <c r="FV119" i="12"/>
  <c r="CK119" i="12"/>
  <c r="R119" i="12"/>
  <c r="BG119" i="12"/>
  <c r="GQ124" i="12"/>
  <c r="GU124" i="12" s="1"/>
  <c r="GV124" i="12" s="1"/>
  <c r="FV198" i="12"/>
  <c r="R198" i="12"/>
  <c r="CK198" i="12"/>
  <c r="CD198" i="12"/>
  <c r="BG198" i="12"/>
  <c r="II105" i="12"/>
  <c r="IJ105" i="12"/>
  <c r="GQ180" i="12"/>
  <c r="CK138" i="12"/>
  <c r="R138" i="12"/>
  <c r="BG138" i="12"/>
  <c r="CD138" i="12"/>
  <c r="FV138" i="12"/>
  <c r="GQ138" i="12"/>
  <c r="GU138" i="12" s="1"/>
  <c r="GV138" i="12" s="1"/>
  <c r="FQ138" i="12"/>
  <c r="GQ72" i="12"/>
  <c r="GU72" i="12" s="1"/>
  <c r="GV72" i="12" s="1"/>
  <c r="FG72" i="12"/>
  <c r="FR72" i="12"/>
  <c r="FQ72" i="12"/>
  <c r="GQ153" i="12"/>
  <c r="FQ153" i="12"/>
  <c r="FM209" i="12"/>
  <c r="FM114" i="12"/>
  <c r="FM80" i="12"/>
  <c r="FM139" i="12"/>
  <c r="FM151" i="12"/>
  <c r="FM170" i="12"/>
  <c r="FM101" i="12"/>
  <c r="FM70" i="12"/>
  <c r="FM41" i="12"/>
  <c r="FM53" i="12"/>
  <c r="FM67" i="12"/>
  <c r="FM177" i="12"/>
  <c r="FM93" i="12"/>
  <c r="FM210" i="12"/>
  <c r="AQ158" i="12"/>
  <c r="FM183" i="12"/>
  <c r="FM190" i="12"/>
  <c r="FM165" i="12"/>
  <c r="FM128" i="12"/>
  <c r="FM189" i="12"/>
  <c r="FM38" i="12"/>
  <c r="FM44" i="12"/>
  <c r="FM56" i="12"/>
  <c r="FM54" i="12"/>
  <c r="FM175" i="12"/>
  <c r="FM193" i="12"/>
  <c r="FM163" i="12"/>
  <c r="FM133" i="12"/>
  <c r="FM120" i="12"/>
  <c r="FM131" i="12"/>
  <c r="FM90" i="12"/>
  <c r="FM204" i="12"/>
  <c r="FM82" i="12"/>
  <c r="FM122" i="12"/>
  <c r="FM198" i="12"/>
  <c r="FM180" i="12"/>
  <c r="FM178" i="12"/>
  <c r="FM51" i="12"/>
  <c r="FM215" i="12"/>
  <c r="FQ141" i="12"/>
  <c r="FK28" i="12" l="1"/>
  <c r="ER107" i="12"/>
  <c r="ES107" i="12" s="1"/>
  <c r="FN110" i="12"/>
  <c r="FN148" i="12"/>
  <c r="FQ104" i="12"/>
  <c r="FH112" i="12"/>
  <c r="FK112" i="12" s="1"/>
  <c r="FH116" i="12"/>
  <c r="FK116" i="12" s="1"/>
  <c r="FN92" i="12"/>
  <c r="FI111" i="12"/>
  <c r="FJ111" i="12" s="1"/>
  <c r="FH103" i="12"/>
  <c r="FJ103" i="12" s="1"/>
  <c r="FN104" i="12"/>
  <c r="FH114" i="12"/>
  <c r="FJ114" i="12" s="1"/>
  <c r="FH106" i="12"/>
  <c r="FK106" i="12" s="1"/>
  <c r="FK12" i="12"/>
  <c r="FK5" i="12"/>
  <c r="FJ24" i="12"/>
  <c r="FO107" i="12"/>
  <c r="AR35" i="12"/>
  <c r="AR36" i="12" s="1"/>
  <c r="AR37" i="12" s="1"/>
  <c r="AQ35" i="12"/>
  <c r="FO34" i="12"/>
  <c r="FQ105" i="12"/>
  <c r="FI109" i="12"/>
  <c r="FK109" i="12" s="1"/>
  <c r="FN119" i="12"/>
  <c r="FJ123" i="12"/>
  <c r="FJ113" i="12"/>
  <c r="FJ108" i="12"/>
  <c r="FI105" i="12"/>
  <c r="FJ105" i="12" s="1"/>
  <c r="FO111" i="12"/>
  <c r="FN217" i="12"/>
  <c r="FO191" i="12"/>
  <c r="FH119" i="12"/>
  <c r="FJ119" i="12" s="1"/>
  <c r="FO141" i="12"/>
  <c r="FJ118" i="12"/>
  <c r="FH110" i="12"/>
  <c r="FJ110" i="12" s="1"/>
  <c r="FH101" i="12"/>
  <c r="FK101" i="12" s="1"/>
  <c r="FH115" i="12"/>
  <c r="FJ115" i="12" s="1"/>
  <c r="FJ122" i="12"/>
  <c r="FH117" i="12"/>
  <c r="FK117" i="12" s="1"/>
  <c r="FH104" i="12"/>
  <c r="FJ104" i="12" s="1"/>
  <c r="FI102" i="12"/>
  <c r="FJ102" i="12" s="1"/>
  <c r="FN76" i="12"/>
  <c r="FN149" i="12"/>
  <c r="FJ107" i="12"/>
  <c r="FN117" i="12"/>
  <c r="FK120" i="12"/>
  <c r="FK118" i="12"/>
  <c r="FK107" i="12"/>
  <c r="FK113" i="12"/>
  <c r="FK108" i="12"/>
  <c r="FJ120" i="12"/>
  <c r="FN99" i="12"/>
  <c r="FN147" i="12"/>
  <c r="FO212" i="12"/>
  <c r="FN194" i="12"/>
  <c r="FO74" i="12"/>
  <c r="FO171" i="12"/>
  <c r="ES106" i="12"/>
  <c r="FN87" i="12"/>
  <c r="FN145" i="12"/>
  <c r="FO68" i="12"/>
  <c r="FN113" i="12"/>
  <c r="FK6" i="12"/>
  <c r="FO52" i="12"/>
  <c r="FO81" i="12"/>
  <c r="FN115" i="12"/>
  <c r="FO176" i="12"/>
  <c r="FO48" i="12"/>
  <c r="FO150" i="12"/>
  <c r="FJ19" i="12"/>
  <c r="FK25" i="12"/>
  <c r="FO69" i="12"/>
  <c r="FS137" i="12"/>
  <c r="FN164" i="12"/>
  <c r="FN126" i="12"/>
  <c r="FO65" i="12"/>
  <c r="FN152" i="12"/>
  <c r="FN138" i="12"/>
  <c r="FN159" i="12"/>
  <c r="FO89" i="12"/>
  <c r="FN64" i="12"/>
  <c r="FN172" i="12"/>
  <c r="FO154" i="12"/>
  <c r="FO124" i="12"/>
  <c r="FS74" i="12"/>
  <c r="FN46" i="12"/>
  <c r="FO156" i="12"/>
  <c r="FN116" i="12"/>
  <c r="FN134" i="12"/>
  <c r="FN49" i="12"/>
  <c r="AS47" i="12"/>
  <c r="AS48" i="12" s="1"/>
  <c r="AS49" i="12" s="1"/>
  <c r="AS50" i="12" s="1"/>
  <c r="FN168" i="12"/>
  <c r="FN39" i="12"/>
  <c r="FS68" i="12"/>
  <c r="FO173" i="12"/>
  <c r="FJ23" i="12"/>
  <c r="FK31" i="12"/>
  <c r="IK38" i="12"/>
  <c r="IL38" i="12" s="1"/>
  <c r="FJ43" i="12"/>
  <c r="FT137" i="12"/>
  <c r="FJ10" i="12"/>
  <c r="FO213" i="12"/>
  <c r="FK3" i="12"/>
  <c r="FJ7" i="12"/>
  <c r="FK4" i="12"/>
  <c r="FT48" i="12"/>
  <c r="FJ22" i="12"/>
  <c r="FN201" i="12"/>
  <c r="FJ15" i="12"/>
  <c r="FK18" i="12"/>
  <c r="FJ20" i="12"/>
  <c r="FK27" i="12"/>
  <c r="FK29" i="12"/>
  <c r="FJ14" i="12"/>
  <c r="FK13" i="12"/>
  <c r="FJ26" i="12"/>
  <c r="FK16" i="12"/>
  <c r="FJ9" i="12"/>
  <c r="FK8" i="12"/>
  <c r="FK30" i="12"/>
  <c r="FK21" i="12"/>
  <c r="IK151" i="12"/>
  <c r="IL151" i="12" s="1"/>
  <c r="FJ21" i="12"/>
  <c r="FT189" i="12"/>
  <c r="FJ17" i="12"/>
  <c r="FK11" i="12"/>
  <c r="IK78" i="12"/>
  <c r="IL78" i="12" s="1"/>
  <c r="AY27" i="12"/>
  <c r="AV28" i="12"/>
  <c r="AY23" i="12"/>
  <c r="AY24" i="12"/>
  <c r="AV24" i="12"/>
  <c r="AY18" i="12"/>
  <c r="AY20" i="12"/>
  <c r="AY19" i="12"/>
  <c r="K17" i="12"/>
  <c r="AY16" i="12"/>
  <c r="AV15" i="12"/>
  <c r="AV17" i="12"/>
  <c r="K11" i="12"/>
  <c r="AY12" i="12"/>
  <c r="AY8" i="12"/>
  <c r="AV7" i="12"/>
  <c r="AV9" i="12"/>
  <c r="AY3" i="12"/>
  <c r="AV4" i="12"/>
  <c r="FJ12" i="12"/>
  <c r="FK10" i="12"/>
  <c r="FK7" i="12"/>
  <c r="FJ4" i="12"/>
  <c r="FJ3" i="12"/>
  <c r="FJ30" i="12"/>
  <c r="FJ28" i="12"/>
  <c r="FL28" i="12" s="1"/>
  <c r="FK22" i="12"/>
  <c r="FK20" i="12"/>
  <c r="AV30" i="12"/>
  <c r="AY32" i="12"/>
  <c r="FO112" i="12"/>
  <c r="AV23" i="12"/>
  <c r="AV26" i="12"/>
  <c r="AV22" i="12"/>
  <c r="K19" i="12"/>
  <c r="AV19" i="12"/>
  <c r="AY17" i="12"/>
  <c r="K14" i="12"/>
  <c r="K12" i="12"/>
  <c r="AV12" i="12"/>
  <c r="AV11" i="12"/>
  <c r="AY9" i="12"/>
  <c r="AV10" i="12"/>
  <c r="AV8" i="12"/>
  <c r="AV6" i="12"/>
  <c r="AY5" i="12"/>
  <c r="K3" i="12"/>
  <c r="FJ16" i="12"/>
  <c r="FK15" i="12"/>
  <c r="FJ18" i="12"/>
  <c r="FJ13" i="12"/>
  <c r="FJ8" i="12"/>
  <c r="FJ6" i="12"/>
  <c r="FK26" i="12"/>
  <c r="FK23" i="12"/>
  <c r="FS183" i="12"/>
  <c r="AY28" i="12"/>
  <c r="AV33" i="12"/>
  <c r="AV38" i="12"/>
  <c r="AV25" i="12"/>
  <c r="AY26" i="12"/>
  <c r="AV20" i="12"/>
  <c r="AV18" i="12"/>
  <c r="AV16" i="12"/>
  <c r="K16" i="12"/>
  <c r="K15" i="12"/>
  <c r="AV14" i="12"/>
  <c r="AY13" i="12"/>
  <c r="AY10" i="12"/>
  <c r="K9" i="12"/>
  <c r="AY6" i="12"/>
  <c r="K5" i="12"/>
  <c r="K7" i="12"/>
  <c r="K4" i="12"/>
  <c r="FK14" i="12"/>
  <c r="FK24" i="12"/>
  <c r="FJ27" i="12"/>
  <c r="FJ29" i="12"/>
  <c r="FS198" i="12"/>
  <c r="FS73" i="12"/>
  <c r="FT198" i="12"/>
  <c r="FT203" i="12"/>
  <c r="FS97" i="12"/>
  <c r="AV27" i="12"/>
  <c r="AY25" i="12"/>
  <c r="AV5" i="12"/>
  <c r="AY22" i="12"/>
  <c r="AY21" i="12"/>
  <c r="K18" i="12"/>
  <c r="AV13" i="12"/>
  <c r="K13" i="12"/>
  <c r="AY14" i="12"/>
  <c r="AY15" i="12"/>
  <c r="AY11" i="12"/>
  <c r="K10" i="12"/>
  <c r="K8" i="12"/>
  <c r="K6" i="12"/>
  <c r="AY4" i="12"/>
  <c r="AY7" i="12"/>
  <c r="AV3" i="12"/>
  <c r="FK17" i="12"/>
  <c r="FJ11" i="12"/>
  <c r="FK9" i="12"/>
  <c r="FJ5" i="12"/>
  <c r="FJ31" i="12"/>
  <c r="FJ25" i="12"/>
  <c r="FK19" i="12"/>
  <c r="IK173" i="12"/>
  <c r="IL173" i="12" s="1"/>
  <c r="AY30" i="12"/>
  <c r="AV31" i="12"/>
  <c r="AV32" i="12"/>
  <c r="FS145" i="12"/>
  <c r="FS103" i="12"/>
  <c r="FT125" i="12"/>
  <c r="AV35" i="12"/>
  <c r="AY33" i="12"/>
  <c r="IK32" i="12"/>
  <c r="IL32" i="12" s="1"/>
  <c r="FS125" i="12"/>
  <c r="FT160" i="12"/>
  <c r="FS189" i="12"/>
  <c r="IK127" i="12"/>
  <c r="IL127" i="12" s="1"/>
  <c r="IK176" i="12"/>
  <c r="IL176" i="12" s="1"/>
  <c r="FS203" i="12"/>
  <c r="FT166" i="12"/>
  <c r="FT135" i="12"/>
  <c r="FS188" i="12"/>
  <c r="FT157" i="12"/>
  <c r="FS166" i="12"/>
  <c r="IK188" i="12"/>
  <c r="IL188" i="12" s="1"/>
  <c r="IK101" i="12"/>
  <c r="IL101" i="12" s="1"/>
  <c r="IK200" i="12"/>
  <c r="IL200" i="12" s="1"/>
  <c r="FT97" i="12"/>
  <c r="IK168" i="12"/>
  <c r="IL168" i="12" s="1"/>
  <c r="IK144" i="12"/>
  <c r="IL144" i="12" s="1"/>
  <c r="IK190" i="12"/>
  <c r="IL190" i="12" s="1"/>
  <c r="FS160" i="12"/>
  <c r="IK163" i="12"/>
  <c r="IL163" i="12" s="1"/>
  <c r="FT121" i="12"/>
  <c r="FT184" i="12"/>
  <c r="AV37" i="12"/>
  <c r="AY34" i="12"/>
  <c r="AV39" i="12"/>
  <c r="FS138" i="12"/>
  <c r="IK114" i="12"/>
  <c r="IL114" i="12" s="1"/>
  <c r="FT96" i="12"/>
  <c r="IK137" i="12"/>
  <c r="IL137" i="12" s="1"/>
  <c r="IK84" i="12"/>
  <c r="IL84" i="12" s="1"/>
  <c r="FT163" i="12"/>
  <c r="FT130" i="12"/>
  <c r="FT200" i="12"/>
  <c r="FT155" i="12"/>
  <c r="FT101" i="12"/>
  <c r="FT35" i="12"/>
  <c r="FT212" i="12"/>
  <c r="AY36" i="12"/>
  <c r="AY39" i="12"/>
  <c r="AY37" i="12"/>
  <c r="AV29" i="12"/>
  <c r="AY29" i="12"/>
  <c r="FS199" i="12"/>
  <c r="IK142" i="12"/>
  <c r="IL142" i="12" s="1"/>
  <c r="IK140" i="12"/>
  <c r="IL140" i="12" s="1"/>
  <c r="FS200" i="12"/>
  <c r="FS101" i="12"/>
  <c r="IK156" i="12"/>
  <c r="IL156" i="12" s="1"/>
  <c r="IK195" i="12"/>
  <c r="IL195" i="12" s="1"/>
  <c r="FJ40" i="12"/>
  <c r="FT151" i="12"/>
  <c r="FS162" i="12"/>
  <c r="FS72" i="12"/>
  <c r="IK92" i="12"/>
  <c r="IL92" i="12" s="1"/>
  <c r="FT168" i="12"/>
  <c r="IK117" i="12"/>
  <c r="IL117" i="12" s="1"/>
  <c r="FT162" i="12"/>
  <c r="IK52" i="12"/>
  <c r="IL52" i="12" s="1"/>
  <c r="FT126" i="12"/>
  <c r="FT143" i="12"/>
  <c r="IK45" i="12"/>
  <c r="IL45" i="12" s="1"/>
  <c r="IK126" i="12"/>
  <c r="IL126" i="12" s="1"/>
  <c r="IK76" i="12"/>
  <c r="IL76" i="12" s="1"/>
  <c r="FS66" i="12"/>
  <c r="FS141" i="12"/>
  <c r="FT132" i="12"/>
  <c r="FS178" i="12"/>
  <c r="FT34" i="12"/>
  <c r="FS167" i="12"/>
  <c r="FT144" i="12"/>
  <c r="IK192" i="12"/>
  <c r="IL192" i="12" s="1"/>
  <c r="FS216" i="12"/>
  <c r="FT197" i="12"/>
  <c r="FS215" i="12"/>
  <c r="IK124" i="12"/>
  <c r="IL124" i="12" s="1"/>
  <c r="FS82" i="12"/>
  <c r="FT46" i="12"/>
  <c r="FT124" i="12"/>
  <c r="FS70" i="12"/>
  <c r="FT138" i="12"/>
  <c r="FS124" i="12"/>
  <c r="IK135" i="12"/>
  <c r="IL135" i="12" s="1"/>
  <c r="IK194" i="12"/>
  <c r="IL194" i="12" s="1"/>
  <c r="FT176" i="12"/>
  <c r="FS172" i="12"/>
  <c r="IK145" i="12"/>
  <c r="IL145" i="12" s="1"/>
  <c r="IK138" i="12"/>
  <c r="IL138" i="12" s="1"/>
  <c r="FS106" i="12"/>
  <c r="IK70" i="12"/>
  <c r="IL70" i="12" s="1"/>
  <c r="FS184" i="12"/>
  <c r="FT113" i="12"/>
  <c r="IK181" i="12"/>
  <c r="IL181" i="12" s="1"/>
  <c r="FT167" i="12"/>
  <c r="IK197" i="12"/>
  <c r="IL197" i="12" s="1"/>
  <c r="IK54" i="12"/>
  <c r="IL54" i="12" s="1"/>
  <c r="IK165" i="12"/>
  <c r="IL165" i="12" s="1"/>
  <c r="FS144" i="12"/>
  <c r="IK125" i="12"/>
  <c r="IL125" i="12" s="1"/>
  <c r="FT114" i="12"/>
  <c r="IK95" i="12"/>
  <c r="IL95" i="12" s="1"/>
  <c r="FS212" i="12"/>
  <c r="FU212" i="12" s="1"/>
  <c r="GR212" i="12" s="1"/>
  <c r="FT145" i="12"/>
  <c r="FS209" i="12"/>
  <c r="FS76" i="12"/>
  <c r="IK106" i="12"/>
  <c r="IL106" i="12" s="1"/>
  <c r="FS110" i="12"/>
  <c r="FS175" i="12"/>
  <c r="IK60" i="12"/>
  <c r="IL60" i="12" s="1"/>
  <c r="FS85" i="12"/>
  <c r="FS206" i="12"/>
  <c r="IK196" i="12"/>
  <c r="IL196" i="12" s="1"/>
  <c r="FT210" i="12"/>
  <c r="FS93" i="12"/>
  <c r="IK57" i="12"/>
  <c r="IL57" i="12" s="1"/>
  <c r="FS69" i="12"/>
  <c r="FS127" i="12"/>
  <c r="FS152" i="12"/>
  <c r="FT109" i="12"/>
  <c r="FS131" i="12"/>
  <c r="FT100" i="12"/>
  <c r="FT36" i="12"/>
  <c r="IK171" i="12"/>
  <c r="IL171" i="12" s="1"/>
  <c r="IK146" i="12"/>
  <c r="IL146" i="12" s="1"/>
  <c r="IK71" i="12"/>
  <c r="IL71" i="12" s="1"/>
  <c r="IK159" i="12"/>
  <c r="IL159" i="12" s="1"/>
  <c r="FT98" i="12"/>
  <c r="FT118" i="12"/>
  <c r="FS134" i="12"/>
  <c r="FS191" i="12"/>
  <c r="FT139" i="12"/>
  <c r="FT37" i="12"/>
  <c r="FT182" i="12"/>
  <c r="FT201" i="12"/>
  <c r="FT141" i="12"/>
  <c r="FS136" i="12"/>
  <c r="IK105" i="12"/>
  <c r="IL105" i="12" s="1"/>
  <c r="IK66" i="12"/>
  <c r="IL66" i="12" s="1"/>
  <c r="FS149" i="12"/>
  <c r="IK85" i="12"/>
  <c r="IL85" i="12" s="1"/>
  <c r="FS176" i="12"/>
  <c r="FS67" i="12"/>
  <c r="FT152" i="12"/>
  <c r="IK180" i="12"/>
  <c r="IL180" i="12" s="1"/>
  <c r="FT131" i="12"/>
  <c r="FS196" i="12"/>
  <c r="FT104" i="12"/>
  <c r="FS108" i="12"/>
  <c r="IK58" i="12"/>
  <c r="IL58" i="12" s="1"/>
  <c r="FT193" i="12"/>
  <c r="FS219" i="12"/>
  <c r="FT165" i="12"/>
  <c r="FT194" i="12"/>
  <c r="IK155" i="12"/>
  <c r="IL155" i="12" s="1"/>
  <c r="FT134" i="12"/>
  <c r="FS173" i="12"/>
  <c r="FT211" i="12"/>
  <c r="FS71" i="12"/>
  <c r="FT123" i="12"/>
  <c r="FS75" i="12"/>
  <c r="FT186" i="12"/>
  <c r="FT102" i="12"/>
  <c r="FS116" i="12"/>
  <c r="FS170" i="12"/>
  <c r="FT213" i="12"/>
  <c r="FS201" i="12"/>
  <c r="FU201" i="12" s="1"/>
  <c r="GR201" i="12" s="1"/>
  <c r="FS213" i="12"/>
  <c r="IK131" i="12"/>
  <c r="IL131" i="12" s="1"/>
  <c r="IK98" i="12"/>
  <c r="IL98" i="12" s="1"/>
  <c r="IK39" i="12"/>
  <c r="IL39" i="12" s="1"/>
  <c r="FT110" i="12"/>
  <c r="FT106" i="12"/>
  <c r="FT220" i="12"/>
  <c r="FS79" i="12"/>
  <c r="IK67" i="12"/>
  <c r="IL67" i="12" s="1"/>
  <c r="IK88" i="12"/>
  <c r="IL88" i="12" s="1"/>
  <c r="FS113" i="12"/>
  <c r="IK139" i="12"/>
  <c r="IL139" i="12" s="1"/>
  <c r="IK80" i="12"/>
  <c r="IL80" i="12" s="1"/>
  <c r="IK68" i="12"/>
  <c r="IL68" i="12" s="1"/>
  <c r="IK199" i="12"/>
  <c r="IL199" i="12" s="1"/>
  <c r="IK187" i="12"/>
  <c r="IL187" i="12" s="1"/>
  <c r="FS59" i="12"/>
  <c r="FT108" i="12"/>
  <c r="FS65" i="12"/>
  <c r="FT185" i="12"/>
  <c r="FS142" i="12"/>
  <c r="IK51" i="12"/>
  <c r="IL51" i="12" s="1"/>
  <c r="IK175" i="12"/>
  <c r="IL175" i="12" s="1"/>
  <c r="IK189" i="12"/>
  <c r="IL189" i="12" s="1"/>
  <c r="FS165" i="12"/>
  <c r="FS194" i="12"/>
  <c r="IK157" i="12"/>
  <c r="IL157" i="12" s="1"/>
  <c r="FT216" i="12"/>
  <c r="FS114" i="12"/>
  <c r="FT173" i="12"/>
  <c r="FS211" i="12"/>
  <c r="FU211" i="12" s="1"/>
  <c r="GR211" i="12" s="1"/>
  <c r="FS169" i="12"/>
  <c r="AV34" i="12"/>
  <c r="AY31" i="12"/>
  <c r="AV36" i="12"/>
  <c r="AY35" i="12"/>
  <c r="AY38" i="12"/>
  <c r="IK37" i="12"/>
  <c r="IL37" i="12" s="1"/>
  <c r="FK61" i="12"/>
  <c r="IK154" i="12"/>
  <c r="IL154" i="12" s="1"/>
  <c r="FT218" i="12"/>
  <c r="FT32" i="12"/>
  <c r="IK65" i="12"/>
  <c r="IL65" i="12" s="1"/>
  <c r="IK129" i="12"/>
  <c r="IL129" i="12" s="1"/>
  <c r="FT103" i="12"/>
  <c r="FT181" i="12"/>
  <c r="FT207" i="12"/>
  <c r="FK33" i="12"/>
  <c r="FS187" i="12"/>
  <c r="IK153" i="12"/>
  <c r="IL153" i="12" s="1"/>
  <c r="FT204" i="12"/>
  <c r="IK161" i="12"/>
  <c r="IL161" i="12" s="1"/>
  <c r="FT206" i="12"/>
  <c r="FT170" i="12"/>
  <c r="IK158" i="12"/>
  <c r="IL158" i="12" s="1"/>
  <c r="FN37" i="12"/>
  <c r="FO37" i="12"/>
  <c r="FN215" i="12"/>
  <c r="FO215" i="12"/>
  <c r="FO198" i="12"/>
  <c r="FN198" i="12"/>
  <c r="FN90" i="12"/>
  <c r="FO90" i="12"/>
  <c r="FN170" i="12"/>
  <c r="FO170" i="12"/>
  <c r="FN180" i="12"/>
  <c r="FO180" i="12"/>
  <c r="FO204" i="12"/>
  <c r="FN204" i="12"/>
  <c r="FO133" i="12"/>
  <c r="FN133" i="12"/>
  <c r="FN54" i="12"/>
  <c r="FO54" i="12"/>
  <c r="FO38" i="12"/>
  <c r="FN38" i="12"/>
  <c r="FO165" i="12"/>
  <c r="FN165" i="12"/>
  <c r="FO210" i="12"/>
  <c r="FN210" i="12"/>
  <c r="GU60" i="12"/>
  <c r="GV60" i="12" s="1"/>
  <c r="FS60" i="12"/>
  <c r="FH87" i="12"/>
  <c r="FI87" i="12"/>
  <c r="FO129" i="12"/>
  <c r="FN129" i="12"/>
  <c r="FO179" i="12"/>
  <c r="FN179" i="12"/>
  <c r="FO167" i="12"/>
  <c r="FN167" i="12"/>
  <c r="FO32" i="12"/>
  <c r="FN32" i="12"/>
  <c r="FH51" i="12"/>
  <c r="FI51" i="12"/>
  <c r="GU214" i="12"/>
  <c r="GV214" i="12" s="1"/>
  <c r="FS214" i="12"/>
  <c r="FU214" i="12" s="1"/>
  <c r="GR214" i="12" s="1"/>
  <c r="GU171" i="12"/>
  <c r="GV171" i="12" s="1"/>
  <c r="FS171" i="12"/>
  <c r="FT171" i="12"/>
  <c r="GU42" i="12"/>
  <c r="GV42" i="12" s="1"/>
  <c r="FN109" i="12"/>
  <c r="FO109" i="12"/>
  <c r="FO125" i="12"/>
  <c r="FN125" i="12"/>
  <c r="FO45" i="12"/>
  <c r="FN45" i="12"/>
  <c r="FO163" i="12"/>
  <c r="FN163" i="12"/>
  <c r="FO190" i="12"/>
  <c r="FN190" i="12"/>
  <c r="FN93" i="12"/>
  <c r="FO93" i="12"/>
  <c r="FO114" i="12"/>
  <c r="FN114" i="12"/>
  <c r="GU153" i="12"/>
  <c r="GV153" i="12" s="1"/>
  <c r="FT153" i="12"/>
  <c r="FS153" i="12"/>
  <c r="FI72" i="12"/>
  <c r="FH72" i="12"/>
  <c r="GU180" i="12"/>
  <c r="GV180" i="12" s="1"/>
  <c r="FS180" i="12"/>
  <c r="FT180" i="12"/>
  <c r="GU117" i="12"/>
  <c r="GV117" i="12" s="1"/>
  <c r="FS117" i="12"/>
  <c r="FT117" i="12"/>
  <c r="FH41" i="12"/>
  <c r="FI41" i="12"/>
  <c r="GU158" i="12"/>
  <c r="GV158" i="12" s="1"/>
  <c r="FS158" i="12"/>
  <c r="FT158" i="12"/>
  <c r="FN178" i="12"/>
  <c r="FO178" i="12"/>
  <c r="FN82" i="12"/>
  <c r="FO82" i="12"/>
  <c r="FO120" i="12"/>
  <c r="FN120" i="12"/>
  <c r="FN44" i="12"/>
  <c r="FO44" i="12"/>
  <c r="FN67" i="12"/>
  <c r="FO67" i="12"/>
  <c r="FO139" i="12"/>
  <c r="FN139" i="12"/>
  <c r="FH70" i="12"/>
  <c r="FI70" i="12"/>
  <c r="FO60" i="12"/>
  <c r="FN60" i="12"/>
  <c r="FN103" i="12"/>
  <c r="FO103" i="12"/>
  <c r="FO169" i="12"/>
  <c r="FN169" i="12"/>
  <c r="FO95" i="12"/>
  <c r="FN95" i="12"/>
  <c r="FI100" i="12"/>
  <c r="FH100" i="12"/>
  <c r="FH53" i="12"/>
  <c r="FI53" i="12"/>
  <c r="FH57" i="12"/>
  <c r="FI57" i="12"/>
  <c r="FH47" i="12"/>
  <c r="FI47" i="12"/>
  <c r="FN83" i="12"/>
  <c r="FO83" i="12"/>
  <c r="FO85" i="12"/>
  <c r="FN85" i="12"/>
  <c r="FN106" i="12"/>
  <c r="FO106" i="12"/>
  <c r="FN192" i="12"/>
  <c r="FO192" i="12"/>
  <c r="FO146" i="12"/>
  <c r="FN146" i="12"/>
  <c r="FN181" i="12"/>
  <c r="FO181" i="12"/>
  <c r="FN123" i="12"/>
  <c r="FO123" i="12"/>
  <c r="FN75" i="12"/>
  <c r="FO75" i="12"/>
  <c r="FH98" i="12"/>
  <c r="FI98" i="12"/>
  <c r="FH86" i="12"/>
  <c r="FI86" i="12"/>
  <c r="FI63" i="12"/>
  <c r="FH63" i="12"/>
  <c r="FI37" i="12"/>
  <c r="FH37" i="12"/>
  <c r="FI58" i="12"/>
  <c r="FH58" i="12"/>
  <c r="FI32" i="12"/>
  <c r="FH32" i="12"/>
  <c r="FN72" i="12"/>
  <c r="FO72" i="12"/>
  <c r="FO84" i="12"/>
  <c r="FN84" i="12"/>
  <c r="FO100" i="12"/>
  <c r="FN100" i="12"/>
  <c r="FN86" i="12"/>
  <c r="FO86" i="12"/>
  <c r="FO79" i="12"/>
  <c r="FN79" i="12"/>
  <c r="FO158" i="12"/>
  <c r="FN158" i="12"/>
  <c r="FI83" i="12"/>
  <c r="FH83" i="12"/>
  <c r="IK130" i="12"/>
  <c r="IL130" i="12" s="1"/>
  <c r="IK77" i="12"/>
  <c r="IL77" i="12" s="1"/>
  <c r="FS87" i="12"/>
  <c r="IK87" i="12"/>
  <c r="IL87" i="12" s="1"/>
  <c r="IK136" i="12"/>
  <c r="IL136" i="12" s="1"/>
  <c r="IK113" i="12"/>
  <c r="IL113" i="12" s="1"/>
  <c r="IK162" i="12"/>
  <c r="IL162" i="12" s="1"/>
  <c r="IK112" i="12"/>
  <c r="IL112" i="12" s="1"/>
  <c r="FT105" i="12"/>
  <c r="FS122" i="12"/>
  <c r="IK90" i="12"/>
  <c r="IL90" i="12" s="1"/>
  <c r="IK120" i="12"/>
  <c r="IL120" i="12" s="1"/>
  <c r="FT44" i="12"/>
  <c r="IK174" i="12"/>
  <c r="IL174" i="12" s="1"/>
  <c r="FS195" i="12"/>
  <c r="IK123" i="12"/>
  <c r="IL123" i="12" s="1"/>
  <c r="FT146" i="12"/>
  <c r="FT95" i="12"/>
  <c r="FK43" i="12"/>
  <c r="FT150" i="12"/>
  <c r="FT120" i="12"/>
  <c r="FS190" i="12"/>
  <c r="IK79" i="12"/>
  <c r="IL79" i="12" s="1"/>
  <c r="IK53" i="12"/>
  <c r="IL53" i="12" s="1"/>
  <c r="IK147" i="12"/>
  <c r="IL147" i="12" s="1"/>
  <c r="IK74" i="12"/>
  <c r="IL74" i="12" s="1"/>
  <c r="FS63" i="12"/>
  <c r="AV42" i="12"/>
  <c r="FO175" i="12"/>
  <c r="FN175" i="12"/>
  <c r="FO128" i="12"/>
  <c r="FN128" i="12"/>
  <c r="FO70" i="12"/>
  <c r="FN70" i="12"/>
  <c r="FN51" i="12"/>
  <c r="FO51" i="12"/>
  <c r="FN122" i="12"/>
  <c r="FO122" i="12"/>
  <c r="FN131" i="12"/>
  <c r="FO131" i="12"/>
  <c r="FN193" i="12"/>
  <c r="FO193" i="12"/>
  <c r="FN56" i="12"/>
  <c r="FO56" i="12"/>
  <c r="FO189" i="12"/>
  <c r="FN189" i="12"/>
  <c r="FO183" i="12"/>
  <c r="FN183" i="12"/>
  <c r="FO177" i="12"/>
  <c r="FN177" i="12"/>
  <c r="FN41" i="12"/>
  <c r="FO41" i="12"/>
  <c r="FO151" i="12"/>
  <c r="FN151" i="12"/>
  <c r="FN209" i="12"/>
  <c r="FO209" i="12"/>
  <c r="FI69" i="12"/>
  <c r="FH69" i="12"/>
  <c r="FH42" i="12"/>
  <c r="FI42" i="12"/>
  <c r="FN132" i="12"/>
  <c r="FO132" i="12"/>
  <c r="FO71" i="12"/>
  <c r="FN71" i="12"/>
  <c r="FO185" i="12"/>
  <c r="FN185" i="12"/>
  <c r="FO102" i="12"/>
  <c r="FN102" i="12"/>
  <c r="FO58" i="12"/>
  <c r="FN58" i="12"/>
  <c r="FI36" i="12"/>
  <c r="FH36" i="12"/>
  <c r="FI89" i="12"/>
  <c r="FH89" i="12"/>
  <c r="FH81" i="12"/>
  <c r="FI81" i="12"/>
  <c r="FI52" i="12"/>
  <c r="FH52" i="12"/>
  <c r="FI62" i="12"/>
  <c r="FH62" i="12"/>
  <c r="FH34" i="12"/>
  <c r="FI34" i="12"/>
  <c r="FH95" i="12"/>
  <c r="FI95" i="12"/>
  <c r="FN105" i="12"/>
  <c r="FO105" i="12"/>
  <c r="FN174" i="12"/>
  <c r="FO174" i="12"/>
  <c r="FN155" i="12"/>
  <c r="FO155" i="12"/>
  <c r="FO144" i="12"/>
  <c r="FN144" i="12"/>
  <c r="FN59" i="12"/>
  <c r="FO59" i="12"/>
  <c r="FN143" i="12"/>
  <c r="FO143" i="12"/>
  <c r="FO187" i="12"/>
  <c r="FN187" i="12"/>
  <c r="FN47" i="12"/>
  <c r="FO47" i="12"/>
  <c r="FH90" i="12"/>
  <c r="FI90" i="12"/>
  <c r="FI71" i="12"/>
  <c r="FH71" i="12"/>
  <c r="FH75" i="12"/>
  <c r="FI75" i="12"/>
  <c r="GV32" i="12"/>
  <c r="FD2" i="12"/>
  <c r="FE2" i="12"/>
  <c r="FD1" i="12"/>
  <c r="FE1" i="12"/>
  <c r="FO153" i="12"/>
  <c r="FN153" i="12"/>
  <c r="FO137" i="12"/>
  <c r="FN137" i="12"/>
  <c r="FN98" i="12"/>
  <c r="FO98" i="12"/>
  <c r="FN127" i="12"/>
  <c r="FO127" i="12"/>
  <c r="FN220" i="12"/>
  <c r="FO220" i="12"/>
  <c r="FN162" i="12"/>
  <c r="FO162" i="12"/>
  <c r="FI84" i="12"/>
  <c r="FH84" i="12"/>
  <c r="FI93" i="12"/>
  <c r="FH93" i="12"/>
  <c r="FI46" i="12"/>
  <c r="FH46" i="12"/>
  <c r="FI88" i="12"/>
  <c r="FH88" i="12"/>
  <c r="FH92" i="12"/>
  <c r="FI92" i="12"/>
  <c r="IK100" i="12"/>
  <c r="IL100" i="12" s="1"/>
  <c r="IK83" i="12"/>
  <c r="IL83" i="12" s="1"/>
  <c r="IK73" i="12"/>
  <c r="IL73" i="12" s="1"/>
  <c r="FT149" i="12"/>
  <c r="IK94" i="12"/>
  <c r="IL94" i="12" s="1"/>
  <c r="FT127" i="12"/>
  <c r="FS157" i="12"/>
  <c r="IK121" i="12"/>
  <c r="IL121" i="12" s="1"/>
  <c r="IK141" i="12"/>
  <c r="IL141" i="12" s="1"/>
  <c r="FT136" i="12"/>
  <c r="IK55" i="12"/>
  <c r="IL55" i="12" s="1"/>
  <c r="IK170" i="12"/>
  <c r="IL170" i="12" s="1"/>
  <c r="IK97" i="12"/>
  <c r="IL97" i="12" s="1"/>
  <c r="FS168" i="12"/>
  <c r="FT172" i="12"/>
  <c r="IK99" i="12"/>
  <c r="IL99" i="12" s="1"/>
  <c r="FS132" i="12"/>
  <c r="IK152" i="12"/>
  <c r="IL152" i="12" s="1"/>
  <c r="IK49" i="12"/>
  <c r="IL49" i="12" s="1"/>
  <c r="FS109" i="12"/>
  <c r="IK150" i="12"/>
  <c r="IL150" i="12" s="1"/>
  <c r="IK166" i="12"/>
  <c r="IL166" i="12" s="1"/>
  <c r="FT178" i="12"/>
  <c r="FT122" i="12"/>
  <c r="FT161" i="12"/>
  <c r="FS174" i="12"/>
  <c r="FT94" i="12"/>
  <c r="FT183" i="12"/>
  <c r="FS121" i="12"/>
  <c r="IK160" i="12"/>
  <c r="IL160" i="12" s="1"/>
  <c r="FS112" i="12"/>
  <c r="IK172" i="12"/>
  <c r="IL172" i="12" s="1"/>
  <c r="FS99" i="12"/>
  <c r="FS104" i="12"/>
  <c r="FT156" i="12"/>
  <c r="FT115" i="12"/>
  <c r="FS129" i="12"/>
  <c r="FT195" i="12"/>
  <c r="FT47" i="12"/>
  <c r="FS146" i="12"/>
  <c r="FS95" i="12"/>
  <c r="FS91" i="12"/>
  <c r="IK34" i="12"/>
  <c r="IL34" i="12" s="1"/>
  <c r="FS150" i="12"/>
  <c r="IK198" i="12"/>
  <c r="IL198" i="12" s="1"/>
  <c r="IK119" i="12"/>
  <c r="IL119" i="12" s="1"/>
  <c r="IK69" i="12"/>
  <c r="IL69" i="12" s="1"/>
  <c r="IK148" i="12"/>
  <c r="IL148" i="12" s="1"/>
  <c r="FS120" i="12"/>
  <c r="FT133" i="12"/>
  <c r="FS205" i="12"/>
  <c r="FT128" i="12"/>
  <c r="FT190" i="12"/>
  <c r="IK110" i="12"/>
  <c r="IL110" i="12" s="1"/>
  <c r="FS111" i="12"/>
  <c r="FS177" i="12"/>
  <c r="IK116" i="12"/>
  <c r="IL116" i="12" s="1"/>
  <c r="IK75" i="12"/>
  <c r="IL75" i="12" s="1"/>
  <c r="IK81" i="12"/>
  <c r="IL81" i="12" s="1"/>
  <c r="IK104" i="12"/>
  <c r="IL104" i="12" s="1"/>
  <c r="IK42" i="12"/>
  <c r="IL42" i="12" s="1"/>
  <c r="FT107" i="12"/>
  <c r="IK107" i="12"/>
  <c r="IL107" i="12" s="1"/>
  <c r="IK91" i="12"/>
  <c r="IL91" i="12" s="1"/>
  <c r="FS154" i="12"/>
  <c r="IK103" i="12"/>
  <c r="IL103" i="12" s="1"/>
  <c r="FS123" i="12"/>
  <c r="IK191" i="12"/>
  <c r="IL191" i="12" s="1"/>
  <c r="IK186" i="12"/>
  <c r="IL186" i="12" s="1"/>
  <c r="FT169" i="12"/>
  <c r="IK47" i="12"/>
  <c r="IL47" i="12" s="1"/>
  <c r="AV41" i="12"/>
  <c r="IK134" i="12"/>
  <c r="IL134" i="12" s="1"/>
  <c r="FT199" i="12"/>
  <c r="FS182" i="12"/>
  <c r="FS186" i="12"/>
  <c r="FS102" i="12"/>
  <c r="IK169" i="12"/>
  <c r="IL169" i="12" s="1"/>
  <c r="FT45" i="12"/>
  <c r="IK108" i="12"/>
  <c r="IL108" i="12" s="1"/>
  <c r="FS207" i="12"/>
  <c r="IK48" i="12"/>
  <c r="IL48" i="12" s="1"/>
  <c r="FT187" i="12"/>
  <c r="FT215" i="12"/>
  <c r="IK178" i="12"/>
  <c r="IL178" i="12" s="1"/>
  <c r="FS119" i="12"/>
  <c r="FS204" i="12"/>
  <c r="FS159" i="12"/>
  <c r="FT148" i="12"/>
  <c r="FT140" i="12"/>
  <c r="FT175" i="12"/>
  <c r="FS135" i="12"/>
  <c r="FS77" i="12"/>
  <c r="FS210" i="12"/>
  <c r="FT93" i="12"/>
  <c r="FT188" i="12"/>
  <c r="IK184" i="12"/>
  <c r="IL184" i="12" s="1"/>
  <c r="FS151" i="12"/>
  <c r="FH44" i="12"/>
  <c r="FI44" i="12"/>
  <c r="FI94" i="12"/>
  <c r="FH94" i="12"/>
  <c r="FH97" i="12"/>
  <c r="FI97" i="12"/>
  <c r="FH96" i="12"/>
  <c r="FI96" i="12"/>
  <c r="FI65" i="12"/>
  <c r="FH65" i="12"/>
  <c r="FH91" i="12"/>
  <c r="FI91" i="12"/>
  <c r="FN73" i="12"/>
  <c r="FO73" i="12"/>
  <c r="FN203" i="12"/>
  <c r="FO203" i="12"/>
  <c r="FO136" i="12"/>
  <c r="FN136" i="12"/>
  <c r="FN160" i="12"/>
  <c r="FO160" i="12"/>
  <c r="FO108" i="12"/>
  <c r="FN108" i="12"/>
  <c r="FN199" i="12"/>
  <c r="FO199" i="12"/>
  <c r="FN78" i="12"/>
  <c r="FO78" i="12"/>
  <c r="FN182" i="12"/>
  <c r="FO182" i="12"/>
  <c r="FN42" i="12"/>
  <c r="FO42" i="12"/>
  <c r="FN142" i="12"/>
  <c r="FO142" i="12"/>
  <c r="FH80" i="12"/>
  <c r="FI80" i="12"/>
  <c r="FI35" i="12"/>
  <c r="FH35" i="12"/>
  <c r="FN66" i="12"/>
  <c r="FO66" i="12"/>
  <c r="FN130" i="12"/>
  <c r="FO130" i="12"/>
  <c r="FN135" i="12"/>
  <c r="FO135" i="12"/>
  <c r="FN121" i="12"/>
  <c r="FO121" i="12"/>
  <c r="FO57" i="12"/>
  <c r="FN57" i="12"/>
  <c r="FN184" i="12"/>
  <c r="FO184" i="12"/>
  <c r="FI66" i="12"/>
  <c r="FH66" i="12"/>
  <c r="FI56" i="12"/>
  <c r="FH56" i="12"/>
  <c r="FH39" i="12"/>
  <c r="FI39" i="12"/>
  <c r="FI38" i="12"/>
  <c r="FH38" i="12"/>
  <c r="FH77" i="12"/>
  <c r="FI77" i="12"/>
  <c r="IK82" i="12"/>
  <c r="IL82" i="12" s="1"/>
  <c r="FS161" i="12"/>
  <c r="IK133" i="12"/>
  <c r="IL133" i="12" s="1"/>
  <c r="FS100" i="12"/>
  <c r="IK56" i="12"/>
  <c r="IL56" i="12" s="1"/>
  <c r="FT174" i="12"/>
  <c r="FS94" i="12"/>
  <c r="FT196" i="12"/>
  <c r="IK46" i="12"/>
  <c r="IL46" i="12" s="1"/>
  <c r="IK36" i="12"/>
  <c r="IL36" i="12" s="1"/>
  <c r="FS89" i="12"/>
  <c r="FT112" i="12"/>
  <c r="FS164" i="12"/>
  <c r="FS192" i="12"/>
  <c r="FT99" i="12"/>
  <c r="IK59" i="12"/>
  <c r="IL59" i="12" s="1"/>
  <c r="FS217" i="12"/>
  <c r="FS156" i="12"/>
  <c r="FS115" i="12"/>
  <c r="FT129" i="12"/>
  <c r="FS62" i="12"/>
  <c r="FS126" i="12"/>
  <c r="IK63" i="12"/>
  <c r="IL63" i="12" s="1"/>
  <c r="FS143" i="12"/>
  <c r="IK64" i="12"/>
  <c r="IL64" i="12" s="1"/>
  <c r="IK115" i="12"/>
  <c r="IL115" i="12" s="1"/>
  <c r="FS185" i="12"/>
  <c r="FT142" i="12"/>
  <c r="IK96" i="12"/>
  <c r="IL96" i="12" s="1"/>
  <c r="FS78" i="12"/>
  <c r="IK167" i="12"/>
  <c r="IL167" i="12" s="1"/>
  <c r="IK72" i="12"/>
  <c r="IL72" i="12" s="1"/>
  <c r="IK122" i="12"/>
  <c r="IL122" i="12" s="1"/>
  <c r="FS90" i="12"/>
  <c r="FS133" i="12"/>
  <c r="FS163" i="12"/>
  <c r="FS130" i="12"/>
  <c r="FS98" i="12"/>
  <c r="FS193" i="12"/>
  <c r="IK193" i="12"/>
  <c r="IL193" i="12" s="1"/>
  <c r="FT205" i="12"/>
  <c r="IK44" i="12"/>
  <c r="IL44" i="12" s="1"/>
  <c r="FT219" i="12"/>
  <c r="FS128" i="12"/>
  <c r="IK149" i="12"/>
  <c r="IL149" i="12" s="1"/>
  <c r="IK183" i="12"/>
  <c r="IL183" i="12" s="1"/>
  <c r="FS86" i="12"/>
  <c r="FS155" i="12"/>
  <c r="FS118" i="12"/>
  <c r="FT111" i="12"/>
  <c r="FT177" i="12"/>
  <c r="IK177" i="12"/>
  <c r="IL177" i="12" s="1"/>
  <c r="IK89" i="12"/>
  <c r="IL89" i="12" s="1"/>
  <c r="FS107" i="12"/>
  <c r="FT154" i="12"/>
  <c r="FS197" i="12"/>
  <c r="FS179" i="12"/>
  <c r="AY42" i="12"/>
  <c r="AY41" i="12"/>
  <c r="FT209" i="12"/>
  <c r="FJ61" i="12"/>
  <c r="FT119" i="12"/>
  <c r="FT159" i="12"/>
  <c r="FS148" i="12"/>
  <c r="FS83" i="12"/>
  <c r="FS84" i="12"/>
  <c r="FS140" i="12"/>
  <c r="FT38" i="12"/>
  <c r="IK128" i="12"/>
  <c r="IL128" i="12" s="1"/>
  <c r="FT208" i="12"/>
  <c r="FT147" i="12"/>
  <c r="FS202" i="12"/>
  <c r="FO53" i="12"/>
  <c r="FN53" i="12"/>
  <c r="FO101" i="12"/>
  <c r="FN101" i="12"/>
  <c r="FN80" i="12"/>
  <c r="FO80" i="12"/>
  <c r="FH60" i="12"/>
  <c r="FI60" i="12"/>
  <c r="FH67" i="12"/>
  <c r="FI67" i="12"/>
  <c r="FN94" i="12"/>
  <c r="FO94" i="12"/>
  <c r="FN35" i="12"/>
  <c r="FO35" i="12"/>
  <c r="FN62" i="12"/>
  <c r="FO62" i="12"/>
  <c r="FO186" i="12"/>
  <c r="FN186" i="12"/>
  <c r="FH73" i="12"/>
  <c r="FI73" i="12"/>
  <c r="FH79" i="12"/>
  <c r="FI79" i="12"/>
  <c r="FH55" i="12"/>
  <c r="FI55" i="12"/>
  <c r="FH99" i="12"/>
  <c r="FI99" i="12"/>
  <c r="FH50" i="12"/>
  <c r="FI50" i="12"/>
  <c r="FH48" i="12"/>
  <c r="FI48" i="12"/>
  <c r="FI59" i="12"/>
  <c r="FH59" i="12"/>
  <c r="FH78" i="12"/>
  <c r="FI78" i="12"/>
  <c r="FN161" i="12"/>
  <c r="FO161" i="12"/>
  <c r="FO196" i="12"/>
  <c r="FN196" i="12"/>
  <c r="FN118" i="12"/>
  <c r="FO118" i="12"/>
  <c r="FO36" i="12"/>
  <c r="FN36" i="12"/>
  <c r="FO50" i="12"/>
  <c r="FN50" i="12"/>
  <c r="FO91" i="12"/>
  <c r="FN91" i="12"/>
  <c r="FN195" i="12"/>
  <c r="FO195" i="12"/>
  <c r="FN63" i="12"/>
  <c r="FO63" i="12"/>
  <c r="FO207" i="12"/>
  <c r="FN207" i="12"/>
  <c r="FI54" i="12"/>
  <c r="FH54" i="12"/>
  <c r="FI49" i="12"/>
  <c r="FH49" i="12"/>
  <c r="FH68" i="12"/>
  <c r="FI68" i="12"/>
  <c r="FI64" i="12"/>
  <c r="FH64" i="12"/>
  <c r="FI45" i="12"/>
  <c r="FH45" i="12"/>
  <c r="FO166" i="12"/>
  <c r="FN166" i="12"/>
  <c r="FO140" i="12"/>
  <c r="FN140" i="12"/>
  <c r="FN205" i="12"/>
  <c r="FO205" i="12"/>
  <c r="FN77" i="12"/>
  <c r="FO77" i="12"/>
  <c r="FN157" i="12"/>
  <c r="FO157" i="12"/>
  <c r="FO55" i="12"/>
  <c r="FN55" i="12"/>
  <c r="FN88" i="12"/>
  <c r="FO88" i="12"/>
  <c r="FH82" i="12"/>
  <c r="FI82" i="12"/>
  <c r="FI85" i="12"/>
  <c r="FH85" i="12"/>
  <c r="FI76" i="12"/>
  <c r="FH76" i="12"/>
  <c r="FH74" i="12"/>
  <c r="FI74" i="12"/>
  <c r="IK132" i="12"/>
  <c r="IL132" i="12" s="1"/>
  <c r="IK50" i="12"/>
  <c r="IL50" i="12" s="1"/>
  <c r="FS105" i="12"/>
  <c r="IK86" i="12"/>
  <c r="IL86" i="12" s="1"/>
  <c r="FS220" i="12"/>
  <c r="IK111" i="12"/>
  <c r="IL111" i="12" s="1"/>
  <c r="IK93" i="12"/>
  <c r="IL93" i="12" s="1"/>
  <c r="FT164" i="12"/>
  <c r="FT192" i="12"/>
  <c r="FT217" i="12"/>
  <c r="FT179" i="12"/>
  <c r="IK185" i="12"/>
  <c r="IL185" i="12" s="1"/>
  <c r="FT191" i="12"/>
  <c r="IK182" i="12"/>
  <c r="IL182" i="12" s="1"/>
  <c r="IK102" i="12"/>
  <c r="IL102" i="12" s="1"/>
  <c r="AY40" i="12"/>
  <c r="FS139" i="12"/>
  <c r="IK164" i="12"/>
  <c r="IL164" i="12" s="1"/>
  <c r="IK62" i="12"/>
  <c r="IL62" i="12" s="1"/>
  <c r="FS218" i="12"/>
  <c r="IK143" i="12"/>
  <c r="IL143" i="12" s="1"/>
  <c r="FS64" i="12"/>
  <c r="FS58" i="12"/>
  <c r="IK35" i="12"/>
  <c r="IL35" i="12" s="1"/>
  <c r="FS181" i="12"/>
  <c r="IK179" i="12"/>
  <c r="IL179" i="12" s="1"/>
  <c r="FK40" i="12"/>
  <c r="FJ33" i="12"/>
  <c r="IK109" i="12"/>
  <c r="IL109" i="12" s="1"/>
  <c r="FT39" i="12"/>
  <c r="IK118" i="12"/>
  <c r="IL118" i="12" s="1"/>
  <c r="IK41" i="12"/>
  <c r="IL41" i="12" s="1"/>
  <c r="FS88" i="12"/>
  <c r="FS208" i="12"/>
  <c r="FS92" i="12"/>
  <c r="FS147" i="12"/>
  <c r="FT202" i="12"/>
  <c r="FT116" i="12"/>
  <c r="FQ142" i="12"/>
  <c r="ER110" i="12" l="1"/>
  <c r="ES110" i="12" s="1"/>
  <c r="AQ37" i="12"/>
  <c r="FK114" i="12"/>
  <c r="FL114" i="12" s="1"/>
  <c r="FK111" i="12"/>
  <c r="FL111" i="12" s="1"/>
  <c r="FJ106" i="12"/>
  <c r="FL106" i="12" s="1"/>
  <c r="FJ112" i="12"/>
  <c r="FL112" i="12" s="1"/>
  <c r="FL24" i="12"/>
  <c r="FJ116" i="12"/>
  <c r="FL116" i="12" s="1"/>
  <c r="FK103" i="12"/>
  <c r="FL103" i="12" s="1"/>
  <c r="FU197" i="12"/>
  <c r="GR197" i="12" s="1"/>
  <c r="FL5" i="12"/>
  <c r="FL25" i="12"/>
  <c r="FQ106" i="12"/>
  <c r="FQ107" i="12" s="1"/>
  <c r="FJ109" i="12"/>
  <c r="FL109" i="12" s="1"/>
  <c r="FL108" i="12"/>
  <c r="FL118" i="12"/>
  <c r="FL113" i="12"/>
  <c r="FK115" i="12"/>
  <c r="FL115" i="12" s="1"/>
  <c r="FK119" i="12"/>
  <c r="FL119" i="12" s="1"/>
  <c r="FK105" i="12"/>
  <c r="FL105" i="12" s="1"/>
  <c r="FK102" i="12"/>
  <c r="FL102" i="12" s="1"/>
  <c r="FK110" i="12"/>
  <c r="FL110" i="12" s="1"/>
  <c r="FJ101" i="12"/>
  <c r="FL101" i="12" s="1"/>
  <c r="FJ117" i="12"/>
  <c r="FL117" i="12" s="1"/>
  <c r="FK104" i="12"/>
  <c r="FL104" i="12" s="1"/>
  <c r="FL107" i="12"/>
  <c r="FL120" i="12"/>
  <c r="FF1" i="12"/>
  <c r="GU96" i="12"/>
  <c r="GV96" i="12" s="1"/>
  <c r="ER124" i="12"/>
  <c r="FL22" i="12"/>
  <c r="ER140" i="12"/>
  <c r="ES140" i="12" s="1"/>
  <c r="ER138" i="12"/>
  <c r="ES138" i="12" s="1"/>
  <c r="FU203" i="12"/>
  <c r="GR203" i="12" s="1"/>
  <c r="FL26" i="12"/>
  <c r="FL40" i="12"/>
  <c r="FU218" i="12"/>
  <c r="GR218" i="12" s="1"/>
  <c r="FL6" i="12"/>
  <c r="FU191" i="12"/>
  <c r="GR191" i="12" s="1"/>
  <c r="FL61" i="12"/>
  <c r="FU210" i="12"/>
  <c r="GR210" i="12" s="1"/>
  <c r="FU204" i="12"/>
  <c r="GR204" i="12" s="1"/>
  <c r="AQ38" i="12"/>
  <c r="FU216" i="12"/>
  <c r="GR216" i="12" s="1"/>
  <c r="FU188" i="12"/>
  <c r="GR188" i="12" s="1"/>
  <c r="FU207" i="12"/>
  <c r="GR207" i="12" s="1"/>
  <c r="FL19" i="12"/>
  <c r="FU220" i="12"/>
  <c r="GR220" i="12" s="1"/>
  <c r="FU208" i="12"/>
  <c r="GR208" i="12" s="1"/>
  <c r="FL33" i="12"/>
  <c r="FU213" i="12"/>
  <c r="GR213" i="12" s="1"/>
  <c r="FU198" i="12"/>
  <c r="GR198" i="12" s="1"/>
  <c r="FU219" i="12"/>
  <c r="GR219" i="12" s="1"/>
  <c r="FU215" i="12"/>
  <c r="GR215" i="12" s="1"/>
  <c r="FU217" i="12"/>
  <c r="GR217" i="12" s="1"/>
  <c r="AS51" i="12"/>
  <c r="AS52" i="12" s="1"/>
  <c r="AV40" i="12"/>
  <c r="FU187" i="12"/>
  <c r="GR187" i="12" s="1"/>
  <c r="FU194" i="12"/>
  <c r="GR194" i="12" s="1"/>
  <c r="FL17" i="12"/>
  <c r="FU199" i="12"/>
  <c r="GR199" i="12" s="1"/>
  <c r="FL29" i="12"/>
  <c r="FL4" i="12"/>
  <c r="FL20" i="12"/>
  <c r="FU209" i="12"/>
  <c r="GR209" i="12" s="1"/>
  <c r="FL15" i="12"/>
  <c r="FU93" i="12"/>
  <c r="GR93" i="12" s="1"/>
  <c r="FL23" i="12"/>
  <c r="FU193" i="12"/>
  <c r="GR193" i="12" s="1"/>
  <c r="FU196" i="12"/>
  <c r="GR196" i="12" s="1"/>
  <c r="AV43" i="12"/>
  <c r="FU205" i="12"/>
  <c r="GR205" i="12" s="1"/>
  <c r="FL3" i="12"/>
  <c r="FK32" i="12"/>
  <c r="FJ86" i="12"/>
  <c r="FJ53" i="12"/>
  <c r="FJ70" i="12"/>
  <c r="FL11" i="12"/>
  <c r="FL8" i="12"/>
  <c r="FU189" i="12"/>
  <c r="GR189" i="12" s="1"/>
  <c r="FL7" i="12"/>
  <c r="FL27" i="12"/>
  <c r="FL9" i="12"/>
  <c r="FL18" i="12"/>
  <c r="FL21" i="12"/>
  <c r="FU200" i="12"/>
  <c r="GR200" i="12" s="1"/>
  <c r="FL30" i="12"/>
  <c r="FJ58" i="12"/>
  <c r="FJ63" i="12"/>
  <c r="FK98" i="12"/>
  <c r="FK57" i="12"/>
  <c r="FJ100" i="12"/>
  <c r="FU190" i="12"/>
  <c r="GR190" i="12" s="1"/>
  <c r="FU206" i="12"/>
  <c r="GR206" i="12" s="1"/>
  <c r="FJ82" i="12"/>
  <c r="FU195" i="12"/>
  <c r="GR195" i="12" s="1"/>
  <c r="FK83" i="12"/>
  <c r="FJ41" i="12"/>
  <c r="FJ39" i="12"/>
  <c r="FJ85" i="12"/>
  <c r="FK82" i="12"/>
  <c r="FJ95" i="12"/>
  <c r="FJ75" i="12"/>
  <c r="FK52" i="12"/>
  <c r="FK89" i="12"/>
  <c r="FK69" i="12"/>
  <c r="FK64" i="12"/>
  <c r="FJ59" i="12"/>
  <c r="FK56" i="12"/>
  <c r="FJ35" i="12"/>
  <c r="FK91" i="12"/>
  <c r="FK96" i="12"/>
  <c r="FK94" i="12"/>
  <c r="FK39" i="12"/>
  <c r="FJ66" i="12"/>
  <c r="FK80" i="12"/>
  <c r="FJ65" i="12"/>
  <c r="FK97" i="12"/>
  <c r="FK44" i="12"/>
  <c r="FK88" i="12"/>
  <c r="FK93" i="12"/>
  <c r="FK62" i="12"/>
  <c r="FJ81" i="12"/>
  <c r="FK36" i="12"/>
  <c r="FJ76" i="12"/>
  <c r="FK54" i="12"/>
  <c r="FJ78" i="12"/>
  <c r="FJ48" i="12"/>
  <c r="FJ99" i="12"/>
  <c r="FJ79" i="12"/>
  <c r="FJ67" i="12"/>
  <c r="FK75" i="12"/>
  <c r="FK51" i="12"/>
  <c r="FK74" i="12"/>
  <c r="FK86" i="12"/>
  <c r="FJ71" i="12"/>
  <c r="FK95" i="12"/>
  <c r="FJ34" i="12"/>
  <c r="FJ52" i="12"/>
  <c r="FJ89" i="12"/>
  <c r="FK63" i="12"/>
  <c r="FJ98" i="12"/>
  <c r="FJ87" i="12"/>
  <c r="FK68" i="12"/>
  <c r="FK77" i="12"/>
  <c r="FJ90" i="12"/>
  <c r="FK34" i="12"/>
  <c r="FK85" i="12"/>
  <c r="FL85" i="12" s="1"/>
  <c r="FK49" i="12"/>
  <c r="FK38" i="12"/>
  <c r="FJ56" i="12"/>
  <c r="FK66" i="12"/>
  <c r="FK92" i="12"/>
  <c r="FJ46" i="12"/>
  <c r="FJ84" i="12"/>
  <c r="FJ62" i="12"/>
  <c r="FK81" i="12"/>
  <c r="FJ36" i="12"/>
  <c r="FK42" i="12"/>
  <c r="FK41" i="12"/>
  <c r="FJ72" i="12"/>
  <c r="FK76" i="12"/>
  <c r="FJ64" i="12"/>
  <c r="FJ54" i="12"/>
  <c r="FK59" i="12"/>
  <c r="FJ50" i="12"/>
  <c r="FJ55" i="12"/>
  <c r="FJ73" i="12"/>
  <c r="FJ60" i="12"/>
  <c r="FJ38" i="12"/>
  <c r="FJ92" i="12"/>
  <c r="FK46" i="12"/>
  <c r="FK84" i="12"/>
  <c r="FJ69" i="12"/>
  <c r="FJ83" i="12"/>
  <c r="FJ32" i="12"/>
  <c r="FK58" i="12"/>
  <c r="FK47" i="12"/>
  <c r="FK53" i="12"/>
  <c r="FK70" i="12"/>
  <c r="FJ74" i="12"/>
  <c r="FJ68" i="12"/>
  <c r="FJ77" i="12"/>
  <c r="FJ80" i="12"/>
  <c r="FK71" i="12"/>
  <c r="FJ42" i="12"/>
  <c r="FJ37" i="12"/>
  <c r="FJ57" i="12"/>
  <c r="FK100" i="12"/>
  <c r="FJ51" i="12"/>
  <c r="FK45" i="12"/>
  <c r="FJ49" i="12"/>
  <c r="FK78" i="12"/>
  <c r="FK48" i="12"/>
  <c r="FK79" i="12"/>
  <c r="FK67" i="12"/>
  <c r="FK35" i="12"/>
  <c r="FJ91" i="12"/>
  <c r="FJ96" i="12"/>
  <c r="FJ88" i="12"/>
  <c r="FJ93" i="12"/>
  <c r="FK90" i="12"/>
  <c r="FK37" i="12"/>
  <c r="FK87" i="12"/>
  <c r="FK50" i="12"/>
  <c r="FK99" i="12"/>
  <c r="FK55" i="12"/>
  <c r="FK73" i="12"/>
  <c r="FK60" i="12"/>
  <c r="FU202" i="12"/>
  <c r="GR202" i="12" s="1"/>
  <c r="FU192" i="12"/>
  <c r="GR192" i="12" s="1"/>
  <c r="IO199" i="12"/>
  <c r="IP199" i="12" s="1"/>
  <c r="IQ199" i="12" s="1"/>
  <c r="IO173" i="12"/>
  <c r="IP173" i="12" s="1"/>
  <c r="IQ173" i="12" s="1"/>
  <c r="IO98" i="12"/>
  <c r="IP98" i="12" s="1"/>
  <c r="IQ98" i="12" s="1"/>
  <c r="IO67" i="12"/>
  <c r="IP67" i="12" s="1"/>
  <c r="IQ67" i="12" s="1"/>
  <c r="IO178" i="12"/>
  <c r="IP178" i="12" s="1"/>
  <c r="IQ178" i="12" s="1"/>
  <c r="IO92" i="12"/>
  <c r="IP92" i="12" s="1"/>
  <c r="IQ92" i="12" s="1"/>
  <c r="IO90" i="12"/>
  <c r="IP90" i="12" s="1"/>
  <c r="IQ90" i="12" s="1"/>
  <c r="IO192" i="12"/>
  <c r="IP192" i="12" s="1"/>
  <c r="IQ192" i="12" s="1"/>
  <c r="IO101" i="12"/>
  <c r="IP101" i="12" s="1"/>
  <c r="IQ101" i="12" s="1"/>
  <c r="IO164" i="12"/>
  <c r="IP164" i="12" s="1"/>
  <c r="IQ164" i="12" s="1"/>
  <c r="IO77" i="12"/>
  <c r="IP77" i="12" s="1"/>
  <c r="IQ77" i="12" s="1"/>
  <c r="IO193" i="12"/>
  <c r="IP193" i="12" s="1"/>
  <c r="IQ193" i="12" s="1"/>
  <c r="IO150" i="12"/>
  <c r="IP150" i="12" s="1"/>
  <c r="IQ150" i="12" s="1"/>
  <c r="IO53" i="12"/>
  <c r="IP53" i="12" s="1"/>
  <c r="IQ53" i="12" s="1"/>
  <c r="IO89" i="12"/>
  <c r="IP89" i="12" s="1"/>
  <c r="IQ89" i="12" s="1"/>
  <c r="IO184" i="12"/>
  <c r="IP184" i="12" s="1"/>
  <c r="IQ184" i="12" s="1"/>
  <c r="IO73" i="12"/>
  <c r="IP73" i="12" s="1"/>
  <c r="IQ73" i="12" s="1"/>
  <c r="IO179" i="12"/>
  <c r="IP179" i="12" s="1"/>
  <c r="IQ179" i="12" s="1"/>
  <c r="IO56" i="12"/>
  <c r="IP56" i="12" s="1"/>
  <c r="IQ56" i="12" s="1"/>
  <c r="IO112" i="12"/>
  <c r="IP112" i="12" s="1"/>
  <c r="IQ112" i="12" s="1"/>
  <c r="IO24" i="12"/>
  <c r="IP24" i="12" s="1"/>
  <c r="IQ24" i="12" s="1"/>
  <c r="IO35" i="12"/>
  <c r="IP35" i="12" s="1"/>
  <c r="IQ35" i="12" s="1"/>
  <c r="IO97" i="12"/>
  <c r="IP97" i="12" s="1"/>
  <c r="IQ97" i="12" s="1"/>
  <c r="IO176" i="12"/>
  <c r="IP176" i="12" s="1"/>
  <c r="IQ176" i="12" s="1"/>
  <c r="IO122" i="12"/>
  <c r="IP122" i="12" s="1"/>
  <c r="IQ122" i="12" s="1"/>
  <c r="IO118" i="12"/>
  <c r="IP118" i="12" s="1"/>
  <c r="IQ118" i="12" s="1"/>
  <c r="IO125" i="12"/>
  <c r="IP125" i="12" s="1"/>
  <c r="IQ125" i="12" s="1"/>
  <c r="IO51" i="12"/>
  <c r="IP51" i="12" s="1"/>
  <c r="IQ51" i="12" s="1"/>
  <c r="IO45" i="12"/>
  <c r="IP45" i="12" s="1"/>
  <c r="IQ45" i="12" s="1"/>
  <c r="IO167" i="12"/>
  <c r="IP167" i="12" s="1"/>
  <c r="IQ167" i="12" s="1"/>
  <c r="IO111" i="12"/>
  <c r="IP111" i="12" s="1"/>
  <c r="IQ111" i="12" s="1"/>
  <c r="IO32" i="12"/>
  <c r="IP32" i="12" s="1"/>
  <c r="IQ32" i="12" s="1"/>
  <c r="IO136" i="12"/>
  <c r="IP136" i="12" s="1"/>
  <c r="IQ136" i="12" s="1"/>
  <c r="IO198" i="12"/>
  <c r="IP198" i="12" s="1"/>
  <c r="IQ198" i="12" s="1"/>
  <c r="IO172" i="12"/>
  <c r="IP172" i="12" s="1"/>
  <c r="IQ172" i="12" s="1"/>
  <c r="IO120" i="12"/>
  <c r="IP120" i="12" s="1"/>
  <c r="IQ120" i="12" s="1"/>
  <c r="IO105" i="12"/>
  <c r="IP105" i="12" s="1"/>
  <c r="IQ105" i="12" s="1"/>
  <c r="IO131" i="12"/>
  <c r="IP131" i="12" s="1"/>
  <c r="IQ131" i="12" s="1"/>
  <c r="IO171" i="12"/>
  <c r="IP171" i="12" s="1"/>
  <c r="IQ171" i="12" s="1"/>
  <c r="IO123" i="12"/>
  <c r="IP123" i="12" s="1"/>
  <c r="IQ123" i="12" s="1"/>
  <c r="IO126" i="12"/>
  <c r="IP126" i="12" s="1"/>
  <c r="IQ126" i="12" s="1"/>
  <c r="IO20" i="12"/>
  <c r="IP20" i="12" s="1"/>
  <c r="IQ20" i="12" s="1"/>
  <c r="IO117" i="12"/>
  <c r="IP117" i="12" s="1"/>
  <c r="IQ117" i="12" s="1"/>
  <c r="IO34" i="12"/>
  <c r="IP34" i="12" s="1"/>
  <c r="IQ34" i="12" s="1"/>
  <c r="IO155" i="12"/>
  <c r="IP155" i="12" s="1"/>
  <c r="IQ155" i="12" s="1"/>
  <c r="IO106" i="12"/>
  <c r="IP106" i="12" s="1"/>
  <c r="IQ106" i="12" s="1"/>
  <c r="IO107" i="12"/>
  <c r="IP107" i="12" s="1"/>
  <c r="IQ107" i="12" s="1"/>
  <c r="IO69" i="12"/>
  <c r="IP69" i="12" s="1"/>
  <c r="IQ69" i="12" s="1"/>
  <c r="IO33" i="12"/>
  <c r="IP33" i="12" s="1"/>
  <c r="IQ33" i="12" s="1"/>
  <c r="IO108" i="12"/>
  <c r="IP108" i="12" s="1"/>
  <c r="IQ108" i="12" s="1"/>
  <c r="IO119" i="12"/>
  <c r="IP119" i="12" s="1"/>
  <c r="IQ119" i="12" s="1"/>
  <c r="IO156" i="12"/>
  <c r="IP156" i="12" s="1"/>
  <c r="IQ156" i="12" s="1"/>
  <c r="IO59" i="12"/>
  <c r="IP59" i="12" s="1"/>
  <c r="IQ59" i="12" s="1"/>
  <c r="IO22" i="12"/>
  <c r="IP22" i="12" s="1"/>
  <c r="IQ22" i="12" s="1"/>
  <c r="IO29" i="12"/>
  <c r="IP29" i="12" s="1"/>
  <c r="IQ29" i="12" s="1"/>
  <c r="IO75" i="12"/>
  <c r="IP75" i="12" s="1"/>
  <c r="IQ75" i="12" s="1"/>
  <c r="IO133" i="12"/>
  <c r="IP133" i="12" s="1"/>
  <c r="IQ133" i="12" s="1"/>
  <c r="IO37" i="12"/>
  <c r="IP37" i="12" s="1"/>
  <c r="IQ37" i="12" s="1"/>
  <c r="IO72" i="12"/>
  <c r="IP72" i="12" s="1"/>
  <c r="IQ72" i="12" s="1"/>
  <c r="IO95" i="12"/>
  <c r="IP95" i="12" s="1"/>
  <c r="IQ95" i="12" s="1"/>
  <c r="IO76" i="12"/>
  <c r="IP76" i="12" s="1"/>
  <c r="IQ76" i="12" s="1"/>
  <c r="IO141" i="12"/>
  <c r="IP141" i="12" s="1"/>
  <c r="IQ141" i="12" s="1"/>
  <c r="IO149" i="12"/>
  <c r="IP149" i="12" s="1"/>
  <c r="IQ149" i="12" s="1"/>
  <c r="IO194" i="12"/>
  <c r="IP194" i="12" s="1"/>
  <c r="IQ194" i="12" s="1"/>
  <c r="IO183" i="12"/>
  <c r="IP183" i="12" s="1"/>
  <c r="IQ183" i="12" s="1"/>
  <c r="IO23" i="12"/>
  <c r="IP23" i="12" s="1"/>
  <c r="IQ23" i="12" s="1"/>
  <c r="IO54" i="12"/>
  <c r="IP54" i="12" s="1"/>
  <c r="IQ54" i="12" s="1"/>
  <c r="IO36" i="12"/>
  <c r="IP36" i="12" s="1"/>
  <c r="IQ36" i="12" s="1"/>
  <c r="IO80" i="12"/>
  <c r="IP80" i="12" s="1"/>
  <c r="IQ80" i="12" s="1"/>
  <c r="IO114" i="12"/>
  <c r="IP114" i="12" s="1"/>
  <c r="IQ114" i="12" s="1"/>
  <c r="IO180" i="12"/>
  <c r="IP180" i="12" s="1"/>
  <c r="IQ180" i="12" s="1"/>
  <c r="IO110" i="12"/>
  <c r="IP110" i="12" s="1"/>
  <c r="IQ110" i="12" s="1"/>
  <c r="IO38" i="12"/>
  <c r="IP38" i="12" s="1"/>
  <c r="IQ38" i="12" s="1"/>
  <c r="IO86" i="12"/>
  <c r="IP86" i="12" s="1"/>
  <c r="IQ86" i="12" s="1"/>
  <c r="FK65" i="12"/>
  <c r="FJ97" i="12"/>
  <c r="FJ94" i="12"/>
  <c r="FJ44" i="12"/>
  <c r="AR38" i="12"/>
  <c r="IO144" i="12"/>
  <c r="IP144" i="12" s="1"/>
  <c r="IQ144" i="12" s="1"/>
  <c r="IO185" i="12"/>
  <c r="IP185" i="12" s="1"/>
  <c r="IQ185" i="12" s="1"/>
  <c r="IO169" i="12"/>
  <c r="IP169" i="12" s="1"/>
  <c r="IQ169" i="12" s="1"/>
  <c r="IO135" i="12"/>
  <c r="IP135" i="12" s="1"/>
  <c r="IQ135" i="12" s="1"/>
  <c r="IO195" i="12"/>
  <c r="IP195" i="12" s="1"/>
  <c r="IQ195" i="12" s="1"/>
  <c r="IO96" i="12"/>
  <c r="IP96" i="12" s="1"/>
  <c r="IQ96" i="12" s="1"/>
  <c r="IO121" i="12"/>
  <c r="IP121" i="12" s="1"/>
  <c r="IQ121" i="12" s="1"/>
  <c r="IO19" i="12"/>
  <c r="IP19" i="12" s="1"/>
  <c r="IQ19" i="12" s="1"/>
  <c r="IO68" i="12"/>
  <c r="IP68" i="12" s="1"/>
  <c r="IQ68" i="12" s="1"/>
  <c r="IO174" i="12"/>
  <c r="IP174" i="12" s="1"/>
  <c r="IQ174" i="12" s="1"/>
  <c r="IO39" i="12"/>
  <c r="IP39" i="12" s="1"/>
  <c r="IQ39" i="12" s="1"/>
  <c r="IO161" i="12"/>
  <c r="IP161" i="12" s="1"/>
  <c r="IQ161" i="12" s="1"/>
  <c r="IO43" i="12"/>
  <c r="IP43" i="12" s="1"/>
  <c r="IQ43" i="12" s="1"/>
  <c r="IO147" i="12"/>
  <c r="IP147" i="12" s="1"/>
  <c r="IQ147" i="12" s="1"/>
  <c r="IO160" i="12"/>
  <c r="IP160" i="12" s="1"/>
  <c r="IQ160" i="12" s="1"/>
  <c r="IO129" i="12"/>
  <c r="IP129" i="12" s="1"/>
  <c r="IQ129" i="12" s="1"/>
  <c r="IO159" i="12"/>
  <c r="IP159" i="12" s="1"/>
  <c r="IQ159" i="12" s="1"/>
  <c r="IO166" i="12"/>
  <c r="IP166" i="12" s="1"/>
  <c r="IQ166" i="12" s="1"/>
  <c r="IO189" i="12"/>
  <c r="IP189" i="12" s="1"/>
  <c r="IQ189" i="12" s="1"/>
  <c r="IO27" i="12"/>
  <c r="IP27" i="12" s="1"/>
  <c r="IQ27" i="12" s="1"/>
  <c r="IO200" i="12"/>
  <c r="IP200" i="12" s="1"/>
  <c r="IQ200" i="12" s="1"/>
  <c r="IO47" i="12"/>
  <c r="IP47" i="12" s="1"/>
  <c r="IQ47" i="12" s="1"/>
  <c r="IO18" i="12"/>
  <c r="IP18" i="12" s="1"/>
  <c r="IQ18" i="12" s="1"/>
  <c r="IO44" i="12"/>
  <c r="IP44" i="12" s="1"/>
  <c r="IQ44" i="12" s="1"/>
  <c r="IO132" i="12"/>
  <c r="IP132" i="12" s="1"/>
  <c r="IQ132" i="12" s="1"/>
  <c r="IO17" i="12"/>
  <c r="IP17" i="12" s="1"/>
  <c r="IQ17" i="12" s="1"/>
  <c r="IO25" i="12"/>
  <c r="IP25" i="12" s="1"/>
  <c r="IQ25" i="12" s="1"/>
  <c r="IO78" i="12"/>
  <c r="IP78" i="12" s="1"/>
  <c r="IQ78" i="12" s="1"/>
  <c r="IO93" i="12"/>
  <c r="IP93" i="12" s="1"/>
  <c r="IQ93" i="12" s="1"/>
  <c r="IO188" i="12"/>
  <c r="IP188" i="12" s="1"/>
  <c r="IQ188" i="12" s="1"/>
  <c r="IO130" i="12"/>
  <c r="IP130" i="12" s="1"/>
  <c r="IQ130" i="12" s="1"/>
  <c r="IO170" i="12"/>
  <c r="IP170" i="12" s="1"/>
  <c r="IQ170" i="12" s="1"/>
  <c r="IO65" i="12"/>
  <c r="IP65" i="12" s="1"/>
  <c r="IQ65" i="12" s="1"/>
  <c r="IO154" i="12"/>
  <c r="IP154" i="12" s="1"/>
  <c r="IQ154" i="12" s="1"/>
  <c r="IO88" i="12"/>
  <c r="IP88" i="12" s="1"/>
  <c r="IQ88" i="12" s="1"/>
  <c r="IO82" i="12"/>
  <c r="IP82" i="12" s="1"/>
  <c r="IQ82" i="12" s="1"/>
  <c r="IO14" i="12"/>
  <c r="IP14" i="12" s="1"/>
  <c r="IQ14" i="12" s="1"/>
  <c r="IO137" i="12"/>
  <c r="IP137" i="12" s="1"/>
  <c r="IQ137" i="12" s="1"/>
  <c r="IO71" i="12"/>
  <c r="IP71" i="12" s="1"/>
  <c r="IQ71" i="12" s="1"/>
  <c r="IO61" i="12"/>
  <c r="IP61" i="12" s="1"/>
  <c r="IQ61" i="12" s="1"/>
  <c r="IO181" i="12"/>
  <c r="IP181" i="12" s="1"/>
  <c r="IQ181" i="12" s="1"/>
  <c r="IO83" i="12"/>
  <c r="IP83" i="12" s="1"/>
  <c r="IQ83" i="12" s="1"/>
  <c r="IO187" i="12"/>
  <c r="IP187" i="12" s="1"/>
  <c r="IQ187" i="12" s="1"/>
  <c r="IO79" i="12"/>
  <c r="IP79" i="12" s="1"/>
  <c r="IQ79" i="12" s="1"/>
  <c r="IO49" i="12"/>
  <c r="IP49" i="12" s="1"/>
  <c r="IQ49" i="12" s="1"/>
  <c r="IO66" i="12"/>
  <c r="IP66" i="12" s="1"/>
  <c r="IQ66" i="12" s="1"/>
  <c r="IO152" i="12"/>
  <c r="IP152" i="12" s="1"/>
  <c r="IQ152" i="12" s="1"/>
  <c r="FJ47" i="12"/>
  <c r="FK72" i="12"/>
  <c r="FP94" i="12"/>
  <c r="FP186" i="12"/>
  <c r="FP218" i="12"/>
  <c r="FP322" i="12"/>
  <c r="FP125" i="12"/>
  <c r="FP246" i="12"/>
  <c r="FP288" i="12"/>
  <c r="FP128" i="12"/>
  <c r="FP362" i="12"/>
  <c r="FP299" i="12"/>
  <c r="FP394" i="12"/>
  <c r="FP127" i="12"/>
  <c r="FP285" i="12"/>
  <c r="FP171" i="12"/>
  <c r="FP135" i="12"/>
  <c r="FP24" i="12"/>
  <c r="FP170" i="12"/>
  <c r="FP196" i="12"/>
  <c r="FP230" i="12"/>
  <c r="FP279" i="12"/>
  <c r="FP194" i="12"/>
  <c r="FP207" i="12"/>
  <c r="FP220" i="12"/>
  <c r="FP274" i="12"/>
  <c r="FP273" i="12"/>
  <c r="FP219" i="12"/>
  <c r="FP361" i="12"/>
  <c r="FP180" i="12"/>
  <c r="FP154" i="12"/>
  <c r="FP6" i="12"/>
  <c r="FP64" i="12"/>
  <c r="FP90" i="12"/>
  <c r="FP169" i="12"/>
  <c r="FP241" i="12"/>
  <c r="FP44" i="12"/>
  <c r="FP372" i="12"/>
  <c r="FP331" i="12"/>
  <c r="FP139" i="12"/>
  <c r="FP314" i="12"/>
  <c r="FP85" i="12"/>
  <c r="FP182" i="12"/>
  <c r="FP144" i="12"/>
  <c r="FP124" i="12"/>
  <c r="FP40" i="12"/>
  <c r="FP211" i="12"/>
  <c r="FP208" i="12"/>
  <c r="FP251" i="12"/>
  <c r="FP328" i="12"/>
  <c r="FP97" i="12"/>
  <c r="FP349" i="12"/>
  <c r="FP388" i="12"/>
  <c r="FP369" i="12"/>
  <c r="FP142" i="12"/>
  <c r="FP11" i="12"/>
  <c r="FP316" i="12"/>
  <c r="FP103" i="12"/>
  <c r="FP225" i="12"/>
  <c r="FP215" i="12"/>
  <c r="FP283" i="12"/>
  <c r="FP389" i="12"/>
  <c r="FP295" i="12"/>
  <c r="FP35" i="12"/>
  <c r="FP162" i="12"/>
  <c r="FP379" i="12"/>
  <c r="FP221" i="12"/>
  <c r="FP300" i="12"/>
  <c r="FP278" i="12"/>
  <c r="FP197" i="12"/>
  <c r="FP383" i="12"/>
  <c r="FP14" i="12"/>
  <c r="FP259" i="12"/>
  <c r="FP158" i="12"/>
  <c r="FP46" i="12"/>
  <c r="FP20" i="12"/>
  <c r="FP351" i="12"/>
  <c r="FP335" i="12"/>
  <c r="FP380" i="12"/>
  <c r="FP187" i="12"/>
  <c r="FP360" i="12"/>
  <c r="FP399" i="12"/>
  <c r="FP216" i="12"/>
  <c r="FP242" i="12"/>
  <c r="FP8" i="12"/>
  <c r="FP109" i="12"/>
  <c r="FP235" i="12"/>
  <c r="FP227" i="12"/>
  <c r="FP339" i="12"/>
  <c r="FP250" i="12"/>
  <c r="FP43" i="12"/>
  <c r="FP202" i="12"/>
  <c r="FP323" i="12"/>
  <c r="FP75" i="12"/>
  <c r="FP65" i="12"/>
  <c r="FP356" i="12"/>
  <c r="FP84" i="12"/>
  <c r="FP307" i="12"/>
  <c r="FP375" i="12"/>
  <c r="FP146" i="12"/>
  <c r="FP164" i="12"/>
  <c r="FP119" i="12"/>
  <c r="FP312" i="12"/>
  <c r="FP275" i="12"/>
  <c r="FP190" i="12"/>
  <c r="FP155" i="12"/>
  <c r="FP168" i="12"/>
  <c r="FP41" i="12"/>
  <c r="FP161" i="12"/>
  <c r="FP178" i="12"/>
  <c r="FP368" i="12"/>
  <c r="FP344" i="12"/>
  <c r="FM1" i="12"/>
  <c r="EV3" i="12" s="1"/>
  <c r="FP268" i="12"/>
  <c r="FP30" i="12"/>
  <c r="FP96" i="12"/>
  <c r="FP237" i="12"/>
  <c r="FP143" i="12"/>
  <c r="FP353" i="12"/>
  <c r="FP76" i="12"/>
  <c r="FP364" i="12"/>
  <c r="FP74" i="12"/>
  <c r="FP284" i="12"/>
  <c r="FP153" i="12"/>
  <c r="FP12" i="12"/>
  <c r="FP50" i="12"/>
  <c r="FP56" i="12"/>
  <c r="FP326" i="12"/>
  <c r="FP159" i="12"/>
  <c r="FP112" i="12"/>
  <c r="FP59" i="12"/>
  <c r="FP304" i="12"/>
  <c r="FP252" i="12"/>
  <c r="FP49" i="12"/>
  <c r="FP387" i="12"/>
  <c r="FP167" i="12"/>
  <c r="FP99" i="12"/>
  <c r="FP336" i="12"/>
  <c r="FP290" i="12"/>
  <c r="FP149" i="12"/>
  <c r="FP48" i="12"/>
  <c r="FP267" i="12"/>
  <c r="FP257" i="12"/>
  <c r="FP21" i="12"/>
  <c r="FP226" i="12"/>
  <c r="FP191" i="12"/>
  <c r="FP286" i="12"/>
  <c r="FP157" i="12"/>
  <c r="FP232" i="12"/>
  <c r="FP355" i="12"/>
  <c r="FP32" i="12"/>
  <c r="FP62" i="12"/>
  <c r="FP298" i="12"/>
  <c r="FP131" i="12"/>
  <c r="FP114" i="12"/>
  <c r="FP363" i="12"/>
  <c r="FP224" i="12"/>
  <c r="FP373" i="12"/>
  <c r="FP93" i="12"/>
  <c r="FP255" i="12"/>
  <c r="FP247" i="12"/>
  <c r="FP7" i="12"/>
  <c r="FP82" i="12"/>
  <c r="FP338" i="12"/>
  <c r="FP72" i="12"/>
  <c r="FP111" i="12"/>
  <c r="FP28" i="12"/>
  <c r="FP36" i="12"/>
  <c r="FP238" i="12"/>
  <c r="FP346" i="12"/>
  <c r="FP69" i="12"/>
  <c r="FP392" i="12"/>
  <c r="FP83" i="12"/>
  <c r="FP343" i="12"/>
  <c r="FP123" i="12"/>
  <c r="FP91" i="12"/>
  <c r="FP212" i="12"/>
  <c r="FP293" i="12"/>
  <c r="FP148" i="12"/>
  <c r="FP61" i="12"/>
  <c r="FP4" i="12"/>
  <c r="FP88" i="12"/>
  <c r="FP172" i="12"/>
  <c r="FP166" i="12"/>
  <c r="FP19" i="12"/>
  <c r="FP350" i="12"/>
  <c r="FP291" i="12"/>
  <c r="FP205" i="12"/>
  <c r="FP23" i="12"/>
  <c r="FP236" i="12"/>
  <c r="FP310" i="12"/>
  <c r="FP58" i="12"/>
  <c r="FP140" i="12"/>
  <c r="FP269" i="12"/>
  <c r="FP57" i="12"/>
  <c r="FP260" i="12"/>
  <c r="FP120" i="12"/>
  <c r="FP134" i="12"/>
  <c r="FP248" i="12"/>
  <c r="FP89" i="12"/>
  <c r="FP13" i="12"/>
  <c r="FP203" i="12"/>
  <c r="FP147" i="12"/>
  <c r="FP60" i="12"/>
  <c r="FP145" i="12"/>
  <c r="FP313" i="12"/>
  <c r="FP54" i="12"/>
  <c r="FP86" i="12"/>
  <c r="FP195" i="12"/>
  <c r="FP129" i="12"/>
  <c r="FP367" i="12"/>
  <c r="FP206" i="12"/>
  <c r="FP397" i="12"/>
  <c r="FP254" i="12"/>
  <c r="FP22" i="12"/>
  <c r="FP374" i="12"/>
  <c r="FP200" i="12"/>
  <c r="FP110" i="12"/>
  <c r="FP100" i="12"/>
  <c r="FP223" i="12"/>
  <c r="FP371" i="12"/>
  <c r="FP391" i="12"/>
  <c r="FP27" i="12"/>
  <c r="FP213" i="12"/>
  <c r="FP297" i="12"/>
  <c r="FP321" i="12"/>
  <c r="FP332" i="12"/>
  <c r="FP173" i="12"/>
  <c r="FP354" i="12"/>
  <c r="FP352" i="12"/>
  <c r="FP63" i="12"/>
  <c r="FP249" i="12"/>
  <c r="FP29" i="12"/>
  <c r="FP98" i="12"/>
  <c r="FP42" i="12"/>
  <c r="FP199" i="12"/>
  <c r="FP348" i="12"/>
  <c r="FP281" i="12"/>
  <c r="FP117" i="12"/>
  <c r="FP315" i="12"/>
  <c r="FP325" i="12"/>
  <c r="FP151" i="12"/>
  <c r="FP67" i="12"/>
  <c r="FP253" i="12"/>
  <c r="FP179" i="12"/>
  <c r="FP165" i="12"/>
  <c r="FP390" i="12"/>
  <c r="FP101" i="12"/>
  <c r="FP141" i="12"/>
  <c r="FP121" i="12"/>
  <c r="FP222" i="12"/>
  <c r="FP359" i="12"/>
  <c r="FP381" i="12"/>
  <c r="FP276" i="12"/>
  <c r="FP318" i="12"/>
  <c r="FP15" i="12"/>
  <c r="FP163" i="12"/>
  <c r="FP370" i="12"/>
  <c r="FP81" i="12"/>
  <c r="FP175" i="12"/>
  <c r="FP396" i="12"/>
  <c r="FP38" i="12"/>
  <c r="FP263" i="12"/>
  <c r="FP334" i="12"/>
  <c r="FP272" i="12"/>
  <c r="FP358" i="12"/>
  <c r="FP366" i="12"/>
  <c r="FP118" i="12"/>
  <c r="FP340" i="12"/>
  <c r="FP377" i="12"/>
  <c r="FP204" i="12"/>
  <c r="FP184" i="12"/>
  <c r="FP240" i="12"/>
  <c r="FP214" i="12"/>
  <c r="FP3" i="12"/>
  <c r="I3" i="2" s="1"/>
  <c r="FP233" i="12"/>
  <c r="FP265" i="12"/>
  <c r="FP287" i="12"/>
  <c r="FP113" i="12"/>
  <c r="FP122" i="12"/>
  <c r="FP87" i="12"/>
  <c r="FP92" i="12"/>
  <c r="FP376" i="12"/>
  <c r="FP33" i="12"/>
  <c r="FP317" i="12"/>
  <c r="FP39" i="12"/>
  <c r="FP319" i="12"/>
  <c r="FP345" i="12"/>
  <c r="FP357" i="12"/>
  <c r="FP45" i="12"/>
  <c r="FP34" i="12"/>
  <c r="FP327" i="12"/>
  <c r="FP116" i="12"/>
  <c r="FP262" i="12"/>
  <c r="FP245" i="12"/>
  <c r="FP239" i="12"/>
  <c r="FP152" i="12"/>
  <c r="FP209" i="12"/>
  <c r="FP183" i="12"/>
  <c r="FP132" i="12"/>
  <c r="FP385" i="12"/>
  <c r="FP292" i="12"/>
  <c r="FP51" i="12"/>
  <c r="FP95" i="12"/>
  <c r="FP176" i="12"/>
  <c r="FP68" i="12"/>
  <c r="FP108" i="12"/>
  <c r="FP137" i="12"/>
  <c r="FP341" i="12"/>
  <c r="FP10" i="12"/>
  <c r="FP294" i="12"/>
  <c r="FP105" i="12"/>
  <c r="FP347" i="12"/>
  <c r="FP26" i="12"/>
  <c r="FP52" i="12"/>
  <c r="FP5" i="12"/>
  <c r="FP302" i="12"/>
  <c r="FP104" i="12"/>
  <c r="FP80" i="12"/>
  <c r="FP31" i="12"/>
  <c r="FP261" i="12"/>
  <c r="FP115" i="12"/>
  <c r="FP193" i="12"/>
  <c r="FP365" i="12"/>
  <c r="FP378" i="12"/>
  <c r="FP185" i="12"/>
  <c r="FP130" i="12"/>
  <c r="FP177" i="12"/>
  <c r="FP309" i="12"/>
  <c r="FP71" i="12"/>
  <c r="FP150" i="12"/>
  <c r="FP231" i="12"/>
  <c r="FP384" i="12"/>
  <c r="FP189" i="12"/>
  <c r="FP301" i="12"/>
  <c r="FP308" i="12"/>
  <c r="FP217" i="12"/>
  <c r="FP55" i="12"/>
  <c r="FP400" i="12"/>
  <c r="FP280" i="12"/>
  <c r="FP16" i="12"/>
  <c r="FP66" i="12"/>
  <c r="FP264" i="12"/>
  <c r="FP311" i="12"/>
  <c r="FP324" i="12"/>
  <c r="FP25" i="12"/>
  <c r="FP188" i="12"/>
  <c r="FP181" i="12"/>
  <c r="FP289" i="12"/>
  <c r="FP174" i="12"/>
  <c r="FP386" i="12"/>
  <c r="FP17" i="12"/>
  <c r="FP306" i="12"/>
  <c r="FP47" i="12"/>
  <c r="FP78" i="12"/>
  <c r="FP330" i="12"/>
  <c r="FP156" i="12"/>
  <c r="FP303" i="12"/>
  <c r="FP234" i="12"/>
  <c r="FP201" i="12"/>
  <c r="FP70" i="12"/>
  <c r="FP228" i="12"/>
  <c r="FP337" i="12"/>
  <c r="FP393" i="12"/>
  <c r="FP133" i="12"/>
  <c r="FP77" i="12"/>
  <c r="FP9" i="12"/>
  <c r="FP243" i="12"/>
  <c r="FP395" i="12"/>
  <c r="FP320" i="12"/>
  <c r="FP79" i="12"/>
  <c r="FP210" i="12"/>
  <c r="FP136" i="12"/>
  <c r="FP126" i="12"/>
  <c r="FP258" i="12"/>
  <c r="FP342" i="12"/>
  <c r="FP102" i="12"/>
  <c r="FP106" i="12"/>
  <c r="FP270" i="12"/>
  <c r="FP37" i="12"/>
  <c r="FP398" i="12"/>
  <c r="FP244" i="12"/>
  <c r="FP256" i="12"/>
  <c r="FP53" i="12"/>
  <c r="FP107" i="12"/>
  <c r="FP73" i="12"/>
  <c r="FP266" i="12"/>
  <c r="FP271" i="12"/>
  <c r="FP382" i="12"/>
  <c r="FP18" i="12"/>
  <c r="FP138" i="12"/>
  <c r="FP160" i="12"/>
  <c r="FP296" i="12"/>
  <c r="FP277" i="12"/>
  <c r="FP198" i="12"/>
  <c r="FP333" i="12"/>
  <c r="FP192" i="12"/>
  <c r="FP229" i="12"/>
  <c r="FP329" i="12"/>
  <c r="FP282" i="12"/>
  <c r="FP305" i="12"/>
  <c r="IO41" i="12"/>
  <c r="IP41" i="12" s="1"/>
  <c r="IQ41" i="12" s="1"/>
  <c r="IO163" i="12"/>
  <c r="IP163" i="12" s="1"/>
  <c r="IQ163" i="12" s="1"/>
  <c r="IO52" i="12"/>
  <c r="IP52" i="12" s="1"/>
  <c r="IQ52" i="12" s="1"/>
  <c r="IO87" i="12"/>
  <c r="IP87" i="12" s="1"/>
  <c r="IQ87" i="12" s="1"/>
  <c r="IO190" i="12"/>
  <c r="IP190" i="12" s="1"/>
  <c r="IQ190" i="12" s="1"/>
  <c r="IO165" i="12"/>
  <c r="IP165" i="12" s="1"/>
  <c r="IQ165" i="12" s="1"/>
  <c r="IO70" i="12"/>
  <c r="IP70" i="12" s="1"/>
  <c r="IQ70" i="12" s="1"/>
  <c r="IO115" i="12"/>
  <c r="IP115" i="12" s="1"/>
  <c r="IQ115" i="12" s="1"/>
  <c r="IO177" i="12"/>
  <c r="IP177" i="12" s="1"/>
  <c r="IQ177" i="12" s="1"/>
  <c r="IO84" i="12"/>
  <c r="IP84" i="12" s="1"/>
  <c r="IQ84" i="12" s="1"/>
  <c r="IO81" i="12"/>
  <c r="IP81" i="12" s="1"/>
  <c r="IQ81" i="12" s="1"/>
  <c r="IO134" i="12"/>
  <c r="IP134" i="12" s="1"/>
  <c r="IQ134" i="12" s="1"/>
  <c r="IO31" i="12"/>
  <c r="IP31" i="12" s="1"/>
  <c r="IQ31" i="12" s="1"/>
  <c r="IO146" i="12"/>
  <c r="IP146" i="12" s="1"/>
  <c r="IQ146" i="12" s="1"/>
  <c r="IO191" i="12"/>
  <c r="IP191" i="12" s="1"/>
  <c r="IQ191" i="12" s="1"/>
  <c r="IO103" i="12"/>
  <c r="IP103" i="12" s="1"/>
  <c r="IQ103" i="12" s="1"/>
  <c r="IO143" i="12"/>
  <c r="IP143" i="12" s="1"/>
  <c r="IQ143" i="12" s="1"/>
  <c r="IO116" i="12"/>
  <c r="IP116" i="12" s="1"/>
  <c r="IQ116" i="12" s="1"/>
  <c r="IO28" i="12"/>
  <c r="IP28" i="12" s="1"/>
  <c r="IQ28" i="12" s="1"/>
  <c r="IO46" i="12"/>
  <c r="IP46" i="12" s="1"/>
  <c r="IQ46" i="12" s="1"/>
  <c r="FJ45" i="12"/>
  <c r="IO60" i="12"/>
  <c r="IP60" i="12" s="1"/>
  <c r="IQ60" i="12" s="1"/>
  <c r="IO40" i="12"/>
  <c r="IP40" i="12" s="1"/>
  <c r="IQ40" i="12" s="1"/>
  <c r="IO50" i="12"/>
  <c r="IP50" i="12" s="1"/>
  <c r="IQ50" i="12" s="1"/>
  <c r="IO109" i="12"/>
  <c r="IP109" i="12" s="1"/>
  <c r="IQ109" i="12" s="1"/>
  <c r="IO26" i="12"/>
  <c r="IP26" i="12" s="1"/>
  <c r="IQ26" i="12" s="1"/>
  <c r="IO57" i="12"/>
  <c r="IP57" i="12" s="1"/>
  <c r="IQ57" i="12" s="1"/>
  <c r="IO113" i="12"/>
  <c r="IP113" i="12" s="1"/>
  <c r="IQ113" i="12" s="1"/>
  <c r="IO168" i="12"/>
  <c r="IP168" i="12" s="1"/>
  <c r="IQ168" i="12" s="1"/>
  <c r="IO142" i="12"/>
  <c r="IP142" i="12" s="1"/>
  <c r="IQ142" i="12" s="1"/>
  <c r="IO139" i="12"/>
  <c r="IP139" i="12" s="1"/>
  <c r="IQ139" i="12" s="1"/>
  <c r="IO153" i="12"/>
  <c r="IP153" i="12" s="1"/>
  <c r="IQ153" i="12" s="1"/>
  <c r="IO94" i="12"/>
  <c r="IP94" i="12" s="1"/>
  <c r="IQ94" i="12" s="1"/>
  <c r="IO186" i="12"/>
  <c r="IP186" i="12" s="1"/>
  <c r="IQ186" i="12" s="1"/>
  <c r="IO62" i="12"/>
  <c r="IP62" i="12" s="1"/>
  <c r="IQ62" i="12" s="1"/>
  <c r="IO196" i="12"/>
  <c r="IP196" i="12" s="1"/>
  <c r="IQ196" i="12" s="1"/>
  <c r="IO127" i="12"/>
  <c r="IP127" i="12" s="1"/>
  <c r="IQ127" i="12" s="1"/>
  <c r="IO162" i="12"/>
  <c r="IP162" i="12" s="1"/>
  <c r="IQ162" i="12" s="1"/>
  <c r="IO58" i="12"/>
  <c r="IP58" i="12" s="1"/>
  <c r="IQ58" i="12" s="1"/>
  <c r="IO157" i="12"/>
  <c r="IP157" i="12" s="1"/>
  <c r="IQ157" i="12" s="1"/>
  <c r="IO30" i="12"/>
  <c r="IP30" i="12" s="1"/>
  <c r="IQ30" i="12" s="1"/>
  <c r="IO21" i="12"/>
  <c r="IP21" i="12" s="1"/>
  <c r="IQ21" i="12" s="1"/>
  <c r="IO151" i="12"/>
  <c r="IP151" i="12" s="1"/>
  <c r="IQ151" i="12" s="1"/>
  <c r="IO16" i="12"/>
  <c r="IP16" i="12" s="1"/>
  <c r="IQ16" i="12" s="1"/>
  <c r="IO99" i="12"/>
  <c r="IP99" i="12" s="1"/>
  <c r="IQ99" i="12" s="1"/>
  <c r="IO15" i="12"/>
  <c r="IP15" i="12" s="1"/>
  <c r="IQ15" i="12" s="1"/>
  <c r="IO74" i="12"/>
  <c r="IP74" i="12" s="1"/>
  <c r="IQ74" i="12" s="1"/>
  <c r="IO158" i="12"/>
  <c r="IP158" i="12" s="1"/>
  <c r="IQ158" i="12" s="1"/>
  <c r="IO140" i="12"/>
  <c r="IP140" i="12" s="1"/>
  <c r="IQ140" i="12" s="1"/>
  <c r="IO124" i="12"/>
  <c r="IP124" i="12" s="1"/>
  <c r="IQ124" i="12" s="1"/>
  <c r="IO91" i="12"/>
  <c r="IP91" i="12" s="1"/>
  <c r="IQ91" i="12" s="1"/>
  <c r="IO182" i="12"/>
  <c r="IP182" i="12" s="1"/>
  <c r="IQ182" i="12" s="1"/>
  <c r="IO104" i="12"/>
  <c r="IP104" i="12" s="1"/>
  <c r="IQ104" i="12" s="1"/>
  <c r="IO128" i="12"/>
  <c r="IP128" i="12" s="1"/>
  <c r="IQ128" i="12" s="1"/>
  <c r="IO102" i="12"/>
  <c r="IP102" i="12" s="1"/>
  <c r="IQ102" i="12" s="1"/>
  <c r="IO148" i="12"/>
  <c r="IP148" i="12" s="1"/>
  <c r="IQ148" i="12" s="1"/>
  <c r="IO63" i="12"/>
  <c r="IP63" i="12" s="1"/>
  <c r="IQ63" i="12" s="1"/>
  <c r="IO175" i="12"/>
  <c r="IP175" i="12" s="1"/>
  <c r="IQ175" i="12" s="1"/>
  <c r="IO42" i="12"/>
  <c r="IP42" i="12" s="1"/>
  <c r="IQ42" i="12" s="1"/>
  <c r="IO55" i="12"/>
  <c r="IP55" i="12" s="1"/>
  <c r="IQ55" i="12" s="1"/>
  <c r="IO85" i="12"/>
  <c r="IP85" i="12" s="1"/>
  <c r="IQ85" i="12" s="1"/>
  <c r="IO48" i="12"/>
  <c r="IP48" i="12" s="1"/>
  <c r="IQ48" i="12" s="1"/>
  <c r="IO100" i="12"/>
  <c r="IP100" i="12" s="1"/>
  <c r="IQ100" i="12" s="1"/>
  <c r="IO197" i="12"/>
  <c r="IP197" i="12" s="1"/>
  <c r="IQ197" i="12" s="1"/>
  <c r="IO145" i="12"/>
  <c r="IP145" i="12" s="1"/>
  <c r="IQ145" i="12" s="1"/>
  <c r="IO64" i="12"/>
  <c r="IP64" i="12" s="1"/>
  <c r="IQ64" i="12" s="1"/>
  <c r="IO138" i="12"/>
  <c r="IP138" i="12" s="1"/>
  <c r="IQ138" i="12" s="1"/>
  <c r="FQ143" i="12"/>
  <c r="FL38" i="12" l="1"/>
  <c r="ER116" i="12"/>
  <c r="ES116" i="12" s="1"/>
  <c r="ER118" i="12"/>
  <c r="ER127" i="12" s="1"/>
  <c r="AQ39" i="12"/>
  <c r="AQ40" i="12" s="1"/>
  <c r="FQ108" i="12"/>
  <c r="FQ127" i="12"/>
  <c r="FQ128" i="12" s="1"/>
  <c r="FQ129" i="12" s="1"/>
  <c r="FQ130" i="12" s="1"/>
  <c r="GW400" i="12"/>
  <c r="GW399" i="12" s="1"/>
  <c r="GW398" i="12" s="1"/>
  <c r="GW397" i="12" s="1"/>
  <c r="GW396" i="12" s="1"/>
  <c r="GW395" i="12" s="1"/>
  <c r="GW394" i="12" s="1"/>
  <c r="GW393" i="12" s="1"/>
  <c r="GW392" i="12" s="1"/>
  <c r="GW391" i="12" s="1"/>
  <c r="GW390" i="12" s="1"/>
  <c r="GW389" i="12" s="1"/>
  <c r="GW388" i="12" s="1"/>
  <c r="GW387" i="12" s="1"/>
  <c r="GW386" i="12" s="1"/>
  <c r="GW385" i="12" s="1"/>
  <c r="GW384" i="12" s="1"/>
  <c r="GW383" i="12" s="1"/>
  <c r="GW382" i="12" s="1"/>
  <c r="GW381" i="12" s="1"/>
  <c r="GW380" i="12" s="1"/>
  <c r="GW379" i="12" s="1"/>
  <c r="GW378" i="12" s="1"/>
  <c r="GW377" i="12" s="1"/>
  <c r="GW376" i="12" s="1"/>
  <c r="GW375" i="12" s="1"/>
  <c r="GW374" i="12" s="1"/>
  <c r="GW373" i="12" s="1"/>
  <c r="GW372" i="12" s="1"/>
  <c r="GW371" i="12" s="1"/>
  <c r="GW370" i="12" s="1"/>
  <c r="GW369" i="12" s="1"/>
  <c r="GW368" i="12" s="1"/>
  <c r="GW367" i="12" s="1"/>
  <c r="GW366" i="12" s="1"/>
  <c r="GW365" i="12" s="1"/>
  <c r="GW364" i="12" s="1"/>
  <c r="GW363" i="12" s="1"/>
  <c r="GW362" i="12" s="1"/>
  <c r="GW361" i="12" s="1"/>
  <c r="GW360" i="12" s="1"/>
  <c r="GW359" i="12" s="1"/>
  <c r="GW358" i="12" s="1"/>
  <c r="GW357" i="12" s="1"/>
  <c r="GW356" i="12" s="1"/>
  <c r="GW355" i="12" s="1"/>
  <c r="GW354" i="12" s="1"/>
  <c r="GW353" i="12" s="1"/>
  <c r="GW352" i="12" s="1"/>
  <c r="GW351" i="12" s="1"/>
  <c r="GW350" i="12" s="1"/>
  <c r="GW349" i="12" s="1"/>
  <c r="GW348" i="12" s="1"/>
  <c r="GW347" i="12" s="1"/>
  <c r="GW346" i="12" s="1"/>
  <c r="GW345" i="12" s="1"/>
  <c r="GW344" i="12" s="1"/>
  <c r="GW343" i="12" s="1"/>
  <c r="GW342" i="12" s="1"/>
  <c r="GW341" i="12" s="1"/>
  <c r="GW340" i="12" s="1"/>
  <c r="GW339" i="12" s="1"/>
  <c r="GW338" i="12" s="1"/>
  <c r="GW337" i="12" s="1"/>
  <c r="GW336" i="12" s="1"/>
  <c r="GW335" i="12" s="1"/>
  <c r="GW334" i="12" s="1"/>
  <c r="GW333" i="12" s="1"/>
  <c r="GW332" i="12" s="1"/>
  <c r="GW331" i="12" s="1"/>
  <c r="GW330" i="12" s="1"/>
  <c r="GW329" i="12" s="1"/>
  <c r="GW328" i="12" s="1"/>
  <c r="GW327" i="12" s="1"/>
  <c r="GW326" i="12" s="1"/>
  <c r="GW325" i="12" s="1"/>
  <c r="GW324" i="12" s="1"/>
  <c r="GW323" i="12" s="1"/>
  <c r="GW322" i="12" s="1"/>
  <c r="GW321" i="12" s="1"/>
  <c r="GW320" i="12" s="1"/>
  <c r="GW319" i="12" s="1"/>
  <c r="GW318" i="12" s="1"/>
  <c r="GW317" i="12" s="1"/>
  <c r="GW316" i="12" s="1"/>
  <c r="GW315" i="12" s="1"/>
  <c r="GW314" i="12" s="1"/>
  <c r="GW313" i="12" s="1"/>
  <c r="GW312" i="12" s="1"/>
  <c r="GW311" i="12" s="1"/>
  <c r="GW310" i="12" s="1"/>
  <c r="GW309" i="12" s="1"/>
  <c r="GW308" i="12" s="1"/>
  <c r="GW307" i="12" s="1"/>
  <c r="GW306" i="12" s="1"/>
  <c r="GW305" i="12" s="1"/>
  <c r="GW304" i="12" s="1"/>
  <c r="GW303" i="12" s="1"/>
  <c r="GW302" i="12" s="1"/>
  <c r="GW301" i="12" s="1"/>
  <c r="GW300" i="12" s="1"/>
  <c r="GW299" i="12" s="1"/>
  <c r="GW298" i="12" s="1"/>
  <c r="GW297" i="12" s="1"/>
  <c r="GW296" i="12" s="1"/>
  <c r="GW295" i="12" s="1"/>
  <c r="GW294" i="12" s="1"/>
  <c r="GW293" i="12" s="1"/>
  <c r="GW292" i="12" s="1"/>
  <c r="GW291" i="12" s="1"/>
  <c r="GW290" i="12" s="1"/>
  <c r="GW289" i="12" s="1"/>
  <c r="GW288" i="12" s="1"/>
  <c r="GW287" i="12" s="1"/>
  <c r="GW286" i="12" s="1"/>
  <c r="GW285" i="12" s="1"/>
  <c r="GW284" i="12" s="1"/>
  <c r="GW283" i="12" s="1"/>
  <c r="GW282" i="12" s="1"/>
  <c r="GW281" i="12" s="1"/>
  <c r="GW280" i="12" s="1"/>
  <c r="GW279" i="12" s="1"/>
  <c r="GW278" i="12" s="1"/>
  <c r="GW277" i="12" s="1"/>
  <c r="GW276" i="12" s="1"/>
  <c r="GW275" i="12" s="1"/>
  <c r="GW274" i="12" s="1"/>
  <c r="GW273" i="12" s="1"/>
  <c r="GW272" i="12" s="1"/>
  <c r="GW271" i="12" s="1"/>
  <c r="GW270" i="12" s="1"/>
  <c r="GW269" i="12" s="1"/>
  <c r="GW268" i="12" s="1"/>
  <c r="GW267" i="12" s="1"/>
  <c r="GW266" i="12" s="1"/>
  <c r="GW265" i="12" s="1"/>
  <c r="GW264" i="12" s="1"/>
  <c r="GW263" i="12" s="1"/>
  <c r="GW262" i="12" s="1"/>
  <c r="GW261" i="12" s="1"/>
  <c r="GW260" i="12" s="1"/>
  <c r="GW259" i="12" s="1"/>
  <c r="GW258" i="12" s="1"/>
  <c r="GW257" i="12" s="1"/>
  <c r="GW256" i="12" s="1"/>
  <c r="GW255" i="12" s="1"/>
  <c r="GW254" i="12" s="1"/>
  <c r="GW253" i="12" s="1"/>
  <c r="GW252" i="12" s="1"/>
  <c r="GW251" i="12" s="1"/>
  <c r="GW250" i="12" s="1"/>
  <c r="GW249" i="12" s="1"/>
  <c r="GW248" i="12" s="1"/>
  <c r="GW247" i="12" s="1"/>
  <c r="GW246" i="12" s="1"/>
  <c r="GW245" i="12" s="1"/>
  <c r="GW244" i="12" s="1"/>
  <c r="GW243" i="12" s="1"/>
  <c r="GW242" i="12" s="1"/>
  <c r="GW241" i="12" s="1"/>
  <c r="GW240" i="12" s="1"/>
  <c r="GW239" i="12" s="1"/>
  <c r="GW238" i="12" s="1"/>
  <c r="GW237" i="12" s="1"/>
  <c r="GW236" i="12" s="1"/>
  <c r="GW235" i="12" s="1"/>
  <c r="GW234" i="12" s="1"/>
  <c r="GW233" i="12" s="1"/>
  <c r="GW232" i="12" s="1"/>
  <c r="GW231" i="12" s="1"/>
  <c r="GW230" i="12" s="1"/>
  <c r="GW229" i="12" s="1"/>
  <c r="GW228" i="12" s="1"/>
  <c r="GW227" i="12" s="1"/>
  <c r="GW226" i="12" s="1"/>
  <c r="GW225" i="12" s="1"/>
  <c r="GW224" i="12" s="1"/>
  <c r="GW223" i="12" s="1"/>
  <c r="GW222" i="12" s="1"/>
  <c r="GW221" i="12" s="1"/>
  <c r="GW220" i="12" s="1"/>
  <c r="GW219" i="12" s="1"/>
  <c r="GW218" i="12" s="1"/>
  <c r="GW217" i="12" s="1"/>
  <c r="GW216" i="12" s="1"/>
  <c r="GW215" i="12" s="1"/>
  <c r="GW214" i="12" s="1"/>
  <c r="GW213" i="12" s="1"/>
  <c r="GW212" i="12" s="1"/>
  <c r="GW211" i="12" s="1"/>
  <c r="GW210" i="12" s="1"/>
  <c r="GW209" i="12" s="1"/>
  <c r="GW208" i="12" s="1"/>
  <c r="GW207" i="12" s="1"/>
  <c r="GW206" i="12" s="1"/>
  <c r="GW205" i="12" s="1"/>
  <c r="GW204" i="12" s="1"/>
  <c r="GW203" i="12" s="1"/>
  <c r="GW202" i="12" s="1"/>
  <c r="GW201" i="12" s="1"/>
  <c r="GW200" i="12" s="1"/>
  <c r="GW199" i="12" s="1"/>
  <c r="GW198" i="12" s="1"/>
  <c r="GW197" i="12" s="1"/>
  <c r="GW196" i="12" s="1"/>
  <c r="GW195" i="12" s="1"/>
  <c r="GW194" i="12" s="1"/>
  <c r="GW193" i="12" s="1"/>
  <c r="GW192" i="12" s="1"/>
  <c r="GW191" i="12" s="1"/>
  <c r="GW190" i="12" s="1"/>
  <c r="GW189" i="12" s="1"/>
  <c r="GW188" i="12" s="1"/>
  <c r="GW187" i="12" s="1"/>
  <c r="GW186" i="12" s="1"/>
  <c r="GW185" i="12" s="1"/>
  <c r="GW184" i="12" s="1"/>
  <c r="GW183" i="12" s="1"/>
  <c r="GW182" i="12" s="1"/>
  <c r="GW181" i="12" s="1"/>
  <c r="GW180" i="12" s="1"/>
  <c r="GW179" i="12" s="1"/>
  <c r="GW178" i="12" s="1"/>
  <c r="GW177" i="12" s="1"/>
  <c r="GW176" i="12" s="1"/>
  <c r="GW175" i="12" s="1"/>
  <c r="GW174" i="12" s="1"/>
  <c r="GW173" i="12" s="1"/>
  <c r="GW172" i="12" s="1"/>
  <c r="GW171" i="12" s="1"/>
  <c r="GW170" i="12" s="1"/>
  <c r="GW169" i="12" s="1"/>
  <c r="GW168" i="12" s="1"/>
  <c r="GW167" i="12" s="1"/>
  <c r="GW166" i="12" s="1"/>
  <c r="GW165" i="12" s="1"/>
  <c r="GW164" i="12" s="1"/>
  <c r="GW163" i="12" s="1"/>
  <c r="GW162" i="12" s="1"/>
  <c r="GW161" i="12" s="1"/>
  <c r="GW160" i="12" s="1"/>
  <c r="GW159" i="12" s="1"/>
  <c r="GW158" i="12" s="1"/>
  <c r="GW157" i="12" s="1"/>
  <c r="GW156" i="12" s="1"/>
  <c r="GW155" i="12" s="1"/>
  <c r="GW154" i="12" s="1"/>
  <c r="GW153" i="12" s="1"/>
  <c r="GW152" i="12" s="1"/>
  <c r="GW151" i="12" s="1"/>
  <c r="GW150" i="12" s="1"/>
  <c r="GW149" i="12" s="1"/>
  <c r="GW148" i="12" s="1"/>
  <c r="GW147" i="12" s="1"/>
  <c r="GW146" i="12" s="1"/>
  <c r="GW145" i="12" s="1"/>
  <c r="GW144" i="12" s="1"/>
  <c r="GW143" i="12" s="1"/>
  <c r="GW142" i="12" s="1"/>
  <c r="GW141" i="12" s="1"/>
  <c r="GW140" i="12" s="1"/>
  <c r="GW139" i="12" s="1"/>
  <c r="GW138" i="12" s="1"/>
  <c r="GW137" i="12" s="1"/>
  <c r="GW136" i="12" s="1"/>
  <c r="GW135" i="12" s="1"/>
  <c r="GW134" i="12" s="1"/>
  <c r="GW133" i="12" s="1"/>
  <c r="GW132" i="12" s="1"/>
  <c r="GW131" i="12" s="1"/>
  <c r="GW130" i="12" s="1"/>
  <c r="GW129" i="12" s="1"/>
  <c r="GW128" i="12" s="1"/>
  <c r="GW127" i="12" s="1"/>
  <c r="GW126" i="12" s="1"/>
  <c r="GW125" i="12" s="1"/>
  <c r="GW124" i="12" s="1"/>
  <c r="GW123" i="12" s="1"/>
  <c r="GW122" i="12" s="1"/>
  <c r="GW121" i="12" s="1"/>
  <c r="GW120" i="12" s="1"/>
  <c r="GW119" i="12" s="1"/>
  <c r="GW118" i="12" s="1"/>
  <c r="GW117" i="12" s="1"/>
  <c r="GW116" i="12" s="1"/>
  <c r="GW115" i="12" s="1"/>
  <c r="GW114" i="12" s="1"/>
  <c r="GW113" i="12" s="1"/>
  <c r="GW112" i="12" s="1"/>
  <c r="GW111" i="12" s="1"/>
  <c r="GW110" i="12" s="1"/>
  <c r="GW109" i="12" s="1"/>
  <c r="GW108" i="12" s="1"/>
  <c r="GW107" i="12" s="1"/>
  <c r="GW106" i="12" s="1"/>
  <c r="GW105" i="12" s="1"/>
  <c r="GW104" i="12" s="1"/>
  <c r="GW103" i="12" s="1"/>
  <c r="GW102" i="12" s="1"/>
  <c r="GW101" i="12" s="1"/>
  <c r="GW100" i="12" s="1"/>
  <c r="GW99" i="12" s="1"/>
  <c r="GW98" i="12" s="1"/>
  <c r="GW97" i="12" s="1"/>
  <c r="GW96" i="12" s="1"/>
  <c r="GW95" i="12" s="1"/>
  <c r="GW94" i="12" s="1"/>
  <c r="GW93" i="12" s="1"/>
  <c r="GW92" i="12" s="1"/>
  <c r="GW91" i="12" s="1"/>
  <c r="GW90" i="12" s="1"/>
  <c r="GW89" i="12" s="1"/>
  <c r="GW88" i="12" s="1"/>
  <c r="GW87" i="12" s="1"/>
  <c r="GW86" i="12" s="1"/>
  <c r="GW85" i="12" s="1"/>
  <c r="GW84" i="12" s="1"/>
  <c r="GW83" i="12" s="1"/>
  <c r="GW82" i="12" s="1"/>
  <c r="GW81" i="12" s="1"/>
  <c r="GW80" i="12" s="1"/>
  <c r="GW79" i="12" s="1"/>
  <c r="GW78" i="12" s="1"/>
  <c r="GW77" i="12" s="1"/>
  <c r="GW76" i="12" s="1"/>
  <c r="GW75" i="12" s="1"/>
  <c r="GW74" i="12" s="1"/>
  <c r="GW73" i="12" s="1"/>
  <c r="GW72" i="12" s="1"/>
  <c r="GW71" i="12" s="1"/>
  <c r="GW70" i="12" s="1"/>
  <c r="GW69" i="12" s="1"/>
  <c r="GW68" i="12" s="1"/>
  <c r="GW67" i="12" s="1"/>
  <c r="GW66" i="12" s="1"/>
  <c r="GW65" i="12" s="1"/>
  <c r="GW64" i="12" s="1"/>
  <c r="GW63" i="12" s="1"/>
  <c r="GW62" i="12" s="1"/>
  <c r="GW61" i="12" s="1"/>
  <c r="GW60" i="12" s="1"/>
  <c r="GW59" i="12" s="1"/>
  <c r="GW58" i="12" s="1"/>
  <c r="GW57" i="12" s="1"/>
  <c r="GW56" i="12" s="1"/>
  <c r="GW55" i="12" s="1"/>
  <c r="GW54" i="12" s="1"/>
  <c r="GW53" i="12" s="1"/>
  <c r="GW52" i="12" s="1"/>
  <c r="GW51" i="12" s="1"/>
  <c r="GW50" i="12" s="1"/>
  <c r="GW49" i="12" s="1"/>
  <c r="GW48" i="12" s="1"/>
  <c r="GW47" i="12" s="1"/>
  <c r="GW46" i="12" s="1"/>
  <c r="GW45" i="12" s="1"/>
  <c r="GW44" i="12" s="1"/>
  <c r="GW43" i="12" s="1"/>
  <c r="GW42" i="12" s="1"/>
  <c r="GW41" i="12" s="1"/>
  <c r="GW40" i="12" s="1"/>
  <c r="GW39" i="12" s="1"/>
  <c r="GW38" i="12" s="1"/>
  <c r="GW37" i="12" s="1"/>
  <c r="GW36" i="12" s="1"/>
  <c r="GW35" i="12" s="1"/>
  <c r="GW34" i="12" s="1"/>
  <c r="GW33" i="12" s="1"/>
  <c r="GW32" i="12" s="1"/>
  <c r="GW31" i="12" s="1"/>
  <c r="GW30" i="12" s="1"/>
  <c r="GW29" i="12" s="1"/>
  <c r="GW28" i="12" s="1"/>
  <c r="GW27" i="12" s="1"/>
  <c r="GW26" i="12" s="1"/>
  <c r="GW25" i="12" s="1"/>
  <c r="GW24" i="12" s="1"/>
  <c r="GW23" i="12" s="1"/>
  <c r="GW22" i="12" s="1"/>
  <c r="GW21" i="12" s="1"/>
  <c r="GW20" i="12" s="1"/>
  <c r="GW19" i="12" s="1"/>
  <c r="GW18" i="12" s="1"/>
  <c r="GW17" i="12" s="1"/>
  <c r="GW16" i="12" s="1"/>
  <c r="GW15" i="12" s="1"/>
  <c r="GW14" i="12" s="1"/>
  <c r="GW13" i="12" s="1"/>
  <c r="GW12" i="12" s="1"/>
  <c r="GW11" i="12" s="1"/>
  <c r="GW10" i="12" s="1"/>
  <c r="GW9" i="12" s="1"/>
  <c r="GW8" i="12" s="1"/>
  <c r="GW7" i="12" s="1"/>
  <c r="GW6" i="12" s="1"/>
  <c r="GW5" i="12" s="1"/>
  <c r="GW4" i="12" s="1"/>
  <c r="GW3" i="12" s="1"/>
  <c r="FI125" i="12"/>
  <c r="FH124" i="12"/>
  <c r="GW1" i="12"/>
  <c r="FL10" i="12"/>
  <c r="FL13" i="12"/>
  <c r="ES124" i="12"/>
  <c r="FL65" i="12"/>
  <c r="FL63" i="12"/>
  <c r="FL94" i="12"/>
  <c r="FL45" i="12"/>
  <c r="FL98" i="12"/>
  <c r="AS53" i="12"/>
  <c r="AS54" i="12" s="1"/>
  <c r="AS55" i="12" s="1"/>
  <c r="AY43" i="12"/>
  <c r="FL86" i="12"/>
  <c r="FL97" i="12"/>
  <c r="FL95" i="12"/>
  <c r="FL68" i="12"/>
  <c r="FL100" i="12"/>
  <c r="FL58" i="12"/>
  <c r="FL75" i="12"/>
  <c r="FL87" i="12"/>
  <c r="FL44" i="12"/>
  <c r="FL88" i="12"/>
  <c r="FL70" i="12"/>
  <c r="FL32" i="12"/>
  <c r="FL50" i="12"/>
  <c r="FL35" i="12"/>
  <c r="FL34" i="12"/>
  <c r="FL90" i="12"/>
  <c r="FL54" i="12"/>
  <c r="FL62" i="12"/>
  <c r="FL76" i="12"/>
  <c r="FL56" i="12"/>
  <c r="FL47" i="12"/>
  <c r="FL89" i="12"/>
  <c r="FL73" i="12"/>
  <c r="FL91" i="12"/>
  <c r="FL42" i="12"/>
  <c r="FL57" i="12"/>
  <c r="FL55" i="12"/>
  <c r="FL99" i="12"/>
  <c r="FL93" i="12"/>
  <c r="FL51" i="12"/>
  <c r="FL77" i="12"/>
  <c r="FL83" i="12"/>
  <c r="FL49" i="12"/>
  <c r="FL36" i="12"/>
  <c r="FL48" i="12"/>
  <c r="FL71" i="12"/>
  <c r="FL74" i="12"/>
  <c r="FL69" i="12"/>
  <c r="FL92" i="12"/>
  <c r="FL59" i="12"/>
  <c r="FL84" i="12"/>
  <c r="FL52" i="12"/>
  <c r="FL39" i="12"/>
  <c r="FL67" i="12"/>
  <c r="FL78" i="12"/>
  <c r="FL81" i="12"/>
  <c r="FL64" i="12"/>
  <c r="FL37" i="12"/>
  <c r="FL60" i="12"/>
  <c r="AR39" i="12"/>
  <c r="FQ132" i="12"/>
  <c r="FQ133" i="12" s="1"/>
  <c r="FQ134" i="12" s="1"/>
  <c r="FL12" i="12" l="1"/>
  <c r="GW2" i="12"/>
  <c r="D4" i="14" s="1"/>
  <c r="ES127" i="12"/>
  <c r="ES118" i="12"/>
  <c r="ER129" i="12"/>
  <c r="ES129" i="12" s="1"/>
  <c r="FQ110" i="12"/>
  <c r="FQ111" i="12" s="1"/>
  <c r="FQ112" i="12" s="1"/>
  <c r="FI121" i="12"/>
  <c r="FJ121" i="12" s="1"/>
  <c r="FL41" i="12"/>
  <c r="FL46" i="12"/>
  <c r="AQ41" i="12"/>
  <c r="AS56" i="12"/>
  <c r="AV44" i="12" s="1"/>
  <c r="AQ64" i="12"/>
  <c r="AR40" i="12"/>
  <c r="FQ176" i="12"/>
  <c r="FR87" i="12"/>
  <c r="B4" i="14"/>
  <c r="FL14" i="12" l="1"/>
  <c r="G3" i="15"/>
  <c r="ER141" i="12"/>
  <c r="FQ113" i="12"/>
  <c r="AQ42" i="12"/>
  <c r="AQ43" i="12" s="1"/>
  <c r="FK121" i="12"/>
  <c r="AQ46" i="12"/>
  <c r="AS57" i="12"/>
  <c r="AY45" i="12"/>
  <c r="AY44" i="12"/>
  <c r="AR41" i="12"/>
  <c r="AR42" i="12" s="1"/>
  <c r="FQ177" i="12"/>
  <c r="FR94" i="12"/>
  <c r="FU94" i="12" s="1"/>
  <c r="GR94" i="12" s="1"/>
  <c r="AQ91" i="12"/>
  <c r="ER142" i="12" l="1"/>
  <c r="ES142" i="12" s="1"/>
  <c r="FL16" i="12"/>
  <c r="FL31" i="12" s="1"/>
  <c r="ES141" i="12"/>
  <c r="ER144" i="12"/>
  <c r="ER145" i="12" s="1"/>
  <c r="ES145" i="12" s="1"/>
  <c r="AQ47" i="12"/>
  <c r="AQ48" i="12" s="1"/>
  <c r="AQ49" i="12" s="1"/>
  <c r="AR43" i="12"/>
  <c r="AR44" i="12" s="1"/>
  <c r="K21" i="12"/>
  <c r="FQ114" i="12"/>
  <c r="K20" i="12"/>
  <c r="AS58" i="12"/>
  <c r="AV46" i="12" s="1"/>
  <c r="AV45" i="12"/>
  <c r="FQ178" i="12"/>
  <c r="FR95" i="12"/>
  <c r="FR97" i="12" s="1"/>
  <c r="AQ92" i="12"/>
  <c r="FL43" i="12" l="1"/>
  <c r="ES144" i="12"/>
  <c r="ER149" i="12"/>
  <c r="AR46" i="12"/>
  <c r="AR45" i="12"/>
  <c r="FQ115" i="12"/>
  <c r="FQ116" i="12" s="1"/>
  <c r="AQ50" i="12"/>
  <c r="AS59" i="12"/>
  <c r="AY47" i="12"/>
  <c r="AY46" i="12"/>
  <c r="FQ179" i="12"/>
  <c r="FQ180" i="12" s="1"/>
  <c r="FU95" i="12"/>
  <c r="GR95" i="12" s="1"/>
  <c r="FR98" i="12"/>
  <c r="FU97" i="12"/>
  <c r="GR97" i="12" s="1"/>
  <c r="ER152" i="12" l="1"/>
  <c r="ET327" i="12" s="1"/>
  <c r="FL53" i="12"/>
  <c r="ET276" i="12"/>
  <c r="ET306" i="12"/>
  <c r="ET146" i="12"/>
  <c r="ET317" i="12"/>
  <c r="ET154" i="12"/>
  <c r="ET362" i="12"/>
  <c r="ET221" i="12"/>
  <c r="ET129" i="12"/>
  <c r="ET297" i="12"/>
  <c r="ET226" i="12"/>
  <c r="ET55" i="12"/>
  <c r="ET36" i="12"/>
  <c r="ET72" i="12"/>
  <c r="ET273" i="12"/>
  <c r="ET20" i="12"/>
  <c r="ET363" i="12"/>
  <c r="ET99" i="12"/>
  <c r="ET151" i="12"/>
  <c r="ET227" i="12"/>
  <c r="ET213" i="12"/>
  <c r="ET350" i="12"/>
  <c r="ET218" i="12"/>
  <c r="ET39" i="12"/>
  <c r="ET284" i="12"/>
  <c r="ET308" i="12"/>
  <c r="ET339" i="12"/>
  <c r="ET256" i="12"/>
  <c r="ET164" i="12"/>
  <c r="ET248" i="12"/>
  <c r="ET341" i="12"/>
  <c r="ET264" i="12"/>
  <c r="ET101" i="12"/>
  <c r="ET145" i="12"/>
  <c r="ET172" i="12"/>
  <c r="ET109" i="12"/>
  <c r="ET279" i="12"/>
  <c r="ET270" i="12"/>
  <c r="ET212" i="12"/>
  <c r="ET313" i="12"/>
  <c r="ET33" i="12"/>
  <c r="ET128" i="12"/>
  <c r="ET294" i="12"/>
  <c r="ET345" i="12"/>
  <c r="ET114" i="12"/>
  <c r="ET44" i="12"/>
  <c r="ET185" i="12"/>
  <c r="ET319" i="12"/>
  <c r="ET336" i="12"/>
  <c r="ET105" i="12"/>
  <c r="ET193" i="12"/>
  <c r="ET305" i="12"/>
  <c r="ET10" i="12"/>
  <c r="ET303" i="12"/>
  <c r="ET347" i="12"/>
  <c r="ET179" i="12"/>
  <c r="ET282" i="12"/>
  <c r="ET82" i="12"/>
  <c r="ET272" i="12"/>
  <c r="ET91" i="12"/>
  <c r="ET191" i="12"/>
  <c r="ET307" i="12"/>
  <c r="ET238" i="12"/>
  <c r="ET231" i="12"/>
  <c r="ET28" i="12"/>
  <c r="ET176" i="12"/>
  <c r="ET262" i="12"/>
  <c r="ET204" i="12"/>
  <c r="ET224" i="12"/>
  <c r="ET161" i="12"/>
  <c r="ET225" i="12"/>
  <c r="ET148" i="12"/>
  <c r="ET189" i="12"/>
  <c r="ET268" i="12"/>
  <c r="ET346" i="12"/>
  <c r="ET125" i="12"/>
  <c r="ET295" i="12"/>
  <c r="ET143" i="12"/>
  <c r="ET265" i="12"/>
  <c r="ET252" i="12"/>
  <c r="ET96" i="12"/>
  <c r="ET153" i="12"/>
  <c r="ET115" i="12"/>
  <c r="ET93" i="12"/>
  <c r="ET108" i="12"/>
  <c r="ET12" i="12"/>
  <c r="ET330" i="12"/>
  <c r="ET249" i="12"/>
  <c r="ET355" i="12"/>
  <c r="ET188" i="12"/>
  <c r="ET102" i="12"/>
  <c r="ET166" i="12"/>
  <c r="ET206" i="12"/>
  <c r="ET98" i="12"/>
  <c r="ET87" i="12"/>
  <c r="ET32" i="12"/>
  <c r="ET112" i="12"/>
  <c r="ET41" i="12"/>
  <c r="ET353" i="12"/>
  <c r="ET259" i="12"/>
  <c r="ET123" i="12"/>
  <c r="ET331" i="12"/>
  <c r="ET323" i="12"/>
  <c r="ET318" i="12"/>
  <c r="ET75" i="12"/>
  <c r="ET315" i="12"/>
  <c r="ET92" i="12"/>
  <c r="ET192" i="12"/>
  <c r="ET57" i="12"/>
  <c r="ET266" i="12"/>
  <c r="ET195" i="12"/>
  <c r="ET219" i="12"/>
  <c r="ET152" i="12"/>
  <c r="ET9" i="12"/>
  <c r="ET208" i="12"/>
  <c r="ET7" i="12"/>
  <c r="ET6" i="12"/>
  <c r="ET5" i="12"/>
  <c r="ET3" i="12"/>
  <c r="ET340" i="12"/>
  <c r="ET8" i="12"/>
  <c r="ET288" i="12"/>
  <c r="ET48" i="12"/>
  <c r="ET312" i="12"/>
  <c r="ET357" i="12"/>
  <c r="ET267" i="12"/>
  <c r="ET186" i="12"/>
  <c r="ET251" i="12"/>
  <c r="ET150" i="12"/>
  <c r="ET53" i="12"/>
  <c r="ET127" i="12"/>
  <c r="ES149" i="12"/>
  <c r="ET64" i="12"/>
  <c r="ET59" i="12"/>
  <c r="ET51" i="12"/>
  <c r="ET142" i="12"/>
  <c r="ET309" i="12"/>
  <c r="ET187" i="12"/>
  <c r="ET17" i="12"/>
  <c r="AR47" i="12"/>
  <c r="AR48" i="12" s="1"/>
  <c r="AR49" i="12" s="1"/>
  <c r="AR50" i="12" s="1"/>
  <c r="AR51" i="12" s="1"/>
  <c r="AR52" i="12" s="1"/>
  <c r="AR53" i="12" s="1"/>
  <c r="AR54" i="12" s="1"/>
  <c r="AR55" i="12" s="1"/>
  <c r="AR56" i="12" s="1"/>
  <c r="FQ117" i="12"/>
  <c r="FQ118" i="12" s="1"/>
  <c r="FQ119" i="12" s="1"/>
  <c r="FQ120" i="12" s="1"/>
  <c r="FQ121" i="12" s="1"/>
  <c r="FQ122" i="12" s="1"/>
  <c r="FQ123" i="12" s="1"/>
  <c r="FQ124" i="12" s="1"/>
  <c r="FQ158" i="12" s="1"/>
  <c r="AQ51" i="12"/>
  <c r="AQ71" i="12"/>
  <c r="AV47" i="12"/>
  <c r="AS60" i="12"/>
  <c r="FU98" i="12"/>
  <c r="GR98" i="12" s="1"/>
  <c r="FR99" i="12"/>
  <c r="ET322" i="12" l="1"/>
  <c r="ET78" i="12"/>
  <c r="ET237" i="12"/>
  <c r="ET200" i="12"/>
  <c r="ET31" i="12"/>
  <c r="ET239" i="12"/>
  <c r="ET103" i="12"/>
  <c r="ET113" i="12"/>
  <c r="ET296" i="12"/>
  <c r="ET65" i="12"/>
  <c r="ET156" i="12"/>
  <c r="ET40" i="12"/>
  <c r="ET194" i="12"/>
  <c r="ET126" i="12"/>
  <c r="ET352" i="12"/>
  <c r="ET74" i="12"/>
  <c r="ET310" i="12"/>
  <c r="ET298" i="12"/>
  <c r="ET167" i="12"/>
  <c r="ET47" i="12"/>
  <c r="ET136" i="12"/>
  <c r="ET62" i="12"/>
  <c r="ET304" i="12"/>
  <c r="ET173" i="12"/>
  <c r="ET138" i="12"/>
  <c r="ET280" i="12"/>
  <c r="ET159" i="12"/>
  <c r="ET21" i="12"/>
  <c r="ET181" i="12"/>
  <c r="ET121" i="12"/>
  <c r="EQ2" i="12"/>
  <c r="EV4" i="12" s="1"/>
  <c r="ET290" i="12"/>
  <c r="ET77" i="12"/>
  <c r="ET203" i="12"/>
  <c r="ET223" i="12"/>
  <c r="ET361" i="12"/>
  <c r="ET269" i="12"/>
  <c r="ET332" i="12"/>
  <c r="ET348" i="12"/>
  <c r="ET257" i="12"/>
  <c r="ET34" i="12"/>
  <c r="ET60" i="12"/>
  <c r="ET261" i="12"/>
  <c r="ET293" i="12"/>
  <c r="ET90" i="12"/>
  <c r="ET80" i="12"/>
  <c r="ET86" i="12"/>
  <c r="ET50" i="12"/>
  <c r="ET100" i="12"/>
  <c r="ET169" i="12"/>
  <c r="ET141" i="12"/>
  <c r="ET85" i="12"/>
  <c r="ET258" i="12"/>
  <c r="ET301" i="12"/>
  <c r="ET178" i="12"/>
  <c r="ET337" i="12"/>
  <c r="ET184" i="12"/>
  <c r="ET132" i="12"/>
  <c r="ET359" i="12"/>
  <c r="ET79" i="12"/>
  <c r="ET16" i="12"/>
  <c r="ET300" i="12"/>
  <c r="ET344" i="12"/>
  <c r="ET162" i="12"/>
  <c r="ET183" i="12"/>
  <c r="ET139" i="12"/>
  <c r="ET285" i="12"/>
  <c r="ET56" i="12"/>
  <c r="ET222" i="12"/>
  <c r="ET220" i="12"/>
  <c r="ET71" i="12"/>
  <c r="ET240" i="12"/>
  <c r="ET147" i="12"/>
  <c r="ET334" i="12"/>
  <c r="ET324" i="12"/>
  <c r="ET30" i="12"/>
  <c r="ET243" i="12"/>
  <c r="ET66" i="12"/>
  <c r="ET274" i="12"/>
  <c r="ET275" i="12"/>
  <c r="ET19" i="12"/>
  <c r="ET135" i="12"/>
  <c r="ET289" i="12"/>
  <c r="ET338" i="12"/>
  <c r="ET174" i="12"/>
  <c r="ET97" i="12"/>
  <c r="ET281" i="12"/>
  <c r="ET333" i="12"/>
  <c r="ET311" i="12"/>
  <c r="ET245" i="12"/>
  <c r="ET149" i="12"/>
  <c r="ET26" i="12"/>
  <c r="ET88" i="12"/>
  <c r="ET287" i="12"/>
  <c r="ET171" i="12"/>
  <c r="ET207" i="12"/>
  <c r="ET165" i="12"/>
  <c r="ET144" i="12"/>
  <c r="ET299" i="12"/>
  <c r="ET18" i="12"/>
  <c r="ET250" i="12"/>
  <c r="EV5" i="12"/>
  <c r="ET73" i="12"/>
  <c r="ET316" i="12"/>
  <c r="ET110" i="12"/>
  <c r="ET133" i="12"/>
  <c r="ET69" i="12"/>
  <c r="ET155" i="12"/>
  <c r="ET23" i="12"/>
  <c r="ET197" i="12"/>
  <c r="ET134" i="12"/>
  <c r="ET70" i="12"/>
  <c r="ET68" i="12"/>
  <c r="ET170" i="12"/>
  <c r="ET241" i="12"/>
  <c r="ET104" i="12"/>
  <c r="ET67" i="12"/>
  <c r="ET15" i="12"/>
  <c r="ET233" i="12"/>
  <c r="ET210" i="12"/>
  <c r="ET84" i="12"/>
  <c r="ET343" i="12"/>
  <c r="ET202" i="12"/>
  <c r="ET242" i="12"/>
  <c r="ET182" i="12"/>
  <c r="ET235" i="12"/>
  <c r="ET278" i="12"/>
  <c r="ET205" i="12"/>
  <c r="ET211" i="12"/>
  <c r="ET163" i="12"/>
  <c r="ET111" i="12"/>
  <c r="ET360" i="12"/>
  <c r="ET89" i="12"/>
  <c r="ET260" i="12"/>
  <c r="ET76" i="12"/>
  <c r="ET94" i="12"/>
  <c r="ET63" i="12"/>
  <c r="ET168" i="12"/>
  <c r="ET302" i="12"/>
  <c r="ET106" i="12"/>
  <c r="ET38" i="12"/>
  <c r="ET42" i="12"/>
  <c r="ET255" i="12"/>
  <c r="ET107" i="12"/>
  <c r="ET158" i="12"/>
  <c r="ET13" i="12"/>
  <c r="ET253" i="12"/>
  <c r="ET54" i="12"/>
  <c r="ET25" i="12"/>
  <c r="ET325" i="12"/>
  <c r="ET283" i="12"/>
  <c r="ET24" i="12"/>
  <c r="ET247" i="12"/>
  <c r="ET286" i="12"/>
  <c r="ET196" i="12"/>
  <c r="ET117" i="12"/>
  <c r="ET140" i="12"/>
  <c r="ET329" i="12"/>
  <c r="ET263" i="12"/>
  <c r="ET277" i="12"/>
  <c r="ET254" i="12"/>
  <c r="ET209" i="12"/>
  <c r="ET314" i="12"/>
  <c r="ET199" i="12"/>
  <c r="ET61" i="12"/>
  <c r="ET83" i="12"/>
  <c r="ET217" i="12"/>
  <c r="ET58" i="12"/>
  <c r="ET234" i="12"/>
  <c r="ET190" i="12"/>
  <c r="ET122" i="12"/>
  <c r="ET81" i="12"/>
  <c r="ET120" i="12"/>
  <c r="ET201" i="12"/>
  <c r="ET320" i="12"/>
  <c r="ET52" i="12"/>
  <c r="ET160" i="12"/>
  <c r="ET43" i="12"/>
  <c r="ET46" i="12"/>
  <c r="ET116" i="12"/>
  <c r="ET95" i="12"/>
  <c r="ET131" i="12"/>
  <c r="ET351" i="12"/>
  <c r="ET230" i="12"/>
  <c r="ET229" i="12"/>
  <c r="ET354" i="12"/>
  <c r="ET326" i="12"/>
  <c r="ET335" i="12"/>
  <c r="ET349" i="12"/>
  <c r="ET356" i="12"/>
  <c r="ET49" i="12"/>
  <c r="ET27" i="12"/>
  <c r="ET214" i="12"/>
  <c r="ET342" i="12"/>
  <c r="ET291" i="12"/>
  <c r="ET244" i="12"/>
  <c r="ET118" i="12"/>
  <c r="ET4" i="12"/>
  <c r="ET1" i="12" s="1"/>
  <c r="ET180" i="12"/>
  <c r="ET35" i="12"/>
  <c r="ET246" i="12"/>
  <c r="ET215" i="12"/>
  <c r="ET198" i="12"/>
  <c r="ET45" i="12"/>
  <c r="ET22" i="12"/>
  <c r="ES152" i="12"/>
  <c r="ET119" i="12"/>
  <c r="ET177" i="12"/>
  <c r="ET358" i="12"/>
  <c r="ET232" i="12"/>
  <c r="ET228" i="12"/>
  <c r="ET328" i="12"/>
  <c r="ET157" i="12"/>
  <c r="ET175" i="12"/>
  <c r="ET236" i="12"/>
  <c r="ET321" i="12"/>
  <c r="ET137" i="12"/>
  <c r="ET130" i="12"/>
  <c r="ET124" i="12"/>
  <c r="ET271" i="12"/>
  <c r="ET37" i="12"/>
  <c r="ET216" i="12"/>
  <c r="ET29" i="12"/>
  <c r="ET292" i="12"/>
  <c r="ET14" i="12"/>
  <c r="ET11" i="12"/>
  <c r="FL66" i="12"/>
  <c r="E3" i="2"/>
  <c r="AR57" i="12"/>
  <c r="AR58" i="12" s="1"/>
  <c r="EM203" i="12"/>
  <c r="EM204" i="12" s="1"/>
  <c r="EM205" i="12" s="1"/>
  <c r="EM206" i="12" s="1"/>
  <c r="FQ159" i="12"/>
  <c r="K23" i="12"/>
  <c r="AQ52" i="12"/>
  <c r="AS61" i="12"/>
  <c r="AY49" i="12" s="1"/>
  <c r="AV48" i="12"/>
  <c r="AY48" i="12"/>
  <c r="AV49" i="12"/>
  <c r="FR100" i="12"/>
  <c r="FU99" i="12"/>
  <c r="GR99" i="12" s="1"/>
  <c r="AQ95" i="12"/>
  <c r="FL72" i="12" l="1"/>
  <c r="FQ160" i="12"/>
  <c r="FQ161" i="12" s="1"/>
  <c r="FQ169" i="12" s="1"/>
  <c r="K24" i="12"/>
  <c r="AQ53" i="12"/>
  <c r="AS62" i="12"/>
  <c r="AR59" i="12"/>
  <c r="FR101" i="12"/>
  <c r="FU100" i="12"/>
  <c r="GR100" i="12" s="1"/>
  <c r="FL79" i="12" l="1"/>
  <c r="FQ170" i="12"/>
  <c r="FQ171" i="12" s="1"/>
  <c r="FQ172" i="12" s="1"/>
  <c r="FQ173" i="12" s="1"/>
  <c r="FQ174" i="12" s="1"/>
  <c r="K25" i="12"/>
  <c r="AQ54" i="12"/>
  <c r="AQ57" i="12" s="1"/>
  <c r="AS63" i="12"/>
  <c r="AR60" i="12"/>
  <c r="FU101" i="12"/>
  <c r="GR101" i="12" s="1"/>
  <c r="FR102" i="12"/>
  <c r="FL80" i="12" l="1"/>
  <c r="GC1" i="12"/>
  <c r="GK1" i="12"/>
  <c r="FR2" i="12"/>
  <c r="AQ58" i="12"/>
  <c r="AQ59" i="12" s="1"/>
  <c r="JG5" i="12"/>
  <c r="AQ60" i="12"/>
  <c r="AQ63" i="12" s="1"/>
  <c r="AS64" i="12"/>
  <c r="AS65" i="12" s="1"/>
  <c r="AS66" i="12" s="1"/>
  <c r="AS67" i="12" s="1"/>
  <c r="AS68" i="12" s="1"/>
  <c r="AS69" i="12" s="1"/>
  <c r="AS70" i="12" s="1"/>
  <c r="AS71" i="12" s="1"/>
  <c r="AS72" i="12" s="1"/>
  <c r="AS73" i="12" s="1"/>
  <c r="AS74" i="12" s="1"/>
  <c r="AS75" i="12" s="1"/>
  <c r="AS76" i="12" s="1"/>
  <c r="AS77" i="12" s="1"/>
  <c r="AS78" i="12" s="1"/>
  <c r="AS79" i="12" s="1"/>
  <c r="AS80" i="12" s="1"/>
  <c r="AS81" i="12" s="1"/>
  <c r="AS82" i="12" s="1"/>
  <c r="AS83" i="12" s="1"/>
  <c r="AS84" i="12" s="1"/>
  <c r="AS85" i="12" s="1"/>
  <c r="AS86" i="12" s="1"/>
  <c r="AS87" i="12" s="1"/>
  <c r="AS88" i="12" s="1"/>
  <c r="AS89" i="12" s="1"/>
  <c r="AS90" i="12" s="1"/>
  <c r="AS91" i="12" s="1"/>
  <c r="AS92" i="12" s="1"/>
  <c r="AS93" i="12" s="1"/>
  <c r="AS94" i="12" s="1"/>
  <c r="AS95" i="12" s="1"/>
  <c r="AS96" i="12" s="1"/>
  <c r="AS97" i="12" s="1"/>
  <c r="AS98" i="12" s="1"/>
  <c r="AS99" i="12" s="1"/>
  <c r="AS100" i="12" s="1"/>
  <c r="AS101" i="12" s="1"/>
  <c r="AS102" i="12" s="1"/>
  <c r="AS103" i="12" s="1"/>
  <c r="AS104" i="12" s="1"/>
  <c r="AS105" i="12" s="1"/>
  <c r="AS106" i="12" s="1"/>
  <c r="AS107" i="12" s="1"/>
  <c r="AS108" i="12" s="1"/>
  <c r="AS109" i="12" s="1"/>
  <c r="AS110" i="12" s="1"/>
  <c r="AS111" i="12" s="1"/>
  <c r="AS112" i="12" s="1"/>
  <c r="AS113" i="12" s="1"/>
  <c r="AS114" i="12" s="1"/>
  <c r="AS115" i="12" s="1"/>
  <c r="AS116" i="12" s="1"/>
  <c r="AS117" i="12" s="1"/>
  <c r="AS118" i="12" s="1"/>
  <c r="AS119" i="12" s="1"/>
  <c r="AS120" i="12" s="1"/>
  <c r="AS121" i="12" s="1"/>
  <c r="AS122" i="12" s="1"/>
  <c r="AS123" i="12" s="1"/>
  <c r="AS124" i="12" s="1"/>
  <c r="AS125" i="12" s="1"/>
  <c r="AS126" i="12" s="1"/>
  <c r="AS127" i="12" s="1"/>
  <c r="AS128" i="12" s="1"/>
  <c r="AS129" i="12" s="1"/>
  <c r="AS130" i="12" s="1"/>
  <c r="AS131" i="12" s="1"/>
  <c r="AS132" i="12" s="1"/>
  <c r="AS133" i="12" s="1"/>
  <c r="AS134" i="12" s="1"/>
  <c r="AS135" i="12" s="1"/>
  <c r="AS136" i="12" s="1"/>
  <c r="AS137" i="12" s="1"/>
  <c r="AS138" i="12" s="1"/>
  <c r="AS139" i="12" s="1"/>
  <c r="AS140" i="12" s="1"/>
  <c r="AS141" i="12" s="1"/>
  <c r="AS142" i="12" s="1"/>
  <c r="AS143" i="12" s="1"/>
  <c r="AS144" i="12" s="1"/>
  <c r="AS145" i="12" s="1"/>
  <c r="AS146" i="12" s="1"/>
  <c r="AS147" i="12" s="1"/>
  <c r="AS148" i="12" s="1"/>
  <c r="AS149" i="12" s="1"/>
  <c r="AS150" i="12" s="1"/>
  <c r="AS151" i="12" s="1"/>
  <c r="AS152" i="12" s="1"/>
  <c r="AS153" i="12" s="1"/>
  <c r="AS154" i="12" s="1"/>
  <c r="AS155" i="12" s="1"/>
  <c r="AS156" i="12" s="1"/>
  <c r="AS157" i="12" s="1"/>
  <c r="AS158" i="12" s="1"/>
  <c r="AS159" i="12" s="1"/>
  <c r="AS160" i="12" s="1"/>
  <c r="AS161" i="12" s="1"/>
  <c r="AS162" i="12" s="1"/>
  <c r="AS163" i="12" s="1"/>
  <c r="AS164" i="12" s="1"/>
  <c r="AS165" i="12" s="1"/>
  <c r="AS166" i="12" s="1"/>
  <c r="AS167" i="12" s="1"/>
  <c r="AS168" i="12" s="1"/>
  <c r="AS169" i="12" s="1"/>
  <c r="AS170" i="12" s="1"/>
  <c r="AS171" i="12" s="1"/>
  <c r="AS172" i="12" s="1"/>
  <c r="AS173" i="12" s="1"/>
  <c r="AS174" i="12" s="1"/>
  <c r="AS175" i="12" s="1"/>
  <c r="AS176" i="12" s="1"/>
  <c r="AS177" i="12" s="1"/>
  <c r="AS178" i="12" s="1"/>
  <c r="AS179" i="12" s="1"/>
  <c r="AS180" i="12" s="1"/>
  <c r="AS181" i="12" s="1"/>
  <c r="AS182" i="12" s="1"/>
  <c r="AS183" i="12" s="1"/>
  <c r="AS184" i="12" s="1"/>
  <c r="AS185" i="12" s="1"/>
  <c r="AS186" i="12" s="1"/>
  <c r="AV50" i="12"/>
  <c r="AR61" i="12"/>
  <c r="JG7" i="12"/>
  <c r="JI7" i="12" s="1"/>
  <c r="FU102" i="12"/>
  <c r="GR102" i="12" s="1"/>
  <c r="FR103" i="12"/>
  <c r="FL82" i="12" l="1"/>
  <c r="AQ65" i="12"/>
  <c r="AQ66" i="12"/>
  <c r="AQ67" i="12" s="1"/>
  <c r="AQ68" i="12" s="1"/>
  <c r="AV58" i="12"/>
  <c r="AY69" i="12"/>
  <c r="AV63" i="12"/>
  <c r="AY130" i="12"/>
  <c r="AV94" i="12"/>
  <c r="AV121" i="12"/>
  <c r="AV126" i="12"/>
  <c r="AV76" i="12"/>
  <c r="AV122" i="12"/>
  <c r="AY55" i="12"/>
  <c r="AY137" i="12"/>
  <c r="AY131" i="12"/>
  <c r="AY127" i="12"/>
  <c r="AY146" i="12"/>
  <c r="AV96" i="12"/>
  <c r="AY138" i="12"/>
  <c r="AY94" i="12"/>
  <c r="AV87" i="12"/>
  <c r="AY63" i="12"/>
  <c r="AY73" i="12"/>
  <c r="AY96" i="12"/>
  <c r="AV127" i="12"/>
  <c r="AY64" i="12"/>
  <c r="AS187" i="12"/>
  <c r="AS188" i="12" s="1"/>
  <c r="AS189" i="12" s="1"/>
  <c r="AS190" i="12" s="1"/>
  <c r="AS191" i="12" s="1"/>
  <c r="AS192" i="12" s="1"/>
  <c r="AV21" i="12" s="1"/>
  <c r="AV78" i="12"/>
  <c r="AY53" i="12"/>
  <c r="AV92" i="12"/>
  <c r="AY97" i="12"/>
  <c r="AV128" i="12"/>
  <c r="AV83" i="12"/>
  <c r="AY139" i="12"/>
  <c r="AV148" i="12"/>
  <c r="AV116" i="12"/>
  <c r="AY51" i="12"/>
  <c r="AY81" i="12"/>
  <c r="AV115" i="12"/>
  <c r="AV98" i="12"/>
  <c r="AV95" i="12"/>
  <c r="AV74" i="12"/>
  <c r="AY157" i="12"/>
  <c r="AV65" i="12"/>
  <c r="AY95" i="12"/>
  <c r="AV133" i="12"/>
  <c r="AY74" i="12"/>
  <c r="AY121" i="12"/>
  <c r="AV71" i="12"/>
  <c r="AV112" i="12"/>
  <c r="AV149" i="12"/>
  <c r="AV105" i="12"/>
  <c r="AV89" i="12"/>
  <c r="AV129" i="12"/>
  <c r="AV114" i="12"/>
  <c r="AV60" i="12"/>
  <c r="AY117" i="12"/>
  <c r="AV146" i="12"/>
  <c r="AY88" i="12"/>
  <c r="AY143" i="12"/>
  <c r="AY85" i="12"/>
  <c r="AY113" i="12"/>
  <c r="AY145" i="12"/>
  <c r="AV97" i="12"/>
  <c r="AY132" i="12"/>
  <c r="AY87" i="12"/>
  <c r="AV51" i="12"/>
  <c r="AV55" i="12"/>
  <c r="AY111" i="12"/>
  <c r="AY151" i="12"/>
  <c r="AY134" i="12"/>
  <c r="AY56" i="12"/>
  <c r="AV141" i="12"/>
  <c r="AY58" i="12"/>
  <c r="AV81" i="12"/>
  <c r="AY99" i="12"/>
  <c r="AV123" i="12"/>
  <c r="AV59" i="12"/>
  <c r="AV138" i="12"/>
  <c r="AV67" i="12"/>
  <c r="AV140" i="12"/>
  <c r="AY115" i="12"/>
  <c r="AY84" i="12"/>
  <c r="AV73" i="12"/>
  <c r="AY133" i="12"/>
  <c r="AY59" i="12"/>
  <c r="AV77" i="12"/>
  <c r="AV139" i="12"/>
  <c r="AV111" i="12"/>
  <c r="AY101" i="12"/>
  <c r="AY120" i="12"/>
  <c r="AY66" i="12"/>
  <c r="AV88" i="12"/>
  <c r="AY83" i="12"/>
  <c r="AY125" i="12"/>
  <c r="AY116" i="12"/>
  <c r="AV124" i="12"/>
  <c r="AY60" i="12"/>
  <c r="AY150" i="12"/>
  <c r="AY61" i="12"/>
  <c r="AY50" i="12"/>
  <c r="AY129" i="12"/>
  <c r="AY75" i="12"/>
  <c r="AY72" i="12"/>
  <c r="AY78" i="12"/>
  <c r="AY70" i="12"/>
  <c r="AV93" i="12"/>
  <c r="AV134" i="12"/>
  <c r="AY77" i="12"/>
  <c r="AY108" i="12"/>
  <c r="AY147" i="12"/>
  <c r="AV57" i="12"/>
  <c r="AY57" i="12"/>
  <c r="AY98" i="12"/>
  <c r="AV54" i="12"/>
  <c r="AY112" i="12"/>
  <c r="AY90" i="12"/>
  <c r="AY144" i="12"/>
  <c r="AV144" i="12"/>
  <c r="AV79" i="12"/>
  <c r="AY82" i="12"/>
  <c r="AY124" i="12"/>
  <c r="AY110" i="12"/>
  <c r="AV143" i="12"/>
  <c r="AV56" i="12"/>
  <c r="AV100" i="12"/>
  <c r="AV82" i="12"/>
  <c r="AY68" i="12"/>
  <c r="AV108" i="12"/>
  <c r="AY76" i="12"/>
  <c r="AV72" i="12"/>
  <c r="AV84" i="12"/>
  <c r="AY141" i="12"/>
  <c r="AV137" i="12"/>
  <c r="AV85" i="12"/>
  <c r="AY107" i="12"/>
  <c r="AY136" i="12"/>
  <c r="AV107" i="12"/>
  <c r="AY67" i="12"/>
  <c r="AV135" i="12"/>
  <c r="AV120" i="12"/>
  <c r="AY103" i="12"/>
  <c r="AY100" i="12"/>
  <c r="AV103" i="12"/>
  <c r="AY93" i="12"/>
  <c r="AY71" i="12"/>
  <c r="AV125" i="12"/>
  <c r="AY128" i="12"/>
  <c r="AY105" i="12"/>
  <c r="AV110" i="12"/>
  <c r="AV132" i="12"/>
  <c r="AV75" i="12"/>
  <c r="AV101" i="12"/>
  <c r="AV142" i="12"/>
  <c r="AV53" i="12"/>
  <c r="AY54" i="12"/>
  <c r="AY122" i="12"/>
  <c r="AV52" i="12"/>
  <c r="AY149" i="12"/>
  <c r="AY91" i="12"/>
  <c r="AV90" i="12"/>
  <c r="AV102" i="12"/>
  <c r="AY140" i="12"/>
  <c r="AV80" i="12"/>
  <c r="AY52" i="12"/>
  <c r="AY135" i="12"/>
  <c r="AY119" i="12"/>
  <c r="AY109" i="12"/>
  <c r="AV70" i="12"/>
  <c r="AV62" i="12"/>
  <c r="AY62" i="12"/>
  <c r="AV145" i="12"/>
  <c r="AV61" i="12"/>
  <c r="AV68" i="12"/>
  <c r="AY89" i="12"/>
  <c r="AY80" i="12"/>
  <c r="AY102" i="12"/>
  <c r="AY106" i="12"/>
  <c r="AV64" i="12"/>
  <c r="AY104" i="12"/>
  <c r="AV117" i="12"/>
  <c r="AV147" i="12"/>
  <c r="AV131" i="12"/>
  <c r="AV99" i="12"/>
  <c r="AY148" i="12"/>
  <c r="AY114" i="12"/>
  <c r="AV86" i="12"/>
  <c r="AY118" i="12"/>
  <c r="AV69" i="12"/>
  <c r="AY123" i="12"/>
  <c r="AV66" i="12"/>
  <c r="AV113" i="12"/>
  <c r="AY86" i="12"/>
  <c r="AV119" i="12"/>
  <c r="AV104" i="12"/>
  <c r="AY79" i="12"/>
  <c r="AV109" i="12"/>
  <c r="AY126" i="12"/>
  <c r="AY65" i="12"/>
  <c r="AV118" i="12"/>
  <c r="AV91" i="12"/>
  <c r="AV155" i="12"/>
  <c r="AY142" i="12"/>
  <c r="AV151" i="12"/>
  <c r="AY92" i="12"/>
  <c r="AV136" i="12"/>
  <c r="AV150" i="12"/>
  <c r="AV130" i="12"/>
  <c r="AV106" i="12"/>
  <c r="AR63" i="12"/>
  <c r="FU103" i="12"/>
  <c r="GR103" i="12" s="1"/>
  <c r="FR104" i="12"/>
  <c r="AQ72" i="12" l="1"/>
  <c r="FL96" i="12"/>
  <c r="AY155" i="12"/>
  <c r="AV154" i="12"/>
  <c r="AV159" i="12"/>
  <c r="AV158" i="12"/>
  <c r="AY156" i="12"/>
  <c r="AY173" i="12"/>
  <c r="AV161" i="12"/>
  <c r="AY160" i="12"/>
  <c r="AY154" i="12"/>
  <c r="AV153" i="12"/>
  <c r="AY153" i="12"/>
  <c r="AV152" i="12"/>
  <c r="AV156" i="12"/>
  <c r="AY158" i="12"/>
  <c r="AY152" i="12"/>
  <c r="AV157" i="12"/>
  <c r="AV169" i="12"/>
  <c r="AV164" i="12"/>
  <c r="AY159" i="12"/>
  <c r="AY193" i="12"/>
  <c r="AV166" i="12"/>
  <c r="AY198" i="12"/>
  <c r="AY162" i="12"/>
  <c r="AV168" i="12"/>
  <c r="AY168" i="12"/>
  <c r="AY161" i="12"/>
  <c r="AY166" i="12"/>
  <c r="AY169" i="12"/>
  <c r="AV165" i="12"/>
  <c r="AV167" i="12"/>
  <c r="AY170" i="12"/>
  <c r="AV177" i="12"/>
  <c r="AY178" i="12"/>
  <c r="AV180" i="12"/>
  <c r="AV160" i="12"/>
  <c r="AY167" i="12"/>
  <c r="AY165" i="12"/>
  <c r="AV162" i="12"/>
  <c r="AY163" i="12"/>
  <c r="AV170" i="12"/>
  <c r="AV181" i="12"/>
  <c r="AY164" i="12"/>
  <c r="AV163" i="12"/>
  <c r="AV172" i="12"/>
  <c r="AY172" i="12"/>
  <c r="AV179" i="12"/>
  <c r="AV171" i="12"/>
  <c r="AY176" i="12"/>
  <c r="AV175" i="12"/>
  <c r="AY179" i="12"/>
  <c r="AV178" i="12"/>
  <c r="AY177" i="12"/>
  <c r="AY194" i="12"/>
  <c r="AV192" i="12"/>
  <c r="AV176" i="12"/>
  <c r="AV200" i="12"/>
  <c r="AY171" i="12"/>
  <c r="AY186" i="12"/>
  <c r="AY175" i="12"/>
  <c r="AY180" i="12"/>
  <c r="AV185" i="12"/>
  <c r="AY202" i="12"/>
  <c r="AV174" i="12"/>
  <c r="AY181" i="12"/>
  <c r="AY174" i="12"/>
  <c r="AV173" i="12"/>
  <c r="AV208" i="12"/>
  <c r="AY190" i="12"/>
  <c r="AY213" i="12"/>
  <c r="AY218" i="12"/>
  <c r="AY219" i="12"/>
  <c r="AV197" i="12"/>
  <c r="AV183" i="12"/>
  <c r="AY183" i="12"/>
  <c r="AY206" i="12"/>
  <c r="AY209" i="12"/>
  <c r="AV184" i="12"/>
  <c r="AY203" i="12"/>
  <c r="AV203" i="12"/>
  <c r="AY199" i="12"/>
  <c r="AV204" i="12"/>
  <c r="AV182" i="12"/>
  <c r="AV194" i="12"/>
  <c r="AY216" i="12"/>
  <c r="AV211" i="12"/>
  <c r="AY210" i="12"/>
  <c r="AV213" i="12"/>
  <c r="AY187" i="12"/>
  <c r="AV217" i="12"/>
  <c r="AV195" i="12"/>
  <c r="AY188" i="12"/>
  <c r="AY212" i="12"/>
  <c r="AV187" i="12"/>
  <c r="AV193" i="12"/>
  <c r="AV198" i="12"/>
  <c r="AY220" i="12"/>
  <c r="AV186" i="12"/>
  <c r="AV205" i="12"/>
  <c r="AV207" i="12"/>
  <c r="AY208" i="12"/>
  <c r="AY207" i="12"/>
  <c r="AV196" i="12"/>
  <c r="AV219" i="12"/>
  <c r="AV209" i="12"/>
  <c r="AV215" i="12"/>
  <c r="AY195" i="12"/>
  <c r="AY189" i="12"/>
  <c r="AV202" i="12"/>
  <c r="AV212" i="12"/>
  <c r="AY200" i="12"/>
  <c r="AV199" i="12"/>
  <c r="AY211" i="12"/>
  <c r="AY184" i="12"/>
  <c r="AV190" i="12"/>
  <c r="AY182" i="12"/>
  <c r="AY197" i="12"/>
  <c r="AV201" i="12"/>
  <c r="AY214" i="12"/>
  <c r="AV191" i="12"/>
  <c r="AY205" i="12"/>
  <c r="AQ73" i="12"/>
  <c r="AQ74" i="12" s="1"/>
  <c r="AV214" i="12"/>
  <c r="AV189" i="12"/>
  <c r="AV216" i="12"/>
  <c r="AY196" i="12"/>
  <c r="AY192" i="12"/>
  <c r="AV218" i="12"/>
  <c r="AY204" i="12"/>
  <c r="AY217" i="12"/>
  <c r="AY185" i="12"/>
  <c r="AV206" i="12"/>
  <c r="AV220" i="12"/>
  <c r="AY191" i="12"/>
  <c r="AV188" i="12"/>
  <c r="AY215" i="12"/>
  <c r="AV210" i="12"/>
  <c r="AY201" i="12"/>
  <c r="AQ93" i="12"/>
  <c r="AQ94" i="12" s="1"/>
  <c r="AR65" i="12"/>
  <c r="AR66" i="12" s="1"/>
  <c r="FU104" i="12"/>
  <c r="GR104" i="12" s="1"/>
  <c r="FR105" i="12"/>
  <c r="FL121" i="12" l="1"/>
  <c r="BE12" i="12" s="1"/>
  <c r="AQ75" i="12"/>
  <c r="AQ76" i="12" s="1"/>
  <c r="AQ77" i="12" s="1"/>
  <c r="AR67" i="12"/>
  <c r="FU105" i="12"/>
  <c r="GR105" i="12" s="1"/>
  <c r="FR106" i="12"/>
  <c r="BD10" i="12" l="1"/>
  <c r="BD13" i="12"/>
  <c r="BD21" i="12"/>
  <c r="BD6" i="12"/>
  <c r="BD3" i="12"/>
  <c r="BE5" i="12"/>
  <c r="BB3" i="12"/>
  <c r="DG3" i="12" s="1"/>
  <c r="BB5" i="12"/>
  <c r="BD5" i="12"/>
  <c r="BE3" i="12"/>
  <c r="BE6" i="12"/>
  <c r="BB6" i="12"/>
  <c r="BE4" i="12"/>
  <c r="BD4" i="12"/>
  <c r="BB4" i="12"/>
  <c r="BB7" i="12"/>
  <c r="BE7" i="12"/>
  <c r="BB8" i="12"/>
  <c r="BD7" i="12"/>
  <c r="BE8" i="12"/>
  <c r="BE11" i="12"/>
  <c r="BD9" i="12"/>
  <c r="BB10" i="12"/>
  <c r="BB9" i="12"/>
  <c r="BE9" i="12"/>
  <c r="BD8" i="12"/>
  <c r="BE13" i="12"/>
  <c r="BD15" i="12"/>
  <c r="BD12" i="12"/>
  <c r="BB14" i="12"/>
  <c r="BB13" i="12"/>
  <c r="BD11" i="12"/>
  <c r="BE10" i="12"/>
  <c r="BD14" i="12"/>
  <c r="BB12" i="12"/>
  <c r="BB11" i="12"/>
  <c r="BE62" i="12"/>
  <c r="BE93" i="12"/>
  <c r="BB80" i="12"/>
  <c r="BA80" i="12" s="1"/>
  <c r="BE69" i="12"/>
  <c r="BB36" i="12"/>
  <c r="HN36" i="12" s="1"/>
  <c r="HQ36" i="12" s="1"/>
  <c r="BD101" i="12"/>
  <c r="BB50" i="12"/>
  <c r="BC50" i="12" s="1"/>
  <c r="BB46" i="12"/>
  <c r="ED46" i="12" s="1"/>
  <c r="BD50" i="12"/>
  <c r="BD63" i="12"/>
  <c r="BB81" i="12"/>
  <c r="BE22" i="12"/>
  <c r="BB101" i="12"/>
  <c r="BE102" i="12"/>
  <c r="BB89" i="12"/>
  <c r="BE39" i="12"/>
  <c r="BB102" i="12"/>
  <c r="BD28" i="12"/>
  <c r="BB67" i="12"/>
  <c r="BD67" i="12"/>
  <c r="BB66" i="12"/>
  <c r="BE67" i="12"/>
  <c r="BE100" i="12"/>
  <c r="BD68" i="12"/>
  <c r="BD78" i="12"/>
  <c r="BD42" i="12"/>
  <c r="BB57" i="12"/>
  <c r="BD39" i="12"/>
  <c r="BB92" i="12"/>
  <c r="BD17" i="12"/>
  <c r="BE57" i="12"/>
  <c r="BE21" i="12"/>
  <c r="BD90" i="12"/>
  <c r="BE61" i="12"/>
  <c r="BD37" i="12"/>
  <c r="BE66" i="12"/>
  <c r="BE73" i="12"/>
  <c r="BD46" i="12"/>
  <c r="BB26" i="12"/>
  <c r="BE17" i="12"/>
  <c r="BB65" i="12"/>
  <c r="BE42" i="12"/>
  <c r="BB40" i="12"/>
  <c r="BD20" i="12"/>
  <c r="BE70" i="12"/>
  <c r="BB29" i="12"/>
  <c r="BE98" i="12"/>
  <c r="BD53" i="12"/>
  <c r="BE75" i="12"/>
  <c r="BB68" i="12"/>
  <c r="BE82" i="12"/>
  <c r="BE16" i="12"/>
  <c r="BB41" i="12"/>
  <c r="BD19" i="12"/>
  <c r="BB61" i="12"/>
  <c r="BD87" i="12"/>
  <c r="BB90" i="12"/>
  <c r="BD83" i="12"/>
  <c r="BB22" i="12"/>
  <c r="BB96" i="12"/>
  <c r="BE96" i="12"/>
  <c r="BB62" i="12"/>
  <c r="BE33" i="12"/>
  <c r="BB42" i="12"/>
  <c r="BE84" i="12"/>
  <c r="BB54" i="12"/>
  <c r="BB25" i="12"/>
  <c r="BB93" i="12"/>
  <c r="BB82" i="12"/>
  <c r="BB16" i="12"/>
  <c r="BB84" i="12"/>
  <c r="BB52" i="12"/>
  <c r="BD33" i="12"/>
  <c r="BD69" i="12"/>
  <c r="BB31" i="12"/>
  <c r="BD89" i="12"/>
  <c r="BB27" i="12"/>
  <c r="BD70" i="12"/>
  <c r="BD80" i="12"/>
  <c r="BD102" i="12"/>
  <c r="BE83" i="12"/>
  <c r="BB74" i="12"/>
  <c r="BB73" i="12"/>
  <c r="BB18" i="12"/>
  <c r="BD36" i="12"/>
  <c r="BE27" i="12"/>
  <c r="BE64" i="12"/>
  <c r="BD27" i="12"/>
  <c r="BB97" i="12"/>
  <c r="BD45" i="12"/>
  <c r="BB44" i="12"/>
  <c r="BB88" i="12"/>
  <c r="BE81" i="12"/>
  <c r="BB15" i="12"/>
  <c r="BE99" i="12"/>
  <c r="BD92" i="12"/>
  <c r="BD71" i="12"/>
  <c r="BE92" i="12"/>
  <c r="BE60" i="12"/>
  <c r="BD16" i="12"/>
  <c r="BE28" i="12"/>
  <c r="BE32" i="12"/>
  <c r="BE89" i="12"/>
  <c r="BB98" i="12"/>
  <c r="BD66" i="12"/>
  <c r="BD35" i="12"/>
  <c r="BE91" i="12"/>
  <c r="BB34" i="12"/>
  <c r="BE101" i="12"/>
  <c r="BB20" i="12"/>
  <c r="BE53" i="12"/>
  <c r="BD73" i="12"/>
  <c r="BD86" i="12"/>
  <c r="BB30" i="12"/>
  <c r="BD24" i="12"/>
  <c r="BE44" i="12"/>
  <c r="BD77" i="12"/>
  <c r="BB63" i="12"/>
  <c r="BB33" i="12"/>
  <c r="BB86" i="12"/>
  <c r="BE97" i="12"/>
  <c r="BD49" i="12"/>
  <c r="BE87" i="12"/>
  <c r="BB59" i="12"/>
  <c r="BE46" i="12"/>
  <c r="BE85" i="12"/>
  <c r="BD72" i="12"/>
  <c r="BD60" i="12"/>
  <c r="BB75" i="12"/>
  <c r="BD25" i="12"/>
  <c r="BD31" i="12"/>
  <c r="BB32" i="12"/>
  <c r="BE68" i="12"/>
  <c r="BD43" i="12"/>
  <c r="BD54" i="12"/>
  <c r="BE78" i="12"/>
  <c r="BE14" i="12"/>
  <c r="BB100" i="12"/>
  <c r="BB17" i="12"/>
  <c r="BD51" i="12"/>
  <c r="BB38" i="12"/>
  <c r="BE29" i="12"/>
  <c r="BB56" i="12"/>
  <c r="BE48" i="12"/>
  <c r="BB24" i="12"/>
  <c r="BE40" i="12"/>
  <c r="BD97" i="12"/>
  <c r="BD76" i="12"/>
  <c r="BD74" i="12"/>
  <c r="BD82" i="12"/>
  <c r="BB58" i="12"/>
  <c r="BD65" i="12"/>
  <c r="BD18" i="12"/>
  <c r="BE65" i="12"/>
  <c r="BE51" i="12"/>
  <c r="BB55" i="12"/>
  <c r="BE54" i="12"/>
  <c r="BD62" i="12"/>
  <c r="BE19" i="12"/>
  <c r="BB21" i="12"/>
  <c r="BB83" i="12"/>
  <c r="BB45" i="12"/>
  <c r="BD58" i="12"/>
  <c r="BD93" i="12"/>
  <c r="BB95" i="12"/>
  <c r="BB48" i="12"/>
  <c r="BD56" i="12"/>
  <c r="BE18" i="12"/>
  <c r="BE52" i="12"/>
  <c r="BB35" i="12"/>
  <c r="BB28" i="12"/>
  <c r="BB60" i="12"/>
  <c r="BE90" i="12"/>
  <c r="BE72" i="12"/>
  <c r="BE50" i="12"/>
  <c r="HM50" i="12" s="1"/>
  <c r="HP50" i="12" s="1"/>
  <c r="BE23" i="12"/>
  <c r="BE36" i="12"/>
  <c r="BE74" i="12"/>
  <c r="BD88" i="12"/>
  <c r="BD48" i="12"/>
  <c r="BB91" i="12"/>
  <c r="BE95" i="12"/>
  <c r="BE77" i="12"/>
  <c r="BB51" i="12"/>
  <c r="BE56" i="12"/>
  <c r="BB99" i="12"/>
  <c r="BD100" i="12"/>
  <c r="BB77" i="12"/>
  <c r="BD75" i="12"/>
  <c r="BD34" i="12"/>
  <c r="BE31" i="12"/>
  <c r="BD38" i="12"/>
  <c r="BD81" i="12"/>
  <c r="BB69" i="12"/>
  <c r="BE38" i="12"/>
  <c r="BD99" i="12"/>
  <c r="BE49" i="12"/>
  <c r="BD30" i="12"/>
  <c r="BD98" i="12"/>
  <c r="BE94" i="12"/>
  <c r="BD44" i="12"/>
  <c r="BB94" i="12"/>
  <c r="BD57" i="12"/>
  <c r="BE30" i="12"/>
  <c r="BE37" i="12"/>
  <c r="BD94" i="12"/>
  <c r="BB47" i="12"/>
  <c r="BE25" i="12"/>
  <c r="BB72" i="12"/>
  <c r="BE71" i="12"/>
  <c r="BD23" i="12"/>
  <c r="BD79" i="12"/>
  <c r="BD55" i="12"/>
  <c r="BE76" i="12"/>
  <c r="BE47" i="12"/>
  <c r="BE63" i="12"/>
  <c r="BB37" i="12"/>
  <c r="BE20" i="12"/>
  <c r="BB23" i="12"/>
  <c r="BB43" i="12"/>
  <c r="BE34" i="12"/>
  <c r="BB76" i="12"/>
  <c r="BD85" i="12"/>
  <c r="BD32" i="12"/>
  <c r="BE58" i="12"/>
  <c r="BB78" i="12"/>
  <c r="BB64" i="12"/>
  <c r="BB49" i="12"/>
  <c r="BD95" i="12"/>
  <c r="BE24" i="12"/>
  <c r="BE26" i="12"/>
  <c r="BD84" i="12"/>
  <c r="BE41" i="12"/>
  <c r="BB87" i="12"/>
  <c r="BE80" i="12"/>
  <c r="BB53" i="12"/>
  <c r="BE79" i="12"/>
  <c r="BE15" i="12"/>
  <c r="BB71" i="12"/>
  <c r="BD96" i="12"/>
  <c r="BD29" i="12"/>
  <c r="BE45" i="12"/>
  <c r="BD41" i="12"/>
  <c r="BB19" i="12"/>
  <c r="BD64" i="12"/>
  <c r="BB70" i="12"/>
  <c r="BE35" i="12"/>
  <c r="BD47" i="12"/>
  <c r="BD61" i="12"/>
  <c r="BE43" i="12"/>
  <c r="BD26" i="12"/>
  <c r="BD22" i="12"/>
  <c r="BD59" i="12"/>
  <c r="BD40" i="12"/>
  <c r="BD91" i="12"/>
  <c r="BE86" i="12"/>
  <c r="BB39" i="12"/>
  <c r="BD52" i="12"/>
  <c r="BB79" i="12"/>
  <c r="BB85" i="12"/>
  <c r="BE88" i="12"/>
  <c r="BE55" i="12"/>
  <c r="BE59" i="12"/>
  <c r="HM36" i="12"/>
  <c r="HP36" i="12" s="1"/>
  <c r="AQ78" i="12"/>
  <c r="AR68" i="12"/>
  <c r="FU106" i="12"/>
  <c r="GR106" i="12" s="1"/>
  <c r="FR107" i="12"/>
  <c r="BC36" i="12" l="1"/>
  <c r="BA36" i="12"/>
  <c r="HL36" i="12"/>
  <c r="ED36" i="12"/>
  <c r="BA50" i="12"/>
  <c r="ED50" i="12"/>
  <c r="HM20" i="12"/>
  <c r="HP20" i="12" s="1"/>
  <c r="HN80" i="12"/>
  <c r="HQ80" i="12" s="1"/>
  <c r="ED80" i="12"/>
  <c r="BC80" i="12"/>
  <c r="HM11" i="12"/>
  <c r="HN11" i="12"/>
  <c r="HQ11" i="12" s="1"/>
  <c r="BA11" i="12"/>
  <c r="HL11" i="12"/>
  <c r="ED11" i="12"/>
  <c r="BC11" i="12"/>
  <c r="HN9" i="12"/>
  <c r="HQ9" i="12" s="1"/>
  <c r="HL9" i="12"/>
  <c r="ED9" i="12"/>
  <c r="BC9" i="12"/>
  <c r="HM9" i="12"/>
  <c r="HP9" i="12" s="1"/>
  <c r="BA9" i="12"/>
  <c r="HM7" i="12"/>
  <c r="HP7" i="12" s="1"/>
  <c r="HN7" i="12"/>
  <c r="HQ7" i="12" s="1"/>
  <c r="BC7" i="12"/>
  <c r="ED7" i="12"/>
  <c r="HL7" i="12"/>
  <c r="BA7" i="12"/>
  <c r="HL6" i="12"/>
  <c r="HM6" i="12"/>
  <c r="HP6" i="12" s="1"/>
  <c r="HN6" i="12"/>
  <c r="HQ6" i="12" s="1"/>
  <c r="BC6" i="12"/>
  <c r="ED6" i="12"/>
  <c r="BA6" i="12"/>
  <c r="HM5" i="12"/>
  <c r="HP5" i="12" s="1"/>
  <c r="BA5" i="12"/>
  <c r="ED5" i="12"/>
  <c r="HN5" i="12"/>
  <c r="HQ5" i="12" s="1"/>
  <c r="HL5" i="12"/>
  <c r="BC5" i="12"/>
  <c r="HM12" i="12"/>
  <c r="HL12" i="12"/>
  <c r="BC12" i="12"/>
  <c r="BA12" i="12"/>
  <c r="HN12" i="12"/>
  <c r="HQ12" i="12" s="1"/>
  <c r="ED12" i="12"/>
  <c r="HN13" i="12"/>
  <c r="HQ13" i="12" s="1"/>
  <c r="HM13" i="12"/>
  <c r="BC13" i="12"/>
  <c r="BA13" i="12"/>
  <c r="HL13" i="12"/>
  <c r="ED13" i="12"/>
  <c r="BA10" i="12"/>
  <c r="HN10" i="12"/>
  <c r="HQ10" i="12" s="1"/>
  <c r="BC10" i="12"/>
  <c r="HL10" i="12"/>
  <c r="ED10" i="12"/>
  <c r="HM10" i="12"/>
  <c r="BA4" i="12"/>
  <c r="HL4" i="12"/>
  <c r="ED4" i="12"/>
  <c r="HM4" i="12"/>
  <c r="HP4" i="12" s="1"/>
  <c r="BC4" i="12"/>
  <c r="HN4" i="12"/>
  <c r="HQ4" i="12" s="1"/>
  <c r="DJ3" i="12"/>
  <c r="DK3" i="12" s="1"/>
  <c r="S3" i="12"/>
  <c r="DJ16" i="12"/>
  <c r="BC3" i="12"/>
  <c r="HN3" i="12"/>
  <c r="HQ3" i="12" s="1"/>
  <c r="DJ12" i="12"/>
  <c r="BA3" i="12"/>
  <c r="ED3" i="12"/>
  <c r="DJ31" i="12"/>
  <c r="HL3" i="12"/>
  <c r="HM3" i="12"/>
  <c r="HP3" i="12" s="1"/>
  <c r="DJ14" i="12"/>
  <c r="DJ43" i="12"/>
  <c r="DJ53" i="12"/>
  <c r="DJ66" i="12"/>
  <c r="DJ72" i="12"/>
  <c r="DJ79" i="12"/>
  <c r="DJ82" i="12"/>
  <c r="DJ80" i="12"/>
  <c r="BC14" i="12"/>
  <c r="ED14" i="12"/>
  <c r="HN14" i="12"/>
  <c r="HQ14" i="12" s="1"/>
  <c r="BA14" i="12"/>
  <c r="HM14" i="12"/>
  <c r="ED8" i="12"/>
  <c r="HM8" i="12"/>
  <c r="HP8" i="12" s="1"/>
  <c r="BA8" i="12"/>
  <c r="HN8" i="12"/>
  <c r="HQ8" i="12" s="1"/>
  <c r="HL8" i="12"/>
  <c r="BC8" i="12"/>
  <c r="BC46" i="12"/>
  <c r="BA46" i="12"/>
  <c r="EM46" i="12" s="1"/>
  <c r="HN46" i="12"/>
  <c r="HQ46" i="12" s="1"/>
  <c r="HN50" i="12"/>
  <c r="HQ50" i="12" s="1"/>
  <c r="HM80" i="12"/>
  <c r="HP80" i="12" s="1"/>
  <c r="HL46" i="12"/>
  <c r="HS36" i="12"/>
  <c r="BA37" i="12"/>
  <c r="HM37" i="12"/>
  <c r="HP37" i="12" s="1"/>
  <c r="HL37" i="12"/>
  <c r="BC37" i="12"/>
  <c r="HN37" i="12"/>
  <c r="HQ37" i="12" s="1"/>
  <c r="ED37" i="12"/>
  <c r="BA91" i="12"/>
  <c r="HL91" i="12"/>
  <c r="HN91" i="12"/>
  <c r="HQ91" i="12" s="1"/>
  <c r="BC91" i="12"/>
  <c r="HM91" i="12"/>
  <c r="HP91" i="12" s="1"/>
  <c r="ED91" i="12"/>
  <c r="BC95" i="12"/>
  <c r="HL95" i="12"/>
  <c r="BA95" i="12"/>
  <c r="ED95" i="12"/>
  <c r="HN95" i="12"/>
  <c r="HQ95" i="12" s="1"/>
  <c r="HM95" i="12"/>
  <c r="HP95" i="12" s="1"/>
  <c r="HN83" i="12"/>
  <c r="HQ83" i="12" s="1"/>
  <c r="HL83" i="12"/>
  <c r="ED83" i="12"/>
  <c r="BA83" i="12"/>
  <c r="BC83" i="12"/>
  <c r="HM83" i="12"/>
  <c r="HP83" i="12" s="1"/>
  <c r="ED24" i="12"/>
  <c r="HM24" i="12"/>
  <c r="HP24" i="12" s="1"/>
  <c r="HN24" i="12"/>
  <c r="HQ24" i="12" s="1"/>
  <c r="BC24" i="12"/>
  <c r="HL24" i="12"/>
  <c r="BA24" i="12"/>
  <c r="HM38" i="12"/>
  <c r="HP38" i="12" s="1"/>
  <c r="HN38" i="12"/>
  <c r="HQ38" i="12" s="1"/>
  <c r="BA38" i="12"/>
  <c r="HL38" i="12"/>
  <c r="ED38" i="12"/>
  <c r="BC38" i="12"/>
  <c r="HL14" i="12"/>
  <c r="CT82" i="12"/>
  <c r="HN75" i="12"/>
  <c r="HQ75" i="12" s="1"/>
  <c r="BA75" i="12"/>
  <c r="ED75" i="12"/>
  <c r="BC75" i="12"/>
  <c r="HL75" i="12"/>
  <c r="HM75" i="12"/>
  <c r="HP75" i="12" s="1"/>
  <c r="HM97" i="12"/>
  <c r="HP97" i="12" s="1"/>
  <c r="HN97" i="12"/>
  <c r="HQ97" i="12" s="1"/>
  <c r="BC97" i="12"/>
  <c r="BA97" i="12"/>
  <c r="ED97" i="12"/>
  <c r="HL97" i="12"/>
  <c r="BA27" i="12"/>
  <c r="HN27" i="12"/>
  <c r="HQ27" i="12" s="1"/>
  <c r="BC27" i="12"/>
  <c r="HM27" i="12"/>
  <c r="HP27" i="12" s="1"/>
  <c r="ED27" i="12"/>
  <c r="HL27" i="12"/>
  <c r="ED82" i="12"/>
  <c r="HM82" i="12"/>
  <c r="HP82" i="12" s="1"/>
  <c r="BA82" i="12"/>
  <c r="BC82" i="12"/>
  <c r="HN82" i="12"/>
  <c r="HQ82" i="12" s="1"/>
  <c r="HL82" i="12"/>
  <c r="ED90" i="12"/>
  <c r="BA90" i="12"/>
  <c r="HL90" i="12"/>
  <c r="BC90" i="12"/>
  <c r="HM90" i="12"/>
  <c r="HP90" i="12" s="1"/>
  <c r="HN90" i="12"/>
  <c r="HQ90" i="12" s="1"/>
  <c r="BC41" i="12"/>
  <c r="BA41" i="12"/>
  <c r="HN41" i="12"/>
  <c r="HQ41" i="12" s="1"/>
  <c r="HL41" i="12"/>
  <c r="HM41" i="12"/>
  <c r="HP41" i="12" s="1"/>
  <c r="ED41" i="12"/>
  <c r="BA65" i="12"/>
  <c r="HN65" i="12"/>
  <c r="HQ65" i="12" s="1"/>
  <c r="BC65" i="12"/>
  <c r="HM65" i="12"/>
  <c r="HP65" i="12" s="1"/>
  <c r="ED65" i="12"/>
  <c r="HL65" i="12"/>
  <c r="BC92" i="12"/>
  <c r="BA92" i="12"/>
  <c r="HN92" i="12"/>
  <c r="HQ92" i="12" s="1"/>
  <c r="ED92" i="12"/>
  <c r="HL92" i="12"/>
  <c r="HM92" i="12"/>
  <c r="HP92" i="12" s="1"/>
  <c r="HN66" i="12"/>
  <c r="HQ66" i="12" s="1"/>
  <c r="BA66" i="12"/>
  <c r="BC66" i="12"/>
  <c r="ED66" i="12"/>
  <c r="HM66" i="12"/>
  <c r="HP66" i="12" s="1"/>
  <c r="HL66" i="12"/>
  <c r="BA102" i="12"/>
  <c r="HN102" i="12"/>
  <c r="HQ102" i="12" s="1"/>
  <c r="HL102" i="12"/>
  <c r="BC102" i="12"/>
  <c r="ED102" i="12"/>
  <c r="HM102" i="12"/>
  <c r="HP102" i="12" s="1"/>
  <c r="DJ177" i="12"/>
  <c r="BA101" i="12"/>
  <c r="HN101" i="12"/>
  <c r="HQ101" i="12" s="1"/>
  <c r="ED101" i="12"/>
  <c r="BC101" i="12"/>
  <c r="HM101" i="12"/>
  <c r="HP101" i="12" s="1"/>
  <c r="HL101" i="12"/>
  <c r="HL80" i="12"/>
  <c r="HM46" i="12"/>
  <c r="HP46" i="12" s="1"/>
  <c r="BC72" i="12"/>
  <c r="HN72" i="12"/>
  <c r="HQ72" i="12" s="1"/>
  <c r="ED72" i="12"/>
  <c r="BA72" i="12"/>
  <c r="HL72" i="12"/>
  <c r="HM72" i="12"/>
  <c r="HP72" i="12" s="1"/>
  <c r="HN85" i="12"/>
  <c r="HQ85" i="12" s="1"/>
  <c r="BA85" i="12"/>
  <c r="ED85" i="12"/>
  <c r="BC85" i="12"/>
  <c r="HM85" i="12"/>
  <c r="HP85" i="12" s="1"/>
  <c r="HL85" i="12"/>
  <c r="HM19" i="12"/>
  <c r="HP19" i="12" s="1"/>
  <c r="BC19" i="12"/>
  <c r="BA19" i="12"/>
  <c r="HL19" i="12"/>
  <c r="HN19" i="12"/>
  <c r="HQ19" i="12" s="1"/>
  <c r="ED19" i="12"/>
  <c r="BA53" i="12"/>
  <c r="ED53" i="12"/>
  <c r="HM53" i="12"/>
  <c r="HP53" i="12" s="1"/>
  <c r="HL53" i="12"/>
  <c r="HN53" i="12"/>
  <c r="HQ53" i="12" s="1"/>
  <c r="BC53" i="12"/>
  <c r="BC49" i="12"/>
  <c r="HL49" i="12"/>
  <c r="HN49" i="12"/>
  <c r="HQ49" i="12" s="1"/>
  <c r="HM49" i="12"/>
  <c r="HP49" i="12" s="1"/>
  <c r="BA49" i="12"/>
  <c r="ED49" i="12"/>
  <c r="HL43" i="12"/>
  <c r="BC43" i="12"/>
  <c r="HM43" i="12"/>
  <c r="HP43" i="12" s="1"/>
  <c r="HN43" i="12"/>
  <c r="HQ43" i="12" s="1"/>
  <c r="ED43" i="12"/>
  <c r="BA43" i="12"/>
  <c r="HL77" i="12"/>
  <c r="ED77" i="12"/>
  <c r="BA77" i="12"/>
  <c r="HM77" i="12"/>
  <c r="HP77" i="12" s="1"/>
  <c r="BC77" i="12"/>
  <c r="HN77" i="12"/>
  <c r="HQ77" i="12" s="1"/>
  <c r="BC51" i="12"/>
  <c r="HN51" i="12"/>
  <c r="HQ51" i="12" s="1"/>
  <c r="ED51" i="12"/>
  <c r="HL51" i="12"/>
  <c r="BA51" i="12"/>
  <c r="HM51" i="12"/>
  <c r="HP51" i="12" s="1"/>
  <c r="BA60" i="12"/>
  <c r="ED60" i="12"/>
  <c r="HL60" i="12"/>
  <c r="HN60" i="12"/>
  <c r="HQ60" i="12" s="1"/>
  <c r="BC60" i="12"/>
  <c r="HM60" i="12"/>
  <c r="HP60" i="12" s="1"/>
  <c r="ED21" i="12"/>
  <c r="BA21" i="12"/>
  <c r="HL21" i="12"/>
  <c r="HN21" i="12"/>
  <c r="HQ21" i="12" s="1"/>
  <c r="HM21" i="12"/>
  <c r="HP21" i="12" s="1"/>
  <c r="BC21" i="12"/>
  <c r="HN55" i="12"/>
  <c r="HQ55" i="12" s="1"/>
  <c r="BC55" i="12"/>
  <c r="HM55" i="12"/>
  <c r="HP55" i="12" s="1"/>
  <c r="ED55" i="12"/>
  <c r="BA55" i="12"/>
  <c r="HL55" i="12"/>
  <c r="HL32" i="12"/>
  <c r="HM32" i="12"/>
  <c r="HP32" i="12" s="1"/>
  <c r="BA32" i="12"/>
  <c r="ED32" i="12"/>
  <c r="HN32" i="12"/>
  <c r="HQ32" i="12" s="1"/>
  <c r="BC32" i="12"/>
  <c r="BC59" i="12"/>
  <c r="HM59" i="12"/>
  <c r="HP59" i="12" s="1"/>
  <c r="HN59" i="12"/>
  <c r="HQ59" i="12" s="1"/>
  <c r="ED59" i="12"/>
  <c r="BA59" i="12"/>
  <c r="HL59" i="12"/>
  <c r="BA86" i="12"/>
  <c r="HL86" i="12"/>
  <c r="BC86" i="12"/>
  <c r="ED86" i="12"/>
  <c r="HM86" i="12"/>
  <c r="HP86" i="12" s="1"/>
  <c r="HN86" i="12"/>
  <c r="HQ86" i="12" s="1"/>
  <c r="BC34" i="12"/>
  <c r="HN34" i="12"/>
  <c r="HQ34" i="12" s="1"/>
  <c r="ED34" i="12"/>
  <c r="BA34" i="12"/>
  <c r="HM34" i="12"/>
  <c r="HP34" i="12" s="1"/>
  <c r="HL34" i="12"/>
  <c r="HM98" i="12"/>
  <c r="HP98" i="12" s="1"/>
  <c r="HN98" i="12"/>
  <c r="HQ98" i="12" s="1"/>
  <c r="ED98" i="12"/>
  <c r="HL98" i="12"/>
  <c r="BA98" i="12"/>
  <c r="BC98" i="12"/>
  <c r="HN88" i="12"/>
  <c r="HQ88" i="12" s="1"/>
  <c r="ED88" i="12"/>
  <c r="BA88" i="12"/>
  <c r="BC88" i="12"/>
  <c r="HL88" i="12"/>
  <c r="HM88" i="12"/>
  <c r="HP88" i="12" s="1"/>
  <c r="BA18" i="12"/>
  <c r="ED18" i="12"/>
  <c r="BC18" i="12"/>
  <c r="HN18" i="12"/>
  <c r="HQ18" i="12" s="1"/>
  <c r="HL18" i="12"/>
  <c r="HM18" i="12"/>
  <c r="HP18" i="12" s="1"/>
  <c r="DS232" i="12"/>
  <c r="BA52" i="12"/>
  <c r="ED52" i="12"/>
  <c r="HL52" i="12"/>
  <c r="HM52" i="12"/>
  <c r="HP52" i="12" s="1"/>
  <c r="HN52" i="12"/>
  <c r="HQ52" i="12" s="1"/>
  <c r="BC52" i="12"/>
  <c r="ED93" i="12"/>
  <c r="HL93" i="12"/>
  <c r="BA93" i="12"/>
  <c r="BC93" i="12"/>
  <c r="HM93" i="12"/>
  <c r="HP93" i="12" s="1"/>
  <c r="HN93" i="12"/>
  <c r="HQ93" i="12" s="1"/>
  <c r="HN42" i="12"/>
  <c r="HQ42" i="12" s="1"/>
  <c r="BA42" i="12"/>
  <c r="HM42" i="12"/>
  <c r="HP42" i="12" s="1"/>
  <c r="ED42" i="12"/>
  <c r="HL42" i="12"/>
  <c r="BC42" i="12"/>
  <c r="HN96" i="12"/>
  <c r="HQ96" i="12" s="1"/>
  <c r="HL96" i="12"/>
  <c r="BA96" i="12"/>
  <c r="HM96" i="12"/>
  <c r="HP96" i="12" s="1"/>
  <c r="BC96" i="12"/>
  <c r="ED96" i="12"/>
  <c r="HM79" i="12"/>
  <c r="ED79" i="12"/>
  <c r="BA79" i="12"/>
  <c r="BC79" i="12"/>
  <c r="HL79" i="12"/>
  <c r="HN79" i="12"/>
  <c r="HQ79" i="12" s="1"/>
  <c r="HN71" i="12"/>
  <c r="HQ71" i="12" s="1"/>
  <c r="HM71" i="12"/>
  <c r="HP71" i="12" s="1"/>
  <c r="HL71" i="12"/>
  <c r="BC71" i="12"/>
  <c r="ED71" i="12"/>
  <c r="BA71" i="12"/>
  <c r="BC64" i="12"/>
  <c r="HN64" i="12"/>
  <c r="HQ64" i="12" s="1"/>
  <c r="HL64" i="12"/>
  <c r="BA64" i="12"/>
  <c r="HM64" i="12"/>
  <c r="HP64" i="12" s="1"/>
  <c r="ED64" i="12"/>
  <c r="HN23" i="12"/>
  <c r="HQ23" i="12" s="1"/>
  <c r="BC23" i="12"/>
  <c r="BA23" i="12"/>
  <c r="ED23" i="12"/>
  <c r="HL23" i="12"/>
  <c r="HM23" i="12"/>
  <c r="HP23" i="12" s="1"/>
  <c r="BC47" i="12"/>
  <c r="BA47" i="12"/>
  <c r="HM47" i="12"/>
  <c r="HP47" i="12" s="1"/>
  <c r="HN47" i="12"/>
  <c r="HQ47" i="12" s="1"/>
  <c r="ED47" i="12"/>
  <c r="HL47" i="12"/>
  <c r="ED28" i="12"/>
  <c r="BC28" i="12"/>
  <c r="HL28" i="12"/>
  <c r="HM28" i="12"/>
  <c r="HP28" i="12" s="1"/>
  <c r="BA28" i="12"/>
  <c r="HN28" i="12"/>
  <c r="HQ28" i="12" s="1"/>
  <c r="HN58" i="12"/>
  <c r="HQ58" i="12" s="1"/>
  <c r="HM58" i="12"/>
  <c r="HP58" i="12" s="1"/>
  <c r="BA58" i="12"/>
  <c r="BC58" i="12"/>
  <c r="HL58" i="12"/>
  <c r="ED58" i="12"/>
  <c r="BC56" i="12"/>
  <c r="ED56" i="12"/>
  <c r="HN56" i="12"/>
  <c r="HQ56" i="12" s="1"/>
  <c r="HM56" i="12"/>
  <c r="HP56" i="12" s="1"/>
  <c r="HL56" i="12"/>
  <c r="BA56" i="12"/>
  <c r="HL17" i="12"/>
  <c r="ED17" i="12"/>
  <c r="HN17" i="12"/>
  <c r="HQ17" i="12" s="1"/>
  <c r="BA17" i="12"/>
  <c r="BC17" i="12"/>
  <c r="HM17" i="12"/>
  <c r="HP17" i="12" s="1"/>
  <c r="BA33" i="12"/>
  <c r="HL33" i="12"/>
  <c r="ED33" i="12"/>
  <c r="BC33" i="12"/>
  <c r="HM33" i="12"/>
  <c r="HP33" i="12" s="1"/>
  <c r="HN33" i="12"/>
  <c r="HQ33" i="12" s="1"/>
  <c r="HN44" i="12"/>
  <c r="HQ44" i="12" s="1"/>
  <c r="BC44" i="12"/>
  <c r="BA44" i="12"/>
  <c r="HL44" i="12"/>
  <c r="ED44" i="12"/>
  <c r="HM44" i="12"/>
  <c r="HP44" i="12" s="1"/>
  <c r="BA73" i="12"/>
  <c r="ED73" i="12"/>
  <c r="HN73" i="12"/>
  <c r="HQ73" i="12" s="1"/>
  <c r="BC73" i="12"/>
  <c r="HM73" i="12"/>
  <c r="HP73" i="12" s="1"/>
  <c r="HL73" i="12"/>
  <c r="HM31" i="12"/>
  <c r="HP31" i="12" s="1"/>
  <c r="HN31" i="12"/>
  <c r="HQ31" i="12" s="1"/>
  <c r="ED31" i="12"/>
  <c r="BC31" i="12"/>
  <c r="BA31" i="12"/>
  <c r="HL31" i="12"/>
  <c r="HM84" i="12"/>
  <c r="HP84" i="12" s="1"/>
  <c r="ED84" i="12"/>
  <c r="BC84" i="12"/>
  <c r="BA84" i="12"/>
  <c r="HN84" i="12"/>
  <c r="HQ84" i="12" s="1"/>
  <c r="HL84" i="12"/>
  <c r="HM25" i="12"/>
  <c r="HP25" i="12" s="1"/>
  <c r="HL25" i="12"/>
  <c r="ED25" i="12"/>
  <c r="BC25" i="12"/>
  <c r="HN25" i="12"/>
  <c r="HQ25" i="12" s="1"/>
  <c r="BA25" i="12"/>
  <c r="HN22" i="12"/>
  <c r="HQ22" i="12" s="1"/>
  <c r="HM22" i="12"/>
  <c r="HP22" i="12" s="1"/>
  <c r="HL22" i="12"/>
  <c r="BC22" i="12"/>
  <c r="BA22" i="12"/>
  <c r="ED22" i="12"/>
  <c r="HN61" i="12"/>
  <c r="HQ61" i="12" s="1"/>
  <c r="HL61" i="12"/>
  <c r="BA61" i="12"/>
  <c r="BC61" i="12"/>
  <c r="ED61" i="12"/>
  <c r="HM61" i="12"/>
  <c r="HP61" i="12" s="1"/>
  <c r="HM40" i="12"/>
  <c r="HP40" i="12" s="1"/>
  <c r="HL40" i="12"/>
  <c r="BC40" i="12"/>
  <c r="BA40" i="12"/>
  <c r="ED40" i="12"/>
  <c r="HN40" i="12"/>
  <c r="HQ40" i="12" s="1"/>
  <c r="ED26" i="12"/>
  <c r="HL26" i="12"/>
  <c r="BC26" i="12"/>
  <c r="BA26" i="12"/>
  <c r="HN26" i="12"/>
  <c r="HQ26" i="12" s="1"/>
  <c r="HM26" i="12"/>
  <c r="HP26" i="12" s="1"/>
  <c r="HL57" i="12"/>
  <c r="BA57" i="12"/>
  <c r="HN57" i="12"/>
  <c r="HQ57" i="12" s="1"/>
  <c r="HM57" i="12"/>
  <c r="HP57" i="12" s="1"/>
  <c r="BC57" i="12"/>
  <c r="ED57" i="12"/>
  <c r="HL67" i="12"/>
  <c r="HN67" i="12"/>
  <c r="HQ67" i="12" s="1"/>
  <c r="HM67" i="12"/>
  <c r="HP67" i="12" s="1"/>
  <c r="BA67" i="12"/>
  <c r="ED67" i="12"/>
  <c r="BC67" i="12"/>
  <c r="HL89" i="12"/>
  <c r="HM89" i="12"/>
  <c r="HP89" i="12" s="1"/>
  <c r="ED89" i="12"/>
  <c r="BC89" i="12"/>
  <c r="HN89" i="12"/>
  <c r="HQ89" i="12" s="1"/>
  <c r="BA89" i="12"/>
  <c r="HN81" i="12"/>
  <c r="HQ81" i="12" s="1"/>
  <c r="BA81" i="12"/>
  <c r="HM81" i="12"/>
  <c r="HP81" i="12" s="1"/>
  <c r="BC81" i="12"/>
  <c r="ED81" i="12"/>
  <c r="HL81" i="12"/>
  <c r="EM80" i="12"/>
  <c r="AZ80" i="12"/>
  <c r="HL50" i="12"/>
  <c r="HS50" i="12" s="1"/>
  <c r="HM39" i="12"/>
  <c r="HP39" i="12" s="1"/>
  <c r="BC39" i="12"/>
  <c r="BA39" i="12"/>
  <c r="HL39" i="12"/>
  <c r="ED39" i="12"/>
  <c r="HN39" i="12"/>
  <c r="HQ39" i="12" s="1"/>
  <c r="EM36" i="12"/>
  <c r="AZ36" i="12"/>
  <c r="HN70" i="12"/>
  <c r="HQ70" i="12" s="1"/>
  <c r="BA70" i="12"/>
  <c r="HM70" i="12"/>
  <c r="HP70" i="12" s="1"/>
  <c r="HL70" i="12"/>
  <c r="BC70" i="12"/>
  <c r="ED70" i="12"/>
  <c r="BA87" i="12"/>
  <c r="BC87" i="12"/>
  <c r="HN87" i="12"/>
  <c r="HQ87" i="12" s="1"/>
  <c r="HM87" i="12"/>
  <c r="HP87" i="12" s="1"/>
  <c r="ED87" i="12"/>
  <c r="HL87" i="12"/>
  <c r="ED78" i="12"/>
  <c r="BA78" i="12"/>
  <c r="HN78" i="12"/>
  <c r="HQ78" i="12" s="1"/>
  <c r="BC78" i="12"/>
  <c r="HL78" i="12"/>
  <c r="HM78" i="12"/>
  <c r="HP78" i="12" s="1"/>
  <c r="BA76" i="12"/>
  <c r="HL76" i="12"/>
  <c r="HN76" i="12"/>
  <c r="HQ76" i="12" s="1"/>
  <c r="ED76" i="12"/>
  <c r="HM76" i="12"/>
  <c r="HP76" i="12" s="1"/>
  <c r="BC76" i="12"/>
  <c r="HL94" i="12"/>
  <c r="BA94" i="12"/>
  <c r="ED94" i="12"/>
  <c r="HM94" i="12"/>
  <c r="HP94" i="12" s="1"/>
  <c r="HN94" i="12"/>
  <c r="HQ94" i="12" s="1"/>
  <c r="BC94" i="12"/>
  <c r="HM69" i="12"/>
  <c r="HP69" i="12" s="1"/>
  <c r="HL69" i="12"/>
  <c r="ED69" i="12"/>
  <c r="BA69" i="12"/>
  <c r="BC69" i="12"/>
  <c r="HN69" i="12"/>
  <c r="HQ69" i="12" s="1"/>
  <c r="BA99" i="12"/>
  <c r="BC99" i="12"/>
  <c r="ED99" i="12"/>
  <c r="HN99" i="12"/>
  <c r="HQ99" i="12" s="1"/>
  <c r="HM99" i="12"/>
  <c r="HP99" i="12" s="1"/>
  <c r="HL99" i="12"/>
  <c r="HN35" i="12"/>
  <c r="HQ35" i="12" s="1"/>
  <c r="HL35" i="12"/>
  <c r="BC35" i="12"/>
  <c r="ED35" i="12"/>
  <c r="HM35" i="12"/>
  <c r="HP35" i="12" s="1"/>
  <c r="BA35" i="12"/>
  <c r="HN48" i="12"/>
  <c r="HQ48" i="12" s="1"/>
  <c r="ED48" i="12"/>
  <c r="HL48" i="12"/>
  <c r="BC48" i="12"/>
  <c r="HM48" i="12"/>
  <c r="HP48" i="12" s="1"/>
  <c r="BA48" i="12"/>
  <c r="ED45" i="12"/>
  <c r="BA45" i="12"/>
  <c r="BC45" i="12"/>
  <c r="HN45" i="12"/>
  <c r="HQ45" i="12" s="1"/>
  <c r="HL45" i="12"/>
  <c r="HM45" i="12"/>
  <c r="HP45" i="12" s="1"/>
  <c r="BC100" i="12"/>
  <c r="HN100" i="12"/>
  <c r="HQ100" i="12" s="1"/>
  <c r="ED100" i="12"/>
  <c r="HL100" i="12"/>
  <c r="BA100" i="12"/>
  <c r="HM100" i="12"/>
  <c r="HP100" i="12" s="1"/>
  <c r="HM63" i="12"/>
  <c r="HP63" i="12" s="1"/>
  <c r="BC63" i="12"/>
  <c r="HL63" i="12"/>
  <c r="HN63" i="12"/>
  <c r="HQ63" i="12" s="1"/>
  <c r="BA63" i="12"/>
  <c r="ED63" i="12"/>
  <c r="HN30" i="12"/>
  <c r="HQ30" i="12" s="1"/>
  <c r="HM30" i="12"/>
  <c r="HP30" i="12" s="1"/>
  <c r="HL30" i="12"/>
  <c r="BA30" i="12"/>
  <c r="ED30" i="12"/>
  <c r="BC30" i="12"/>
  <c r="BA20" i="12"/>
  <c r="BC20" i="12"/>
  <c r="ED20" i="12"/>
  <c r="HN20" i="12"/>
  <c r="HQ20" i="12" s="1"/>
  <c r="HL20" i="12"/>
  <c r="BC15" i="12"/>
  <c r="HL15" i="12"/>
  <c r="HM15" i="12"/>
  <c r="HN15" i="12"/>
  <c r="ED15" i="12"/>
  <c r="BA15" i="12"/>
  <c r="S41" i="12"/>
  <c r="BH53" i="12"/>
  <c r="BH76" i="12" s="1"/>
  <c r="CS182" i="12"/>
  <c r="CS142" i="12"/>
  <c r="CT192" i="12"/>
  <c r="CL139" i="12"/>
  <c r="CE35" i="12"/>
  <c r="S206" i="12"/>
  <c r="CL92" i="12"/>
  <c r="S199" i="12"/>
  <c r="CT172" i="12"/>
  <c r="CL37" i="12"/>
  <c r="CT100" i="12"/>
  <c r="CL49" i="12"/>
  <c r="CE209" i="12"/>
  <c r="CL120" i="12"/>
  <c r="BH55" i="12"/>
  <c r="CL34" i="12"/>
  <c r="DJ33" i="12"/>
  <c r="CE76" i="12"/>
  <c r="CL193" i="12"/>
  <c r="CL30" i="12"/>
  <c r="CE100" i="12"/>
  <c r="S28" i="12"/>
  <c r="CL43" i="12"/>
  <c r="CS111" i="12"/>
  <c r="CT13" i="12"/>
  <c r="CL44" i="12"/>
  <c r="CS108" i="12"/>
  <c r="CL71" i="12"/>
  <c r="CL160" i="12"/>
  <c r="CS172" i="12"/>
  <c r="CS187" i="12"/>
  <c r="CE148" i="12"/>
  <c r="CE14" i="12"/>
  <c r="CS54" i="12"/>
  <c r="CT71" i="12"/>
  <c r="S79" i="12"/>
  <c r="S103" i="12"/>
  <c r="DJ107" i="12"/>
  <c r="CS49" i="12"/>
  <c r="CL153" i="12"/>
  <c r="BH8" i="12"/>
  <c r="BH121" i="12"/>
  <c r="CT205" i="12"/>
  <c r="DJ157" i="12"/>
  <c r="CL62" i="12"/>
  <c r="CS219" i="12"/>
  <c r="CE214" i="12"/>
  <c r="CT50" i="12"/>
  <c r="CL94" i="12"/>
  <c r="DJ50" i="12"/>
  <c r="DJ47" i="12"/>
  <c r="DJ99" i="12"/>
  <c r="CT79" i="12"/>
  <c r="CT130" i="12"/>
  <c r="CT111" i="12"/>
  <c r="CL78" i="12"/>
  <c r="CL118" i="12"/>
  <c r="CS55" i="12"/>
  <c r="S37" i="12"/>
  <c r="BH109" i="12"/>
  <c r="CE126" i="12"/>
  <c r="S195" i="12"/>
  <c r="CE42" i="12"/>
  <c r="CL50" i="12"/>
  <c r="CL58" i="12"/>
  <c r="CS43" i="12"/>
  <c r="CT57" i="12"/>
  <c r="S30" i="12"/>
  <c r="DJ164" i="12"/>
  <c r="CS149" i="12"/>
  <c r="CL35" i="12"/>
  <c r="CT58" i="12"/>
  <c r="S24" i="12"/>
  <c r="CL158" i="12"/>
  <c r="BH74" i="12"/>
  <c r="BH75" i="12" s="1"/>
  <c r="DJ190" i="12"/>
  <c r="CT122" i="12"/>
  <c r="CE193" i="12"/>
  <c r="DJ165" i="12"/>
  <c r="CE19" i="12"/>
  <c r="DJ49" i="12"/>
  <c r="CE38" i="12"/>
  <c r="DJ212" i="12"/>
  <c r="CE60" i="12"/>
  <c r="CT29" i="12"/>
  <c r="BH3" i="12"/>
  <c r="CE212" i="12"/>
  <c r="S116" i="12"/>
  <c r="CS25" i="12"/>
  <c r="CT155" i="12"/>
  <c r="BH110" i="12"/>
  <c r="DJ62" i="12"/>
  <c r="CS94" i="12"/>
  <c r="CL53" i="12"/>
  <c r="S208" i="12"/>
  <c r="CE75" i="12"/>
  <c r="CE94" i="12"/>
  <c r="CE96" i="12" s="1"/>
  <c r="CE97" i="12" s="1"/>
  <c r="CS68" i="12"/>
  <c r="CS174" i="12"/>
  <c r="CT193" i="12"/>
  <c r="CL181" i="12"/>
  <c r="CS115" i="12"/>
  <c r="DJ46" i="12"/>
  <c r="CT129" i="12"/>
  <c r="CT9" i="12"/>
  <c r="CL143" i="12"/>
  <c r="CS88" i="12"/>
  <c r="CL66" i="12"/>
  <c r="CL211" i="12"/>
  <c r="CT108" i="12"/>
  <c r="CS141" i="12"/>
  <c r="CS117" i="12"/>
  <c r="BH132" i="12"/>
  <c r="CT183" i="12"/>
  <c r="CS148" i="12"/>
  <c r="CE122" i="12"/>
  <c r="CS16" i="12"/>
  <c r="CT6" i="12"/>
  <c r="CE80" i="12"/>
  <c r="DJ191" i="12"/>
  <c r="DJ162" i="12"/>
  <c r="S71" i="12"/>
  <c r="BH52" i="12"/>
  <c r="DJ6" i="12"/>
  <c r="DK6" i="12" s="1"/>
  <c r="DJ34" i="12"/>
  <c r="DJ207" i="12"/>
  <c r="CE79" i="12"/>
  <c r="BH212" i="12"/>
  <c r="CL109" i="12"/>
  <c r="CL115" i="12" s="1"/>
  <c r="CE202" i="12"/>
  <c r="CL47" i="12"/>
  <c r="CE219" i="12"/>
  <c r="DJ210" i="12"/>
  <c r="CS116" i="12"/>
  <c r="CT36" i="12"/>
  <c r="S82" i="12"/>
  <c r="S207" i="12"/>
  <c r="CE99" i="12"/>
  <c r="CT161" i="12"/>
  <c r="DJ217" i="12"/>
  <c r="CE213" i="12"/>
  <c r="CT68" i="12"/>
  <c r="CT67" i="12"/>
  <c r="CS198" i="12"/>
  <c r="DJ18" i="12"/>
  <c r="DK18" i="12" s="1"/>
  <c r="S119" i="12"/>
  <c r="CE98" i="12"/>
  <c r="DJ88" i="12"/>
  <c r="CL129" i="12"/>
  <c r="S127" i="12"/>
  <c r="CE20" i="12"/>
  <c r="CL194" i="12"/>
  <c r="CL23" i="12"/>
  <c r="CT186" i="12"/>
  <c r="CS212" i="12"/>
  <c r="S85" i="12"/>
  <c r="CS100" i="12"/>
  <c r="S11" i="12"/>
  <c r="S21" i="12" s="1"/>
  <c r="DJ218" i="12"/>
  <c r="S138" i="12"/>
  <c r="BH175" i="12"/>
  <c r="CT23" i="12"/>
  <c r="DJ205" i="12"/>
  <c r="BH39" i="12"/>
  <c r="CL65" i="12"/>
  <c r="DJ69" i="12"/>
  <c r="CL64" i="12"/>
  <c r="CT59" i="12"/>
  <c r="S15" i="12"/>
  <c r="BH148" i="12"/>
  <c r="BH58" i="12"/>
  <c r="CS47" i="12"/>
  <c r="CT27" i="12"/>
  <c r="CT149" i="12"/>
  <c r="CL48" i="12"/>
  <c r="BH101" i="12"/>
  <c r="BH191" i="12"/>
  <c r="CL169" i="12"/>
  <c r="CT75" i="12"/>
  <c r="CE78" i="12"/>
  <c r="CS204" i="12"/>
  <c r="CL134" i="12"/>
  <c r="DJ56" i="12"/>
  <c r="BH184" i="12"/>
  <c r="BH185" i="12" s="1"/>
  <c r="BH186" i="12" s="1"/>
  <c r="BH187" i="12" s="1"/>
  <c r="BH188" i="12" s="1"/>
  <c r="BH189" i="12" s="1"/>
  <c r="BH190" i="12" s="1"/>
  <c r="CE41" i="12"/>
  <c r="CE114" i="12"/>
  <c r="BH128" i="12"/>
  <c r="BH205" i="12"/>
  <c r="CS72" i="12"/>
  <c r="CS37" i="12"/>
  <c r="BH25" i="12"/>
  <c r="DJ84" i="12"/>
  <c r="BH98" i="12"/>
  <c r="BH119" i="12"/>
  <c r="CT214" i="12"/>
  <c r="DJ155" i="12"/>
  <c r="DJ83" i="12"/>
  <c r="CL117" i="12"/>
  <c r="CT219" i="12"/>
  <c r="CT167" i="12"/>
  <c r="DJ51" i="12"/>
  <c r="S98" i="12"/>
  <c r="BH14" i="12"/>
  <c r="CS136" i="12"/>
  <c r="CE130" i="12"/>
  <c r="CT15" i="12"/>
  <c r="DJ48" i="12"/>
  <c r="BH198" i="12"/>
  <c r="CS10" i="12"/>
  <c r="CE133" i="12"/>
  <c r="CE134" i="12" s="1"/>
  <c r="S74" i="12"/>
  <c r="CL189" i="12"/>
  <c r="BH63" i="12"/>
  <c r="DJ131" i="12"/>
  <c r="DJ52" i="12"/>
  <c r="S97" i="12"/>
  <c r="DJ139" i="12"/>
  <c r="CL163" i="12"/>
  <c r="CE72" i="12"/>
  <c r="CE145" i="12"/>
  <c r="CL93" i="12"/>
  <c r="BH77" i="12"/>
  <c r="CE13" i="12"/>
  <c r="CS15" i="12"/>
  <c r="DJ25" i="12"/>
  <c r="CL103" i="12"/>
  <c r="BH124" i="12"/>
  <c r="CE4" i="12"/>
  <c r="CS155" i="12"/>
  <c r="CT217" i="12"/>
  <c r="CL87" i="12"/>
  <c r="CS46" i="12"/>
  <c r="CS45" i="12"/>
  <c r="CL214" i="12"/>
  <c r="BH135" i="12"/>
  <c r="BH62" i="12"/>
  <c r="CS33" i="12"/>
  <c r="S205" i="12"/>
  <c r="CL146" i="12"/>
  <c r="CS76" i="12"/>
  <c r="DJ213" i="12"/>
  <c r="CL154" i="12"/>
  <c r="CE124" i="12"/>
  <c r="CE146" i="12" s="1"/>
  <c r="DJ125" i="12"/>
  <c r="DJ220" i="12"/>
  <c r="S69" i="12"/>
  <c r="CE55" i="12"/>
  <c r="CE150" i="12"/>
  <c r="CL55" i="12"/>
  <c r="CE24" i="12"/>
  <c r="CT164" i="12"/>
  <c r="CT64" i="12"/>
  <c r="CL149" i="12"/>
  <c r="CL63" i="12"/>
  <c r="CT26" i="12"/>
  <c r="DJ111" i="12"/>
  <c r="S73" i="12"/>
  <c r="S72" i="12"/>
  <c r="CT14" i="12"/>
  <c r="DJ28" i="12"/>
  <c r="CT49" i="12"/>
  <c r="CE112" i="12"/>
  <c r="BH29" i="12"/>
  <c r="CT158" i="12"/>
  <c r="CE77" i="12"/>
  <c r="CT199" i="12"/>
  <c r="CE197" i="12"/>
  <c r="CL192" i="12"/>
  <c r="CS184" i="12"/>
  <c r="CE108" i="12"/>
  <c r="CL155" i="12"/>
  <c r="CE67" i="12"/>
  <c r="DJ44" i="12"/>
  <c r="DJ206" i="12"/>
  <c r="CT93" i="12"/>
  <c r="CL152" i="12"/>
  <c r="S139" i="12"/>
  <c r="S140" i="12" s="1"/>
  <c r="CT85" i="12"/>
  <c r="DJ173" i="12"/>
  <c r="BH20" i="12"/>
  <c r="BH7" i="12"/>
  <c r="S200" i="12"/>
  <c r="CT83" i="12"/>
  <c r="BH69" i="12"/>
  <c r="DJ42" i="12"/>
  <c r="CL125" i="12"/>
  <c r="DJ98" i="12"/>
  <c r="CE48" i="12"/>
  <c r="DJ128" i="12"/>
  <c r="BH19" i="12"/>
  <c r="CL74" i="12"/>
  <c r="BH113" i="12"/>
  <c r="CT124" i="12"/>
  <c r="DJ189" i="12"/>
  <c r="DJ100" i="12"/>
  <c r="CS215" i="12"/>
  <c r="BH122" i="12"/>
  <c r="CL105" i="12"/>
  <c r="BH5" i="12"/>
  <c r="DJ67" i="12"/>
  <c r="CE92" i="12"/>
  <c r="CT148" i="12"/>
  <c r="S70" i="12"/>
  <c r="CL157" i="12"/>
  <c r="CL33" i="12"/>
  <c r="S105" i="12"/>
  <c r="CE71" i="12"/>
  <c r="CT121" i="12"/>
  <c r="DJ37" i="12"/>
  <c r="BH95" i="12"/>
  <c r="DJ75" i="12"/>
  <c r="DJ89" i="12"/>
  <c r="CL106" i="12"/>
  <c r="CL123" i="12"/>
  <c r="S46" i="12"/>
  <c r="S47" i="12" s="1"/>
  <c r="CE29" i="12"/>
  <c r="DJ35" i="12"/>
  <c r="CE45" i="12"/>
  <c r="BH202" i="12"/>
  <c r="BH208" i="12"/>
  <c r="CL171" i="12"/>
  <c r="DJ209" i="12"/>
  <c r="CS8" i="12"/>
  <c r="CL82" i="12"/>
  <c r="CL36" i="12"/>
  <c r="S101" i="12"/>
  <c r="BH26" i="12"/>
  <c r="CS4" i="12"/>
  <c r="CE105" i="12"/>
  <c r="CE106" i="12" s="1"/>
  <c r="CT127" i="12"/>
  <c r="CE149" i="12"/>
  <c r="CS19" i="12"/>
  <c r="CS81" i="12"/>
  <c r="S201" i="12"/>
  <c r="S91" i="12"/>
  <c r="CL27" i="12"/>
  <c r="CT88" i="12"/>
  <c r="CS112" i="12"/>
  <c r="BH37" i="12"/>
  <c r="CT207" i="12"/>
  <c r="DJ169" i="12"/>
  <c r="CL144" i="12"/>
  <c r="CS123" i="12"/>
  <c r="CE82" i="12"/>
  <c r="CE215" i="12"/>
  <c r="DJ73" i="12"/>
  <c r="S9" i="12"/>
  <c r="CL59" i="12"/>
  <c r="CT40" i="12"/>
  <c r="CT202" i="12"/>
  <c r="CT48" i="12"/>
  <c r="S89" i="12"/>
  <c r="DJ144" i="12"/>
  <c r="DJ101" i="12"/>
  <c r="CL207" i="12"/>
  <c r="S7" i="12"/>
  <c r="BH104" i="12"/>
  <c r="CT174" i="12"/>
  <c r="CS119" i="12"/>
  <c r="DJ216" i="12"/>
  <c r="S141" i="12"/>
  <c r="CT176" i="12"/>
  <c r="DJ115" i="12"/>
  <c r="CT97" i="12"/>
  <c r="CE26" i="12"/>
  <c r="S59" i="12"/>
  <c r="DJ149" i="12"/>
  <c r="CT106" i="12"/>
  <c r="DJ116" i="12"/>
  <c r="CE217" i="12"/>
  <c r="CT110" i="12"/>
  <c r="BH105" i="12"/>
  <c r="BH108" i="12" s="1"/>
  <c r="BH115" i="12" s="1"/>
  <c r="BH130" i="12" s="1"/>
  <c r="BH136" i="12" s="1"/>
  <c r="CL52" i="12"/>
  <c r="S60" i="12"/>
  <c r="DJ74" i="12"/>
  <c r="S27" i="12"/>
  <c r="DJ132" i="12"/>
  <c r="CT116" i="12"/>
  <c r="CL165" i="12"/>
  <c r="CT117" i="12"/>
  <c r="DJ87" i="12"/>
  <c r="CE23" i="12"/>
  <c r="S6" i="12"/>
  <c r="DJ197" i="12"/>
  <c r="CS110" i="12"/>
  <c r="S19" i="12"/>
  <c r="S20" i="12" s="1"/>
  <c r="CS189" i="12"/>
  <c r="DJ121" i="12"/>
  <c r="BH200" i="12"/>
  <c r="CT109" i="12"/>
  <c r="CT194" i="12"/>
  <c r="CT198" i="12"/>
  <c r="DJ196" i="12"/>
  <c r="DJ54" i="12"/>
  <c r="DJ32" i="12"/>
  <c r="CE88" i="12"/>
  <c r="S22" i="12"/>
  <c r="CE110" i="12"/>
  <c r="BH204" i="12"/>
  <c r="DJ199" i="12"/>
  <c r="BH214" i="12"/>
  <c r="CE33" i="12"/>
  <c r="S118" i="12"/>
  <c r="CS145" i="12"/>
  <c r="CL107" i="12"/>
  <c r="DJ178" i="12"/>
  <c r="CS199" i="12"/>
  <c r="S109" i="12"/>
  <c r="CE81" i="12"/>
  <c r="CS48" i="12"/>
  <c r="CS153" i="12"/>
  <c r="CS150" i="12"/>
  <c r="DJ145" i="12"/>
  <c r="CT211" i="12"/>
  <c r="CT136" i="12"/>
  <c r="S215" i="12"/>
  <c r="DJ195" i="12"/>
  <c r="CT212" i="12"/>
  <c r="BH201" i="12"/>
  <c r="S86" i="12"/>
  <c r="S197" i="12"/>
  <c r="CL3" i="12"/>
  <c r="BH147" i="12"/>
  <c r="DJ153" i="12"/>
  <c r="CL97" i="12"/>
  <c r="BH33" i="12"/>
  <c r="BH40" i="12" s="1"/>
  <c r="CS166" i="12"/>
  <c r="DJ158" i="12"/>
  <c r="DJ186" i="12"/>
  <c r="CE205" i="12"/>
  <c r="CL159" i="12"/>
  <c r="CS180" i="12"/>
  <c r="S18" i="12"/>
  <c r="CE116" i="12"/>
  <c r="CS84" i="12"/>
  <c r="DJ185" i="12"/>
  <c r="CE196" i="12"/>
  <c r="CS27" i="12"/>
  <c r="BH42" i="12"/>
  <c r="CS114" i="12"/>
  <c r="CS203" i="12"/>
  <c r="CT53" i="12"/>
  <c r="DJ58" i="12"/>
  <c r="CS74" i="12"/>
  <c r="DJ123" i="12"/>
  <c r="CL114" i="12"/>
  <c r="S137" i="12"/>
  <c r="CT33" i="12"/>
  <c r="CL112" i="12"/>
  <c r="DJ137" i="12"/>
  <c r="CT135" i="12"/>
  <c r="CE18" i="12"/>
  <c r="CT153" i="12"/>
  <c r="CS183" i="12"/>
  <c r="CS158" i="12"/>
  <c r="BH43" i="12"/>
  <c r="DJ91" i="12"/>
  <c r="CL201" i="12"/>
  <c r="CT17" i="12"/>
  <c r="DJ156" i="12"/>
  <c r="CS191" i="12"/>
  <c r="CT22" i="12"/>
  <c r="CT215" i="12"/>
  <c r="S108" i="12"/>
  <c r="CL132" i="12"/>
  <c r="BH12" i="12"/>
  <c r="CS18" i="12"/>
  <c r="BH30" i="12"/>
  <c r="BH209" i="12"/>
  <c r="CT132" i="12"/>
  <c r="CE52" i="12"/>
  <c r="S33" i="12"/>
  <c r="CS194" i="12"/>
  <c r="CT162" i="12"/>
  <c r="CS168" i="12"/>
  <c r="BH67" i="12"/>
  <c r="CS160" i="12"/>
  <c r="BH150" i="12"/>
  <c r="CL24" i="12"/>
  <c r="BH44" i="12"/>
  <c r="CE70" i="12"/>
  <c r="CS67" i="12"/>
  <c r="CT31" i="12"/>
  <c r="CS178" i="12"/>
  <c r="CL188" i="12"/>
  <c r="CL9" i="12"/>
  <c r="DJ192" i="12"/>
  <c r="CL186" i="12"/>
  <c r="CS185" i="12"/>
  <c r="DJ93" i="12"/>
  <c r="BH17" i="12"/>
  <c r="BH89" i="12"/>
  <c r="BH91" i="12" s="1"/>
  <c r="BH92" i="12" s="1"/>
  <c r="BH35" i="12"/>
  <c r="CS169" i="12"/>
  <c r="DJ36" i="12"/>
  <c r="BH149" i="12"/>
  <c r="S107" i="12"/>
  <c r="S104" i="12"/>
  <c r="CE74" i="12"/>
  <c r="CS132" i="12"/>
  <c r="CE59" i="12"/>
  <c r="S55" i="12"/>
  <c r="DJ60" i="12"/>
  <c r="DJ40" i="12"/>
  <c r="DJ78" i="12"/>
  <c r="DJ63" i="12"/>
  <c r="CT133" i="12"/>
  <c r="S81" i="12"/>
  <c r="BH102" i="12"/>
  <c r="CE204" i="12"/>
  <c r="CT103" i="12"/>
  <c r="CS52" i="12"/>
  <c r="CT81" i="12"/>
  <c r="S106" i="12"/>
  <c r="DJ187" i="12"/>
  <c r="CT99" i="12"/>
  <c r="CS205" i="12"/>
  <c r="CT209" i="12"/>
  <c r="CT184" i="12"/>
  <c r="CS113" i="12"/>
  <c r="CT145" i="12"/>
  <c r="DJ38" i="12"/>
  <c r="DJ104" i="12"/>
  <c r="DJ147" i="12"/>
  <c r="CL215" i="12"/>
  <c r="S102" i="12"/>
  <c r="CE32" i="12"/>
  <c r="CE28" i="12"/>
  <c r="CS162" i="12"/>
  <c r="CS61" i="12"/>
  <c r="CE203" i="12"/>
  <c r="CS167" i="12"/>
  <c r="CU167" i="12" s="1"/>
  <c r="BH47" i="12"/>
  <c r="CT112" i="12"/>
  <c r="CE154" i="12"/>
  <c r="CL142" i="12"/>
  <c r="CL46" i="12"/>
  <c r="CL168" i="12"/>
  <c r="CS58" i="12"/>
  <c r="CU58" i="12" s="1"/>
  <c r="CT90" i="12"/>
  <c r="DJ172" i="12"/>
  <c r="CE50" i="12"/>
  <c r="DJ15" i="12"/>
  <c r="CT154" i="12"/>
  <c r="DJ133" i="12"/>
  <c r="CE137" i="12"/>
  <c r="CE144" i="12" s="1"/>
  <c r="S203" i="12"/>
  <c r="CE151" i="12"/>
  <c r="BH38" i="12"/>
  <c r="CE220" i="12"/>
  <c r="CS159" i="12"/>
  <c r="CS211" i="12"/>
  <c r="CS44" i="12"/>
  <c r="CL145" i="12"/>
  <c r="S214" i="12"/>
  <c r="CT102" i="12"/>
  <c r="CL213" i="12"/>
  <c r="S193" i="12"/>
  <c r="BH4" i="12"/>
  <c r="DJ77" i="12"/>
  <c r="CS107" i="12"/>
  <c r="CS147" i="12"/>
  <c r="S204" i="12"/>
  <c r="CT91" i="12"/>
  <c r="CT11" i="12"/>
  <c r="CE147" i="12"/>
  <c r="DJ166" i="12"/>
  <c r="CL76" i="12"/>
  <c r="CT178" i="12"/>
  <c r="DJ8" i="12"/>
  <c r="DK8" i="12" s="1"/>
  <c r="CS137" i="12"/>
  <c r="S10" i="12"/>
  <c r="DJ204" i="12"/>
  <c r="BH183" i="12"/>
  <c r="CE211" i="12"/>
  <c r="CT70" i="12"/>
  <c r="S130" i="12"/>
  <c r="DJ23" i="12"/>
  <c r="CT41" i="12"/>
  <c r="CL113" i="12"/>
  <c r="CL119" i="12" s="1"/>
  <c r="CL96" i="12"/>
  <c r="CT171" i="12"/>
  <c r="CE49" i="12"/>
  <c r="BH90" i="12"/>
  <c r="CT19" i="12"/>
  <c r="DJ20" i="12"/>
  <c r="DK20" i="12" s="1"/>
  <c r="CT189" i="12"/>
  <c r="BH172" i="12"/>
  <c r="CL199" i="12"/>
  <c r="CS186" i="12"/>
  <c r="DJ135" i="12"/>
  <c r="S87" i="12"/>
  <c r="CE125" i="12"/>
  <c r="CS82" i="12"/>
  <c r="CL101" i="12"/>
  <c r="CT177" i="12"/>
  <c r="BH27" i="12"/>
  <c r="CL39" i="12"/>
  <c r="CE15" i="12"/>
  <c r="CS97" i="12"/>
  <c r="CU97" i="12" s="1"/>
  <c r="CL140" i="12"/>
  <c r="CE11" i="12"/>
  <c r="CS71" i="12"/>
  <c r="CU71" i="12" s="1"/>
  <c r="BH123" i="12"/>
  <c r="DJ141" i="12"/>
  <c r="CL170" i="12"/>
  <c r="CT131" i="12"/>
  <c r="DJ102" i="12"/>
  <c r="S42" i="12"/>
  <c r="CT66" i="12"/>
  <c r="BH180" i="12"/>
  <c r="BH181" i="12" s="1"/>
  <c r="BH182" i="12" s="1"/>
  <c r="BH137" i="12"/>
  <c r="DJ21" i="12"/>
  <c r="CS69" i="12"/>
  <c r="CE68" i="12"/>
  <c r="CT201" i="12"/>
  <c r="DJ179" i="12"/>
  <c r="BH199" i="12"/>
  <c r="CT181" i="12"/>
  <c r="CT80" i="12"/>
  <c r="CS70" i="12"/>
  <c r="CL16" i="12"/>
  <c r="CL216" i="12"/>
  <c r="CL162" i="12"/>
  <c r="S90" i="12"/>
  <c r="CL138" i="12"/>
  <c r="CS66" i="12"/>
  <c r="CS200" i="12"/>
  <c r="CL88" i="12"/>
  <c r="CS181" i="12"/>
  <c r="DJ61" i="12"/>
  <c r="CL128" i="12"/>
  <c r="CT159" i="12"/>
  <c r="CS3" i="12"/>
  <c r="CT115" i="12"/>
  <c r="CT152" i="12"/>
  <c r="CS118" i="12"/>
  <c r="CL187" i="12"/>
  <c r="CS64" i="12"/>
  <c r="CU64" i="12" s="1"/>
  <c r="BH220" i="12"/>
  <c r="DJ97" i="12"/>
  <c r="CL150" i="12"/>
  <c r="CS161" i="12"/>
  <c r="CU161" i="12" s="1"/>
  <c r="BH173" i="12"/>
  <c r="BH174" i="12" s="1"/>
  <c r="CE131" i="12"/>
  <c r="CT3" i="12"/>
  <c r="CT180" i="12"/>
  <c r="DJ182" i="12"/>
  <c r="S134" i="12"/>
  <c r="DJ146" i="12"/>
  <c r="DJ193" i="12"/>
  <c r="S25" i="12"/>
  <c r="CT141" i="12"/>
  <c r="CL167" i="12"/>
  <c r="S99" i="12"/>
  <c r="CS125" i="12"/>
  <c r="BH207" i="12"/>
  <c r="CS128" i="12"/>
  <c r="CT63" i="12"/>
  <c r="S58" i="12"/>
  <c r="CS214" i="12"/>
  <c r="CE3" i="12"/>
  <c r="CL41" i="12"/>
  <c r="CS124" i="12"/>
  <c r="CL148" i="12"/>
  <c r="BH106" i="12"/>
  <c r="CT8" i="12"/>
  <c r="CT191" i="12"/>
  <c r="CT190" i="12"/>
  <c r="CE207" i="12"/>
  <c r="S93" i="12"/>
  <c r="CL156" i="12"/>
  <c r="CT35" i="12"/>
  <c r="CE129" i="12"/>
  <c r="CT157" i="12"/>
  <c r="CT52" i="12"/>
  <c r="CL56" i="12"/>
  <c r="S135" i="12"/>
  <c r="CL164" i="12"/>
  <c r="CT38" i="12"/>
  <c r="DJ68" i="12"/>
  <c r="CL61" i="12"/>
  <c r="CL18" i="12"/>
  <c r="DJ13" i="12"/>
  <c r="DK13" i="12" s="1"/>
  <c r="DJ112" i="12"/>
  <c r="DJ201" i="12"/>
  <c r="S128" i="12"/>
  <c r="CE34" i="12"/>
  <c r="S40" i="12"/>
  <c r="S80" i="12" s="1"/>
  <c r="DJ118" i="12"/>
  <c r="CE84" i="12"/>
  <c r="CE85" i="12" s="1"/>
  <c r="CE86" i="12" s="1"/>
  <c r="CT45" i="12"/>
  <c r="CT128" i="12"/>
  <c r="CE119" i="12"/>
  <c r="S38" i="12"/>
  <c r="CS144" i="12"/>
  <c r="BH54" i="12"/>
  <c r="DJ160" i="12"/>
  <c r="CE57" i="12"/>
  <c r="CE21" i="12"/>
  <c r="CS209" i="12"/>
  <c r="BH139" i="12"/>
  <c r="BH140" i="12" s="1"/>
  <c r="BH94" i="12"/>
  <c r="DJ180" i="12"/>
  <c r="CS93" i="12"/>
  <c r="CE128" i="12"/>
  <c r="CL173" i="12"/>
  <c r="CS190" i="12"/>
  <c r="CL161" i="12"/>
  <c r="CL180" i="12"/>
  <c r="DJ9" i="12"/>
  <c r="DK9" i="12" s="1"/>
  <c r="CT98" i="12"/>
  <c r="CE101" i="12"/>
  <c r="CE102" i="12" s="1"/>
  <c r="BH93" i="12"/>
  <c r="DJ70" i="12"/>
  <c r="CT101" i="12"/>
  <c r="DJ5" i="12"/>
  <c r="DK5" i="12" s="1"/>
  <c r="CS130" i="12"/>
  <c r="CU130" i="12" s="1"/>
  <c r="CL116" i="12"/>
  <c r="DJ203" i="12"/>
  <c r="BH99" i="12"/>
  <c r="CE138" i="12"/>
  <c r="CL175" i="12"/>
  <c r="CE218" i="12"/>
  <c r="S13" i="12"/>
  <c r="S84" i="12"/>
  <c r="CT150" i="12"/>
  <c r="CT86" i="12"/>
  <c r="DJ11" i="12"/>
  <c r="DK11" i="12" s="1"/>
  <c r="CS103" i="12"/>
  <c r="BH134" i="12"/>
  <c r="CL218" i="12"/>
  <c r="DJ10" i="12"/>
  <c r="DJ198" i="12"/>
  <c r="CS201" i="12"/>
  <c r="BH179" i="12"/>
  <c r="CE17" i="12"/>
  <c r="CE16" i="12"/>
  <c r="BH41" i="12"/>
  <c r="DJ159" i="12"/>
  <c r="CS196" i="12"/>
  <c r="BH78" i="12"/>
  <c r="CS157" i="12"/>
  <c r="CT65" i="12"/>
  <c r="CS217" i="12"/>
  <c r="CS65" i="12"/>
  <c r="CS53" i="12"/>
  <c r="CT160" i="12"/>
  <c r="CS126" i="12"/>
  <c r="CS120" i="12"/>
  <c r="BH11" i="12"/>
  <c r="BH193" i="12"/>
  <c r="BH195" i="12" s="1"/>
  <c r="BH197" i="12" s="1"/>
  <c r="BH206" i="12" s="1"/>
  <c r="BH211" i="12" s="1"/>
  <c r="BH217" i="12" s="1"/>
  <c r="BH219" i="12" s="1"/>
  <c r="BH117" i="12"/>
  <c r="BH64" i="12"/>
  <c r="CT187" i="12"/>
  <c r="CT118" i="12"/>
  <c r="CL73" i="12"/>
  <c r="CS134" i="12"/>
  <c r="DJ181" i="12"/>
  <c r="CS75" i="12"/>
  <c r="DJ26" i="12"/>
  <c r="CS7" i="12"/>
  <c r="CT137" i="12"/>
  <c r="CE120" i="12"/>
  <c r="CE121" i="12" s="1"/>
  <c r="CS208" i="12"/>
  <c r="CS193" i="12"/>
  <c r="CU193" i="12" s="1"/>
  <c r="BH125" i="12"/>
  <c r="DJ85" i="12"/>
  <c r="S113" i="12"/>
  <c r="BH114" i="12"/>
  <c r="CT218" i="12"/>
  <c r="S95" i="12"/>
  <c r="CT92" i="12"/>
  <c r="S131" i="12"/>
  <c r="S121" i="12"/>
  <c r="CE63" i="12"/>
  <c r="S94" i="12"/>
  <c r="CS31" i="12"/>
  <c r="CL111" i="12"/>
  <c r="CL13" i="12"/>
  <c r="CS57" i="12"/>
  <c r="CT62" i="12"/>
  <c r="BH176" i="12"/>
  <c r="BH177" i="12" s="1"/>
  <c r="BH178" i="12" s="1"/>
  <c r="DJ57" i="12"/>
  <c r="CL176" i="12"/>
  <c r="CL184" i="12"/>
  <c r="CT25" i="12"/>
  <c r="CT5" i="12"/>
  <c r="DJ65" i="12"/>
  <c r="S111" i="12"/>
  <c r="CS154" i="12"/>
  <c r="CT185" i="12"/>
  <c r="CS207" i="12"/>
  <c r="CU207" i="12" s="1"/>
  <c r="CE143" i="12"/>
  <c r="S123" i="12"/>
  <c r="DJ140" i="12"/>
  <c r="CT139" i="12"/>
  <c r="DJ27" i="12"/>
  <c r="CT56" i="12"/>
  <c r="CL196" i="12"/>
  <c r="CS32" i="12"/>
  <c r="BH143" i="12"/>
  <c r="CT10" i="12"/>
  <c r="S29" i="12"/>
  <c r="S32" i="12" s="1"/>
  <c r="DJ45" i="12"/>
  <c r="CS151" i="12"/>
  <c r="BH21" i="12"/>
  <c r="CL151" i="12"/>
  <c r="BH112" i="12"/>
  <c r="CT126" i="12"/>
  <c r="CL15" i="12"/>
  <c r="CS95" i="12"/>
  <c r="CE155" i="12"/>
  <c r="CE156" i="12" s="1"/>
  <c r="CE157" i="12" s="1"/>
  <c r="CE158" i="12" s="1"/>
  <c r="CE159" i="12" s="1"/>
  <c r="CE160" i="12" s="1"/>
  <c r="CE161" i="12" s="1"/>
  <c r="CE162" i="12" s="1"/>
  <c r="CE163" i="12" s="1"/>
  <c r="CE164" i="12" s="1"/>
  <c r="CE165" i="12" s="1"/>
  <c r="CE166" i="12" s="1"/>
  <c r="CE167" i="12" s="1"/>
  <c r="CE168" i="12" s="1"/>
  <c r="CE169" i="12" s="1"/>
  <c r="CE170" i="12" s="1"/>
  <c r="CE171" i="12" s="1"/>
  <c r="CE172" i="12" s="1"/>
  <c r="CE173" i="12" s="1"/>
  <c r="CE174" i="12" s="1"/>
  <c r="CE175" i="12" s="1"/>
  <c r="CE176" i="12" s="1"/>
  <c r="CE177" i="12" s="1"/>
  <c r="CE178" i="12" s="1"/>
  <c r="CE179" i="12" s="1"/>
  <c r="CE180" i="12" s="1"/>
  <c r="CE181" i="12" s="1"/>
  <c r="CE182" i="12" s="1"/>
  <c r="CE183" i="12" s="1"/>
  <c r="CE184" i="12" s="1"/>
  <c r="CE185" i="12" s="1"/>
  <c r="CE186" i="12" s="1"/>
  <c r="CE187" i="12" s="1"/>
  <c r="CE188" i="12" s="1"/>
  <c r="CE189" i="12" s="1"/>
  <c r="CE190" i="12" s="1"/>
  <c r="CE191" i="12" s="1"/>
  <c r="CE192" i="12" s="1"/>
  <c r="BH216" i="12"/>
  <c r="CE132" i="12"/>
  <c r="CL166" i="12"/>
  <c r="S124" i="12"/>
  <c r="CE73" i="12"/>
  <c r="CS60" i="12"/>
  <c r="S76" i="12"/>
  <c r="S126" i="12"/>
  <c r="DJ163" i="12"/>
  <c r="CT163" i="12"/>
  <c r="CS177" i="12"/>
  <c r="CU177" i="12" s="1"/>
  <c r="CT78" i="12"/>
  <c r="CT220" i="12"/>
  <c r="CS41" i="12"/>
  <c r="DJ90" i="12"/>
  <c r="CL11" i="12"/>
  <c r="CL124" i="12"/>
  <c r="CS21" i="12"/>
  <c r="CS139" i="12"/>
  <c r="CT28" i="12"/>
  <c r="CL77" i="12"/>
  <c r="CS98" i="12"/>
  <c r="S142" i="12"/>
  <c r="CS90" i="12"/>
  <c r="CU90" i="12" s="1"/>
  <c r="CL126" i="12"/>
  <c r="CL28" i="12"/>
  <c r="CS175" i="12"/>
  <c r="CL135" i="12"/>
  <c r="CS197" i="12"/>
  <c r="CT4" i="12"/>
  <c r="CL51" i="12"/>
  <c r="CL210" i="12"/>
  <c r="CT169" i="12"/>
  <c r="DJ202" i="12"/>
  <c r="CE200" i="12"/>
  <c r="S143" i="12"/>
  <c r="CL21" i="12"/>
  <c r="CL70" i="12"/>
  <c r="CS42" i="12"/>
  <c r="CS164" i="12"/>
  <c r="S68" i="12"/>
  <c r="DJ24" i="12"/>
  <c r="CL182" i="12"/>
  <c r="CL197" i="12"/>
  <c r="CL130" i="12"/>
  <c r="CS152" i="12"/>
  <c r="BH46" i="12"/>
  <c r="BH59" i="12" s="1"/>
  <c r="CT125" i="12"/>
  <c r="CT104" i="12"/>
  <c r="S218" i="12"/>
  <c r="CT182" i="12"/>
  <c r="BH13" i="12"/>
  <c r="CE37" i="12"/>
  <c r="S144" i="12"/>
  <c r="CS105" i="12"/>
  <c r="CE210" i="12"/>
  <c r="DJ109" i="12"/>
  <c r="CS216" i="12"/>
  <c r="BH127" i="12"/>
  <c r="DJ151" i="12"/>
  <c r="CS220" i="12"/>
  <c r="CU220" i="12" s="1"/>
  <c r="CS51" i="12"/>
  <c r="CL185" i="12"/>
  <c r="DJ30" i="12"/>
  <c r="CT134" i="12"/>
  <c r="CT24" i="12"/>
  <c r="CT107" i="12"/>
  <c r="CS135" i="12"/>
  <c r="CL72" i="12"/>
  <c r="CT119" i="12"/>
  <c r="CL202" i="12"/>
  <c r="BH73" i="12"/>
  <c r="CT73" i="12"/>
  <c r="DJ174" i="12"/>
  <c r="S196" i="12"/>
  <c r="CS89" i="12"/>
  <c r="DJ55" i="12"/>
  <c r="CT21" i="12"/>
  <c r="CS22" i="12"/>
  <c r="BH81" i="12"/>
  <c r="CS24" i="12"/>
  <c r="CL89" i="12"/>
  <c r="CL137" i="12"/>
  <c r="CT7" i="12"/>
  <c r="CS92" i="12"/>
  <c r="CT204" i="12"/>
  <c r="DJ81" i="12"/>
  <c r="CS133" i="12"/>
  <c r="CL69" i="12"/>
  <c r="DJ154" i="12"/>
  <c r="S220" i="12"/>
  <c r="CL203" i="12"/>
  <c r="DJ171" i="12"/>
  <c r="CS56" i="12"/>
  <c r="BH60" i="12"/>
  <c r="CS83" i="12"/>
  <c r="CL183" i="12"/>
  <c r="S67" i="12"/>
  <c r="BH15" i="12"/>
  <c r="BH16" i="12" s="1"/>
  <c r="CT47" i="12"/>
  <c r="CL80" i="12"/>
  <c r="S120" i="12"/>
  <c r="CL57" i="12"/>
  <c r="DJ127" i="12"/>
  <c r="CL136" i="12"/>
  <c r="CE40" i="12"/>
  <c r="CT142" i="12"/>
  <c r="CS77" i="12"/>
  <c r="CL100" i="12"/>
  <c r="S64" i="12"/>
  <c r="BH111" i="12"/>
  <c r="BH192" i="12"/>
  <c r="S92" i="12"/>
  <c r="CL79" i="12"/>
  <c r="CE62" i="12"/>
  <c r="DJ136" i="12"/>
  <c r="CL86" i="12"/>
  <c r="CS109" i="12"/>
  <c r="S212" i="12"/>
  <c r="CL179" i="12"/>
  <c r="CS131" i="12"/>
  <c r="CS73" i="12"/>
  <c r="S122" i="12"/>
  <c r="S219" i="12"/>
  <c r="CT18" i="12"/>
  <c r="S78" i="12"/>
  <c r="DJ94" i="12"/>
  <c r="BH210" i="12"/>
  <c r="S146" i="12"/>
  <c r="CS218" i="12"/>
  <c r="DJ129" i="12"/>
  <c r="BH48" i="12"/>
  <c r="BH45" i="12"/>
  <c r="CT30" i="12"/>
  <c r="DJ22" i="12"/>
  <c r="CL14" i="12"/>
  <c r="CS143" i="12"/>
  <c r="BH9" i="12"/>
  <c r="CS210" i="12"/>
  <c r="CL54" i="12"/>
  <c r="CL191" i="12"/>
  <c r="CS6" i="12"/>
  <c r="CS86" i="12"/>
  <c r="S50" i="12"/>
  <c r="CT69" i="12"/>
  <c r="CT77" i="12"/>
  <c r="CE208" i="12"/>
  <c r="BH138" i="12"/>
  <c r="CS91" i="12"/>
  <c r="S133" i="12"/>
  <c r="S8" i="12"/>
  <c r="CL6" i="12"/>
  <c r="CT46" i="12"/>
  <c r="CT76" i="12"/>
  <c r="CE65" i="12"/>
  <c r="CS195" i="12"/>
  <c r="CE199" i="12"/>
  <c r="CE139" i="12"/>
  <c r="CT54" i="12"/>
  <c r="CL25" i="12"/>
  <c r="DJ71" i="12"/>
  <c r="CT173" i="12"/>
  <c r="CE46" i="12"/>
  <c r="CT44" i="12"/>
  <c r="CS5" i="12"/>
  <c r="CS59" i="12"/>
  <c r="CU59" i="12" s="1"/>
  <c r="CL45" i="12"/>
  <c r="CT89" i="12"/>
  <c r="S66" i="12"/>
  <c r="CE9" i="12"/>
  <c r="BH34" i="12"/>
  <c r="DJ92" i="12"/>
  <c r="S65" i="12"/>
  <c r="CT168" i="12"/>
  <c r="CS171" i="12"/>
  <c r="CL90" i="12"/>
  <c r="DJ150" i="12"/>
  <c r="BH194" i="12"/>
  <c r="DJ148" i="12"/>
  <c r="CS156" i="12"/>
  <c r="CL110" i="12"/>
  <c r="CL208" i="12"/>
  <c r="DJ19" i="12"/>
  <c r="DK19" i="12" s="1"/>
  <c r="CS99" i="12"/>
  <c r="CU99" i="12" s="1"/>
  <c r="CS35" i="12"/>
  <c r="CS29" i="12"/>
  <c r="S49" i="12"/>
  <c r="CL127" i="12"/>
  <c r="CT179" i="12"/>
  <c r="S202" i="12"/>
  <c r="BH6" i="12"/>
  <c r="CE87" i="12"/>
  <c r="CS80" i="12"/>
  <c r="S4" i="12"/>
  <c r="BH116" i="12"/>
  <c r="BH18" i="12"/>
  <c r="CS62" i="12"/>
  <c r="BH156" i="12"/>
  <c r="BH157" i="12" s="1"/>
  <c r="BH158" i="12" s="1"/>
  <c r="BH159" i="12" s="1"/>
  <c r="BH160" i="12" s="1"/>
  <c r="BH161" i="12" s="1"/>
  <c r="BH162" i="12" s="1"/>
  <c r="BH163" i="12" s="1"/>
  <c r="BH164" i="12" s="1"/>
  <c r="BH165" i="12" s="1"/>
  <c r="BH166" i="12" s="1"/>
  <c r="BH167" i="12" s="1"/>
  <c r="BH168" i="12" s="1"/>
  <c r="BH169" i="12" s="1"/>
  <c r="BH170" i="12" s="1"/>
  <c r="BH171" i="12" s="1"/>
  <c r="CT140" i="12"/>
  <c r="CE69" i="12"/>
  <c r="DJ183" i="12"/>
  <c r="CT210" i="12"/>
  <c r="CS102" i="12"/>
  <c r="CU102" i="12" s="1"/>
  <c r="DJ108" i="12"/>
  <c r="DJ110" i="12"/>
  <c r="S77" i="12"/>
  <c r="CL42" i="12"/>
  <c r="BH87" i="12"/>
  <c r="BH88" i="12" s="1"/>
  <c r="S136" i="12"/>
  <c r="CE43" i="12"/>
  <c r="CL209" i="12"/>
  <c r="S5" i="12"/>
  <c r="BH31" i="12"/>
  <c r="DJ103" i="12"/>
  <c r="BH51" i="12"/>
  <c r="BH70" i="12" s="1"/>
  <c r="CS13" i="12"/>
  <c r="CU13" i="12" s="1"/>
  <c r="CL8" i="12"/>
  <c r="CT113" i="12"/>
  <c r="DJ134" i="12"/>
  <c r="CS11" i="12"/>
  <c r="S115" i="12"/>
  <c r="CS14" i="12"/>
  <c r="CT144" i="12"/>
  <c r="BH215" i="12"/>
  <c r="CT216" i="12"/>
  <c r="DJ106" i="12"/>
  <c r="CS127" i="12"/>
  <c r="CS121" i="12"/>
  <c r="CL108" i="12"/>
  <c r="CE58" i="12"/>
  <c r="BH103" i="12"/>
  <c r="DJ214" i="12"/>
  <c r="CS9" i="12"/>
  <c r="CU9" i="12" s="1"/>
  <c r="S35" i="12"/>
  <c r="S36" i="12" s="1"/>
  <c r="S83" i="12"/>
  <c r="S211" i="12"/>
  <c r="CE111" i="12"/>
  <c r="CS78" i="12"/>
  <c r="S209" i="12"/>
  <c r="CT96" i="12"/>
  <c r="CE54" i="12"/>
  <c r="CL26" i="12"/>
  <c r="CL40" i="12"/>
  <c r="BH151" i="12"/>
  <c r="BH152" i="12" s="1"/>
  <c r="BH153" i="12" s="1"/>
  <c r="BH154" i="12" s="1"/>
  <c r="BH155" i="12" s="1"/>
  <c r="CL4" i="12"/>
  <c r="CS40" i="12"/>
  <c r="DJ124" i="12"/>
  <c r="CL75" i="12"/>
  <c r="BH126" i="12"/>
  <c r="CT84" i="12"/>
  <c r="CE27" i="12"/>
  <c r="CT105" i="12"/>
  <c r="BH203" i="12"/>
  <c r="CS38" i="12"/>
  <c r="CU38" i="12" s="1"/>
  <c r="CL22" i="12"/>
  <c r="CS173" i="12"/>
  <c r="CS165" i="12"/>
  <c r="CT151" i="12"/>
  <c r="CS12" i="12"/>
  <c r="DJ126" i="12"/>
  <c r="CT43" i="12"/>
  <c r="CE109" i="12"/>
  <c r="CE115" i="12"/>
  <c r="CT37" i="12"/>
  <c r="CE53" i="12"/>
  <c r="S210" i="12"/>
  <c r="CL99" i="12"/>
  <c r="CT196" i="12"/>
  <c r="CS85" i="12"/>
  <c r="CS163" i="12"/>
  <c r="CL38" i="12"/>
  <c r="CL68" i="12"/>
  <c r="BH196" i="12"/>
  <c r="CE51" i="12"/>
  <c r="CS179" i="12"/>
  <c r="BH32" i="12"/>
  <c r="S145" i="12"/>
  <c r="CT74" i="12"/>
  <c r="CL131" i="12"/>
  <c r="CS63" i="12"/>
  <c r="BH85" i="12"/>
  <c r="CL83" i="12"/>
  <c r="CL84" i="12" s="1"/>
  <c r="S217" i="12"/>
  <c r="CE194" i="12"/>
  <c r="CE22" i="12"/>
  <c r="CE61" i="12"/>
  <c r="CL219" i="12"/>
  <c r="DJ170" i="12"/>
  <c r="DJ175" i="12"/>
  <c r="DJ59" i="12"/>
  <c r="CS104" i="12"/>
  <c r="CT170" i="12"/>
  <c r="CL31" i="12"/>
  <c r="CS192" i="12"/>
  <c r="CU192" i="12" s="1"/>
  <c r="CT51" i="12"/>
  <c r="S194" i="12"/>
  <c r="CL205" i="12"/>
  <c r="CS20" i="12"/>
  <c r="CE30" i="12"/>
  <c r="CT42" i="12"/>
  <c r="CE83" i="12"/>
  <c r="CE89" i="12"/>
  <c r="CE91" i="12" s="1"/>
  <c r="BH10" i="12"/>
  <c r="CE31" i="12"/>
  <c r="S125" i="12"/>
  <c r="CT166" i="12"/>
  <c r="S132" i="12"/>
  <c r="CE8" i="12"/>
  <c r="CS17" i="12"/>
  <c r="BH131" i="12"/>
  <c r="DJ143" i="12"/>
  <c r="CT114" i="12"/>
  <c r="CS50" i="12"/>
  <c r="CU50" i="12" s="1"/>
  <c r="CS23" i="12"/>
  <c r="CT72" i="12"/>
  <c r="DJ208" i="12"/>
  <c r="CT156" i="12"/>
  <c r="CL206" i="12"/>
  <c r="CE195" i="12"/>
  <c r="BH56" i="12"/>
  <c r="DJ17" i="12"/>
  <c r="DK17" i="12" s="1"/>
  <c r="CL147" i="12"/>
  <c r="CL174" i="12"/>
  <c r="CL19" i="12"/>
  <c r="CL7" i="12"/>
  <c r="BH68" i="12"/>
  <c r="CL29" i="12"/>
  <c r="S39" i="12"/>
  <c r="S44" i="12" s="1"/>
  <c r="CT16" i="12"/>
  <c r="CE216" i="12"/>
  <c r="CS213" i="12"/>
  <c r="CE206" i="12"/>
  <c r="S198" i="12"/>
  <c r="BH24" i="12"/>
  <c r="DJ211" i="12"/>
  <c r="CS122" i="12"/>
  <c r="CU122" i="12" s="1"/>
  <c r="DJ168" i="12"/>
  <c r="CE64" i="12"/>
  <c r="DJ4" i="12"/>
  <c r="DK4" i="12" s="1"/>
  <c r="CT213" i="12"/>
  <c r="CS129" i="12"/>
  <c r="CU129" i="12" s="1"/>
  <c r="S129" i="12"/>
  <c r="DJ138" i="12"/>
  <c r="CL195" i="12"/>
  <c r="CT95" i="12"/>
  <c r="DJ194" i="12"/>
  <c r="DJ184" i="12"/>
  <c r="CL32" i="12"/>
  <c r="CT146" i="12"/>
  <c r="DJ114" i="12"/>
  <c r="CS106" i="12"/>
  <c r="CU106" i="12" s="1"/>
  <c r="CT175" i="12"/>
  <c r="DJ105" i="12"/>
  <c r="BH97" i="12"/>
  <c r="CE90" i="12"/>
  <c r="CL95" i="12"/>
  <c r="CS79" i="12"/>
  <c r="CS87" i="12"/>
  <c r="CE127" i="12"/>
  <c r="CL102" i="12"/>
  <c r="CE12" i="12"/>
  <c r="BH141" i="12"/>
  <c r="CL20" i="12"/>
  <c r="S117" i="12"/>
  <c r="BH213" i="12"/>
  <c r="DJ96" i="12"/>
  <c r="CL190" i="12"/>
  <c r="CT200" i="12"/>
  <c r="CT12" i="12"/>
  <c r="CL67" i="12"/>
  <c r="BH133" i="12"/>
  <c r="CE198" i="12"/>
  <c r="BH22" i="12"/>
  <c r="BH23" i="12" s="1"/>
  <c r="CS206" i="12"/>
  <c r="CE66" i="12"/>
  <c r="S17" i="12"/>
  <c r="DJ215" i="12"/>
  <c r="DJ76" i="12"/>
  <c r="DJ39" i="12"/>
  <c r="DJ130" i="12"/>
  <c r="CT32" i="12"/>
  <c r="DJ200" i="12"/>
  <c r="CL200" i="12"/>
  <c r="BH129" i="12"/>
  <c r="S110" i="12"/>
  <c r="CT123" i="12"/>
  <c r="CL17" i="12"/>
  <c r="S112" i="12"/>
  <c r="CS176" i="12"/>
  <c r="CU176" i="12" s="1"/>
  <c r="CL141" i="12"/>
  <c r="CE152" i="12"/>
  <c r="CE153" i="12" s="1"/>
  <c r="DJ64" i="12"/>
  <c r="CL91" i="12"/>
  <c r="CE107" i="12"/>
  <c r="CL10" i="12"/>
  <c r="CS101" i="12"/>
  <c r="S63" i="12"/>
  <c r="CT165" i="12"/>
  <c r="S51" i="12"/>
  <c r="CL220" i="12"/>
  <c r="CT188" i="12"/>
  <c r="S100" i="12"/>
  <c r="DJ29" i="12"/>
  <c r="CE36" i="12"/>
  <c r="S88" i="12"/>
  <c r="CL5" i="12"/>
  <c r="CT120" i="12"/>
  <c r="CT34" i="12"/>
  <c r="CE5" i="12"/>
  <c r="DJ152" i="12"/>
  <c r="CE39" i="12"/>
  <c r="DJ167" i="12"/>
  <c r="S75" i="12"/>
  <c r="CS202" i="12"/>
  <c r="DJ7" i="12"/>
  <c r="DK7" i="12" s="1"/>
  <c r="CL12" i="12"/>
  <c r="S114" i="12"/>
  <c r="CT87" i="12"/>
  <c r="CT147" i="12"/>
  <c r="DJ219" i="12"/>
  <c r="CT208" i="12"/>
  <c r="CE113" i="12"/>
  <c r="DJ95" i="12"/>
  <c r="CE201" i="12"/>
  <c r="S216" i="12"/>
  <c r="DJ120" i="12"/>
  <c r="DJ188" i="12"/>
  <c r="BH100" i="12"/>
  <c r="CS170" i="12"/>
  <c r="BH61" i="12"/>
  <c r="BH65" i="12" s="1"/>
  <c r="BH49" i="12"/>
  <c r="BH50" i="12" s="1"/>
  <c r="BH71" i="12" s="1"/>
  <c r="CE118" i="12"/>
  <c r="CS36" i="12"/>
  <c r="CT203" i="12"/>
  <c r="CL204" i="12"/>
  <c r="CT197" i="12"/>
  <c r="DJ86" i="12"/>
  <c r="CT94" i="12"/>
  <c r="CT195" i="12"/>
  <c r="BH107" i="12"/>
  <c r="DJ161" i="12"/>
  <c r="CE25" i="12"/>
  <c r="BH36" i="12"/>
  <c r="CS30" i="12"/>
  <c r="CL60" i="12"/>
  <c r="CS188" i="12"/>
  <c r="DJ113" i="12"/>
  <c r="CS26" i="12"/>
  <c r="CT138" i="12"/>
  <c r="CL172" i="12"/>
  <c r="DJ142" i="12"/>
  <c r="CE6" i="12"/>
  <c r="CL133" i="12"/>
  <c r="CL177" i="12" s="1"/>
  <c r="CL178" i="12" s="1"/>
  <c r="BH142" i="12"/>
  <c r="CT61" i="12"/>
  <c r="CT20" i="12"/>
  <c r="CL217" i="12"/>
  <c r="CE104" i="12"/>
  <c r="CT60" i="12"/>
  <c r="DJ119" i="12"/>
  <c r="CS28" i="12"/>
  <c r="CL198" i="12"/>
  <c r="BH218" i="12"/>
  <c r="CE44" i="12"/>
  <c r="S147" i="12"/>
  <c r="S148" i="12" s="1"/>
  <c r="S149" i="12" s="1"/>
  <c r="S150" i="12" s="1"/>
  <c r="S151" i="12" s="1"/>
  <c r="S152" i="12" s="1"/>
  <c r="S153" i="12" s="1"/>
  <c r="S154" i="12" s="1"/>
  <c r="S155" i="12" s="1"/>
  <c r="S156" i="12" s="1"/>
  <c r="S157" i="12" s="1"/>
  <c r="S158" i="12" s="1"/>
  <c r="S159" i="12" s="1"/>
  <c r="S160" i="12" s="1"/>
  <c r="S161" i="12" s="1"/>
  <c r="S162" i="12" s="1"/>
  <c r="S163" i="12" s="1"/>
  <c r="S164" i="12" s="1"/>
  <c r="S165" i="12" s="1"/>
  <c r="S166" i="12" s="1"/>
  <c r="S167" i="12" s="1"/>
  <c r="S168" i="12" s="1"/>
  <c r="S169" i="12" s="1"/>
  <c r="S170" i="12" s="1"/>
  <c r="S171" i="12" s="1"/>
  <c r="S172" i="12" s="1"/>
  <c r="S173" i="12" s="1"/>
  <c r="S174" i="12" s="1"/>
  <c r="S175" i="12" s="1"/>
  <c r="S176" i="12" s="1"/>
  <c r="S177" i="12" s="1"/>
  <c r="S178" i="12" s="1"/>
  <c r="S179" i="12" s="1"/>
  <c r="S180" i="12" s="1"/>
  <c r="S181" i="12" s="1"/>
  <c r="S182" i="12" s="1"/>
  <c r="S183" i="12" s="1"/>
  <c r="S184" i="12" s="1"/>
  <c r="S185" i="12" s="1"/>
  <c r="S186" i="12" s="1"/>
  <c r="S187" i="12" s="1"/>
  <c r="S188" i="12" s="1"/>
  <c r="S189" i="12" s="1"/>
  <c r="S190" i="12" s="1"/>
  <c r="S191" i="12" s="1"/>
  <c r="S192" i="12" s="1"/>
  <c r="CL81" i="12"/>
  <c r="DJ41" i="12"/>
  <c r="DJ176" i="12"/>
  <c r="CS96" i="12"/>
  <c r="CS39" i="12"/>
  <c r="BH118" i="12"/>
  <c r="BH120" i="12"/>
  <c r="CE56" i="12"/>
  <c r="BH28" i="12"/>
  <c r="CT55" i="12"/>
  <c r="DJ122" i="12"/>
  <c r="CT143" i="12"/>
  <c r="CL212" i="12"/>
  <c r="CS140" i="12"/>
  <c r="CL98" i="12"/>
  <c r="DJ117" i="12"/>
  <c r="CT39" i="12"/>
  <c r="CE95" i="12"/>
  <c r="CE103" i="12" s="1"/>
  <c r="CE47" i="12"/>
  <c r="S26" i="12"/>
  <c r="CE93" i="12"/>
  <c r="S213" i="12"/>
  <c r="CE10" i="12"/>
  <c r="CL85" i="12"/>
  <c r="CS138" i="12"/>
  <c r="CS146" i="12"/>
  <c r="CE7" i="12"/>
  <c r="CS34" i="12"/>
  <c r="CT206" i="12"/>
  <c r="BH144" i="12"/>
  <c r="BH145" i="12" s="1"/>
  <c r="BH146" i="12" s="1"/>
  <c r="ED74" i="12"/>
  <c r="HM74" i="12"/>
  <c r="HP74" i="12" s="1"/>
  <c r="BC74" i="12"/>
  <c r="HN74" i="12"/>
  <c r="HQ74" i="12" s="1"/>
  <c r="BA74" i="12"/>
  <c r="HL74" i="12"/>
  <c r="BC16" i="12"/>
  <c r="HM16" i="12"/>
  <c r="HP16" i="12" s="1"/>
  <c r="HN16" i="12"/>
  <c r="ED16" i="12"/>
  <c r="BA16" i="12"/>
  <c r="HL16" i="12"/>
  <c r="BA54" i="12"/>
  <c r="HM54" i="12"/>
  <c r="HP54" i="12" s="1"/>
  <c r="HN54" i="12"/>
  <c r="HQ54" i="12" s="1"/>
  <c r="ED54" i="12"/>
  <c r="BC54" i="12"/>
  <c r="HL54" i="12"/>
  <c r="ED62" i="12"/>
  <c r="BC62" i="12"/>
  <c r="HN62" i="12"/>
  <c r="HQ62" i="12" s="1"/>
  <c r="BA62" i="12"/>
  <c r="HL62" i="12"/>
  <c r="HM62" i="12"/>
  <c r="HP62" i="12" s="1"/>
  <c r="HM68" i="12"/>
  <c r="HP68" i="12" s="1"/>
  <c r="ED68" i="12"/>
  <c r="HL68" i="12"/>
  <c r="BC68" i="12"/>
  <c r="HN68" i="12"/>
  <c r="HQ68" i="12" s="1"/>
  <c r="BA68" i="12"/>
  <c r="BC29" i="12"/>
  <c r="HN29" i="12"/>
  <c r="HQ29" i="12" s="1"/>
  <c r="BA29" i="12"/>
  <c r="HM29" i="12"/>
  <c r="HP29" i="12" s="1"/>
  <c r="ED29" i="12"/>
  <c r="HL29" i="12"/>
  <c r="DT232" i="12"/>
  <c r="AZ46" i="12"/>
  <c r="AZ50" i="12"/>
  <c r="EM50" i="12"/>
  <c r="AQ79" i="12"/>
  <c r="AQ101" i="12"/>
  <c r="AQ102" i="12" s="1"/>
  <c r="AQ103" i="12" s="1"/>
  <c r="AR69" i="12"/>
  <c r="AR70" i="12" s="1"/>
  <c r="FU107" i="12"/>
  <c r="GR107" i="12" s="1"/>
  <c r="FR108" i="12"/>
  <c r="CU23" i="12" l="1"/>
  <c r="CU186" i="12"/>
  <c r="CU112" i="12"/>
  <c r="CU183" i="12"/>
  <c r="CU163" i="12"/>
  <c r="CU158" i="12"/>
  <c r="CU6" i="12"/>
  <c r="CU109" i="12"/>
  <c r="CU62" i="12"/>
  <c r="CU202" i="12"/>
  <c r="CU11" i="12"/>
  <c r="CU218" i="12"/>
  <c r="CU157" i="12"/>
  <c r="CU40" i="12"/>
  <c r="CU91" i="12"/>
  <c r="CU83" i="12"/>
  <c r="CU164" i="12"/>
  <c r="CU217" i="12"/>
  <c r="CU214" i="12"/>
  <c r="CU205" i="12"/>
  <c r="CU36" i="12"/>
  <c r="CU26" i="12"/>
  <c r="CU127" i="12"/>
  <c r="CU171" i="12"/>
  <c r="CU22" i="12"/>
  <c r="HS35" i="12"/>
  <c r="HS34" i="12"/>
  <c r="CU93" i="12"/>
  <c r="CU67" i="12"/>
  <c r="HS80" i="12"/>
  <c r="HS100" i="12"/>
  <c r="CU152" i="12"/>
  <c r="CU154" i="12"/>
  <c r="CU5" i="12"/>
  <c r="CU78" i="12"/>
  <c r="HS22" i="12"/>
  <c r="HS71" i="12"/>
  <c r="CU201" i="12"/>
  <c r="CU209" i="12"/>
  <c r="CU199" i="12"/>
  <c r="CU30" i="12"/>
  <c r="CU63" i="12"/>
  <c r="CU173" i="12"/>
  <c r="CU194" i="12"/>
  <c r="CU133" i="12"/>
  <c r="CU139" i="12"/>
  <c r="CU190" i="12"/>
  <c r="HP79" i="12"/>
  <c r="CU28" i="12"/>
  <c r="CU170" i="12"/>
  <c r="CU17" i="12"/>
  <c r="CU35" i="12"/>
  <c r="CU131" i="12"/>
  <c r="CU92" i="12"/>
  <c r="CU103" i="12"/>
  <c r="CU27" i="12"/>
  <c r="CU48" i="12"/>
  <c r="HS15" i="12"/>
  <c r="HS63" i="12"/>
  <c r="HS78" i="12"/>
  <c r="HS81" i="12"/>
  <c r="HS25" i="12"/>
  <c r="HS31" i="12"/>
  <c r="HS47" i="12"/>
  <c r="HS18" i="12"/>
  <c r="HS60" i="12"/>
  <c r="HS43" i="12"/>
  <c r="HS82" i="12"/>
  <c r="HS97" i="12"/>
  <c r="HS38" i="12"/>
  <c r="HS5" i="12"/>
  <c r="CU211" i="12"/>
  <c r="CU132" i="12"/>
  <c r="CE117" i="12"/>
  <c r="CE123" i="12" s="1"/>
  <c r="CU162" i="12"/>
  <c r="CU155" i="12"/>
  <c r="CL104" i="12"/>
  <c r="CL121" i="12" s="1"/>
  <c r="HS3" i="12"/>
  <c r="HO3" i="12"/>
  <c r="HT3" i="12" s="1"/>
  <c r="AZ13" i="12"/>
  <c r="EM13" i="12"/>
  <c r="HS12" i="12"/>
  <c r="HO12" i="12"/>
  <c r="EM6" i="12"/>
  <c r="AZ6" i="12"/>
  <c r="EM9" i="12"/>
  <c r="AZ9" i="12"/>
  <c r="HS9" i="12"/>
  <c r="HO9" i="12"/>
  <c r="HT9" i="12" s="1"/>
  <c r="HS11" i="12"/>
  <c r="HO11" i="12"/>
  <c r="HS8" i="12"/>
  <c r="HO8" i="12"/>
  <c r="HT8" i="12" s="1"/>
  <c r="AZ10" i="12"/>
  <c r="EM10" i="12"/>
  <c r="HS6" i="12"/>
  <c r="HO6" i="12"/>
  <c r="HT6" i="12" s="1"/>
  <c r="EM11" i="12"/>
  <c r="AZ11" i="12"/>
  <c r="HS23" i="12"/>
  <c r="HS19" i="12"/>
  <c r="HS75" i="12"/>
  <c r="HS4" i="12"/>
  <c r="HO4" i="12"/>
  <c r="HS10" i="12"/>
  <c r="HO10" i="12"/>
  <c r="AZ12" i="12"/>
  <c r="EM12" i="12"/>
  <c r="EM5" i="12"/>
  <c r="AZ5" i="12"/>
  <c r="EM7" i="12"/>
  <c r="AZ7" i="12"/>
  <c r="EM8" i="12"/>
  <c r="AZ8" i="12"/>
  <c r="AZ14" i="12"/>
  <c r="EM14" i="12"/>
  <c r="EM3" i="12"/>
  <c r="AZ3" i="12"/>
  <c r="EM4" i="12"/>
  <c r="AZ4" i="12"/>
  <c r="HO13" i="12"/>
  <c r="HS13" i="12"/>
  <c r="HS7" i="12"/>
  <c r="HO7" i="12"/>
  <c r="HT7" i="12" s="1"/>
  <c r="HS54" i="12"/>
  <c r="CU70" i="12"/>
  <c r="CU56" i="12"/>
  <c r="CU24" i="12"/>
  <c r="CU98" i="12"/>
  <c r="CU86" i="12"/>
  <c r="HS101" i="12"/>
  <c r="CU77" i="12"/>
  <c r="HS76" i="12"/>
  <c r="HS87" i="12"/>
  <c r="HS70" i="12"/>
  <c r="HS39" i="12"/>
  <c r="HS42" i="12"/>
  <c r="HS51" i="12"/>
  <c r="HS90" i="12"/>
  <c r="HS24" i="12"/>
  <c r="CU172" i="12"/>
  <c r="HS66" i="12"/>
  <c r="CU73" i="12"/>
  <c r="CU110" i="12"/>
  <c r="HS29" i="12"/>
  <c r="CU29" i="12"/>
  <c r="EM74" i="12"/>
  <c r="AZ74" i="12"/>
  <c r="CU165" i="12"/>
  <c r="CU105" i="12"/>
  <c r="CU42" i="12"/>
  <c r="CU32" i="12"/>
  <c r="CU41" i="12" s="1"/>
  <c r="CU208" i="12"/>
  <c r="CU126" i="12"/>
  <c r="CU196" i="12"/>
  <c r="CU118" i="12"/>
  <c r="CU107" i="12"/>
  <c r="CU61" i="12"/>
  <c r="CU169" i="12"/>
  <c r="CU85" i="12"/>
  <c r="CU37" i="12"/>
  <c r="CU116" i="12"/>
  <c r="CU148" i="12"/>
  <c r="CU141" i="12"/>
  <c r="CU88" i="12"/>
  <c r="CU174" i="12"/>
  <c r="CU49" i="12"/>
  <c r="CU187" i="12"/>
  <c r="CU108" i="12"/>
  <c r="AZ15" i="12"/>
  <c r="EM15" i="12"/>
  <c r="EM100" i="12"/>
  <c r="AZ100" i="12"/>
  <c r="AZ99" i="12"/>
  <c r="EM99" i="12"/>
  <c r="HS94" i="12"/>
  <c r="AZ81" i="12"/>
  <c r="EM81" i="12"/>
  <c r="HS26" i="12"/>
  <c r="EM40" i="12"/>
  <c r="AZ40" i="12"/>
  <c r="HS61" i="12"/>
  <c r="EM25" i="12"/>
  <c r="AZ25" i="12"/>
  <c r="AZ84" i="12"/>
  <c r="EM84" i="12"/>
  <c r="EM47" i="12"/>
  <c r="AZ47" i="12"/>
  <c r="AZ42" i="12"/>
  <c r="EM42" i="12"/>
  <c r="AZ18" i="12"/>
  <c r="EM18" i="12"/>
  <c r="AZ88" i="12"/>
  <c r="EM88" i="12"/>
  <c r="EM98" i="12"/>
  <c r="AZ98" i="12"/>
  <c r="AZ86" i="12"/>
  <c r="EM86" i="12"/>
  <c r="HS32" i="12"/>
  <c r="AZ51" i="12"/>
  <c r="EM51" i="12"/>
  <c r="AZ77" i="12"/>
  <c r="EM77" i="12"/>
  <c r="AZ53" i="12"/>
  <c r="EM53" i="12"/>
  <c r="AZ19" i="12"/>
  <c r="EM19" i="12"/>
  <c r="AZ92" i="12"/>
  <c r="EM92" i="12"/>
  <c r="EM41" i="12"/>
  <c r="AZ41" i="12"/>
  <c r="EM24" i="12"/>
  <c r="AZ24" i="12"/>
  <c r="EM83" i="12"/>
  <c r="AZ83" i="12"/>
  <c r="HS95" i="12"/>
  <c r="EM54" i="12"/>
  <c r="AZ54" i="12"/>
  <c r="CU156" i="12"/>
  <c r="CU195" i="12"/>
  <c r="CU143" i="12"/>
  <c r="CU51" i="12"/>
  <c r="CU216" i="12"/>
  <c r="CU175" i="12"/>
  <c r="CU95" i="12"/>
  <c r="CU144" i="12"/>
  <c r="CU125" i="12"/>
  <c r="CU200" i="12"/>
  <c r="CU44" i="12"/>
  <c r="CU185" i="12"/>
  <c r="CU160" i="12"/>
  <c r="CU191" i="12"/>
  <c r="CU203" i="12"/>
  <c r="CU81" i="12"/>
  <c r="CU184" i="12"/>
  <c r="CU33" i="12"/>
  <c r="CU45" i="12"/>
  <c r="CU10" i="12"/>
  <c r="CU204" i="12"/>
  <c r="CU115" i="12"/>
  <c r="CU68" i="12"/>
  <c r="CU149" i="12"/>
  <c r="CU55" i="12"/>
  <c r="CU219" i="12"/>
  <c r="CU54" i="12"/>
  <c r="AZ30" i="12"/>
  <c r="EM30" i="12"/>
  <c r="AZ45" i="12"/>
  <c r="EM45" i="12"/>
  <c r="AZ35" i="12"/>
  <c r="EM35" i="12"/>
  <c r="HS69" i="12"/>
  <c r="HS67" i="12"/>
  <c r="AZ31" i="12"/>
  <c r="EM31" i="12"/>
  <c r="HS17" i="12"/>
  <c r="HS58" i="12"/>
  <c r="HS28" i="12"/>
  <c r="EM23" i="12"/>
  <c r="AZ23" i="12"/>
  <c r="HS79" i="12"/>
  <c r="EM96" i="12"/>
  <c r="AZ96" i="12"/>
  <c r="EM93" i="12"/>
  <c r="AZ93" i="12"/>
  <c r="AZ52" i="12"/>
  <c r="EM52" i="12"/>
  <c r="HS98" i="12"/>
  <c r="HS59" i="12"/>
  <c r="HS55" i="12"/>
  <c r="HS49" i="12"/>
  <c r="HS53" i="12"/>
  <c r="AZ102" i="12"/>
  <c r="EM102" i="12"/>
  <c r="HS92" i="12"/>
  <c r="HS14" i="12"/>
  <c r="HL2" i="12"/>
  <c r="HO14" i="12"/>
  <c r="AZ38" i="12"/>
  <c r="EM38" i="12"/>
  <c r="EM37" i="12"/>
  <c r="AZ37" i="12"/>
  <c r="HS16" i="12"/>
  <c r="HS68" i="12"/>
  <c r="HS62" i="12"/>
  <c r="EM16" i="12"/>
  <c r="AZ16" i="12"/>
  <c r="CU213" i="12"/>
  <c r="CU179" i="12"/>
  <c r="CU197" i="12"/>
  <c r="CU21" i="12"/>
  <c r="CU60" i="12"/>
  <c r="DK10" i="12"/>
  <c r="DK12" i="12" s="1"/>
  <c r="CU137" i="12"/>
  <c r="CU113" i="12"/>
  <c r="CU178" i="12"/>
  <c r="CU74" i="12"/>
  <c r="CU75" i="12" s="1"/>
  <c r="CU114" i="12"/>
  <c r="CU180" i="12"/>
  <c r="CU150" i="12"/>
  <c r="CU145" i="12"/>
  <c r="CU19" i="12"/>
  <c r="CU4" i="12"/>
  <c r="CU215" i="12"/>
  <c r="CU76" i="12"/>
  <c r="CU46" i="12"/>
  <c r="CU15" i="12"/>
  <c r="CU47" i="12"/>
  <c r="CU198" i="12"/>
  <c r="CU94" i="12"/>
  <c r="CU25" i="12"/>
  <c r="CU142" i="12"/>
  <c r="HQ15" i="12"/>
  <c r="HN2" i="12"/>
  <c r="HS20" i="12"/>
  <c r="AZ20" i="12"/>
  <c r="EM20" i="12"/>
  <c r="HS30" i="12"/>
  <c r="EM63" i="12"/>
  <c r="AZ63" i="12"/>
  <c r="HS45" i="12"/>
  <c r="HS48" i="12"/>
  <c r="AZ76" i="12"/>
  <c r="EM76" i="12"/>
  <c r="EM87" i="12"/>
  <c r="AZ87" i="12"/>
  <c r="AZ39" i="12"/>
  <c r="EM39" i="12"/>
  <c r="AZ89" i="12"/>
  <c r="EM89" i="12"/>
  <c r="EM67" i="12"/>
  <c r="AZ67" i="12"/>
  <c r="AZ57" i="12"/>
  <c r="EM57" i="12"/>
  <c r="EM26" i="12"/>
  <c r="AZ26" i="12"/>
  <c r="HS40" i="12"/>
  <c r="HS84" i="12"/>
  <c r="HS73" i="12"/>
  <c r="HS44" i="12"/>
  <c r="HS33" i="12"/>
  <c r="AZ17" i="12"/>
  <c r="EM17" i="12"/>
  <c r="EM56" i="12"/>
  <c r="AZ56" i="12"/>
  <c r="EM64" i="12"/>
  <c r="AZ64" i="12"/>
  <c r="AZ71" i="12"/>
  <c r="EM71" i="12"/>
  <c r="HS96" i="12"/>
  <c r="HS93" i="12"/>
  <c r="HS88" i="12"/>
  <c r="EM59" i="12"/>
  <c r="AZ59" i="12"/>
  <c r="AZ32" i="12"/>
  <c r="EM32" i="12"/>
  <c r="AZ55" i="12"/>
  <c r="EM55" i="12"/>
  <c r="HS21" i="12"/>
  <c r="EM60" i="12"/>
  <c r="AZ60" i="12"/>
  <c r="HS77" i="12"/>
  <c r="AZ49" i="12"/>
  <c r="EM49" i="12"/>
  <c r="HS72" i="12"/>
  <c r="EM101" i="12"/>
  <c r="AZ101" i="12"/>
  <c r="EM66" i="12"/>
  <c r="AZ66" i="12"/>
  <c r="HS65" i="12"/>
  <c r="HS41" i="12"/>
  <c r="EM90" i="12"/>
  <c r="AZ90" i="12"/>
  <c r="HS27" i="12"/>
  <c r="EM97" i="12"/>
  <c r="AZ97" i="12"/>
  <c r="EM75" i="12"/>
  <c r="AZ75" i="12"/>
  <c r="HS83" i="12"/>
  <c r="HS91" i="12"/>
  <c r="AZ29" i="12"/>
  <c r="EM29" i="12"/>
  <c r="AZ68" i="12"/>
  <c r="EM68" i="12"/>
  <c r="AZ62" i="12"/>
  <c r="EM62" i="12"/>
  <c r="HS74" i="12"/>
  <c r="CU138" i="12"/>
  <c r="CU39" i="12"/>
  <c r="CU188" i="12"/>
  <c r="CU206" i="12"/>
  <c r="CU87" i="12"/>
  <c r="CU20" i="12"/>
  <c r="S12" i="12"/>
  <c r="CU210" i="12"/>
  <c r="CU89" i="12"/>
  <c r="CU151" i="12"/>
  <c r="CU7" i="12"/>
  <c r="CU134" i="12"/>
  <c r="CU120" i="12"/>
  <c r="CU65" i="12"/>
  <c r="CU128" i="12"/>
  <c r="CU3" i="12"/>
  <c r="CU181" i="12"/>
  <c r="CU69" i="12"/>
  <c r="CU159" i="12"/>
  <c r="CU168" i="12"/>
  <c r="CU18" i="12"/>
  <c r="CU84" i="12"/>
  <c r="CU166" i="12"/>
  <c r="CU153" i="12"/>
  <c r="CU189" i="12"/>
  <c r="CU119" i="12"/>
  <c r="CU8" i="12"/>
  <c r="CU212" i="12"/>
  <c r="BH57" i="12"/>
  <c r="CU111" i="12"/>
  <c r="CU182" i="12"/>
  <c r="HP15" i="12"/>
  <c r="HM2" i="12"/>
  <c r="AZ48" i="12"/>
  <c r="EM48" i="12"/>
  <c r="HS99" i="12"/>
  <c r="AZ69" i="12"/>
  <c r="EM69" i="12"/>
  <c r="EM94" i="12"/>
  <c r="AZ94" i="12"/>
  <c r="EM78" i="12"/>
  <c r="AZ78" i="12"/>
  <c r="EM70" i="12"/>
  <c r="AZ70" i="12"/>
  <c r="HS89" i="12"/>
  <c r="HS57" i="12"/>
  <c r="AZ61" i="12"/>
  <c r="EM61" i="12"/>
  <c r="EM22" i="12"/>
  <c r="AZ22" i="12"/>
  <c r="AZ73" i="12"/>
  <c r="EM73" i="12"/>
  <c r="EM44" i="12"/>
  <c r="AZ44" i="12"/>
  <c r="AZ33" i="12"/>
  <c r="EM33" i="12"/>
  <c r="HS56" i="12"/>
  <c r="EM58" i="12"/>
  <c r="AZ58" i="12"/>
  <c r="EM28" i="12"/>
  <c r="AZ28" i="12"/>
  <c r="HS64" i="12"/>
  <c r="EM79" i="12"/>
  <c r="AZ79" i="12"/>
  <c r="HS52" i="12"/>
  <c r="EM34" i="12"/>
  <c r="AZ34" i="12"/>
  <c r="HS86" i="12"/>
  <c r="EM21" i="12"/>
  <c r="AZ21" i="12"/>
  <c r="AZ43" i="12"/>
  <c r="EM43" i="12"/>
  <c r="HS85" i="12"/>
  <c r="AZ85" i="12"/>
  <c r="EM85" i="12"/>
  <c r="AZ72" i="12"/>
  <c r="EM72" i="12"/>
  <c r="HS102" i="12"/>
  <c r="EM65" i="12"/>
  <c r="AZ65" i="12"/>
  <c r="AZ82" i="12"/>
  <c r="EM82" i="12"/>
  <c r="EM27" i="12"/>
  <c r="AZ27" i="12"/>
  <c r="EM95" i="12"/>
  <c r="AZ95" i="12"/>
  <c r="AZ91" i="12"/>
  <c r="EM91" i="12"/>
  <c r="HS37" i="12"/>
  <c r="HS46" i="12"/>
  <c r="HO16" i="12"/>
  <c r="CU124" i="12"/>
  <c r="AQ80" i="12"/>
  <c r="DK21" i="12"/>
  <c r="AR71" i="12"/>
  <c r="FU108" i="12"/>
  <c r="GR108" i="12" s="1"/>
  <c r="FR109" i="12"/>
  <c r="EM103" i="12" l="1"/>
  <c r="EL1" i="12" s="1"/>
  <c r="EN79" i="12" s="1"/>
  <c r="CE135" i="12"/>
  <c r="CL122" i="12"/>
  <c r="CM206" i="12" s="1"/>
  <c r="CN206" i="12" s="1"/>
  <c r="HO5" i="12"/>
  <c r="HT5" i="12" s="1"/>
  <c r="HT4" i="12"/>
  <c r="CU12" i="12"/>
  <c r="DK14" i="12"/>
  <c r="DK15" i="12" s="1"/>
  <c r="HO15" i="12"/>
  <c r="HT15" i="12" s="1"/>
  <c r="BH66" i="12"/>
  <c r="BH72" i="12" s="1"/>
  <c r="HP2" i="12"/>
  <c r="IS120" i="12" s="1"/>
  <c r="S14" i="12"/>
  <c r="HR11" i="12"/>
  <c r="HU11" i="12" s="1"/>
  <c r="HR27" i="12"/>
  <c r="HU27" i="12" s="1"/>
  <c r="HR43" i="12"/>
  <c r="HU43" i="12" s="1"/>
  <c r="HR59" i="12"/>
  <c r="HU59" i="12" s="1"/>
  <c r="HR75" i="12"/>
  <c r="HU75" i="12" s="1"/>
  <c r="HR91" i="12"/>
  <c r="HU91" i="12" s="1"/>
  <c r="HR6" i="12"/>
  <c r="HU6" i="12" s="1"/>
  <c r="HR22" i="12"/>
  <c r="HU22" i="12" s="1"/>
  <c r="HR38" i="12"/>
  <c r="HU38" i="12" s="1"/>
  <c r="HR54" i="12"/>
  <c r="HU54" i="12" s="1"/>
  <c r="HR70" i="12"/>
  <c r="HU70" i="12" s="1"/>
  <c r="HR86" i="12"/>
  <c r="HU86" i="12" s="1"/>
  <c r="HR102" i="12"/>
  <c r="HU102" i="12" s="1"/>
  <c r="HR17" i="12"/>
  <c r="HU17" i="12" s="1"/>
  <c r="HR33" i="12"/>
  <c r="HU33" i="12" s="1"/>
  <c r="HR49" i="12"/>
  <c r="HU49" i="12" s="1"/>
  <c r="HR65" i="12"/>
  <c r="HU65" i="12" s="1"/>
  <c r="HR81" i="12"/>
  <c r="HU81" i="12" s="1"/>
  <c r="HR97" i="12"/>
  <c r="HU97" i="12" s="1"/>
  <c r="HR16" i="12"/>
  <c r="HU16" i="12" s="1"/>
  <c r="HR32" i="12"/>
  <c r="HU32" i="12" s="1"/>
  <c r="HR48" i="12"/>
  <c r="HU48" i="12" s="1"/>
  <c r="HR64" i="12"/>
  <c r="HU64" i="12" s="1"/>
  <c r="HR80" i="12"/>
  <c r="HU80" i="12" s="1"/>
  <c r="HR96" i="12"/>
  <c r="HU96" i="12" s="1"/>
  <c r="HR15" i="12"/>
  <c r="HU15" i="12" s="1"/>
  <c r="HR47" i="12"/>
  <c r="HU47" i="12" s="1"/>
  <c r="HR63" i="12"/>
  <c r="HU63" i="12" s="1"/>
  <c r="HR79" i="12"/>
  <c r="HU79" i="12" s="1"/>
  <c r="HR95" i="12"/>
  <c r="HU95" i="12" s="1"/>
  <c r="HR10" i="12"/>
  <c r="HU10" i="12" s="1"/>
  <c r="HR26" i="12"/>
  <c r="HU26" i="12" s="1"/>
  <c r="HR42" i="12"/>
  <c r="HU42" i="12" s="1"/>
  <c r="HR58" i="12"/>
  <c r="HU58" i="12" s="1"/>
  <c r="HR74" i="12"/>
  <c r="HU74" i="12" s="1"/>
  <c r="HR90" i="12"/>
  <c r="HU90" i="12" s="1"/>
  <c r="HR5" i="12"/>
  <c r="HU5" i="12" s="1"/>
  <c r="HR37" i="12"/>
  <c r="HU37" i="12" s="1"/>
  <c r="HR53" i="12"/>
  <c r="HU53" i="12" s="1"/>
  <c r="HR69" i="12"/>
  <c r="HU69" i="12" s="1"/>
  <c r="HR85" i="12"/>
  <c r="HU85" i="12" s="1"/>
  <c r="HR101" i="12"/>
  <c r="HU101" i="12" s="1"/>
  <c r="HR20" i="12"/>
  <c r="HU20" i="12" s="1"/>
  <c r="HR52" i="12"/>
  <c r="HU52" i="12" s="1"/>
  <c r="HR68" i="12"/>
  <c r="HU68" i="12" s="1"/>
  <c r="HR84" i="12"/>
  <c r="HU84" i="12" s="1"/>
  <c r="HR100" i="12"/>
  <c r="HU100" i="12" s="1"/>
  <c r="HR88" i="12"/>
  <c r="HU88" i="12" s="1"/>
  <c r="HR31" i="12"/>
  <c r="HU31" i="12" s="1"/>
  <c r="HR21" i="12"/>
  <c r="HU21" i="12" s="1"/>
  <c r="HR3" i="12"/>
  <c r="HU3" i="12" s="1"/>
  <c r="HR19" i="12"/>
  <c r="HU19" i="12" s="1"/>
  <c r="HR35" i="12"/>
  <c r="HU35" i="12" s="1"/>
  <c r="HR51" i="12"/>
  <c r="HU51" i="12" s="1"/>
  <c r="HR67" i="12"/>
  <c r="HU67" i="12" s="1"/>
  <c r="HR83" i="12"/>
  <c r="HU83" i="12" s="1"/>
  <c r="HR99" i="12"/>
  <c r="HU99" i="12" s="1"/>
  <c r="HR14" i="12"/>
  <c r="HU14" i="12" s="1"/>
  <c r="HR30" i="12"/>
  <c r="HU30" i="12" s="1"/>
  <c r="HR46" i="12"/>
  <c r="HU46" i="12" s="1"/>
  <c r="HR62" i="12"/>
  <c r="HU62" i="12" s="1"/>
  <c r="HR78" i="12"/>
  <c r="HU78" i="12" s="1"/>
  <c r="HR94" i="12"/>
  <c r="HU94" i="12" s="1"/>
  <c r="HR9" i="12"/>
  <c r="HU9" i="12" s="1"/>
  <c r="HR25" i="12"/>
  <c r="HU25" i="12" s="1"/>
  <c r="HR57" i="12"/>
  <c r="HU57" i="12" s="1"/>
  <c r="HR89" i="12"/>
  <c r="HU89" i="12" s="1"/>
  <c r="HR40" i="12"/>
  <c r="HU40" i="12" s="1"/>
  <c r="HR7" i="12"/>
  <c r="HU7" i="12" s="1"/>
  <c r="HR23" i="12"/>
  <c r="HU23" i="12" s="1"/>
  <c r="HR39" i="12"/>
  <c r="HU39" i="12" s="1"/>
  <c r="HR55" i="12"/>
  <c r="HU55" i="12" s="1"/>
  <c r="HR71" i="12"/>
  <c r="HU71" i="12" s="1"/>
  <c r="HR87" i="12"/>
  <c r="HU87" i="12" s="1"/>
  <c r="HR8" i="12"/>
  <c r="HU8" i="12" s="1"/>
  <c r="HR18" i="12"/>
  <c r="HU18" i="12" s="1"/>
  <c r="HR34" i="12"/>
  <c r="HU34" i="12" s="1"/>
  <c r="HR50" i="12"/>
  <c r="HU50" i="12" s="1"/>
  <c r="HR66" i="12"/>
  <c r="HU66" i="12" s="1"/>
  <c r="HR82" i="12"/>
  <c r="HU82" i="12" s="1"/>
  <c r="HR98" i="12"/>
  <c r="HU98" i="12" s="1"/>
  <c r="HR13" i="12"/>
  <c r="HU13" i="12" s="1"/>
  <c r="HR29" i="12"/>
  <c r="HU29" i="12" s="1"/>
  <c r="HR45" i="12"/>
  <c r="HU45" i="12" s="1"/>
  <c r="HR61" i="12"/>
  <c r="HU61" i="12" s="1"/>
  <c r="HR77" i="12"/>
  <c r="HU77" i="12" s="1"/>
  <c r="HR93" i="12"/>
  <c r="HU93" i="12" s="1"/>
  <c r="HR12" i="12"/>
  <c r="HU12" i="12" s="1"/>
  <c r="HR28" i="12"/>
  <c r="HU28" i="12" s="1"/>
  <c r="HR44" i="12"/>
  <c r="HU44" i="12" s="1"/>
  <c r="HR60" i="12"/>
  <c r="HU60" i="12" s="1"/>
  <c r="HR76" i="12"/>
  <c r="HU76" i="12" s="1"/>
  <c r="HR92" i="12"/>
  <c r="HU92" i="12" s="1"/>
  <c r="HR36" i="12"/>
  <c r="HU36" i="12" s="1"/>
  <c r="HR41" i="12"/>
  <c r="HU41" i="12" s="1"/>
  <c r="HR73" i="12"/>
  <c r="HU73" i="12" s="1"/>
  <c r="HR4" i="12"/>
  <c r="HU4" i="12" s="1"/>
  <c r="HR24" i="12"/>
  <c r="HU24" i="12" s="1"/>
  <c r="HR56" i="12"/>
  <c r="HU56" i="12" s="1"/>
  <c r="HR72" i="12"/>
  <c r="HU72" i="12" s="1"/>
  <c r="HO17" i="12"/>
  <c r="DE2" i="12"/>
  <c r="CX2163" i="12" s="1"/>
  <c r="CX2164" i="12" s="1"/>
  <c r="CX2165" i="12" s="1"/>
  <c r="CX2166" i="12" s="1"/>
  <c r="CX2167" i="12" s="1"/>
  <c r="CX2168" i="12" s="1"/>
  <c r="CX2169" i="12" s="1"/>
  <c r="CX2170" i="12" s="1"/>
  <c r="CX2171" i="12" s="1"/>
  <c r="CX2172" i="12" s="1"/>
  <c r="CX2173" i="12" s="1"/>
  <c r="CX2174" i="12" s="1"/>
  <c r="CX2175" i="12" s="1"/>
  <c r="CX2176" i="12" s="1"/>
  <c r="CX2177" i="12" s="1"/>
  <c r="CX2178" i="12" s="1"/>
  <c r="CX2179" i="12" s="1"/>
  <c r="CX2180" i="12" s="1"/>
  <c r="CX2181" i="12" s="1"/>
  <c r="CX2182" i="12" s="1"/>
  <c r="CX2183" i="12" s="1"/>
  <c r="CX2184" i="12" s="1"/>
  <c r="CX2185" i="12" s="1"/>
  <c r="CX2186" i="12" s="1"/>
  <c r="CX2187" i="12" s="1"/>
  <c r="CX2188" i="12" s="1"/>
  <c r="CX2189" i="12" s="1"/>
  <c r="CX2190" i="12" s="1"/>
  <c r="CX2191" i="12" s="1"/>
  <c r="CX2192" i="12" s="1"/>
  <c r="CX2193" i="12" s="1"/>
  <c r="CX2194" i="12" s="1"/>
  <c r="CX2195" i="12" s="1"/>
  <c r="CX2196" i="12" s="1"/>
  <c r="CX2197" i="12" s="1"/>
  <c r="CX2198" i="12" s="1"/>
  <c r="CX2199" i="12" s="1"/>
  <c r="CX2200" i="12" s="1"/>
  <c r="CX2201" i="12" s="1"/>
  <c r="CX2202" i="12" s="1"/>
  <c r="CX2203" i="12" s="1"/>
  <c r="CX2204" i="12" s="1"/>
  <c r="CX2205" i="12" s="1"/>
  <c r="CX2206" i="12" s="1"/>
  <c r="CX2207" i="12" s="1"/>
  <c r="CU146" i="12"/>
  <c r="AQ81" i="12"/>
  <c r="AQ82" i="12" s="1"/>
  <c r="AQ83" i="12" s="1"/>
  <c r="DK22" i="12"/>
  <c r="AR72" i="12"/>
  <c r="FU109" i="12"/>
  <c r="GR109" i="12" s="1"/>
  <c r="FR110" i="12"/>
  <c r="CM4" i="12" l="1"/>
  <c r="CN4" i="12" s="1"/>
  <c r="CM3" i="12"/>
  <c r="CN3" i="12" s="1"/>
  <c r="CO3" i="12" s="1"/>
  <c r="IS98" i="12"/>
  <c r="CM164" i="12"/>
  <c r="CN164" i="12" s="1"/>
  <c r="CM6" i="12"/>
  <c r="CN6" i="12" s="1"/>
  <c r="CM161" i="12"/>
  <c r="CN161" i="12" s="1"/>
  <c r="CM162" i="12"/>
  <c r="CN162" i="12" s="1"/>
  <c r="CM117" i="12"/>
  <c r="CN117" i="12" s="1"/>
  <c r="IS141" i="12"/>
  <c r="CM220" i="12"/>
  <c r="CN220" i="12" s="1"/>
  <c r="CM5" i="12"/>
  <c r="CN5" i="12" s="1"/>
  <c r="CM216" i="12"/>
  <c r="CN216" i="12" s="1"/>
  <c r="CM207" i="12"/>
  <c r="CN207" i="12" s="1"/>
  <c r="CM211" i="12"/>
  <c r="CN211" i="12" s="1"/>
  <c r="IS119" i="12"/>
  <c r="CM13" i="12"/>
  <c r="CN13" i="12" s="1"/>
  <c r="CM142" i="12"/>
  <c r="CN142" i="12" s="1"/>
  <c r="CM60" i="12"/>
  <c r="CN60" i="12" s="1"/>
  <c r="CM114" i="12"/>
  <c r="CN114" i="12" s="1"/>
  <c r="CM203" i="12"/>
  <c r="CN203" i="12" s="1"/>
  <c r="CM175" i="12"/>
  <c r="CN175" i="12" s="1"/>
  <c r="CM10" i="12"/>
  <c r="CN10" i="12" s="1"/>
  <c r="CM8" i="12"/>
  <c r="CN8" i="12" s="1"/>
  <c r="CM69" i="12"/>
  <c r="CN69" i="12" s="1"/>
  <c r="CM127" i="12"/>
  <c r="CN127" i="12" s="1"/>
  <c r="CM61" i="12"/>
  <c r="CN61" i="12" s="1"/>
  <c r="CM38" i="12"/>
  <c r="CN38" i="12" s="1"/>
  <c r="CM193" i="12"/>
  <c r="CN193" i="12" s="1"/>
  <c r="IS64" i="12"/>
  <c r="CM113" i="12"/>
  <c r="CN113" i="12" s="1"/>
  <c r="IS147" i="12"/>
  <c r="IS113" i="12"/>
  <c r="CM28" i="12"/>
  <c r="CN28" i="12" s="1"/>
  <c r="CM22" i="12"/>
  <c r="CN22" i="12" s="1"/>
  <c r="CM116" i="12"/>
  <c r="CN116" i="12" s="1"/>
  <c r="CM107" i="12"/>
  <c r="CN107" i="12" s="1"/>
  <c r="CM108" i="12"/>
  <c r="CN108" i="12" s="1"/>
  <c r="CM72" i="12"/>
  <c r="CN72" i="12" s="1"/>
  <c r="CM68" i="12"/>
  <c r="CN68" i="12" s="1"/>
  <c r="CM190" i="12"/>
  <c r="CN190" i="12" s="1"/>
  <c r="CM89" i="12"/>
  <c r="CN89" i="12" s="1"/>
  <c r="CM156" i="12"/>
  <c r="CN156" i="12" s="1"/>
  <c r="CM212" i="12"/>
  <c r="CN212" i="12" s="1"/>
  <c r="CM196" i="12"/>
  <c r="CN196" i="12" s="1"/>
  <c r="CM96" i="12"/>
  <c r="CN96" i="12" s="1"/>
  <c r="CM119" i="12"/>
  <c r="CN119" i="12" s="1"/>
  <c r="CM84" i="12"/>
  <c r="CN84" i="12" s="1"/>
  <c r="CM155" i="12"/>
  <c r="CN155" i="12" s="1"/>
  <c r="CM32" i="12"/>
  <c r="CN32" i="12" s="1"/>
  <c r="CM139" i="12"/>
  <c r="CN139" i="12" s="1"/>
  <c r="CM103" i="12"/>
  <c r="CN103" i="12" s="1"/>
  <c r="CM138" i="12"/>
  <c r="CN138" i="12" s="1"/>
  <c r="CM48" i="12"/>
  <c r="CN48" i="12" s="1"/>
  <c r="CM133" i="12"/>
  <c r="CN133" i="12" s="1"/>
  <c r="CM204" i="12"/>
  <c r="CN204" i="12" s="1"/>
  <c r="CM160" i="12"/>
  <c r="CN160" i="12" s="1"/>
  <c r="CM144" i="12"/>
  <c r="CN144" i="12" s="1"/>
  <c r="CM100" i="12"/>
  <c r="CN100" i="12" s="1"/>
  <c r="CM26" i="12"/>
  <c r="CN26" i="12" s="1"/>
  <c r="CM118" i="12"/>
  <c r="CN118" i="12" s="1"/>
  <c r="CM94" i="12"/>
  <c r="CN94" i="12" s="1"/>
  <c r="CM18" i="12"/>
  <c r="CN18" i="12" s="1"/>
  <c r="CM154" i="12"/>
  <c r="CN154" i="12" s="1"/>
  <c r="CM11" i="12"/>
  <c r="CN11" i="12" s="1"/>
  <c r="IS103" i="12"/>
  <c r="IS127" i="12"/>
  <c r="IS25" i="12"/>
  <c r="IS43" i="12"/>
  <c r="IS89" i="12"/>
  <c r="IS170" i="12"/>
  <c r="CM194" i="12"/>
  <c r="CN194" i="12" s="1"/>
  <c r="CM44" i="12"/>
  <c r="CN44" i="12" s="1"/>
  <c r="CM135" i="12"/>
  <c r="CN135" i="12" s="1"/>
  <c r="CM56" i="12"/>
  <c r="CN56" i="12" s="1"/>
  <c r="CM87" i="12"/>
  <c r="CN87" i="12" s="1"/>
  <c r="CM74" i="12"/>
  <c r="CN74" i="12" s="1"/>
  <c r="CM110" i="12"/>
  <c r="CN110" i="12" s="1"/>
  <c r="CM91" i="12"/>
  <c r="CN91" i="12" s="1"/>
  <c r="CM185" i="12"/>
  <c r="CN185" i="12" s="1"/>
  <c r="CM19" i="12"/>
  <c r="CN19" i="12" s="1"/>
  <c r="EN60" i="12"/>
  <c r="IS63" i="12"/>
  <c r="IS14" i="12"/>
  <c r="IS198" i="12"/>
  <c r="IS115" i="12"/>
  <c r="CM151" i="12"/>
  <c r="CN151" i="12" s="1"/>
  <c r="CM126" i="12"/>
  <c r="CN126" i="12" s="1"/>
  <c r="CM178" i="12"/>
  <c r="CN178" i="12" s="1"/>
  <c r="CM217" i="12"/>
  <c r="CN217" i="12" s="1"/>
  <c r="CM181" i="12"/>
  <c r="CN181" i="12" s="1"/>
  <c r="CM192" i="12"/>
  <c r="CN192" i="12" s="1"/>
  <c r="CM37" i="12"/>
  <c r="CN37" i="12" s="1"/>
  <c r="CM186" i="12"/>
  <c r="CN186" i="12" s="1"/>
  <c r="CM40" i="12"/>
  <c r="CN40" i="12" s="1"/>
  <c r="CM12" i="12"/>
  <c r="CN12" i="12" s="1"/>
  <c r="CM16" i="12"/>
  <c r="CN16" i="12" s="1"/>
  <c r="CM210" i="12"/>
  <c r="CN210" i="12" s="1"/>
  <c r="CM124" i="12"/>
  <c r="CN124" i="12" s="1"/>
  <c r="CM122" i="12"/>
  <c r="CN122" i="12" s="1"/>
  <c r="CM65" i="12"/>
  <c r="CN65" i="12" s="1"/>
  <c r="CM47" i="12"/>
  <c r="CN47" i="12" s="1"/>
  <c r="CM198" i="12"/>
  <c r="CN198" i="12" s="1"/>
  <c r="CM134" i="12"/>
  <c r="CN134" i="12" s="1"/>
  <c r="CM35" i="12"/>
  <c r="CN35" i="12" s="1"/>
  <c r="CM46" i="12"/>
  <c r="CN46" i="12" s="1"/>
  <c r="CM123" i="12"/>
  <c r="CN123" i="12" s="1"/>
  <c r="CM57" i="12"/>
  <c r="CN57" i="12" s="1"/>
  <c r="CM130" i="12"/>
  <c r="CN130" i="12" s="1"/>
  <c r="EN49" i="12"/>
  <c r="CM64" i="12"/>
  <c r="CN64" i="12" s="1"/>
  <c r="CM21" i="12"/>
  <c r="CN21" i="12" s="1"/>
  <c r="CM50" i="12"/>
  <c r="CN50" i="12" s="1"/>
  <c r="CM25" i="12"/>
  <c r="CN25" i="12" s="1"/>
  <c r="CM31" i="12"/>
  <c r="CN31" i="12" s="1"/>
  <c r="EN18" i="12"/>
  <c r="CM137" i="12"/>
  <c r="CN137" i="12" s="1"/>
  <c r="CM14" i="12"/>
  <c r="CN14" i="12" s="1"/>
  <c r="CM153" i="12"/>
  <c r="CN153" i="12" s="1"/>
  <c r="CM105" i="12"/>
  <c r="CN105" i="12" s="1"/>
  <c r="CM23" i="12"/>
  <c r="CN23" i="12" s="1"/>
  <c r="CM81" i="12"/>
  <c r="CN81" i="12" s="1"/>
  <c r="CM121" i="12"/>
  <c r="CN121" i="12" s="1"/>
  <c r="CM205" i="12"/>
  <c r="CN205" i="12" s="1"/>
  <c r="CM159" i="12"/>
  <c r="CN159" i="12" s="1"/>
  <c r="CM184" i="12"/>
  <c r="CN184" i="12" s="1"/>
  <c r="CM30" i="12"/>
  <c r="CN30" i="12" s="1"/>
  <c r="CM82" i="12"/>
  <c r="CN82" i="12" s="1"/>
  <c r="CM55" i="12"/>
  <c r="CN55" i="12" s="1"/>
  <c r="CM80" i="12"/>
  <c r="CN80" i="12" s="1"/>
  <c r="CM92" i="12"/>
  <c r="CN92" i="12" s="1"/>
  <c r="CM214" i="12"/>
  <c r="CN214" i="12" s="1"/>
  <c r="CM101" i="12"/>
  <c r="CN101" i="12" s="1"/>
  <c r="CM176" i="12"/>
  <c r="CN176" i="12" s="1"/>
  <c r="EN45" i="12"/>
  <c r="CM152" i="12"/>
  <c r="CN152" i="12" s="1"/>
  <c r="CM54" i="12"/>
  <c r="CN54" i="12" s="1"/>
  <c r="EN87" i="12"/>
  <c r="CM85" i="12"/>
  <c r="CN85" i="12" s="1"/>
  <c r="CM29" i="12"/>
  <c r="CN29" i="12" s="1"/>
  <c r="CM173" i="12"/>
  <c r="CN173" i="12" s="1"/>
  <c r="CM41" i="12"/>
  <c r="CN41" i="12" s="1"/>
  <c r="CM93" i="12"/>
  <c r="CN93" i="12" s="1"/>
  <c r="CM36" i="12"/>
  <c r="CN36" i="12" s="1"/>
  <c r="CM15" i="12"/>
  <c r="CN15" i="12" s="1"/>
  <c r="CM67" i="12"/>
  <c r="CN67" i="12" s="1"/>
  <c r="CM71" i="12"/>
  <c r="CN71" i="12" s="1"/>
  <c r="CM197" i="12"/>
  <c r="CN197" i="12" s="1"/>
  <c r="CM102" i="12"/>
  <c r="CN102" i="12" s="1"/>
  <c r="CM111" i="12"/>
  <c r="CN111" i="12" s="1"/>
  <c r="CM99" i="12"/>
  <c r="CN99" i="12" s="1"/>
  <c r="CM136" i="12"/>
  <c r="CN136" i="12" s="1"/>
  <c r="CM52" i="12"/>
  <c r="CN52" i="12" s="1"/>
  <c r="CM171" i="12"/>
  <c r="CN171" i="12" s="1"/>
  <c r="CM62" i="12"/>
  <c r="CN62" i="12" s="1"/>
  <c r="CM34" i="12"/>
  <c r="CN34" i="12" s="1"/>
  <c r="CM209" i="12"/>
  <c r="CN209" i="12" s="1"/>
  <c r="CM49" i="12"/>
  <c r="CN49" i="12" s="1"/>
  <c r="CM165" i="12"/>
  <c r="CN165" i="12" s="1"/>
  <c r="CM183" i="12"/>
  <c r="CN183" i="12" s="1"/>
  <c r="CM27" i="12"/>
  <c r="CN27" i="12" s="1"/>
  <c r="CM43" i="12"/>
  <c r="CN43" i="12" s="1"/>
  <c r="CM170" i="12"/>
  <c r="CN170" i="12" s="1"/>
  <c r="CM70" i="12"/>
  <c r="CN70" i="12" s="1"/>
  <c r="CM179" i="12"/>
  <c r="CN179" i="12" s="1"/>
  <c r="CM109" i="12"/>
  <c r="CN109" i="12" s="1"/>
  <c r="CM177" i="12"/>
  <c r="CN177" i="12" s="1"/>
  <c r="CM98" i="12"/>
  <c r="CN98" i="12" s="1"/>
  <c r="IS74" i="12"/>
  <c r="IS182" i="12"/>
  <c r="IS28" i="12"/>
  <c r="IS8" i="12"/>
  <c r="IS148" i="12"/>
  <c r="IS187" i="12"/>
  <c r="IS167" i="12"/>
  <c r="IS95" i="12"/>
  <c r="IS137" i="12"/>
  <c r="IS176" i="12"/>
  <c r="IS156" i="12"/>
  <c r="IS35" i="12"/>
  <c r="IS70" i="12"/>
  <c r="IS50" i="12"/>
  <c r="IS29" i="12"/>
  <c r="IS193" i="12"/>
  <c r="CM120" i="12"/>
  <c r="CN120" i="12" s="1"/>
  <c r="CM97" i="12"/>
  <c r="CN97" i="12" s="1"/>
  <c r="CM145" i="12"/>
  <c r="CN145" i="12" s="1"/>
  <c r="CM24" i="12"/>
  <c r="CN24" i="12" s="1"/>
  <c r="CM195" i="12"/>
  <c r="CN195" i="12" s="1"/>
  <c r="CM77" i="12"/>
  <c r="CN77" i="12" s="1"/>
  <c r="CM208" i="12"/>
  <c r="CN208" i="12" s="1"/>
  <c r="CM189" i="12"/>
  <c r="CN189" i="12" s="1"/>
  <c r="CM63" i="12"/>
  <c r="CN63" i="12" s="1"/>
  <c r="CM191" i="12"/>
  <c r="CN191" i="12" s="1"/>
  <c r="CM149" i="12"/>
  <c r="CN149" i="12" s="1"/>
  <c r="CM202" i="12"/>
  <c r="CN202" i="12" s="1"/>
  <c r="CM125" i="12"/>
  <c r="CN125" i="12" s="1"/>
  <c r="CM59" i="12"/>
  <c r="CN59" i="12" s="1"/>
  <c r="CM169" i="12"/>
  <c r="CN169" i="12" s="1"/>
  <c r="CM115" i="12"/>
  <c r="CN115" i="12" s="1"/>
  <c r="CM172" i="12"/>
  <c r="CN172" i="12" s="1"/>
  <c r="CM168" i="12"/>
  <c r="CN168" i="12" s="1"/>
  <c r="CM147" i="12"/>
  <c r="CN147" i="12" s="1"/>
  <c r="CM200" i="12"/>
  <c r="CN200" i="12" s="1"/>
  <c r="CM163" i="12"/>
  <c r="CN163" i="12" s="1"/>
  <c r="CM95" i="12"/>
  <c r="CN95" i="12" s="1"/>
  <c r="CM157" i="12"/>
  <c r="CN157" i="12" s="1"/>
  <c r="CM167" i="12"/>
  <c r="CN167" i="12" s="1"/>
  <c r="CM58" i="12"/>
  <c r="CN58" i="12" s="1"/>
  <c r="CM132" i="12"/>
  <c r="CN132" i="12" s="1"/>
  <c r="CM76" i="12"/>
  <c r="CN76" i="12" s="1"/>
  <c r="CM140" i="12"/>
  <c r="CN140" i="12" s="1"/>
  <c r="CM182" i="12"/>
  <c r="CN182" i="12" s="1"/>
  <c r="CM188" i="12"/>
  <c r="CN188" i="12" s="1"/>
  <c r="CM146" i="12"/>
  <c r="CN146" i="12" s="1"/>
  <c r="CM7" i="12"/>
  <c r="CN7" i="12" s="1"/>
  <c r="CM106" i="12"/>
  <c r="CN106" i="12" s="1"/>
  <c r="CM148" i="12"/>
  <c r="CN148" i="12" s="1"/>
  <c r="CM174" i="12"/>
  <c r="CN174" i="12" s="1"/>
  <c r="CM104" i="12"/>
  <c r="CN104" i="12" s="1"/>
  <c r="CM219" i="12"/>
  <c r="CN219" i="12" s="1"/>
  <c r="CM53" i="12"/>
  <c r="CN53" i="12" s="1"/>
  <c r="CM128" i="12"/>
  <c r="CN128" i="12" s="1"/>
  <c r="CM150" i="12"/>
  <c r="CN150" i="12" s="1"/>
  <c r="CM141" i="12"/>
  <c r="CN141" i="12" s="1"/>
  <c r="CM17" i="12"/>
  <c r="CN17" i="12" s="1"/>
  <c r="CM88" i="12"/>
  <c r="CN88" i="12" s="1"/>
  <c r="CM45" i="12"/>
  <c r="CN45" i="12" s="1"/>
  <c r="CM51" i="12"/>
  <c r="CN51" i="12" s="1"/>
  <c r="CM9" i="12"/>
  <c r="CN9" i="12" s="1"/>
  <c r="CM218" i="12"/>
  <c r="CN218" i="12" s="1"/>
  <c r="CM42" i="12"/>
  <c r="CN42" i="12" s="1"/>
  <c r="CM199" i="12"/>
  <c r="CN199" i="12" s="1"/>
  <c r="CM20" i="12"/>
  <c r="CN20" i="12" s="1"/>
  <c r="CM129" i="12"/>
  <c r="CN129" i="12" s="1"/>
  <c r="CM73" i="12"/>
  <c r="CN73" i="12" s="1"/>
  <c r="CM78" i="12"/>
  <c r="CN78" i="12" s="1"/>
  <c r="CM158" i="12"/>
  <c r="CN158" i="12" s="1"/>
  <c r="CM131" i="12"/>
  <c r="CN131" i="12" s="1"/>
  <c r="CM90" i="12"/>
  <c r="CN90" i="12" s="1"/>
  <c r="CM66" i="12"/>
  <c r="CN66" i="12" s="1"/>
  <c r="EN100" i="12"/>
  <c r="EN20" i="12"/>
  <c r="IS4" i="12"/>
  <c r="IS117" i="12"/>
  <c r="IS162" i="12"/>
  <c r="IS78" i="12"/>
  <c r="IS163" i="12"/>
  <c r="IS15" i="12"/>
  <c r="IS128" i="12"/>
  <c r="IS44" i="12"/>
  <c r="IS93" i="12"/>
  <c r="IS150" i="12"/>
  <c r="CM187" i="12"/>
  <c r="CN187" i="12" s="1"/>
  <c r="CM79" i="12"/>
  <c r="CN79" i="12" s="1"/>
  <c r="CM86" i="12"/>
  <c r="CN86" i="12" s="1"/>
  <c r="CE136" i="12"/>
  <c r="CE140" i="12" s="1"/>
  <c r="EN39" i="12"/>
  <c r="EN90" i="12"/>
  <c r="IS19" i="12"/>
  <c r="IS138" i="12"/>
  <c r="IS68" i="12"/>
  <c r="IS54" i="12"/>
  <c r="IS181" i="12"/>
  <c r="IS107" i="12"/>
  <c r="IS97" i="12"/>
  <c r="IS23" i="12"/>
  <c r="IS142" i="12"/>
  <c r="IS136" i="12"/>
  <c r="IS26" i="12"/>
  <c r="IS153" i="12"/>
  <c r="IS143" i="12"/>
  <c r="IS69" i="12"/>
  <c r="IS192" i="12"/>
  <c r="IS178" i="12"/>
  <c r="IS108" i="12"/>
  <c r="IS30" i="12"/>
  <c r="IS24" i="12"/>
  <c r="IS169" i="12"/>
  <c r="IS16" i="12"/>
  <c r="IS57" i="12"/>
  <c r="EN40" i="12"/>
  <c r="EN37" i="12"/>
  <c r="EN32" i="12"/>
  <c r="EN68" i="12"/>
  <c r="IS83" i="12"/>
  <c r="IS9" i="12"/>
  <c r="IS196" i="12"/>
  <c r="IS118" i="12"/>
  <c r="IS48" i="12"/>
  <c r="IS34" i="12"/>
  <c r="IS161" i="12"/>
  <c r="IS87" i="12"/>
  <c r="IS77" i="12"/>
  <c r="IS200" i="12"/>
  <c r="IS90" i="12"/>
  <c r="IS84" i="12"/>
  <c r="IS6" i="12"/>
  <c r="IS133" i="12"/>
  <c r="IS123" i="12"/>
  <c r="IS49" i="12"/>
  <c r="IS172" i="12"/>
  <c r="IS158" i="12"/>
  <c r="IS51" i="12"/>
  <c r="IS36" i="12"/>
  <c r="IS130" i="12"/>
  <c r="IS82" i="12"/>
  <c r="CM112" i="12"/>
  <c r="CN112" i="12" s="1"/>
  <c r="CM201" i="12"/>
  <c r="CN201" i="12" s="1"/>
  <c r="CM143" i="12"/>
  <c r="CN143" i="12" s="1"/>
  <c r="CM215" i="12"/>
  <c r="CN215" i="12" s="1"/>
  <c r="CM39" i="12"/>
  <c r="CN39" i="12" s="1"/>
  <c r="CM33" i="12"/>
  <c r="CN33" i="12" s="1"/>
  <c r="EN74" i="12"/>
  <c r="EN24" i="12"/>
  <c r="EN16" i="12"/>
  <c r="EN56" i="12"/>
  <c r="EN66" i="12"/>
  <c r="IS10" i="12"/>
  <c r="IS73" i="12"/>
  <c r="IS132" i="12"/>
  <c r="IS191" i="12"/>
  <c r="IS53" i="12"/>
  <c r="IS112" i="12"/>
  <c r="IS171" i="12"/>
  <c r="IS33" i="12"/>
  <c r="IS92" i="12"/>
  <c r="IS151" i="12"/>
  <c r="IS13" i="12"/>
  <c r="IS72" i="12"/>
  <c r="IS99" i="12"/>
  <c r="IS154" i="12"/>
  <c r="IS20" i="12"/>
  <c r="IS79" i="12"/>
  <c r="IS134" i="12"/>
  <c r="IS197" i="12"/>
  <c r="IS59" i="12"/>
  <c r="IS114" i="12"/>
  <c r="IS177" i="12"/>
  <c r="IS39" i="12"/>
  <c r="IS94" i="12"/>
  <c r="IS157" i="12"/>
  <c r="IS106" i="12"/>
  <c r="IS31" i="12"/>
  <c r="IS75" i="12"/>
  <c r="IS45" i="12"/>
  <c r="CE141" i="12"/>
  <c r="CE142" i="12" s="1"/>
  <c r="CM180" i="12"/>
  <c r="CN180" i="12" s="1"/>
  <c r="CM213" i="12"/>
  <c r="CN213" i="12" s="1"/>
  <c r="CM75" i="12"/>
  <c r="CN75" i="12" s="1"/>
  <c r="CM166" i="12"/>
  <c r="CN166" i="12" s="1"/>
  <c r="CM83" i="12"/>
  <c r="CN83" i="12" s="1"/>
  <c r="IS152" i="12"/>
  <c r="IS42" i="12"/>
  <c r="IS105" i="12"/>
  <c r="IS164" i="12"/>
  <c r="IS22" i="12"/>
  <c r="IS85" i="12"/>
  <c r="IS144" i="12"/>
  <c r="IS5" i="12"/>
  <c r="IS65" i="12"/>
  <c r="IS124" i="12"/>
  <c r="IS110" i="12"/>
  <c r="IS104" i="12"/>
  <c r="IS166" i="12"/>
  <c r="IS135" i="12"/>
  <c r="IS86" i="12"/>
  <c r="IS149" i="12"/>
  <c r="IS11" i="12"/>
  <c r="IS66" i="12"/>
  <c r="IS129" i="12"/>
  <c r="IS55" i="12"/>
  <c r="IS174" i="12"/>
  <c r="IS195" i="12"/>
  <c r="IS96" i="12"/>
  <c r="IS125" i="12"/>
  <c r="IS88" i="12"/>
  <c r="IS179" i="12"/>
  <c r="IS41" i="12"/>
  <c r="IS100" i="12"/>
  <c r="IS159" i="12"/>
  <c r="IS21" i="12"/>
  <c r="IS80" i="12"/>
  <c r="IS139" i="12"/>
  <c r="IS194" i="12"/>
  <c r="IS60" i="12"/>
  <c r="IS183" i="12"/>
  <c r="IS40" i="12"/>
  <c r="IS47" i="12"/>
  <c r="IS12" i="12"/>
  <c r="EN28" i="12"/>
  <c r="EN92" i="12"/>
  <c r="IS173" i="12"/>
  <c r="IS67" i="12"/>
  <c r="IS122" i="12"/>
  <c r="IS52" i="12"/>
  <c r="IS175" i="12"/>
  <c r="IS165" i="12"/>
  <c r="IS91" i="12"/>
  <c r="IS17" i="12"/>
  <c r="IS7" i="12"/>
  <c r="IS126" i="12"/>
  <c r="IS56" i="12"/>
  <c r="EN73" i="12"/>
  <c r="IS131" i="12"/>
  <c r="IS186" i="12"/>
  <c r="IS116" i="12"/>
  <c r="IS102" i="12"/>
  <c r="IS32" i="12"/>
  <c r="IS155" i="12"/>
  <c r="IS145" i="12"/>
  <c r="IS71" i="12"/>
  <c r="IS190" i="12"/>
  <c r="IS184" i="12"/>
  <c r="EN33" i="12"/>
  <c r="EN53" i="12"/>
  <c r="IS188" i="12"/>
  <c r="IS46" i="12"/>
  <c r="IS109" i="12"/>
  <c r="IS168" i="12"/>
  <c r="IS58" i="12"/>
  <c r="IS185" i="12"/>
  <c r="IS111" i="12"/>
  <c r="IS37" i="12"/>
  <c r="IS27" i="12"/>
  <c r="IS146" i="12"/>
  <c r="IS76" i="12"/>
  <c r="IS62" i="12"/>
  <c r="IS189" i="12"/>
  <c r="EN78" i="12"/>
  <c r="EN91" i="12"/>
  <c r="EN54" i="12"/>
  <c r="S16" i="12"/>
  <c r="EN75" i="12"/>
  <c r="EN21" i="12"/>
  <c r="EN84" i="12"/>
  <c r="EN41" i="12"/>
  <c r="EN31" i="12"/>
  <c r="EN64" i="12"/>
  <c r="EN62" i="12"/>
  <c r="EN58" i="12"/>
  <c r="EN15" i="12"/>
  <c r="EN98" i="12"/>
  <c r="DK16" i="12"/>
  <c r="EN26" i="12"/>
  <c r="EN27" i="12"/>
  <c r="IS121" i="12"/>
  <c r="IS180" i="12"/>
  <c r="IS38" i="12"/>
  <c r="IS101" i="12"/>
  <c r="IS160" i="12"/>
  <c r="IS18" i="12"/>
  <c r="IS81" i="12"/>
  <c r="IS140" i="12"/>
  <c r="IS199" i="12"/>
  <c r="IS61" i="12"/>
  <c r="EN61" i="12"/>
  <c r="EN43" i="12"/>
  <c r="EN51" i="12"/>
  <c r="EN96" i="12"/>
  <c r="EN69" i="12"/>
  <c r="EN72" i="12"/>
  <c r="EN42" i="12"/>
  <c r="EN83" i="12"/>
  <c r="EN23" i="12"/>
  <c r="EN63" i="12"/>
  <c r="EN55" i="12"/>
  <c r="CU14" i="12"/>
  <c r="EN48" i="12"/>
  <c r="EN34" i="12"/>
  <c r="EN99" i="12"/>
  <c r="EN77" i="12"/>
  <c r="EN17" i="12"/>
  <c r="EN116" i="12"/>
  <c r="EN7" i="12"/>
  <c r="EN411" i="12"/>
  <c r="EN374" i="12"/>
  <c r="EN438" i="12"/>
  <c r="EN356" i="12"/>
  <c r="EN188" i="12"/>
  <c r="EN334" i="12"/>
  <c r="EN207" i="12"/>
  <c r="EN391" i="12"/>
  <c r="EN138" i="12"/>
  <c r="EN256" i="12"/>
  <c r="EN296" i="12"/>
  <c r="EN448" i="12"/>
  <c r="EN467" i="12"/>
  <c r="EN262" i="12"/>
  <c r="EN142" i="12"/>
  <c r="EN346" i="12"/>
  <c r="EN340" i="12"/>
  <c r="EN174" i="12"/>
  <c r="EN268" i="12"/>
  <c r="EN269" i="12"/>
  <c r="EN405" i="12"/>
  <c r="EN216" i="12"/>
  <c r="EN168" i="12"/>
  <c r="EN249" i="12"/>
  <c r="EN317" i="12"/>
  <c r="EN164" i="12"/>
  <c r="EN252" i="12"/>
  <c r="EN335" i="12"/>
  <c r="EN119" i="12"/>
  <c r="EN228" i="12"/>
  <c r="EN291" i="12"/>
  <c r="EN348" i="12"/>
  <c r="EN306" i="12"/>
  <c r="EN253" i="12"/>
  <c r="EN145" i="12"/>
  <c r="EN261" i="12"/>
  <c r="EN419" i="12"/>
  <c r="EN451" i="12"/>
  <c r="EN487" i="12"/>
  <c r="EN254" i="12"/>
  <c r="EN483" i="12"/>
  <c r="EN211" i="12"/>
  <c r="EN106" i="12"/>
  <c r="EN245" i="12"/>
  <c r="EN104" i="12"/>
  <c r="EN176" i="12"/>
  <c r="EN490" i="12"/>
  <c r="EN154" i="12"/>
  <c r="EN395" i="12"/>
  <c r="EN274" i="12"/>
  <c r="EN8" i="12"/>
  <c r="EN299" i="12"/>
  <c r="EN402" i="12"/>
  <c r="EN132" i="12"/>
  <c r="EN455" i="12"/>
  <c r="EN465" i="12"/>
  <c r="EN477" i="12"/>
  <c r="EN178" i="12"/>
  <c r="EN320" i="12"/>
  <c r="EN229" i="12"/>
  <c r="EN325" i="12"/>
  <c r="EN147" i="12"/>
  <c r="EN392" i="12"/>
  <c r="EN175" i="12"/>
  <c r="EN482" i="12"/>
  <c r="EN143" i="12"/>
  <c r="EN342" i="12"/>
  <c r="EN439" i="12"/>
  <c r="EN173" i="12"/>
  <c r="EN470" i="12"/>
  <c r="EN282" i="12"/>
  <c r="EN120" i="12"/>
  <c r="EN110" i="12"/>
  <c r="EN479" i="12"/>
  <c r="EN221" i="12"/>
  <c r="EN469" i="12"/>
  <c r="EN363" i="12"/>
  <c r="EN232" i="12"/>
  <c r="EN496" i="12"/>
  <c r="EN166" i="12"/>
  <c r="EN473" i="12"/>
  <c r="EN365" i="12"/>
  <c r="EN264" i="12"/>
  <c r="EN287" i="12"/>
  <c r="EN344" i="12"/>
  <c r="EN193" i="12"/>
  <c r="EN278" i="12"/>
  <c r="EN177" i="12"/>
  <c r="EN199" i="12"/>
  <c r="EN364" i="12"/>
  <c r="EN415" i="12"/>
  <c r="EN336" i="12"/>
  <c r="EN431" i="12"/>
  <c r="EN396" i="12"/>
  <c r="EN474" i="12"/>
  <c r="EN146" i="12"/>
  <c r="EN185" i="12"/>
  <c r="EN489" i="12"/>
  <c r="EN341" i="12"/>
  <c r="EN314" i="12"/>
  <c r="EN377" i="12"/>
  <c r="EN5" i="12"/>
  <c r="EN369" i="12"/>
  <c r="EN309" i="12"/>
  <c r="EN148" i="12"/>
  <c r="EN426" i="12"/>
  <c r="EN318" i="12"/>
  <c r="EN236" i="12"/>
  <c r="EN410" i="12"/>
  <c r="EN134" i="12"/>
  <c r="EN205" i="12"/>
  <c r="EN464" i="12"/>
  <c r="EN376" i="12"/>
  <c r="EN403" i="12"/>
  <c r="EN137" i="12"/>
  <c r="EN105" i="12"/>
  <c r="EN202" i="12"/>
  <c r="EN251" i="12"/>
  <c r="EN198" i="12"/>
  <c r="EN459" i="12"/>
  <c r="EN462" i="12"/>
  <c r="EN453" i="12"/>
  <c r="EN362" i="12"/>
  <c r="EN122" i="12"/>
  <c r="EN158" i="12"/>
  <c r="EN400" i="12"/>
  <c r="EN241" i="12"/>
  <c r="EN417" i="12"/>
  <c r="EN153" i="12"/>
  <c r="EN172" i="12"/>
  <c r="EN167" i="12"/>
  <c r="EN338" i="12"/>
  <c r="EN322" i="12"/>
  <c r="EN281" i="12"/>
  <c r="EN407" i="12"/>
  <c r="EN170" i="12"/>
  <c r="EN191" i="12"/>
  <c r="EN452" i="12"/>
  <c r="EN259" i="12"/>
  <c r="EN491" i="12"/>
  <c r="EN219" i="12"/>
  <c r="EN186" i="12"/>
  <c r="EN135" i="12"/>
  <c r="EN492" i="12"/>
  <c r="EN127" i="12"/>
  <c r="EN130" i="12"/>
  <c r="EN233" i="12"/>
  <c r="EN494" i="12"/>
  <c r="EN454" i="12"/>
  <c r="EN463" i="12"/>
  <c r="EN358" i="12"/>
  <c r="EN428" i="12"/>
  <c r="EN422" i="12"/>
  <c r="EN481" i="12"/>
  <c r="EN345" i="12"/>
  <c r="EN159" i="12"/>
  <c r="EN445" i="12"/>
  <c r="EN160" i="12"/>
  <c r="EN3" i="12"/>
  <c r="EN468" i="12"/>
  <c r="EN248" i="12"/>
  <c r="EN351" i="12"/>
  <c r="EN413" i="12"/>
  <c r="EN339" i="12"/>
  <c r="EN484" i="12"/>
  <c r="EN250" i="12"/>
  <c r="EN498" i="12"/>
  <c r="EN140" i="12"/>
  <c r="EN327" i="12"/>
  <c r="EN308" i="12"/>
  <c r="EN421" i="12"/>
  <c r="EN108" i="12"/>
  <c r="EN361" i="12"/>
  <c r="EN476" i="12"/>
  <c r="EN357" i="12"/>
  <c r="EN224" i="12"/>
  <c r="EN434" i="12"/>
  <c r="EN220" i="12"/>
  <c r="EN162" i="12"/>
  <c r="EN371" i="12"/>
  <c r="EN319" i="12"/>
  <c r="EN461" i="12"/>
  <c r="EN385" i="12"/>
  <c r="EN257" i="12"/>
  <c r="EN273" i="12"/>
  <c r="EN333" i="12"/>
  <c r="EN497" i="12"/>
  <c r="EN443" i="12"/>
  <c r="EN208" i="12"/>
  <c r="EN152" i="12"/>
  <c r="EN460" i="12"/>
  <c r="EN442" i="12"/>
  <c r="EN112" i="12"/>
  <c r="EN383" i="12"/>
  <c r="EN237" i="12"/>
  <c r="EN240" i="12"/>
  <c r="EN352" i="12"/>
  <c r="EN212" i="12"/>
  <c r="EN485" i="12"/>
  <c r="EN125" i="12"/>
  <c r="EN194" i="12"/>
  <c r="EN144" i="12"/>
  <c r="EN435" i="12"/>
  <c r="EN447" i="12"/>
  <c r="EN349" i="12"/>
  <c r="EN115" i="12"/>
  <c r="EN139" i="12"/>
  <c r="EN283" i="12"/>
  <c r="EN4" i="12"/>
  <c r="EN169" i="12"/>
  <c r="EN350" i="12"/>
  <c r="EN360" i="12"/>
  <c r="EN270" i="12"/>
  <c r="EN486" i="12"/>
  <c r="EN450" i="12"/>
  <c r="EN131" i="12"/>
  <c r="EN429" i="12"/>
  <c r="EN180" i="12"/>
  <c r="EN103" i="12"/>
  <c r="EN444" i="12"/>
  <c r="EN109" i="12"/>
  <c r="EN215" i="12"/>
  <c r="EN394" i="12"/>
  <c r="EN123" i="12"/>
  <c r="EN171" i="12"/>
  <c r="EN420" i="12"/>
  <c r="EN381" i="12"/>
  <c r="EN255" i="12"/>
  <c r="EN117" i="12"/>
  <c r="EN213" i="12"/>
  <c r="EN203" i="12"/>
  <c r="EN258" i="12"/>
  <c r="EN225" i="12"/>
  <c r="EN126" i="12"/>
  <c r="EN192" i="12"/>
  <c r="EN157" i="12"/>
  <c r="EN488" i="12"/>
  <c r="EN129" i="12"/>
  <c r="EN393" i="12"/>
  <c r="EN500" i="12"/>
  <c r="EN204" i="12"/>
  <c r="EN111" i="12"/>
  <c r="EN206" i="12"/>
  <c r="EN289" i="12"/>
  <c r="EN201" i="12"/>
  <c r="EN370" i="12"/>
  <c r="EN165" i="12"/>
  <c r="EN425" i="12"/>
  <c r="EN196" i="12"/>
  <c r="EN114" i="12"/>
  <c r="EN367" i="12"/>
  <c r="EN414" i="12"/>
  <c r="EN398" i="12"/>
  <c r="EN227" i="12"/>
  <c r="EN294" i="12"/>
  <c r="EN390" i="12"/>
  <c r="EN354" i="12"/>
  <c r="EN276" i="12"/>
  <c r="EN332" i="12"/>
  <c r="EN493" i="12"/>
  <c r="EN183" i="12"/>
  <c r="EN316" i="12"/>
  <c r="EN343" i="12"/>
  <c r="EN372" i="12"/>
  <c r="EN136" i="12"/>
  <c r="EN301" i="12"/>
  <c r="EN499" i="12"/>
  <c r="EN478" i="12"/>
  <c r="EN366" i="12"/>
  <c r="EN375" i="12"/>
  <c r="EN265" i="12"/>
  <c r="EN313" i="12"/>
  <c r="EN430" i="12"/>
  <c r="EN380" i="12"/>
  <c r="EN295" i="12"/>
  <c r="EN412" i="12"/>
  <c r="EN495" i="12"/>
  <c r="EN324" i="12"/>
  <c r="EN161" i="12"/>
  <c r="EN279" i="12"/>
  <c r="EN328" i="12"/>
  <c r="EN230" i="12"/>
  <c r="EN271" i="12"/>
  <c r="EN156" i="12"/>
  <c r="EN124" i="12"/>
  <c r="EN133" i="12"/>
  <c r="EN449" i="12"/>
  <c r="EN423" i="12"/>
  <c r="EN300" i="12"/>
  <c r="EN305" i="12"/>
  <c r="EN389" i="12"/>
  <c r="EN197" i="12"/>
  <c r="EN409" i="12"/>
  <c r="EN472" i="12"/>
  <c r="EN121" i="12"/>
  <c r="EN436" i="12"/>
  <c r="EN181" i="12"/>
  <c r="EN401" i="12"/>
  <c r="EN244" i="12"/>
  <c r="EN311" i="12"/>
  <c r="EN466" i="12"/>
  <c r="EN304" i="12"/>
  <c r="EN288" i="12"/>
  <c r="EN297" i="12"/>
  <c r="EN113" i="12"/>
  <c r="EN128" i="12"/>
  <c r="EN323" i="12"/>
  <c r="EN234" i="12"/>
  <c r="EN246" i="12"/>
  <c r="EN280" i="12"/>
  <c r="EN307" i="12"/>
  <c r="EN155" i="12"/>
  <c r="EN222" i="12"/>
  <c r="EN312" i="12"/>
  <c r="EN184" i="12"/>
  <c r="EN235" i="12"/>
  <c r="EN440" i="12"/>
  <c r="EN163" i="12"/>
  <c r="EN427" i="12"/>
  <c r="EN457" i="12"/>
  <c r="EN189" i="12"/>
  <c r="EN266" i="12"/>
  <c r="EN446" i="12"/>
  <c r="EN418" i="12"/>
  <c r="EN286" i="12"/>
  <c r="EN399" i="12"/>
  <c r="EN231" i="12"/>
  <c r="EN397" i="12"/>
  <c r="EN321" i="12"/>
  <c r="EN275" i="12"/>
  <c r="EN141" i="12"/>
  <c r="EN239" i="12"/>
  <c r="EN179" i="12"/>
  <c r="EN337" i="12"/>
  <c r="EN386" i="12"/>
  <c r="EN330" i="12"/>
  <c r="EN458" i="12"/>
  <c r="EN247" i="12"/>
  <c r="EN272" i="12"/>
  <c r="EN182" i="12"/>
  <c r="EN243" i="12"/>
  <c r="EN480" i="12"/>
  <c r="EN210" i="12"/>
  <c r="EN190" i="12"/>
  <c r="EN355" i="12"/>
  <c r="EN214" i="12"/>
  <c r="EN226" i="12"/>
  <c r="EN195" i="12"/>
  <c r="EN277" i="12"/>
  <c r="EN387" i="12"/>
  <c r="EN149" i="12"/>
  <c r="EN267" i="12"/>
  <c r="EN217" i="12"/>
  <c r="EN388" i="12"/>
  <c r="EN437" i="12"/>
  <c r="EN382" i="12"/>
  <c r="EN242" i="12"/>
  <c r="EN404" i="12"/>
  <c r="EN378" i="12"/>
  <c r="EN406" i="12"/>
  <c r="EN293" i="12"/>
  <c r="EN416" i="12"/>
  <c r="EN200" i="12"/>
  <c r="EN424" i="12"/>
  <c r="EN331" i="12"/>
  <c r="EN326" i="12"/>
  <c r="EN359" i="12"/>
  <c r="EN6" i="12"/>
  <c r="EN315" i="12"/>
  <c r="EN292" i="12"/>
  <c r="EN329" i="12"/>
  <c r="EN310" i="12"/>
  <c r="EN384" i="12"/>
  <c r="EN260" i="12"/>
  <c r="EN284" i="12"/>
  <c r="EN373" i="12"/>
  <c r="EN353" i="12"/>
  <c r="EN150" i="12"/>
  <c r="EN223" i="12"/>
  <c r="EN187" i="12"/>
  <c r="EN151" i="12"/>
  <c r="EN107" i="12"/>
  <c r="EN475" i="12"/>
  <c r="EN347" i="12"/>
  <c r="EN209" i="12"/>
  <c r="EN456" i="12"/>
  <c r="EN432" i="12"/>
  <c r="EN118" i="12"/>
  <c r="EN379" i="12"/>
  <c r="EN238" i="12"/>
  <c r="EN303" i="12"/>
  <c r="EN471" i="12"/>
  <c r="EN298" i="12"/>
  <c r="EN290" i="12"/>
  <c r="EN433" i="12"/>
  <c r="EN263" i="12"/>
  <c r="EN285" i="12"/>
  <c r="EN368" i="12"/>
  <c r="EN302" i="12"/>
  <c r="EN441" i="12"/>
  <c r="EN218" i="12"/>
  <c r="EN408" i="12"/>
  <c r="EN9" i="12"/>
  <c r="EN10" i="12"/>
  <c r="EN12" i="12"/>
  <c r="EN11" i="12"/>
  <c r="EN14" i="12"/>
  <c r="EN13" i="12"/>
  <c r="EN80" i="12"/>
  <c r="EN46" i="12"/>
  <c r="EN50" i="12"/>
  <c r="EN36" i="12"/>
  <c r="EN71" i="12"/>
  <c r="EN22" i="12"/>
  <c r="EN95" i="12"/>
  <c r="EN88" i="12"/>
  <c r="EN30" i="12"/>
  <c r="EN52" i="12"/>
  <c r="EN89" i="12"/>
  <c r="EN101" i="12"/>
  <c r="EN94" i="12"/>
  <c r="EN82" i="12"/>
  <c r="EN25" i="12"/>
  <c r="EN19" i="12"/>
  <c r="EN93" i="12"/>
  <c r="EN76" i="12"/>
  <c r="EN97" i="12"/>
  <c r="EN85" i="12"/>
  <c r="IS3" i="12"/>
  <c r="IT3" i="12"/>
  <c r="IT19" i="12"/>
  <c r="IT35" i="12"/>
  <c r="IT51" i="12"/>
  <c r="IT67" i="12"/>
  <c r="IT83" i="12"/>
  <c r="IT99" i="12"/>
  <c r="IT115" i="12"/>
  <c r="IT131" i="12"/>
  <c r="IT147" i="12"/>
  <c r="IT163" i="12"/>
  <c r="IT179" i="12"/>
  <c r="IT195" i="12"/>
  <c r="IT14" i="12"/>
  <c r="IT30" i="12"/>
  <c r="IT46" i="12"/>
  <c r="IT62" i="12"/>
  <c r="IT78" i="12"/>
  <c r="IT94" i="12"/>
  <c r="IT110" i="12"/>
  <c r="IT126" i="12"/>
  <c r="IT142" i="12"/>
  <c r="IT158" i="12"/>
  <c r="IT174" i="12"/>
  <c r="IT190" i="12"/>
  <c r="IT9" i="12"/>
  <c r="IT25" i="12"/>
  <c r="IT41" i="12"/>
  <c r="IT57" i="12"/>
  <c r="IT73" i="12"/>
  <c r="IT89" i="12"/>
  <c r="IT105" i="12"/>
  <c r="IT121" i="12"/>
  <c r="IT137" i="12"/>
  <c r="IT153" i="12"/>
  <c r="IT169" i="12"/>
  <c r="IT185" i="12"/>
  <c r="IT4" i="12"/>
  <c r="IT20" i="12"/>
  <c r="IT36" i="12"/>
  <c r="IT52" i="12"/>
  <c r="IT68" i="12"/>
  <c r="IT84" i="12"/>
  <c r="IT100" i="12"/>
  <c r="IT116" i="12"/>
  <c r="IT132" i="12"/>
  <c r="IT148" i="12"/>
  <c r="IT164" i="12"/>
  <c r="IT180" i="12"/>
  <c r="IT196" i="12"/>
  <c r="IT7" i="12"/>
  <c r="IT23" i="12"/>
  <c r="IT39" i="12"/>
  <c r="IT55" i="12"/>
  <c r="IT71" i="12"/>
  <c r="IT87" i="12"/>
  <c r="IT103" i="12"/>
  <c r="IT119" i="12"/>
  <c r="IT135" i="12"/>
  <c r="IT151" i="12"/>
  <c r="IT167" i="12"/>
  <c r="IT183" i="12"/>
  <c r="IT199" i="12"/>
  <c r="IT18" i="12"/>
  <c r="IT34" i="12"/>
  <c r="IT50" i="12"/>
  <c r="IT66" i="12"/>
  <c r="IT82" i="12"/>
  <c r="IT98" i="12"/>
  <c r="IT114" i="12"/>
  <c r="IT130" i="12"/>
  <c r="IT146" i="12"/>
  <c r="IT162" i="12"/>
  <c r="IT178" i="12"/>
  <c r="IT194" i="12"/>
  <c r="IT13" i="12"/>
  <c r="IT29" i="12"/>
  <c r="IT45" i="12"/>
  <c r="IT61" i="12"/>
  <c r="IT77" i="12"/>
  <c r="IT93" i="12"/>
  <c r="IT109" i="12"/>
  <c r="IT125" i="12"/>
  <c r="IT141" i="12"/>
  <c r="IT157" i="12"/>
  <c r="IT173" i="12"/>
  <c r="IT189" i="12"/>
  <c r="IT8" i="12"/>
  <c r="IT24" i="12"/>
  <c r="IT40" i="12"/>
  <c r="IT56" i="12"/>
  <c r="IT72" i="12"/>
  <c r="IT88" i="12"/>
  <c r="IT104" i="12"/>
  <c r="IT120" i="12"/>
  <c r="IT136" i="12"/>
  <c r="IT152" i="12"/>
  <c r="IT168" i="12"/>
  <c r="IT184" i="12"/>
  <c r="IT200" i="12"/>
  <c r="IT11" i="12"/>
  <c r="IT27" i="12"/>
  <c r="IT43" i="12"/>
  <c r="IT59" i="12"/>
  <c r="IT75" i="12"/>
  <c r="IT91" i="12"/>
  <c r="IT107" i="12"/>
  <c r="IT123" i="12"/>
  <c r="IT139" i="12"/>
  <c r="IT155" i="12"/>
  <c r="IT171" i="12"/>
  <c r="IT187" i="12"/>
  <c r="IT6" i="12"/>
  <c r="IT22" i="12"/>
  <c r="IT38" i="12"/>
  <c r="IT54" i="12"/>
  <c r="IT70" i="12"/>
  <c r="IT86" i="12"/>
  <c r="IT102" i="12"/>
  <c r="IT118" i="12"/>
  <c r="IT134" i="12"/>
  <c r="IT150" i="12"/>
  <c r="IT166" i="12"/>
  <c r="IT182" i="12"/>
  <c r="IT198" i="12"/>
  <c r="IT17" i="12"/>
  <c r="IT33" i="12"/>
  <c r="IT49" i="12"/>
  <c r="IT65" i="12"/>
  <c r="IT81" i="12"/>
  <c r="IT97" i="12"/>
  <c r="IT113" i="12"/>
  <c r="IT129" i="12"/>
  <c r="IT145" i="12"/>
  <c r="IT161" i="12"/>
  <c r="IT177" i="12"/>
  <c r="IT193" i="12"/>
  <c r="IT12" i="12"/>
  <c r="IT28" i="12"/>
  <c r="IT44" i="12"/>
  <c r="IT60" i="12"/>
  <c r="IT76" i="12"/>
  <c r="IT92" i="12"/>
  <c r="IT108" i="12"/>
  <c r="IT124" i="12"/>
  <c r="IT140" i="12"/>
  <c r="IT156" i="12"/>
  <c r="IT172" i="12"/>
  <c r="IT188" i="12"/>
  <c r="IT15" i="12"/>
  <c r="IT31" i="12"/>
  <c r="IT47" i="12"/>
  <c r="IT63" i="12"/>
  <c r="IT79" i="12"/>
  <c r="IT95" i="12"/>
  <c r="IT111" i="12"/>
  <c r="IT127" i="12"/>
  <c r="IT143" i="12"/>
  <c r="IT159" i="12"/>
  <c r="IT175" i="12"/>
  <c r="IT191" i="12"/>
  <c r="IT10" i="12"/>
  <c r="IT26" i="12"/>
  <c r="IT42" i="12"/>
  <c r="IT58" i="12"/>
  <c r="IT74" i="12"/>
  <c r="IT90" i="12"/>
  <c r="IT106" i="12"/>
  <c r="IT122" i="12"/>
  <c r="IT138" i="12"/>
  <c r="IT154" i="12"/>
  <c r="IT170" i="12"/>
  <c r="IT186" i="12"/>
  <c r="IT5" i="12"/>
  <c r="IT21" i="12"/>
  <c r="IT37" i="12"/>
  <c r="IT53" i="12"/>
  <c r="IT69" i="12"/>
  <c r="IT85" i="12"/>
  <c r="IT101" i="12"/>
  <c r="IT117" i="12"/>
  <c r="IT133" i="12"/>
  <c r="IT149" i="12"/>
  <c r="IT165" i="12"/>
  <c r="IT181" i="12"/>
  <c r="IT197" i="12"/>
  <c r="IT16" i="12"/>
  <c r="IT32" i="12"/>
  <c r="IT48" i="12"/>
  <c r="IT64" i="12"/>
  <c r="IT80" i="12"/>
  <c r="IT96" i="12"/>
  <c r="IT112" i="12"/>
  <c r="IT128" i="12"/>
  <c r="IT144" i="12"/>
  <c r="IT160" i="12"/>
  <c r="IT176" i="12"/>
  <c r="IT192" i="12"/>
  <c r="HQ2" i="12"/>
  <c r="HP10" i="12"/>
  <c r="HT10" i="12" s="1"/>
  <c r="EN102" i="12"/>
  <c r="EN59" i="12"/>
  <c r="EN44" i="12"/>
  <c r="EN81" i="12"/>
  <c r="EN86" i="12"/>
  <c r="BH79" i="12"/>
  <c r="EN35" i="12"/>
  <c r="EN57" i="12"/>
  <c r="EN29" i="12"/>
  <c r="EN70" i="12"/>
  <c r="EN47" i="12"/>
  <c r="EN38" i="12"/>
  <c r="EN67" i="12"/>
  <c r="EN65" i="12"/>
  <c r="HT17" i="12"/>
  <c r="HO18" i="12"/>
  <c r="CU147" i="12"/>
  <c r="AQ84" i="12"/>
  <c r="DK23" i="12"/>
  <c r="AR73" i="12"/>
  <c r="FU110" i="12"/>
  <c r="GR110" i="12" s="1"/>
  <c r="FR111" i="12"/>
  <c r="CX2208" i="12"/>
  <c r="EJ1" i="12" l="1"/>
  <c r="CO4" i="12"/>
  <c r="CO5" i="12" s="1"/>
  <c r="CO6" i="12" s="1"/>
  <c r="CF5" i="12"/>
  <c r="CG5" i="12" s="1"/>
  <c r="CF3" i="12"/>
  <c r="CG3" i="12" s="1"/>
  <c r="CH3" i="12" s="1"/>
  <c r="CF4" i="12"/>
  <c r="CG4" i="12" s="1"/>
  <c r="CF100" i="12"/>
  <c r="CG100" i="12" s="1"/>
  <c r="CH100" i="12" s="1"/>
  <c r="CF151" i="12"/>
  <c r="CG151" i="12" s="1"/>
  <c r="CH151" i="12" s="1"/>
  <c r="CF96" i="12"/>
  <c r="CG96" i="12" s="1"/>
  <c r="CH96" i="12" s="1"/>
  <c r="CF178" i="12"/>
  <c r="CG178" i="12" s="1"/>
  <c r="CH178" i="12" s="1"/>
  <c r="CF42" i="12"/>
  <c r="CG42" i="12" s="1"/>
  <c r="CH42" i="12" s="1"/>
  <c r="CF213" i="12"/>
  <c r="CG213" i="12" s="1"/>
  <c r="CH213" i="12" s="1"/>
  <c r="CF95" i="12"/>
  <c r="CG95" i="12" s="1"/>
  <c r="CH95" i="12" s="1"/>
  <c r="CF116" i="12"/>
  <c r="CG116" i="12" s="1"/>
  <c r="CH116" i="12" s="1"/>
  <c r="CF149" i="12"/>
  <c r="CG149" i="12" s="1"/>
  <c r="CH149" i="12" s="1"/>
  <c r="CF102" i="12"/>
  <c r="CG102" i="12" s="1"/>
  <c r="CH102" i="12" s="1"/>
  <c r="CF10" i="12"/>
  <c r="CG10" i="12" s="1"/>
  <c r="CH10" i="12" s="1"/>
  <c r="CF169" i="12"/>
  <c r="CG169" i="12" s="1"/>
  <c r="CH169" i="12" s="1"/>
  <c r="CF202" i="12"/>
  <c r="CG202" i="12" s="1"/>
  <c r="CH202" i="12" s="1"/>
  <c r="CF31" i="12"/>
  <c r="CG31" i="12" s="1"/>
  <c r="CH31" i="12" s="1"/>
  <c r="CF78" i="12"/>
  <c r="CG78" i="12" s="1"/>
  <c r="CH78" i="12" s="1"/>
  <c r="CF93" i="12"/>
  <c r="CG93" i="12" s="1"/>
  <c r="CH93" i="12" s="1"/>
  <c r="CF58" i="12"/>
  <c r="CG58" i="12" s="1"/>
  <c r="CH58" i="12" s="1"/>
  <c r="CF65" i="12"/>
  <c r="CG65" i="12" s="1"/>
  <c r="CH65" i="12" s="1"/>
  <c r="CF44" i="12"/>
  <c r="CG44" i="12" s="1"/>
  <c r="CH44" i="12" s="1"/>
  <c r="CF122" i="12"/>
  <c r="CG122" i="12" s="1"/>
  <c r="CH122" i="12" s="1"/>
  <c r="CF140" i="12"/>
  <c r="CG140" i="12" s="1"/>
  <c r="CH140" i="12" s="1"/>
  <c r="CF28" i="12"/>
  <c r="CG28" i="12" s="1"/>
  <c r="CH28" i="12" s="1"/>
  <c r="CF121" i="12"/>
  <c r="CG121" i="12" s="1"/>
  <c r="CH121" i="12" s="1"/>
  <c r="CF111" i="12"/>
  <c r="CG111" i="12" s="1"/>
  <c r="CH111" i="12" s="1"/>
  <c r="CF39" i="12"/>
  <c r="CG39" i="12" s="1"/>
  <c r="CH39" i="12" s="1"/>
  <c r="CF203" i="12"/>
  <c r="CG203" i="12" s="1"/>
  <c r="CH203" i="12" s="1"/>
  <c r="CF40" i="12"/>
  <c r="CG40" i="12" s="1"/>
  <c r="CH40" i="12" s="1"/>
  <c r="CF205" i="12"/>
  <c r="CG205" i="12" s="1"/>
  <c r="CH205" i="12" s="1"/>
  <c r="CF33" i="12"/>
  <c r="CG33" i="12" s="1"/>
  <c r="CH33" i="12" s="1"/>
  <c r="CF97" i="12"/>
  <c r="CG97" i="12" s="1"/>
  <c r="CH97" i="12" s="1"/>
  <c r="CF32" i="12"/>
  <c r="CG32" i="12" s="1"/>
  <c r="CH32" i="12" s="1"/>
  <c r="CF174" i="12"/>
  <c r="CG174" i="12" s="1"/>
  <c r="CH174" i="12" s="1"/>
  <c r="CF160" i="12"/>
  <c r="CG160" i="12" s="1"/>
  <c r="CH160" i="12" s="1"/>
  <c r="CF183" i="12"/>
  <c r="CG183" i="12" s="1"/>
  <c r="CH183" i="12" s="1"/>
  <c r="CF209" i="12"/>
  <c r="CG209" i="12" s="1"/>
  <c r="CH209" i="12" s="1"/>
  <c r="CF14" i="12"/>
  <c r="CG14" i="12" s="1"/>
  <c r="CH14" i="12" s="1"/>
  <c r="CF43" i="12"/>
  <c r="CG43" i="12" s="1"/>
  <c r="CH43" i="12" s="1"/>
  <c r="CF16" i="12"/>
  <c r="CG16" i="12" s="1"/>
  <c r="CH16" i="12" s="1"/>
  <c r="CF182" i="12"/>
  <c r="CG182" i="12" s="1"/>
  <c r="CH182" i="12" s="1"/>
  <c r="CF24" i="12"/>
  <c r="CG24" i="12" s="1"/>
  <c r="CH24" i="12" s="1"/>
  <c r="CF71" i="12"/>
  <c r="CG71" i="12" s="1"/>
  <c r="CH71" i="12" s="1"/>
  <c r="CF50" i="12"/>
  <c r="CG50" i="12" s="1"/>
  <c r="CH50" i="12" s="1"/>
  <c r="CF138" i="12"/>
  <c r="CG138" i="12" s="1"/>
  <c r="CH138" i="12" s="1"/>
  <c r="CF144" i="12"/>
  <c r="CG144" i="12" s="1"/>
  <c r="CH144" i="12" s="1"/>
  <c r="CF94" i="12"/>
  <c r="CG94" i="12" s="1"/>
  <c r="CH94" i="12" s="1"/>
  <c r="CF130" i="12"/>
  <c r="CG130" i="12" s="1"/>
  <c r="CH130" i="12" s="1"/>
  <c r="CF120" i="12"/>
  <c r="CG120" i="12" s="1"/>
  <c r="CH120" i="12" s="1"/>
  <c r="CF92" i="12"/>
  <c r="CG92" i="12" s="1"/>
  <c r="CH92" i="12" s="1"/>
  <c r="CF26" i="12"/>
  <c r="CG26" i="12" s="1"/>
  <c r="CH26" i="12" s="1"/>
  <c r="CF85" i="12"/>
  <c r="CG85" i="12" s="1"/>
  <c r="CH85" i="12" s="1"/>
  <c r="CF106" i="12"/>
  <c r="CG106" i="12" s="1"/>
  <c r="CH106" i="12" s="1"/>
  <c r="CF67" i="12"/>
  <c r="CG67" i="12" s="1"/>
  <c r="CH67" i="12" s="1"/>
  <c r="CF197" i="12"/>
  <c r="CG197" i="12" s="1"/>
  <c r="CH197" i="12" s="1"/>
  <c r="CF8" i="12"/>
  <c r="CG8" i="12" s="1"/>
  <c r="CH8" i="12" s="1"/>
  <c r="CF142" i="12"/>
  <c r="CG142" i="12" s="1"/>
  <c r="CH142" i="12" s="1"/>
  <c r="CF84" i="12"/>
  <c r="CG84" i="12" s="1"/>
  <c r="CH84" i="12" s="1"/>
  <c r="CF23" i="12"/>
  <c r="CG23" i="12" s="1"/>
  <c r="CH23" i="12" s="1"/>
  <c r="CF204" i="12"/>
  <c r="CG204" i="12" s="1"/>
  <c r="CH204" i="12" s="1"/>
  <c r="CF153" i="12"/>
  <c r="CG153" i="12" s="1"/>
  <c r="CH153" i="12" s="1"/>
  <c r="CF88" i="12"/>
  <c r="CG88" i="12" s="1"/>
  <c r="CH88" i="12" s="1"/>
  <c r="CF47" i="12"/>
  <c r="CG47" i="12" s="1"/>
  <c r="CH47" i="12" s="1"/>
  <c r="CF168" i="12"/>
  <c r="CG168" i="12" s="1"/>
  <c r="CH168" i="12" s="1"/>
  <c r="CF195" i="12"/>
  <c r="CG195" i="12" s="1"/>
  <c r="CH195" i="12" s="1"/>
  <c r="CF214" i="12"/>
  <c r="CG214" i="12" s="1"/>
  <c r="CH214" i="12" s="1"/>
  <c r="CF198" i="12"/>
  <c r="CG198" i="12" s="1"/>
  <c r="CH198" i="12" s="1"/>
  <c r="CF164" i="12"/>
  <c r="CG164" i="12" s="1"/>
  <c r="CH164" i="12" s="1"/>
  <c r="CF156" i="12"/>
  <c r="CG156" i="12" s="1"/>
  <c r="CH156" i="12" s="1"/>
  <c r="CF82" i="12"/>
  <c r="CG82" i="12" s="1"/>
  <c r="CH82" i="12" s="1"/>
  <c r="CF64" i="12"/>
  <c r="CG64" i="12" s="1"/>
  <c r="CH64" i="12" s="1"/>
  <c r="CF147" i="12"/>
  <c r="CG147" i="12" s="1"/>
  <c r="CH147" i="12" s="1"/>
  <c r="CF107" i="12"/>
  <c r="CG107" i="12" s="1"/>
  <c r="CH107" i="12" s="1"/>
  <c r="CF77" i="12"/>
  <c r="CG77" i="12" s="1"/>
  <c r="CH77" i="12" s="1"/>
  <c r="CF105" i="12"/>
  <c r="CG105" i="12" s="1"/>
  <c r="CH105" i="12" s="1"/>
  <c r="CF59" i="12"/>
  <c r="CG59" i="12" s="1"/>
  <c r="CH59" i="12" s="1"/>
  <c r="CF74" i="12"/>
  <c r="CG74" i="12" s="1"/>
  <c r="CH74" i="12" s="1"/>
  <c r="CF115" i="12"/>
  <c r="CG115" i="12" s="1"/>
  <c r="CH115" i="12" s="1"/>
  <c r="CF200" i="12"/>
  <c r="CG200" i="12" s="1"/>
  <c r="CH200" i="12" s="1"/>
  <c r="CF128" i="12"/>
  <c r="CG128" i="12" s="1"/>
  <c r="CH128" i="12" s="1"/>
  <c r="CF167" i="12"/>
  <c r="CG167" i="12" s="1"/>
  <c r="CH167" i="12" s="1"/>
  <c r="CF61" i="12"/>
  <c r="CG61" i="12" s="1"/>
  <c r="CH61" i="12" s="1"/>
  <c r="CF19" i="12"/>
  <c r="CG19" i="12" s="1"/>
  <c r="CH19" i="12" s="1"/>
  <c r="CF129" i="12"/>
  <c r="CG129" i="12" s="1"/>
  <c r="CH129" i="12" s="1"/>
  <c r="CF7" i="12"/>
  <c r="CG7" i="12" s="1"/>
  <c r="CF25" i="12"/>
  <c r="CG25" i="12" s="1"/>
  <c r="CH25" i="12" s="1"/>
  <c r="CF62" i="12"/>
  <c r="CG62" i="12" s="1"/>
  <c r="CH62" i="12" s="1"/>
  <c r="CF53" i="12"/>
  <c r="CG53" i="12" s="1"/>
  <c r="CH53" i="12" s="1"/>
  <c r="CF68" i="12"/>
  <c r="CG68" i="12" s="1"/>
  <c r="CH68" i="12" s="1"/>
  <c r="CF72" i="12"/>
  <c r="CG72" i="12" s="1"/>
  <c r="CH72" i="12" s="1"/>
  <c r="CF110" i="12"/>
  <c r="CG110" i="12" s="1"/>
  <c r="CH110" i="12" s="1"/>
  <c r="CF56" i="12"/>
  <c r="CG56" i="12" s="1"/>
  <c r="CH56" i="12" s="1"/>
  <c r="CF139" i="12"/>
  <c r="CG139" i="12" s="1"/>
  <c r="CH139" i="12" s="1"/>
  <c r="CF21" i="12"/>
  <c r="CG21" i="12" s="1"/>
  <c r="CH21" i="12" s="1"/>
  <c r="CF48" i="12"/>
  <c r="CG48" i="12" s="1"/>
  <c r="CH48" i="12" s="1"/>
  <c r="CF6" i="12"/>
  <c r="CG6" i="12" s="1"/>
  <c r="CF54" i="12"/>
  <c r="CG54" i="12" s="1"/>
  <c r="CH54" i="12" s="1"/>
  <c r="CF208" i="12"/>
  <c r="CG208" i="12" s="1"/>
  <c r="CH208" i="12" s="1"/>
  <c r="CF210" i="12"/>
  <c r="CG210" i="12" s="1"/>
  <c r="CH210" i="12" s="1"/>
  <c r="CF73" i="12"/>
  <c r="CG73" i="12" s="1"/>
  <c r="CH73" i="12" s="1"/>
  <c r="CF219" i="12"/>
  <c r="CG219" i="12" s="1"/>
  <c r="CH219" i="12" s="1"/>
  <c r="CF141" i="12"/>
  <c r="CG141" i="12" s="1"/>
  <c r="CH141" i="12" s="1"/>
  <c r="CF196" i="12"/>
  <c r="CG196" i="12" s="1"/>
  <c r="CH196" i="12" s="1"/>
  <c r="CF57" i="12"/>
  <c r="CG57" i="12" s="1"/>
  <c r="CH57" i="12" s="1"/>
  <c r="CF108" i="12"/>
  <c r="CG108" i="12" s="1"/>
  <c r="CH108" i="12" s="1"/>
  <c r="CF193" i="12"/>
  <c r="CG193" i="12" s="1"/>
  <c r="CH193" i="12" s="1"/>
  <c r="CF191" i="12"/>
  <c r="CG191" i="12" s="1"/>
  <c r="CH191" i="12" s="1"/>
  <c r="CF163" i="12"/>
  <c r="CG163" i="12" s="1"/>
  <c r="CH163" i="12" s="1"/>
  <c r="CF201" i="12"/>
  <c r="CG201" i="12" s="1"/>
  <c r="CH201" i="12" s="1"/>
  <c r="CF27" i="12"/>
  <c r="CG27" i="12" s="1"/>
  <c r="CH27" i="12" s="1"/>
  <c r="CF148" i="12"/>
  <c r="CG148" i="12" s="1"/>
  <c r="CH148" i="12" s="1"/>
  <c r="CF36" i="12"/>
  <c r="CG36" i="12" s="1"/>
  <c r="CH36" i="12" s="1"/>
  <c r="CF166" i="12"/>
  <c r="CG166" i="12" s="1"/>
  <c r="CH166" i="12" s="1"/>
  <c r="CF143" i="12"/>
  <c r="CG143" i="12" s="1"/>
  <c r="CH143" i="12" s="1"/>
  <c r="CF179" i="12"/>
  <c r="CG179" i="12" s="1"/>
  <c r="CH179" i="12" s="1"/>
  <c r="CF131" i="12"/>
  <c r="CG131" i="12" s="1"/>
  <c r="CH131" i="12" s="1"/>
  <c r="CF117" i="12"/>
  <c r="CG117" i="12" s="1"/>
  <c r="CH117" i="12" s="1"/>
  <c r="CF206" i="12"/>
  <c r="CG206" i="12" s="1"/>
  <c r="CH206" i="12" s="1"/>
  <c r="CF157" i="12"/>
  <c r="CG157" i="12" s="1"/>
  <c r="CH157" i="12" s="1"/>
  <c r="CF207" i="12"/>
  <c r="CG207" i="12" s="1"/>
  <c r="CH207" i="12" s="1"/>
  <c r="CF137" i="12"/>
  <c r="CG137" i="12" s="1"/>
  <c r="CH137" i="12" s="1"/>
  <c r="CF11" i="12"/>
  <c r="CG11" i="12" s="1"/>
  <c r="CH11" i="12" s="1"/>
  <c r="CF87" i="12"/>
  <c r="CG87" i="12" s="1"/>
  <c r="CH87" i="12" s="1"/>
  <c r="CF104" i="12"/>
  <c r="CG104" i="12" s="1"/>
  <c r="CH104" i="12" s="1"/>
  <c r="CF162" i="12"/>
  <c r="CG162" i="12" s="1"/>
  <c r="CH162" i="12" s="1"/>
  <c r="CF99" i="12"/>
  <c r="CG99" i="12" s="1"/>
  <c r="CH99" i="12" s="1"/>
  <c r="CF79" i="12"/>
  <c r="CG79" i="12" s="1"/>
  <c r="CH79" i="12" s="1"/>
  <c r="CF165" i="12"/>
  <c r="CG165" i="12" s="1"/>
  <c r="CH165" i="12" s="1"/>
  <c r="CF101" i="12"/>
  <c r="CG101" i="12" s="1"/>
  <c r="CH101" i="12" s="1"/>
  <c r="CF127" i="12"/>
  <c r="CG127" i="12" s="1"/>
  <c r="CH127" i="12" s="1"/>
  <c r="CF181" i="12"/>
  <c r="CG181" i="12" s="1"/>
  <c r="CH181" i="12" s="1"/>
  <c r="CF75" i="12"/>
  <c r="CG75" i="12" s="1"/>
  <c r="CH75" i="12" s="1"/>
  <c r="CF55" i="12"/>
  <c r="CG55" i="12" s="1"/>
  <c r="CH55" i="12" s="1"/>
  <c r="CF199" i="12"/>
  <c r="CG199" i="12" s="1"/>
  <c r="CH199" i="12" s="1"/>
  <c r="CF69" i="12"/>
  <c r="CG69" i="12" s="1"/>
  <c r="CH69" i="12" s="1"/>
  <c r="CF89" i="12"/>
  <c r="CG89" i="12" s="1"/>
  <c r="CH89" i="12" s="1"/>
  <c r="CF187" i="12"/>
  <c r="CG187" i="12" s="1"/>
  <c r="CH187" i="12" s="1"/>
  <c r="CF109" i="12"/>
  <c r="CG109" i="12" s="1"/>
  <c r="CH109" i="12" s="1"/>
  <c r="CF37" i="12"/>
  <c r="CG37" i="12" s="1"/>
  <c r="CH37" i="12" s="1"/>
  <c r="CF80" i="12"/>
  <c r="CG80" i="12" s="1"/>
  <c r="CH80" i="12" s="1"/>
  <c r="CF152" i="12"/>
  <c r="CG152" i="12" s="1"/>
  <c r="CH152" i="12" s="1"/>
  <c r="CF103" i="12"/>
  <c r="CG103" i="12" s="1"/>
  <c r="CH103" i="12" s="1"/>
  <c r="CF114" i="12"/>
  <c r="CG114" i="12" s="1"/>
  <c r="CH114" i="12" s="1"/>
  <c r="CF51" i="12"/>
  <c r="CG51" i="12" s="1"/>
  <c r="CH51" i="12" s="1"/>
  <c r="CF86" i="12"/>
  <c r="CG86" i="12" s="1"/>
  <c r="CH86" i="12" s="1"/>
  <c r="CF145" i="12"/>
  <c r="CG145" i="12" s="1"/>
  <c r="CH145" i="12" s="1"/>
  <c r="CF90" i="12"/>
  <c r="CG90" i="12" s="1"/>
  <c r="CH90" i="12" s="1"/>
  <c r="CF12" i="12"/>
  <c r="CG12" i="12" s="1"/>
  <c r="CH12" i="12" s="1"/>
  <c r="CF125" i="12"/>
  <c r="CG125" i="12" s="1"/>
  <c r="CH125" i="12" s="1"/>
  <c r="CF150" i="12"/>
  <c r="CG150" i="12" s="1"/>
  <c r="CH150" i="12" s="1"/>
  <c r="CF98" i="12"/>
  <c r="CG98" i="12" s="1"/>
  <c r="CH98" i="12" s="1"/>
  <c r="CF180" i="12"/>
  <c r="CG180" i="12" s="1"/>
  <c r="CH180" i="12" s="1"/>
  <c r="CF218" i="12"/>
  <c r="CG218" i="12" s="1"/>
  <c r="CH218" i="12" s="1"/>
  <c r="CF190" i="12"/>
  <c r="CG190" i="12" s="1"/>
  <c r="CH190" i="12" s="1"/>
  <c r="CF83" i="12"/>
  <c r="CG83" i="12" s="1"/>
  <c r="CH83" i="12" s="1"/>
  <c r="CF136" i="12"/>
  <c r="CG136" i="12" s="1"/>
  <c r="CH136" i="12" s="1"/>
  <c r="CF13" i="12"/>
  <c r="CG13" i="12" s="1"/>
  <c r="CH13" i="12" s="1"/>
  <c r="CF220" i="12"/>
  <c r="CG220" i="12" s="1"/>
  <c r="CH220" i="12" s="1"/>
  <c r="CF146" i="12"/>
  <c r="CG146" i="12" s="1"/>
  <c r="CH146" i="12" s="1"/>
  <c r="CF170" i="12"/>
  <c r="CG170" i="12" s="1"/>
  <c r="CH170" i="12" s="1"/>
  <c r="CF123" i="12"/>
  <c r="CG123" i="12" s="1"/>
  <c r="CH123" i="12" s="1"/>
  <c r="CF186" i="12"/>
  <c r="CG186" i="12" s="1"/>
  <c r="CH186" i="12" s="1"/>
  <c r="CF176" i="12"/>
  <c r="CG176" i="12" s="1"/>
  <c r="CH176" i="12" s="1"/>
  <c r="CF192" i="12"/>
  <c r="CG192" i="12" s="1"/>
  <c r="CH192" i="12" s="1"/>
  <c r="CF135" i="12"/>
  <c r="CG135" i="12" s="1"/>
  <c r="CH135" i="12" s="1"/>
  <c r="CF185" i="12"/>
  <c r="CG185" i="12" s="1"/>
  <c r="CH185" i="12" s="1"/>
  <c r="CF9" i="12"/>
  <c r="CG9" i="12" s="1"/>
  <c r="CH9" i="12" s="1"/>
  <c r="CF154" i="12"/>
  <c r="CG154" i="12" s="1"/>
  <c r="CH154" i="12" s="1"/>
  <c r="CF175" i="12"/>
  <c r="CG175" i="12" s="1"/>
  <c r="CH175" i="12" s="1"/>
  <c r="CF217" i="12"/>
  <c r="CG217" i="12" s="1"/>
  <c r="CH217" i="12" s="1"/>
  <c r="CF184" i="12"/>
  <c r="CG184" i="12" s="1"/>
  <c r="CH184" i="12" s="1"/>
  <c r="CF49" i="12"/>
  <c r="CG49" i="12" s="1"/>
  <c r="CH49" i="12" s="1"/>
  <c r="CF70" i="12"/>
  <c r="CG70" i="12" s="1"/>
  <c r="CH70" i="12" s="1"/>
  <c r="CF45" i="12"/>
  <c r="CG45" i="12" s="1"/>
  <c r="CH45" i="12" s="1"/>
  <c r="CF46" i="12"/>
  <c r="CG46" i="12" s="1"/>
  <c r="CH46" i="12" s="1"/>
  <c r="CF177" i="12"/>
  <c r="CG177" i="12" s="1"/>
  <c r="CH177" i="12" s="1"/>
  <c r="CF35" i="12"/>
  <c r="CG35" i="12" s="1"/>
  <c r="CH35" i="12" s="1"/>
  <c r="CF171" i="12"/>
  <c r="CG171" i="12" s="1"/>
  <c r="CH171" i="12" s="1"/>
  <c r="CF60" i="12"/>
  <c r="CG60" i="12" s="1"/>
  <c r="CH60" i="12" s="1"/>
  <c r="CF124" i="12"/>
  <c r="CG124" i="12" s="1"/>
  <c r="CH124" i="12" s="1"/>
  <c r="CF113" i="12"/>
  <c r="CG113" i="12" s="1"/>
  <c r="CH113" i="12" s="1"/>
  <c r="CF119" i="12"/>
  <c r="CG119" i="12" s="1"/>
  <c r="CH119" i="12" s="1"/>
  <c r="CF173" i="12"/>
  <c r="CG173" i="12" s="1"/>
  <c r="CH173" i="12" s="1"/>
  <c r="CF112" i="12"/>
  <c r="CG112" i="12" s="1"/>
  <c r="CH112" i="12" s="1"/>
  <c r="CF159" i="12"/>
  <c r="CG159" i="12" s="1"/>
  <c r="CH159" i="12" s="1"/>
  <c r="CF212" i="12"/>
  <c r="CG212" i="12" s="1"/>
  <c r="CH212" i="12" s="1"/>
  <c r="CF22" i="12"/>
  <c r="CG22" i="12" s="1"/>
  <c r="CH22" i="12" s="1"/>
  <c r="CF20" i="12"/>
  <c r="CG20" i="12" s="1"/>
  <c r="CH20" i="12" s="1"/>
  <c r="CF76" i="12"/>
  <c r="CG76" i="12" s="1"/>
  <c r="CH76" i="12" s="1"/>
  <c r="CF155" i="12"/>
  <c r="CG155" i="12" s="1"/>
  <c r="CH155" i="12" s="1"/>
  <c r="CU16" i="12"/>
  <c r="CU31" i="12" s="1"/>
  <c r="CF34" i="12"/>
  <c r="CG34" i="12" s="1"/>
  <c r="CH34" i="12" s="1"/>
  <c r="CF126" i="12"/>
  <c r="CG126" i="12" s="1"/>
  <c r="CH126" i="12" s="1"/>
  <c r="CF172" i="12"/>
  <c r="CG172" i="12" s="1"/>
  <c r="CH172" i="12" s="1"/>
  <c r="CF17" i="12"/>
  <c r="CG17" i="12" s="1"/>
  <c r="CH17" i="12" s="1"/>
  <c r="CF38" i="12"/>
  <c r="CG38" i="12" s="1"/>
  <c r="CH38" i="12" s="1"/>
  <c r="CF118" i="12"/>
  <c r="CG118" i="12" s="1"/>
  <c r="CH118" i="12" s="1"/>
  <c r="CF189" i="12"/>
  <c r="CG189" i="12" s="1"/>
  <c r="CH189" i="12" s="1"/>
  <c r="CF18" i="12"/>
  <c r="CG18" i="12" s="1"/>
  <c r="CH18" i="12" s="1"/>
  <c r="CF133" i="12"/>
  <c r="CG133" i="12" s="1"/>
  <c r="CH133" i="12" s="1"/>
  <c r="CF29" i="12"/>
  <c r="CG29" i="12" s="1"/>
  <c r="CH29" i="12" s="1"/>
  <c r="CF132" i="12"/>
  <c r="CG132" i="12" s="1"/>
  <c r="CH132" i="12" s="1"/>
  <c r="CF158" i="12"/>
  <c r="CG158" i="12" s="1"/>
  <c r="CH158" i="12" s="1"/>
  <c r="CF41" i="12"/>
  <c r="CG41" i="12" s="1"/>
  <c r="CH41" i="12" s="1"/>
  <c r="CF15" i="12"/>
  <c r="CG15" i="12" s="1"/>
  <c r="CH15" i="12" s="1"/>
  <c r="CF91" i="12"/>
  <c r="CG91" i="12" s="1"/>
  <c r="CH91" i="12" s="1"/>
  <c r="CF81" i="12"/>
  <c r="CG81" i="12" s="1"/>
  <c r="CH81" i="12" s="1"/>
  <c r="CF66" i="12"/>
  <c r="CG66" i="12" s="1"/>
  <c r="CH66" i="12" s="1"/>
  <c r="CF161" i="12"/>
  <c r="CG161" i="12" s="1"/>
  <c r="CH161" i="12" s="1"/>
  <c r="CF52" i="12"/>
  <c r="CG52" i="12" s="1"/>
  <c r="CH52" i="12" s="1"/>
  <c r="CF194" i="12"/>
  <c r="CG194" i="12" s="1"/>
  <c r="CH194" i="12" s="1"/>
  <c r="CF30" i="12"/>
  <c r="CG30" i="12" s="1"/>
  <c r="CH30" i="12" s="1"/>
  <c r="CF188" i="12"/>
  <c r="CG188" i="12" s="1"/>
  <c r="CH188" i="12" s="1"/>
  <c r="CF211" i="12"/>
  <c r="CG211" i="12" s="1"/>
  <c r="CH211" i="12" s="1"/>
  <c r="CF63" i="12"/>
  <c r="CG63" i="12" s="1"/>
  <c r="CH63" i="12" s="1"/>
  <c r="CF215" i="12"/>
  <c r="CG215" i="12" s="1"/>
  <c r="CH215" i="12" s="1"/>
  <c r="CF134" i="12"/>
  <c r="CG134" i="12" s="1"/>
  <c r="CH134" i="12" s="1"/>
  <c r="CF216" i="12"/>
  <c r="CG216" i="12" s="1"/>
  <c r="CH216" i="12" s="1"/>
  <c r="HP11" i="12"/>
  <c r="HT11" i="12" s="1"/>
  <c r="S23" i="12"/>
  <c r="BH80" i="12"/>
  <c r="IU114" i="12"/>
  <c r="IU73" i="12"/>
  <c r="IU79" i="12"/>
  <c r="IU180" i="12"/>
  <c r="IU85" i="12"/>
  <c r="IU57" i="12"/>
  <c r="IU52" i="12"/>
  <c r="IU153" i="12"/>
  <c r="IU110" i="12"/>
  <c r="IU4" i="12"/>
  <c r="IU123" i="12"/>
  <c r="IU174" i="12"/>
  <c r="IU70" i="12"/>
  <c r="IU9" i="12"/>
  <c r="IU41" i="12"/>
  <c r="IU152" i="12"/>
  <c r="IU95" i="12"/>
  <c r="IU27" i="12"/>
  <c r="IU186" i="12"/>
  <c r="IU69" i="12"/>
  <c r="IU58" i="12"/>
  <c r="IU151" i="12"/>
  <c r="IU65" i="12"/>
  <c r="IU125" i="12"/>
  <c r="IU137" i="12"/>
  <c r="IU147" i="12"/>
  <c r="IU155" i="12"/>
  <c r="IU47" i="12"/>
  <c r="IU35" i="12"/>
  <c r="IU89" i="12"/>
  <c r="IU113" i="12"/>
  <c r="IU167" i="12"/>
  <c r="IU168" i="12"/>
  <c r="IU100" i="12"/>
  <c r="IU60" i="12"/>
  <c r="IU5" i="12"/>
  <c r="IU165" i="12"/>
  <c r="IU18" i="12"/>
  <c r="IU171" i="12"/>
  <c r="IU141" i="12"/>
  <c r="IU48" i="12"/>
  <c r="IU143" i="12"/>
  <c r="IU31" i="12"/>
  <c r="IU38" i="12"/>
  <c r="IU24" i="12"/>
  <c r="IU108" i="12"/>
  <c r="IU16" i="12"/>
  <c r="IU112" i="12"/>
  <c r="IU187" i="12"/>
  <c r="IU161" i="12"/>
  <c r="IU14" i="12"/>
  <c r="IU76" i="12"/>
  <c r="IU177" i="12"/>
  <c r="IU19" i="12"/>
  <c r="IU150" i="12"/>
  <c r="IU144" i="12"/>
  <c r="IU13" i="12"/>
  <c r="IU86" i="12"/>
  <c r="IU129" i="12"/>
  <c r="IU50" i="12"/>
  <c r="IU8" i="12"/>
  <c r="IU67" i="12"/>
  <c r="IU107" i="12"/>
  <c r="IU140" i="12"/>
  <c r="IU39" i="12"/>
  <c r="IU117" i="12"/>
  <c r="IU139" i="12"/>
  <c r="IU175" i="12"/>
  <c r="IU191" i="12"/>
  <c r="IU77" i="12"/>
  <c r="IU190" i="12"/>
  <c r="IU158" i="12"/>
  <c r="IU29" i="12"/>
  <c r="IU75" i="12"/>
  <c r="IU173" i="12"/>
  <c r="IU138" i="12"/>
  <c r="IU163" i="12"/>
  <c r="IU3" i="12"/>
  <c r="IU118" i="12"/>
  <c r="IU34" i="12"/>
  <c r="IU122" i="12"/>
  <c r="IU188" i="12"/>
  <c r="IU37" i="12"/>
  <c r="IU196" i="12"/>
  <c r="IU56" i="12"/>
  <c r="IU71" i="12"/>
  <c r="IU119" i="12"/>
  <c r="IU43" i="12"/>
  <c r="IU104" i="12"/>
  <c r="IU62" i="12"/>
  <c r="IU61" i="12"/>
  <c r="IU102" i="12"/>
  <c r="IU120" i="12"/>
  <c r="IU156" i="12"/>
  <c r="IU131" i="12"/>
  <c r="IU189" i="12"/>
  <c r="IU116" i="12"/>
  <c r="IU44" i="12"/>
  <c r="IU94" i="12"/>
  <c r="IU134" i="12"/>
  <c r="IU32" i="12"/>
  <c r="IU53" i="12"/>
  <c r="IU45" i="12"/>
  <c r="IU193" i="12"/>
  <c r="IU105" i="12"/>
  <c r="IU90" i="12"/>
  <c r="IU149" i="12"/>
  <c r="IU162" i="12"/>
  <c r="IU126" i="12"/>
  <c r="IU23" i="12"/>
  <c r="IU198" i="12"/>
  <c r="IU30" i="12"/>
  <c r="IU183" i="12"/>
  <c r="IU74" i="12"/>
  <c r="IU115" i="12"/>
  <c r="IU59" i="12"/>
  <c r="IU106" i="12"/>
  <c r="IU17" i="12"/>
  <c r="IU92" i="12"/>
  <c r="IU192" i="12"/>
  <c r="IU164" i="12"/>
  <c r="IU142" i="12"/>
  <c r="IU154" i="12"/>
  <c r="IU80" i="12"/>
  <c r="IU128" i="12"/>
  <c r="IU83" i="12"/>
  <c r="IU54" i="12"/>
  <c r="IU25" i="12"/>
  <c r="IU135" i="12"/>
  <c r="IU199" i="12"/>
  <c r="IU103" i="12"/>
  <c r="IU15" i="12"/>
  <c r="IU97" i="12"/>
  <c r="IU36" i="12"/>
  <c r="IU172" i="12"/>
  <c r="IU127" i="12"/>
  <c r="IU121" i="12"/>
  <c r="IU6" i="12"/>
  <c r="IU111" i="12"/>
  <c r="IU130" i="12"/>
  <c r="IU81" i="12"/>
  <c r="IU169" i="12"/>
  <c r="IU87" i="12"/>
  <c r="IU145" i="12"/>
  <c r="IU157" i="12"/>
  <c r="IU12" i="12"/>
  <c r="IU159" i="12"/>
  <c r="IU146" i="12"/>
  <c r="IU22" i="12"/>
  <c r="IU136" i="12"/>
  <c r="IU101" i="12"/>
  <c r="IU33" i="12"/>
  <c r="IU26" i="12"/>
  <c r="IU40" i="12"/>
  <c r="IU63" i="12"/>
  <c r="IU55" i="12"/>
  <c r="IU72" i="12"/>
  <c r="IU197" i="12"/>
  <c r="IU148" i="12"/>
  <c r="IU46" i="12"/>
  <c r="IU78" i="12"/>
  <c r="IU98" i="12"/>
  <c r="IU166" i="12"/>
  <c r="IU7" i="12"/>
  <c r="IU133" i="12"/>
  <c r="IU182" i="12"/>
  <c r="IU93" i="12"/>
  <c r="IU124" i="12"/>
  <c r="IU132" i="12"/>
  <c r="IU11" i="12"/>
  <c r="IU170" i="12"/>
  <c r="IU49" i="12"/>
  <c r="IU109" i="12"/>
  <c r="IU184" i="12"/>
  <c r="IU195" i="12"/>
  <c r="IU185" i="12"/>
  <c r="IU10" i="12"/>
  <c r="IU179" i="12"/>
  <c r="IU68" i="12"/>
  <c r="IU178" i="12"/>
  <c r="IU20" i="12"/>
  <c r="IU66" i="12"/>
  <c r="IU28" i="12"/>
  <c r="IU91" i="12"/>
  <c r="IU176" i="12"/>
  <c r="IU82" i="12"/>
  <c r="IU42" i="12"/>
  <c r="IU181" i="12"/>
  <c r="IU21" i="12"/>
  <c r="IU160" i="12"/>
  <c r="IU64" i="12"/>
  <c r="IU84" i="12"/>
  <c r="IU99" i="12"/>
  <c r="IU88" i="12"/>
  <c r="IU51" i="12"/>
  <c r="IU200" i="12"/>
  <c r="IU96" i="12"/>
  <c r="IU194" i="12"/>
  <c r="HQ16" i="12"/>
  <c r="HT16" i="12" s="1"/>
  <c r="HT18" i="12"/>
  <c r="HO19" i="12"/>
  <c r="AQ85" i="12"/>
  <c r="AQ86" i="12"/>
  <c r="AQ87" i="12" s="1"/>
  <c r="DK24" i="12"/>
  <c r="AR74" i="12"/>
  <c r="AR75" i="12" s="1"/>
  <c r="FU111" i="12"/>
  <c r="GR111" i="12" s="1"/>
  <c r="FR112" i="12"/>
  <c r="CX2209" i="12"/>
  <c r="CO7" i="12" l="1"/>
  <c r="CO8" i="12" s="1"/>
  <c r="CH4" i="12"/>
  <c r="CH5" i="12" s="1"/>
  <c r="BH82" i="12"/>
  <c r="BH83" i="12" s="1"/>
  <c r="BH84" i="12" s="1"/>
  <c r="BH86" i="12" s="1"/>
  <c r="BH96" i="12" s="1"/>
  <c r="BI107" i="12" s="1"/>
  <c r="BJ107" i="12" s="1"/>
  <c r="BK107" i="12" s="1"/>
  <c r="CU34" i="12"/>
  <c r="HP12" i="12"/>
  <c r="HT12" i="12" s="1"/>
  <c r="HP13" i="12"/>
  <c r="HT13" i="12" s="1"/>
  <c r="S31" i="12"/>
  <c r="HP14" i="12"/>
  <c r="HT14" i="12" s="1"/>
  <c r="AQ88" i="12"/>
  <c r="AQ89" i="12" s="1"/>
  <c r="AQ90" i="12" s="1"/>
  <c r="HT19" i="12"/>
  <c r="HO20" i="12"/>
  <c r="JG6" i="12"/>
  <c r="JI6" i="12" s="1"/>
  <c r="JG4" i="12"/>
  <c r="JG3" i="12"/>
  <c r="JI3" i="12" s="1"/>
  <c r="DK25" i="12"/>
  <c r="DK26" i="12" s="1"/>
  <c r="DK27" i="12" s="1"/>
  <c r="DK28" i="12" s="1"/>
  <c r="DK29" i="12" s="1"/>
  <c r="DK30" i="12" s="1"/>
  <c r="AR76" i="12"/>
  <c r="AR77" i="12" s="1"/>
  <c r="AR78" i="12" s="1"/>
  <c r="AR79" i="12" s="1"/>
  <c r="AR80" i="12" s="1"/>
  <c r="AR81" i="12" s="1"/>
  <c r="AR82" i="12" s="1"/>
  <c r="AR83" i="12" s="1"/>
  <c r="AR84" i="12" s="1"/>
  <c r="AR85" i="12" s="1"/>
  <c r="AR86" i="12" s="1"/>
  <c r="AR87" i="12" s="1"/>
  <c r="AR88" i="12" s="1"/>
  <c r="AR89" i="12" s="1"/>
  <c r="AR90" i="12" s="1"/>
  <c r="AR91" i="12" s="1"/>
  <c r="AR92" i="12" s="1"/>
  <c r="AR93" i="12" s="1"/>
  <c r="AR94" i="12" s="1"/>
  <c r="AR95" i="12" s="1"/>
  <c r="AR96" i="12" s="1"/>
  <c r="AR97" i="12" s="1"/>
  <c r="AR98" i="12" s="1"/>
  <c r="AR99" i="12" s="1"/>
  <c r="AR100" i="12" s="1"/>
  <c r="AR101" i="12" s="1"/>
  <c r="AR102" i="12" s="1"/>
  <c r="AR103" i="12" s="1"/>
  <c r="AR104" i="12" s="1"/>
  <c r="AR105" i="12" s="1"/>
  <c r="AR106" i="12" s="1"/>
  <c r="AR107" i="12" s="1"/>
  <c r="AR108" i="12" s="1"/>
  <c r="AR109" i="12" s="1"/>
  <c r="AR110" i="12" s="1"/>
  <c r="AR111" i="12" s="1"/>
  <c r="AR112" i="12" s="1"/>
  <c r="AR113" i="12" s="1"/>
  <c r="AR114" i="12" s="1"/>
  <c r="AR115" i="12" s="1"/>
  <c r="AR116" i="12" s="1"/>
  <c r="AR117" i="12" s="1"/>
  <c r="AR118" i="12" s="1"/>
  <c r="AR119" i="12" s="1"/>
  <c r="AR120" i="12" s="1"/>
  <c r="AR121" i="12" s="1"/>
  <c r="AR122" i="12" s="1"/>
  <c r="AR123" i="12" s="1"/>
  <c r="AR124" i="12" s="1"/>
  <c r="AR125" i="12" s="1"/>
  <c r="AR126" i="12" s="1"/>
  <c r="AR127" i="12" s="1"/>
  <c r="AR128" i="12" s="1"/>
  <c r="AR129" i="12" s="1"/>
  <c r="AR130" i="12" s="1"/>
  <c r="AR131" i="12" s="1"/>
  <c r="AR132" i="12" s="1"/>
  <c r="AR133" i="12" s="1"/>
  <c r="AR134" i="12" s="1"/>
  <c r="AR135" i="12" s="1"/>
  <c r="AR136" i="12" s="1"/>
  <c r="AR137" i="12" s="1"/>
  <c r="AR138" i="12" s="1"/>
  <c r="AR139" i="12" s="1"/>
  <c r="AR140" i="12" s="1"/>
  <c r="AR141" i="12" s="1"/>
  <c r="AR142" i="12" s="1"/>
  <c r="AR143" i="12" s="1"/>
  <c r="AR144" i="12" s="1"/>
  <c r="AR145" i="12" s="1"/>
  <c r="AR146" i="12" s="1"/>
  <c r="AR147" i="12" s="1"/>
  <c r="AR148" i="12" s="1"/>
  <c r="AR149" i="12" s="1"/>
  <c r="AR150" i="12" s="1"/>
  <c r="AR151" i="12" s="1"/>
  <c r="AR152" i="12" s="1"/>
  <c r="AR153" i="12" s="1"/>
  <c r="AR154" i="12" s="1"/>
  <c r="AR155" i="12" s="1"/>
  <c r="AR156" i="12" s="1"/>
  <c r="AR157" i="12" s="1"/>
  <c r="AR158" i="12" s="1"/>
  <c r="AR159" i="12" s="1"/>
  <c r="AR160" i="12" s="1"/>
  <c r="AR161" i="12" s="1"/>
  <c r="AR162" i="12" s="1"/>
  <c r="AR163" i="12" s="1"/>
  <c r="AR164" i="12" s="1"/>
  <c r="AR165" i="12" s="1"/>
  <c r="AR166" i="12" s="1"/>
  <c r="AR167" i="12" s="1"/>
  <c r="AR168" i="12" s="1"/>
  <c r="AR169" i="12" s="1"/>
  <c r="AR170" i="12" s="1"/>
  <c r="AR171" i="12" s="1"/>
  <c r="AR172" i="12" s="1"/>
  <c r="AR173" i="12" s="1"/>
  <c r="AR174" i="12" s="1"/>
  <c r="AR175" i="12" s="1"/>
  <c r="AR176" i="12" s="1"/>
  <c r="AR177" i="12" s="1"/>
  <c r="AR178" i="12" s="1"/>
  <c r="AR179" i="12" s="1"/>
  <c r="AR180" i="12" s="1"/>
  <c r="AR181" i="12" s="1"/>
  <c r="AR182" i="12" s="1"/>
  <c r="AR183" i="12" s="1"/>
  <c r="AR184" i="12" s="1"/>
  <c r="AR185" i="12" s="1"/>
  <c r="AR186" i="12" s="1"/>
  <c r="AR187" i="12" s="1"/>
  <c r="AR188" i="12" s="1"/>
  <c r="AR189" i="12" s="1"/>
  <c r="AR190" i="12" s="1"/>
  <c r="AR191" i="12" s="1"/>
  <c r="AR192" i="12" s="1"/>
  <c r="FU112" i="12"/>
  <c r="GR112" i="12" s="1"/>
  <c r="FR113" i="12"/>
  <c r="CX2210" i="12"/>
  <c r="CO9" i="12" l="1"/>
  <c r="CO10" i="12" s="1"/>
  <c r="BI3" i="12"/>
  <c r="CH6" i="12"/>
  <c r="BI5" i="12"/>
  <c r="BJ5" i="12" s="1"/>
  <c r="BI7" i="12"/>
  <c r="BJ7" i="12" s="1"/>
  <c r="CU43" i="12"/>
  <c r="BI6" i="12"/>
  <c r="BJ6" i="12" s="1"/>
  <c r="BI4" i="12"/>
  <c r="BJ4" i="12" s="1"/>
  <c r="BK4" i="12" s="1"/>
  <c r="BI175" i="12"/>
  <c r="BJ175" i="12" s="1"/>
  <c r="BK175" i="12" s="1"/>
  <c r="BI118" i="12"/>
  <c r="BJ118" i="12" s="1"/>
  <c r="BK118" i="12" s="1"/>
  <c r="BI59" i="12"/>
  <c r="BJ59" i="12" s="1"/>
  <c r="BK59" i="12" s="1"/>
  <c r="BI66" i="12"/>
  <c r="BJ66" i="12" s="1"/>
  <c r="BK66" i="12" s="1"/>
  <c r="BI218" i="12"/>
  <c r="BJ218" i="12" s="1"/>
  <c r="BK218" i="12" s="1"/>
  <c r="BI19" i="12"/>
  <c r="BJ19" i="12" s="1"/>
  <c r="BK19" i="12" s="1"/>
  <c r="BI98" i="12"/>
  <c r="BJ98" i="12" s="1"/>
  <c r="BK98" i="12" s="1"/>
  <c r="BI204" i="12"/>
  <c r="BJ204" i="12" s="1"/>
  <c r="BK204" i="12" s="1"/>
  <c r="BI158" i="12"/>
  <c r="BJ158" i="12" s="1"/>
  <c r="BK158" i="12" s="1"/>
  <c r="BI22" i="12"/>
  <c r="BJ22" i="12" s="1"/>
  <c r="BK22" i="12" s="1"/>
  <c r="BI17" i="12"/>
  <c r="BJ17" i="12" s="1"/>
  <c r="BK17" i="12" s="1"/>
  <c r="BI85" i="12"/>
  <c r="BJ85" i="12" s="1"/>
  <c r="BK85" i="12" s="1"/>
  <c r="BI137" i="12"/>
  <c r="BJ137" i="12" s="1"/>
  <c r="BK137" i="12" s="1"/>
  <c r="BI213" i="12"/>
  <c r="BJ213" i="12" s="1"/>
  <c r="BK213" i="12" s="1"/>
  <c r="BI216" i="12"/>
  <c r="BJ216" i="12" s="1"/>
  <c r="BK216" i="12" s="1"/>
  <c r="BI74" i="12"/>
  <c r="BJ74" i="12" s="1"/>
  <c r="BK74" i="12" s="1"/>
  <c r="BI37" i="12"/>
  <c r="BJ37" i="12" s="1"/>
  <c r="BK37" i="12" s="1"/>
  <c r="BI135" i="12"/>
  <c r="BJ135" i="12" s="1"/>
  <c r="BK135" i="12" s="1"/>
  <c r="BI161" i="12"/>
  <c r="BJ161" i="12" s="1"/>
  <c r="BK161" i="12" s="1"/>
  <c r="BI140" i="12"/>
  <c r="BJ140" i="12" s="1"/>
  <c r="BK140" i="12" s="1"/>
  <c r="BI210" i="12"/>
  <c r="BJ210" i="12" s="1"/>
  <c r="BK210" i="12" s="1"/>
  <c r="BI168" i="12"/>
  <c r="BJ168" i="12" s="1"/>
  <c r="BK168" i="12" s="1"/>
  <c r="BI61" i="12"/>
  <c r="BJ61" i="12" s="1"/>
  <c r="BK61" i="12" s="1"/>
  <c r="BI34" i="12"/>
  <c r="BJ34" i="12" s="1"/>
  <c r="BK34" i="12" s="1"/>
  <c r="BI160" i="12"/>
  <c r="BJ160" i="12" s="1"/>
  <c r="BK160" i="12" s="1"/>
  <c r="BI109" i="12"/>
  <c r="BJ109" i="12" s="1"/>
  <c r="BK109" i="12" s="1"/>
  <c r="BI203" i="12"/>
  <c r="BJ203" i="12" s="1"/>
  <c r="BK203" i="12" s="1"/>
  <c r="BI16" i="12"/>
  <c r="BJ16" i="12" s="1"/>
  <c r="BK16" i="12" s="1"/>
  <c r="BI108" i="12"/>
  <c r="BJ108" i="12" s="1"/>
  <c r="BK108" i="12" s="1"/>
  <c r="BI23" i="12"/>
  <c r="BJ23" i="12" s="1"/>
  <c r="BK23" i="12" s="1"/>
  <c r="BI58" i="12"/>
  <c r="BJ58" i="12" s="1"/>
  <c r="BK58" i="12" s="1"/>
  <c r="BI44" i="12"/>
  <c r="BJ44" i="12" s="1"/>
  <c r="BK44" i="12" s="1"/>
  <c r="BI153" i="12"/>
  <c r="BJ153" i="12" s="1"/>
  <c r="BK153" i="12" s="1"/>
  <c r="BI71" i="12"/>
  <c r="BJ71" i="12" s="1"/>
  <c r="BK71" i="12" s="1"/>
  <c r="BI86" i="12"/>
  <c r="BJ86" i="12" s="1"/>
  <c r="BK86" i="12" s="1"/>
  <c r="BI121" i="12"/>
  <c r="BJ121" i="12" s="1"/>
  <c r="BK121" i="12" s="1"/>
  <c r="BI164" i="12"/>
  <c r="BJ164" i="12" s="1"/>
  <c r="BK164" i="12" s="1"/>
  <c r="BI36" i="12"/>
  <c r="BJ36" i="12" s="1"/>
  <c r="BK36" i="12" s="1"/>
  <c r="BI18" i="12"/>
  <c r="BJ18" i="12" s="1"/>
  <c r="BK18" i="12" s="1"/>
  <c r="BI141" i="12"/>
  <c r="BJ141" i="12" s="1"/>
  <c r="BK141" i="12" s="1"/>
  <c r="BI47" i="12"/>
  <c r="BJ47" i="12" s="1"/>
  <c r="BK47" i="12" s="1"/>
  <c r="BI24" i="12"/>
  <c r="BJ24" i="12" s="1"/>
  <c r="BK24" i="12" s="1"/>
  <c r="BI79" i="12"/>
  <c r="BJ79" i="12" s="1"/>
  <c r="BK79" i="12" s="1"/>
  <c r="BI12" i="12"/>
  <c r="BJ12" i="12" s="1"/>
  <c r="BK12" i="12" s="1"/>
  <c r="BI155" i="12"/>
  <c r="BJ155" i="12" s="1"/>
  <c r="BK155" i="12" s="1"/>
  <c r="BI190" i="12"/>
  <c r="BJ190" i="12" s="1"/>
  <c r="BK190" i="12" s="1"/>
  <c r="BI84" i="12"/>
  <c r="BJ84" i="12" s="1"/>
  <c r="BK84" i="12" s="1"/>
  <c r="BI150" i="12"/>
  <c r="BJ150" i="12" s="1"/>
  <c r="BK150" i="12" s="1"/>
  <c r="BI145" i="12"/>
  <c r="BJ145" i="12" s="1"/>
  <c r="BK145" i="12" s="1"/>
  <c r="BI45" i="12"/>
  <c r="BJ45" i="12" s="1"/>
  <c r="BK45" i="12" s="1"/>
  <c r="BI48" i="12"/>
  <c r="BJ48" i="12" s="1"/>
  <c r="BK48" i="12" s="1"/>
  <c r="BI63" i="12"/>
  <c r="BJ63" i="12" s="1"/>
  <c r="BK63" i="12" s="1"/>
  <c r="BI202" i="12"/>
  <c r="BJ202" i="12" s="1"/>
  <c r="BK202" i="12" s="1"/>
  <c r="BI174" i="12"/>
  <c r="BJ174" i="12" s="1"/>
  <c r="BK174" i="12" s="1"/>
  <c r="BI51" i="12"/>
  <c r="BJ51" i="12" s="1"/>
  <c r="BK51" i="12" s="1"/>
  <c r="BI32" i="12"/>
  <c r="BJ32" i="12" s="1"/>
  <c r="BK32" i="12" s="1"/>
  <c r="BI191" i="12"/>
  <c r="BJ191" i="12" s="1"/>
  <c r="BK191" i="12" s="1"/>
  <c r="BI185" i="12"/>
  <c r="BJ185" i="12" s="1"/>
  <c r="BK185" i="12" s="1"/>
  <c r="BI146" i="12"/>
  <c r="BJ146" i="12" s="1"/>
  <c r="BK146" i="12" s="1"/>
  <c r="BI136" i="12"/>
  <c r="BJ136" i="12" s="1"/>
  <c r="BK136" i="12" s="1"/>
  <c r="BI95" i="12"/>
  <c r="BJ95" i="12" s="1"/>
  <c r="BK95" i="12" s="1"/>
  <c r="BI11" i="12"/>
  <c r="BJ11" i="12" s="1"/>
  <c r="BK11" i="12" s="1"/>
  <c r="BI102" i="12"/>
  <c r="BJ102" i="12" s="1"/>
  <c r="BK102" i="12" s="1"/>
  <c r="BI93" i="12"/>
  <c r="BJ93" i="12" s="1"/>
  <c r="BK93" i="12" s="1"/>
  <c r="BI29" i="12"/>
  <c r="BJ29" i="12" s="1"/>
  <c r="BK29" i="12" s="1"/>
  <c r="BI212" i="12"/>
  <c r="BJ212" i="12" s="1"/>
  <c r="BK212" i="12" s="1"/>
  <c r="BI81" i="12"/>
  <c r="BJ81" i="12" s="1"/>
  <c r="BK81" i="12" s="1"/>
  <c r="BI110" i="12"/>
  <c r="BJ110" i="12" s="1"/>
  <c r="BK110" i="12" s="1"/>
  <c r="BI162" i="12"/>
  <c r="BJ162" i="12" s="1"/>
  <c r="BK162" i="12" s="1"/>
  <c r="BI73" i="12"/>
  <c r="BJ73" i="12" s="1"/>
  <c r="BK73" i="12" s="1"/>
  <c r="BI10" i="12"/>
  <c r="BJ10" i="12" s="1"/>
  <c r="BK10" i="12" s="1"/>
  <c r="BI149" i="12"/>
  <c r="BJ149" i="12" s="1"/>
  <c r="BK149" i="12" s="1"/>
  <c r="BI42" i="12"/>
  <c r="BJ42" i="12" s="1"/>
  <c r="BK42" i="12" s="1"/>
  <c r="BI196" i="12"/>
  <c r="BJ196" i="12" s="1"/>
  <c r="BK196" i="12" s="1"/>
  <c r="BI60" i="12"/>
  <c r="BJ60" i="12" s="1"/>
  <c r="BK60" i="12" s="1"/>
  <c r="BI163" i="12"/>
  <c r="BJ163" i="12" s="1"/>
  <c r="BK163" i="12" s="1"/>
  <c r="BI169" i="12"/>
  <c r="BJ169" i="12" s="1"/>
  <c r="BK169" i="12" s="1"/>
  <c r="BI220" i="12"/>
  <c r="BJ220" i="12" s="1"/>
  <c r="BK220" i="12" s="1"/>
  <c r="BI156" i="12"/>
  <c r="BJ156" i="12" s="1"/>
  <c r="BK156" i="12" s="1"/>
  <c r="BI77" i="12"/>
  <c r="BJ77" i="12" s="1"/>
  <c r="BK77" i="12" s="1"/>
  <c r="BI103" i="12"/>
  <c r="BJ103" i="12" s="1"/>
  <c r="BK103" i="12" s="1"/>
  <c r="BI179" i="12"/>
  <c r="BJ179" i="12" s="1"/>
  <c r="BK179" i="12" s="1"/>
  <c r="BI178" i="12"/>
  <c r="BJ178" i="12" s="1"/>
  <c r="BK178" i="12" s="1"/>
  <c r="BI219" i="12"/>
  <c r="BJ219" i="12" s="1"/>
  <c r="BK219" i="12" s="1"/>
  <c r="BI217" i="12"/>
  <c r="BJ217" i="12" s="1"/>
  <c r="BK217" i="12" s="1"/>
  <c r="BI205" i="12"/>
  <c r="BJ205" i="12" s="1"/>
  <c r="BK205" i="12" s="1"/>
  <c r="BI55" i="12"/>
  <c r="BJ55" i="12" s="1"/>
  <c r="BK55" i="12" s="1"/>
  <c r="BI78" i="12"/>
  <c r="BJ78" i="12" s="1"/>
  <c r="BK78" i="12" s="1"/>
  <c r="BI28" i="12"/>
  <c r="BJ28" i="12" s="1"/>
  <c r="BK28" i="12" s="1"/>
  <c r="BI14" i="12"/>
  <c r="BJ14" i="12" s="1"/>
  <c r="BK14" i="12" s="1"/>
  <c r="BI35" i="12"/>
  <c r="BJ35" i="12" s="1"/>
  <c r="BK35" i="12" s="1"/>
  <c r="BI65" i="12"/>
  <c r="BJ65" i="12" s="1"/>
  <c r="BK65" i="12" s="1"/>
  <c r="BI123" i="12"/>
  <c r="BJ123" i="12" s="1"/>
  <c r="BK123" i="12" s="1"/>
  <c r="BI64" i="12"/>
  <c r="BJ64" i="12" s="1"/>
  <c r="BK64" i="12" s="1"/>
  <c r="BI83" i="12"/>
  <c r="BJ83" i="12" s="1"/>
  <c r="BK83" i="12" s="1"/>
  <c r="BI129" i="12"/>
  <c r="BJ129" i="12" s="1"/>
  <c r="BK129" i="12" s="1"/>
  <c r="BI114" i="12"/>
  <c r="BJ114" i="12" s="1"/>
  <c r="BK114" i="12" s="1"/>
  <c r="BI143" i="12"/>
  <c r="BJ143" i="12" s="1"/>
  <c r="BK143" i="12" s="1"/>
  <c r="BI177" i="12"/>
  <c r="BJ177" i="12" s="1"/>
  <c r="BK177" i="12" s="1"/>
  <c r="BI67" i="12"/>
  <c r="BJ67" i="12" s="1"/>
  <c r="BK67" i="12" s="1"/>
  <c r="BI171" i="12"/>
  <c r="BJ171" i="12" s="1"/>
  <c r="BK171" i="12" s="1"/>
  <c r="BI69" i="12"/>
  <c r="BJ69" i="12" s="1"/>
  <c r="BK69" i="12" s="1"/>
  <c r="BI215" i="12"/>
  <c r="BJ215" i="12" s="1"/>
  <c r="BK215" i="12" s="1"/>
  <c r="BI49" i="12"/>
  <c r="BJ49" i="12" s="1"/>
  <c r="BK49" i="12" s="1"/>
  <c r="BI104" i="12"/>
  <c r="BJ104" i="12" s="1"/>
  <c r="BK104" i="12" s="1"/>
  <c r="BI139" i="12"/>
  <c r="BJ139" i="12" s="1"/>
  <c r="BK139" i="12" s="1"/>
  <c r="BI180" i="12"/>
  <c r="BJ180" i="12" s="1"/>
  <c r="BK180" i="12" s="1"/>
  <c r="BI186" i="12"/>
  <c r="BJ186" i="12" s="1"/>
  <c r="BK186" i="12" s="1"/>
  <c r="BI159" i="12"/>
  <c r="BJ159" i="12" s="1"/>
  <c r="BK159" i="12" s="1"/>
  <c r="BI97" i="12"/>
  <c r="BJ97" i="12" s="1"/>
  <c r="BK97" i="12" s="1"/>
  <c r="BI27" i="12"/>
  <c r="BJ27" i="12" s="1"/>
  <c r="BK27" i="12" s="1"/>
  <c r="BI82" i="12"/>
  <c r="BJ82" i="12" s="1"/>
  <c r="BK82" i="12" s="1"/>
  <c r="BI111" i="12"/>
  <c r="BJ111" i="12" s="1"/>
  <c r="BK111" i="12" s="1"/>
  <c r="BI56" i="12"/>
  <c r="BJ56" i="12" s="1"/>
  <c r="BK56" i="12" s="1"/>
  <c r="BI41" i="12"/>
  <c r="BJ41" i="12" s="1"/>
  <c r="BK41" i="12" s="1"/>
  <c r="BI209" i="12"/>
  <c r="BJ209" i="12" s="1"/>
  <c r="BK209" i="12" s="1"/>
  <c r="BI96" i="12"/>
  <c r="BJ96" i="12" s="1"/>
  <c r="BK96" i="12" s="1"/>
  <c r="BI131" i="12"/>
  <c r="BJ131" i="12" s="1"/>
  <c r="BK131" i="12" s="1"/>
  <c r="BI194" i="12"/>
  <c r="BJ194" i="12" s="1"/>
  <c r="BK194" i="12" s="1"/>
  <c r="BI62" i="12"/>
  <c r="BJ62" i="12" s="1"/>
  <c r="BK62" i="12" s="1"/>
  <c r="BI43" i="12"/>
  <c r="BJ43" i="12" s="1"/>
  <c r="BK43" i="12" s="1"/>
  <c r="BI52" i="12"/>
  <c r="BJ52" i="12" s="1"/>
  <c r="BK52" i="12" s="1"/>
  <c r="BI201" i="12"/>
  <c r="BJ201" i="12" s="1"/>
  <c r="BK201" i="12" s="1"/>
  <c r="BI91" i="12"/>
  <c r="BJ91" i="12" s="1"/>
  <c r="BK91" i="12" s="1"/>
  <c r="BI50" i="12"/>
  <c r="BJ50" i="12" s="1"/>
  <c r="BK50" i="12" s="1"/>
  <c r="BI195" i="12"/>
  <c r="BJ195" i="12" s="1"/>
  <c r="BK195" i="12" s="1"/>
  <c r="BI207" i="12"/>
  <c r="BJ207" i="12" s="1"/>
  <c r="BK207" i="12" s="1"/>
  <c r="BI133" i="12"/>
  <c r="BJ133" i="12" s="1"/>
  <c r="BK133" i="12" s="1"/>
  <c r="BI112" i="12"/>
  <c r="BJ112" i="12" s="1"/>
  <c r="BK112" i="12" s="1"/>
  <c r="BI122" i="12"/>
  <c r="BJ122" i="12" s="1"/>
  <c r="BK122" i="12" s="1"/>
  <c r="BI197" i="12"/>
  <c r="BJ197" i="12" s="1"/>
  <c r="BK197" i="12" s="1"/>
  <c r="BI170" i="12"/>
  <c r="BJ170" i="12" s="1"/>
  <c r="BK170" i="12" s="1"/>
  <c r="BI30" i="12"/>
  <c r="BJ30" i="12" s="1"/>
  <c r="BK30" i="12" s="1"/>
  <c r="BI151" i="12"/>
  <c r="BJ151" i="12" s="1"/>
  <c r="BK151" i="12" s="1"/>
  <c r="BI198" i="12"/>
  <c r="BJ198" i="12" s="1"/>
  <c r="BK198" i="12" s="1"/>
  <c r="BI115" i="12"/>
  <c r="BJ115" i="12" s="1"/>
  <c r="BK115" i="12" s="1"/>
  <c r="BI116" i="12"/>
  <c r="BJ116" i="12" s="1"/>
  <c r="BK116" i="12" s="1"/>
  <c r="BI199" i="12"/>
  <c r="BJ199" i="12" s="1"/>
  <c r="BK199" i="12" s="1"/>
  <c r="BI26" i="12"/>
  <c r="BJ26" i="12" s="1"/>
  <c r="BK26" i="12" s="1"/>
  <c r="CH7" i="12"/>
  <c r="CI199" i="12" s="1"/>
  <c r="CJ199" i="12" s="1"/>
  <c r="BI75" i="12"/>
  <c r="BJ75" i="12" s="1"/>
  <c r="BK75" i="12" s="1"/>
  <c r="BI166" i="12"/>
  <c r="BJ166" i="12" s="1"/>
  <c r="BK166" i="12" s="1"/>
  <c r="BI189" i="12"/>
  <c r="BJ189" i="12" s="1"/>
  <c r="BK189" i="12" s="1"/>
  <c r="BI54" i="12"/>
  <c r="BJ54" i="12" s="1"/>
  <c r="BK54" i="12" s="1"/>
  <c r="BI31" i="12"/>
  <c r="BJ31" i="12" s="1"/>
  <c r="BK31" i="12" s="1"/>
  <c r="BI88" i="12"/>
  <c r="BJ88" i="12" s="1"/>
  <c r="BK88" i="12" s="1"/>
  <c r="BI57" i="12"/>
  <c r="BJ57" i="12" s="1"/>
  <c r="BK57" i="12" s="1"/>
  <c r="BI181" i="12"/>
  <c r="BJ181" i="12" s="1"/>
  <c r="BK181" i="12" s="1"/>
  <c r="BI152" i="12"/>
  <c r="BJ152" i="12" s="1"/>
  <c r="BK152" i="12" s="1"/>
  <c r="BI92" i="12"/>
  <c r="BJ92" i="12" s="1"/>
  <c r="BK92" i="12" s="1"/>
  <c r="BI132" i="12"/>
  <c r="BJ132" i="12" s="1"/>
  <c r="BK132" i="12" s="1"/>
  <c r="BI38" i="12"/>
  <c r="BJ38" i="12" s="1"/>
  <c r="BK38" i="12" s="1"/>
  <c r="BI157" i="12"/>
  <c r="BJ157" i="12" s="1"/>
  <c r="BK157" i="12" s="1"/>
  <c r="BI138" i="12"/>
  <c r="BJ138" i="12" s="1"/>
  <c r="BK138" i="12" s="1"/>
  <c r="BI124" i="12"/>
  <c r="BJ124" i="12" s="1"/>
  <c r="BK124" i="12" s="1"/>
  <c r="BI188" i="12"/>
  <c r="BJ188" i="12" s="1"/>
  <c r="BK188" i="12" s="1"/>
  <c r="BI21" i="12"/>
  <c r="BJ21" i="12" s="1"/>
  <c r="BK21" i="12" s="1"/>
  <c r="BI33" i="12"/>
  <c r="BJ33" i="12" s="1"/>
  <c r="BK33" i="12" s="1"/>
  <c r="BI214" i="12"/>
  <c r="BJ214" i="12" s="1"/>
  <c r="BK214" i="12" s="1"/>
  <c r="BI80" i="12"/>
  <c r="BJ80" i="12" s="1"/>
  <c r="BK80" i="12" s="1"/>
  <c r="BI72" i="12"/>
  <c r="BJ72" i="12" s="1"/>
  <c r="BK72" i="12" s="1"/>
  <c r="BI183" i="12"/>
  <c r="BJ183" i="12" s="1"/>
  <c r="BK183" i="12" s="1"/>
  <c r="BI184" i="12"/>
  <c r="BJ184" i="12" s="1"/>
  <c r="BK184" i="12" s="1"/>
  <c r="BI39" i="12"/>
  <c r="BJ39" i="12" s="1"/>
  <c r="BK39" i="12" s="1"/>
  <c r="BI144" i="12"/>
  <c r="BJ144" i="12" s="1"/>
  <c r="BK144" i="12" s="1"/>
  <c r="BI130" i="12"/>
  <c r="BJ130" i="12" s="1"/>
  <c r="BK130" i="12" s="1"/>
  <c r="BI106" i="12"/>
  <c r="BJ106" i="12" s="1"/>
  <c r="BK106" i="12" s="1"/>
  <c r="BI125" i="12"/>
  <c r="BJ125" i="12" s="1"/>
  <c r="BK125" i="12" s="1"/>
  <c r="BI176" i="12"/>
  <c r="BJ176" i="12" s="1"/>
  <c r="BK176" i="12" s="1"/>
  <c r="BI94" i="12"/>
  <c r="BJ94" i="12" s="1"/>
  <c r="BK94" i="12" s="1"/>
  <c r="BI147" i="12"/>
  <c r="BJ147" i="12" s="1"/>
  <c r="BK147" i="12" s="1"/>
  <c r="BI15" i="12"/>
  <c r="BJ15" i="12" s="1"/>
  <c r="BK15" i="12" s="1"/>
  <c r="BI200" i="12"/>
  <c r="BJ200" i="12" s="1"/>
  <c r="BK200" i="12" s="1"/>
  <c r="BI148" i="12"/>
  <c r="BJ148" i="12" s="1"/>
  <c r="BK148" i="12" s="1"/>
  <c r="BI206" i="12"/>
  <c r="BJ206" i="12" s="1"/>
  <c r="BK206" i="12" s="1"/>
  <c r="BI128" i="12"/>
  <c r="BJ128" i="12" s="1"/>
  <c r="BK128" i="12" s="1"/>
  <c r="BI117" i="12"/>
  <c r="BJ117" i="12" s="1"/>
  <c r="BK117" i="12" s="1"/>
  <c r="BI46" i="12"/>
  <c r="BJ46" i="12" s="1"/>
  <c r="BK46" i="12" s="1"/>
  <c r="BI90" i="12"/>
  <c r="BJ90" i="12" s="1"/>
  <c r="BK90" i="12" s="1"/>
  <c r="BI113" i="12"/>
  <c r="BJ113" i="12" s="1"/>
  <c r="BK113" i="12" s="1"/>
  <c r="BI120" i="12"/>
  <c r="BJ120" i="12" s="1"/>
  <c r="BK120" i="12" s="1"/>
  <c r="BI127" i="12"/>
  <c r="BJ127" i="12" s="1"/>
  <c r="BK127" i="12" s="1"/>
  <c r="BI142" i="12"/>
  <c r="BJ142" i="12" s="1"/>
  <c r="BK142" i="12" s="1"/>
  <c r="BI105" i="12"/>
  <c r="BJ105" i="12" s="1"/>
  <c r="BK105" i="12" s="1"/>
  <c r="BI126" i="12"/>
  <c r="BJ126" i="12" s="1"/>
  <c r="BK126" i="12" s="1"/>
  <c r="BI8" i="12"/>
  <c r="BJ8" i="12" s="1"/>
  <c r="BI193" i="12"/>
  <c r="BJ193" i="12" s="1"/>
  <c r="BK193" i="12" s="1"/>
  <c r="BI76" i="12"/>
  <c r="BJ76" i="12" s="1"/>
  <c r="BK76" i="12" s="1"/>
  <c r="BI99" i="12"/>
  <c r="BJ99" i="12" s="1"/>
  <c r="BK99" i="12" s="1"/>
  <c r="BI165" i="12"/>
  <c r="BJ165" i="12" s="1"/>
  <c r="BK165" i="12" s="1"/>
  <c r="BI20" i="12"/>
  <c r="BJ20" i="12" s="1"/>
  <c r="BK20" i="12" s="1"/>
  <c r="BI89" i="12"/>
  <c r="BJ89" i="12" s="1"/>
  <c r="BK89" i="12" s="1"/>
  <c r="BI173" i="12"/>
  <c r="BJ173" i="12" s="1"/>
  <c r="BK173" i="12" s="1"/>
  <c r="BI70" i="12"/>
  <c r="BJ70" i="12" s="1"/>
  <c r="BK70" i="12" s="1"/>
  <c r="BI134" i="12"/>
  <c r="BJ134" i="12" s="1"/>
  <c r="BK134" i="12" s="1"/>
  <c r="BI208" i="12"/>
  <c r="BJ208" i="12" s="1"/>
  <c r="BK208" i="12" s="1"/>
  <c r="BI211" i="12"/>
  <c r="BJ211" i="12" s="1"/>
  <c r="BK211" i="12" s="1"/>
  <c r="BI100" i="12"/>
  <c r="BJ100" i="12" s="1"/>
  <c r="BK100" i="12" s="1"/>
  <c r="BI182" i="12"/>
  <c r="BJ182" i="12" s="1"/>
  <c r="BK182" i="12" s="1"/>
  <c r="BI9" i="12"/>
  <c r="BJ9" i="12" s="1"/>
  <c r="BK9" i="12" s="1"/>
  <c r="BI53" i="12"/>
  <c r="BJ53" i="12" s="1"/>
  <c r="BK53" i="12" s="1"/>
  <c r="BI187" i="12"/>
  <c r="BJ187" i="12" s="1"/>
  <c r="BK187" i="12" s="1"/>
  <c r="BI40" i="12"/>
  <c r="BJ40" i="12" s="1"/>
  <c r="BK40" i="12" s="1"/>
  <c r="BI68" i="12"/>
  <c r="BJ68" i="12" s="1"/>
  <c r="BK68" i="12" s="1"/>
  <c r="BI172" i="12"/>
  <c r="BJ172" i="12" s="1"/>
  <c r="BK172" i="12" s="1"/>
  <c r="BI119" i="12"/>
  <c r="BJ119" i="12" s="1"/>
  <c r="BK119" i="12" s="1"/>
  <c r="BI154" i="12"/>
  <c r="BJ154" i="12" s="1"/>
  <c r="BK154" i="12" s="1"/>
  <c r="BI101" i="12"/>
  <c r="BJ101" i="12" s="1"/>
  <c r="BK101" i="12" s="1"/>
  <c r="BI167" i="12"/>
  <c r="BJ167" i="12" s="1"/>
  <c r="BK167" i="12" s="1"/>
  <c r="BI192" i="12"/>
  <c r="BJ192" i="12" s="1"/>
  <c r="BK192" i="12" s="1"/>
  <c r="BI87" i="12"/>
  <c r="BJ87" i="12" s="1"/>
  <c r="BK87" i="12" s="1"/>
  <c r="BI13" i="12"/>
  <c r="BJ13" i="12" s="1"/>
  <c r="BK13" i="12" s="1"/>
  <c r="BI25" i="12"/>
  <c r="BJ25" i="12" s="1"/>
  <c r="BK25" i="12" s="1"/>
  <c r="CI150" i="12"/>
  <c r="CJ150" i="12" s="1"/>
  <c r="CI40" i="12"/>
  <c r="CJ40" i="12" s="1"/>
  <c r="CI87" i="12"/>
  <c r="CJ87" i="12" s="1"/>
  <c r="CI102" i="12"/>
  <c r="CJ102" i="12" s="1"/>
  <c r="CI24" i="12"/>
  <c r="CJ24" i="12" s="1"/>
  <c r="CI152" i="12"/>
  <c r="CJ152" i="12" s="1"/>
  <c r="CI14" i="12"/>
  <c r="CJ14" i="12" s="1"/>
  <c r="CI165" i="12"/>
  <c r="CJ165" i="12" s="1"/>
  <c r="CI57" i="12"/>
  <c r="CJ57" i="12" s="1"/>
  <c r="CI160" i="12"/>
  <c r="CJ160" i="12" s="1"/>
  <c r="CI147" i="12"/>
  <c r="CJ147" i="12" s="1"/>
  <c r="CO11" i="12"/>
  <c r="CO12" i="12" s="1"/>
  <c r="CO13" i="12" s="1"/>
  <c r="CO14" i="12" s="1"/>
  <c r="S34" i="12"/>
  <c r="S43" i="12" s="1"/>
  <c r="S45" i="12" s="1"/>
  <c r="S48" i="12" s="1"/>
  <c r="S52" i="12" s="1"/>
  <c r="AQ96" i="12"/>
  <c r="AQ97" i="12" s="1"/>
  <c r="HT20" i="12"/>
  <c r="HO21" i="12"/>
  <c r="JI4" i="12"/>
  <c r="DK31" i="12"/>
  <c r="DK32" i="12" s="1"/>
  <c r="DK33" i="12" s="1"/>
  <c r="DK34" i="12" s="1"/>
  <c r="DK35" i="12" s="1"/>
  <c r="DK36" i="12" s="1"/>
  <c r="DK37" i="12" s="1"/>
  <c r="DK38" i="12" s="1"/>
  <c r="DK39" i="12" s="1"/>
  <c r="DK40" i="12" s="1"/>
  <c r="DK41" i="12" s="1"/>
  <c r="DK42" i="12" s="1"/>
  <c r="DK43" i="12" s="1"/>
  <c r="DK44" i="12" s="1"/>
  <c r="DK45" i="12" s="1"/>
  <c r="DK46" i="12" s="1"/>
  <c r="DK47" i="12" s="1"/>
  <c r="DK48" i="12" s="1"/>
  <c r="DK49" i="12" s="1"/>
  <c r="DK50" i="12" s="1"/>
  <c r="DK51" i="12" s="1"/>
  <c r="DK52" i="12" s="1"/>
  <c r="DK53" i="12" s="1"/>
  <c r="DK54" i="12" s="1"/>
  <c r="DK55" i="12" s="1"/>
  <c r="DK56" i="12" s="1"/>
  <c r="DK57" i="12" s="1"/>
  <c r="DK58" i="12" s="1"/>
  <c r="DK59" i="12" s="1"/>
  <c r="DK60" i="12" s="1"/>
  <c r="DK61" i="12" s="1"/>
  <c r="DK62" i="12" s="1"/>
  <c r="DK63" i="12" s="1"/>
  <c r="DK64" i="12" s="1"/>
  <c r="DK65" i="12" s="1"/>
  <c r="DK66" i="12" s="1"/>
  <c r="DK67" i="12" s="1"/>
  <c r="DK68" i="12" s="1"/>
  <c r="DK69" i="12" s="1"/>
  <c r="DK70" i="12" s="1"/>
  <c r="DK71" i="12" s="1"/>
  <c r="DK72" i="12" s="1"/>
  <c r="DK73" i="12" s="1"/>
  <c r="DK74" i="12" s="1"/>
  <c r="DK75" i="12" s="1"/>
  <c r="DK76" i="12" s="1"/>
  <c r="DK77" i="12" s="1"/>
  <c r="DK78" i="12" s="1"/>
  <c r="DK79" i="12" s="1"/>
  <c r="DK80" i="12" s="1"/>
  <c r="DK81" i="12" s="1"/>
  <c r="DK82" i="12" s="1"/>
  <c r="DK83" i="12" s="1"/>
  <c r="DK84" i="12" s="1"/>
  <c r="DK85" i="12" s="1"/>
  <c r="DK86" i="12" s="1"/>
  <c r="DK87" i="12" s="1"/>
  <c r="DK88" i="12" s="1"/>
  <c r="DK89" i="12" s="1"/>
  <c r="DK90" i="12" s="1"/>
  <c r="DK91" i="12" s="1"/>
  <c r="DK92" i="12" s="1"/>
  <c r="DK93" i="12" s="1"/>
  <c r="DK94" i="12" s="1"/>
  <c r="DK95" i="12" s="1"/>
  <c r="DK96" i="12" s="1"/>
  <c r="DK97" i="12" s="1"/>
  <c r="DK98" i="12" s="1"/>
  <c r="DK99" i="12" s="1"/>
  <c r="DK100" i="12" s="1"/>
  <c r="DK101" i="12" s="1"/>
  <c r="DK102" i="12" s="1"/>
  <c r="DK103" i="12" s="1"/>
  <c r="DK104" i="12" s="1"/>
  <c r="DK105" i="12" s="1"/>
  <c r="DK106" i="12" s="1"/>
  <c r="DK107" i="12" s="1"/>
  <c r="DK108" i="12" s="1"/>
  <c r="DK109" i="12" s="1"/>
  <c r="DK110" i="12" s="1"/>
  <c r="DK111" i="12" s="1"/>
  <c r="DK112" i="12" s="1"/>
  <c r="DK113" i="12" s="1"/>
  <c r="DK114" i="12" s="1"/>
  <c r="DK115" i="12" s="1"/>
  <c r="DK116" i="12" s="1"/>
  <c r="DK117" i="12" s="1"/>
  <c r="DK118" i="12" s="1"/>
  <c r="DK119" i="12" s="1"/>
  <c r="DK120" i="12" s="1"/>
  <c r="DK121" i="12" s="1"/>
  <c r="DK122" i="12" s="1"/>
  <c r="DK123" i="12" s="1"/>
  <c r="DK124" i="12" s="1"/>
  <c r="DK125" i="12" s="1"/>
  <c r="DK126" i="12" s="1"/>
  <c r="DK127" i="12" s="1"/>
  <c r="DK128" i="12" s="1"/>
  <c r="DK129" i="12" s="1"/>
  <c r="DK130" i="12" s="1"/>
  <c r="DK131" i="12" s="1"/>
  <c r="DK132" i="12" s="1"/>
  <c r="DK133" i="12" s="1"/>
  <c r="DK134" i="12" s="1"/>
  <c r="DK135" i="12" s="1"/>
  <c r="DK136" i="12" s="1"/>
  <c r="DK137" i="12" s="1"/>
  <c r="DK138" i="12" s="1"/>
  <c r="DK139" i="12" s="1"/>
  <c r="DK140" i="12" s="1"/>
  <c r="DK141" i="12" s="1"/>
  <c r="DK142" i="12" s="1"/>
  <c r="DK143" i="12" s="1"/>
  <c r="DK144" i="12" s="1"/>
  <c r="DK145" i="12" s="1"/>
  <c r="DK146" i="12" s="1"/>
  <c r="DK147" i="12" s="1"/>
  <c r="DK148" i="12" s="1"/>
  <c r="DK149" i="12" s="1"/>
  <c r="DK150" i="12" s="1"/>
  <c r="DK151" i="12" s="1"/>
  <c r="DK152" i="12" s="1"/>
  <c r="DK153" i="12" s="1"/>
  <c r="DK154" i="12" s="1"/>
  <c r="DK155" i="12" s="1"/>
  <c r="DK156" i="12" s="1"/>
  <c r="DK157" i="12" s="1"/>
  <c r="DK158" i="12" s="1"/>
  <c r="DK159" i="12" s="1"/>
  <c r="DK160" i="12" s="1"/>
  <c r="DK161" i="12" s="1"/>
  <c r="DK162" i="12" s="1"/>
  <c r="DK163" i="12" s="1"/>
  <c r="DK164" i="12" s="1"/>
  <c r="DK165" i="12" s="1"/>
  <c r="DK166" i="12" s="1"/>
  <c r="DK167" i="12" s="1"/>
  <c r="DK168" i="12" s="1"/>
  <c r="DK169" i="12" s="1"/>
  <c r="DK170" i="12" s="1"/>
  <c r="DK171" i="12" s="1"/>
  <c r="DK172" i="12" s="1"/>
  <c r="DK173" i="12" s="1"/>
  <c r="DK174" i="12" s="1"/>
  <c r="DK175" i="12" s="1"/>
  <c r="DK176" i="12" s="1"/>
  <c r="DK177" i="12" s="1"/>
  <c r="DK178" i="12" s="1"/>
  <c r="DK179" i="12" s="1"/>
  <c r="DK180" i="12" s="1"/>
  <c r="DK181" i="12" s="1"/>
  <c r="DK182" i="12" s="1"/>
  <c r="DK183" i="12" s="1"/>
  <c r="DK184" i="12" s="1"/>
  <c r="DK185" i="12" s="1"/>
  <c r="DK186" i="12" s="1"/>
  <c r="DK187" i="12" s="1"/>
  <c r="DK188" i="12" s="1"/>
  <c r="DK189" i="12" s="1"/>
  <c r="DK190" i="12" s="1"/>
  <c r="DK191" i="12" s="1"/>
  <c r="DK192" i="12" s="1"/>
  <c r="DK193" i="12" s="1"/>
  <c r="AX41" i="12"/>
  <c r="AU40" i="12"/>
  <c r="AX43" i="12"/>
  <c r="AX45" i="12"/>
  <c r="AU43" i="12"/>
  <c r="AU21" i="12"/>
  <c r="AU20" i="12"/>
  <c r="AX20" i="12"/>
  <c r="AX19" i="12"/>
  <c r="AX22" i="12"/>
  <c r="AX21" i="12"/>
  <c r="AX24" i="12"/>
  <c r="AX17" i="12"/>
  <c r="AX14" i="12"/>
  <c r="AU5" i="12"/>
  <c r="AU9" i="12"/>
  <c r="AX12" i="12"/>
  <c r="AU18" i="12"/>
  <c r="AX10" i="12"/>
  <c r="AU12" i="12"/>
  <c r="AX3" i="12"/>
  <c r="AX15" i="12"/>
  <c r="AX16" i="12"/>
  <c r="AU13" i="12"/>
  <c r="AX13" i="12"/>
  <c r="AX5" i="12"/>
  <c r="AU22" i="12"/>
  <c r="AU15" i="12"/>
  <c r="AX9" i="12"/>
  <c r="AU3" i="12"/>
  <c r="AX11" i="12"/>
  <c r="AU26" i="12"/>
  <c r="AU10" i="12"/>
  <c r="AU16" i="12"/>
  <c r="AU4" i="12"/>
  <c r="AU7" i="12"/>
  <c r="AX18" i="12"/>
  <c r="AX6" i="12"/>
  <c r="AX4" i="12"/>
  <c r="AU17" i="12"/>
  <c r="AU8" i="12"/>
  <c r="AU11" i="12"/>
  <c r="AX7" i="12"/>
  <c r="AU24" i="12"/>
  <c r="AX8" i="12"/>
  <c r="AU14" i="12"/>
  <c r="AU6" i="12"/>
  <c r="AX23" i="12"/>
  <c r="AU23" i="12"/>
  <c r="AU25" i="12"/>
  <c r="AX25" i="12"/>
  <c r="AU19" i="12"/>
  <c r="AX26" i="12"/>
  <c r="AX27" i="12"/>
  <c r="AX28" i="12"/>
  <c r="AU27" i="12"/>
  <c r="AU29" i="12"/>
  <c r="AU28" i="12"/>
  <c r="AX31" i="12"/>
  <c r="AX29" i="12"/>
  <c r="AX30" i="12"/>
  <c r="AU30" i="12"/>
  <c r="AX32" i="12"/>
  <c r="AU32" i="12"/>
  <c r="AX44" i="12"/>
  <c r="AU42" i="12"/>
  <c r="AU39" i="12"/>
  <c r="AU31" i="12"/>
  <c r="AX36" i="12"/>
  <c r="AX35" i="12"/>
  <c r="AU35" i="12"/>
  <c r="AU33" i="12"/>
  <c r="AU36" i="12"/>
  <c r="AU37" i="12"/>
  <c r="AX34" i="12"/>
  <c r="AU34" i="12"/>
  <c r="AX33" i="12"/>
  <c r="AX37" i="12"/>
  <c r="AX38" i="12"/>
  <c r="AU38" i="12"/>
  <c r="AX42" i="12"/>
  <c r="AX39" i="12"/>
  <c r="AX40" i="12"/>
  <c r="AU41" i="12"/>
  <c r="AU125" i="12"/>
  <c r="AU187" i="12"/>
  <c r="AU218" i="12"/>
  <c r="AX190" i="12"/>
  <c r="AU186" i="12"/>
  <c r="AU44" i="12"/>
  <c r="AU121" i="12"/>
  <c r="AU196" i="12"/>
  <c r="AX140" i="12"/>
  <c r="AU110" i="12"/>
  <c r="AU198" i="12"/>
  <c r="AU193" i="12"/>
  <c r="AX68" i="12"/>
  <c r="AU137" i="12"/>
  <c r="AU109" i="12"/>
  <c r="AU190" i="12"/>
  <c r="AX144" i="12"/>
  <c r="AX194" i="12"/>
  <c r="AX149" i="12"/>
  <c r="AX139" i="12"/>
  <c r="AU91" i="12"/>
  <c r="AX52" i="12"/>
  <c r="AU213" i="12"/>
  <c r="AU78" i="12"/>
  <c r="AU200" i="12"/>
  <c r="AX217" i="12"/>
  <c r="AU57" i="12"/>
  <c r="AU178" i="12"/>
  <c r="AU72" i="12"/>
  <c r="AX97" i="12"/>
  <c r="AX74" i="12"/>
  <c r="AU55" i="12"/>
  <c r="AX80" i="12"/>
  <c r="AX113" i="12"/>
  <c r="AX173" i="12"/>
  <c r="AU106" i="12"/>
  <c r="AX199" i="12"/>
  <c r="AX155" i="12"/>
  <c r="AX96" i="12"/>
  <c r="AX108" i="12"/>
  <c r="AX121" i="12"/>
  <c r="AX115" i="12"/>
  <c r="AX116" i="12"/>
  <c r="AX206" i="12"/>
  <c r="AU69" i="12"/>
  <c r="AU167" i="12"/>
  <c r="AX82" i="12"/>
  <c r="AX67" i="12"/>
  <c r="AU169" i="12"/>
  <c r="AX59" i="12"/>
  <c r="AX126" i="12"/>
  <c r="AU73" i="12"/>
  <c r="AX153" i="12"/>
  <c r="AU51" i="12"/>
  <c r="AX107" i="12"/>
  <c r="AU99" i="12"/>
  <c r="AX105" i="12"/>
  <c r="AU207" i="12"/>
  <c r="AU153" i="12"/>
  <c r="AU127" i="12"/>
  <c r="AU201" i="12"/>
  <c r="AU192" i="12"/>
  <c r="AU163" i="12"/>
  <c r="AX85" i="12"/>
  <c r="AU81" i="12"/>
  <c r="AU219" i="12"/>
  <c r="AX102" i="12"/>
  <c r="AU185" i="12"/>
  <c r="AU145" i="12"/>
  <c r="AU123" i="12"/>
  <c r="AX220" i="12"/>
  <c r="AU199" i="12"/>
  <c r="AX212" i="12"/>
  <c r="AU133" i="12"/>
  <c r="AX99" i="12"/>
  <c r="AU92" i="12"/>
  <c r="AU214" i="12"/>
  <c r="AU144" i="12"/>
  <c r="AU143" i="12"/>
  <c r="AX180" i="12"/>
  <c r="AU165" i="12"/>
  <c r="AU210" i="12"/>
  <c r="AX166" i="12"/>
  <c r="AX94" i="12"/>
  <c r="AU191" i="12"/>
  <c r="AX141" i="12"/>
  <c r="AX181" i="12"/>
  <c r="AU88" i="12"/>
  <c r="AU155" i="12"/>
  <c r="AX189" i="12"/>
  <c r="AX84" i="12"/>
  <c r="AU103" i="12"/>
  <c r="AX48" i="12"/>
  <c r="AU104" i="12"/>
  <c r="AX138" i="12"/>
  <c r="AX204" i="12"/>
  <c r="AU215" i="12"/>
  <c r="AX183" i="12"/>
  <c r="AU58" i="12"/>
  <c r="AU93" i="12"/>
  <c r="AX89" i="12"/>
  <c r="AU175" i="12"/>
  <c r="AU141" i="12"/>
  <c r="AX130" i="12"/>
  <c r="AX214" i="12"/>
  <c r="AX132" i="12"/>
  <c r="AX157" i="12"/>
  <c r="AX201" i="12"/>
  <c r="AU120" i="12"/>
  <c r="AX83" i="12"/>
  <c r="AU66" i="12"/>
  <c r="AU45" i="12"/>
  <c r="AX216" i="12"/>
  <c r="AX161" i="12"/>
  <c r="AU89" i="12"/>
  <c r="AU86" i="12"/>
  <c r="AU159" i="12"/>
  <c r="AX154" i="12"/>
  <c r="AX69" i="12"/>
  <c r="AX163" i="12"/>
  <c r="AU149" i="12"/>
  <c r="AX77" i="12"/>
  <c r="AX129" i="12"/>
  <c r="AU97" i="12"/>
  <c r="AX147" i="12"/>
  <c r="AU118" i="12"/>
  <c r="AU70" i="12"/>
  <c r="AX213" i="12"/>
  <c r="AX159" i="12"/>
  <c r="AU135" i="12"/>
  <c r="AX120" i="12"/>
  <c r="AU152" i="12"/>
  <c r="AU140" i="12"/>
  <c r="AU136" i="12"/>
  <c r="AU134" i="12"/>
  <c r="AU59" i="12"/>
  <c r="AX75" i="12"/>
  <c r="AU62" i="12"/>
  <c r="AX197" i="12"/>
  <c r="AX150" i="12"/>
  <c r="AX53" i="12"/>
  <c r="AX175" i="12"/>
  <c r="AX164" i="12"/>
  <c r="AX124" i="12"/>
  <c r="AU209" i="12"/>
  <c r="AX88" i="12"/>
  <c r="AX62" i="12"/>
  <c r="AU117" i="12"/>
  <c r="AU56" i="12"/>
  <c r="AU197" i="12"/>
  <c r="AU172" i="12"/>
  <c r="AX118" i="12"/>
  <c r="AX143" i="12"/>
  <c r="AU113" i="12"/>
  <c r="AX167" i="12"/>
  <c r="AX47" i="12"/>
  <c r="AX191" i="12"/>
  <c r="AU46" i="12"/>
  <c r="AX127" i="12"/>
  <c r="AU176" i="12"/>
  <c r="AU174" i="12"/>
  <c r="AU168" i="12"/>
  <c r="AX165" i="12"/>
  <c r="AU194" i="12"/>
  <c r="AU79" i="12"/>
  <c r="AU148" i="12"/>
  <c r="AX49" i="12"/>
  <c r="AU64" i="12"/>
  <c r="AX174" i="12"/>
  <c r="AX196" i="12"/>
  <c r="AX179" i="12"/>
  <c r="AU147" i="12"/>
  <c r="AX119" i="12"/>
  <c r="AU154" i="12"/>
  <c r="AU48" i="12"/>
  <c r="AU111" i="12"/>
  <c r="AU124" i="12"/>
  <c r="AX186" i="12"/>
  <c r="AU142" i="12"/>
  <c r="AX142" i="12"/>
  <c r="AX192" i="12"/>
  <c r="AX145" i="12"/>
  <c r="AU98" i="12"/>
  <c r="AU112" i="12"/>
  <c r="AU77" i="12"/>
  <c r="AU52" i="12"/>
  <c r="AU204" i="12"/>
  <c r="AX109" i="12"/>
  <c r="AX146" i="12"/>
  <c r="AU156" i="12"/>
  <c r="AX125" i="12"/>
  <c r="AX202" i="12"/>
  <c r="AU173" i="12"/>
  <c r="AX133" i="12"/>
  <c r="AX63" i="12"/>
  <c r="AX218" i="12"/>
  <c r="AX210" i="12"/>
  <c r="AX106" i="12"/>
  <c r="AU116" i="12"/>
  <c r="AX60" i="12"/>
  <c r="AU102" i="12"/>
  <c r="AU138" i="12"/>
  <c r="AU160" i="12"/>
  <c r="AX162" i="12"/>
  <c r="AX101" i="12"/>
  <c r="AU139" i="12"/>
  <c r="AU203" i="12"/>
  <c r="AX188" i="12"/>
  <c r="AU85" i="12"/>
  <c r="AU94" i="12"/>
  <c r="AU158" i="12"/>
  <c r="AX117" i="12"/>
  <c r="AU95" i="12"/>
  <c r="AU179" i="12"/>
  <c r="AU180" i="12"/>
  <c r="AX200" i="12"/>
  <c r="AU128" i="12"/>
  <c r="AX112" i="12"/>
  <c r="AX176" i="12"/>
  <c r="AX195" i="12"/>
  <c r="AX185" i="12"/>
  <c r="AX64" i="12"/>
  <c r="AU76" i="12"/>
  <c r="AX208" i="12"/>
  <c r="AU67" i="12"/>
  <c r="AX203" i="12"/>
  <c r="AX128" i="12"/>
  <c r="AU90" i="12"/>
  <c r="AX114" i="12"/>
  <c r="AX123" i="12"/>
  <c r="AU181" i="12"/>
  <c r="AX148" i="12"/>
  <c r="AX198" i="12"/>
  <c r="AX65" i="12"/>
  <c r="AU65" i="12"/>
  <c r="AX46" i="12"/>
  <c r="AU182" i="12"/>
  <c r="AX111" i="12"/>
  <c r="AX81" i="12"/>
  <c r="AX122" i="12"/>
  <c r="AU202" i="12"/>
  <c r="AX209" i="12"/>
  <c r="AX184" i="12"/>
  <c r="AU150" i="12"/>
  <c r="AU129" i="12"/>
  <c r="AU177" i="12"/>
  <c r="AU83" i="12"/>
  <c r="AU157" i="12"/>
  <c r="AU100" i="12"/>
  <c r="AX152" i="12"/>
  <c r="AU188" i="12"/>
  <c r="AX79" i="12"/>
  <c r="AU82" i="12"/>
  <c r="AU206" i="12"/>
  <c r="AX168" i="12"/>
  <c r="AX70" i="12"/>
  <c r="AU170" i="12"/>
  <c r="AX103" i="12"/>
  <c r="AU114" i="12"/>
  <c r="AX215" i="12"/>
  <c r="AU130" i="12"/>
  <c r="AX158" i="12"/>
  <c r="AX98" i="12"/>
  <c r="AX205" i="12"/>
  <c r="AX182" i="12"/>
  <c r="AX136" i="12"/>
  <c r="AX110" i="12"/>
  <c r="AU60" i="12"/>
  <c r="AU189" i="12"/>
  <c r="AU71" i="12"/>
  <c r="AU80" i="12"/>
  <c r="AU84" i="12"/>
  <c r="AU108" i="12"/>
  <c r="AU183" i="12"/>
  <c r="AX51" i="12"/>
  <c r="AU171" i="12"/>
  <c r="AX57" i="12"/>
  <c r="AX92" i="12"/>
  <c r="AU53" i="12"/>
  <c r="AX93" i="12"/>
  <c r="AU115" i="12"/>
  <c r="AX50" i="12"/>
  <c r="AX156" i="12"/>
  <c r="AU195" i="12"/>
  <c r="AX131" i="12"/>
  <c r="AU47" i="12"/>
  <c r="AX172" i="12"/>
  <c r="AX58" i="12"/>
  <c r="AU75" i="12"/>
  <c r="AU74" i="12"/>
  <c r="AU119" i="12"/>
  <c r="AX137" i="12"/>
  <c r="AU54" i="12"/>
  <c r="AX86" i="12"/>
  <c r="AU166" i="12"/>
  <c r="AX171" i="12"/>
  <c r="AU162" i="12"/>
  <c r="AX95" i="12"/>
  <c r="AU87" i="12"/>
  <c r="AX56" i="12"/>
  <c r="AU68" i="12"/>
  <c r="AX193" i="12"/>
  <c r="AU49" i="12"/>
  <c r="AU146" i="12"/>
  <c r="AU50" i="12"/>
  <c r="AU96" i="12"/>
  <c r="AX91" i="12"/>
  <c r="AX134" i="12"/>
  <c r="AU184" i="12"/>
  <c r="AX219" i="12"/>
  <c r="AU164" i="12"/>
  <c r="AX72" i="12"/>
  <c r="AX61" i="12"/>
  <c r="AU208" i="12"/>
  <c r="AX178" i="12"/>
  <c r="AX170" i="12"/>
  <c r="AX71" i="12"/>
  <c r="AU132" i="12"/>
  <c r="AX90" i="12"/>
  <c r="AX187" i="12"/>
  <c r="AU101" i="12"/>
  <c r="AU122" i="12"/>
  <c r="AX76" i="12"/>
  <c r="AX169" i="12"/>
  <c r="AX55" i="12"/>
  <c r="AU205" i="12"/>
  <c r="AU217" i="12"/>
  <c r="AX87" i="12"/>
  <c r="AX211" i="12"/>
  <c r="AX100" i="12"/>
  <c r="AU105" i="12"/>
  <c r="AX151" i="12"/>
  <c r="AU63" i="12"/>
  <c r="AX78" i="12"/>
  <c r="AX135" i="12"/>
  <c r="AU216" i="12"/>
  <c r="AU131" i="12"/>
  <c r="AU211" i="12"/>
  <c r="AX207" i="12"/>
  <c r="AU161" i="12"/>
  <c r="AX177" i="12"/>
  <c r="AX73" i="12"/>
  <c r="AU151" i="12"/>
  <c r="AU212" i="12"/>
  <c r="AU126" i="12"/>
  <c r="AU61" i="12"/>
  <c r="AX104" i="12"/>
  <c r="AU107" i="12"/>
  <c r="AU220" i="12"/>
  <c r="AX54" i="12"/>
  <c r="AX66" i="12"/>
  <c r="AX160" i="12"/>
  <c r="FU113" i="12"/>
  <c r="GR113" i="12" s="1"/>
  <c r="FR114" i="12"/>
  <c r="CX2211" i="12"/>
  <c r="BJ3" i="12" l="1"/>
  <c r="BK3" i="12" s="1"/>
  <c r="BX1" i="12"/>
  <c r="CI173" i="12"/>
  <c r="CJ173" i="12" s="1"/>
  <c r="CI15" i="12"/>
  <c r="CJ15" i="12" s="1"/>
  <c r="CI86" i="12"/>
  <c r="CJ86" i="12" s="1"/>
  <c r="CI46" i="12"/>
  <c r="CJ46" i="12" s="1"/>
  <c r="CI21" i="12"/>
  <c r="CJ21" i="12" s="1"/>
  <c r="CI72" i="12"/>
  <c r="CJ72" i="12" s="1"/>
  <c r="CI7" i="12"/>
  <c r="CJ7" i="12" s="1"/>
  <c r="CI119" i="12"/>
  <c r="CJ119" i="12" s="1"/>
  <c r="CI176" i="12"/>
  <c r="CJ176" i="12" s="1"/>
  <c r="CI157" i="12"/>
  <c r="CJ157" i="12" s="1"/>
  <c r="CI99" i="12"/>
  <c r="CJ99" i="12" s="1"/>
  <c r="CI121" i="12"/>
  <c r="CJ121" i="12" s="1"/>
  <c r="CI174" i="12"/>
  <c r="CJ174" i="12" s="1"/>
  <c r="CI208" i="12"/>
  <c r="CJ208" i="12" s="1"/>
  <c r="CI193" i="12"/>
  <c r="CJ193" i="12" s="1"/>
  <c r="CI56" i="12"/>
  <c r="CJ56" i="12" s="1"/>
  <c r="CP2" i="12"/>
  <c r="CI141" i="12"/>
  <c r="CJ141" i="12" s="1"/>
  <c r="CI71" i="12"/>
  <c r="CJ71" i="12" s="1"/>
  <c r="CI43" i="12"/>
  <c r="CJ43" i="12" s="1"/>
  <c r="CI74" i="12"/>
  <c r="CJ74" i="12" s="1"/>
  <c r="CI64" i="12"/>
  <c r="CJ64" i="12" s="1"/>
  <c r="CI65" i="12"/>
  <c r="CJ65" i="12" s="1"/>
  <c r="CI183" i="12"/>
  <c r="CJ183" i="12" s="1"/>
  <c r="CI45" i="12"/>
  <c r="CJ45" i="12" s="1"/>
  <c r="CI85" i="12"/>
  <c r="CJ85" i="12" s="1"/>
  <c r="CI180" i="12"/>
  <c r="CJ180" i="12" s="1"/>
  <c r="CI211" i="12"/>
  <c r="CJ211" i="12" s="1"/>
  <c r="CI161" i="12"/>
  <c r="CJ161" i="12" s="1"/>
  <c r="CI37" i="12"/>
  <c r="CJ37" i="12" s="1"/>
  <c r="CI120" i="12"/>
  <c r="CJ120" i="12" s="1"/>
  <c r="CI13" i="12"/>
  <c r="CJ13" i="12" s="1"/>
  <c r="CI213" i="12"/>
  <c r="CJ213" i="12" s="1"/>
  <c r="CI215" i="12"/>
  <c r="CJ215" i="12" s="1"/>
  <c r="CI201" i="12"/>
  <c r="CJ201" i="12" s="1"/>
  <c r="BK5" i="12"/>
  <c r="CI4" i="12"/>
  <c r="CJ4" i="12" s="1"/>
  <c r="CI5" i="12"/>
  <c r="CJ5" i="12" s="1"/>
  <c r="CI10" i="12"/>
  <c r="CJ10" i="12" s="1"/>
  <c r="CI35" i="12"/>
  <c r="CJ35" i="12" s="1"/>
  <c r="CI209" i="12"/>
  <c r="CJ209" i="12" s="1"/>
  <c r="CI100" i="12"/>
  <c r="CJ100" i="12" s="1"/>
  <c r="CI166" i="12"/>
  <c r="CJ166" i="12" s="1"/>
  <c r="CI217" i="12"/>
  <c r="CJ217" i="12" s="1"/>
  <c r="CI210" i="12"/>
  <c r="CJ210" i="12" s="1"/>
  <c r="CI48" i="12"/>
  <c r="CJ48" i="12" s="1"/>
  <c r="CI163" i="12"/>
  <c r="CJ163" i="12" s="1"/>
  <c r="CI50" i="12"/>
  <c r="CJ50" i="12" s="1"/>
  <c r="CI123" i="12"/>
  <c r="CJ123" i="12" s="1"/>
  <c r="CI207" i="12"/>
  <c r="CJ207" i="12" s="1"/>
  <c r="CI203" i="12"/>
  <c r="CJ203" i="12" s="1"/>
  <c r="CI76" i="12"/>
  <c r="CJ76" i="12" s="1"/>
  <c r="CI39" i="12"/>
  <c r="CJ39" i="12" s="1"/>
  <c r="CI97" i="12"/>
  <c r="CJ97" i="12" s="1"/>
  <c r="CI91" i="12"/>
  <c r="CJ91" i="12" s="1"/>
  <c r="CI90" i="12"/>
  <c r="CJ90" i="12" s="1"/>
  <c r="CI80" i="12"/>
  <c r="CJ80" i="12" s="1"/>
  <c r="CI18" i="12"/>
  <c r="CJ18" i="12" s="1"/>
  <c r="CI169" i="12"/>
  <c r="CJ169" i="12" s="1"/>
  <c r="CI138" i="12"/>
  <c r="CJ138" i="12" s="1"/>
  <c r="CI155" i="12"/>
  <c r="CJ155" i="12" s="1"/>
  <c r="CI58" i="12"/>
  <c r="CJ58" i="12" s="1"/>
  <c r="CI144" i="12"/>
  <c r="CJ144" i="12" s="1"/>
  <c r="CI134" i="12"/>
  <c r="CJ134" i="12" s="1"/>
  <c r="CI167" i="12"/>
  <c r="CJ167" i="12" s="1"/>
  <c r="CI93" i="12"/>
  <c r="CJ93" i="12" s="1"/>
  <c r="CI29" i="12"/>
  <c r="CJ29" i="12" s="1"/>
  <c r="CI25" i="12"/>
  <c r="CJ25" i="12" s="1"/>
  <c r="CI34" i="12"/>
  <c r="CJ34" i="12" s="1"/>
  <c r="CI105" i="12"/>
  <c r="CJ105" i="12" s="1"/>
  <c r="CI73" i="12"/>
  <c r="CJ73" i="12" s="1"/>
  <c r="CI196" i="12"/>
  <c r="CJ196" i="12" s="1"/>
  <c r="CI70" i="12"/>
  <c r="CJ70" i="12" s="1"/>
  <c r="CI82" i="12"/>
  <c r="CJ82" i="12" s="1"/>
  <c r="CI109" i="12"/>
  <c r="CJ109" i="12" s="1"/>
  <c r="CI69" i="12"/>
  <c r="CJ69" i="12" s="1"/>
  <c r="CI164" i="12"/>
  <c r="CJ164" i="12" s="1"/>
  <c r="CI115" i="12"/>
  <c r="CJ115" i="12" s="1"/>
  <c r="CI23" i="12"/>
  <c r="CJ23" i="12" s="1"/>
  <c r="CI79" i="12"/>
  <c r="CJ79" i="12" s="1"/>
  <c r="CI27" i="12"/>
  <c r="CJ27" i="12" s="1"/>
  <c r="CI66" i="12"/>
  <c r="CJ66" i="12" s="1"/>
  <c r="CI110" i="12"/>
  <c r="CJ110" i="12" s="1"/>
  <c r="CI143" i="12"/>
  <c r="CJ143" i="12" s="1"/>
  <c r="CI113" i="12"/>
  <c r="CJ113" i="12" s="1"/>
  <c r="CI6" i="12"/>
  <c r="CJ6" i="12" s="1"/>
  <c r="BK6" i="12"/>
  <c r="CI179" i="12"/>
  <c r="CJ179" i="12" s="1"/>
  <c r="CI122" i="12"/>
  <c r="CJ122" i="12" s="1"/>
  <c r="CI162" i="12"/>
  <c r="CJ162" i="12" s="1"/>
  <c r="CI112" i="12"/>
  <c r="CJ112" i="12" s="1"/>
  <c r="CI168" i="12"/>
  <c r="CJ168" i="12" s="1"/>
  <c r="CI158" i="12"/>
  <c r="CJ158" i="12" s="1"/>
  <c r="CI142" i="12"/>
  <c r="CJ142" i="12" s="1"/>
  <c r="CI192" i="12"/>
  <c r="CJ192" i="12" s="1"/>
  <c r="CI131" i="12"/>
  <c r="CJ131" i="12" s="1"/>
  <c r="CI219" i="12"/>
  <c r="CJ219" i="12" s="1"/>
  <c r="CI62" i="12"/>
  <c r="CJ62" i="12" s="1"/>
  <c r="CI197" i="12"/>
  <c r="CJ197" i="12" s="1"/>
  <c r="CI42" i="12"/>
  <c r="CJ42" i="12" s="1"/>
  <c r="CI51" i="12"/>
  <c r="CJ51" i="12" s="1"/>
  <c r="CI127" i="12"/>
  <c r="CJ127" i="12" s="1"/>
  <c r="CI135" i="12"/>
  <c r="CJ135" i="12" s="1"/>
  <c r="CI191" i="12"/>
  <c r="CJ191" i="12" s="1"/>
  <c r="CI153" i="12"/>
  <c r="CJ153" i="12" s="1"/>
  <c r="CI125" i="12"/>
  <c r="CJ125" i="12" s="1"/>
  <c r="CI128" i="12"/>
  <c r="CJ128" i="12" s="1"/>
  <c r="CI194" i="12"/>
  <c r="CJ194" i="12" s="1"/>
  <c r="CI30" i="12"/>
  <c r="CJ30" i="12" s="1"/>
  <c r="CI28" i="12"/>
  <c r="CJ28" i="12" s="1"/>
  <c r="CI216" i="12"/>
  <c r="CJ216" i="12" s="1"/>
  <c r="CI104" i="12"/>
  <c r="CJ104" i="12" s="1"/>
  <c r="CI204" i="12"/>
  <c r="CJ204" i="12" s="1"/>
  <c r="CI140" i="12"/>
  <c r="CJ140" i="12" s="1"/>
  <c r="CI12" i="12"/>
  <c r="CJ12" i="12" s="1"/>
  <c r="CI44" i="12"/>
  <c r="CJ44" i="12" s="1"/>
  <c r="CI106" i="12"/>
  <c r="CJ106" i="12" s="1"/>
  <c r="CI175" i="12"/>
  <c r="CJ175" i="12" s="1"/>
  <c r="CI38" i="12"/>
  <c r="CJ38" i="12" s="1"/>
  <c r="CI111" i="12"/>
  <c r="CJ111" i="12" s="1"/>
  <c r="CI220" i="12"/>
  <c r="CJ220" i="12" s="1"/>
  <c r="CI218" i="12"/>
  <c r="CJ218" i="12" s="1"/>
  <c r="CI108" i="12"/>
  <c r="CJ108" i="12" s="1"/>
  <c r="CI159" i="12"/>
  <c r="CJ159" i="12" s="1"/>
  <c r="CI118" i="12"/>
  <c r="CJ118" i="12" s="1"/>
  <c r="CI32" i="12"/>
  <c r="CJ32" i="12" s="1"/>
  <c r="CI149" i="12"/>
  <c r="CJ149" i="12" s="1"/>
  <c r="CI9" i="12"/>
  <c r="CJ9" i="12" s="1"/>
  <c r="CI17" i="12"/>
  <c r="CJ17" i="12" s="1"/>
  <c r="CI31" i="12"/>
  <c r="CJ31" i="12" s="1"/>
  <c r="CI154" i="12"/>
  <c r="CJ154" i="12" s="1"/>
  <c r="CI116" i="12"/>
  <c r="CJ116" i="12" s="1"/>
  <c r="CI130" i="12"/>
  <c r="CJ130" i="12" s="1"/>
  <c r="CI184" i="12"/>
  <c r="CJ184" i="12" s="1"/>
  <c r="CI136" i="12"/>
  <c r="CJ136" i="12" s="1"/>
  <c r="CI189" i="12"/>
  <c r="CJ189" i="12" s="1"/>
  <c r="CI94" i="12"/>
  <c r="CJ94" i="12" s="1"/>
  <c r="CI59" i="12"/>
  <c r="CJ59" i="12" s="1"/>
  <c r="CI124" i="12"/>
  <c r="CJ124" i="12" s="1"/>
  <c r="CI92" i="12"/>
  <c r="CJ92" i="12" s="1"/>
  <c r="CI190" i="12"/>
  <c r="CJ190" i="12" s="1"/>
  <c r="CI61" i="12"/>
  <c r="CJ61" i="12" s="1"/>
  <c r="CI26" i="12"/>
  <c r="CJ26" i="12" s="1"/>
  <c r="CI89" i="12"/>
  <c r="CJ89" i="12" s="1"/>
  <c r="CI22" i="12"/>
  <c r="CJ22" i="12" s="1"/>
  <c r="CI200" i="12"/>
  <c r="CJ200" i="12" s="1"/>
  <c r="CI68" i="12"/>
  <c r="CJ68" i="12" s="1"/>
  <c r="CI181" i="12"/>
  <c r="CJ181" i="12" s="1"/>
  <c r="CI185" i="12"/>
  <c r="CJ185" i="12" s="1"/>
  <c r="CI146" i="12"/>
  <c r="CJ146" i="12" s="1"/>
  <c r="CI16" i="12"/>
  <c r="CJ16" i="12" s="1"/>
  <c r="CI41" i="12"/>
  <c r="CJ41" i="12" s="1"/>
  <c r="CI52" i="12"/>
  <c r="CJ52" i="12" s="1"/>
  <c r="CI63" i="12"/>
  <c r="CJ63" i="12" s="1"/>
  <c r="CI145" i="12"/>
  <c r="CJ145" i="12" s="1"/>
  <c r="CI205" i="12"/>
  <c r="CJ205" i="12" s="1"/>
  <c r="CI20" i="12"/>
  <c r="CJ20" i="12" s="1"/>
  <c r="CI117" i="12"/>
  <c r="CJ117" i="12" s="1"/>
  <c r="CI132" i="12"/>
  <c r="CJ132" i="12" s="1"/>
  <c r="CI188" i="12"/>
  <c r="CJ188" i="12" s="1"/>
  <c r="CI126" i="12"/>
  <c r="CJ126" i="12" s="1"/>
  <c r="CI171" i="12"/>
  <c r="CJ171" i="12" s="1"/>
  <c r="CI198" i="12"/>
  <c r="CJ198" i="12" s="1"/>
  <c r="CI96" i="12"/>
  <c r="CJ96" i="12" s="1"/>
  <c r="CI187" i="12"/>
  <c r="CJ187" i="12" s="1"/>
  <c r="CI137" i="12"/>
  <c r="CJ137" i="12" s="1"/>
  <c r="CI36" i="12"/>
  <c r="CJ36" i="12" s="1"/>
  <c r="CI33" i="12"/>
  <c r="CJ33" i="12" s="1"/>
  <c r="CI88" i="12"/>
  <c r="CJ88" i="12" s="1"/>
  <c r="CI54" i="12"/>
  <c r="CJ54" i="12" s="1"/>
  <c r="CI186" i="12"/>
  <c r="CJ186" i="12" s="1"/>
  <c r="CI95" i="12"/>
  <c r="CJ95" i="12" s="1"/>
  <c r="CI156" i="12"/>
  <c r="CJ156" i="12" s="1"/>
  <c r="CI67" i="12"/>
  <c r="CJ67" i="12" s="1"/>
  <c r="CI60" i="12"/>
  <c r="CJ60" i="12" s="1"/>
  <c r="CI55" i="12"/>
  <c r="CJ55" i="12" s="1"/>
  <c r="CI107" i="12"/>
  <c r="CJ107" i="12" s="1"/>
  <c r="CI19" i="12"/>
  <c r="CJ19" i="12" s="1"/>
  <c r="CI170" i="12"/>
  <c r="CJ170" i="12" s="1"/>
  <c r="CI172" i="12"/>
  <c r="CJ172" i="12" s="1"/>
  <c r="CI202" i="12"/>
  <c r="CJ202" i="12" s="1"/>
  <c r="CI77" i="12"/>
  <c r="CJ77" i="12" s="1"/>
  <c r="CI8" i="12"/>
  <c r="CJ8" i="12" s="1"/>
  <c r="CI195" i="12"/>
  <c r="CJ195" i="12" s="1"/>
  <c r="CI139" i="12"/>
  <c r="CJ139" i="12" s="1"/>
  <c r="CI148" i="12"/>
  <c r="CJ148" i="12" s="1"/>
  <c r="CU52" i="12"/>
  <c r="CU53" i="12" s="1"/>
  <c r="CI3" i="12"/>
  <c r="CJ3" i="12" s="1"/>
  <c r="CI83" i="12"/>
  <c r="CJ83" i="12" s="1"/>
  <c r="CI49" i="12"/>
  <c r="CJ49" i="12" s="1"/>
  <c r="CI214" i="12"/>
  <c r="CJ214" i="12" s="1"/>
  <c r="CI178" i="12"/>
  <c r="CJ178" i="12" s="1"/>
  <c r="CI53" i="12"/>
  <c r="CJ53" i="12" s="1"/>
  <c r="CI47" i="12"/>
  <c r="CJ47" i="12" s="1"/>
  <c r="CI75" i="12"/>
  <c r="CJ75" i="12" s="1"/>
  <c r="CI11" i="12"/>
  <c r="CJ11" i="12" s="1"/>
  <c r="CI212" i="12"/>
  <c r="CJ212" i="12" s="1"/>
  <c r="CI81" i="12"/>
  <c r="CJ81" i="12" s="1"/>
  <c r="CI101" i="12"/>
  <c r="CJ101" i="12" s="1"/>
  <c r="CI133" i="12"/>
  <c r="CJ133" i="12" s="1"/>
  <c r="CI206" i="12"/>
  <c r="CJ206" i="12" s="1"/>
  <c r="CI177" i="12"/>
  <c r="CJ177" i="12" s="1"/>
  <c r="CI182" i="12"/>
  <c r="CJ182" i="12" s="1"/>
  <c r="CI103" i="12"/>
  <c r="CJ103" i="12" s="1"/>
  <c r="CI78" i="12"/>
  <c r="CJ78" i="12" s="1"/>
  <c r="CI84" i="12"/>
  <c r="CJ84" i="12" s="1"/>
  <c r="CI129" i="12"/>
  <c r="CJ129" i="12" s="1"/>
  <c r="CI98" i="12"/>
  <c r="CJ98" i="12" s="1"/>
  <c r="CI151" i="12"/>
  <c r="CJ151" i="12" s="1"/>
  <c r="CI114" i="12"/>
  <c r="CJ114" i="12" s="1"/>
  <c r="CO15" i="12"/>
  <c r="CO16" i="12" s="1"/>
  <c r="S53" i="12"/>
  <c r="HT21" i="12"/>
  <c r="HO22" i="12"/>
  <c r="AQ98" i="12"/>
  <c r="O18" i="12"/>
  <c r="JI5" i="12"/>
  <c r="JJ105" i="12" s="1"/>
  <c r="O12" i="12"/>
  <c r="O11" i="12"/>
  <c r="DK194" i="12"/>
  <c r="DK195" i="12" s="1"/>
  <c r="FU114" i="12"/>
  <c r="GR114" i="12" s="1"/>
  <c r="FR115" i="12"/>
  <c r="CX2212" i="12"/>
  <c r="BX2" i="12" l="1"/>
  <c r="BQ222" i="12"/>
  <c r="BR222" i="12" s="1"/>
  <c r="GB1" i="12" s="1"/>
  <c r="BK7" i="12"/>
  <c r="BK8" i="12"/>
  <c r="CU57" i="12"/>
  <c r="CU66" i="12" s="1"/>
  <c r="CO17" i="12"/>
  <c r="CO18" i="12" s="1"/>
  <c r="CO19" i="12" s="1"/>
  <c r="CO20" i="12" s="1"/>
  <c r="CO21" i="12" s="1"/>
  <c r="CO22" i="12" s="1"/>
  <c r="CO23" i="12" s="1"/>
  <c r="CO24" i="12" s="1"/>
  <c r="CO25" i="12" s="1"/>
  <c r="CO26" i="12" s="1"/>
  <c r="CO27" i="12" s="1"/>
  <c r="CO28" i="12" s="1"/>
  <c r="CO29" i="12" s="1"/>
  <c r="CO30" i="12" s="1"/>
  <c r="CO31" i="12" s="1"/>
  <c r="CO32" i="12" s="1"/>
  <c r="CO33" i="12" s="1"/>
  <c r="CO34" i="12" s="1"/>
  <c r="CO35" i="12" s="1"/>
  <c r="CO36" i="12" s="1"/>
  <c r="CO37" i="12" s="1"/>
  <c r="CO38" i="12" s="1"/>
  <c r="CO39" i="12" s="1"/>
  <c r="CO40" i="12" s="1"/>
  <c r="CO41" i="12" s="1"/>
  <c r="CO42" i="12" s="1"/>
  <c r="CO43" i="12" s="1"/>
  <c r="CO44" i="12" s="1"/>
  <c r="CO45" i="12" s="1"/>
  <c r="CO46" i="12" s="1"/>
  <c r="CO47" i="12" s="1"/>
  <c r="CO48" i="12" s="1"/>
  <c r="CO49" i="12" s="1"/>
  <c r="CO50" i="12" s="1"/>
  <c r="CO51" i="12" s="1"/>
  <c r="CO52" i="12" s="1"/>
  <c r="CO53" i="12" s="1"/>
  <c r="CO54" i="12" s="1"/>
  <c r="CO55" i="12" s="1"/>
  <c r="CO56" i="12" s="1"/>
  <c r="CO57" i="12" s="1"/>
  <c r="CO58" i="12" s="1"/>
  <c r="CO59" i="12" s="1"/>
  <c r="CO60" i="12" s="1"/>
  <c r="CO61" i="12" s="1"/>
  <c r="CO62" i="12" s="1"/>
  <c r="CO63" i="12" s="1"/>
  <c r="CO64" i="12" s="1"/>
  <c r="CO65" i="12" s="1"/>
  <c r="CO66" i="12" s="1"/>
  <c r="CO67" i="12" s="1"/>
  <c r="CO68" i="12" s="1"/>
  <c r="CO69" i="12" s="1"/>
  <c r="CO70" i="12" s="1"/>
  <c r="CO71" i="12" s="1"/>
  <c r="CO72" i="12" s="1"/>
  <c r="CO73" i="12" s="1"/>
  <c r="CO74" i="12" s="1"/>
  <c r="CO75" i="12" s="1"/>
  <c r="CO76" i="12" s="1"/>
  <c r="CO77" i="12" s="1"/>
  <c r="CO78" i="12" s="1"/>
  <c r="CO79" i="12" s="1"/>
  <c r="CO80" i="12" s="1"/>
  <c r="CO81" i="12" s="1"/>
  <c r="CO82" i="12" s="1"/>
  <c r="CO83" i="12" s="1"/>
  <c r="CO84" i="12" s="1"/>
  <c r="CO85" i="12" s="1"/>
  <c r="CO86" i="12" s="1"/>
  <c r="CO87" i="12" s="1"/>
  <c r="CO88" i="12" s="1"/>
  <c r="CO89" i="12" s="1"/>
  <c r="CO90" i="12" s="1"/>
  <c r="CO91" i="12" s="1"/>
  <c r="CO92" i="12" s="1"/>
  <c r="CO93" i="12" s="1"/>
  <c r="CO94" i="12" s="1"/>
  <c r="CO95" i="12" s="1"/>
  <c r="CO96" i="12" s="1"/>
  <c r="CO97" i="12" s="1"/>
  <c r="CO98" i="12" s="1"/>
  <c r="CO99" i="12" s="1"/>
  <c r="CO100" i="12" s="1"/>
  <c r="CO101" i="12" s="1"/>
  <c r="CO102" i="12" s="1"/>
  <c r="CO103" i="12" s="1"/>
  <c r="CO104" i="12" s="1"/>
  <c r="CO105" i="12" s="1"/>
  <c r="CO106" i="12" s="1"/>
  <c r="CO107" i="12" s="1"/>
  <c r="CO108" i="12" s="1"/>
  <c r="CO109" i="12" s="1"/>
  <c r="CO110" i="12" s="1"/>
  <c r="CO111" i="12" s="1"/>
  <c r="CO112" i="12" s="1"/>
  <c r="CO113" i="12" s="1"/>
  <c r="CO114" i="12" s="1"/>
  <c r="CO115" i="12" s="1"/>
  <c r="CO116" i="12" s="1"/>
  <c r="CO117" i="12" s="1"/>
  <c r="CO118" i="12" s="1"/>
  <c r="CO119" i="12" s="1"/>
  <c r="CO120" i="12" s="1"/>
  <c r="CO121" i="12" s="1"/>
  <c r="CO122" i="12" s="1"/>
  <c r="CO123" i="12" s="1"/>
  <c r="CO124" i="12" s="1"/>
  <c r="CO125" i="12" s="1"/>
  <c r="CO126" i="12" s="1"/>
  <c r="CO127" i="12" s="1"/>
  <c r="CO128" i="12" s="1"/>
  <c r="CO129" i="12" s="1"/>
  <c r="CO130" i="12" s="1"/>
  <c r="CO131" i="12" s="1"/>
  <c r="CO132" i="12" s="1"/>
  <c r="CO133" i="12" s="1"/>
  <c r="CO134" i="12" s="1"/>
  <c r="CO135" i="12" s="1"/>
  <c r="CO136" i="12" s="1"/>
  <c r="CO137" i="12" s="1"/>
  <c r="CO138" i="12" s="1"/>
  <c r="CO139" i="12" s="1"/>
  <c r="CO140" i="12" s="1"/>
  <c r="CO141" i="12" s="1"/>
  <c r="CO142" i="12" s="1"/>
  <c r="CO143" i="12" s="1"/>
  <c r="CO144" i="12" s="1"/>
  <c r="CO145" i="12" s="1"/>
  <c r="CO146" i="12" s="1"/>
  <c r="CO147" i="12" s="1"/>
  <c r="CO148" i="12" s="1"/>
  <c r="CO149" i="12" s="1"/>
  <c r="CO150" i="12" s="1"/>
  <c r="CO151" i="12" s="1"/>
  <c r="CO152" i="12" s="1"/>
  <c r="CO153" i="12" s="1"/>
  <c r="CO154" i="12" s="1"/>
  <c r="CO155" i="12" s="1"/>
  <c r="CO156" i="12" s="1"/>
  <c r="CO157" i="12" s="1"/>
  <c r="CO158" i="12" s="1"/>
  <c r="CO159" i="12" s="1"/>
  <c r="CO160" i="12" s="1"/>
  <c r="CO161" i="12" s="1"/>
  <c r="CO162" i="12" s="1"/>
  <c r="CO163" i="12" s="1"/>
  <c r="CO164" i="12" s="1"/>
  <c r="CO165" i="12" s="1"/>
  <c r="CO166" i="12" s="1"/>
  <c r="CO167" i="12" s="1"/>
  <c r="CO168" i="12" s="1"/>
  <c r="CO169" i="12" s="1"/>
  <c r="CO170" i="12" s="1"/>
  <c r="CO171" i="12" s="1"/>
  <c r="CO172" i="12" s="1"/>
  <c r="CO173" i="12" s="1"/>
  <c r="CO174" i="12" s="1"/>
  <c r="CO175" i="12" s="1"/>
  <c r="CO176" i="12" s="1"/>
  <c r="CO177" i="12" s="1"/>
  <c r="CO178" i="12" s="1"/>
  <c r="CO179" i="12" s="1"/>
  <c r="CO180" i="12" s="1"/>
  <c r="CO181" i="12" s="1"/>
  <c r="CO182" i="12" s="1"/>
  <c r="CO183" i="12" s="1"/>
  <c r="CO184" i="12" s="1"/>
  <c r="CO185" i="12" s="1"/>
  <c r="CO186" i="12" s="1"/>
  <c r="CO187" i="12" s="1"/>
  <c r="CO188" i="12" s="1"/>
  <c r="CO189" i="12" s="1"/>
  <c r="CO190" i="12" s="1"/>
  <c r="CO191" i="12" s="1"/>
  <c r="CO192" i="12" s="1"/>
  <c r="CO193" i="12" s="1"/>
  <c r="CO194" i="12" s="1"/>
  <c r="CO195" i="12" s="1"/>
  <c r="CO196" i="12" s="1"/>
  <c r="CO197" i="12" s="1"/>
  <c r="CO198" i="12" s="1"/>
  <c r="CO199" i="12" s="1"/>
  <c r="CO200" i="12" s="1"/>
  <c r="CO201" i="12" s="1"/>
  <c r="CO202" i="12" s="1"/>
  <c r="CO203" i="12" s="1"/>
  <c r="CO204" i="12" s="1"/>
  <c r="CO205" i="12" s="1"/>
  <c r="CO206" i="12" s="1"/>
  <c r="CO207" i="12" s="1"/>
  <c r="CO208" i="12" s="1"/>
  <c r="CO209" i="12" s="1"/>
  <c r="CO210" i="12" s="1"/>
  <c r="CO211" i="12" s="1"/>
  <c r="CO212" i="12" s="1"/>
  <c r="CO213" i="12" s="1"/>
  <c r="CO214" i="12" s="1"/>
  <c r="CO215" i="12" s="1"/>
  <c r="CO216" i="12" s="1"/>
  <c r="CO217" i="12" s="1"/>
  <c r="CO218" i="12" s="1"/>
  <c r="CO219" i="12" s="1"/>
  <c r="CO220" i="12" s="1"/>
  <c r="CQ204" i="12" s="1"/>
  <c r="CU72" i="12"/>
  <c r="S54" i="12"/>
  <c r="HT22" i="12"/>
  <c r="HO23" i="12"/>
  <c r="AQ99" i="12"/>
  <c r="JJ4" i="12"/>
  <c r="JJ59" i="12"/>
  <c r="JJ74" i="12"/>
  <c r="JJ3" i="12"/>
  <c r="JH3" i="12" s="1"/>
  <c r="JJ97" i="12"/>
  <c r="JJ80" i="12"/>
  <c r="JJ75" i="12"/>
  <c r="JJ102" i="12"/>
  <c r="JJ94" i="12"/>
  <c r="JJ21" i="12"/>
  <c r="JJ51" i="12"/>
  <c r="JJ70" i="12"/>
  <c r="JJ82" i="12"/>
  <c r="JJ44" i="12"/>
  <c r="JJ26" i="12"/>
  <c r="JJ42" i="12"/>
  <c r="JJ108" i="12"/>
  <c r="JJ20" i="12"/>
  <c r="JJ115" i="12"/>
  <c r="JJ103" i="12"/>
  <c r="JJ79" i="12"/>
  <c r="JJ111" i="12"/>
  <c r="JJ85" i="12"/>
  <c r="JJ30" i="12"/>
  <c r="JJ18" i="12"/>
  <c r="JJ13" i="12"/>
  <c r="JJ89" i="12"/>
  <c r="JJ49" i="12"/>
  <c r="JJ87" i="12"/>
  <c r="JJ32" i="12"/>
  <c r="JJ12" i="12"/>
  <c r="JJ25" i="12"/>
  <c r="JJ77" i="12"/>
  <c r="JJ53" i="12"/>
  <c r="JJ27" i="12"/>
  <c r="JJ107" i="12"/>
  <c r="JJ113" i="12"/>
  <c r="JJ116" i="12"/>
  <c r="JJ7" i="12"/>
  <c r="JJ73" i="12"/>
  <c r="JJ104" i="12"/>
  <c r="JJ54" i="12"/>
  <c r="JJ31" i="12"/>
  <c r="JJ66" i="12"/>
  <c r="JJ124" i="12"/>
  <c r="JJ38" i="12"/>
  <c r="JJ112" i="12"/>
  <c r="JJ14" i="12"/>
  <c r="JJ22" i="12"/>
  <c r="JJ123" i="12"/>
  <c r="JJ6" i="12"/>
  <c r="JJ55" i="12"/>
  <c r="JJ63" i="12"/>
  <c r="JJ29" i="12"/>
  <c r="JJ76" i="12"/>
  <c r="JJ39" i="12"/>
  <c r="JJ23" i="12"/>
  <c r="JJ69" i="12"/>
  <c r="JJ100" i="12"/>
  <c r="JJ101" i="12"/>
  <c r="JJ57" i="12"/>
  <c r="JJ114" i="12"/>
  <c r="JJ90" i="12"/>
  <c r="JJ11" i="12"/>
  <c r="JJ81" i="12"/>
  <c r="JJ41" i="12"/>
  <c r="JJ68" i="12"/>
  <c r="JJ47" i="12"/>
  <c r="JJ37" i="12"/>
  <c r="JJ16" i="12"/>
  <c r="JJ5" i="12"/>
  <c r="JJ62" i="12"/>
  <c r="JJ17" i="12"/>
  <c r="JJ45" i="12"/>
  <c r="JJ61" i="12"/>
  <c r="JJ98" i="12"/>
  <c r="JJ60" i="12"/>
  <c r="JJ43" i="12"/>
  <c r="JJ109" i="12"/>
  <c r="JJ118" i="12"/>
  <c r="JJ34" i="12"/>
  <c r="JJ88" i="12"/>
  <c r="JJ35" i="12"/>
  <c r="JJ117" i="12"/>
  <c r="JJ91" i="12"/>
  <c r="JJ28" i="12"/>
  <c r="JJ119" i="12"/>
  <c r="JJ72" i="12"/>
  <c r="JJ46" i="12"/>
  <c r="JJ33" i="12"/>
  <c r="JJ48" i="12"/>
  <c r="JJ56" i="12"/>
  <c r="JJ92" i="12"/>
  <c r="JJ58" i="12"/>
  <c r="JJ65" i="12"/>
  <c r="JJ52" i="12"/>
  <c r="JJ83" i="12"/>
  <c r="JJ78" i="12"/>
  <c r="JJ121" i="12"/>
  <c r="JJ96" i="12"/>
  <c r="JJ110" i="12"/>
  <c r="JJ122" i="12"/>
  <c r="JJ106" i="12"/>
  <c r="JJ93" i="12"/>
  <c r="JJ8" i="12"/>
  <c r="JJ9" i="12"/>
  <c r="JJ95" i="12"/>
  <c r="JJ99" i="12"/>
  <c r="JJ86" i="12"/>
  <c r="JJ40" i="12"/>
  <c r="JJ24" i="12"/>
  <c r="JJ67" i="12"/>
  <c r="JJ64" i="12"/>
  <c r="JJ36" i="12"/>
  <c r="JJ10" i="12"/>
  <c r="JJ50" i="12"/>
  <c r="JJ15" i="12"/>
  <c r="JJ120" i="12"/>
  <c r="JJ19" i="12"/>
  <c r="JJ84" i="12"/>
  <c r="JJ71" i="12"/>
  <c r="DK196" i="12"/>
  <c r="DK197" i="12" s="1"/>
  <c r="DK198" i="12" s="1"/>
  <c r="FU115" i="12"/>
  <c r="GR115" i="12" s="1"/>
  <c r="FR116" i="12"/>
  <c r="CX2213" i="12"/>
  <c r="BN110" i="12" l="1"/>
  <c r="BP110" i="12" s="1"/>
  <c r="BO19" i="12"/>
  <c r="BO53" i="12"/>
  <c r="BN192" i="12"/>
  <c r="BP192" i="12" s="1"/>
  <c r="BO55" i="12"/>
  <c r="BN27" i="12"/>
  <c r="BP27" i="12" s="1"/>
  <c r="BO69" i="12"/>
  <c r="BN77" i="12"/>
  <c r="BP77" i="12" s="1"/>
  <c r="BN88" i="12"/>
  <c r="BP88" i="12" s="1"/>
  <c r="BO101" i="12"/>
  <c r="BO119" i="12"/>
  <c r="BN216" i="12"/>
  <c r="BP216" i="12" s="1"/>
  <c r="BN181" i="12"/>
  <c r="BP181" i="12" s="1"/>
  <c r="BO79" i="12"/>
  <c r="BN220" i="12"/>
  <c r="BP220" i="12" s="1"/>
  <c r="BO213" i="12"/>
  <c r="BN98" i="12"/>
  <c r="BP98" i="12" s="1"/>
  <c r="BN173" i="12"/>
  <c r="BP173" i="12" s="1"/>
  <c r="BN111" i="12"/>
  <c r="BP111" i="12" s="1"/>
  <c r="BN137" i="12"/>
  <c r="BP137" i="12" s="1"/>
  <c r="BO34" i="12"/>
  <c r="BN161" i="12"/>
  <c r="BP161" i="12" s="1"/>
  <c r="BO48" i="12"/>
  <c r="BO42" i="12"/>
  <c r="BN180" i="12"/>
  <c r="BP180" i="12" s="1"/>
  <c r="BO154" i="12"/>
  <c r="BN154" i="12"/>
  <c r="BP154" i="12" s="1"/>
  <c r="BN11" i="12"/>
  <c r="BP11" i="12" s="1"/>
  <c r="BO43" i="12"/>
  <c r="BO97" i="12"/>
  <c r="BO124" i="12"/>
  <c r="BN189" i="12"/>
  <c r="BP189" i="12" s="1"/>
  <c r="BN51" i="12"/>
  <c r="BP51" i="12" s="1"/>
  <c r="BN166" i="12"/>
  <c r="BP166" i="12" s="1"/>
  <c r="BN205" i="12"/>
  <c r="BP205" i="12" s="1"/>
  <c r="BN63" i="12"/>
  <c r="BP63" i="12" s="1"/>
  <c r="BO165" i="12"/>
  <c r="BO169" i="12"/>
  <c r="BN179" i="12"/>
  <c r="BP179" i="12" s="1"/>
  <c r="BO52" i="12"/>
  <c r="BN64" i="12"/>
  <c r="BP64" i="12" s="1"/>
  <c r="BO68" i="12"/>
  <c r="BN120" i="12"/>
  <c r="BP120" i="12" s="1"/>
  <c r="BN89" i="12"/>
  <c r="BP89" i="12" s="1"/>
  <c r="BN160" i="12"/>
  <c r="BP160" i="12" s="1"/>
  <c r="BN21" i="12"/>
  <c r="BP21" i="12" s="1"/>
  <c r="BO128" i="12"/>
  <c r="BO175" i="12"/>
  <c r="BN172" i="12"/>
  <c r="BP172" i="12" s="1"/>
  <c r="BN123" i="12"/>
  <c r="BP123" i="12" s="1"/>
  <c r="BN14" i="12"/>
  <c r="BP14" i="12" s="1"/>
  <c r="BO174" i="12"/>
  <c r="BO139" i="12"/>
  <c r="BO205" i="12"/>
  <c r="BO195" i="12"/>
  <c r="BO51" i="12"/>
  <c r="BN48" i="12"/>
  <c r="BP48" i="12" s="1"/>
  <c r="BO63" i="12"/>
  <c r="BN168" i="12"/>
  <c r="BP168" i="12" s="1"/>
  <c r="BO155" i="12"/>
  <c r="BN201" i="12"/>
  <c r="BP201" i="12" s="1"/>
  <c r="BO176" i="12"/>
  <c r="BN133" i="12"/>
  <c r="BP133" i="12" s="1"/>
  <c r="BO66" i="12"/>
  <c r="BN108" i="12"/>
  <c r="BP108" i="12" s="1"/>
  <c r="BN50" i="12"/>
  <c r="BP50" i="12" s="1"/>
  <c r="BN76" i="12"/>
  <c r="BP76" i="12" s="1"/>
  <c r="BN30" i="12"/>
  <c r="BP30" i="12" s="1"/>
  <c r="BO21" i="12"/>
  <c r="BO120" i="12"/>
  <c r="BO70" i="12"/>
  <c r="BO17" i="12"/>
  <c r="BN65" i="12"/>
  <c r="BP65" i="12" s="1"/>
  <c r="BN39" i="12"/>
  <c r="BP39" i="12" s="1"/>
  <c r="BO115" i="12"/>
  <c r="BO141" i="12"/>
  <c r="BO9" i="12"/>
  <c r="BO40" i="12"/>
  <c r="BN122" i="12"/>
  <c r="BP122" i="12" s="1"/>
  <c r="BO121" i="12"/>
  <c r="BN219" i="12"/>
  <c r="BP219" i="12" s="1"/>
  <c r="BO131" i="12"/>
  <c r="BO103" i="12"/>
  <c r="BO50" i="12"/>
  <c r="BO20" i="12"/>
  <c r="BN152" i="12"/>
  <c r="BP152" i="12" s="1"/>
  <c r="BN29" i="12"/>
  <c r="BP29" i="12" s="1"/>
  <c r="BO177" i="12"/>
  <c r="BO39" i="12"/>
  <c r="BN99" i="12"/>
  <c r="BP99" i="12" s="1"/>
  <c r="BN107" i="12"/>
  <c r="BP107" i="12" s="1"/>
  <c r="BO143" i="12"/>
  <c r="BN103" i="12"/>
  <c r="BP103" i="12" s="1"/>
  <c r="BO171" i="12"/>
  <c r="BO67" i="12"/>
  <c r="BO24" i="12"/>
  <c r="BO161" i="12"/>
  <c r="BO167" i="12"/>
  <c r="BO27" i="12"/>
  <c r="BN82" i="12"/>
  <c r="BP82" i="12" s="1"/>
  <c r="BN57" i="12"/>
  <c r="BP57" i="12" s="1"/>
  <c r="BO54" i="12"/>
  <c r="BO37" i="12"/>
  <c r="BO14" i="12"/>
  <c r="BN46" i="12"/>
  <c r="BP46" i="12" s="1"/>
  <c r="BO157" i="12"/>
  <c r="BN125" i="12"/>
  <c r="BP125" i="12" s="1"/>
  <c r="BN185" i="12"/>
  <c r="BP185" i="12" s="1"/>
  <c r="BN113" i="12"/>
  <c r="BP113" i="12" s="1"/>
  <c r="BO145" i="12"/>
  <c r="BN28" i="12"/>
  <c r="BP28" i="12" s="1"/>
  <c r="BN45" i="12"/>
  <c r="BP45" i="12" s="1"/>
  <c r="BN171" i="12"/>
  <c r="BP171" i="12" s="1"/>
  <c r="BO180" i="12"/>
  <c r="BN31" i="12"/>
  <c r="BP31" i="12" s="1"/>
  <c r="BO75" i="12"/>
  <c r="BN80" i="12"/>
  <c r="BP80" i="12" s="1"/>
  <c r="BO93" i="12"/>
  <c r="BN129" i="12"/>
  <c r="BP129" i="12" s="1"/>
  <c r="BO74" i="12"/>
  <c r="BN16" i="12"/>
  <c r="BP16" i="12" s="1"/>
  <c r="BO31" i="12"/>
  <c r="BO80" i="12"/>
  <c r="BN202" i="12"/>
  <c r="BP202" i="12" s="1"/>
  <c r="BN197" i="12"/>
  <c r="BP197" i="12" s="1"/>
  <c r="BN175" i="12"/>
  <c r="BP175" i="12" s="1"/>
  <c r="BO26" i="12"/>
  <c r="BN93" i="12"/>
  <c r="BP93" i="12" s="1"/>
  <c r="BO29" i="12"/>
  <c r="BO220" i="12"/>
  <c r="BO140" i="12"/>
  <c r="BN12" i="12"/>
  <c r="BP12" i="12" s="1"/>
  <c r="BO184" i="12"/>
  <c r="BO153" i="12"/>
  <c r="BO192" i="12"/>
  <c r="BN151" i="12"/>
  <c r="BP151" i="12" s="1"/>
  <c r="BO8" i="12"/>
  <c r="BO147" i="12"/>
  <c r="BN34" i="12"/>
  <c r="BP34" i="12" s="1"/>
  <c r="BN169" i="12"/>
  <c r="BP169" i="12" s="1"/>
  <c r="BN187" i="12"/>
  <c r="BP187" i="12" s="1"/>
  <c r="BO126" i="12"/>
  <c r="BO133" i="12"/>
  <c r="BO98" i="12"/>
  <c r="BN67" i="12"/>
  <c r="BP67" i="12" s="1"/>
  <c r="BN209" i="12"/>
  <c r="BP209" i="12" s="1"/>
  <c r="BN72" i="12"/>
  <c r="BP72" i="12" s="1"/>
  <c r="BN211" i="12"/>
  <c r="BP211" i="12" s="1"/>
  <c r="BN204" i="12"/>
  <c r="BP204" i="12" s="1"/>
  <c r="BN158" i="12"/>
  <c r="BP158" i="12" s="1"/>
  <c r="BO146" i="12"/>
  <c r="BN70" i="12"/>
  <c r="BP70" i="12" s="1"/>
  <c r="BN13" i="12"/>
  <c r="BP13" i="12" s="1"/>
  <c r="BN20" i="12"/>
  <c r="BP20" i="12" s="1"/>
  <c r="BO114" i="12"/>
  <c r="BN153" i="12"/>
  <c r="BP153" i="12" s="1"/>
  <c r="BO122" i="12"/>
  <c r="BN86" i="12"/>
  <c r="BP86" i="12" s="1"/>
  <c r="BO100" i="12"/>
  <c r="BO104" i="12"/>
  <c r="BN131" i="12"/>
  <c r="BP131" i="12" s="1"/>
  <c r="BO78" i="12"/>
  <c r="BN182" i="12"/>
  <c r="BP182" i="12" s="1"/>
  <c r="BN83" i="12"/>
  <c r="BP83" i="12" s="1"/>
  <c r="BO73" i="12"/>
  <c r="BO214" i="12"/>
  <c r="BO84" i="12"/>
  <c r="BO83" i="12"/>
  <c r="BO96" i="12"/>
  <c r="BO116" i="12"/>
  <c r="BO28" i="12"/>
  <c r="BO10" i="12"/>
  <c r="BN59" i="12"/>
  <c r="BP59" i="12" s="1"/>
  <c r="BN41" i="12"/>
  <c r="BP41" i="12" s="1"/>
  <c r="BN218" i="12"/>
  <c r="BP218" i="12" s="1"/>
  <c r="BN56" i="12"/>
  <c r="BP56" i="12" s="1"/>
  <c r="BN43" i="12"/>
  <c r="BP43" i="12" s="1"/>
  <c r="BO62" i="12"/>
  <c r="BN62" i="12"/>
  <c r="BP62" i="12" s="1"/>
  <c r="BN42" i="12"/>
  <c r="BP42" i="12" s="1"/>
  <c r="BN19" i="12"/>
  <c r="BP19" i="12" s="1"/>
  <c r="BO22" i="12"/>
  <c r="BO33" i="12"/>
  <c r="BN17" i="12"/>
  <c r="BP17" i="12" s="1"/>
  <c r="BN92" i="12"/>
  <c r="BP92" i="12" s="1"/>
  <c r="BN194" i="12"/>
  <c r="BP194" i="12" s="1"/>
  <c r="BO56" i="12"/>
  <c r="BN94" i="12"/>
  <c r="BP94" i="12" s="1"/>
  <c r="BN105" i="12"/>
  <c r="BP105" i="12" s="1"/>
  <c r="BO111" i="12"/>
  <c r="BO45" i="12"/>
  <c r="BN210" i="12"/>
  <c r="BP210" i="12" s="1"/>
  <c r="BN85" i="12"/>
  <c r="BP85" i="12" s="1"/>
  <c r="BN163" i="12"/>
  <c r="BP163" i="12" s="1"/>
  <c r="BO65" i="12"/>
  <c r="BO71" i="12"/>
  <c r="BN106" i="12"/>
  <c r="BP106" i="12" s="1"/>
  <c r="BN142" i="12"/>
  <c r="BP142" i="12" s="1"/>
  <c r="BO211" i="12"/>
  <c r="BO94" i="12"/>
  <c r="BN217" i="12"/>
  <c r="BP217" i="12" s="1"/>
  <c r="BO123" i="12"/>
  <c r="BN136" i="12"/>
  <c r="BP136" i="12" s="1"/>
  <c r="BN134" i="12"/>
  <c r="BP134" i="12" s="1"/>
  <c r="BO201" i="12"/>
  <c r="BN144" i="12"/>
  <c r="BP144" i="12" s="1"/>
  <c r="BO87" i="12"/>
  <c r="BO60" i="12"/>
  <c r="BO132" i="12"/>
  <c r="BN55" i="12"/>
  <c r="BP55" i="12" s="1"/>
  <c r="BO5" i="12"/>
  <c r="BO89" i="12"/>
  <c r="BO190" i="12"/>
  <c r="BN26" i="12"/>
  <c r="BP26" i="12" s="1"/>
  <c r="BN112" i="12"/>
  <c r="BP112" i="12" s="1"/>
  <c r="BN25" i="12"/>
  <c r="BP25" i="12" s="1"/>
  <c r="BO144" i="12"/>
  <c r="BN215" i="12"/>
  <c r="BP215" i="12" s="1"/>
  <c r="BN32" i="12"/>
  <c r="BP32" i="12" s="1"/>
  <c r="BO112" i="12"/>
  <c r="BN184" i="12"/>
  <c r="BP184" i="12" s="1"/>
  <c r="BN75" i="12"/>
  <c r="BP75" i="12" s="1"/>
  <c r="BO12" i="12"/>
  <c r="BN178" i="12"/>
  <c r="BP178" i="12" s="1"/>
  <c r="BN115" i="12"/>
  <c r="BP115" i="12" s="1"/>
  <c r="BO217" i="12"/>
  <c r="BO191" i="12"/>
  <c r="BN157" i="12"/>
  <c r="BP157" i="12" s="1"/>
  <c r="BN150" i="12"/>
  <c r="BP150" i="12" s="1"/>
  <c r="BN177" i="12"/>
  <c r="BP177" i="12" s="1"/>
  <c r="BO44" i="12"/>
  <c r="BN24" i="12"/>
  <c r="BP24" i="12" s="1"/>
  <c r="BO99" i="12"/>
  <c r="BN87" i="12"/>
  <c r="BP87" i="12" s="1"/>
  <c r="BN102" i="12"/>
  <c r="BP102" i="12" s="1"/>
  <c r="BO173" i="12"/>
  <c r="BO108" i="12"/>
  <c r="BO81" i="12"/>
  <c r="BN49" i="12"/>
  <c r="BP49" i="12" s="1"/>
  <c r="BN162" i="12"/>
  <c r="BP162" i="12" s="1"/>
  <c r="BN8" i="12"/>
  <c r="BN132" i="12"/>
  <c r="BP132" i="12" s="1"/>
  <c r="BW2" i="12"/>
  <c r="BN81" i="12"/>
  <c r="BP81" i="12" s="1"/>
  <c r="BO149" i="12"/>
  <c r="BO137" i="12"/>
  <c r="BN79" i="12"/>
  <c r="BP79" i="12" s="1"/>
  <c r="BN60" i="12"/>
  <c r="BP60" i="12" s="1"/>
  <c r="BO152" i="12"/>
  <c r="BN198" i="12"/>
  <c r="BP198" i="12" s="1"/>
  <c r="BN40" i="12"/>
  <c r="BP40" i="12" s="1"/>
  <c r="BN47" i="12"/>
  <c r="BP47" i="12" s="1"/>
  <c r="BO202" i="12"/>
  <c r="BO188" i="12"/>
  <c r="BO193" i="12"/>
  <c r="BN149" i="12"/>
  <c r="BP149" i="12" s="1"/>
  <c r="BN95" i="12"/>
  <c r="BP95" i="12" s="1"/>
  <c r="BN128" i="12"/>
  <c r="BP128" i="12" s="1"/>
  <c r="BO107" i="12"/>
  <c r="BN127" i="12"/>
  <c r="BP127" i="12" s="1"/>
  <c r="BN139" i="12"/>
  <c r="BP139" i="12" s="1"/>
  <c r="BO206" i="12"/>
  <c r="BN96" i="12"/>
  <c r="BP96" i="12" s="1"/>
  <c r="BO47" i="12"/>
  <c r="BN117" i="12"/>
  <c r="BP117" i="12" s="1"/>
  <c r="BO105" i="12"/>
  <c r="BO13" i="12"/>
  <c r="BN10" i="12"/>
  <c r="BP10" i="12" s="1"/>
  <c r="BN114" i="12"/>
  <c r="BP114" i="12" s="1"/>
  <c r="BO150" i="12"/>
  <c r="BO219" i="12"/>
  <c r="BO35" i="12"/>
  <c r="BO118" i="12"/>
  <c r="BN155" i="12"/>
  <c r="BP155" i="12" s="1"/>
  <c r="BN196" i="12"/>
  <c r="BP196" i="12" s="1"/>
  <c r="BN165" i="12"/>
  <c r="BP165" i="12" s="1"/>
  <c r="BN213" i="12"/>
  <c r="BP213" i="12" s="1"/>
  <c r="BN97" i="12"/>
  <c r="BP97" i="12" s="1"/>
  <c r="BO138" i="12"/>
  <c r="BO61" i="12"/>
  <c r="BN58" i="12"/>
  <c r="BP58" i="12" s="1"/>
  <c r="BN104" i="12"/>
  <c r="BP104" i="12" s="1"/>
  <c r="BO38" i="12"/>
  <c r="BN22" i="12"/>
  <c r="BP22" i="12" s="1"/>
  <c r="BO18" i="12"/>
  <c r="BN9" i="12"/>
  <c r="BP9" i="12" s="1"/>
  <c r="BN38" i="12"/>
  <c r="BP38" i="12" s="1"/>
  <c r="BO181" i="12"/>
  <c r="BN130" i="12"/>
  <c r="BP130" i="12" s="1"/>
  <c r="BN66" i="12"/>
  <c r="BP66" i="12" s="1"/>
  <c r="BN69" i="12"/>
  <c r="BP69" i="12" s="1"/>
  <c r="BN167" i="12"/>
  <c r="BP167" i="12" s="1"/>
  <c r="BO168" i="12"/>
  <c r="BO194" i="12"/>
  <c r="BO109" i="12"/>
  <c r="BN90" i="12"/>
  <c r="BP90" i="12" s="1"/>
  <c r="BO127" i="12"/>
  <c r="BO41" i="12"/>
  <c r="BN78" i="12"/>
  <c r="BP78" i="12" s="1"/>
  <c r="BO113" i="12"/>
  <c r="BO49" i="12"/>
  <c r="BO102" i="12"/>
  <c r="BO209" i="12"/>
  <c r="BO158" i="12"/>
  <c r="BO203" i="12"/>
  <c r="BO170" i="12"/>
  <c r="BO76" i="12"/>
  <c r="BN146" i="12"/>
  <c r="BP146" i="12" s="1"/>
  <c r="BO25" i="12"/>
  <c r="BN156" i="12"/>
  <c r="BP156" i="12" s="1"/>
  <c r="BN191" i="12"/>
  <c r="BP191" i="12" s="1"/>
  <c r="BO11" i="12"/>
  <c r="BO110" i="12"/>
  <c r="BN61" i="12"/>
  <c r="BP61" i="12" s="1"/>
  <c r="BN118" i="12"/>
  <c r="BP118" i="12" s="1"/>
  <c r="BO6" i="12"/>
  <c r="BN170" i="12"/>
  <c r="BP170" i="12" s="1"/>
  <c r="BO204" i="12"/>
  <c r="BO210" i="12"/>
  <c r="BN188" i="12"/>
  <c r="BP188" i="12" s="1"/>
  <c r="BN212" i="12"/>
  <c r="BP212" i="12" s="1"/>
  <c r="BO208" i="12"/>
  <c r="BN135" i="12"/>
  <c r="BP135" i="12" s="1"/>
  <c r="BO198" i="12"/>
  <c r="BO91" i="12"/>
  <c r="BN145" i="12"/>
  <c r="BP145" i="12" s="1"/>
  <c r="BO160" i="12"/>
  <c r="BN116" i="12"/>
  <c r="BP116" i="12" s="1"/>
  <c r="BO197" i="12"/>
  <c r="BO156" i="12"/>
  <c r="BN147" i="12"/>
  <c r="BP147" i="12" s="1"/>
  <c r="BN176" i="12"/>
  <c r="BP176" i="12" s="1"/>
  <c r="BN143" i="12"/>
  <c r="BP143" i="12" s="1"/>
  <c r="BO92" i="12"/>
  <c r="BO86" i="12"/>
  <c r="BN71" i="12"/>
  <c r="BP71" i="12" s="1"/>
  <c r="BN44" i="12"/>
  <c r="BP44" i="12" s="1"/>
  <c r="BO36" i="12"/>
  <c r="BN109" i="12"/>
  <c r="BP109" i="12" s="1"/>
  <c r="BN159" i="12"/>
  <c r="BP159" i="12" s="1"/>
  <c r="BN121" i="12"/>
  <c r="BP121" i="12" s="1"/>
  <c r="BO200" i="12"/>
  <c r="BN208" i="12"/>
  <c r="BP208" i="12" s="1"/>
  <c r="BN183" i="12"/>
  <c r="BP183" i="12" s="1"/>
  <c r="BN37" i="12"/>
  <c r="BP37" i="12" s="1"/>
  <c r="BN84" i="12"/>
  <c r="BP84" i="12" s="1"/>
  <c r="BO182" i="12"/>
  <c r="BO77" i="12"/>
  <c r="BO95" i="12"/>
  <c r="BO23" i="12"/>
  <c r="BO216" i="12"/>
  <c r="BN101" i="12"/>
  <c r="BP101" i="12" s="1"/>
  <c r="BO159" i="12"/>
  <c r="BN91" i="12"/>
  <c r="BP91" i="12" s="1"/>
  <c r="BN15" i="12"/>
  <c r="BP15" i="12" s="1"/>
  <c r="BO186" i="12"/>
  <c r="BN199" i="12"/>
  <c r="BP199" i="12" s="1"/>
  <c r="BN190" i="12"/>
  <c r="BP190" i="12" s="1"/>
  <c r="BO15" i="12"/>
  <c r="BN119" i="12"/>
  <c r="BP119" i="12" s="1"/>
  <c r="BN174" i="12"/>
  <c r="BP174" i="12" s="1"/>
  <c r="BO185" i="12"/>
  <c r="BN36" i="12"/>
  <c r="BP36" i="12" s="1"/>
  <c r="BO117" i="12"/>
  <c r="BO189" i="12"/>
  <c r="BN124" i="12"/>
  <c r="BP124" i="12" s="1"/>
  <c r="BO106" i="12"/>
  <c r="BO30" i="12"/>
  <c r="BO130" i="12"/>
  <c r="BN141" i="12"/>
  <c r="BP141" i="12" s="1"/>
  <c r="BN195" i="12"/>
  <c r="BP195" i="12" s="1"/>
  <c r="BO82" i="12"/>
  <c r="BO46" i="12"/>
  <c r="BO212" i="12"/>
  <c r="BN53" i="12"/>
  <c r="BP53" i="12" s="1"/>
  <c r="BO162" i="12"/>
  <c r="BN214" i="12"/>
  <c r="BP214" i="12" s="1"/>
  <c r="BN193" i="12"/>
  <c r="BP193" i="12" s="1"/>
  <c r="BN23" i="12"/>
  <c r="BP23" i="12" s="1"/>
  <c r="BO72" i="12"/>
  <c r="BN52" i="12"/>
  <c r="BP52" i="12" s="1"/>
  <c r="BN74" i="12"/>
  <c r="BP74" i="12" s="1"/>
  <c r="BO164" i="12"/>
  <c r="BN164" i="12"/>
  <c r="BP164" i="12" s="1"/>
  <c r="BO59" i="12"/>
  <c r="BO136" i="12"/>
  <c r="BO183" i="12"/>
  <c r="BO85" i="12"/>
  <c r="BO129" i="12"/>
  <c r="BN54" i="12"/>
  <c r="BP54" i="12" s="1"/>
  <c r="BO207" i="12"/>
  <c r="BO187" i="12"/>
  <c r="BO215" i="12"/>
  <c r="BO218" i="12"/>
  <c r="BN73" i="12"/>
  <c r="BP73" i="12" s="1"/>
  <c r="BN68" i="12"/>
  <c r="BP68" i="12" s="1"/>
  <c r="BO125" i="12"/>
  <c r="BN148" i="12"/>
  <c r="BP148" i="12" s="1"/>
  <c r="BN200" i="12"/>
  <c r="BP200" i="12" s="1"/>
  <c r="BN18" i="12"/>
  <c r="BP18" i="12" s="1"/>
  <c r="BO57" i="12"/>
  <c r="BN207" i="12"/>
  <c r="BP207" i="12" s="1"/>
  <c r="BO151" i="12"/>
  <c r="BO196" i="12"/>
  <c r="BN140" i="12"/>
  <c r="BP140" i="12" s="1"/>
  <c r="BO58" i="12"/>
  <c r="BO178" i="12"/>
  <c r="BN203" i="12"/>
  <c r="BP203" i="12" s="1"/>
  <c r="BO135" i="12"/>
  <c r="BO142" i="12"/>
  <c r="BN186" i="12"/>
  <c r="BP186" i="12" s="1"/>
  <c r="BO64" i="12"/>
  <c r="BN126" i="12"/>
  <c r="BP126" i="12" s="1"/>
  <c r="BO199" i="12"/>
  <c r="BN35" i="12"/>
  <c r="BP35" i="12" s="1"/>
  <c r="BO166" i="12"/>
  <c r="BN33" i="12"/>
  <c r="BP33" i="12" s="1"/>
  <c r="BO163" i="12"/>
  <c r="BO172" i="12"/>
  <c r="BO134" i="12"/>
  <c r="BO32" i="12"/>
  <c r="BN206" i="12"/>
  <c r="BP206" i="12" s="1"/>
  <c r="BO90" i="12"/>
  <c r="BN100" i="12"/>
  <c r="BP100" i="12" s="1"/>
  <c r="BN4" i="12"/>
  <c r="BP4" i="12" s="1"/>
  <c r="BO7" i="12"/>
  <c r="BO16" i="12"/>
  <c r="BO88" i="12"/>
  <c r="BN138" i="12"/>
  <c r="BP138" i="12" s="1"/>
  <c r="BO179" i="12"/>
  <c r="BO148" i="12"/>
  <c r="BN5" i="12"/>
  <c r="BP5" i="12" s="1"/>
  <c r="BO4" i="12"/>
  <c r="BN7" i="12"/>
  <c r="BN3" i="12"/>
  <c r="BP3" i="12" s="1"/>
  <c r="BN6" i="12"/>
  <c r="BO3" i="12"/>
  <c r="CQ182" i="12"/>
  <c r="CP145" i="12"/>
  <c r="EH145" i="12" s="1"/>
  <c r="CQ56" i="12"/>
  <c r="CP158" i="12"/>
  <c r="EH158" i="12" s="1"/>
  <c r="CP9" i="12"/>
  <c r="EH9" i="12" s="1"/>
  <c r="CQ153" i="12"/>
  <c r="CQ101" i="12"/>
  <c r="CP213" i="12"/>
  <c r="EH213" i="12" s="1"/>
  <c r="CP81" i="12"/>
  <c r="EH81" i="12" s="1"/>
  <c r="CP185" i="12"/>
  <c r="EH185" i="12" s="1"/>
  <c r="CP98" i="12"/>
  <c r="EH98" i="12" s="1"/>
  <c r="CP61" i="12"/>
  <c r="EH61" i="12" s="1"/>
  <c r="CP11" i="12"/>
  <c r="EH11" i="12" s="1"/>
  <c r="CQ207" i="12"/>
  <c r="CQ122" i="12"/>
  <c r="CQ7" i="12"/>
  <c r="CP209" i="12"/>
  <c r="EH209" i="12" s="1"/>
  <c r="CQ20" i="12"/>
  <c r="CQ188" i="12"/>
  <c r="CQ137" i="12"/>
  <c r="CQ117" i="12"/>
  <c r="CQ41" i="12"/>
  <c r="CQ62" i="12"/>
  <c r="CQ39" i="12"/>
  <c r="CQ167" i="12"/>
  <c r="CQ216" i="12"/>
  <c r="CQ163" i="12"/>
  <c r="CP172" i="12"/>
  <c r="EH172" i="12" s="1"/>
  <c r="CP57" i="12"/>
  <c r="EH57" i="12" s="1"/>
  <c r="CQ74" i="12"/>
  <c r="CQ9" i="12"/>
  <c r="CQ58" i="12"/>
  <c r="CQ103" i="12"/>
  <c r="CP121" i="12"/>
  <c r="EH121" i="12" s="1"/>
  <c r="CP212" i="12"/>
  <c r="EH212" i="12" s="1"/>
  <c r="CP125" i="12"/>
  <c r="EH125" i="12" s="1"/>
  <c r="CP124" i="12"/>
  <c r="EH124" i="12" s="1"/>
  <c r="CP38" i="12"/>
  <c r="EH38" i="12" s="1"/>
  <c r="CQ78" i="12"/>
  <c r="CP4" i="12"/>
  <c r="EH4" i="12" s="1"/>
  <c r="CQ57" i="12"/>
  <c r="CP179" i="12"/>
  <c r="EH179" i="12" s="1"/>
  <c r="CQ165" i="12"/>
  <c r="CP157" i="12"/>
  <c r="EH157" i="12" s="1"/>
  <c r="CP55" i="12"/>
  <c r="EH55" i="12" s="1"/>
  <c r="CP105" i="12"/>
  <c r="EH105" i="12" s="1"/>
  <c r="CP146" i="12"/>
  <c r="EH146" i="12" s="1"/>
  <c r="CP82" i="12"/>
  <c r="EH82" i="12" s="1"/>
  <c r="CP109" i="12"/>
  <c r="EH109" i="12" s="1"/>
  <c r="CQ164" i="12"/>
  <c r="CM2" i="12"/>
  <c r="CP26" i="12"/>
  <c r="EH26" i="12" s="1"/>
  <c r="CQ119" i="12"/>
  <c r="CQ192" i="12"/>
  <c r="CP18" i="12"/>
  <c r="EH18" i="12" s="1"/>
  <c r="CQ90" i="12"/>
  <c r="CP116" i="12"/>
  <c r="EH116" i="12" s="1"/>
  <c r="CP182" i="12"/>
  <c r="EH182" i="12" s="1"/>
  <c r="CQ214" i="12"/>
  <c r="CQ179" i="12"/>
  <c r="CP62" i="12"/>
  <c r="EH62" i="12" s="1"/>
  <c r="CP34" i="12"/>
  <c r="EH34" i="12" s="1"/>
  <c r="CQ145" i="12"/>
  <c r="CP44" i="12"/>
  <c r="EH44" i="12" s="1"/>
  <c r="CQ11" i="12"/>
  <c r="CP27" i="12"/>
  <c r="EH27" i="12" s="1"/>
  <c r="CP110" i="12"/>
  <c r="EH110" i="12" s="1"/>
  <c r="CP163" i="12"/>
  <c r="EH163" i="12" s="1"/>
  <c r="CQ84" i="12"/>
  <c r="CQ128" i="12"/>
  <c r="CQ80" i="12"/>
  <c r="CP136" i="12"/>
  <c r="EH136" i="12" s="1"/>
  <c r="CP49" i="12"/>
  <c r="EH49" i="12" s="1"/>
  <c r="CP17" i="12"/>
  <c r="EH17" i="12" s="1"/>
  <c r="CP7" i="12"/>
  <c r="EH7" i="12" s="1"/>
  <c r="CP10" i="12"/>
  <c r="EH10" i="12" s="1"/>
  <c r="CP138" i="12"/>
  <c r="EH138" i="12" s="1"/>
  <c r="CP20" i="12"/>
  <c r="EH20" i="12" s="1"/>
  <c r="CQ174" i="12"/>
  <c r="CP175" i="12"/>
  <c r="EH175" i="12" s="1"/>
  <c r="CP161" i="12"/>
  <c r="EH161" i="12" s="1"/>
  <c r="CP184" i="12"/>
  <c r="EH184" i="12" s="1"/>
  <c r="CQ217" i="12"/>
  <c r="CP71" i="12"/>
  <c r="EH71" i="12" s="1"/>
  <c r="CP5" i="12"/>
  <c r="EH5" i="12" s="1"/>
  <c r="CQ180" i="12"/>
  <c r="CQ166" i="12"/>
  <c r="CP191" i="12"/>
  <c r="EH191" i="12" s="1"/>
  <c r="CP165" i="12"/>
  <c r="EH165" i="12" s="1"/>
  <c r="CQ184" i="12"/>
  <c r="CQ106" i="12"/>
  <c r="CQ93" i="12"/>
  <c r="CP89" i="12"/>
  <c r="EH89" i="12" s="1"/>
  <c r="CQ196" i="12"/>
  <c r="CQ4" i="12"/>
  <c r="CP126" i="12"/>
  <c r="EH126" i="12" s="1"/>
  <c r="CQ206" i="12"/>
  <c r="CQ67" i="12"/>
  <c r="CQ50" i="12"/>
  <c r="CQ37" i="12"/>
  <c r="CQ203" i="12"/>
  <c r="CP155" i="12"/>
  <c r="EH155" i="12" s="1"/>
  <c r="CQ25" i="12"/>
  <c r="CQ3" i="12"/>
  <c r="CP88" i="12"/>
  <c r="EH88" i="12" s="1"/>
  <c r="CP205" i="12"/>
  <c r="EH205" i="12" s="1"/>
  <c r="CP173" i="12"/>
  <c r="EH173" i="12" s="1"/>
  <c r="CQ65" i="12"/>
  <c r="CP123" i="12"/>
  <c r="EH123" i="12" s="1"/>
  <c r="CP42" i="12"/>
  <c r="EH42" i="12" s="1"/>
  <c r="CQ40" i="12"/>
  <c r="CP65" i="12"/>
  <c r="EH65" i="12" s="1"/>
  <c r="CQ118" i="12"/>
  <c r="CP13" i="12"/>
  <c r="EH13" i="12" s="1"/>
  <c r="CP193" i="12"/>
  <c r="EH193" i="12" s="1"/>
  <c r="CP196" i="12"/>
  <c r="EH196" i="12" s="1"/>
  <c r="CP45" i="12"/>
  <c r="EH45" i="12" s="1"/>
  <c r="CQ28" i="12"/>
  <c r="CP118" i="12"/>
  <c r="EH118" i="12" s="1"/>
  <c r="CP14" i="12"/>
  <c r="EH14" i="12" s="1"/>
  <c r="CQ34" i="12"/>
  <c r="CP159" i="12"/>
  <c r="EH159" i="12" s="1"/>
  <c r="CQ38" i="12"/>
  <c r="CQ19" i="12"/>
  <c r="CQ111" i="12"/>
  <c r="CQ96" i="12"/>
  <c r="CQ73" i="12"/>
  <c r="CQ112" i="12"/>
  <c r="CQ17" i="12"/>
  <c r="CP139" i="12"/>
  <c r="EH139" i="12" s="1"/>
  <c r="CQ55" i="12"/>
  <c r="CQ66" i="12"/>
  <c r="CP104" i="12"/>
  <c r="EH104" i="12" s="1"/>
  <c r="CP77" i="12"/>
  <c r="EH77" i="12" s="1"/>
  <c r="CQ149" i="12"/>
  <c r="CP160" i="12"/>
  <c r="EH160" i="12" s="1"/>
  <c r="CQ31" i="12"/>
  <c r="CQ125" i="12"/>
  <c r="CQ69" i="12"/>
  <c r="CQ200" i="12"/>
  <c r="CQ169" i="12"/>
  <c r="CQ193" i="12"/>
  <c r="CQ23" i="12"/>
  <c r="CP154" i="12"/>
  <c r="EH154" i="12" s="1"/>
  <c r="CQ136" i="12"/>
  <c r="CQ54" i="12"/>
  <c r="CP164" i="12"/>
  <c r="EH164" i="12" s="1"/>
  <c r="CP211" i="12"/>
  <c r="EH211" i="12" s="1"/>
  <c r="CP60" i="12"/>
  <c r="EH60" i="12" s="1"/>
  <c r="CQ70" i="12"/>
  <c r="CQ154" i="12"/>
  <c r="CP50" i="12"/>
  <c r="EH50" i="12" s="1"/>
  <c r="CP114" i="12"/>
  <c r="EH114" i="12" s="1"/>
  <c r="CP33" i="12"/>
  <c r="EH33" i="12" s="1"/>
  <c r="CP39" i="12"/>
  <c r="EH39" i="12" s="1"/>
  <c r="CP117" i="12"/>
  <c r="EH117" i="12" s="1"/>
  <c r="CP58" i="12"/>
  <c r="EH58" i="12" s="1"/>
  <c r="CQ24" i="12"/>
  <c r="CP12" i="12"/>
  <c r="EH12" i="12" s="1"/>
  <c r="CQ99" i="12"/>
  <c r="CP41" i="12"/>
  <c r="EH41" i="12" s="1"/>
  <c r="CP203" i="12"/>
  <c r="EH203" i="12" s="1"/>
  <c r="CP3" i="12"/>
  <c r="EH3" i="12" s="1"/>
  <c r="CQ209" i="12"/>
  <c r="CP101" i="12"/>
  <c r="EH101" i="12" s="1"/>
  <c r="CQ144" i="12"/>
  <c r="CQ18" i="12"/>
  <c r="CQ133" i="12"/>
  <c r="CP19" i="12"/>
  <c r="EH19" i="12" s="1"/>
  <c r="CQ215" i="12"/>
  <c r="CP177" i="12"/>
  <c r="EH177" i="12" s="1"/>
  <c r="CP214" i="12"/>
  <c r="EH214" i="12" s="1"/>
  <c r="CP197" i="12"/>
  <c r="EH197" i="12" s="1"/>
  <c r="CQ105" i="12"/>
  <c r="CQ36" i="12"/>
  <c r="CQ51" i="12"/>
  <c r="CQ81" i="12"/>
  <c r="CQ168" i="12"/>
  <c r="CQ42" i="12"/>
  <c r="CP206" i="12"/>
  <c r="EH206" i="12" s="1"/>
  <c r="CQ170" i="12"/>
  <c r="CQ140" i="12"/>
  <c r="CQ120" i="12"/>
  <c r="CP47" i="12"/>
  <c r="EH47" i="12" s="1"/>
  <c r="CQ146" i="12"/>
  <c r="CP31" i="12"/>
  <c r="EH31" i="12" s="1"/>
  <c r="CP210" i="12"/>
  <c r="EH210" i="12" s="1"/>
  <c r="CP194" i="12"/>
  <c r="EH194" i="12" s="1"/>
  <c r="CP220" i="12"/>
  <c r="EH220" i="12" s="1"/>
  <c r="CQ186" i="12"/>
  <c r="CQ134" i="12"/>
  <c r="CP133" i="12"/>
  <c r="EH133" i="12" s="1"/>
  <c r="CP8" i="12"/>
  <c r="EH8" i="12" s="1"/>
  <c r="CP188" i="12"/>
  <c r="EH188" i="12" s="1"/>
  <c r="CP15" i="12"/>
  <c r="EH15" i="12" s="1"/>
  <c r="CP59" i="12"/>
  <c r="EH59" i="12" s="1"/>
  <c r="CQ181" i="12"/>
  <c r="CQ219" i="12"/>
  <c r="CQ52" i="12"/>
  <c r="CQ115" i="12"/>
  <c r="CQ141" i="12"/>
  <c r="CQ143" i="12"/>
  <c r="CP135" i="12"/>
  <c r="EH135" i="12" s="1"/>
  <c r="CP130" i="12"/>
  <c r="EH130" i="12" s="1"/>
  <c r="CP167" i="12"/>
  <c r="EH167" i="12" s="1"/>
  <c r="CP102" i="12"/>
  <c r="EH102" i="12" s="1"/>
  <c r="CP170" i="12"/>
  <c r="EH170" i="12" s="1"/>
  <c r="CP80" i="12"/>
  <c r="EH80" i="12" s="1"/>
  <c r="CP199" i="12"/>
  <c r="EH199" i="12" s="1"/>
  <c r="CP53" i="12"/>
  <c r="EH53" i="12" s="1"/>
  <c r="CQ76" i="12"/>
  <c r="CP100" i="12"/>
  <c r="EH100" i="12" s="1"/>
  <c r="CQ32" i="12"/>
  <c r="CP37" i="12"/>
  <c r="EH37" i="12" s="1"/>
  <c r="CQ27" i="12"/>
  <c r="CQ175" i="12"/>
  <c r="CQ16" i="12"/>
  <c r="CQ212" i="12"/>
  <c r="CQ8" i="12"/>
  <c r="CQ161" i="12"/>
  <c r="CP192" i="12"/>
  <c r="EH192" i="12" s="1"/>
  <c r="CQ104" i="12"/>
  <c r="CP215" i="12"/>
  <c r="EH215" i="12" s="1"/>
  <c r="CQ102" i="12"/>
  <c r="CQ61" i="12"/>
  <c r="CQ178" i="12"/>
  <c r="CQ158" i="12"/>
  <c r="CQ79" i="12"/>
  <c r="CP137" i="12"/>
  <c r="EH137" i="12" s="1"/>
  <c r="CP21" i="12"/>
  <c r="EH21" i="12" s="1"/>
  <c r="CP32" i="12"/>
  <c r="EH32" i="12" s="1"/>
  <c r="CQ177" i="12"/>
  <c r="CP148" i="12"/>
  <c r="EH148" i="12" s="1"/>
  <c r="CQ198" i="12"/>
  <c r="CP174" i="12"/>
  <c r="EH174" i="12" s="1"/>
  <c r="CP140" i="12"/>
  <c r="EH140" i="12" s="1"/>
  <c r="CP134" i="12"/>
  <c r="EH134" i="12" s="1"/>
  <c r="CQ108" i="12"/>
  <c r="CP56" i="12"/>
  <c r="EH56" i="12" s="1"/>
  <c r="CQ88" i="12"/>
  <c r="CP120" i="12"/>
  <c r="EH120" i="12" s="1"/>
  <c r="CQ35" i="12"/>
  <c r="CP36" i="12"/>
  <c r="EH36" i="12" s="1"/>
  <c r="CP52" i="12"/>
  <c r="EH52" i="12" s="1"/>
  <c r="CQ195" i="12"/>
  <c r="CQ22" i="12"/>
  <c r="CQ131" i="12"/>
  <c r="CP168" i="12"/>
  <c r="EH168" i="12" s="1"/>
  <c r="CP66" i="12"/>
  <c r="EH66" i="12" s="1"/>
  <c r="CQ202" i="12"/>
  <c r="CP51" i="12"/>
  <c r="EH51" i="12" s="1"/>
  <c r="CP207" i="12"/>
  <c r="EH207" i="12" s="1"/>
  <c r="CP129" i="12"/>
  <c r="EH129" i="12" s="1"/>
  <c r="CQ160" i="12"/>
  <c r="CP68" i="12"/>
  <c r="EH68" i="12" s="1"/>
  <c r="CP79" i="12"/>
  <c r="EH79" i="12" s="1"/>
  <c r="CP29" i="12"/>
  <c r="EH29" i="12" s="1"/>
  <c r="CQ46" i="12"/>
  <c r="CQ123" i="12"/>
  <c r="CP54" i="12"/>
  <c r="EH54" i="12" s="1"/>
  <c r="CQ159" i="12"/>
  <c r="CP141" i="12"/>
  <c r="EH141" i="12" s="1"/>
  <c r="CP156" i="12"/>
  <c r="EH156" i="12" s="1"/>
  <c r="CP150" i="12"/>
  <c r="EH150" i="12" s="1"/>
  <c r="CQ71" i="12"/>
  <c r="CP108" i="12"/>
  <c r="EH108" i="12" s="1"/>
  <c r="CQ29" i="12"/>
  <c r="CP99" i="12"/>
  <c r="EH99" i="12" s="1"/>
  <c r="CP86" i="12"/>
  <c r="EH86" i="12" s="1"/>
  <c r="CP132" i="12"/>
  <c r="EH132" i="12" s="1"/>
  <c r="CQ45" i="12"/>
  <c r="CQ63" i="12"/>
  <c r="CP28" i="12"/>
  <c r="EH28" i="12" s="1"/>
  <c r="CQ176" i="12"/>
  <c r="CP201" i="12"/>
  <c r="EH201" i="12" s="1"/>
  <c r="CQ194" i="12"/>
  <c r="CQ13" i="12"/>
  <c r="CP106" i="12"/>
  <c r="EH106" i="12" s="1"/>
  <c r="CP43" i="12"/>
  <c r="EH43" i="12" s="1"/>
  <c r="CQ68" i="12"/>
  <c r="CQ33" i="12"/>
  <c r="CQ148" i="12"/>
  <c r="CQ98" i="12"/>
  <c r="CP176" i="12"/>
  <c r="EH176" i="12" s="1"/>
  <c r="CP111" i="12"/>
  <c r="EH111" i="12" s="1"/>
  <c r="CP217" i="12"/>
  <c r="EH217" i="12" s="1"/>
  <c r="CQ138" i="12"/>
  <c r="CP189" i="12"/>
  <c r="EH189" i="12" s="1"/>
  <c r="CQ121" i="12"/>
  <c r="CP46" i="12"/>
  <c r="EH46" i="12" s="1"/>
  <c r="CP162" i="12"/>
  <c r="EH162" i="12" s="1"/>
  <c r="CP178" i="12"/>
  <c r="EH178" i="12" s="1"/>
  <c r="CQ190" i="12"/>
  <c r="CP218" i="12"/>
  <c r="EH218" i="12" s="1"/>
  <c r="CP181" i="12"/>
  <c r="EH181" i="12" s="1"/>
  <c r="CP84" i="12"/>
  <c r="EH84" i="12" s="1"/>
  <c r="CQ220" i="12"/>
  <c r="CP23" i="12"/>
  <c r="EH23" i="12" s="1"/>
  <c r="CQ173" i="12"/>
  <c r="CQ82" i="12"/>
  <c r="CP83" i="12"/>
  <c r="EH83" i="12" s="1"/>
  <c r="CQ142" i="12"/>
  <c r="CQ201" i="12"/>
  <c r="CQ152" i="12"/>
  <c r="CP67" i="12"/>
  <c r="EH67" i="12" s="1"/>
  <c r="CQ113" i="12"/>
  <c r="CP113" i="12"/>
  <c r="EH113" i="12" s="1"/>
  <c r="CP198" i="12"/>
  <c r="EH198" i="12" s="1"/>
  <c r="CQ100" i="12"/>
  <c r="CP143" i="12"/>
  <c r="EH143" i="12" s="1"/>
  <c r="CP119" i="12"/>
  <c r="EH119" i="12" s="1"/>
  <c r="CQ85" i="12"/>
  <c r="CQ59" i="12"/>
  <c r="CQ48" i="12"/>
  <c r="CP75" i="12"/>
  <c r="EH75" i="12" s="1"/>
  <c r="CQ132" i="12"/>
  <c r="CQ156" i="12"/>
  <c r="CP72" i="12"/>
  <c r="EH72" i="12" s="1"/>
  <c r="CQ77" i="12"/>
  <c r="CP147" i="12"/>
  <c r="EH147" i="12" s="1"/>
  <c r="CP171" i="12"/>
  <c r="EH171" i="12" s="1"/>
  <c r="CQ64" i="12"/>
  <c r="CP96" i="12"/>
  <c r="EH96" i="12" s="1"/>
  <c r="CP152" i="12"/>
  <c r="EH152" i="12" s="1"/>
  <c r="CQ44" i="12"/>
  <c r="CQ189" i="12"/>
  <c r="CP74" i="12"/>
  <c r="EH74" i="12" s="1"/>
  <c r="CQ139" i="12"/>
  <c r="CQ191" i="12"/>
  <c r="CP92" i="12"/>
  <c r="EH92" i="12" s="1"/>
  <c r="CQ5" i="12"/>
  <c r="CQ127" i="12"/>
  <c r="CP35" i="12"/>
  <c r="EH35" i="12" s="1"/>
  <c r="CP166" i="12"/>
  <c r="EH166" i="12" s="1"/>
  <c r="CP103" i="12"/>
  <c r="EH103" i="12" s="1"/>
  <c r="CQ205" i="12"/>
  <c r="CP91" i="12"/>
  <c r="EH91" i="12" s="1"/>
  <c r="CP216" i="12"/>
  <c r="EH216" i="12" s="1"/>
  <c r="CQ97" i="12"/>
  <c r="CP208" i="12"/>
  <c r="EH208" i="12" s="1"/>
  <c r="CQ162" i="12"/>
  <c r="CP93" i="12"/>
  <c r="EH93" i="12" s="1"/>
  <c r="CQ83" i="12"/>
  <c r="CQ208" i="12"/>
  <c r="CQ150" i="12"/>
  <c r="CQ109" i="12"/>
  <c r="CP95" i="12"/>
  <c r="EH95" i="12" s="1"/>
  <c r="CP97" i="12"/>
  <c r="EH97" i="12" s="1"/>
  <c r="CQ172" i="12"/>
  <c r="CQ199" i="12"/>
  <c r="CP87" i="12"/>
  <c r="EH87" i="12" s="1"/>
  <c r="CQ94" i="12"/>
  <c r="CQ89" i="12"/>
  <c r="CQ49" i="12"/>
  <c r="CQ72" i="12"/>
  <c r="CQ15" i="12"/>
  <c r="CQ211" i="12"/>
  <c r="CQ43" i="12"/>
  <c r="CQ129" i="12"/>
  <c r="CQ95" i="12"/>
  <c r="CP180" i="12"/>
  <c r="EH180" i="12" s="1"/>
  <c r="CP6" i="12"/>
  <c r="EH6" i="12" s="1"/>
  <c r="CP151" i="12"/>
  <c r="EH151" i="12" s="1"/>
  <c r="CQ87" i="12"/>
  <c r="CQ183" i="12"/>
  <c r="CP73" i="12"/>
  <c r="EH73" i="12" s="1"/>
  <c r="CQ6" i="12"/>
  <c r="CP69" i="12"/>
  <c r="EH69" i="12" s="1"/>
  <c r="CQ53" i="12"/>
  <c r="CP149" i="12"/>
  <c r="EH149" i="12" s="1"/>
  <c r="CP112" i="12"/>
  <c r="EH112" i="12" s="1"/>
  <c r="CQ147" i="12"/>
  <c r="CQ110" i="12"/>
  <c r="CP76" i="12"/>
  <c r="EH76" i="12" s="1"/>
  <c r="CQ210" i="12"/>
  <c r="CQ157" i="12"/>
  <c r="CP107" i="12"/>
  <c r="EH107" i="12" s="1"/>
  <c r="CQ116" i="12"/>
  <c r="CP70" i="12"/>
  <c r="EH70" i="12" s="1"/>
  <c r="CP187" i="12"/>
  <c r="EH187" i="12" s="1"/>
  <c r="CP16" i="12"/>
  <c r="EH16" i="12" s="1"/>
  <c r="CQ135" i="12"/>
  <c r="CP195" i="12"/>
  <c r="EH195" i="12" s="1"/>
  <c r="CP22" i="12"/>
  <c r="EH22" i="12" s="1"/>
  <c r="CQ92" i="12"/>
  <c r="CP30" i="12"/>
  <c r="EH30" i="12" s="1"/>
  <c r="CQ26" i="12"/>
  <c r="CQ187" i="12"/>
  <c r="CP131" i="12"/>
  <c r="EH131" i="12" s="1"/>
  <c r="CP169" i="12"/>
  <c r="EH169" i="12" s="1"/>
  <c r="CP64" i="12"/>
  <c r="EH64" i="12" s="1"/>
  <c r="CQ10" i="12"/>
  <c r="CQ130" i="12"/>
  <c r="CP40" i="12"/>
  <c r="EH40" i="12" s="1"/>
  <c r="CP122" i="12"/>
  <c r="EH122" i="12" s="1"/>
  <c r="CQ47" i="12"/>
  <c r="CQ197" i="12"/>
  <c r="CQ114" i="12"/>
  <c r="CQ155" i="12"/>
  <c r="CP90" i="12"/>
  <c r="EH90" i="12" s="1"/>
  <c r="CP219" i="12"/>
  <c r="EH219" i="12" s="1"/>
  <c r="CP78" i="12"/>
  <c r="EH78" i="12" s="1"/>
  <c r="CP24" i="12"/>
  <c r="EH24" i="12" s="1"/>
  <c r="CQ171" i="12"/>
  <c r="CQ86" i="12"/>
  <c r="CP115" i="12"/>
  <c r="EH115" i="12" s="1"/>
  <c r="CP94" i="12"/>
  <c r="EH94" i="12" s="1"/>
  <c r="CP204" i="12"/>
  <c r="EH204" i="12" s="1"/>
  <c r="CQ75" i="12"/>
  <c r="S56" i="12"/>
  <c r="CP63" i="12"/>
  <c r="EH63" i="12" s="1"/>
  <c r="CP127" i="12"/>
  <c r="EH127" i="12" s="1"/>
  <c r="CQ60" i="12"/>
  <c r="CQ107" i="12"/>
  <c r="CQ14" i="12"/>
  <c r="CQ21" i="12"/>
  <c r="CP186" i="12"/>
  <c r="EH186" i="12" s="1"/>
  <c r="CP144" i="12"/>
  <c r="EH144" i="12" s="1"/>
  <c r="CQ124" i="12"/>
  <c r="CP25" i="12"/>
  <c r="EH25" i="12" s="1"/>
  <c r="CQ185" i="12"/>
  <c r="CP85" i="12"/>
  <c r="EH85" i="12" s="1"/>
  <c r="CQ213" i="12"/>
  <c r="CQ126" i="12"/>
  <c r="CP48" i="12"/>
  <c r="EH48" i="12" s="1"/>
  <c r="CQ151" i="12"/>
  <c r="CP153" i="12"/>
  <c r="EH153" i="12" s="1"/>
  <c r="CQ12" i="12"/>
  <c r="CP128" i="12"/>
  <c r="EH128" i="12" s="1"/>
  <c r="CP200" i="12"/>
  <c r="EH200" i="12" s="1"/>
  <c r="CQ30" i="12"/>
  <c r="CQ91" i="12"/>
  <c r="CP183" i="12"/>
  <c r="EH183" i="12" s="1"/>
  <c r="CP142" i="12"/>
  <c r="EH142" i="12" s="1"/>
  <c r="CP202" i="12"/>
  <c r="EH202" i="12" s="1"/>
  <c r="CQ218" i="12"/>
  <c r="CP190" i="12"/>
  <c r="EH190" i="12" s="1"/>
  <c r="CU79" i="12"/>
  <c r="HT23" i="12"/>
  <c r="HO24" i="12"/>
  <c r="AQ100" i="12"/>
  <c r="AQ104" i="12" s="1"/>
  <c r="JH4" i="12"/>
  <c r="JK4" i="12" s="1"/>
  <c r="JL4" i="12" s="1"/>
  <c r="EA4" i="12" s="1"/>
  <c r="CX35" i="12" s="1"/>
  <c r="JK3" i="12"/>
  <c r="JL3" i="12" s="1"/>
  <c r="EA3" i="12" s="1"/>
  <c r="DK199" i="12"/>
  <c r="DK200" i="12" s="1"/>
  <c r="DK201" i="12" s="1"/>
  <c r="DK202" i="12" s="1"/>
  <c r="DK203" i="12" s="1"/>
  <c r="DK204" i="12" s="1"/>
  <c r="DK205" i="12" s="1"/>
  <c r="DK206" i="12"/>
  <c r="DK207" i="12" s="1"/>
  <c r="DK208" i="12" s="1"/>
  <c r="DK209" i="12" s="1"/>
  <c r="DK210" i="12" s="1"/>
  <c r="FU116" i="12"/>
  <c r="GR116" i="12" s="1"/>
  <c r="FR117" i="12"/>
  <c r="CX2214" i="12"/>
  <c r="BP6" i="12" l="1"/>
  <c r="S57" i="12"/>
  <c r="S61" i="12" s="1"/>
  <c r="S62" i="12" s="1"/>
  <c r="S96" i="12" s="1"/>
  <c r="T106" i="12" s="1"/>
  <c r="U106" i="12" s="1"/>
  <c r="V106" i="12" s="1"/>
  <c r="EE2" i="12"/>
  <c r="CR2" i="12"/>
  <c r="CR1" i="12"/>
  <c r="CU80" i="12"/>
  <c r="HT24" i="12"/>
  <c r="HO25" i="12"/>
  <c r="AQ105" i="12"/>
  <c r="JH5" i="12"/>
  <c r="JK5" i="12" s="1"/>
  <c r="JL5" i="12" s="1"/>
  <c r="EA5" i="12" s="1"/>
  <c r="CX45" i="12" s="1"/>
  <c r="CX29" i="12"/>
  <c r="CX21" i="12"/>
  <c r="CX28" i="12"/>
  <c r="CX31" i="12"/>
  <c r="CX30" i="12"/>
  <c r="CX26" i="12"/>
  <c r="CX22" i="12"/>
  <c r="CX25" i="12"/>
  <c r="CX33" i="12"/>
  <c r="CX37" i="12"/>
  <c r="CX36" i="12"/>
  <c r="CX27" i="12"/>
  <c r="CX23" i="12"/>
  <c r="CX24" i="12"/>
  <c r="CX32" i="12"/>
  <c r="CX34" i="12"/>
  <c r="CX13" i="12"/>
  <c r="CX17" i="12"/>
  <c r="CX8" i="12"/>
  <c r="CX15" i="12"/>
  <c r="CX10" i="12"/>
  <c r="CX19" i="12"/>
  <c r="CX18" i="12"/>
  <c r="CX4" i="12"/>
  <c r="CX14" i="12"/>
  <c r="CX3" i="12"/>
  <c r="CX11" i="12"/>
  <c r="CX5" i="12"/>
  <c r="CX6" i="12"/>
  <c r="CX16" i="12"/>
  <c r="CX12" i="12"/>
  <c r="CX9" i="12"/>
  <c r="CX7" i="12"/>
  <c r="DK211" i="12"/>
  <c r="DK212" i="12"/>
  <c r="DK213" i="12" s="1"/>
  <c r="DK214" i="12" s="1"/>
  <c r="DK215" i="12" s="1"/>
  <c r="DK216" i="12" s="1"/>
  <c r="FU117" i="12"/>
  <c r="GR117" i="12" s="1"/>
  <c r="FR118" i="12"/>
  <c r="CX2215" i="12"/>
  <c r="T143" i="12" l="1"/>
  <c r="U143" i="12" s="1"/>
  <c r="V143" i="12" s="1"/>
  <c r="T52" i="12"/>
  <c r="U52" i="12" s="1"/>
  <c r="V52" i="12" s="1"/>
  <c r="T14" i="12"/>
  <c r="U14" i="12" s="1"/>
  <c r="V14" i="12" s="1"/>
  <c r="T136" i="12"/>
  <c r="U136" i="12" s="1"/>
  <c r="V136" i="12" s="1"/>
  <c r="T152" i="12"/>
  <c r="U152" i="12" s="1"/>
  <c r="V152" i="12" s="1"/>
  <c r="T124" i="12"/>
  <c r="U124" i="12" s="1"/>
  <c r="V124" i="12" s="1"/>
  <c r="T57" i="12"/>
  <c r="U57" i="12" s="1"/>
  <c r="V57" i="12" s="1"/>
  <c r="T11" i="12"/>
  <c r="U11" i="12" s="1"/>
  <c r="T55" i="12"/>
  <c r="U55" i="12" s="1"/>
  <c r="V55" i="12" s="1"/>
  <c r="T10" i="12"/>
  <c r="U10" i="12" s="1"/>
  <c r="T172" i="12"/>
  <c r="U172" i="12" s="1"/>
  <c r="V172" i="12" s="1"/>
  <c r="T201" i="12"/>
  <c r="U201" i="12" s="1"/>
  <c r="V201" i="12" s="1"/>
  <c r="T23" i="12"/>
  <c r="U23" i="12" s="1"/>
  <c r="V23" i="12" s="1"/>
  <c r="T207" i="12"/>
  <c r="U207" i="12" s="1"/>
  <c r="V207" i="12" s="1"/>
  <c r="T130" i="12"/>
  <c r="U130" i="12" s="1"/>
  <c r="V130" i="12" s="1"/>
  <c r="T77" i="12"/>
  <c r="U77" i="12" s="1"/>
  <c r="V77" i="12" s="1"/>
  <c r="T63" i="12"/>
  <c r="U63" i="12" s="1"/>
  <c r="V63" i="12" s="1"/>
  <c r="T3" i="12"/>
  <c r="U3" i="12" s="1"/>
  <c r="V3" i="12" s="1"/>
  <c r="T4" i="12"/>
  <c r="U4" i="12" s="1"/>
  <c r="V4" i="12" s="1"/>
  <c r="T28" i="12"/>
  <c r="U28" i="12" s="1"/>
  <c r="V28" i="12" s="1"/>
  <c r="T174" i="12"/>
  <c r="U174" i="12" s="1"/>
  <c r="V174" i="12" s="1"/>
  <c r="T144" i="12"/>
  <c r="U144" i="12" s="1"/>
  <c r="V144" i="12" s="1"/>
  <c r="T196" i="12"/>
  <c r="U196" i="12" s="1"/>
  <c r="V196" i="12" s="1"/>
  <c r="T178" i="12"/>
  <c r="U178" i="12" s="1"/>
  <c r="V178" i="12" s="1"/>
  <c r="T146" i="12"/>
  <c r="U146" i="12" s="1"/>
  <c r="V146" i="12" s="1"/>
  <c r="T185" i="12"/>
  <c r="U185" i="12" s="1"/>
  <c r="V185" i="12" s="1"/>
  <c r="T83" i="12"/>
  <c r="U83" i="12" s="1"/>
  <c r="V83" i="12" s="1"/>
  <c r="T188" i="12"/>
  <c r="U188" i="12" s="1"/>
  <c r="V188" i="12" s="1"/>
  <c r="T30" i="12"/>
  <c r="U30" i="12" s="1"/>
  <c r="V30" i="12" s="1"/>
  <c r="T113" i="12"/>
  <c r="U113" i="12" s="1"/>
  <c r="V113" i="12" s="1"/>
  <c r="T140" i="12"/>
  <c r="U140" i="12" s="1"/>
  <c r="V140" i="12" s="1"/>
  <c r="T17" i="12"/>
  <c r="U17" i="12" s="1"/>
  <c r="V17" i="12" s="1"/>
  <c r="T25" i="12"/>
  <c r="U25" i="12" s="1"/>
  <c r="V25" i="12" s="1"/>
  <c r="T127" i="12"/>
  <c r="U127" i="12" s="1"/>
  <c r="V127" i="12" s="1"/>
  <c r="T39" i="12"/>
  <c r="U39" i="12" s="1"/>
  <c r="V39" i="12" s="1"/>
  <c r="T68" i="12"/>
  <c r="U68" i="12" s="1"/>
  <c r="V68" i="12" s="1"/>
  <c r="T145" i="12"/>
  <c r="U145" i="12" s="1"/>
  <c r="V145" i="12" s="1"/>
  <c r="T165" i="12"/>
  <c r="U165" i="12" s="1"/>
  <c r="V165" i="12" s="1"/>
  <c r="T35" i="12"/>
  <c r="U35" i="12" s="1"/>
  <c r="V35" i="12" s="1"/>
  <c r="T115" i="12"/>
  <c r="U115" i="12" s="1"/>
  <c r="V115" i="12" s="1"/>
  <c r="T141" i="12"/>
  <c r="U141" i="12" s="1"/>
  <c r="V141" i="12" s="1"/>
  <c r="T210" i="12"/>
  <c r="U210" i="12" s="1"/>
  <c r="V210" i="12" s="1"/>
  <c r="T92" i="12"/>
  <c r="U92" i="12" s="1"/>
  <c r="V92" i="12" s="1"/>
  <c r="T81" i="12"/>
  <c r="U81" i="12" s="1"/>
  <c r="V81" i="12" s="1"/>
  <c r="T150" i="12"/>
  <c r="U150" i="12" s="1"/>
  <c r="V150" i="12" s="1"/>
  <c r="T44" i="12"/>
  <c r="U44" i="12" s="1"/>
  <c r="V44" i="12" s="1"/>
  <c r="T139" i="12"/>
  <c r="U139" i="12" s="1"/>
  <c r="V139" i="12" s="1"/>
  <c r="T179" i="12"/>
  <c r="U179" i="12" s="1"/>
  <c r="V179" i="12" s="1"/>
  <c r="T205" i="12"/>
  <c r="U205" i="12" s="1"/>
  <c r="V205" i="12" s="1"/>
  <c r="T169" i="12"/>
  <c r="U169" i="12" s="1"/>
  <c r="V169" i="12" s="1"/>
  <c r="T22" i="12"/>
  <c r="U22" i="12" s="1"/>
  <c r="V22" i="12" s="1"/>
  <c r="T132" i="12"/>
  <c r="U132" i="12" s="1"/>
  <c r="V132" i="12" s="1"/>
  <c r="T195" i="12"/>
  <c r="U195" i="12" s="1"/>
  <c r="V195" i="12" s="1"/>
  <c r="T182" i="12"/>
  <c r="U182" i="12" s="1"/>
  <c r="V182" i="12" s="1"/>
  <c r="T214" i="12"/>
  <c r="U214" i="12" s="1"/>
  <c r="V214" i="12" s="1"/>
  <c r="T181" i="12"/>
  <c r="U181" i="12" s="1"/>
  <c r="V181" i="12" s="1"/>
  <c r="T48" i="12"/>
  <c r="U48" i="12" s="1"/>
  <c r="V48" i="12" s="1"/>
  <c r="T85" i="12"/>
  <c r="U85" i="12" s="1"/>
  <c r="V85" i="12" s="1"/>
  <c r="T129" i="12"/>
  <c r="U129" i="12" s="1"/>
  <c r="V129" i="12" s="1"/>
  <c r="T161" i="12"/>
  <c r="U161" i="12" s="1"/>
  <c r="V161" i="12" s="1"/>
  <c r="T98" i="12"/>
  <c r="U98" i="12" s="1"/>
  <c r="V98" i="12" s="1"/>
  <c r="T84" i="12"/>
  <c r="U84" i="12" s="1"/>
  <c r="V84" i="12" s="1"/>
  <c r="T107" i="12"/>
  <c r="U107" i="12" s="1"/>
  <c r="V107" i="12" s="1"/>
  <c r="T50" i="12"/>
  <c r="U50" i="12" s="1"/>
  <c r="V50" i="12" s="1"/>
  <c r="T47" i="12"/>
  <c r="U47" i="12" s="1"/>
  <c r="V47" i="12" s="1"/>
  <c r="T21" i="12"/>
  <c r="U21" i="12" s="1"/>
  <c r="V21" i="12" s="1"/>
  <c r="T24" i="12"/>
  <c r="U24" i="12" s="1"/>
  <c r="V24" i="12" s="1"/>
  <c r="T220" i="12"/>
  <c r="U220" i="12" s="1"/>
  <c r="V220" i="12" s="1"/>
  <c r="T79" i="12"/>
  <c r="U79" i="12" s="1"/>
  <c r="V79" i="12" s="1"/>
  <c r="T167" i="12"/>
  <c r="U167" i="12" s="1"/>
  <c r="V167" i="12" s="1"/>
  <c r="T76" i="12"/>
  <c r="U76" i="12" s="1"/>
  <c r="V76" i="12" s="1"/>
  <c r="T99" i="12"/>
  <c r="U99" i="12" s="1"/>
  <c r="V99" i="12" s="1"/>
  <c r="T58" i="12"/>
  <c r="U58" i="12" s="1"/>
  <c r="V58" i="12" s="1"/>
  <c r="T42" i="12"/>
  <c r="U42" i="12" s="1"/>
  <c r="V42" i="12" s="1"/>
  <c r="T219" i="12"/>
  <c r="U219" i="12" s="1"/>
  <c r="V219" i="12" s="1"/>
  <c r="T32" i="12"/>
  <c r="U32" i="12" s="1"/>
  <c r="V32" i="12" s="1"/>
  <c r="T73" i="12"/>
  <c r="U73" i="12" s="1"/>
  <c r="V73" i="12" s="1"/>
  <c r="T65" i="12"/>
  <c r="U65" i="12" s="1"/>
  <c r="V65" i="12" s="1"/>
  <c r="T41" i="12"/>
  <c r="U41" i="12" s="1"/>
  <c r="V41" i="12" s="1"/>
  <c r="T102" i="12"/>
  <c r="U102" i="12" s="1"/>
  <c r="V102" i="12" s="1"/>
  <c r="T180" i="12"/>
  <c r="U180" i="12" s="1"/>
  <c r="V180" i="12" s="1"/>
  <c r="T82" i="12"/>
  <c r="U82" i="12" s="1"/>
  <c r="V82" i="12" s="1"/>
  <c r="T27" i="12"/>
  <c r="U27" i="12" s="1"/>
  <c r="V27" i="12" s="1"/>
  <c r="T154" i="12"/>
  <c r="U154" i="12" s="1"/>
  <c r="V154" i="12" s="1"/>
  <c r="T18" i="12"/>
  <c r="U18" i="12" s="1"/>
  <c r="V18" i="12" s="1"/>
  <c r="T194" i="12"/>
  <c r="U194" i="12" s="1"/>
  <c r="V194" i="12" s="1"/>
  <c r="T116" i="12"/>
  <c r="U116" i="12" s="1"/>
  <c r="V116" i="12" s="1"/>
  <c r="T215" i="12"/>
  <c r="U215" i="12" s="1"/>
  <c r="V215" i="12" s="1"/>
  <c r="T51" i="12"/>
  <c r="U51" i="12" s="1"/>
  <c r="V51" i="12" s="1"/>
  <c r="T89" i="12"/>
  <c r="U89" i="12" s="1"/>
  <c r="V89" i="12" s="1"/>
  <c r="T91" i="12"/>
  <c r="U91" i="12" s="1"/>
  <c r="V91" i="12" s="1"/>
  <c r="T170" i="12"/>
  <c r="U170" i="12" s="1"/>
  <c r="V170" i="12" s="1"/>
  <c r="T123" i="12"/>
  <c r="U123" i="12" s="1"/>
  <c r="V123" i="12" s="1"/>
  <c r="T49" i="12"/>
  <c r="U49" i="12" s="1"/>
  <c r="V49" i="12" s="1"/>
  <c r="T12" i="12"/>
  <c r="U12" i="12" s="1"/>
  <c r="T19" i="12"/>
  <c r="U19" i="12" s="1"/>
  <c r="V19" i="12" s="1"/>
  <c r="T163" i="12"/>
  <c r="U163" i="12" s="1"/>
  <c r="V163" i="12" s="1"/>
  <c r="T40" i="12"/>
  <c r="U40" i="12" s="1"/>
  <c r="V40" i="12" s="1"/>
  <c r="T88" i="12"/>
  <c r="U88" i="12" s="1"/>
  <c r="V88" i="12" s="1"/>
  <c r="T189" i="12"/>
  <c r="U189" i="12" s="1"/>
  <c r="V189" i="12" s="1"/>
  <c r="T61" i="12"/>
  <c r="U61" i="12" s="1"/>
  <c r="V61" i="12" s="1"/>
  <c r="T192" i="12"/>
  <c r="U192" i="12" s="1"/>
  <c r="V192" i="12" s="1"/>
  <c r="T33" i="12"/>
  <c r="U33" i="12" s="1"/>
  <c r="V33" i="12" s="1"/>
  <c r="T78" i="12"/>
  <c r="U78" i="12" s="1"/>
  <c r="V78" i="12" s="1"/>
  <c r="T59" i="12"/>
  <c r="U59" i="12" s="1"/>
  <c r="V59" i="12" s="1"/>
  <c r="T111" i="12"/>
  <c r="U111" i="12" s="1"/>
  <c r="V111" i="12" s="1"/>
  <c r="T87" i="12"/>
  <c r="U87" i="12" s="1"/>
  <c r="V87" i="12" s="1"/>
  <c r="T216" i="12"/>
  <c r="U216" i="12" s="1"/>
  <c r="V216" i="12" s="1"/>
  <c r="T109" i="12"/>
  <c r="U109" i="12" s="1"/>
  <c r="V109" i="12" s="1"/>
  <c r="T105" i="12"/>
  <c r="U105" i="12" s="1"/>
  <c r="V105" i="12" s="1"/>
  <c r="T153" i="12"/>
  <c r="U153" i="12" s="1"/>
  <c r="V153" i="12" s="1"/>
  <c r="T29" i="12"/>
  <c r="U29" i="12" s="1"/>
  <c r="V29" i="12" s="1"/>
  <c r="T183" i="12"/>
  <c r="U183" i="12" s="1"/>
  <c r="V183" i="12" s="1"/>
  <c r="T131" i="12"/>
  <c r="U131" i="12" s="1"/>
  <c r="V131" i="12" s="1"/>
  <c r="T184" i="12"/>
  <c r="U184" i="12" s="1"/>
  <c r="V184" i="12" s="1"/>
  <c r="T80" i="12"/>
  <c r="U80" i="12" s="1"/>
  <c r="V80" i="12" s="1"/>
  <c r="T75" i="12"/>
  <c r="U75" i="12" s="1"/>
  <c r="V75" i="12" s="1"/>
  <c r="T43" i="12"/>
  <c r="U43" i="12" s="1"/>
  <c r="V43" i="12" s="1"/>
  <c r="T193" i="12"/>
  <c r="U193" i="12" s="1"/>
  <c r="V193" i="12" s="1"/>
  <c r="T114" i="12"/>
  <c r="U114" i="12" s="1"/>
  <c r="V114" i="12" s="1"/>
  <c r="T71" i="12"/>
  <c r="U71" i="12" s="1"/>
  <c r="V71" i="12" s="1"/>
  <c r="T93" i="12"/>
  <c r="U93" i="12" s="1"/>
  <c r="V93" i="12" s="1"/>
  <c r="T160" i="12"/>
  <c r="U160" i="12" s="1"/>
  <c r="V160" i="12" s="1"/>
  <c r="T120" i="12"/>
  <c r="U120" i="12" s="1"/>
  <c r="V120" i="12" s="1"/>
  <c r="T177" i="12"/>
  <c r="U177" i="12" s="1"/>
  <c r="V177" i="12" s="1"/>
  <c r="T209" i="12"/>
  <c r="U209" i="12" s="1"/>
  <c r="V209" i="12" s="1"/>
  <c r="T202" i="12"/>
  <c r="U202" i="12" s="1"/>
  <c r="V202" i="12" s="1"/>
  <c r="T53" i="12"/>
  <c r="U53" i="12" s="1"/>
  <c r="V53" i="12" s="1"/>
  <c r="T199" i="12"/>
  <c r="U199" i="12" s="1"/>
  <c r="V199" i="12" s="1"/>
  <c r="T190" i="12"/>
  <c r="U190" i="12" s="1"/>
  <c r="V190" i="12" s="1"/>
  <c r="T94" i="12"/>
  <c r="U94" i="12" s="1"/>
  <c r="V94" i="12" s="1"/>
  <c r="T218" i="12"/>
  <c r="U218" i="12" s="1"/>
  <c r="V218" i="12" s="1"/>
  <c r="T34" i="12"/>
  <c r="U34" i="12" s="1"/>
  <c r="V34" i="12" s="1"/>
  <c r="T101" i="12"/>
  <c r="U101" i="12" s="1"/>
  <c r="V101" i="12" s="1"/>
  <c r="T156" i="12"/>
  <c r="U156" i="12" s="1"/>
  <c r="V156" i="12" s="1"/>
  <c r="T56" i="12"/>
  <c r="U56" i="12" s="1"/>
  <c r="V56" i="12" s="1"/>
  <c r="T104" i="12"/>
  <c r="U104" i="12" s="1"/>
  <c r="V104" i="12" s="1"/>
  <c r="T46" i="12"/>
  <c r="U46" i="12" s="1"/>
  <c r="V46" i="12" s="1"/>
  <c r="T119" i="12"/>
  <c r="U119" i="12" s="1"/>
  <c r="V119" i="12" s="1"/>
  <c r="T103" i="12"/>
  <c r="U103" i="12" s="1"/>
  <c r="V103" i="12" s="1"/>
  <c r="T36" i="12"/>
  <c r="U36" i="12" s="1"/>
  <c r="V36" i="12" s="1"/>
  <c r="T125" i="12"/>
  <c r="U125" i="12" s="1"/>
  <c r="V125" i="12" s="1"/>
  <c r="T37" i="12"/>
  <c r="U37" i="12" s="1"/>
  <c r="V37" i="12" s="1"/>
  <c r="T97" i="12"/>
  <c r="U97" i="12" s="1"/>
  <c r="V97" i="12" s="1"/>
  <c r="T13" i="12"/>
  <c r="U13" i="12" s="1"/>
  <c r="V13" i="12" s="1"/>
  <c r="T159" i="12"/>
  <c r="U159" i="12" s="1"/>
  <c r="V159" i="12" s="1"/>
  <c r="T126" i="12"/>
  <c r="U126" i="12" s="1"/>
  <c r="V126" i="12" s="1"/>
  <c r="T100" i="12"/>
  <c r="U100" i="12" s="1"/>
  <c r="V100" i="12" s="1"/>
  <c r="T208" i="12"/>
  <c r="U208" i="12" s="1"/>
  <c r="V208" i="12" s="1"/>
  <c r="T151" i="12"/>
  <c r="U151" i="12" s="1"/>
  <c r="V151" i="12" s="1"/>
  <c r="T112" i="12"/>
  <c r="U112" i="12" s="1"/>
  <c r="V112" i="12" s="1"/>
  <c r="T45" i="12"/>
  <c r="U45" i="12" s="1"/>
  <c r="V45" i="12" s="1"/>
  <c r="T134" i="12"/>
  <c r="U134" i="12" s="1"/>
  <c r="V134" i="12" s="1"/>
  <c r="T147" i="12"/>
  <c r="U147" i="12" s="1"/>
  <c r="V147" i="12" s="1"/>
  <c r="T15" i="12"/>
  <c r="U15" i="12" s="1"/>
  <c r="V15" i="12" s="1"/>
  <c r="T118" i="12"/>
  <c r="U118" i="12" s="1"/>
  <c r="V118" i="12" s="1"/>
  <c r="T142" i="12"/>
  <c r="U142" i="12" s="1"/>
  <c r="V142" i="12" s="1"/>
  <c r="T20" i="12"/>
  <c r="U20" i="12" s="1"/>
  <c r="V20" i="12" s="1"/>
  <c r="T171" i="12"/>
  <c r="U171" i="12" s="1"/>
  <c r="V171" i="12" s="1"/>
  <c r="T128" i="12"/>
  <c r="U128" i="12" s="1"/>
  <c r="V128" i="12" s="1"/>
  <c r="T155" i="12"/>
  <c r="U155" i="12" s="1"/>
  <c r="V155" i="12" s="1"/>
  <c r="T198" i="12"/>
  <c r="U198" i="12" s="1"/>
  <c r="V198" i="12" s="1"/>
  <c r="BP7" i="12"/>
  <c r="T135" i="12"/>
  <c r="U135" i="12" s="1"/>
  <c r="V135" i="12" s="1"/>
  <c r="T166" i="12"/>
  <c r="U166" i="12" s="1"/>
  <c r="V166" i="12" s="1"/>
  <c r="T26" i="12"/>
  <c r="U26" i="12" s="1"/>
  <c r="V26" i="12" s="1"/>
  <c r="T206" i="12"/>
  <c r="U206" i="12" s="1"/>
  <c r="V206" i="12" s="1"/>
  <c r="T187" i="12"/>
  <c r="U187" i="12" s="1"/>
  <c r="V187" i="12" s="1"/>
  <c r="T16" i="12"/>
  <c r="U16" i="12" s="1"/>
  <c r="V16" i="12" s="1"/>
  <c r="T121" i="12"/>
  <c r="U121" i="12" s="1"/>
  <c r="V121" i="12" s="1"/>
  <c r="T66" i="12"/>
  <c r="U66" i="12" s="1"/>
  <c r="V66" i="12" s="1"/>
  <c r="T86" i="12"/>
  <c r="U86" i="12" s="1"/>
  <c r="V86" i="12" s="1"/>
  <c r="T175" i="12"/>
  <c r="U175" i="12" s="1"/>
  <c r="V175" i="12" s="1"/>
  <c r="T69" i="12"/>
  <c r="U69" i="12" s="1"/>
  <c r="V69" i="12" s="1"/>
  <c r="T95" i="12"/>
  <c r="U95" i="12" s="1"/>
  <c r="V95" i="12" s="1"/>
  <c r="BP8" i="12"/>
  <c r="T204" i="12"/>
  <c r="U204" i="12" s="1"/>
  <c r="V204" i="12" s="1"/>
  <c r="T173" i="12"/>
  <c r="U173" i="12" s="1"/>
  <c r="V173" i="12" s="1"/>
  <c r="T96" i="12"/>
  <c r="U96" i="12" s="1"/>
  <c r="V96" i="12" s="1"/>
  <c r="T211" i="12"/>
  <c r="U211" i="12" s="1"/>
  <c r="V211" i="12" s="1"/>
  <c r="T213" i="12"/>
  <c r="U213" i="12" s="1"/>
  <c r="V213" i="12" s="1"/>
  <c r="T197" i="12"/>
  <c r="U197" i="12" s="1"/>
  <c r="V197" i="12" s="1"/>
  <c r="T133" i="12"/>
  <c r="U133" i="12" s="1"/>
  <c r="V133" i="12" s="1"/>
  <c r="T9" i="12"/>
  <c r="U9" i="12" s="1"/>
  <c r="T148" i="12"/>
  <c r="U148" i="12" s="1"/>
  <c r="V148" i="12" s="1"/>
  <c r="T5" i="12"/>
  <c r="U5" i="12" s="1"/>
  <c r="V5" i="12" s="1"/>
  <c r="T164" i="12"/>
  <c r="U164" i="12" s="1"/>
  <c r="V164" i="12" s="1"/>
  <c r="T203" i="12"/>
  <c r="U203" i="12" s="1"/>
  <c r="V203" i="12" s="1"/>
  <c r="T176" i="12"/>
  <c r="U176" i="12" s="1"/>
  <c r="V176" i="12" s="1"/>
  <c r="T110" i="12"/>
  <c r="U110" i="12" s="1"/>
  <c r="V110" i="12" s="1"/>
  <c r="T168" i="12"/>
  <c r="U168" i="12" s="1"/>
  <c r="V168" i="12" s="1"/>
  <c r="T149" i="12"/>
  <c r="U149" i="12" s="1"/>
  <c r="V149" i="12" s="1"/>
  <c r="T67" i="12"/>
  <c r="U67" i="12" s="1"/>
  <c r="V67" i="12" s="1"/>
  <c r="T38" i="12"/>
  <c r="U38" i="12" s="1"/>
  <c r="V38" i="12" s="1"/>
  <c r="T162" i="12"/>
  <c r="U162" i="12" s="1"/>
  <c r="V162" i="12" s="1"/>
  <c r="T8" i="12"/>
  <c r="U8" i="12" s="1"/>
  <c r="T158" i="12"/>
  <c r="U158" i="12" s="1"/>
  <c r="V158" i="12" s="1"/>
  <c r="T72" i="12"/>
  <c r="U72" i="12" s="1"/>
  <c r="V72" i="12" s="1"/>
  <c r="T212" i="12"/>
  <c r="U212" i="12" s="1"/>
  <c r="V212" i="12" s="1"/>
  <c r="T90" i="12"/>
  <c r="U90" i="12" s="1"/>
  <c r="V90" i="12" s="1"/>
  <c r="T217" i="12"/>
  <c r="U217" i="12" s="1"/>
  <c r="V217" i="12" s="1"/>
  <c r="T117" i="12"/>
  <c r="U117" i="12" s="1"/>
  <c r="V117" i="12" s="1"/>
  <c r="T54" i="12"/>
  <c r="U54" i="12" s="1"/>
  <c r="V54" i="12" s="1"/>
  <c r="T137" i="12"/>
  <c r="U137" i="12" s="1"/>
  <c r="V137" i="12" s="1"/>
  <c r="T60" i="12"/>
  <c r="U60" i="12" s="1"/>
  <c r="V60" i="12" s="1"/>
  <c r="T157" i="12"/>
  <c r="U157" i="12" s="1"/>
  <c r="V157" i="12" s="1"/>
  <c r="T74" i="12"/>
  <c r="U74" i="12" s="1"/>
  <c r="V74" i="12" s="1"/>
  <c r="T138" i="12"/>
  <c r="U138" i="12" s="1"/>
  <c r="V138" i="12" s="1"/>
  <c r="T200" i="12"/>
  <c r="U200" i="12" s="1"/>
  <c r="V200" i="12" s="1"/>
  <c r="T122" i="12"/>
  <c r="U122" i="12" s="1"/>
  <c r="V122" i="12" s="1"/>
  <c r="T108" i="12"/>
  <c r="U108" i="12" s="1"/>
  <c r="V108" i="12" s="1"/>
  <c r="T186" i="12"/>
  <c r="U186" i="12" s="1"/>
  <c r="V186" i="12" s="1"/>
  <c r="T64" i="12"/>
  <c r="U64" i="12" s="1"/>
  <c r="V64" i="12" s="1"/>
  <c r="T31" i="12"/>
  <c r="U31" i="12" s="1"/>
  <c r="V31" i="12" s="1"/>
  <c r="T70" i="12"/>
  <c r="U70" i="12" s="1"/>
  <c r="V70" i="12" s="1"/>
  <c r="T62" i="12"/>
  <c r="U62" i="12" s="1"/>
  <c r="V62" i="12" s="1"/>
  <c r="T6" i="12"/>
  <c r="U6" i="12" s="1"/>
  <c r="V6" i="12" s="1"/>
  <c r="T191" i="12"/>
  <c r="U191" i="12" s="1"/>
  <c r="V191" i="12" s="1"/>
  <c r="T7" i="12"/>
  <c r="U7" i="12" s="1"/>
  <c r="CU82" i="12"/>
  <c r="HT25" i="12"/>
  <c r="HO26" i="12"/>
  <c r="AQ106" i="12"/>
  <c r="JH6" i="12"/>
  <c r="JK6" i="12" s="1"/>
  <c r="JL6" i="12" s="1"/>
  <c r="EA6" i="12" s="1"/>
  <c r="CX72" i="12" s="1"/>
  <c r="CX54" i="12"/>
  <c r="CX49" i="12"/>
  <c r="CX48" i="12"/>
  <c r="CX44" i="12"/>
  <c r="CX41" i="12"/>
  <c r="CX51" i="12"/>
  <c r="CX39" i="12"/>
  <c r="CX47" i="12"/>
  <c r="CX53" i="12"/>
  <c r="CX40" i="12"/>
  <c r="CX55" i="12"/>
  <c r="CX52" i="12"/>
  <c r="CX42" i="12"/>
  <c r="CX46" i="12"/>
  <c r="CX43" i="12"/>
  <c r="CX50" i="12"/>
  <c r="DK217" i="12"/>
  <c r="FU118" i="12"/>
  <c r="GR118" i="12" s="1"/>
  <c r="FR119" i="12"/>
  <c r="CX2216" i="12"/>
  <c r="BQ239" i="12" l="1"/>
  <c r="BQ3" i="12"/>
  <c r="BR3" i="12"/>
  <c r="BR5" i="12"/>
  <c r="BR4" i="12"/>
  <c r="BQ5" i="12"/>
  <c r="BQ4" i="12"/>
  <c r="BQ6" i="12"/>
  <c r="BR6" i="12"/>
  <c r="BQ309" i="12"/>
  <c r="BQ114" i="12"/>
  <c r="BR33" i="12"/>
  <c r="BR209" i="12"/>
  <c r="BQ260" i="12"/>
  <c r="BQ351" i="12"/>
  <c r="BQ148" i="12"/>
  <c r="BR77" i="12"/>
  <c r="BQ232" i="12"/>
  <c r="BR150" i="12"/>
  <c r="BR217" i="12"/>
  <c r="BQ177" i="12"/>
  <c r="BR143" i="12"/>
  <c r="BQ397" i="12"/>
  <c r="BQ130" i="12"/>
  <c r="BQ211" i="12"/>
  <c r="BR32" i="12"/>
  <c r="BQ214" i="12"/>
  <c r="BR43" i="12"/>
  <c r="BQ38" i="12"/>
  <c r="BQ34" i="12"/>
  <c r="BQ243" i="12"/>
  <c r="BR49" i="12"/>
  <c r="BR216" i="12"/>
  <c r="BR16" i="12"/>
  <c r="BQ367" i="12"/>
  <c r="BQ450" i="12"/>
  <c r="BQ304" i="12"/>
  <c r="BQ154" i="12"/>
  <c r="BR177" i="12"/>
  <c r="BQ80" i="12"/>
  <c r="BR136" i="12"/>
  <c r="BQ194" i="12"/>
  <c r="BR133" i="12"/>
  <c r="BQ353" i="12"/>
  <c r="BR64" i="12"/>
  <c r="BQ373" i="12"/>
  <c r="BQ429" i="12"/>
  <c r="BQ375" i="12"/>
  <c r="BQ102" i="12"/>
  <c r="BQ175" i="12"/>
  <c r="BQ61" i="12"/>
  <c r="BQ49" i="12"/>
  <c r="BQ143" i="12"/>
  <c r="BQ160" i="12"/>
  <c r="BR106" i="12"/>
  <c r="BQ272" i="12"/>
  <c r="BQ339" i="12"/>
  <c r="BQ171" i="12"/>
  <c r="BR71" i="12"/>
  <c r="BQ179" i="12"/>
  <c r="BQ66" i="12"/>
  <c r="BR28" i="12"/>
  <c r="BR78" i="12"/>
  <c r="BR42" i="12"/>
  <c r="BR15" i="12"/>
  <c r="BR141" i="12"/>
  <c r="BR11" i="12"/>
  <c r="BQ293" i="12"/>
  <c r="BQ441" i="12"/>
  <c r="BQ215" i="12"/>
  <c r="BR183" i="12"/>
  <c r="BR107" i="12"/>
  <c r="BQ401" i="12"/>
  <c r="BQ30" i="12"/>
  <c r="BR169" i="12"/>
  <c r="BR164" i="12"/>
  <c r="BQ261" i="12"/>
  <c r="BQ217" i="12"/>
  <c r="BR30" i="12"/>
  <c r="BQ270" i="12"/>
  <c r="BQ112" i="12"/>
  <c r="BR88" i="12"/>
  <c r="BQ349" i="12"/>
  <c r="BQ434" i="12"/>
  <c r="BQ379" i="12"/>
  <c r="BQ54" i="12"/>
  <c r="BQ288" i="12"/>
  <c r="BQ68" i="12"/>
  <c r="BR146" i="12"/>
  <c r="BQ486" i="12"/>
  <c r="BQ208" i="12"/>
  <c r="BQ446" i="12"/>
  <c r="BQ53" i="12"/>
  <c r="BQ97" i="12"/>
  <c r="BQ413" i="12"/>
  <c r="BQ291" i="12"/>
  <c r="BQ475" i="12"/>
  <c r="BQ399" i="12"/>
  <c r="BR94" i="12"/>
  <c r="BR63" i="12"/>
  <c r="BR129" i="12"/>
  <c r="BR206" i="12"/>
  <c r="BQ433" i="12"/>
  <c r="BQ256" i="12"/>
  <c r="BQ487" i="12"/>
  <c r="BR207" i="12"/>
  <c r="BQ212" i="12"/>
  <c r="BQ58" i="12"/>
  <c r="BQ274" i="12"/>
  <c r="BQ18" i="12"/>
  <c r="BQ488" i="12"/>
  <c r="BQ348" i="12"/>
  <c r="BQ110" i="12"/>
  <c r="BQ248" i="12"/>
  <c r="BQ60" i="12"/>
  <c r="BQ82" i="12"/>
  <c r="BQ128" i="12"/>
  <c r="BQ47" i="12"/>
  <c r="BQ298" i="12"/>
  <c r="BQ258" i="12"/>
  <c r="BQ421" i="12"/>
  <c r="BQ388" i="12"/>
  <c r="BQ93" i="12"/>
  <c r="BR47" i="12"/>
  <c r="BQ416" i="12"/>
  <c r="BQ327" i="12"/>
  <c r="BQ48" i="12"/>
  <c r="BQ384" i="12"/>
  <c r="BR138" i="12"/>
  <c r="BQ322" i="12"/>
  <c r="BQ39" i="12"/>
  <c r="BQ99" i="12"/>
  <c r="BR114" i="12"/>
  <c r="BQ316" i="12"/>
  <c r="BQ131" i="12"/>
  <c r="BR162" i="12"/>
  <c r="BQ105" i="12"/>
  <c r="BR21" i="12"/>
  <c r="BQ490" i="12"/>
  <c r="BR174" i="12"/>
  <c r="BR58" i="12"/>
  <c r="BQ472" i="12"/>
  <c r="BQ494" i="12"/>
  <c r="BQ92" i="12"/>
  <c r="BR213" i="12"/>
  <c r="BQ140" i="12"/>
  <c r="BQ430" i="12"/>
  <c r="BR68" i="12"/>
  <c r="BQ378" i="12"/>
  <c r="BQ296" i="12"/>
  <c r="BR205" i="12"/>
  <c r="BQ415" i="12"/>
  <c r="BQ150" i="12"/>
  <c r="BQ299" i="12"/>
  <c r="BQ465" i="12"/>
  <c r="BQ277" i="12"/>
  <c r="BQ265" i="12"/>
  <c r="BR139" i="12"/>
  <c r="BR87" i="12"/>
  <c r="BQ86" i="12"/>
  <c r="BR20" i="12"/>
  <c r="BQ168" i="12"/>
  <c r="BQ380" i="12"/>
  <c r="BQ321" i="12"/>
  <c r="BQ306" i="12"/>
  <c r="BQ333" i="12"/>
  <c r="BR22" i="12"/>
  <c r="BR181" i="12"/>
  <c r="BQ237" i="12"/>
  <c r="BQ468" i="12"/>
  <c r="BQ269" i="12"/>
  <c r="BR109" i="12"/>
  <c r="BR85" i="12"/>
  <c r="BQ13" i="12"/>
  <c r="BQ428" i="12"/>
  <c r="BQ499" i="12"/>
  <c r="BQ452" i="12"/>
  <c r="BQ300" i="12"/>
  <c r="BQ398" i="12"/>
  <c r="BR204" i="12"/>
  <c r="BQ390" i="12"/>
  <c r="BQ368" i="12"/>
  <c r="BQ163" i="12"/>
  <c r="BQ124" i="12"/>
  <c r="BR25" i="12"/>
  <c r="BQ337" i="12"/>
  <c r="BQ65" i="12"/>
  <c r="BR70" i="12"/>
  <c r="BQ463" i="12"/>
  <c r="BQ33" i="12"/>
  <c r="BQ289" i="12"/>
  <c r="BR39" i="12"/>
  <c r="BQ383" i="12"/>
  <c r="BQ481" i="12"/>
  <c r="BQ297" i="12"/>
  <c r="BQ392" i="12"/>
  <c r="BR112" i="12"/>
  <c r="BR80" i="12"/>
  <c r="BQ162" i="12"/>
  <c r="BQ292" i="12"/>
  <c r="BQ326" i="12"/>
  <c r="BQ344" i="12"/>
  <c r="BR158" i="12"/>
  <c r="BQ205" i="12"/>
  <c r="BQ129" i="12"/>
  <c r="BQ427" i="12"/>
  <c r="BR66" i="12"/>
  <c r="BQ17" i="12"/>
  <c r="BR176" i="12"/>
  <c r="BQ95" i="12"/>
  <c r="BR180" i="12"/>
  <c r="BR8" i="12"/>
  <c r="BQ420" i="12"/>
  <c r="BR34" i="12"/>
  <c r="BR103" i="12"/>
  <c r="BQ22" i="12"/>
  <c r="BQ414" i="12"/>
  <c r="BR134" i="12"/>
  <c r="BR46" i="12"/>
  <c r="BR104" i="12"/>
  <c r="BR137" i="12"/>
  <c r="BR214" i="12"/>
  <c r="BQ366" i="12"/>
  <c r="BR120" i="12"/>
  <c r="BR152" i="12"/>
  <c r="BR219" i="12"/>
  <c r="BR79" i="12"/>
  <c r="BQ126" i="12"/>
  <c r="BR76" i="12"/>
  <c r="BQ266" i="12"/>
  <c r="BR151" i="12"/>
  <c r="BQ436" i="12"/>
  <c r="BQ209" i="12"/>
  <c r="BQ394" i="12"/>
  <c r="BQ44" i="12"/>
  <c r="BQ236" i="12"/>
  <c r="BQ242" i="12"/>
  <c r="BQ216" i="12"/>
  <c r="BR193" i="12"/>
  <c r="BR96" i="12"/>
  <c r="BQ376" i="12"/>
  <c r="BQ395" i="12"/>
  <c r="BQ318" i="12"/>
  <c r="BQ409" i="12"/>
  <c r="BR201" i="12"/>
  <c r="BR191" i="12"/>
  <c r="BQ147" i="12"/>
  <c r="BR187" i="12"/>
  <c r="BQ358" i="12"/>
  <c r="BQ199" i="12"/>
  <c r="BQ152" i="12"/>
  <c r="BR51" i="12"/>
  <c r="BQ278" i="12"/>
  <c r="BQ63" i="12"/>
  <c r="BR35" i="12"/>
  <c r="BQ264" i="12"/>
  <c r="BR14" i="12"/>
  <c r="BQ118" i="12"/>
  <c r="BQ134" i="12"/>
  <c r="BQ276" i="12"/>
  <c r="BQ340" i="12"/>
  <c r="BQ28" i="12"/>
  <c r="BR61" i="12"/>
  <c r="BQ350" i="12"/>
  <c r="BQ156" i="12"/>
  <c r="BR212" i="12"/>
  <c r="BQ470" i="12"/>
  <c r="BQ191" i="12"/>
  <c r="BQ330" i="12"/>
  <c r="BR144" i="12"/>
  <c r="BR156" i="12"/>
  <c r="BQ385" i="12"/>
  <c r="BQ484" i="12"/>
  <c r="BQ219" i="12"/>
  <c r="BQ312" i="12"/>
  <c r="BR124" i="12"/>
  <c r="BQ372" i="12"/>
  <c r="BQ45" i="12"/>
  <c r="BQ15" i="12"/>
  <c r="BQ314" i="12"/>
  <c r="BQ438" i="12"/>
  <c r="BQ213" i="12"/>
  <c r="BQ165" i="12"/>
  <c r="BR125" i="12"/>
  <c r="BQ443" i="12"/>
  <c r="BQ144" i="12"/>
  <c r="BQ31" i="12"/>
  <c r="BR9" i="12"/>
  <c r="BQ125" i="12"/>
  <c r="BQ478" i="12"/>
  <c r="BQ400" i="12"/>
  <c r="BR95" i="12"/>
  <c r="BR127" i="12"/>
  <c r="BQ132" i="12"/>
  <c r="BR167" i="12"/>
  <c r="BQ10" i="12"/>
  <c r="BQ408" i="12"/>
  <c r="BQ218" i="12"/>
  <c r="BQ295" i="12"/>
  <c r="BQ273" i="12"/>
  <c r="BQ423" i="12"/>
  <c r="BQ62" i="12"/>
  <c r="BQ335" i="12"/>
  <c r="BQ7" i="12"/>
  <c r="BQ245" i="12"/>
  <c r="BR29" i="12"/>
  <c r="BQ328" i="12"/>
  <c r="BR123" i="12"/>
  <c r="BR65" i="12"/>
  <c r="BQ500" i="12"/>
  <c r="BR41" i="12"/>
  <c r="BR218" i="12"/>
  <c r="BQ477" i="12"/>
  <c r="BQ447" i="12"/>
  <c r="BQ347" i="12"/>
  <c r="BQ198" i="12"/>
  <c r="BR215" i="12"/>
  <c r="BQ282" i="12"/>
  <c r="BQ189" i="12"/>
  <c r="BQ67" i="12"/>
  <c r="BQ461" i="12"/>
  <c r="BR110" i="12"/>
  <c r="BR155" i="12"/>
  <c r="BQ69" i="12"/>
  <c r="BQ476" i="12"/>
  <c r="BR50" i="12"/>
  <c r="BQ55" i="12"/>
  <c r="BR190" i="12"/>
  <c r="BR117" i="12"/>
  <c r="BR57" i="12"/>
  <c r="BQ161" i="12"/>
  <c r="BQ286" i="12"/>
  <c r="BQ354" i="12"/>
  <c r="BQ100" i="12"/>
  <c r="BQ422" i="12"/>
  <c r="BQ83" i="12"/>
  <c r="BQ206" i="12"/>
  <c r="BQ46" i="12"/>
  <c r="BQ170" i="12"/>
  <c r="BQ331" i="12"/>
  <c r="BQ253" i="12"/>
  <c r="BQ332" i="12"/>
  <c r="BR81" i="12"/>
  <c r="BQ183" i="12"/>
  <c r="BQ262" i="12"/>
  <c r="BQ406" i="12"/>
  <c r="BQ20" i="12"/>
  <c r="BQ437" i="12"/>
  <c r="BQ345" i="12"/>
  <c r="BQ474" i="12"/>
  <c r="BR111" i="12"/>
  <c r="BQ35" i="12"/>
  <c r="BR31" i="12"/>
  <c r="BQ336" i="12"/>
  <c r="BQ457" i="12"/>
  <c r="BQ42" i="12"/>
  <c r="BQ440" i="12"/>
  <c r="BQ404" i="12"/>
  <c r="BQ98" i="12"/>
  <c r="BQ381" i="12"/>
  <c r="BR153" i="12"/>
  <c r="BQ115" i="12"/>
  <c r="BQ36" i="12"/>
  <c r="BQ364" i="12"/>
  <c r="BR172" i="12"/>
  <c r="BQ133" i="12"/>
  <c r="BQ203" i="12"/>
  <c r="BR18" i="12"/>
  <c r="BQ418" i="12"/>
  <c r="BQ14" i="12"/>
  <c r="BQ426" i="12"/>
  <c r="BQ24" i="12"/>
  <c r="BQ250" i="12"/>
  <c r="BQ307" i="12"/>
  <c r="BR23" i="12"/>
  <c r="BR91" i="12"/>
  <c r="BQ73" i="12"/>
  <c r="BQ121" i="12"/>
  <c r="BR198" i="12"/>
  <c r="BQ37" i="12"/>
  <c r="BQ85" i="12"/>
  <c r="BQ127" i="12"/>
  <c r="BQ88" i="12"/>
  <c r="BQ342" i="12"/>
  <c r="BQ361" i="12"/>
  <c r="BQ40" i="12"/>
  <c r="BQ454" i="12"/>
  <c r="BQ480" i="12"/>
  <c r="BQ135" i="12"/>
  <c r="BQ64" i="12"/>
  <c r="BQ362" i="12"/>
  <c r="BQ459" i="12"/>
  <c r="BR192" i="12"/>
  <c r="BR12" i="12"/>
  <c r="BQ84" i="12"/>
  <c r="BR24" i="12"/>
  <c r="BQ456" i="12"/>
  <c r="BR149" i="12"/>
  <c r="BQ87" i="12"/>
  <c r="BQ359" i="12"/>
  <c r="BQ352" i="12"/>
  <c r="BQ493" i="12"/>
  <c r="BQ187" i="12"/>
  <c r="BQ89" i="12"/>
  <c r="BQ435" i="12"/>
  <c r="BQ180" i="12"/>
  <c r="BR170" i="12"/>
  <c r="BQ76" i="12"/>
  <c r="BQ280" i="12"/>
  <c r="BQ29" i="12"/>
  <c r="BQ78" i="12"/>
  <c r="BR163" i="12"/>
  <c r="BQ259" i="12"/>
  <c r="BQ341" i="12"/>
  <c r="BQ235" i="12"/>
  <c r="BQ96" i="12"/>
  <c r="BQ355" i="12"/>
  <c r="BQ252" i="12"/>
  <c r="BR184" i="12"/>
  <c r="BQ8" i="12"/>
  <c r="BQ200" i="12"/>
  <c r="BQ263" i="12"/>
  <c r="BR147" i="12"/>
  <c r="BR119" i="12"/>
  <c r="BQ12" i="12"/>
  <c r="BQ374" i="12"/>
  <c r="BQ431" i="12"/>
  <c r="BR118" i="12"/>
  <c r="BR92" i="12"/>
  <c r="BQ271" i="12"/>
  <c r="BQ207" i="12"/>
  <c r="BR173" i="12"/>
  <c r="BQ360" i="12"/>
  <c r="BQ285" i="12"/>
  <c r="BR130" i="12"/>
  <c r="BR122" i="12"/>
  <c r="BQ411" i="12"/>
  <c r="BQ70" i="12"/>
  <c r="BQ153" i="12"/>
  <c r="BR55" i="12"/>
  <c r="BQ357" i="12"/>
  <c r="BR89" i="12"/>
  <c r="BQ11" i="12"/>
  <c r="BQ146" i="12"/>
  <c r="BR220" i="12"/>
  <c r="BR38" i="12"/>
  <c r="BQ247" i="12"/>
  <c r="BQ287" i="12"/>
  <c r="BQ371" i="12"/>
  <c r="BQ138" i="12"/>
  <c r="BQ193" i="12"/>
  <c r="BQ389" i="12"/>
  <c r="BR100" i="12"/>
  <c r="BQ50" i="12"/>
  <c r="BQ210" i="12"/>
  <c r="BR72" i="12"/>
  <c r="BQ320" i="12"/>
  <c r="BQ244" i="12"/>
  <c r="BQ51" i="12"/>
  <c r="BQ164" i="12"/>
  <c r="BQ106" i="12"/>
  <c r="BQ72" i="12"/>
  <c r="BQ303" i="12"/>
  <c r="BQ405" i="12"/>
  <c r="BQ251" i="12"/>
  <c r="BR202" i="12"/>
  <c r="BQ410" i="12"/>
  <c r="BQ195" i="12"/>
  <c r="BR210" i="12"/>
  <c r="BQ283" i="12"/>
  <c r="BQ109" i="12"/>
  <c r="BQ483" i="12"/>
  <c r="BR73" i="12"/>
  <c r="BQ467" i="12"/>
  <c r="BR90" i="12"/>
  <c r="BR75" i="12"/>
  <c r="BQ412" i="12"/>
  <c r="BQ453" i="12"/>
  <c r="BQ497" i="12"/>
  <c r="BR99" i="12"/>
  <c r="BR161" i="12"/>
  <c r="BR7" i="12"/>
  <c r="BR160" i="12"/>
  <c r="BQ27" i="12"/>
  <c r="BR53" i="12"/>
  <c r="BQ432" i="12"/>
  <c r="BR208" i="12"/>
  <c r="BQ275" i="12"/>
  <c r="BR148" i="12"/>
  <c r="BQ151" i="12"/>
  <c r="BQ186" i="12"/>
  <c r="BQ77" i="12"/>
  <c r="BQ301" i="12"/>
  <c r="BR60" i="12"/>
  <c r="BQ444" i="12"/>
  <c r="BQ59" i="12"/>
  <c r="BQ220" i="12"/>
  <c r="BR17" i="12"/>
  <c r="BR188" i="12"/>
  <c r="BQ268" i="12"/>
  <c r="BQ402" i="12"/>
  <c r="BQ279" i="12"/>
  <c r="BQ455" i="12"/>
  <c r="BQ495" i="12"/>
  <c r="BR196" i="12"/>
  <c r="BQ169" i="12"/>
  <c r="BQ311" i="12"/>
  <c r="BR40" i="12"/>
  <c r="BQ294" i="12"/>
  <c r="BQ485" i="12"/>
  <c r="BQ74" i="12"/>
  <c r="BR102" i="12"/>
  <c r="BR203" i="12"/>
  <c r="BR185" i="12"/>
  <c r="BR140" i="12"/>
  <c r="BQ324" i="12"/>
  <c r="BQ197" i="12"/>
  <c r="BR175" i="12"/>
  <c r="BR145" i="12"/>
  <c r="BQ460" i="12"/>
  <c r="BR211" i="12"/>
  <c r="BR54" i="12"/>
  <c r="BQ52" i="12"/>
  <c r="BQ496" i="12"/>
  <c r="BQ469" i="12"/>
  <c r="BQ308" i="12"/>
  <c r="BQ159" i="12"/>
  <c r="BQ370" i="12"/>
  <c r="BQ445" i="12"/>
  <c r="BQ116" i="12"/>
  <c r="BR115" i="12"/>
  <c r="BR199" i="12"/>
  <c r="BR189" i="12"/>
  <c r="BQ202" i="12"/>
  <c r="BQ482" i="12"/>
  <c r="BR168" i="12"/>
  <c r="BQ178" i="12"/>
  <c r="BR157" i="12"/>
  <c r="BQ305" i="12"/>
  <c r="BR179" i="12"/>
  <c r="BQ257" i="12"/>
  <c r="BR126" i="12"/>
  <c r="BQ458" i="12"/>
  <c r="BQ79" i="12"/>
  <c r="BQ182" i="12"/>
  <c r="BQ491" i="12"/>
  <c r="BQ323" i="12"/>
  <c r="BR74" i="12"/>
  <c r="BQ369" i="12"/>
  <c r="BQ346" i="12"/>
  <c r="BQ75" i="12"/>
  <c r="BQ204" i="12"/>
  <c r="BQ155" i="12"/>
  <c r="BQ157" i="12"/>
  <c r="BQ386" i="12"/>
  <c r="BQ377" i="12"/>
  <c r="BR82" i="12"/>
  <c r="BQ254" i="12"/>
  <c r="BQ442" i="12"/>
  <c r="BR171" i="12"/>
  <c r="BQ387" i="12"/>
  <c r="BQ391" i="12"/>
  <c r="BQ419" i="12"/>
  <c r="BQ196" i="12"/>
  <c r="BQ241" i="12"/>
  <c r="BQ103" i="12"/>
  <c r="BQ113" i="12"/>
  <c r="BR142" i="12"/>
  <c r="BQ141" i="12"/>
  <c r="BQ238" i="12"/>
  <c r="BR178" i="12"/>
  <c r="BQ142" i="12"/>
  <c r="BQ334" i="12"/>
  <c r="BQ104" i="12"/>
  <c r="BQ101" i="12"/>
  <c r="BR37" i="12"/>
  <c r="BR69" i="12"/>
  <c r="BQ255" i="12"/>
  <c r="BQ234" i="12"/>
  <c r="BQ166" i="12"/>
  <c r="BQ313" i="12"/>
  <c r="BQ71" i="12"/>
  <c r="BQ246" i="12"/>
  <c r="BQ111" i="12"/>
  <c r="BR101" i="12"/>
  <c r="BR165" i="12"/>
  <c r="BQ448" i="12"/>
  <c r="BQ57" i="12"/>
  <c r="BR13" i="12"/>
  <c r="BQ382" i="12"/>
  <c r="BQ167" i="12"/>
  <c r="BQ185" i="12"/>
  <c r="BQ310" i="12"/>
  <c r="BQ407" i="12"/>
  <c r="BR10" i="12"/>
  <c r="BR56" i="12"/>
  <c r="BR166" i="12"/>
  <c r="BQ172" i="12"/>
  <c r="BQ425" i="12"/>
  <c r="BQ108" i="12"/>
  <c r="BQ281" i="12"/>
  <c r="BR113" i="12"/>
  <c r="BR26" i="12"/>
  <c r="BQ249" i="12"/>
  <c r="BR182" i="12"/>
  <c r="BQ136" i="12"/>
  <c r="BR186" i="12"/>
  <c r="BQ471" i="12"/>
  <c r="BQ23" i="12"/>
  <c r="BR121" i="12"/>
  <c r="BR116" i="12"/>
  <c r="BQ149" i="12"/>
  <c r="BQ81" i="12"/>
  <c r="BQ424" i="12"/>
  <c r="BQ192" i="12"/>
  <c r="BQ479" i="12"/>
  <c r="BR48" i="12"/>
  <c r="BQ9" i="12"/>
  <c r="BQ117" i="12"/>
  <c r="BQ123" i="12"/>
  <c r="BR84" i="12"/>
  <c r="BQ267" i="12"/>
  <c r="BQ122" i="12"/>
  <c r="BR45" i="12"/>
  <c r="BQ464" i="12"/>
  <c r="BR195" i="12"/>
  <c r="BQ90" i="12"/>
  <c r="BQ19" i="12"/>
  <c r="BQ26" i="12"/>
  <c r="BR83" i="12"/>
  <c r="BQ145" i="12"/>
  <c r="BQ190" i="12"/>
  <c r="BR97" i="12"/>
  <c r="BQ21" i="12"/>
  <c r="BQ290" i="12"/>
  <c r="BQ365" i="12"/>
  <c r="BQ439" i="12"/>
  <c r="BR44" i="12"/>
  <c r="BR197" i="12"/>
  <c r="BQ356" i="12"/>
  <c r="BQ184" i="12"/>
  <c r="BQ174" i="12"/>
  <c r="BQ403" i="12"/>
  <c r="BQ363" i="12"/>
  <c r="BR67" i="12"/>
  <c r="BR128" i="12"/>
  <c r="BR132" i="12"/>
  <c r="BR52" i="12"/>
  <c r="BR108" i="12"/>
  <c r="BR59" i="12"/>
  <c r="BR135" i="12"/>
  <c r="BQ173" i="12"/>
  <c r="BQ284" i="12"/>
  <c r="BQ16" i="12"/>
  <c r="BR200" i="12"/>
  <c r="BQ315" i="12"/>
  <c r="BQ449" i="12"/>
  <c r="BQ137" i="12"/>
  <c r="BQ396" i="12"/>
  <c r="BQ417" i="12"/>
  <c r="BQ317" i="12"/>
  <c r="BQ498" i="12"/>
  <c r="BR19" i="12"/>
  <c r="BR86" i="12"/>
  <c r="BQ43" i="12"/>
  <c r="BQ201" i="12"/>
  <c r="BQ473" i="12"/>
  <c r="BQ462" i="12"/>
  <c r="BQ181" i="12"/>
  <c r="BQ329" i="12"/>
  <c r="BQ451" i="12"/>
  <c r="BQ94" i="12"/>
  <c r="BR105" i="12"/>
  <c r="BQ338" i="12"/>
  <c r="BQ188" i="12"/>
  <c r="BQ466" i="12"/>
  <c r="BR154" i="12"/>
  <c r="BQ119" i="12"/>
  <c r="BQ319" i="12"/>
  <c r="BQ393" i="12"/>
  <c r="BQ91" i="12"/>
  <c r="BQ56" i="12"/>
  <c r="BR27" i="12"/>
  <c r="BR159" i="12"/>
  <c r="BR131" i="12"/>
  <c r="BQ120" i="12"/>
  <c r="BQ25" i="12"/>
  <c r="BR98" i="12"/>
  <c r="BQ139" i="12"/>
  <c r="BR62" i="12"/>
  <c r="BQ176" i="12"/>
  <c r="BQ32" i="12"/>
  <c r="BR194" i="12"/>
  <c r="BQ233" i="12"/>
  <c r="BR93" i="12"/>
  <c r="BQ240" i="12"/>
  <c r="BQ343" i="12"/>
  <c r="BQ489" i="12"/>
  <c r="BQ325" i="12"/>
  <c r="BQ158" i="12"/>
  <c r="BQ107" i="12"/>
  <c r="BQ492" i="12"/>
  <c r="BQ41" i="12"/>
  <c r="BQ302" i="12"/>
  <c r="BR36" i="12"/>
  <c r="GF14" i="12"/>
  <c r="GE13" i="12" s="1"/>
  <c r="GF16" i="12"/>
  <c r="GE15" i="12" s="1"/>
  <c r="V7" i="12"/>
  <c r="V8" i="12" s="1"/>
  <c r="CU96" i="12"/>
  <c r="HT26" i="12"/>
  <c r="HO27" i="12"/>
  <c r="AQ107" i="12"/>
  <c r="CX69" i="12"/>
  <c r="CX59" i="12"/>
  <c r="CX65" i="12"/>
  <c r="CX68" i="12"/>
  <c r="CX61" i="12"/>
  <c r="CX73" i="12"/>
  <c r="JH7" i="12"/>
  <c r="JH8" i="12" s="1"/>
  <c r="JH9" i="12" s="1"/>
  <c r="JK9" i="12" s="1"/>
  <c r="JL9" i="12" s="1"/>
  <c r="EA9" i="12" s="1"/>
  <c r="CX122" i="12" s="1"/>
  <c r="CX58" i="12"/>
  <c r="CX57" i="12"/>
  <c r="CX67" i="12"/>
  <c r="CX71" i="12"/>
  <c r="CX64" i="12"/>
  <c r="CX66" i="12"/>
  <c r="CX70" i="12"/>
  <c r="CX60" i="12"/>
  <c r="CX63" i="12"/>
  <c r="CX62" i="12"/>
  <c r="AQ115" i="12"/>
  <c r="DK218" i="12"/>
  <c r="DK219" i="12" s="1"/>
  <c r="DK220" i="12" s="1"/>
  <c r="FU119" i="12"/>
  <c r="GR119" i="12" s="1"/>
  <c r="FR120" i="12"/>
  <c r="CX2217" i="12"/>
  <c r="BR221" i="12" l="1"/>
  <c r="CA1" i="12" s="1"/>
  <c r="GF18" i="12" s="1"/>
  <c r="CU100" i="12"/>
  <c r="V9" i="12"/>
  <c r="HT27" i="12"/>
  <c r="HO28" i="12"/>
  <c r="AQ108" i="12"/>
  <c r="JK8" i="12"/>
  <c r="JL8" i="12" s="1"/>
  <c r="EA8" i="12" s="1"/>
  <c r="CX100" i="12" s="1"/>
  <c r="JH10" i="12"/>
  <c r="JH11" i="12" s="1"/>
  <c r="JK11" i="12" s="1"/>
  <c r="JL11" i="12" s="1"/>
  <c r="EA11" i="12" s="1"/>
  <c r="CX148" i="12" s="1"/>
  <c r="CX123" i="12"/>
  <c r="CX114" i="12"/>
  <c r="CX126" i="12"/>
  <c r="CX127" i="12"/>
  <c r="CX121" i="12"/>
  <c r="CX117" i="12"/>
  <c r="CX120" i="12"/>
  <c r="CX111" i="12"/>
  <c r="CX118" i="12"/>
  <c r="CX125" i="12"/>
  <c r="CX124" i="12"/>
  <c r="CX119" i="12"/>
  <c r="JK7" i="12"/>
  <c r="JL7" i="12" s="1"/>
  <c r="EA7" i="12" s="1"/>
  <c r="CX80" i="12" s="1"/>
  <c r="CX115" i="12"/>
  <c r="CX116" i="12"/>
  <c r="CX112" i="12"/>
  <c r="CX113" i="12"/>
  <c r="IC12" i="12"/>
  <c r="IF12" i="12" s="1"/>
  <c r="DL12" i="12"/>
  <c r="IC9" i="12"/>
  <c r="IF9" i="12" s="1"/>
  <c r="IC8" i="12"/>
  <c r="IF8" i="12" s="1"/>
  <c r="DL8" i="12"/>
  <c r="DL4" i="12"/>
  <c r="IC11" i="12"/>
  <c r="IF11" i="12" s="1"/>
  <c r="DL10" i="12"/>
  <c r="DL11" i="12"/>
  <c r="IC5" i="12"/>
  <c r="IF5" i="12" s="1"/>
  <c r="DL5" i="12"/>
  <c r="DL7" i="12"/>
  <c r="IC7" i="12"/>
  <c r="IC4" i="12"/>
  <c r="IF4" i="12" s="1"/>
  <c r="DL6" i="12"/>
  <c r="DL9" i="12"/>
  <c r="DL13" i="12"/>
  <c r="IC6" i="12"/>
  <c r="IF6" i="12" s="1"/>
  <c r="IC10" i="12"/>
  <c r="DL3" i="12"/>
  <c r="IC3" i="12"/>
  <c r="IC14" i="12"/>
  <c r="IF14" i="12" s="1"/>
  <c r="IC15" i="12"/>
  <c r="IF15" i="12" s="1"/>
  <c r="IC13" i="12"/>
  <c r="IF13" i="12" s="1"/>
  <c r="DL17" i="12"/>
  <c r="IC16" i="12"/>
  <c r="DL15" i="12"/>
  <c r="DL14" i="12"/>
  <c r="IC18" i="12"/>
  <c r="IC17" i="12"/>
  <c r="DL16" i="12"/>
  <c r="IC20" i="12"/>
  <c r="IF20" i="12" s="1"/>
  <c r="DL18" i="12"/>
  <c r="IC19" i="12"/>
  <c r="IF19" i="12" s="1"/>
  <c r="DL21" i="12"/>
  <c r="DL20" i="12"/>
  <c r="DL19" i="12"/>
  <c r="IC21" i="12"/>
  <c r="IF21" i="12" s="1"/>
  <c r="IC22" i="12"/>
  <c r="IF22" i="12" s="1"/>
  <c r="DL143" i="12"/>
  <c r="IC109" i="12"/>
  <c r="IF109" i="12" s="1"/>
  <c r="DL142" i="12"/>
  <c r="DL176" i="12"/>
  <c r="IC36" i="12"/>
  <c r="IF36" i="12" s="1"/>
  <c r="IC150" i="12"/>
  <c r="IF150" i="12" s="1"/>
  <c r="IC176" i="12"/>
  <c r="IF176" i="12" s="1"/>
  <c r="DL68" i="12"/>
  <c r="DL210" i="12"/>
  <c r="DL25" i="12"/>
  <c r="DL128" i="12"/>
  <c r="IC94" i="12"/>
  <c r="IF94" i="12" s="1"/>
  <c r="DL84" i="12"/>
  <c r="IC186" i="12"/>
  <c r="IF186" i="12" s="1"/>
  <c r="IC63" i="12"/>
  <c r="IF63" i="12" s="1"/>
  <c r="DL43" i="12"/>
  <c r="IC180" i="12"/>
  <c r="IF180" i="12" s="1"/>
  <c r="DL111" i="12"/>
  <c r="IC112" i="12"/>
  <c r="IF112" i="12" s="1"/>
  <c r="IC148" i="12"/>
  <c r="IF148" i="12" s="1"/>
  <c r="DL218" i="12"/>
  <c r="IC188" i="12"/>
  <c r="IF188" i="12" s="1"/>
  <c r="DL36" i="12"/>
  <c r="IC98" i="12"/>
  <c r="IF98" i="12" s="1"/>
  <c r="IC143" i="12"/>
  <c r="IF143" i="12" s="1"/>
  <c r="IC79" i="12"/>
  <c r="IF79" i="12" s="1"/>
  <c r="IC167" i="12"/>
  <c r="IF167" i="12" s="1"/>
  <c r="IC113" i="12"/>
  <c r="IF113" i="12" s="1"/>
  <c r="IC131" i="12"/>
  <c r="IF131" i="12" s="1"/>
  <c r="DL42" i="12"/>
  <c r="DL133" i="12"/>
  <c r="DL22" i="12"/>
  <c r="IC39" i="12"/>
  <c r="IF39" i="12" s="1"/>
  <c r="IC181" i="12"/>
  <c r="IF181" i="12" s="1"/>
  <c r="DL150" i="12"/>
  <c r="DL197" i="12"/>
  <c r="IC106" i="12"/>
  <c r="IF106" i="12" s="1"/>
  <c r="DL89" i="12"/>
  <c r="DL129" i="12"/>
  <c r="DL167" i="12"/>
  <c r="IC95" i="12"/>
  <c r="IF95" i="12" s="1"/>
  <c r="IC185" i="12"/>
  <c r="IF185" i="12" s="1"/>
  <c r="IC87" i="12"/>
  <c r="IF87" i="12" s="1"/>
  <c r="IC103" i="12"/>
  <c r="IF103" i="12" s="1"/>
  <c r="DL160" i="12"/>
  <c r="DL175" i="12"/>
  <c r="DL125" i="12"/>
  <c r="IC135" i="12"/>
  <c r="IF135" i="12" s="1"/>
  <c r="IC37" i="12"/>
  <c r="IF37" i="12" s="1"/>
  <c r="DL61" i="12"/>
  <c r="DL94" i="12"/>
  <c r="DL122" i="12"/>
  <c r="IC195" i="12"/>
  <c r="IF195" i="12" s="1"/>
  <c r="DL200" i="12"/>
  <c r="DL76" i="12"/>
  <c r="DL172" i="12"/>
  <c r="DL194" i="12"/>
  <c r="DL201" i="12"/>
  <c r="DL88" i="12"/>
  <c r="DL169" i="12"/>
  <c r="IC24" i="12"/>
  <c r="IF24" i="12" s="1"/>
  <c r="DL104" i="12"/>
  <c r="IC101" i="12"/>
  <c r="IF101" i="12" s="1"/>
  <c r="DL30" i="12"/>
  <c r="DL66" i="12"/>
  <c r="DL44" i="12"/>
  <c r="DL199" i="12"/>
  <c r="IC52" i="12"/>
  <c r="IF52" i="12" s="1"/>
  <c r="IC164" i="12"/>
  <c r="IF164" i="12" s="1"/>
  <c r="IC25" i="12"/>
  <c r="IF25" i="12" s="1"/>
  <c r="DL29" i="12"/>
  <c r="DL158" i="12"/>
  <c r="DL87" i="12"/>
  <c r="IC116" i="12"/>
  <c r="IF116" i="12" s="1"/>
  <c r="DL60" i="12"/>
  <c r="DL149" i="12"/>
  <c r="DL106" i="12"/>
  <c r="IC154" i="12"/>
  <c r="IF154" i="12" s="1"/>
  <c r="DL27" i="12"/>
  <c r="IC125" i="12"/>
  <c r="IF125" i="12" s="1"/>
  <c r="DL141" i="12"/>
  <c r="IC92" i="12"/>
  <c r="IF92" i="12" s="1"/>
  <c r="IC147" i="12"/>
  <c r="IF147" i="12" s="1"/>
  <c r="IC88" i="12"/>
  <c r="IF88" i="12" s="1"/>
  <c r="DL110" i="12"/>
  <c r="DL112" i="12"/>
  <c r="IC121" i="12"/>
  <c r="IF121" i="12" s="1"/>
  <c r="DL77" i="12"/>
  <c r="DL63" i="12"/>
  <c r="IC31" i="12"/>
  <c r="IF31" i="12" s="1"/>
  <c r="DL126" i="12"/>
  <c r="DL38" i="12"/>
  <c r="IC144" i="12"/>
  <c r="IF144" i="12" s="1"/>
  <c r="IC29" i="12"/>
  <c r="IF29" i="12" s="1"/>
  <c r="DL148" i="12"/>
  <c r="IC151" i="12"/>
  <c r="IF151" i="12" s="1"/>
  <c r="DL139" i="12"/>
  <c r="IC159" i="12"/>
  <c r="IF159" i="12" s="1"/>
  <c r="DL31" i="12"/>
  <c r="DL62" i="12"/>
  <c r="DL46" i="12"/>
  <c r="IC75" i="12"/>
  <c r="IF75" i="12" s="1"/>
  <c r="DL208" i="12"/>
  <c r="DL98" i="12"/>
  <c r="DL156" i="12"/>
  <c r="DL204" i="12"/>
  <c r="IC91" i="12"/>
  <c r="IF91" i="12" s="1"/>
  <c r="IC83" i="12"/>
  <c r="IF83" i="12" s="1"/>
  <c r="IC133" i="12"/>
  <c r="IF133" i="12" s="1"/>
  <c r="IC86" i="12"/>
  <c r="IF86" i="12" s="1"/>
  <c r="IC156" i="12"/>
  <c r="IF156" i="12" s="1"/>
  <c r="DL163" i="12"/>
  <c r="IC182" i="12"/>
  <c r="IF182" i="12" s="1"/>
  <c r="DL124" i="12"/>
  <c r="DL214" i="12"/>
  <c r="IC55" i="12"/>
  <c r="IF55" i="12" s="1"/>
  <c r="IC160" i="12"/>
  <c r="IF160" i="12" s="1"/>
  <c r="IC197" i="12"/>
  <c r="IF197" i="12" s="1"/>
  <c r="IC138" i="12"/>
  <c r="IF138" i="12" s="1"/>
  <c r="IC170" i="12"/>
  <c r="IF170" i="12" s="1"/>
  <c r="IC59" i="12"/>
  <c r="IF59" i="12" s="1"/>
  <c r="DL165" i="12"/>
  <c r="IC120" i="12"/>
  <c r="IF120" i="12" s="1"/>
  <c r="IC166" i="12"/>
  <c r="IF166" i="12" s="1"/>
  <c r="IC145" i="12"/>
  <c r="IF145" i="12" s="1"/>
  <c r="DL157" i="12"/>
  <c r="IC60" i="12"/>
  <c r="IF60" i="12" s="1"/>
  <c r="IC132" i="12"/>
  <c r="IF132" i="12" s="1"/>
  <c r="DL216" i="12"/>
  <c r="DL162" i="12"/>
  <c r="DL136" i="12"/>
  <c r="IC136" i="12"/>
  <c r="IF136" i="12" s="1"/>
  <c r="DL183" i="12"/>
  <c r="DL74" i="12"/>
  <c r="IC105" i="12"/>
  <c r="IF105" i="12" s="1"/>
  <c r="DL65" i="12"/>
  <c r="DL168" i="12"/>
  <c r="IC67" i="12"/>
  <c r="IF67" i="12" s="1"/>
  <c r="DL151" i="12"/>
  <c r="DL184" i="12"/>
  <c r="DL40" i="12"/>
  <c r="IC42" i="12"/>
  <c r="IF42" i="12" s="1"/>
  <c r="IC163" i="12"/>
  <c r="IF163" i="12" s="1"/>
  <c r="IC104" i="12"/>
  <c r="IF104" i="12" s="1"/>
  <c r="IC129" i="12"/>
  <c r="IF129" i="12" s="1"/>
  <c r="IC26" i="12"/>
  <c r="IF26" i="12" s="1"/>
  <c r="IC134" i="12"/>
  <c r="IF134" i="12" s="1"/>
  <c r="IC90" i="12"/>
  <c r="IF90" i="12" s="1"/>
  <c r="DL28" i="12"/>
  <c r="DL67" i="12"/>
  <c r="IC187" i="12"/>
  <c r="IF187" i="12" s="1"/>
  <c r="IC117" i="12"/>
  <c r="IF117" i="12" s="1"/>
  <c r="IC50" i="12"/>
  <c r="IF50" i="12" s="1"/>
  <c r="DL153" i="12"/>
  <c r="IC58" i="12"/>
  <c r="IF58" i="12" s="1"/>
  <c r="DL51" i="12"/>
  <c r="IC193" i="12"/>
  <c r="IF193" i="12" s="1"/>
  <c r="IC115" i="12"/>
  <c r="IF115" i="12" s="1"/>
  <c r="IC73" i="12"/>
  <c r="IF73" i="12" s="1"/>
  <c r="DL209" i="12"/>
  <c r="IC64" i="12"/>
  <c r="IF64" i="12" s="1"/>
  <c r="DL71" i="12"/>
  <c r="DL114" i="12"/>
  <c r="IC162" i="12"/>
  <c r="IF162" i="12" s="1"/>
  <c r="DL174" i="12"/>
  <c r="IC157" i="12"/>
  <c r="IF157" i="12" s="1"/>
  <c r="IC114" i="12"/>
  <c r="IF114" i="12" s="1"/>
  <c r="IC54" i="12"/>
  <c r="IF54" i="12" s="1"/>
  <c r="IC149" i="12"/>
  <c r="IF149" i="12" s="1"/>
  <c r="DL117" i="12"/>
  <c r="IC23" i="12"/>
  <c r="IF23" i="12" s="1"/>
  <c r="IC78" i="12"/>
  <c r="IF78" i="12" s="1"/>
  <c r="IC77" i="12"/>
  <c r="IF77" i="12" s="1"/>
  <c r="DL37" i="12"/>
  <c r="IC123" i="12"/>
  <c r="IF123" i="12" s="1"/>
  <c r="IC124" i="12"/>
  <c r="IF124" i="12" s="1"/>
  <c r="IC48" i="12"/>
  <c r="IF48" i="12" s="1"/>
  <c r="IC100" i="12"/>
  <c r="IF100" i="12" s="1"/>
  <c r="IC81" i="12"/>
  <c r="IF81" i="12" s="1"/>
  <c r="DL195" i="12"/>
  <c r="DL196" i="12"/>
  <c r="DL159" i="12"/>
  <c r="DL33" i="12"/>
  <c r="DL97" i="12"/>
  <c r="IC200" i="12"/>
  <c r="IF200" i="12" s="1"/>
  <c r="DL135" i="12"/>
  <c r="DL205" i="12"/>
  <c r="DL119" i="12"/>
  <c r="IC177" i="12"/>
  <c r="IF177" i="12" s="1"/>
  <c r="DL105" i="12"/>
  <c r="DL86" i="12"/>
  <c r="DL207" i="12"/>
  <c r="DL187" i="12"/>
  <c r="IC192" i="12"/>
  <c r="IF192" i="12" s="1"/>
  <c r="DL53" i="12"/>
  <c r="IC172" i="12"/>
  <c r="IF172" i="12" s="1"/>
  <c r="IC194" i="12"/>
  <c r="IF194" i="12" s="1"/>
  <c r="IC51" i="12"/>
  <c r="IF51" i="12" s="1"/>
  <c r="DL132" i="12"/>
  <c r="IC96" i="12"/>
  <c r="IF96" i="12" s="1"/>
  <c r="IC32" i="12"/>
  <c r="IF32" i="12" s="1"/>
  <c r="IC76" i="12"/>
  <c r="IF76" i="12" s="1"/>
  <c r="IC196" i="12"/>
  <c r="IF196" i="12" s="1"/>
  <c r="DL145" i="12"/>
  <c r="IC35" i="12"/>
  <c r="IF35" i="12" s="1"/>
  <c r="DL177" i="12"/>
  <c r="DL190" i="12"/>
  <c r="DL70" i="12"/>
  <c r="IC122" i="12"/>
  <c r="IF122" i="12" s="1"/>
  <c r="DL138" i="12"/>
  <c r="DL191" i="12"/>
  <c r="DL179" i="12"/>
  <c r="IC198" i="12"/>
  <c r="IF198" i="12" s="1"/>
  <c r="DL80" i="12"/>
  <c r="IC140" i="12"/>
  <c r="IF140" i="12" s="1"/>
  <c r="DL178" i="12"/>
  <c r="IC199" i="12"/>
  <c r="IF199" i="12" s="1"/>
  <c r="DL108" i="12"/>
  <c r="DL54" i="12"/>
  <c r="DL130" i="12"/>
  <c r="DL123" i="12"/>
  <c r="IC152" i="12"/>
  <c r="IF152" i="12" s="1"/>
  <c r="IC70" i="12"/>
  <c r="IF70" i="12" s="1"/>
  <c r="DL164" i="12"/>
  <c r="DL182" i="12"/>
  <c r="IC175" i="12"/>
  <c r="IF175" i="12" s="1"/>
  <c r="DL73" i="12"/>
  <c r="IC38" i="12"/>
  <c r="IF38" i="12" s="1"/>
  <c r="IC184" i="12"/>
  <c r="IF184" i="12" s="1"/>
  <c r="IC66" i="12"/>
  <c r="IF66" i="12" s="1"/>
  <c r="DL56" i="12"/>
  <c r="DL23" i="12"/>
  <c r="IC189" i="12"/>
  <c r="IF189" i="12" s="1"/>
  <c r="IC178" i="12"/>
  <c r="IF178" i="12" s="1"/>
  <c r="DL24" i="12"/>
  <c r="IC41" i="12"/>
  <c r="IF41" i="12" s="1"/>
  <c r="IC80" i="12"/>
  <c r="IF80" i="12" s="1"/>
  <c r="DL161" i="12"/>
  <c r="IC118" i="12"/>
  <c r="IF118" i="12" s="1"/>
  <c r="DL34" i="12"/>
  <c r="DL211" i="12"/>
  <c r="IC97" i="12"/>
  <c r="IF97" i="12" s="1"/>
  <c r="DL140" i="12"/>
  <c r="DL103" i="12"/>
  <c r="IC107" i="12"/>
  <c r="IF107" i="12" s="1"/>
  <c r="DL85" i="12"/>
  <c r="DL181" i="12"/>
  <c r="DL52" i="12"/>
  <c r="IC56" i="12"/>
  <c r="IF56" i="12" s="1"/>
  <c r="DS233" i="12"/>
  <c r="IC34" i="12"/>
  <c r="IF34" i="12" s="1"/>
  <c r="DL115" i="12"/>
  <c r="IC62" i="12"/>
  <c r="IF62" i="12" s="1"/>
  <c r="DL26" i="12"/>
  <c r="DL131" i="12"/>
  <c r="DL192" i="12"/>
  <c r="DL193" i="12"/>
  <c r="DL170" i="12"/>
  <c r="DL90" i="12"/>
  <c r="IC108" i="12"/>
  <c r="IF108" i="12" s="1"/>
  <c r="DL95" i="12"/>
  <c r="DL155" i="12"/>
  <c r="DL58" i="12"/>
  <c r="DL109" i="12"/>
  <c r="IC191" i="12"/>
  <c r="IF191" i="12" s="1"/>
  <c r="IC153" i="12"/>
  <c r="IF153" i="12" s="1"/>
  <c r="IC82" i="12"/>
  <c r="IF82" i="12" s="1"/>
  <c r="DL198" i="12"/>
  <c r="IC127" i="12"/>
  <c r="IF127" i="12" s="1"/>
  <c r="DL202" i="12"/>
  <c r="IC74" i="12"/>
  <c r="IF74" i="12" s="1"/>
  <c r="DL120" i="12"/>
  <c r="DL79" i="12"/>
  <c r="IC142" i="12"/>
  <c r="IF142" i="12" s="1"/>
  <c r="DL186" i="12"/>
  <c r="IC84" i="12"/>
  <c r="IF84" i="12" s="1"/>
  <c r="IC65" i="12"/>
  <c r="IF65" i="12" s="1"/>
  <c r="IC126" i="12"/>
  <c r="IF126" i="12" s="1"/>
  <c r="IC158" i="12"/>
  <c r="IF158" i="12" s="1"/>
  <c r="DL55" i="12"/>
  <c r="IC128" i="12"/>
  <c r="IF128" i="12" s="1"/>
  <c r="DL185" i="12"/>
  <c r="IC45" i="12"/>
  <c r="IF45" i="12" s="1"/>
  <c r="DL49" i="12"/>
  <c r="IC141" i="12"/>
  <c r="IF141" i="12" s="1"/>
  <c r="IC53" i="12"/>
  <c r="IF53" i="12" s="1"/>
  <c r="DL35" i="12"/>
  <c r="IC47" i="12"/>
  <c r="IF47" i="12" s="1"/>
  <c r="IC179" i="12"/>
  <c r="IF179" i="12" s="1"/>
  <c r="IC139" i="12"/>
  <c r="IF139" i="12" s="1"/>
  <c r="IC190" i="12"/>
  <c r="IF190" i="12" s="1"/>
  <c r="IC85" i="12"/>
  <c r="IF85" i="12" s="1"/>
  <c r="DL206" i="12"/>
  <c r="IC137" i="12"/>
  <c r="IF137" i="12" s="1"/>
  <c r="DL102" i="12"/>
  <c r="DL171" i="12"/>
  <c r="DL144" i="12"/>
  <c r="IC183" i="12"/>
  <c r="IF183" i="12" s="1"/>
  <c r="DL137" i="12"/>
  <c r="IC57" i="12"/>
  <c r="IF57" i="12" s="1"/>
  <c r="DL64" i="12"/>
  <c r="IC40" i="12"/>
  <c r="IF40" i="12" s="1"/>
  <c r="DL101" i="12"/>
  <c r="IC169" i="12"/>
  <c r="IF169" i="12" s="1"/>
  <c r="DL93" i="12"/>
  <c r="DL188" i="12"/>
  <c r="DL57" i="12"/>
  <c r="IC171" i="12"/>
  <c r="IF171" i="12" s="1"/>
  <c r="DL134" i="12"/>
  <c r="DL45" i="12"/>
  <c r="DL213" i="12"/>
  <c r="DL92" i="12"/>
  <c r="DL69" i="12"/>
  <c r="DL121" i="12"/>
  <c r="DL152" i="12"/>
  <c r="DL48" i="12"/>
  <c r="IC174" i="12"/>
  <c r="IF174" i="12" s="1"/>
  <c r="IC99" i="12"/>
  <c r="IF99" i="12" s="1"/>
  <c r="DL100" i="12"/>
  <c r="DL217" i="12"/>
  <c r="DL107" i="12"/>
  <c r="DL220" i="12"/>
  <c r="DL82" i="12"/>
  <c r="IC43" i="12"/>
  <c r="IF43" i="12" s="1"/>
  <c r="IC72" i="12"/>
  <c r="IF72" i="12" s="1"/>
  <c r="IC111" i="12"/>
  <c r="IF111" i="12" s="1"/>
  <c r="IC30" i="12"/>
  <c r="IF30" i="12" s="1"/>
  <c r="DL99" i="12"/>
  <c r="IC68" i="12"/>
  <c r="IF68" i="12" s="1"/>
  <c r="DL81" i="12"/>
  <c r="DL203" i="12"/>
  <c r="IC46" i="12"/>
  <c r="IF46" i="12" s="1"/>
  <c r="IC155" i="12"/>
  <c r="IF155" i="12" s="1"/>
  <c r="DL47" i="12"/>
  <c r="IC33" i="12"/>
  <c r="IF33" i="12" s="1"/>
  <c r="DL96" i="12"/>
  <c r="IC69" i="12"/>
  <c r="IF69" i="12" s="1"/>
  <c r="DL32" i="12"/>
  <c r="IC61" i="12"/>
  <c r="IF61" i="12" s="1"/>
  <c r="DL166" i="12"/>
  <c r="IC93" i="12"/>
  <c r="IF93" i="12" s="1"/>
  <c r="IC49" i="12"/>
  <c r="IF49" i="12" s="1"/>
  <c r="DL72" i="12"/>
  <c r="DL147" i="12"/>
  <c r="IC44" i="12"/>
  <c r="IF44" i="12" s="1"/>
  <c r="DL83" i="12"/>
  <c r="IC110" i="12"/>
  <c r="IF110" i="12" s="1"/>
  <c r="IC89" i="12"/>
  <c r="IF89" i="12" s="1"/>
  <c r="IC119" i="12"/>
  <c r="IF119" i="12" s="1"/>
  <c r="DL154" i="12"/>
  <c r="IC27" i="12"/>
  <c r="IF27" i="12" s="1"/>
  <c r="DL116" i="12"/>
  <c r="DL113" i="12"/>
  <c r="DL39" i="12"/>
  <c r="IC161" i="12"/>
  <c r="IF161" i="12" s="1"/>
  <c r="IC102" i="12"/>
  <c r="IF102" i="12" s="1"/>
  <c r="IC168" i="12"/>
  <c r="IF168" i="12" s="1"/>
  <c r="DL41" i="12"/>
  <c r="IC146" i="12"/>
  <c r="IF146" i="12" s="1"/>
  <c r="IC173" i="12"/>
  <c r="IF173" i="12" s="1"/>
  <c r="DL173" i="12"/>
  <c r="DL127" i="12"/>
  <c r="DL219" i="12"/>
  <c r="DL215" i="12"/>
  <c r="DL189" i="12"/>
  <c r="DL50" i="12"/>
  <c r="DL180" i="12"/>
  <c r="DL118" i="12"/>
  <c r="DL146" i="12"/>
  <c r="IC165" i="12"/>
  <c r="IF165" i="12" s="1"/>
  <c r="IC71" i="12"/>
  <c r="IF71" i="12" s="1"/>
  <c r="DL59" i="12"/>
  <c r="DL75" i="12"/>
  <c r="DL91" i="12"/>
  <c r="IC28" i="12"/>
  <c r="IF28" i="12" s="1"/>
  <c r="DL212" i="12"/>
  <c r="DL78" i="12"/>
  <c r="IC130" i="12"/>
  <c r="IF130" i="12" s="1"/>
  <c r="FU120" i="12"/>
  <c r="GR120" i="12" s="1"/>
  <c r="FR121" i="12"/>
  <c r="CX2218" i="12"/>
  <c r="CU101" i="12" l="1"/>
  <c r="V10" i="12"/>
  <c r="EB94" i="12"/>
  <c r="EB95" i="12"/>
  <c r="EB97" i="12"/>
  <c r="HT28" i="12"/>
  <c r="HO29" i="12"/>
  <c r="AQ109" i="12"/>
  <c r="IF3" i="12"/>
  <c r="CX109" i="12"/>
  <c r="CX106" i="12"/>
  <c r="CX94" i="12"/>
  <c r="CX97" i="12"/>
  <c r="CX96" i="12"/>
  <c r="CX108" i="12"/>
  <c r="CX101" i="12"/>
  <c r="CX104" i="12"/>
  <c r="CX95" i="12"/>
  <c r="CX102" i="12"/>
  <c r="CX99" i="12"/>
  <c r="CX105" i="12"/>
  <c r="CX103" i="12"/>
  <c r="CX107" i="12"/>
  <c r="CX98" i="12"/>
  <c r="CX93" i="12"/>
  <c r="CX155" i="12"/>
  <c r="CX160" i="12"/>
  <c r="CX161" i="12"/>
  <c r="JH12" i="12"/>
  <c r="JH13" i="12" s="1"/>
  <c r="JK13" i="12" s="1"/>
  <c r="JL13" i="12" s="1"/>
  <c r="EA13" i="12" s="1"/>
  <c r="CX153" i="12"/>
  <c r="CX150" i="12"/>
  <c r="CX158" i="12"/>
  <c r="CX159" i="12"/>
  <c r="CX157" i="12"/>
  <c r="CX151" i="12"/>
  <c r="JK10" i="12"/>
  <c r="JL10" i="12" s="1"/>
  <c r="EA10" i="12" s="1"/>
  <c r="CX139" i="12" s="1"/>
  <c r="CX149" i="12"/>
  <c r="CX152" i="12"/>
  <c r="CX163" i="12"/>
  <c r="CX162" i="12"/>
  <c r="CX147" i="12"/>
  <c r="CX154" i="12"/>
  <c r="CX156" i="12"/>
  <c r="CX89" i="12"/>
  <c r="CX84" i="12"/>
  <c r="CX83" i="12"/>
  <c r="CX78" i="12"/>
  <c r="CX86" i="12"/>
  <c r="CX91" i="12"/>
  <c r="CX82" i="12"/>
  <c r="CX76" i="12"/>
  <c r="CX75" i="12"/>
  <c r="CX88" i="12"/>
  <c r="CX81" i="12"/>
  <c r="CX87" i="12"/>
  <c r="CX77" i="12"/>
  <c r="CX79" i="12"/>
  <c r="CX85" i="12"/>
  <c r="CX90" i="12"/>
  <c r="DN4" i="12"/>
  <c r="DM4" i="12"/>
  <c r="DN12" i="12"/>
  <c r="DM12" i="12"/>
  <c r="DM21" i="12"/>
  <c r="DN21" i="12"/>
  <c r="DM16" i="12"/>
  <c r="DN16" i="12"/>
  <c r="DM15" i="12"/>
  <c r="DN15" i="12"/>
  <c r="DM6" i="12"/>
  <c r="DN6" i="12"/>
  <c r="DM5" i="12"/>
  <c r="DN5" i="12"/>
  <c r="DN19" i="12"/>
  <c r="DM19" i="12"/>
  <c r="DN18" i="12"/>
  <c r="DM18" i="12"/>
  <c r="DM17" i="12"/>
  <c r="DN17" i="12"/>
  <c r="DM13" i="12"/>
  <c r="DN13" i="12"/>
  <c r="DN11" i="12"/>
  <c r="DM11" i="12"/>
  <c r="DM8" i="12"/>
  <c r="DN8" i="12"/>
  <c r="DN20" i="12"/>
  <c r="DM20" i="12"/>
  <c r="DM14" i="12"/>
  <c r="DN14" i="12"/>
  <c r="DN3" i="12"/>
  <c r="DM3" i="12"/>
  <c r="DN9" i="12"/>
  <c r="DM9" i="12"/>
  <c r="DM7" i="12"/>
  <c r="DN7" i="12"/>
  <c r="DM10" i="12"/>
  <c r="DN10" i="12"/>
  <c r="DM154" i="12"/>
  <c r="DN154" i="12"/>
  <c r="DN32" i="12"/>
  <c r="DM32" i="12"/>
  <c r="DM188" i="12"/>
  <c r="DN188" i="12"/>
  <c r="DN202" i="12"/>
  <c r="DM202" i="12"/>
  <c r="DN170" i="12"/>
  <c r="DM170" i="12"/>
  <c r="DM26" i="12"/>
  <c r="DN26" i="12"/>
  <c r="DN138" i="12"/>
  <c r="DM138" i="12"/>
  <c r="DM135" i="12"/>
  <c r="DN135" i="12"/>
  <c r="DM71" i="12"/>
  <c r="DN71" i="12"/>
  <c r="DM67" i="12"/>
  <c r="DN67" i="12"/>
  <c r="DM204" i="12"/>
  <c r="DN204" i="12"/>
  <c r="DM44" i="12"/>
  <c r="DN44" i="12"/>
  <c r="DM104" i="12"/>
  <c r="DN104" i="12"/>
  <c r="DM180" i="12"/>
  <c r="DN180" i="12"/>
  <c r="DM219" i="12"/>
  <c r="DN219" i="12"/>
  <c r="DM72" i="12"/>
  <c r="DN72" i="12"/>
  <c r="DM203" i="12"/>
  <c r="DN203" i="12"/>
  <c r="DN82" i="12"/>
  <c r="DM82" i="12"/>
  <c r="DM100" i="12"/>
  <c r="DN100" i="12"/>
  <c r="DM152" i="12"/>
  <c r="DN152" i="12"/>
  <c r="DM213" i="12"/>
  <c r="DN213" i="12"/>
  <c r="DN57" i="12"/>
  <c r="DM57" i="12"/>
  <c r="DN101" i="12"/>
  <c r="DM101" i="12"/>
  <c r="DN137" i="12"/>
  <c r="DM137" i="12"/>
  <c r="DM102" i="12"/>
  <c r="DN102" i="12"/>
  <c r="DM35" i="12"/>
  <c r="DN35" i="12"/>
  <c r="DM186" i="12"/>
  <c r="DN186" i="12"/>
  <c r="DN58" i="12"/>
  <c r="DM58" i="12"/>
  <c r="DM90" i="12"/>
  <c r="DN90" i="12"/>
  <c r="DN131" i="12"/>
  <c r="DM131" i="12"/>
  <c r="DM181" i="12"/>
  <c r="DN181" i="12"/>
  <c r="DM140" i="12"/>
  <c r="DN140" i="12"/>
  <c r="DM24" i="12"/>
  <c r="DN24" i="12"/>
  <c r="DM56" i="12"/>
  <c r="DN56" i="12"/>
  <c r="DM73" i="12"/>
  <c r="DN73" i="12"/>
  <c r="DN54" i="12"/>
  <c r="DM54" i="12"/>
  <c r="DN191" i="12"/>
  <c r="DM191" i="12"/>
  <c r="DM190" i="12"/>
  <c r="DN190" i="12"/>
  <c r="DM132" i="12"/>
  <c r="DN132" i="12"/>
  <c r="DN53" i="12"/>
  <c r="DM53" i="12"/>
  <c r="DN86" i="12"/>
  <c r="DM86" i="12"/>
  <c r="DN205" i="12"/>
  <c r="DM205" i="12"/>
  <c r="DN33" i="12"/>
  <c r="DM33" i="12"/>
  <c r="IM44" i="12"/>
  <c r="IN68" i="12"/>
  <c r="IM137" i="12"/>
  <c r="IM188" i="12"/>
  <c r="IN110" i="12"/>
  <c r="IN154" i="12"/>
  <c r="IM158" i="12"/>
  <c r="IN109" i="12"/>
  <c r="IN143" i="12"/>
  <c r="IM196" i="12"/>
  <c r="IN5" i="12"/>
  <c r="IN36" i="12"/>
  <c r="IM192" i="12"/>
  <c r="IM39" i="12"/>
  <c r="IN37" i="12"/>
  <c r="IM154" i="12"/>
  <c r="IN159" i="12"/>
  <c r="IN125" i="12"/>
  <c r="IN75" i="12"/>
  <c r="IN73" i="12"/>
  <c r="IM25" i="12"/>
  <c r="IM173" i="12"/>
  <c r="IN39" i="12"/>
  <c r="IN180" i="12"/>
  <c r="IM109" i="12"/>
  <c r="IM186" i="12"/>
  <c r="IM34" i="12"/>
  <c r="IM105" i="12"/>
  <c r="IM118" i="12"/>
  <c r="IN103" i="12"/>
  <c r="IN29" i="12"/>
  <c r="IN170" i="12"/>
  <c r="IN186" i="12"/>
  <c r="IM5" i="12"/>
  <c r="IM147" i="12"/>
  <c r="IM15" i="12"/>
  <c r="IN200" i="12"/>
  <c r="IN134" i="12"/>
  <c r="IN121" i="12"/>
  <c r="IM155" i="12"/>
  <c r="IN58" i="12"/>
  <c r="IM70" i="12"/>
  <c r="IN128" i="12"/>
  <c r="IN123" i="12"/>
  <c r="IN116" i="12"/>
  <c r="IM123" i="12"/>
  <c r="IN76" i="12"/>
  <c r="IN184" i="12"/>
  <c r="IN82" i="12"/>
  <c r="IM75" i="12"/>
  <c r="IN151" i="12"/>
  <c r="IM119" i="12"/>
  <c r="IN147" i="12"/>
  <c r="IM48" i="12"/>
  <c r="IM104" i="12"/>
  <c r="IN130" i="12"/>
  <c r="IN50" i="12"/>
  <c r="IN172" i="12"/>
  <c r="IM67" i="12"/>
  <c r="IM176" i="12"/>
  <c r="IM140" i="12"/>
  <c r="IN141" i="12"/>
  <c r="IM181" i="12"/>
  <c r="IN120" i="12"/>
  <c r="IN100" i="12"/>
  <c r="IM127" i="12"/>
  <c r="IM102" i="12"/>
  <c r="IN132" i="12"/>
  <c r="IN140" i="12"/>
  <c r="IM142" i="12"/>
  <c r="IN148" i="12"/>
  <c r="IN64" i="12"/>
  <c r="IM108" i="12"/>
  <c r="IN7" i="12"/>
  <c r="IM160" i="12"/>
  <c r="IM200" i="12"/>
  <c r="IM29" i="12"/>
  <c r="IN187" i="12"/>
  <c r="IN136" i="12"/>
  <c r="IM40" i="12"/>
  <c r="IN86" i="12"/>
  <c r="IM31" i="12"/>
  <c r="IM164" i="12"/>
  <c r="IM184" i="12"/>
  <c r="IN67" i="12"/>
  <c r="IM64" i="12"/>
  <c r="IM96" i="12"/>
  <c r="IM157" i="12"/>
  <c r="IN52" i="12"/>
  <c r="IM62" i="12"/>
  <c r="IN95" i="12"/>
  <c r="IN99" i="12"/>
  <c r="IN149" i="12"/>
  <c r="IM26" i="12"/>
  <c r="IN198" i="12"/>
  <c r="IM88" i="12"/>
  <c r="IM9" i="12"/>
  <c r="IM136" i="12"/>
  <c r="IN66" i="12"/>
  <c r="IN182" i="12"/>
  <c r="IM32" i="12"/>
  <c r="IN80" i="12"/>
  <c r="IM141" i="12"/>
  <c r="IM65" i="12"/>
  <c r="IN173" i="12"/>
  <c r="IM166" i="12"/>
  <c r="IM20" i="12"/>
  <c r="IM11" i="12"/>
  <c r="IM194" i="12"/>
  <c r="IM143" i="12"/>
  <c r="IN179" i="12"/>
  <c r="IM198" i="12"/>
  <c r="IN193" i="12"/>
  <c r="IN26" i="12"/>
  <c r="IN20" i="12"/>
  <c r="IN53" i="12"/>
  <c r="IN126" i="12"/>
  <c r="IN91" i="12"/>
  <c r="IM56" i="12"/>
  <c r="IM83" i="12"/>
  <c r="IM35" i="12"/>
  <c r="IN142" i="12"/>
  <c r="IM7" i="12"/>
  <c r="IM42" i="12"/>
  <c r="IN87" i="12"/>
  <c r="IN196" i="12"/>
  <c r="IM190" i="12"/>
  <c r="IN146" i="12"/>
  <c r="IM95" i="12"/>
  <c r="IM178" i="12"/>
  <c r="IM135" i="12"/>
  <c r="IM18" i="12"/>
  <c r="IN69" i="12"/>
  <c r="IM59" i="12"/>
  <c r="IM74" i="12"/>
  <c r="IN62" i="12"/>
  <c r="IM93" i="12"/>
  <c r="IM38" i="12"/>
  <c r="IM197" i="12"/>
  <c r="IM76" i="12"/>
  <c r="IM101" i="12"/>
  <c r="IN118" i="12"/>
  <c r="IM112" i="12"/>
  <c r="IN71" i="12"/>
  <c r="IN176" i="12"/>
  <c r="IN135" i="12"/>
  <c r="IM46" i="12"/>
  <c r="IM36" i="12"/>
  <c r="IN19" i="12"/>
  <c r="IM66" i="12"/>
  <c r="IN106" i="12"/>
  <c r="IM17" i="12"/>
  <c r="IN191" i="12"/>
  <c r="IN137" i="12"/>
  <c r="IM19" i="12"/>
  <c r="IM111" i="12"/>
  <c r="IM22" i="12"/>
  <c r="IN133" i="12"/>
  <c r="IN35" i="12"/>
  <c r="IN22" i="12"/>
  <c r="IN181" i="12"/>
  <c r="IN25" i="12"/>
  <c r="IM171" i="12"/>
  <c r="IM98" i="12"/>
  <c r="IN38" i="12"/>
  <c r="IN183" i="12"/>
  <c r="IN131" i="12"/>
  <c r="IN188" i="12"/>
  <c r="IN163" i="12"/>
  <c r="IN178" i="12"/>
  <c r="IM183" i="12"/>
  <c r="IN96" i="12"/>
  <c r="IN83" i="12"/>
  <c r="IN90" i="12"/>
  <c r="IM68" i="12"/>
  <c r="IM134" i="12"/>
  <c r="IM175" i="12"/>
  <c r="IN46" i="12"/>
  <c r="IN47" i="12"/>
  <c r="IN156" i="12"/>
  <c r="IM33" i="12"/>
  <c r="IM187" i="12"/>
  <c r="IM80" i="12"/>
  <c r="IM81" i="12"/>
  <c r="IN111" i="12"/>
  <c r="IM97" i="12"/>
  <c r="IM152" i="12"/>
  <c r="IN108" i="12"/>
  <c r="IM82" i="12"/>
  <c r="IN166" i="12"/>
  <c r="IN30" i="12"/>
  <c r="IM191" i="12"/>
  <c r="IN138" i="12"/>
  <c r="DN114" i="12"/>
  <c r="DM114" i="12"/>
  <c r="DN151" i="12"/>
  <c r="DM151" i="12"/>
  <c r="DM136" i="12"/>
  <c r="DN136" i="12"/>
  <c r="DN214" i="12"/>
  <c r="DM214" i="12"/>
  <c r="DM208" i="12"/>
  <c r="DN208" i="12"/>
  <c r="DN31" i="12"/>
  <c r="DM31" i="12"/>
  <c r="DN148" i="12"/>
  <c r="DM148" i="12"/>
  <c r="DN126" i="12"/>
  <c r="DM126" i="12"/>
  <c r="DM27" i="12"/>
  <c r="DN27" i="12"/>
  <c r="DN60" i="12"/>
  <c r="DM60" i="12"/>
  <c r="DN29" i="12"/>
  <c r="DM29" i="12"/>
  <c r="DN199" i="12"/>
  <c r="DM199" i="12"/>
  <c r="DN88" i="12"/>
  <c r="DM88" i="12"/>
  <c r="DN76" i="12"/>
  <c r="DM76" i="12"/>
  <c r="DM94" i="12"/>
  <c r="DN94" i="12"/>
  <c r="DM125" i="12"/>
  <c r="DN125" i="12"/>
  <c r="DM129" i="12"/>
  <c r="DN129" i="12"/>
  <c r="DM150" i="12"/>
  <c r="DN150" i="12"/>
  <c r="DM133" i="12"/>
  <c r="DN133" i="12"/>
  <c r="DN36" i="12"/>
  <c r="DM36" i="12"/>
  <c r="DN128" i="12"/>
  <c r="DM128" i="12"/>
  <c r="DN142" i="12"/>
  <c r="DM142" i="12"/>
  <c r="DN91" i="12"/>
  <c r="DM91" i="12"/>
  <c r="DN50" i="12"/>
  <c r="DM50" i="12"/>
  <c r="DM41" i="12"/>
  <c r="DN41" i="12"/>
  <c r="DM83" i="12"/>
  <c r="DN83" i="12"/>
  <c r="DN220" i="12"/>
  <c r="DM220" i="12"/>
  <c r="DN121" i="12"/>
  <c r="DM121" i="12"/>
  <c r="DM45" i="12"/>
  <c r="DN45" i="12"/>
  <c r="DM80" i="12"/>
  <c r="DN80" i="12"/>
  <c r="DM159" i="12"/>
  <c r="DN159" i="12"/>
  <c r="DM117" i="12"/>
  <c r="DN117" i="12"/>
  <c r="DM153" i="12"/>
  <c r="DN153" i="12"/>
  <c r="DM74" i="12"/>
  <c r="DN74" i="12"/>
  <c r="DN157" i="12"/>
  <c r="DM157" i="12"/>
  <c r="DN124" i="12"/>
  <c r="DM124" i="12"/>
  <c r="DN200" i="12"/>
  <c r="DM200" i="12"/>
  <c r="DM175" i="12"/>
  <c r="DN175" i="12"/>
  <c r="DN89" i="12"/>
  <c r="DM89" i="12"/>
  <c r="DM42" i="12"/>
  <c r="DN42" i="12"/>
  <c r="DN111" i="12"/>
  <c r="DM111" i="12"/>
  <c r="DN25" i="12"/>
  <c r="DM25" i="12"/>
  <c r="AW12" i="12"/>
  <c r="AT14" i="12"/>
  <c r="AW16" i="12"/>
  <c r="AT16" i="12"/>
  <c r="AT10" i="12"/>
  <c r="AT15" i="12"/>
  <c r="AW15" i="12"/>
  <c r="AT7" i="12"/>
  <c r="AT9" i="12"/>
  <c r="AW8" i="12"/>
  <c r="AW10" i="12"/>
  <c r="AT6" i="12"/>
  <c r="AT11" i="12"/>
  <c r="AT3" i="12"/>
  <c r="AT5" i="12"/>
  <c r="AW11" i="12"/>
  <c r="AW7" i="12"/>
  <c r="AW4" i="12"/>
  <c r="AW3" i="12"/>
  <c r="AW17" i="12"/>
  <c r="AW9" i="12"/>
  <c r="AT8" i="12"/>
  <c r="AT4" i="12"/>
  <c r="AT13" i="12"/>
  <c r="AW5" i="12"/>
  <c r="AW6" i="12"/>
  <c r="AW13" i="12"/>
  <c r="AT12" i="12"/>
  <c r="AW14" i="12"/>
  <c r="AT19" i="12"/>
  <c r="AT36" i="12"/>
  <c r="AW19" i="12"/>
  <c r="AW27" i="12"/>
  <c r="AT17" i="12"/>
  <c r="AT39" i="12"/>
  <c r="AT44" i="12"/>
  <c r="AW36" i="12"/>
  <c r="AT37" i="12"/>
  <c r="AT30" i="12"/>
  <c r="AW25" i="12"/>
  <c r="AW32" i="12"/>
  <c r="AT23" i="12"/>
  <c r="AW34" i="12"/>
  <c r="AT18" i="12"/>
  <c r="AW33" i="12"/>
  <c r="AT31" i="12"/>
  <c r="AT46" i="12"/>
  <c r="AT32" i="12"/>
  <c r="AW28" i="12"/>
  <c r="AT33" i="12"/>
  <c r="AW47" i="12"/>
  <c r="AT25" i="12"/>
  <c r="AT43" i="12"/>
  <c r="AT45" i="12"/>
  <c r="AT26" i="12"/>
  <c r="AW23" i="12"/>
  <c r="AT48" i="12"/>
  <c r="AT47" i="12"/>
  <c r="AW21" i="12"/>
  <c r="AW37" i="12"/>
  <c r="AW45" i="12"/>
  <c r="AT22" i="12"/>
  <c r="AW42" i="12"/>
  <c r="AT40" i="12"/>
  <c r="AW44" i="12"/>
  <c r="AW46" i="12"/>
  <c r="AW41" i="12"/>
  <c r="AW20" i="12"/>
  <c r="AT28" i="12"/>
  <c r="AT29" i="12"/>
  <c r="AW31" i="12"/>
  <c r="AW29" i="12"/>
  <c r="AT20" i="12"/>
  <c r="AW24" i="12"/>
  <c r="AT24" i="12"/>
  <c r="AT21" i="12"/>
  <c r="AW30" i="12"/>
  <c r="AW39" i="12"/>
  <c r="AW43" i="12"/>
  <c r="AT35" i="12"/>
  <c r="AW22" i="12"/>
  <c r="AT34" i="12"/>
  <c r="AW26" i="12"/>
  <c r="AW48" i="12"/>
  <c r="AT49" i="12"/>
  <c r="AT27" i="12"/>
  <c r="AW38" i="12"/>
  <c r="AW18" i="12"/>
  <c r="AW49" i="12"/>
  <c r="DM212" i="12"/>
  <c r="DN212" i="12"/>
  <c r="DN59" i="12"/>
  <c r="DM59" i="12"/>
  <c r="DM118" i="12"/>
  <c r="DN118" i="12"/>
  <c r="DN215" i="12"/>
  <c r="DM215" i="12"/>
  <c r="DN116" i="12"/>
  <c r="DM116" i="12"/>
  <c r="DN147" i="12"/>
  <c r="DM147" i="12"/>
  <c r="DM166" i="12"/>
  <c r="DN166" i="12"/>
  <c r="DM96" i="12"/>
  <c r="DN96" i="12"/>
  <c r="DM99" i="12"/>
  <c r="DN99" i="12"/>
  <c r="DN217" i="12"/>
  <c r="DM217" i="12"/>
  <c r="DM48" i="12"/>
  <c r="DN48" i="12"/>
  <c r="DM92" i="12"/>
  <c r="DN92" i="12"/>
  <c r="DM171" i="12"/>
  <c r="DN171" i="12"/>
  <c r="DN49" i="12"/>
  <c r="DM49" i="12"/>
  <c r="DN55" i="12"/>
  <c r="DM55" i="12"/>
  <c r="DM120" i="12"/>
  <c r="DN120" i="12"/>
  <c r="DM198" i="12"/>
  <c r="DN198" i="12"/>
  <c r="DM109" i="12"/>
  <c r="DN109" i="12"/>
  <c r="DM192" i="12"/>
  <c r="DN192" i="12"/>
  <c r="DM115" i="12"/>
  <c r="DN115" i="12"/>
  <c r="DN52" i="12"/>
  <c r="DM52" i="12"/>
  <c r="DN103" i="12"/>
  <c r="DM103" i="12"/>
  <c r="DN34" i="12"/>
  <c r="DM34" i="12"/>
  <c r="DM23" i="12"/>
  <c r="DN23" i="12"/>
  <c r="DN164" i="12"/>
  <c r="DM164" i="12"/>
  <c r="DM130" i="12"/>
  <c r="DN130" i="12"/>
  <c r="DM178" i="12"/>
  <c r="DN178" i="12"/>
  <c r="DN179" i="12"/>
  <c r="DM179" i="12"/>
  <c r="DN70" i="12"/>
  <c r="DM70" i="12"/>
  <c r="DN145" i="12"/>
  <c r="DM145" i="12"/>
  <c r="DN207" i="12"/>
  <c r="DM207" i="12"/>
  <c r="DN119" i="12"/>
  <c r="DM119" i="12"/>
  <c r="DN97" i="12"/>
  <c r="DM97" i="12"/>
  <c r="DM195" i="12"/>
  <c r="DN195" i="12"/>
  <c r="DM209" i="12"/>
  <c r="DN209" i="12"/>
  <c r="DM51" i="12"/>
  <c r="DN51" i="12"/>
  <c r="DM184" i="12"/>
  <c r="DN184" i="12"/>
  <c r="DM65" i="12"/>
  <c r="DN65" i="12"/>
  <c r="DM163" i="12"/>
  <c r="DN163" i="12"/>
  <c r="DM98" i="12"/>
  <c r="DN98" i="12"/>
  <c r="DM62" i="12"/>
  <c r="DN62" i="12"/>
  <c r="DM38" i="12"/>
  <c r="DN38" i="12"/>
  <c r="DM77" i="12"/>
  <c r="DN77" i="12"/>
  <c r="DN149" i="12"/>
  <c r="DM149" i="12"/>
  <c r="DN158" i="12"/>
  <c r="DM158" i="12"/>
  <c r="DN30" i="12"/>
  <c r="DM30" i="12"/>
  <c r="DN169" i="12"/>
  <c r="DM169" i="12"/>
  <c r="DM172" i="12"/>
  <c r="DN172" i="12"/>
  <c r="DN122" i="12"/>
  <c r="DM122" i="12"/>
  <c r="DM167" i="12"/>
  <c r="DN167" i="12"/>
  <c r="DM197" i="12"/>
  <c r="DN197" i="12"/>
  <c r="DN22" i="12"/>
  <c r="DM22" i="12"/>
  <c r="DN43" i="12"/>
  <c r="DM43" i="12"/>
  <c r="DN68" i="12"/>
  <c r="DM68" i="12"/>
  <c r="DN176" i="12"/>
  <c r="DM176" i="12"/>
  <c r="DN127" i="12"/>
  <c r="DM127" i="12"/>
  <c r="DN39" i="12"/>
  <c r="DM39" i="12"/>
  <c r="DM47" i="12"/>
  <c r="DN47" i="12"/>
  <c r="DN81" i="12"/>
  <c r="DM81" i="12"/>
  <c r="DN185" i="12"/>
  <c r="DM185" i="12"/>
  <c r="DN155" i="12"/>
  <c r="DM155" i="12"/>
  <c r="DM85" i="12"/>
  <c r="DN85" i="12"/>
  <c r="DM161" i="12"/>
  <c r="DN161" i="12"/>
  <c r="DM108" i="12"/>
  <c r="DN108" i="12"/>
  <c r="DN177" i="12"/>
  <c r="DM177" i="12"/>
  <c r="DM105" i="12"/>
  <c r="DN105" i="12"/>
  <c r="DM37" i="12"/>
  <c r="DN37" i="12"/>
  <c r="DN162" i="12"/>
  <c r="DM162" i="12"/>
  <c r="DM165" i="12"/>
  <c r="DN165" i="12"/>
  <c r="DM112" i="12"/>
  <c r="DN112" i="12"/>
  <c r="DM201" i="12"/>
  <c r="DN201" i="12"/>
  <c r="DN61" i="12"/>
  <c r="DM61" i="12"/>
  <c r="DN78" i="12"/>
  <c r="DM78" i="12"/>
  <c r="DN75" i="12"/>
  <c r="DM75" i="12"/>
  <c r="DM146" i="12"/>
  <c r="DN146" i="12"/>
  <c r="DM189" i="12"/>
  <c r="DN189" i="12"/>
  <c r="DM173" i="12"/>
  <c r="DN173" i="12"/>
  <c r="DN113" i="12"/>
  <c r="DM113" i="12"/>
  <c r="DN107" i="12"/>
  <c r="DM107" i="12"/>
  <c r="DN69" i="12"/>
  <c r="DM69" i="12"/>
  <c r="DM134" i="12"/>
  <c r="DN134" i="12"/>
  <c r="DN93" i="12"/>
  <c r="DM93" i="12"/>
  <c r="DN64" i="12"/>
  <c r="DM64" i="12"/>
  <c r="DM144" i="12"/>
  <c r="DN144" i="12"/>
  <c r="DN206" i="12"/>
  <c r="DM206" i="12"/>
  <c r="DN79" i="12"/>
  <c r="DM79" i="12"/>
  <c r="DN95" i="12"/>
  <c r="DM95" i="12"/>
  <c r="DM193" i="12"/>
  <c r="DN193" i="12"/>
  <c r="DM211" i="12"/>
  <c r="DN211" i="12"/>
  <c r="DM182" i="12"/>
  <c r="DN182" i="12"/>
  <c r="DM123" i="12"/>
  <c r="DN123" i="12"/>
  <c r="DN187" i="12"/>
  <c r="DM187" i="12"/>
  <c r="IN34" i="12"/>
  <c r="IN97" i="12"/>
  <c r="IM24" i="12"/>
  <c r="IN119" i="12"/>
  <c r="IM180" i="12"/>
  <c r="IM79" i="12"/>
  <c r="IN161" i="12"/>
  <c r="IN102" i="12"/>
  <c r="IN51" i="12"/>
  <c r="IN139" i="12"/>
  <c r="IM23" i="12"/>
  <c r="IN190" i="12"/>
  <c r="IN60" i="12"/>
  <c r="IM161" i="12"/>
  <c r="IM49" i="12"/>
  <c r="IM72" i="12"/>
  <c r="IM21" i="12"/>
  <c r="IN18" i="12"/>
  <c r="IN59" i="12"/>
  <c r="IM37" i="12"/>
  <c r="IN93" i="12"/>
  <c r="IN88" i="12"/>
  <c r="IM172" i="12"/>
  <c r="IM163" i="12"/>
  <c r="IN41" i="12"/>
  <c r="IN17" i="12"/>
  <c r="IN6" i="12"/>
  <c r="IM87" i="12"/>
  <c r="IM199" i="12"/>
  <c r="IN199" i="12"/>
  <c r="IN189" i="12"/>
  <c r="IN74" i="12"/>
  <c r="IN8" i="12"/>
  <c r="IM193" i="12"/>
  <c r="IM124" i="12"/>
  <c r="IN63" i="12"/>
  <c r="IM146" i="12"/>
  <c r="IM86" i="12"/>
  <c r="IN127" i="12"/>
  <c r="IN112" i="12"/>
  <c r="IM195" i="12"/>
  <c r="IN84" i="12"/>
  <c r="IN158" i="12"/>
  <c r="IN114" i="12"/>
  <c r="IM100" i="12"/>
  <c r="IN162" i="12"/>
  <c r="IN117" i="12"/>
  <c r="IM129" i="12"/>
  <c r="IM55" i="12"/>
  <c r="IM153" i="12"/>
  <c r="IN171" i="12"/>
  <c r="IN33" i="12"/>
  <c r="IM69" i="12"/>
  <c r="IN48" i="12"/>
  <c r="IN54" i="12"/>
  <c r="IM78" i="12"/>
  <c r="IN31" i="12"/>
  <c r="IM43" i="12"/>
  <c r="IM113" i="12"/>
  <c r="IM50" i="12"/>
  <c r="IM150" i="12"/>
  <c r="IN61" i="12"/>
  <c r="IM4" i="12"/>
  <c r="IM165" i="12"/>
  <c r="IN115" i="12"/>
  <c r="IN194" i="12"/>
  <c r="IN122" i="12"/>
  <c r="IN70" i="12"/>
  <c r="IM71" i="12"/>
  <c r="IN177" i="12"/>
  <c r="IN56" i="12"/>
  <c r="IN157" i="12"/>
  <c r="IN129" i="12"/>
  <c r="IM30" i="12"/>
  <c r="IM125" i="12"/>
  <c r="IN55" i="12"/>
  <c r="IM149" i="12"/>
  <c r="IM156" i="12"/>
  <c r="IN144" i="12"/>
  <c r="IN167" i="12"/>
  <c r="IN98" i="12"/>
  <c r="IM60" i="12"/>
  <c r="IM114" i="12"/>
  <c r="IN79" i="12"/>
  <c r="IM73" i="12"/>
  <c r="IN175" i="12"/>
  <c r="IM8" i="12"/>
  <c r="IM148" i="12"/>
  <c r="IN72" i="12"/>
  <c r="IM133" i="12"/>
  <c r="IN44" i="12"/>
  <c r="IN150" i="12"/>
  <c r="IN77" i="12"/>
  <c r="IM28" i="12"/>
  <c r="IM182" i="12"/>
  <c r="IN164" i="12"/>
  <c r="IM6" i="12"/>
  <c r="IN104" i="12"/>
  <c r="IM145" i="12"/>
  <c r="IN152" i="12"/>
  <c r="IM85" i="12"/>
  <c r="IN168" i="12"/>
  <c r="IM159" i="12"/>
  <c r="IM151" i="12"/>
  <c r="IM54" i="12"/>
  <c r="IN107" i="12"/>
  <c r="IN4" i="12"/>
  <c r="IM138" i="12"/>
  <c r="IM132" i="12"/>
  <c r="IN101" i="12"/>
  <c r="IN23" i="12"/>
  <c r="IN153" i="12"/>
  <c r="IM27" i="12"/>
  <c r="IN145" i="12"/>
  <c r="IN195" i="12"/>
  <c r="IM58" i="12"/>
  <c r="IN174" i="12"/>
  <c r="IN185" i="12"/>
  <c r="IN65" i="12"/>
  <c r="IM61" i="12"/>
  <c r="IM179" i="12"/>
  <c r="IN57" i="12"/>
  <c r="IM116" i="12"/>
  <c r="IM45" i="12"/>
  <c r="IN21" i="12"/>
  <c r="IM41" i="12"/>
  <c r="IM77" i="12"/>
  <c r="IN89" i="12"/>
  <c r="IM52" i="12"/>
  <c r="IM167" i="12"/>
  <c r="IM106" i="12"/>
  <c r="IN197" i="12"/>
  <c r="IM131" i="12"/>
  <c r="IN9" i="12"/>
  <c r="IM63" i="12"/>
  <c r="IM94" i="12"/>
  <c r="IN27" i="12"/>
  <c r="IM128" i="12"/>
  <c r="IM117" i="12"/>
  <c r="IM84" i="12"/>
  <c r="IM189" i="12"/>
  <c r="IM92" i="12"/>
  <c r="IN113" i="12"/>
  <c r="IN192" i="12"/>
  <c r="IM90" i="12"/>
  <c r="IN24" i="12"/>
  <c r="IM99" i="12"/>
  <c r="IN169" i="12"/>
  <c r="IN124" i="12"/>
  <c r="IM57" i="12"/>
  <c r="IM130" i="12"/>
  <c r="IN78" i="12"/>
  <c r="IM177" i="12"/>
  <c r="IM91" i="12"/>
  <c r="IN32" i="12"/>
  <c r="IM170" i="12"/>
  <c r="IN49" i="12"/>
  <c r="IM121" i="12"/>
  <c r="IN94" i="12"/>
  <c r="IM107" i="12"/>
  <c r="IM51" i="12"/>
  <c r="IN105" i="12"/>
  <c r="IM120" i="12"/>
  <c r="IN15" i="12"/>
  <c r="IN40" i="12"/>
  <c r="IM139" i="12"/>
  <c r="IM126" i="12"/>
  <c r="IM89" i="12"/>
  <c r="IN11" i="12"/>
  <c r="IN85" i="12"/>
  <c r="IM174" i="12"/>
  <c r="IM103" i="12"/>
  <c r="IM122" i="12"/>
  <c r="IM47" i="12"/>
  <c r="IM115" i="12"/>
  <c r="IM185" i="12"/>
  <c r="IM110" i="12"/>
  <c r="IN81" i="12"/>
  <c r="IN160" i="12"/>
  <c r="IM144" i="12"/>
  <c r="IN42" i="12"/>
  <c r="IN155" i="12"/>
  <c r="IN92" i="12"/>
  <c r="IN45" i="12"/>
  <c r="IN43" i="12"/>
  <c r="IN165" i="12"/>
  <c r="IM168" i="12"/>
  <c r="IN28" i="12"/>
  <c r="IM53" i="12"/>
  <c r="IM169" i="12"/>
  <c r="IM162" i="12"/>
  <c r="DN196" i="12"/>
  <c r="DM196" i="12"/>
  <c r="DN174" i="12"/>
  <c r="DM174" i="12"/>
  <c r="DN28" i="12"/>
  <c r="DM28" i="12"/>
  <c r="DN40" i="12"/>
  <c r="DM40" i="12"/>
  <c r="DN168" i="12"/>
  <c r="DM168" i="12"/>
  <c r="DM183" i="12"/>
  <c r="DN183" i="12"/>
  <c r="DM216" i="12"/>
  <c r="DN216" i="12"/>
  <c r="DM156" i="12"/>
  <c r="DN156" i="12"/>
  <c r="DM46" i="12"/>
  <c r="DN46" i="12"/>
  <c r="DN139" i="12"/>
  <c r="DM139" i="12"/>
  <c r="DM63" i="12"/>
  <c r="DN63" i="12"/>
  <c r="DN110" i="12"/>
  <c r="DM110" i="12"/>
  <c r="DM141" i="12"/>
  <c r="DN141" i="12"/>
  <c r="DN106" i="12"/>
  <c r="DM106" i="12"/>
  <c r="DN87" i="12"/>
  <c r="DM87" i="12"/>
  <c r="DN66" i="12"/>
  <c r="DM66" i="12"/>
  <c r="DM194" i="12"/>
  <c r="DN194" i="12"/>
  <c r="DN160" i="12"/>
  <c r="DM160" i="12"/>
  <c r="DN218" i="12"/>
  <c r="DM218" i="12"/>
  <c r="DN84" i="12"/>
  <c r="DM84" i="12"/>
  <c r="DN210" i="12"/>
  <c r="DM210" i="12"/>
  <c r="DN143" i="12"/>
  <c r="DM143" i="12"/>
  <c r="AW35" i="12"/>
  <c r="AT38" i="12"/>
  <c r="AW40" i="12"/>
  <c r="AT41" i="12"/>
  <c r="AT42" i="12"/>
  <c r="O44" i="12"/>
  <c r="O45" i="12"/>
  <c r="FU121" i="12"/>
  <c r="GR121" i="12" s="1"/>
  <c r="FR122" i="12"/>
  <c r="CX2219" i="12"/>
  <c r="V11" i="12" l="1"/>
  <c r="CU104" i="12"/>
  <c r="AQ110" i="12"/>
  <c r="HT29" i="12"/>
  <c r="HO30" i="12"/>
  <c r="IO13" i="12"/>
  <c r="IP13" i="12" s="1"/>
  <c r="IQ13" i="12" s="1"/>
  <c r="CX135" i="12"/>
  <c r="CX144" i="12"/>
  <c r="CX137" i="12"/>
  <c r="CX132" i="12"/>
  <c r="JH14" i="12"/>
  <c r="JK14" i="12" s="1"/>
  <c r="JL14" i="12" s="1"/>
  <c r="EA14" i="12" s="1"/>
  <c r="CX210" i="12" s="1"/>
  <c r="CX141" i="12"/>
  <c r="CX136" i="12"/>
  <c r="CX133" i="12"/>
  <c r="CX140" i="12"/>
  <c r="CX142" i="12"/>
  <c r="CX130" i="12"/>
  <c r="CX129" i="12"/>
  <c r="CX131" i="12"/>
  <c r="CX138" i="12"/>
  <c r="CX134" i="12"/>
  <c r="CX145" i="12"/>
  <c r="CX143" i="12"/>
  <c r="JK12" i="12"/>
  <c r="JL12" i="12" s="1"/>
  <c r="EA12" i="12" s="1"/>
  <c r="CX181" i="12" s="1"/>
  <c r="CX196" i="12"/>
  <c r="CX195" i="12"/>
  <c r="CX187" i="12"/>
  <c r="CX184" i="12"/>
  <c r="CX191" i="12"/>
  <c r="CX192" i="12"/>
  <c r="CX188" i="12"/>
  <c r="CX194" i="12"/>
  <c r="CX183" i="12"/>
  <c r="CX199" i="12"/>
  <c r="CX189" i="12"/>
  <c r="CX193" i="12"/>
  <c r="CX198" i="12"/>
  <c r="CX186" i="12"/>
  <c r="CX185" i="12"/>
  <c r="CX190" i="12"/>
  <c r="CX197" i="12"/>
  <c r="O9" i="12"/>
  <c r="O8" i="12"/>
  <c r="O4" i="12"/>
  <c r="P4" i="12" s="1"/>
  <c r="O7" i="12"/>
  <c r="O16" i="12"/>
  <c r="O10" i="12"/>
  <c r="AQ143" i="12"/>
  <c r="IE3" i="12"/>
  <c r="IN3" i="12" s="1"/>
  <c r="DP127" i="12"/>
  <c r="DO17" i="12"/>
  <c r="DQ187" i="12"/>
  <c r="IE193" i="12"/>
  <c r="ID8" i="12"/>
  <c r="DP172" i="12"/>
  <c r="IE88" i="12"/>
  <c r="DP136" i="12"/>
  <c r="DP8" i="12"/>
  <c r="ID4" i="12"/>
  <c r="ID6" i="12"/>
  <c r="DQ58" i="12"/>
  <c r="DP35" i="12"/>
  <c r="DO137" i="12"/>
  <c r="DP57" i="12"/>
  <c r="ID152" i="12"/>
  <c r="DQ82" i="12"/>
  <c r="IE72" i="12"/>
  <c r="DP32" i="12"/>
  <c r="IE8" i="12"/>
  <c r="DP15" i="12"/>
  <c r="DO132" i="12"/>
  <c r="DQ132" i="12" s="1"/>
  <c r="DP90" i="12"/>
  <c r="ID100" i="12"/>
  <c r="DP104" i="12"/>
  <c r="DQ71" i="12"/>
  <c r="DO170" i="12"/>
  <c r="DP188" i="12"/>
  <c r="DQ154" i="12"/>
  <c r="ID13" i="12"/>
  <c r="DO6" i="12"/>
  <c r="ID16" i="12"/>
  <c r="ID87" i="12"/>
  <c r="DO48" i="12"/>
  <c r="DO42" i="12"/>
  <c r="DO175" i="12"/>
  <c r="IE121" i="12"/>
  <c r="DP133" i="12"/>
  <c r="IE129" i="12"/>
  <c r="DO13" i="12"/>
  <c r="IE4" i="12"/>
  <c r="IN12" i="12" s="1"/>
  <c r="IO4" i="12"/>
  <c r="IP4" i="12" s="1"/>
  <c r="IQ4" i="12" s="1"/>
  <c r="ID151" i="12"/>
  <c r="DO3" i="12"/>
  <c r="IE7" i="12"/>
  <c r="DO9" i="12"/>
  <c r="IE13" i="12"/>
  <c r="DP18" i="12"/>
  <c r="DO5" i="12"/>
  <c r="IE16" i="12"/>
  <c r="DP10" i="12"/>
  <c r="DP3" i="12"/>
  <c r="DP19" i="12"/>
  <c r="IE11" i="12"/>
  <c r="ID17" i="12"/>
  <c r="DO144" i="12"/>
  <c r="IE93" i="12"/>
  <c r="ID189" i="12"/>
  <c r="DP47" i="12"/>
  <c r="DO109" i="12"/>
  <c r="DO10" i="12"/>
  <c r="ID7" i="12"/>
  <c r="ID3" i="12"/>
  <c r="IM3" i="12" s="1"/>
  <c r="DO8" i="12"/>
  <c r="DP13" i="12"/>
  <c r="DO18" i="12"/>
  <c r="ID19" i="12"/>
  <c r="DP6" i="12"/>
  <c r="DO16" i="12"/>
  <c r="ID12" i="12"/>
  <c r="DP62" i="12"/>
  <c r="ID163" i="12"/>
  <c r="IE184" i="12"/>
  <c r="DO207" i="12"/>
  <c r="IE178" i="12"/>
  <c r="IE190" i="12"/>
  <c r="DO56" i="12"/>
  <c r="DP7" i="12"/>
  <c r="DP14" i="12"/>
  <c r="IE17" i="12"/>
  <c r="IE19" i="12"/>
  <c r="ID5" i="12"/>
  <c r="IE6" i="12"/>
  <c r="DO21" i="12"/>
  <c r="IE12" i="12"/>
  <c r="ID165" i="12"/>
  <c r="DP81" i="12"/>
  <c r="DO126" i="12"/>
  <c r="IE10" i="12"/>
  <c r="DP16" i="12"/>
  <c r="DO12" i="12"/>
  <c r="IE20" i="12"/>
  <c r="DO87" i="12"/>
  <c r="ID63" i="12"/>
  <c r="DO46" i="12"/>
  <c r="DP216" i="12"/>
  <c r="DO201" i="12"/>
  <c r="IO10" i="12"/>
  <c r="IP10" i="12" s="1"/>
  <c r="IQ10" i="12" s="1"/>
  <c r="IE177" i="12"/>
  <c r="ID65" i="12"/>
  <c r="ID195" i="12"/>
  <c r="DQ119" i="12"/>
  <c r="ID103" i="12"/>
  <c r="DP55" i="12"/>
  <c r="IE29" i="12"/>
  <c r="DP27" i="12"/>
  <c r="IO5" i="12"/>
  <c r="IP5" i="12" s="1"/>
  <c r="IQ5" i="12" s="1"/>
  <c r="IE170" i="12"/>
  <c r="ID10" i="12"/>
  <c r="IE9" i="12"/>
  <c r="ID14" i="12"/>
  <c r="DP20" i="12"/>
  <c r="DO11" i="12"/>
  <c r="DP17" i="12"/>
  <c r="IE18" i="12"/>
  <c r="DO19" i="12"/>
  <c r="IE5" i="12"/>
  <c r="IE15" i="12"/>
  <c r="ID21" i="12"/>
  <c r="DP12" i="12"/>
  <c r="IE67" i="12"/>
  <c r="DO7" i="12"/>
  <c r="DP9" i="12"/>
  <c r="DQ3" i="12"/>
  <c r="IE14" i="12"/>
  <c r="DO20" i="12"/>
  <c r="ID11" i="12"/>
  <c r="DO15" i="12"/>
  <c r="IE21" i="12"/>
  <c r="DO4" i="12"/>
  <c r="ID18" i="12"/>
  <c r="IO12" i="12"/>
  <c r="IP12" i="12" s="1"/>
  <c r="IQ12" i="12" s="1"/>
  <c r="DO85" i="12"/>
  <c r="DO185" i="12"/>
  <c r="DQ43" i="12"/>
  <c r="DP49" i="12"/>
  <c r="DQ92" i="12"/>
  <c r="DQ96" i="12"/>
  <c r="DO59" i="12"/>
  <c r="DP220" i="12"/>
  <c r="DO41" i="12"/>
  <c r="DQ41" i="12" s="1"/>
  <c r="ID91" i="12"/>
  <c r="DO150" i="12"/>
  <c r="DO125" i="12"/>
  <c r="ID114" i="12"/>
  <c r="ID9" i="12"/>
  <c r="DO14" i="12"/>
  <c r="ID20" i="12"/>
  <c r="DP11" i="12"/>
  <c r="DP5" i="12"/>
  <c r="ID15" i="12"/>
  <c r="DP21" i="12"/>
  <c r="DP4" i="12"/>
  <c r="DP28" i="12"/>
  <c r="DQ196" i="12"/>
  <c r="DQ75" i="12"/>
  <c r="DQ61" i="12"/>
  <c r="DP22" i="12"/>
  <c r="DO199" i="12"/>
  <c r="DP33" i="12"/>
  <c r="DQ33" i="12" s="1"/>
  <c r="IE86" i="12"/>
  <c r="DO54" i="12"/>
  <c r="IE56" i="12"/>
  <c r="DO90" i="12"/>
  <c r="ID186" i="12"/>
  <c r="DP102" i="12"/>
  <c r="IE101" i="12"/>
  <c r="IE100" i="12"/>
  <c r="ID44" i="12"/>
  <c r="DP87" i="12"/>
  <c r="DQ95" i="12"/>
  <c r="DQ206" i="12"/>
  <c r="IE189" i="12"/>
  <c r="DO22" i="12"/>
  <c r="DP184" i="12"/>
  <c r="DP209" i="12"/>
  <c r="IE70" i="12"/>
  <c r="DO164" i="12"/>
  <c r="DO217" i="12"/>
  <c r="DO147" i="12"/>
  <c r="DQ157" i="12"/>
  <c r="DP153" i="12"/>
  <c r="DO159" i="12"/>
  <c r="DO136" i="12"/>
  <c r="DO205" i="12"/>
  <c r="DP73" i="12"/>
  <c r="DP181" i="12"/>
  <c r="DQ104" i="12"/>
  <c r="DQ204" i="12"/>
  <c r="DQ218" i="12"/>
  <c r="DO182" i="12"/>
  <c r="ID193" i="12"/>
  <c r="ID144" i="12"/>
  <c r="ID113" i="12"/>
  <c r="DP189" i="12"/>
  <c r="ID146" i="12"/>
  <c r="DP37" i="12"/>
  <c r="DO62" i="12"/>
  <c r="DO195" i="12"/>
  <c r="ID49" i="12"/>
  <c r="IE116" i="12"/>
  <c r="ID118" i="12"/>
  <c r="IE124" i="12"/>
  <c r="DP74" i="12"/>
  <c r="IE117" i="12"/>
  <c r="DQ83" i="12"/>
  <c r="ID128" i="12"/>
  <c r="IE132" i="12"/>
  <c r="IE152" i="12"/>
  <c r="DO219" i="12"/>
  <c r="DQ135" i="12"/>
  <c r="DQ143" i="12"/>
  <c r="DQ84" i="12"/>
  <c r="DQ66" i="12"/>
  <c r="DO141" i="12"/>
  <c r="IE63" i="12"/>
  <c r="IE156" i="12"/>
  <c r="IE40" i="12"/>
  <c r="ID95" i="12"/>
  <c r="DQ64" i="12"/>
  <c r="DQ93" i="12"/>
  <c r="DQ69" i="12"/>
  <c r="DO113" i="12"/>
  <c r="IE75" i="12"/>
  <c r="IE172" i="12"/>
  <c r="ID164" i="12"/>
  <c r="IE109" i="12"/>
  <c r="DP120" i="12"/>
  <c r="IE49" i="12"/>
  <c r="DQ166" i="12"/>
  <c r="IE91" i="12"/>
  <c r="DO27" i="12"/>
  <c r="DP148" i="12"/>
  <c r="IE151" i="12"/>
  <c r="DO140" i="12"/>
  <c r="IE137" i="12"/>
  <c r="DO57" i="12"/>
  <c r="IE194" i="12"/>
  <c r="ID110" i="12"/>
  <c r="ID28" i="12"/>
  <c r="DP182" i="12"/>
  <c r="DO211" i="12"/>
  <c r="DQ193" i="12"/>
  <c r="DP144" i="12"/>
  <c r="DP93" i="12"/>
  <c r="DO134" i="12"/>
  <c r="DO173" i="12"/>
  <c r="DO75" i="12"/>
  <c r="DP201" i="12"/>
  <c r="DQ105" i="12"/>
  <c r="DO184" i="12"/>
  <c r="DO115" i="12"/>
  <c r="DQ171" i="12"/>
  <c r="DP147" i="12"/>
  <c r="DP215" i="12"/>
  <c r="DQ89" i="12"/>
  <c r="DQ200" i="12"/>
  <c r="DP117" i="12"/>
  <c r="ID80" i="12"/>
  <c r="ID121" i="12"/>
  <c r="DQ152" i="12"/>
  <c r="DQ100" i="12"/>
  <c r="DQ67" i="12"/>
  <c r="DP26" i="12"/>
  <c r="ID123" i="12"/>
  <c r="ID112" i="12"/>
  <c r="DP177" i="12"/>
  <c r="DQ47" i="12"/>
  <c r="DP68" i="12"/>
  <c r="IE22" i="12"/>
  <c r="DQ122" i="12"/>
  <c r="DO172" i="12"/>
  <c r="DP30" i="12"/>
  <c r="IE38" i="12"/>
  <c r="IE62" i="12"/>
  <c r="IE164" i="12"/>
  <c r="DQ118" i="12"/>
  <c r="DP212" i="12"/>
  <c r="DP25" i="12"/>
  <c r="IE175" i="12"/>
  <c r="DQ124" i="12"/>
  <c r="DO74" i="12"/>
  <c r="DO220" i="12"/>
  <c r="ID150" i="12"/>
  <c r="DQ76" i="12"/>
  <c r="DP114" i="12"/>
  <c r="DP53" i="12"/>
  <c r="ID191" i="12"/>
  <c r="DP72" i="12"/>
  <c r="IE180" i="12"/>
  <c r="ID104" i="12"/>
  <c r="DP135" i="12"/>
  <c r="ID138" i="12"/>
  <c r="DQ168" i="12"/>
  <c r="IE95" i="12"/>
  <c r="DQ165" i="12"/>
  <c r="DP85" i="12"/>
  <c r="ID167" i="12"/>
  <c r="DP77" i="12"/>
  <c r="DQ97" i="12"/>
  <c r="ID147" i="12"/>
  <c r="ID50" i="12"/>
  <c r="IE142" i="12"/>
  <c r="ID133" i="12"/>
  <c r="ID129" i="12"/>
  <c r="IE94" i="12"/>
  <c r="DO88" i="12"/>
  <c r="DQ88" i="12" s="1"/>
  <c r="DQ60" i="12"/>
  <c r="DO31" i="12"/>
  <c r="IE114" i="12"/>
  <c r="DO53" i="12"/>
  <c r="ID190" i="12"/>
  <c r="ID24" i="12"/>
  <c r="DP58" i="12"/>
  <c r="DO186" i="12"/>
  <c r="ID102" i="12"/>
  <c r="DO101" i="12"/>
  <c r="DP152" i="12"/>
  <c r="DO104" i="12"/>
  <c r="ID84" i="12"/>
  <c r="DO194" i="12"/>
  <c r="IE106" i="12"/>
  <c r="ID141" i="12"/>
  <c r="DP63" i="12"/>
  <c r="DP139" i="12"/>
  <c r="DP156" i="12"/>
  <c r="DQ183" i="12"/>
  <c r="DO174" i="12"/>
  <c r="ID187" i="12"/>
  <c r="IE182" i="12"/>
  <c r="DP211" i="12"/>
  <c r="IE69" i="12"/>
  <c r="DP146" i="12"/>
  <c r="DP61" i="12"/>
  <c r="DP165" i="12"/>
  <c r="IE162" i="12"/>
  <c r="DQ37" i="12"/>
  <c r="ID177" i="12"/>
  <c r="DQ108" i="12"/>
  <c r="DO155" i="12"/>
  <c r="IE185" i="12"/>
  <c r="IE47" i="12"/>
  <c r="DP39" i="12"/>
  <c r="IE127" i="12"/>
  <c r="IE167" i="12"/>
  <c r="IE77" i="12"/>
  <c r="DO163" i="12"/>
  <c r="DO119" i="12"/>
  <c r="DP178" i="12"/>
  <c r="DP115" i="12"/>
  <c r="DO120" i="12"/>
  <c r="DP92" i="12"/>
  <c r="DP96" i="12"/>
  <c r="DP175" i="12"/>
  <c r="ID74" i="12"/>
  <c r="IE41" i="12"/>
  <c r="ID142" i="12"/>
  <c r="DO128" i="12"/>
  <c r="DP129" i="12"/>
  <c r="ID94" i="12"/>
  <c r="ID27" i="12"/>
  <c r="IE148" i="12"/>
  <c r="ID33" i="12"/>
  <c r="IE54" i="12"/>
  <c r="ID194" i="12"/>
  <c r="DP195" i="12"/>
  <c r="DQ145" i="12"/>
  <c r="DQ70" i="12"/>
  <c r="IE130" i="12"/>
  <c r="DQ103" i="12"/>
  <c r="IE192" i="12"/>
  <c r="ID109" i="12"/>
  <c r="ID92" i="12"/>
  <c r="DP48" i="12"/>
  <c r="DQ217" i="12"/>
  <c r="ID96" i="12"/>
  <c r="IE42" i="12"/>
  <c r="DO124" i="12"/>
  <c r="DO117" i="12"/>
  <c r="DQ80" i="12"/>
  <c r="ID41" i="12"/>
  <c r="DP142" i="12"/>
  <c r="IE133" i="12"/>
  <c r="DP76" i="12"/>
  <c r="ID88" i="12"/>
  <c r="DQ199" i="12"/>
  <c r="DQ29" i="12"/>
  <c r="DQ208" i="12"/>
  <c r="DO191" i="12"/>
  <c r="DP54" i="12"/>
  <c r="DP24" i="12"/>
  <c r="ID140" i="12"/>
  <c r="DO181" i="12"/>
  <c r="DP186" i="12"/>
  <c r="ID35" i="12"/>
  <c r="DO102" i="12"/>
  <c r="IE82" i="12"/>
  <c r="IE188" i="12"/>
  <c r="ID32" i="12"/>
  <c r="DP210" i="12"/>
  <c r="DP84" i="12"/>
  <c r="DP218" i="12"/>
  <c r="DP194" i="12"/>
  <c r="IE141" i="12"/>
  <c r="ID156" i="12"/>
  <c r="IE168" i="12"/>
  <c r="ID196" i="12"/>
  <c r="DP187" i="12"/>
  <c r="ID182" i="12"/>
  <c r="DQ79" i="12"/>
  <c r="ID134" i="12"/>
  <c r="DO69" i="12"/>
  <c r="DQ113" i="12"/>
  <c r="DQ78" i="12"/>
  <c r="IE61" i="12"/>
  <c r="ID185" i="12"/>
  <c r="DO127" i="12"/>
  <c r="DQ176" i="12"/>
  <c r="DQ68" i="12"/>
  <c r="DP197" i="12"/>
  <c r="DP167" i="12"/>
  <c r="DQ169" i="12"/>
  <c r="DQ30" i="12"/>
  <c r="ID77" i="12"/>
  <c r="ID98" i="12"/>
  <c r="IE163" i="12"/>
  <c r="DO51" i="12"/>
  <c r="DQ73" i="12"/>
  <c r="DQ56" i="12"/>
  <c r="IE181" i="12"/>
  <c r="DQ131" i="12"/>
  <c r="IE90" i="12"/>
  <c r="DP101" i="12"/>
  <c r="DP203" i="12"/>
  <c r="DQ219" i="12"/>
  <c r="ID67" i="12"/>
  <c r="DO135" i="12"/>
  <c r="IE26" i="12"/>
  <c r="DP154" i="12"/>
  <c r="DO156" i="12"/>
  <c r="DO84" i="12"/>
  <c r="DO218" i="12"/>
  <c r="DQ160" i="12"/>
  <c r="DQ87" i="12"/>
  <c r="DP141" i="12"/>
  <c r="DO63" i="12"/>
  <c r="IE46" i="12"/>
  <c r="DO216" i="12"/>
  <c r="DO168" i="12"/>
  <c r="DQ28" i="12"/>
  <c r="IE196" i="12"/>
  <c r="DO187" i="12"/>
  <c r="DO123" i="12"/>
  <c r="DO193" i="12"/>
  <c r="DP95" i="12"/>
  <c r="IE144" i="12"/>
  <c r="ID93" i="12"/>
  <c r="DP69" i="12"/>
  <c r="DQ107" i="12"/>
  <c r="DP113" i="12"/>
  <c r="ID173" i="12"/>
  <c r="DO189" i="12"/>
  <c r="DP75" i="12"/>
  <c r="DO61" i="12"/>
  <c r="DP112" i="12"/>
  <c r="DO37" i="12"/>
  <c r="IE161" i="12"/>
  <c r="ID85" i="12"/>
  <c r="IE68" i="12"/>
  <c r="ID30" i="12"/>
  <c r="IE158" i="12"/>
  <c r="DP119" i="12"/>
  <c r="DQ207" i="12"/>
  <c r="ID70" i="12"/>
  <c r="DQ179" i="12"/>
  <c r="ID178" i="12"/>
  <c r="DO103" i="12"/>
  <c r="DQ52" i="12"/>
  <c r="ID115" i="12"/>
  <c r="IE198" i="12"/>
  <c r="IE120" i="12"/>
  <c r="IE99" i="12"/>
  <c r="IE118" i="12"/>
  <c r="DQ111" i="12"/>
  <c r="DO80" i="12"/>
  <c r="DQ45" i="12"/>
  <c r="DO121" i="12"/>
  <c r="DO50" i="12"/>
  <c r="DP91" i="12"/>
  <c r="ID125" i="12"/>
  <c r="DO94" i="12"/>
  <c r="DP29" i="12"/>
  <c r="IE60" i="12"/>
  <c r="DQ126" i="12"/>
  <c r="DQ148" i="12"/>
  <c r="IE31" i="12"/>
  <c r="DP214" i="12"/>
  <c r="DQ136" i="12"/>
  <c r="IE33" i="12"/>
  <c r="DO86" i="12"/>
  <c r="ID53" i="12"/>
  <c r="DP190" i="12"/>
  <c r="DQ190" i="12" s="1"/>
  <c r="DP131" i="12"/>
  <c r="DQ213" i="12"/>
  <c r="ID72" i="12"/>
  <c r="DQ180" i="12"/>
  <c r="DQ44" i="12"/>
  <c r="DO67" i="12"/>
  <c r="ID71" i="12"/>
  <c r="IE135" i="12"/>
  <c r="IE138" i="12"/>
  <c r="ID26" i="12"/>
  <c r="DQ188" i="12"/>
  <c r="DP34" i="12"/>
  <c r="DQ34" i="12"/>
  <c r="DP36" i="12"/>
  <c r="DQ36" i="12"/>
  <c r="ID143" i="12"/>
  <c r="DP106" i="12"/>
  <c r="DO110" i="12"/>
  <c r="IE174" i="12"/>
  <c r="ID107" i="12"/>
  <c r="DO78" i="12"/>
  <c r="IE105" i="12"/>
  <c r="DP155" i="12"/>
  <c r="ID197" i="12"/>
  <c r="IE169" i="12"/>
  <c r="DP98" i="12"/>
  <c r="ID51" i="12"/>
  <c r="ID97" i="12"/>
  <c r="IE179" i="12"/>
  <c r="ID23" i="12"/>
  <c r="IE52" i="12"/>
  <c r="DP198" i="12"/>
  <c r="DP171" i="12"/>
  <c r="DP166" i="12"/>
  <c r="DP59" i="12"/>
  <c r="DP200" i="12"/>
  <c r="IE153" i="12"/>
  <c r="IE45" i="12"/>
  <c r="DP149" i="12"/>
  <c r="DQ149" i="12"/>
  <c r="ID106" i="12"/>
  <c r="DQ106" i="12"/>
  <c r="IE155" i="12"/>
  <c r="DQ155" i="12"/>
  <c r="ID158" i="12"/>
  <c r="DQ158" i="12"/>
  <c r="IE55" i="12"/>
  <c r="DQ55" i="12"/>
  <c r="O24" i="12"/>
  <c r="O32" i="12"/>
  <c r="O27" i="12"/>
  <c r="O21" i="12"/>
  <c r="O20" i="12"/>
  <c r="O30" i="12"/>
  <c r="O31" i="12"/>
  <c r="O19" i="12"/>
  <c r="O26" i="12"/>
  <c r="O28" i="12"/>
  <c r="O23" i="12"/>
  <c r="O22" i="12"/>
  <c r="O29" i="12"/>
  <c r="O25" i="12"/>
  <c r="ID31" i="12"/>
  <c r="DQ31" i="12"/>
  <c r="DP137" i="12"/>
  <c r="DQ137" i="12"/>
  <c r="ID160" i="12"/>
  <c r="IE139" i="12"/>
  <c r="IE123" i="12"/>
  <c r="IE64" i="12"/>
  <c r="DP173" i="12"/>
  <c r="IE112" i="12"/>
  <c r="ID108" i="12"/>
  <c r="IE81" i="12"/>
  <c r="ID43" i="12"/>
  <c r="IE122" i="12"/>
  <c r="DP158" i="12"/>
  <c r="ID38" i="12"/>
  <c r="DP65" i="12"/>
  <c r="DP145" i="12"/>
  <c r="DO130" i="12"/>
  <c r="DP192" i="12"/>
  <c r="ID55" i="12"/>
  <c r="DO99" i="12"/>
  <c r="DP116" i="12"/>
  <c r="IE25" i="12"/>
  <c r="DP89" i="12"/>
  <c r="IE157" i="12"/>
  <c r="ID159" i="12"/>
  <c r="DO83" i="12"/>
  <c r="IE143" i="12"/>
  <c r="DO210" i="12"/>
  <c r="DQ210" i="12" s="1"/>
  <c r="IE84" i="12"/>
  <c r="DO160" i="12"/>
  <c r="DQ194" i="12"/>
  <c r="ID66" i="12"/>
  <c r="IE87" i="12"/>
  <c r="DP110" i="12"/>
  <c r="DQ110" i="12"/>
  <c r="ID139" i="12"/>
  <c r="DQ139" i="12"/>
  <c r="ID46" i="12"/>
  <c r="DQ156" i="12"/>
  <c r="DO183" i="12"/>
  <c r="ID168" i="12"/>
  <c r="ID40" i="12"/>
  <c r="DQ40" i="12"/>
  <c r="IE28" i="12"/>
  <c r="ID174" i="12"/>
  <c r="DQ174" i="12"/>
  <c r="DO196" i="12"/>
  <c r="IE187" i="12"/>
  <c r="DP123" i="12"/>
  <c r="DQ182" i="12"/>
  <c r="DQ211" i="12"/>
  <c r="DP193" i="12"/>
  <c r="DO95" i="12"/>
  <c r="DO79" i="12"/>
  <c r="DP206" i="12"/>
  <c r="DQ144" i="12"/>
  <c r="DO64" i="12"/>
  <c r="DO93" i="12"/>
  <c r="IE134" i="12"/>
  <c r="ID69" i="12"/>
  <c r="IE107" i="12"/>
  <c r="IE113" i="12"/>
  <c r="IE173" i="12"/>
  <c r="DQ189" i="12"/>
  <c r="IE146" i="12"/>
  <c r="ID75" i="12"/>
  <c r="IE78" i="12"/>
  <c r="ID61" i="12"/>
  <c r="DQ201" i="12"/>
  <c r="DO112" i="12"/>
  <c r="DO165" i="12"/>
  <c r="ID162" i="12"/>
  <c r="DQ162" i="12"/>
  <c r="IE37" i="12"/>
  <c r="ID105" i="12"/>
  <c r="DO177" i="12"/>
  <c r="IE108" i="12"/>
  <c r="ID161" i="12"/>
  <c r="DQ85" i="12"/>
  <c r="DP185" i="12"/>
  <c r="DO81" i="12"/>
  <c r="DQ81" i="12"/>
  <c r="ID47" i="12"/>
  <c r="IE39" i="12"/>
  <c r="DQ39" i="12"/>
  <c r="ID127" i="12"/>
  <c r="IE176" i="12"/>
  <c r="DO68" i="12"/>
  <c r="IE43" i="12"/>
  <c r="ID22" i="12"/>
  <c r="DO197" i="12"/>
  <c r="DQ167" i="12"/>
  <c r="DP122" i="12"/>
  <c r="DQ172" i="12"/>
  <c r="ID169" i="12"/>
  <c r="DO30" i="12"/>
  <c r="IE149" i="12"/>
  <c r="DQ77" i="12"/>
  <c r="DO38" i="12"/>
  <c r="DQ62" i="12"/>
  <c r="IE98" i="12"/>
  <c r="DQ163" i="12"/>
  <c r="IE65" i="12"/>
  <c r="DQ184" i="12"/>
  <c r="IE51" i="12"/>
  <c r="DO209" i="12"/>
  <c r="DQ195" i="12"/>
  <c r="IE97" i="12"/>
  <c r="IE119" i="12"/>
  <c r="ID145" i="12"/>
  <c r="DO70" i="12"/>
  <c r="DP179" i="12"/>
  <c r="DQ178" i="12"/>
  <c r="ID130" i="12"/>
  <c r="DP23" i="12"/>
  <c r="ID34" i="12"/>
  <c r="IE103" i="12"/>
  <c r="DP52" i="12"/>
  <c r="DQ115" i="12"/>
  <c r="ID192" i="12"/>
  <c r="DQ109" i="12"/>
  <c r="DO198" i="12"/>
  <c r="DQ120" i="12"/>
  <c r="DO49" i="12"/>
  <c r="DO171" i="12"/>
  <c r="IE92" i="12"/>
  <c r="IE48" i="12"/>
  <c r="DQ48" i="12"/>
  <c r="ID99" i="12"/>
  <c r="DO96" i="12"/>
  <c r="ID166" i="12"/>
  <c r="IE147" i="12"/>
  <c r="DO116" i="12"/>
  <c r="DQ116" i="12"/>
  <c r="DQ215" i="12"/>
  <c r="DP118" i="12"/>
  <c r="ID59" i="12"/>
  <c r="DQ59" i="12"/>
  <c r="DQ212" i="12"/>
  <c r="DO25" i="12"/>
  <c r="ID111" i="12"/>
  <c r="ID42" i="12"/>
  <c r="DQ42" i="12"/>
  <c r="ID89" i="12"/>
  <c r="DQ175" i="12"/>
  <c r="IE200" i="12"/>
  <c r="DP124" i="12"/>
  <c r="DO157" i="12"/>
  <c r="DQ74" i="12"/>
  <c r="DO153" i="12"/>
  <c r="DQ117" i="12"/>
  <c r="IE159" i="12"/>
  <c r="IE80" i="12"/>
  <c r="ID45" i="12"/>
  <c r="DP121" i="12"/>
  <c r="IE83" i="12"/>
  <c r="DP41" i="12"/>
  <c r="IE50" i="12"/>
  <c r="DQ50" i="12"/>
  <c r="DO91" i="12"/>
  <c r="DQ91" i="12" s="1"/>
  <c r="DO142" i="12"/>
  <c r="DP128" i="12"/>
  <c r="DQ128" i="12"/>
  <c r="DO36" i="12"/>
  <c r="DQ133" i="12"/>
  <c r="IE150" i="12"/>
  <c r="DQ129" i="12"/>
  <c r="IE125" i="12"/>
  <c r="DQ94" i="12"/>
  <c r="IE76" i="12"/>
  <c r="DP88" i="12"/>
  <c r="IE199" i="12"/>
  <c r="ID29" i="12"/>
  <c r="DO60" i="12"/>
  <c r="IE126" i="12"/>
  <c r="DO148" i="12"/>
  <c r="DQ214" i="12"/>
  <c r="ID136" i="12"/>
  <c r="DP151" i="12"/>
  <c r="DQ151" i="12"/>
  <c r="DO114" i="12"/>
  <c r="DO33" i="12"/>
  <c r="ID86" i="12"/>
  <c r="DQ86" i="12"/>
  <c r="IE53" i="12"/>
  <c r="DP132" i="12"/>
  <c r="DO190" i="12"/>
  <c r="DP191" i="12"/>
  <c r="DQ191" i="12"/>
  <c r="ID54" i="12"/>
  <c r="ID73" i="12"/>
  <c r="ID56" i="12"/>
  <c r="IE24" i="12"/>
  <c r="IE140" i="12"/>
  <c r="DQ181" i="12"/>
  <c r="DO131" i="12"/>
  <c r="DQ90" i="12"/>
  <c r="DO58" i="12"/>
  <c r="DQ186" i="12"/>
  <c r="IE35" i="12"/>
  <c r="DQ102" i="12"/>
  <c r="ID101" i="12"/>
  <c r="DQ57" i="12"/>
  <c r="DO82" i="12"/>
  <c r="DO203" i="12"/>
  <c r="DP180" i="12"/>
  <c r="DO44" i="12"/>
  <c r="DO71" i="12"/>
  <c r="DQ138" i="12"/>
  <c r="DQ170" i="12"/>
  <c r="DQ202" i="12"/>
  <c r="DO188" i="12"/>
  <c r="ID154" i="12"/>
  <c r="IE32" i="12"/>
  <c r="DQ32" i="12"/>
  <c r="IE66" i="12"/>
  <c r="DP79" i="12"/>
  <c r="DP134" i="12"/>
  <c r="DQ134" i="12" s="1"/>
  <c r="DO146" i="12"/>
  <c r="DP162" i="12"/>
  <c r="DO39" i="12"/>
  <c r="DO176" i="12"/>
  <c r="DP143" i="12"/>
  <c r="IE160" i="12"/>
  <c r="DP66" i="12"/>
  <c r="DO106" i="12"/>
  <c r="DQ141" i="12"/>
  <c r="IE110" i="12"/>
  <c r="DQ63" i="12"/>
  <c r="DO139" i="12"/>
  <c r="DQ216" i="12"/>
  <c r="IE183" i="12"/>
  <c r="DP168" i="12"/>
  <c r="DP40" i="12"/>
  <c r="DO28" i="12"/>
  <c r="DP174" i="12"/>
  <c r="DP196" i="12"/>
  <c r="IE79" i="12"/>
  <c r="DO206" i="12"/>
  <c r="DP64" i="12"/>
  <c r="DP107" i="12"/>
  <c r="DP78" i="12"/>
  <c r="DO105" i="12"/>
  <c r="DO108" i="12"/>
  <c r="DO161" i="12"/>
  <c r="DQ161" i="12" s="1"/>
  <c r="DP176" i="12"/>
  <c r="DO43" i="12"/>
  <c r="IE197" i="12"/>
  <c r="ID122" i="12"/>
  <c r="DP169" i="12"/>
  <c r="DO149" i="12"/>
  <c r="DP38" i="12"/>
  <c r="DO98" i="12"/>
  <c r="DO65" i="12"/>
  <c r="DP51" i="12"/>
  <c r="DP97" i="12"/>
  <c r="DO145" i="12"/>
  <c r="DO179" i="12"/>
  <c r="DP130" i="12"/>
  <c r="IE23" i="12"/>
  <c r="DO34" i="12"/>
  <c r="ID52" i="12"/>
  <c r="DO192" i="12"/>
  <c r="ID198" i="12"/>
  <c r="IE171" i="12"/>
  <c r="DP99" i="12"/>
  <c r="IE166" i="12"/>
  <c r="DO212" i="12"/>
  <c r="DP111" i="12"/>
  <c r="DO89" i="12"/>
  <c r="ID200" i="12"/>
  <c r="ID157" i="12"/>
  <c r="ID153" i="12"/>
  <c r="DP159" i="12"/>
  <c r="DO45" i="12"/>
  <c r="ID83" i="12"/>
  <c r="ID36" i="12"/>
  <c r="DP150" i="12"/>
  <c r="DP125" i="12"/>
  <c r="DO76" i="12"/>
  <c r="ID199" i="12"/>
  <c r="ID60" i="12"/>
  <c r="DP126" i="12"/>
  <c r="DP208" i="12"/>
  <c r="ID132" i="12"/>
  <c r="IE73" i="12"/>
  <c r="DP140" i="12"/>
  <c r="IE131" i="12"/>
  <c r="ID58" i="12"/>
  <c r="DO35" i="12"/>
  <c r="ID57" i="12"/>
  <c r="DP213" i="12"/>
  <c r="DP100" i="12"/>
  <c r="ID82" i="12"/>
  <c r="DO72" i="12"/>
  <c r="DQ72" i="12"/>
  <c r="ID180" i="12"/>
  <c r="DP44" i="12"/>
  <c r="DO204" i="12"/>
  <c r="IE71" i="12"/>
  <c r="DO138" i="12"/>
  <c r="ID170" i="12"/>
  <c r="DO202" i="12"/>
  <c r="DO154" i="12"/>
  <c r="DP164" i="12"/>
  <c r="DQ164" i="12"/>
  <c r="DP205" i="12"/>
  <c r="DQ205" i="12"/>
  <c r="DP183" i="12"/>
  <c r="DO40" i="12"/>
  <c r="DO143" i="12"/>
  <c r="DP160" i="12"/>
  <c r="DO66" i="12"/>
  <c r="DP46" i="12"/>
  <c r="DQ46" i="12"/>
  <c r="ID183" i="12"/>
  <c r="DQ123" i="12"/>
  <c r="ID79" i="12"/>
  <c r="ID64" i="12"/>
  <c r="DO107" i="12"/>
  <c r="DQ173" i="12"/>
  <c r="DQ146" i="12"/>
  <c r="ID78" i="12"/>
  <c r="DQ112" i="12"/>
  <c r="IE165" i="12"/>
  <c r="DO162" i="12"/>
  <c r="ID37" i="12"/>
  <c r="DP105" i="12"/>
  <c r="DQ177" i="12"/>
  <c r="DP108" i="12"/>
  <c r="DP161" i="12"/>
  <c r="IE85" i="12"/>
  <c r="ID155" i="12"/>
  <c r="DQ185" i="12"/>
  <c r="ID81" i="12"/>
  <c r="DO47" i="12"/>
  <c r="ID39" i="12"/>
  <c r="DQ127" i="12"/>
  <c r="ID176" i="12"/>
  <c r="ID68" i="12"/>
  <c r="DP43" i="12"/>
  <c r="DQ197" i="12"/>
  <c r="DO167" i="12"/>
  <c r="DO122" i="12"/>
  <c r="ID172" i="12"/>
  <c r="DO169" i="12"/>
  <c r="IE30" i="12"/>
  <c r="DO158" i="12"/>
  <c r="ID149" i="12"/>
  <c r="DO77" i="12"/>
  <c r="DQ38" i="12"/>
  <c r="ID62" i="12"/>
  <c r="DQ98" i="12"/>
  <c r="DP163" i="12"/>
  <c r="DQ65" i="12"/>
  <c r="ID184" i="12"/>
  <c r="DQ51" i="12"/>
  <c r="DQ209" i="12"/>
  <c r="IE195" i="12"/>
  <c r="DO97" i="12"/>
  <c r="ID119" i="12"/>
  <c r="DP207" i="12"/>
  <c r="IE145" i="12"/>
  <c r="DP70" i="12"/>
  <c r="ID179" i="12"/>
  <c r="DO178" i="12"/>
  <c r="DQ130" i="12"/>
  <c r="DO23" i="12"/>
  <c r="IE34" i="12"/>
  <c r="DP103" i="12"/>
  <c r="DO52" i="12"/>
  <c r="IE115" i="12"/>
  <c r="DQ192" i="12"/>
  <c r="DP109" i="12"/>
  <c r="DQ198" i="12"/>
  <c r="ID120" i="12"/>
  <c r="DO55" i="12"/>
  <c r="DQ49" i="12"/>
  <c r="ID171" i="12"/>
  <c r="DO92" i="12"/>
  <c r="ID48" i="12"/>
  <c r="DP217" i="12"/>
  <c r="DQ99" i="12"/>
  <c r="IE96" i="12"/>
  <c r="DO166" i="12"/>
  <c r="DQ147" i="12"/>
  <c r="ID116" i="12"/>
  <c r="DO215" i="12"/>
  <c r="DO118" i="12"/>
  <c r="IE59" i="12"/>
  <c r="ID25" i="12"/>
  <c r="DO111" i="12"/>
  <c r="IE111" i="12"/>
  <c r="DP42" i="12"/>
  <c r="IE89" i="12"/>
  <c r="ID175" i="12"/>
  <c r="DO200" i="12"/>
  <c r="ID124" i="12"/>
  <c r="DP157" i="12"/>
  <c r="IE74" i="12"/>
  <c r="DQ153" i="12"/>
  <c r="ID117" i="12"/>
  <c r="DQ159" i="12"/>
  <c r="DP80" i="12"/>
  <c r="DP45" i="12"/>
  <c r="DQ121" i="12"/>
  <c r="DQ220" i="12"/>
  <c r="DP83" i="12"/>
  <c r="DP50" i="12"/>
  <c r="DQ142" i="12"/>
  <c r="IE128" i="12"/>
  <c r="IE36" i="12"/>
  <c r="DO133" i="12"/>
  <c r="DQ150" i="12"/>
  <c r="DO129" i="12"/>
  <c r="DQ125" i="12"/>
  <c r="DP94" i="12"/>
  <c r="ID76" i="12"/>
  <c r="DP199" i="12"/>
  <c r="DO29" i="12"/>
  <c r="DP60" i="12"/>
  <c r="IE27" i="12"/>
  <c r="ID126" i="12"/>
  <c r="ID148" i="12"/>
  <c r="DP31" i="12"/>
  <c r="DO208" i="12"/>
  <c r="DO214" i="12"/>
  <c r="IE136" i="12"/>
  <c r="DO151" i="12"/>
  <c r="DQ114" i="12"/>
  <c r="DP86" i="12"/>
  <c r="DQ53" i="12"/>
  <c r="IE191" i="12"/>
  <c r="DQ54" i="12"/>
  <c r="DO73" i="12"/>
  <c r="DP56" i="12"/>
  <c r="DO24" i="12"/>
  <c r="DQ140" i="12"/>
  <c r="ID181" i="12"/>
  <c r="ID131" i="12"/>
  <c r="ID90" i="12"/>
  <c r="IE58" i="12"/>
  <c r="IE186" i="12"/>
  <c r="DQ35" i="12"/>
  <c r="IE102" i="12"/>
  <c r="ID137" i="12"/>
  <c r="DQ101" i="12"/>
  <c r="IE57" i="12"/>
  <c r="DO213" i="12"/>
  <c r="DO152" i="12"/>
  <c r="DO100" i="12"/>
  <c r="DP82" i="12"/>
  <c r="DQ203" i="12"/>
  <c r="DP219" i="12"/>
  <c r="DO180" i="12"/>
  <c r="IE104" i="12"/>
  <c r="IE44" i="12"/>
  <c r="DP204" i="12"/>
  <c r="DP67" i="12"/>
  <c r="DP71" i="12"/>
  <c r="ID135" i="12"/>
  <c r="DP138" i="12"/>
  <c r="DO26" i="12"/>
  <c r="DP170" i="12"/>
  <c r="DP202" i="12"/>
  <c r="ID188" i="12"/>
  <c r="DO32" i="12"/>
  <c r="IE154" i="12"/>
  <c r="O34" i="12"/>
  <c r="O36" i="12"/>
  <c r="O35" i="12"/>
  <c r="FU122" i="12"/>
  <c r="GR122" i="12" s="1"/>
  <c r="FR123" i="12"/>
  <c r="CX2220" i="12"/>
  <c r="IM12" i="12" l="1"/>
  <c r="IO7" i="12" s="1"/>
  <c r="IP7" i="12" s="1"/>
  <c r="IQ7" i="12" s="1"/>
  <c r="V12" i="12"/>
  <c r="BM186" i="12" s="1"/>
  <c r="IN16" i="12"/>
  <c r="IM16" i="12"/>
  <c r="CU117" i="12"/>
  <c r="EB96" i="12"/>
  <c r="IM13" i="12"/>
  <c r="IM14" i="12"/>
  <c r="IN13" i="12"/>
  <c r="IN14" i="12"/>
  <c r="AQ111" i="12"/>
  <c r="AQ112" i="12" s="1"/>
  <c r="AW51" i="12" s="1"/>
  <c r="AT50" i="12"/>
  <c r="AW50" i="12"/>
  <c r="HT30" i="12"/>
  <c r="HO31" i="12"/>
  <c r="CX214" i="12"/>
  <c r="CX212" i="12"/>
  <c r="CX203" i="12"/>
  <c r="CX216" i="12"/>
  <c r="CX215" i="12"/>
  <c r="CX204" i="12"/>
  <c r="CX207" i="12"/>
  <c r="CX205" i="12"/>
  <c r="CX208" i="12"/>
  <c r="CX201" i="12"/>
  <c r="CX217" i="12"/>
  <c r="CX213" i="12"/>
  <c r="CX209" i="12"/>
  <c r="CX202" i="12"/>
  <c r="CX206" i="12"/>
  <c r="CX211" i="12"/>
  <c r="JH15" i="12"/>
  <c r="JK15" i="12" s="1"/>
  <c r="JL15" i="12" s="1"/>
  <c r="EA15" i="12" s="1"/>
  <c r="CX230" i="12" s="1"/>
  <c r="CX171" i="12"/>
  <c r="CX165" i="12"/>
  <c r="CX167" i="12"/>
  <c r="CX179" i="12"/>
  <c r="CX175" i="12"/>
  <c r="CX177" i="12"/>
  <c r="CX170" i="12"/>
  <c r="CX174" i="12"/>
  <c r="CX173" i="12"/>
  <c r="CX178" i="12"/>
  <c r="CX180" i="12"/>
  <c r="CX169" i="12"/>
  <c r="CX168" i="12"/>
  <c r="CX172" i="12"/>
  <c r="CX176" i="12"/>
  <c r="CX166" i="12"/>
  <c r="IN10" i="12"/>
  <c r="IM10" i="12"/>
  <c r="IO3" i="12"/>
  <c r="IP3" i="12" s="1"/>
  <c r="IQ3" i="12" s="1"/>
  <c r="DQ4" i="12"/>
  <c r="AQ144" i="12"/>
  <c r="IF7" i="12"/>
  <c r="FU123" i="12"/>
  <c r="GR123" i="12" s="1"/>
  <c r="FR124" i="12"/>
  <c r="CX2221" i="12"/>
  <c r="BM217" i="12" l="1"/>
  <c r="BS49" i="12"/>
  <c r="BT49" i="12" s="1"/>
  <c r="BL144" i="12"/>
  <c r="BL188" i="12"/>
  <c r="BS161" i="12"/>
  <c r="BU161" i="12" s="1"/>
  <c r="BM80" i="12"/>
  <c r="BL182" i="12"/>
  <c r="BL206" i="12"/>
  <c r="BL54" i="12"/>
  <c r="BL216" i="12"/>
  <c r="BL101" i="12"/>
  <c r="BS39" i="12"/>
  <c r="BU39" i="12" s="1"/>
  <c r="BL177" i="12"/>
  <c r="BM209" i="12"/>
  <c r="BS16" i="12"/>
  <c r="BT16" i="12" s="1"/>
  <c r="BM31" i="12"/>
  <c r="BL34" i="12"/>
  <c r="BS131" i="12"/>
  <c r="BT131" i="12" s="1"/>
  <c r="BM208" i="12"/>
  <c r="BM121" i="12"/>
  <c r="BS149" i="12"/>
  <c r="BT149" i="12" s="1"/>
  <c r="BL20" i="12"/>
  <c r="BS21" i="12"/>
  <c r="BU21" i="12" s="1"/>
  <c r="BM93" i="12"/>
  <c r="BM86" i="12"/>
  <c r="BM33" i="12"/>
  <c r="BS170" i="12"/>
  <c r="BU170" i="12" s="1"/>
  <c r="BL131" i="12"/>
  <c r="BS70" i="12"/>
  <c r="BU70" i="12" s="1"/>
  <c r="BL117" i="12"/>
  <c r="BL152" i="12"/>
  <c r="BS88" i="12"/>
  <c r="BT88" i="12" s="1"/>
  <c r="BM58" i="12"/>
  <c r="BM119" i="12"/>
  <c r="BM94" i="12"/>
  <c r="BL97" i="12"/>
  <c r="BS25" i="12"/>
  <c r="BU25" i="12" s="1"/>
  <c r="BS104" i="12"/>
  <c r="BU104" i="12" s="1"/>
  <c r="BS136" i="12"/>
  <c r="BU136" i="12" s="1"/>
  <c r="BS60" i="12"/>
  <c r="BU60" i="12" s="1"/>
  <c r="BL157" i="12"/>
  <c r="BL200" i="12"/>
  <c r="BM45" i="12"/>
  <c r="BL184" i="12"/>
  <c r="BM171" i="12"/>
  <c r="BM66" i="12"/>
  <c r="BL210" i="12"/>
  <c r="BL159" i="12"/>
  <c r="BL197" i="12"/>
  <c r="BS174" i="12"/>
  <c r="BT174" i="12" s="1"/>
  <c r="BM107" i="12"/>
  <c r="BS97" i="12"/>
  <c r="BU97" i="12" s="1"/>
  <c r="BL9" i="12"/>
  <c r="BL87" i="12"/>
  <c r="BM159" i="12"/>
  <c r="BS13" i="12"/>
  <c r="BU13" i="12" s="1"/>
  <c r="BS140" i="12"/>
  <c r="BT140" i="12" s="1"/>
  <c r="BM136" i="12"/>
  <c r="BL6" i="12"/>
  <c r="BM5" i="12"/>
  <c r="BM4" i="12"/>
  <c r="BL4" i="12"/>
  <c r="BM3" i="12"/>
  <c r="BL59" i="12"/>
  <c r="BM84" i="12"/>
  <c r="BM191" i="12"/>
  <c r="BM96" i="12"/>
  <c r="BL46" i="12"/>
  <c r="BM104" i="12"/>
  <c r="BS133" i="12"/>
  <c r="BT133" i="12" s="1"/>
  <c r="BL204" i="12"/>
  <c r="BL142" i="12"/>
  <c r="BL199" i="12"/>
  <c r="BS54" i="12"/>
  <c r="BM184" i="12"/>
  <c r="BL147" i="12"/>
  <c r="BS189" i="12"/>
  <c r="BT189" i="12" s="1"/>
  <c r="BL140" i="12"/>
  <c r="BM34" i="12"/>
  <c r="BS163" i="12"/>
  <c r="BU163" i="12" s="1"/>
  <c r="BL207" i="12"/>
  <c r="BS57" i="12"/>
  <c r="BS12" i="12"/>
  <c r="BU12" i="12" s="1"/>
  <c r="BL164" i="12"/>
  <c r="BS43" i="12"/>
  <c r="BT43" i="12" s="1"/>
  <c r="BM109" i="12"/>
  <c r="BL77" i="12"/>
  <c r="BM79" i="12"/>
  <c r="BM198" i="12"/>
  <c r="BL138" i="12"/>
  <c r="BL111" i="12"/>
  <c r="BS3" i="12"/>
  <c r="BT170" i="12"/>
  <c r="BL98" i="12"/>
  <c r="BS199" i="12"/>
  <c r="BT199" i="12" s="1"/>
  <c r="BS48" i="12"/>
  <c r="BT48" i="12" s="1"/>
  <c r="BS151" i="12"/>
  <c r="BU151" i="12" s="1"/>
  <c r="BM214" i="12"/>
  <c r="BL43" i="12"/>
  <c r="BS154" i="12"/>
  <c r="BU154" i="12" s="1"/>
  <c r="BM28" i="12"/>
  <c r="BL82" i="12"/>
  <c r="BM140" i="12"/>
  <c r="BS126" i="12"/>
  <c r="BT126" i="12" s="1"/>
  <c r="BM59" i="12"/>
  <c r="BL68" i="12"/>
  <c r="BS169" i="12"/>
  <c r="BU169" i="12" s="1"/>
  <c r="BL32" i="12"/>
  <c r="BL126" i="12"/>
  <c r="BS83" i="12"/>
  <c r="BT83" i="12" s="1"/>
  <c r="BM162" i="12"/>
  <c r="BL136" i="12"/>
  <c r="BS190" i="12"/>
  <c r="BT190" i="12" s="1"/>
  <c r="BM87" i="12"/>
  <c r="BS102" i="12"/>
  <c r="BS205" i="12"/>
  <c r="BU205" i="12" s="1"/>
  <c r="BL39" i="12"/>
  <c r="BS209" i="12"/>
  <c r="BU209" i="12" s="1"/>
  <c r="BM76" i="12"/>
  <c r="BM194" i="12"/>
  <c r="BL153" i="12"/>
  <c r="BM192" i="12"/>
  <c r="BS9" i="12"/>
  <c r="BT9" i="12" s="1"/>
  <c r="BS5" i="12"/>
  <c r="BL3" i="12"/>
  <c r="BL83" i="12"/>
  <c r="BS111" i="12"/>
  <c r="BU111" i="12" s="1"/>
  <c r="BS124" i="12"/>
  <c r="BU124" i="12" s="1"/>
  <c r="BL127" i="12"/>
  <c r="BL125" i="12"/>
  <c r="BS23" i="12"/>
  <c r="BT23" i="12" s="1"/>
  <c r="BM111" i="12"/>
  <c r="BS177" i="12"/>
  <c r="BU177" i="12" s="1"/>
  <c r="BS94" i="12"/>
  <c r="BU94" i="12" s="1"/>
  <c r="BL192" i="12"/>
  <c r="BS66" i="12"/>
  <c r="BT66" i="12" s="1"/>
  <c r="BS206" i="12"/>
  <c r="BL84" i="12"/>
  <c r="BM88" i="12"/>
  <c r="BM77" i="12"/>
  <c r="BL30" i="12"/>
  <c r="BS113" i="12"/>
  <c r="BL66" i="12"/>
  <c r="BL134" i="12"/>
  <c r="BS64" i="12"/>
  <c r="BU64" i="12" s="1"/>
  <c r="BS114" i="12"/>
  <c r="BU114" i="12" s="1"/>
  <c r="BS36" i="12"/>
  <c r="BU36" i="12" s="1"/>
  <c r="BS153" i="12"/>
  <c r="BL22" i="12"/>
  <c r="BL116" i="12"/>
  <c r="BS26" i="12"/>
  <c r="BU26" i="12" s="1"/>
  <c r="BL118" i="12"/>
  <c r="BL148" i="12"/>
  <c r="BM15" i="12"/>
  <c r="BL85" i="12"/>
  <c r="BL99" i="12"/>
  <c r="BL48" i="12"/>
  <c r="BS175" i="12"/>
  <c r="BT175" i="12" s="1"/>
  <c r="BL5" i="12"/>
  <c r="BS4" i="12"/>
  <c r="BL50" i="12"/>
  <c r="BM203" i="12"/>
  <c r="BS58" i="12"/>
  <c r="BL154" i="12"/>
  <c r="BM9" i="12"/>
  <c r="BM218" i="12"/>
  <c r="BM8" i="12"/>
  <c r="BM6" i="12"/>
  <c r="BM7" i="12"/>
  <c r="BS6" i="12"/>
  <c r="BL8" i="12"/>
  <c r="BS8" i="12"/>
  <c r="BL7" i="12"/>
  <c r="BS7" i="12"/>
  <c r="BM57" i="12"/>
  <c r="BL169" i="12"/>
  <c r="BL52" i="12"/>
  <c r="BS167" i="12"/>
  <c r="BT167" i="12" s="1"/>
  <c r="BM102" i="12"/>
  <c r="BT154" i="12"/>
  <c r="BU149" i="12"/>
  <c r="BU23" i="12"/>
  <c r="BL70" i="12"/>
  <c r="BM48" i="12"/>
  <c r="BL41" i="12"/>
  <c r="BT70" i="12"/>
  <c r="BM151" i="12"/>
  <c r="BU43" i="12"/>
  <c r="BT12" i="12"/>
  <c r="BT97" i="12"/>
  <c r="BM60" i="12"/>
  <c r="BL161" i="12"/>
  <c r="BL165" i="12"/>
  <c r="BM106" i="12"/>
  <c r="BL174" i="12"/>
  <c r="BS128" i="12"/>
  <c r="BT128" i="12" s="1"/>
  <c r="BS115" i="12"/>
  <c r="BL190" i="12"/>
  <c r="BM75" i="12"/>
  <c r="BM118" i="12"/>
  <c r="BM138" i="12"/>
  <c r="BS29" i="12"/>
  <c r="BM175" i="12"/>
  <c r="BL45" i="12"/>
  <c r="BM73" i="12"/>
  <c r="BL29" i="12"/>
  <c r="BM172" i="12"/>
  <c r="BM122" i="12"/>
  <c r="BM150" i="12"/>
  <c r="BS78" i="12"/>
  <c r="BM47" i="12"/>
  <c r="BS191" i="12"/>
  <c r="BS84" i="12"/>
  <c r="BS171" i="12"/>
  <c r="BM61" i="12"/>
  <c r="BS192" i="12"/>
  <c r="BS79" i="12"/>
  <c r="BL78" i="12"/>
  <c r="BM65" i="12"/>
  <c r="BM161" i="12"/>
  <c r="BM133" i="12"/>
  <c r="BL120" i="12"/>
  <c r="BS181" i="12"/>
  <c r="BS51" i="12"/>
  <c r="BS35" i="12"/>
  <c r="BS130" i="12"/>
  <c r="BS118" i="12"/>
  <c r="BM99" i="12"/>
  <c r="BS146" i="12"/>
  <c r="BS194" i="12"/>
  <c r="BM49" i="12"/>
  <c r="BS162" i="12"/>
  <c r="BS31" i="12"/>
  <c r="BS134" i="12"/>
  <c r="BM200" i="12"/>
  <c r="BM202" i="12"/>
  <c r="BL36" i="12"/>
  <c r="BL33" i="12"/>
  <c r="BS200" i="12"/>
  <c r="BM124" i="12"/>
  <c r="BM56" i="12"/>
  <c r="BL63" i="12"/>
  <c r="BS219" i="12"/>
  <c r="BM216" i="12"/>
  <c r="BM204" i="12"/>
  <c r="BM52" i="12"/>
  <c r="BL106" i="12"/>
  <c r="BL73" i="12"/>
  <c r="BM91" i="12"/>
  <c r="BM188" i="12"/>
  <c r="BS72" i="12"/>
  <c r="BS10" i="12"/>
  <c r="BT10" i="12" s="1"/>
  <c r="BL61" i="12"/>
  <c r="BM68" i="12"/>
  <c r="BM179" i="12"/>
  <c r="BM143" i="12"/>
  <c r="BL75" i="12"/>
  <c r="BS11" i="12"/>
  <c r="BM185" i="12"/>
  <c r="BS45" i="12"/>
  <c r="BU45" i="12" s="1"/>
  <c r="BM131" i="12"/>
  <c r="BL189" i="12"/>
  <c r="BM72" i="12"/>
  <c r="BL19" i="12"/>
  <c r="BS120" i="12"/>
  <c r="BT120" i="12" s="1"/>
  <c r="BL173" i="12"/>
  <c r="BS19" i="12"/>
  <c r="BT19" i="12" s="1"/>
  <c r="BM26" i="12"/>
  <c r="BM38" i="12"/>
  <c r="BS201" i="12"/>
  <c r="BT201" i="12" s="1"/>
  <c r="BL12" i="12"/>
  <c r="BS46" i="12"/>
  <c r="BU46" i="12" s="1"/>
  <c r="BM25" i="12"/>
  <c r="BM50" i="12"/>
  <c r="BS110" i="12"/>
  <c r="BU110" i="12" s="1"/>
  <c r="BS96" i="12"/>
  <c r="BT96" i="12" s="1"/>
  <c r="BM197" i="12"/>
  <c r="BL92" i="12"/>
  <c r="BL107" i="12"/>
  <c r="BL168" i="12"/>
  <c r="BL124" i="12"/>
  <c r="BL49" i="12"/>
  <c r="BS68" i="12"/>
  <c r="BM82" i="12"/>
  <c r="BL58" i="12"/>
  <c r="BL145" i="12"/>
  <c r="BM74" i="12"/>
  <c r="BL109" i="12"/>
  <c r="BS89" i="12"/>
  <c r="BM189" i="12"/>
  <c r="BM174" i="12"/>
  <c r="BL10" i="12"/>
  <c r="BS159" i="12"/>
  <c r="BS165" i="12"/>
  <c r="BL100" i="12"/>
  <c r="BM116" i="12"/>
  <c r="BM105" i="12"/>
  <c r="BL81" i="12"/>
  <c r="BL40" i="12"/>
  <c r="BS61" i="12"/>
  <c r="BT61" i="12" s="1"/>
  <c r="BM55" i="12"/>
  <c r="BL104" i="12"/>
  <c r="BL123" i="12"/>
  <c r="BM164" i="12"/>
  <c r="BL186" i="12"/>
  <c r="BS119" i="12"/>
  <c r="BU119" i="12" s="1"/>
  <c r="BL42" i="12"/>
  <c r="BL178" i="12"/>
  <c r="BM81" i="12"/>
  <c r="BS148" i="12"/>
  <c r="BU148" i="12" s="1"/>
  <c r="BM11" i="12"/>
  <c r="BL90" i="12"/>
  <c r="BM95" i="12"/>
  <c r="BM42" i="12"/>
  <c r="BM190" i="12"/>
  <c r="BS172" i="12"/>
  <c r="BU172" i="12" s="1"/>
  <c r="BM210" i="12"/>
  <c r="BL202" i="12"/>
  <c r="BL158" i="12"/>
  <c r="BM30" i="12"/>
  <c r="BS179" i="12"/>
  <c r="BT179" i="12" s="1"/>
  <c r="BS168" i="12"/>
  <c r="BT168" i="12" s="1"/>
  <c r="BL175" i="12"/>
  <c r="BM169" i="12"/>
  <c r="BM114" i="12"/>
  <c r="BL56" i="12"/>
  <c r="BL214" i="12"/>
  <c r="BL149" i="12"/>
  <c r="BM32" i="12"/>
  <c r="BL194" i="12"/>
  <c r="BM70" i="12"/>
  <c r="BL11" i="12"/>
  <c r="BM148" i="12"/>
  <c r="BM206" i="12"/>
  <c r="BS100" i="12"/>
  <c r="BT100" i="12" s="1"/>
  <c r="BL93" i="12"/>
  <c r="BS195" i="12"/>
  <c r="BU195" i="12" s="1"/>
  <c r="BL95" i="12"/>
  <c r="BM27" i="12"/>
  <c r="BM183" i="12"/>
  <c r="BM89" i="12"/>
  <c r="BM170" i="12"/>
  <c r="BS197" i="12"/>
  <c r="BT197" i="12" s="1"/>
  <c r="BS109" i="12"/>
  <c r="BU109" i="12" s="1"/>
  <c r="BS212" i="12"/>
  <c r="BT212" i="12" s="1"/>
  <c r="BS127" i="12"/>
  <c r="BU127" i="12" s="1"/>
  <c r="BM54" i="12"/>
  <c r="BS145" i="12"/>
  <c r="BT145" i="12" s="1"/>
  <c r="BS116" i="12"/>
  <c r="BT116" i="12" s="1"/>
  <c r="BM137" i="12"/>
  <c r="BL37" i="12"/>
  <c r="BS141" i="12"/>
  <c r="BU141" i="12" s="1"/>
  <c r="BL198" i="12"/>
  <c r="BS142" i="12"/>
  <c r="BT142" i="12" s="1"/>
  <c r="BL166" i="12"/>
  <c r="BM29" i="12"/>
  <c r="BM199" i="12"/>
  <c r="BL203" i="12"/>
  <c r="BL172" i="12"/>
  <c r="BL218" i="12"/>
  <c r="BL215" i="12"/>
  <c r="BM178" i="12"/>
  <c r="BU131" i="12"/>
  <c r="BT25" i="12"/>
  <c r="BU190" i="12"/>
  <c r="BU174" i="12"/>
  <c r="BT39" i="12"/>
  <c r="BT169" i="12"/>
  <c r="BU140" i="12"/>
  <c r="BU48" i="12"/>
  <c r="BU167" i="12"/>
  <c r="BT151" i="12"/>
  <c r="BL27" i="12"/>
  <c r="BU49" i="12"/>
  <c r="BS52" i="12"/>
  <c r="BU52" i="12" s="1"/>
  <c r="BL69" i="12"/>
  <c r="BL181" i="12"/>
  <c r="BM13" i="12"/>
  <c r="BM125" i="12"/>
  <c r="BM36" i="12"/>
  <c r="BS160" i="12"/>
  <c r="BL64" i="12"/>
  <c r="BS56" i="12"/>
  <c r="BS95" i="12"/>
  <c r="BM83" i="12"/>
  <c r="BS117" i="12"/>
  <c r="BL96" i="12"/>
  <c r="BM180" i="12"/>
  <c r="BS138" i="12"/>
  <c r="BL103" i="12"/>
  <c r="BS196" i="12"/>
  <c r="BS42" i="12"/>
  <c r="BS73" i="12"/>
  <c r="BL60" i="12"/>
  <c r="BM153" i="12"/>
  <c r="BS156" i="12"/>
  <c r="BU156" i="12" s="1"/>
  <c r="BS38" i="12"/>
  <c r="BM152" i="12"/>
  <c r="BL211" i="12"/>
  <c r="BS20" i="12"/>
  <c r="BM23" i="12"/>
  <c r="BS214" i="12"/>
  <c r="BM115" i="12"/>
  <c r="BS106" i="12"/>
  <c r="BU106" i="12" s="1"/>
  <c r="BS91" i="12"/>
  <c r="BT91" i="12" s="1"/>
  <c r="BM173" i="12"/>
  <c r="BS208" i="12"/>
  <c r="BM14" i="12"/>
  <c r="BS44" i="12"/>
  <c r="BS53" i="12"/>
  <c r="BL105" i="12"/>
  <c r="BM71" i="12"/>
  <c r="BM215" i="12"/>
  <c r="BL28" i="12"/>
  <c r="BM211" i="12"/>
  <c r="BL115" i="12"/>
  <c r="BM78" i="12"/>
  <c r="BM163" i="12"/>
  <c r="BS76" i="12"/>
  <c r="BM196" i="12"/>
  <c r="BM39" i="12"/>
  <c r="BM130" i="12"/>
  <c r="BL220" i="12"/>
  <c r="BM64" i="12"/>
  <c r="BL24" i="12"/>
  <c r="BL16" i="12"/>
  <c r="BM147" i="12"/>
  <c r="BM19" i="12"/>
  <c r="BL156" i="12"/>
  <c r="BS55" i="12"/>
  <c r="BS210" i="12"/>
  <c r="BS24" i="12"/>
  <c r="BM157" i="12"/>
  <c r="BS65" i="12"/>
  <c r="BM69" i="12"/>
  <c r="BL88" i="12"/>
  <c r="BS81" i="12"/>
  <c r="BS75" i="12"/>
  <c r="BM63" i="12"/>
  <c r="BL137" i="12"/>
  <c r="BS215" i="12"/>
  <c r="BL139" i="12"/>
  <c r="BS108" i="12"/>
  <c r="BL187" i="12"/>
  <c r="BS27" i="12"/>
  <c r="BS193" i="12"/>
  <c r="BL151" i="12"/>
  <c r="BL62" i="12"/>
  <c r="BM193" i="12"/>
  <c r="BM182" i="12"/>
  <c r="BM22" i="12"/>
  <c r="BL160" i="12"/>
  <c r="BL38" i="12"/>
  <c r="BS14" i="12"/>
  <c r="BM213" i="12"/>
  <c r="BL110" i="12"/>
  <c r="BS207" i="12"/>
  <c r="BS184" i="12"/>
  <c r="BL57" i="12"/>
  <c r="BS82" i="12"/>
  <c r="BM103" i="12"/>
  <c r="BM123" i="12"/>
  <c r="BS37" i="12"/>
  <c r="BU37" i="12" s="1"/>
  <c r="BS34" i="12"/>
  <c r="BT34" i="12" s="1"/>
  <c r="BS71" i="12"/>
  <c r="BU71" i="12" s="1"/>
  <c r="BS132" i="12"/>
  <c r="BT132" i="12" s="1"/>
  <c r="BS30" i="12"/>
  <c r="BS93" i="12"/>
  <c r="BS217" i="12"/>
  <c r="BL132" i="12"/>
  <c r="BL89" i="12"/>
  <c r="BL76" i="12"/>
  <c r="BM101" i="12"/>
  <c r="BM134" i="12"/>
  <c r="BL80" i="12"/>
  <c r="BS147" i="12"/>
  <c r="BM160" i="12"/>
  <c r="BS62" i="12"/>
  <c r="BS157" i="12"/>
  <c r="BL14" i="12"/>
  <c r="BM181" i="12"/>
  <c r="BS112" i="12"/>
  <c r="BT112" i="12" s="1"/>
  <c r="BS41" i="12"/>
  <c r="BU41" i="12" s="1"/>
  <c r="BM16" i="12"/>
  <c r="BL191" i="12"/>
  <c r="BS164" i="12"/>
  <c r="BS80" i="12"/>
  <c r="BS143" i="12"/>
  <c r="BL102" i="12"/>
  <c r="BM17" i="12"/>
  <c r="BM219" i="12"/>
  <c r="BM21" i="12"/>
  <c r="BL176" i="12"/>
  <c r="BM51" i="12"/>
  <c r="BL23" i="12"/>
  <c r="BL26" i="12"/>
  <c r="BM145" i="12"/>
  <c r="BL113" i="12"/>
  <c r="BM18" i="12"/>
  <c r="BM187" i="12"/>
  <c r="BL35" i="12"/>
  <c r="BS99" i="12"/>
  <c r="BT99" i="12" s="1"/>
  <c r="BS105" i="12"/>
  <c r="BL129" i="12"/>
  <c r="BM43" i="12"/>
  <c r="BM129" i="12"/>
  <c r="BM35" i="12"/>
  <c r="BM40" i="12"/>
  <c r="BS218" i="12"/>
  <c r="BL219" i="12"/>
  <c r="BM62" i="12"/>
  <c r="BL114" i="12"/>
  <c r="BS85" i="12"/>
  <c r="BM201" i="12"/>
  <c r="BL31" i="12"/>
  <c r="BL94" i="12"/>
  <c r="BS47" i="12"/>
  <c r="BM10" i="12"/>
  <c r="BS107" i="12"/>
  <c r="BL108" i="12"/>
  <c r="BL55" i="12"/>
  <c r="BM207" i="12"/>
  <c r="BL196" i="12"/>
  <c r="BM67" i="12"/>
  <c r="BM85" i="12"/>
  <c r="BM117" i="12"/>
  <c r="BS176" i="12"/>
  <c r="BM154" i="12"/>
  <c r="BL122" i="12"/>
  <c r="BM177" i="12"/>
  <c r="BS137" i="12"/>
  <c r="BT137" i="12" s="1"/>
  <c r="BM155" i="12"/>
  <c r="BL121" i="12"/>
  <c r="BL167" i="12"/>
  <c r="BS188" i="12"/>
  <c r="BU188" i="12" s="1"/>
  <c r="BM167" i="12"/>
  <c r="BS150" i="12"/>
  <c r="BS152" i="12"/>
  <c r="BL21" i="12"/>
  <c r="BS18" i="12"/>
  <c r="BL25" i="12"/>
  <c r="BL74" i="12"/>
  <c r="BS178" i="12"/>
  <c r="BL79" i="12"/>
  <c r="BM97" i="12"/>
  <c r="BL217" i="12"/>
  <c r="BS204" i="12"/>
  <c r="BT204" i="12" s="1"/>
  <c r="BM37" i="12"/>
  <c r="BM46" i="12"/>
  <c r="BS216" i="12"/>
  <c r="BU216" i="12" s="1"/>
  <c r="BL44" i="12"/>
  <c r="BL72" i="12"/>
  <c r="BS33" i="12"/>
  <c r="BU33" i="12" s="1"/>
  <c r="BM24" i="12"/>
  <c r="BS69" i="12"/>
  <c r="BT69" i="12" s="1"/>
  <c r="BM149" i="12"/>
  <c r="BS202" i="12"/>
  <c r="BU202" i="12" s="1"/>
  <c r="BS185" i="12"/>
  <c r="BT185" i="12" s="1"/>
  <c r="BL143" i="12"/>
  <c r="BL65" i="12"/>
  <c r="BS63" i="12"/>
  <c r="BT63" i="12" s="1"/>
  <c r="BL201" i="12"/>
  <c r="BL51" i="12"/>
  <c r="BL171" i="12"/>
  <c r="BL141" i="12"/>
  <c r="BL213" i="12"/>
  <c r="BL209" i="12"/>
  <c r="BS182" i="12"/>
  <c r="BU182" i="12" s="1"/>
  <c r="BM144" i="12"/>
  <c r="BS155" i="12"/>
  <c r="BU155" i="12" s="1"/>
  <c r="BL179" i="12"/>
  <c r="BL53" i="12"/>
  <c r="BM139" i="12"/>
  <c r="BM165" i="12"/>
  <c r="BM120" i="12"/>
  <c r="BS40" i="12"/>
  <c r="BU40" i="12" s="1"/>
  <c r="BL170" i="12"/>
  <c r="BS183" i="12"/>
  <c r="BT183" i="12" s="1"/>
  <c r="BL18" i="12"/>
  <c r="BM142" i="12"/>
  <c r="BS87" i="12"/>
  <c r="BT87" i="12" s="1"/>
  <c r="BM195" i="12"/>
  <c r="BM113" i="12"/>
  <c r="BS213" i="12"/>
  <c r="BT213" i="12" s="1"/>
  <c r="BS198" i="12"/>
  <c r="BT198" i="12" s="1"/>
  <c r="BL150" i="12"/>
  <c r="BS67" i="12"/>
  <c r="BT67" i="12" s="1"/>
  <c r="BS166" i="12"/>
  <c r="BU166" i="12" s="1"/>
  <c r="BS203" i="12"/>
  <c r="BS98" i="12"/>
  <c r="BT98" i="12" s="1"/>
  <c r="BM44" i="12"/>
  <c r="BS22" i="12"/>
  <c r="BU22" i="12" s="1"/>
  <c r="BS77" i="12"/>
  <c r="BT77" i="12" s="1"/>
  <c r="BL91" i="12"/>
  <c r="BS32" i="12"/>
  <c r="BU32" i="12" s="1"/>
  <c r="BM158" i="12"/>
  <c r="BS180" i="12"/>
  <c r="BU180" i="12" s="1"/>
  <c r="BL180" i="12"/>
  <c r="BL212" i="12"/>
  <c r="BM90" i="12"/>
  <c r="BM168" i="12"/>
  <c r="BS123" i="12"/>
  <c r="BT123" i="12" s="1"/>
  <c r="BL15" i="12"/>
  <c r="BM110" i="12"/>
  <c r="BL13" i="12"/>
  <c r="BL208" i="12"/>
  <c r="BM220" i="12"/>
  <c r="BS74" i="12"/>
  <c r="BU74" i="12" s="1"/>
  <c r="BL183" i="12"/>
  <c r="BM112" i="12"/>
  <c r="BL86" i="12"/>
  <c r="BM100" i="12"/>
  <c r="BL67" i="12"/>
  <c r="BL195" i="12"/>
  <c r="BM108" i="12"/>
  <c r="BM132" i="12"/>
  <c r="BT161" i="12"/>
  <c r="BL119" i="12"/>
  <c r="BU116" i="12"/>
  <c r="BM141" i="12"/>
  <c r="BM166" i="12"/>
  <c r="BM92" i="12"/>
  <c r="BS129" i="12"/>
  <c r="BM176" i="12"/>
  <c r="BM205" i="12"/>
  <c r="BL146" i="12"/>
  <c r="BS28" i="12"/>
  <c r="BM12" i="12"/>
  <c r="BS121" i="12"/>
  <c r="BU58" i="12"/>
  <c r="BT58" i="12"/>
  <c r="BU128" i="12"/>
  <c r="BT141" i="12"/>
  <c r="BT41" i="12"/>
  <c r="BT156" i="12"/>
  <c r="BL135" i="12"/>
  <c r="BS125" i="12"/>
  <c r="BS122" i="12"/>
  <c r="BM146" i="12"/>
  <c r="BS92" i="12"/>
  <c r="BL193" i="12"/>
  <c r="BL130" i="12"/>
  <c r="BS158" i="12"/>
  <c r="BL128" i="12"/>
  <c r="BM156" i="12"/>
  <c r="BL17" i="12"/>
  <c r="BM98" i="12"/>
  <c r="BS144" i="12"/>
  <c r="BL71" i="12"/>
  <c r="BM20" i="12"/>
  <c r="BS90" i="12"/>
  <c r="BS86" i="12"/>
  <c r="BL162" i="12"/>
  <c r="BS50" i="12"/>
  <c r="BL133" i="12"/>
  <c r="BS103" i="12"/>
  <c r="BL155" i="12"/>
  <c r="BM126" i="12"/>
  <c r="BM41" i="12"/>
  <c r="BS187" i="12"/>
  <c r="BL163" i="12"/>
  <c r="BS211" i="12"/>
  <c r="BM53" i="12"/>
  <c r="BS59" i="12"/>
  <c r="BS139" i="12"/>
  <c r="BS186" i="12"/>
  <c r="BM127" i="12"/>
  <c r="BS101" i="12"/>
  <c r="BL205" i="12"/>
  <c r="BM128" i="12"/>
  <c r="BM135" i="12"/>
  <c r="BS135" i="12"/>
  <c r="BS17" i="12"/>
  <c r="BL112" i="12"/>
  <c r="BL185" i="12"/>
  <c r="BS15" i="12"/>
  <c r="BL47" i="12"/>
  <c r="BS173" i="12"/>
  <c r="BM212" i="12"/>
  <c r="IO11" i="12"/>
  <c r="IP11" i="12" s="1"/>
  <c r="IQ11" i="12" s="1"/>
  <c r="CU121" i="12"/>
  <c r="IO9" i="12"/>
  <c r="IP9" i="12" s="1"/>
  <c r="IQ9" i="12" s="1"/>
  <c r="CX235" i="12"/>
  <c r="IF17" i="12"/>
  <c r="IF18" i="12"/>
  <c r="CX232" i="12"/>
  <c r="IO8" i="12"/>
  <c r="IP8" i="12" s="1"/>
  <c r="IQ8" i="12" s="1"/>
  <c r="CX225" i="12"/>
  <c r="CX222" i="12"/>
  <c r="CX227" i="12"/>
  <c r="JH16" i="12"/>
  <c r="JK16" i="12" s="1"/>
  <c r="JL16" i="12" s="1"/>
  <c r="EA16" i="12" s="1"/>
  <c r="CX228" i="12"/>
  <c r="CX226" i="12"/>
  <c r="CX223" i="12"/>
  <c r="AQ113" i="12"/>
  <c r="AQ114" i="12" s="1"/>
  <c r="AT51" i="12"/>
  <c r="HT31" i="12"/>
  <c r="HO32" i="12"/>
  <c r="CX229" i="12"/>
  <c r="CX233" i="12"/>
  <c r="CX234" i="12"/>
  <c r="CX224" i="12"/>
  <c r="CX221" i="12"/>
  <c r="CX231" i="12"/>
  <c r="CX219" i="12"/>
  <c r="CX220" i="12"/>
  <c r="IO6" i="12"/>
  <c r="IP6" i="12" s="1"/>
  <c r="IQ6" i="12" s="1"/>
  <c r="IF16" i="12"/>
  <c r="IF10" i="12"/>
  <c r="DQ5" i="12"/>
  <c r="AQ145" i="12"/>
  <c r="FU124" i="12"/>
  <c r="GR124" i="12" s="1"/>
  <c r="FR125" i="12"/>
  <c r="CX2222" i="12"/>
  <c r="BT36" i="12" l="1"/>
  <c r="BT13" i="12"/>
  <c r="BU88" i="12"/>
  <c r="BT124" i="12"/>
  <c r="BT60" i="12"/>
  <c r="BT163" i="12"/>
  <c r="BT110" i="12"/>
  <c r="BU19" i="12"/>
  <c r="BU126" i="12"/>
  <c r="BU16" i="12"/>
  <c r="BT205" i="12"/>
  <c r="BT136" i="12"/>
  <c r="BU120" i="12"/>
  <c r="BU212" i="12"/>
  <c r="BU199" i="12"/>
  <c r="BU175" i="12"/>
  <c r="BU100" i="12"/>
  <c r="BT21" i="12"/>
  <c r="BT209" i="12"/>
  <c r="BT111" i="12"/>
  <c r="BT52" i="12"/>
  <c r="BT104" i="12"/>
  <c r="BT26" i="12"/>
  <c r="BU168" i="12"/>
  <c r="BU179" i="12"/>
  <c r="BU83" i="12"/>
  <c r="BU66" i="12"/>
  <c r="BT195" i="12"/>
  <c r="BT64" i="12"/>
  <c r="BU34" i="12"/>
  <c r="BT177" i="12"/>
  <c r="BU189" i="12"/>
  <c r="BT113" i="12"/>
  <c r="BU113" i="12"/>
  <c r="BU57" i="12"/>
  <c r="BT57" i="12"/>
  <c r="BT54" i="12"/>
  <c r="BU54" i="12"/>
  <c r="BT94" i="12"/>
  <c r="BU206" i="12"/>
  <c r="BT206" i="12"/>
  <c r="BT71" i="12"/>
  <c r="BT127" i="12"/>
  <c r="BU201" i="12"/>
  <c r="BT119" i="12"/>
  <c r="BT114" i="12"/>
  <c r="BU4" i="12"/>
  <c r="BT4" i="12"/>
  <c r="BT153" i="12"/>
  <c r="BU153" i="12"/>
  <c r="BT5" i="12"/>
  <c r="BU5" i="12"/>
  <c r="BT3" i="12"/>
  <c r="BU3" i="12"/>
  <c r="BU91" i="12"/>
  <c r="BT148" i="12"/>
  <c r="BU133" i="12"/>
  <c r="BU102" i="12"/>
  <c r="BT102" i="12"/>
  <c r="BT45" i="12"/>
  <c r="BU145" i="12"/>
  <c r="BT172" i="12"/>
  <c r="BU96" i="12"/>
  <c r="BT109" i="12"/>
  <c r="BT46" i="12"/>
  <c r="BT8" i="12"/>
  <c r="BT7" i="12"/>
  <c r="BT6" i="12"/>
  <c r="BU6" i="12"/>
  <c r="BU7" i="12" s="1"/>
  <c r="BU197" i="12"/>
  <c r="BT106" i="12"/>
  <c r="BT166" i="12"/>
  <c r="BU61" i="12"/>
  <c r="BT22" i="12"/>
  <c r="BT180" i="12"/>
  <c r="BT202" i="12"/>
  <c r="BT165" i="12"/>
  <c r="BU165" i="12"/>
  <c r="BU11" i="12"/>
  <c r="BT11" i="12"/>
  <c r="BU134" i="12"/>
  <c r="BT134" i="12"/>
  <c r="BT194" i="12"/>
  <c r="BU194" i="12"/>
  <c r="BT130" i="12"/>
  <c r="BU130" i="12"/>
  <c r="BT171" i="12"/>
  <c r="BU171" i="12"/>
  <c r="BU78" i="12"/>
  <c r="BT78" i="12"/>
  <c r="BU29" i="12"/>
  <c r="BT29" i="12"/>
  <c r="BU159" i="12"/>
  <c r="BT159" i="12"/>
  <c r="BT89" i="12"/>
  <c r="BU89" i="12"/>
  <c r="BU31" i="12"/>
  <c r="BT31" i="12"/>
  <c r="BU146" i="12"/>
  <c r="BT146" i="12"/>
  <c r="BU35" i="12"/>
  <c r="BT35" i="12"/>
  <c r="BU79" i="12"/>
  <c r="BT79" i="12"/>
  <c r="BU84" i="12"/>
  <c r="BT84" i="12"/>
  <c r="BU115" i="12"/>
  <c r="BT115" i="12"/>
  <c r="BU198" i="12"/>
  <c r="BT33" i="12"/>
  <c r="BU142" i="12"/>
  <c r="BT162" i="12"/>
  <c r="BU162" i="12"/>
  <c r="BT51" i="12"/>
  <c r="BU51" i="12"/>
  <c r="BT192" i="12"/>
  <c r="BU192" i="12"/>
  <c r="BU191" i="12"/>
  <c r="BT191" i="12"/>
  <c r="BU87" i="12"/>
  <c r="BT68" i="12"/>
  <c r="BU68" i="12"/>
  <c r="BT72" i="12"/>
  <c r="BU72" i="12"/>
  <c r="BT219" i="12"/>
  <c r="BU219" i="12"/>
  <c r="BU200" i="12"/>
  <c r="BT200" i="12"/>
  <c r="BT118" i="12"/>
  <c r="BU118" i="12"/>
  <c r="BT181" i="12"/>
  <c r="BU181" i="12"/>
  <c r="BT37" i="12"/>
  <c r="BT74" i="12"/>
  <c r="BU204" i="12"/>
  <c r="BT40" i="12"/>
  <c r="BU213" i="12"/>
  <c r="BU69" i="12"/>
  <c r="BT182" i="12"/>
  <c r="BU137" i="12"/>
  <c r="BT188" i="12"/>
  <c r="BT155" i="12"/>
  <c r="BU132" i="12"/>
  <c r="BU67" i="12"/>
  <c r="BT32" i="12"/>
  <c r="BU98" i="12"/>
  <c r="BT216" i="12"/>
  <c r="BU183" i="12"/>
  <c r="BU112" i="12"/>
  <c r="BU99" i="12"/>
  <c r="BU185" i="12"/>
  <c r="BU63" i="12"/>
  <c r="BU77" i="12"/>
  <c r="BU123" i="12"/>
  <c r="BT152" i="12"/>
  <c r="BU152" i="12"/>
  <c r="BT164" i="12"/>
  <c r="BU164" i="12"/>
  <c r="BT62" i="12"/>
  <c r="BU62" i="12"/>
  <c r="BU184" i="12"/>
  <c r="BT184" i="12"/>
  <c r="BT14" i="12"/>
  <c r="BU14" i="12"/>
  <c r="BU193" i="12"/>
  <c r="BT193" i="12"/>
  <c r="BU75" i="12"/>
  <c r="BT75" i="12"/>
  <c r="BT65" i="12"/>
  <c r="BU65" i="12"/>
  <c r="BU55" i="12"/>
  <c r="BT55" i="12"/>
  <c r="BU53" i="12"/>
  <c r="BT53" i="12"/>
  <c r="BT214" i="12"/>
  <c r="BU214" i="12"/>
  <c r="BU117" i="12"/>
  <c r="BT117" i="12"/>
  <c r="BT203" i="12"/>
  <c r="BU203" i="12"/>
  <c r="BU150" i="12"/>
  <c r="BT150" i="12"/>
  <c r="BU47" i="12"/>
  <c r="BT47" i="12"/>
  <c r="BT85" i="12"/>
  <c r="BU85" i="12"/>
  <c r="BU218" i="12"/>
  <c r="BT218" i="12"/>
  <c r="BT217" i="12"/>
  <c r="BU217" i="12"/>
  <c r="BT207" i="12"/>
  <c r="BU207" i="12"/>
  <c r="BT27" i="12"/>
  <c r="BU27" i="12"/>
  <c r="BU215" i="12"/>
  <c r="BT215" i="12"/>
  <c r="BT81" i="12"/>
  <c r="BU81" i="12"/>
  <c r="BU44" i="12"/>
  <c r="BT44" i="12"/>
  <c r="BT38" i="12"/>
  <c r="BU38" i="12"/>
  <c r="BU73" i="12"/>
  <c r="BT73" i="12"/>
  <c r="BT138" i="12"/>
  <c r="BU138" i="12"/>
  <c r="BU160" i="12"/>
  <c r="BT160" i="12"/>
  <c r="BU18" i="12"/>
  <c r="BT18" i="12"/>
  <c r="BT143" i="12"/>
  <c r="BU143" i="12"/>
  <c r="BU147" i="12"/>
  <c r="BT147" i="12"/>
  <c r="BU93" i="12"/>
  <c r="BT93" i="12"/>
  <c r="BU82" i="12"/>
  <c r="BT82" i="12"/>
  <c r="BT24" i="12"/>
  <c r="BU24" i="12"/>
  <c r="BU20" i="12"/>
  <c r="BT20" i="12"/>
  <c r="BT42" i="12"/>
  <c r="BU42" i="12"/>
  <c r="BU95" i="12"/>
  <c r="BT95" i="12"/>
  <c r="BU178" i="12"/>
  <c r="BT178" i="12"/>
  <c r="BU176" i="12"/>
  <c r="BT176" i="12"/>
  <c r="BU107" i="12"/>
  <c r="BT107" i="12"/>
  <c r="BT105" i="12"/>
  <c r="BU105" i="12"/>
  <c r="BU80" i="12"/>
  <c r="BT80" i="12"/>
  <c r="BU157" i="12"/>
  <c r="BT157" i="12"/>
  <c r="BU30" i="12"/>
  <c r="BT30" i="12"/>
  <c r="BT108" i="12"/>
  <c r="BU108" i="12"/>
  <c r="BU210" i="12"/>
  <c r="BT210" i="12"/>
  <c r="BU76" i="12"/>
  <c r="BT76" i="12"/>
  <c r="BU208" i="12"/>
  <c r="BT208" i="12"/>
  <c r="BU196" i="12"/>
  <c r="BT196" i="12"/>
  <c r="BU56" i="12"/>
  <c r="BT56" i="12"/>
  <c r="BT28" i="12"/>
  <c r="BU28" i="12"/>
  <c r="BU129" i="12"/>
  <c r="BT129" i="12"/>
  <c r="BZ1" i="12"/>
  <c r="BT121" i="12"/>
  <c r="BU121" i="12"/>
  <c r="BT15" i="12"/>
  <c r="BU15" i="12"/>
  <c r="BU135" i="12"/>
  <c r="BT135" i="12"/>
  <c r="BT101" i="12"/>
  <c r="BU101" i="12"/>
  <c r="BU59" i="12"/>
  <c r="BT59" i="12"/>
  <c r="BU187" i="12"/>
  <c r="BT187" i="12"/>
  <c r="BT103" i="12"/>
  <c r="BU103" i="12"/>
  <c r="BU86" i="12"/>
  <c r="BT86" i="12"/>
  <c r="BT144" i="12"/>
  <c r="BU144" i="12"/>
  <c r="BU92" i="12"/>
  <c r="BT92" i="12"/>
  <c r="BT90" i="12"/>
  <c r="BU90" i="12"/>
  <c r="BU158" i="12"/>
  <c r="BT158" i="12"/>
  <c r="BU173" i="12"/>
  <c r="BT173" i="12"/>
  <c r="BU186" i="12"/>
  <c r="BT186" i="12"/>
  <c r="BT211" i="12"/>
  <c r="BU211" i="12"/>
  <c r="BT50" i="12"/>
  <c r="BU50" i="12"/>
  <c r="BU122" i="12"/>
  <c r="BT122" i="12"/>
  <c r="BY1" i="12"/>
  <c r="BU17" i="12"/>
  <c r="BT17" i="12"/>
  <c r="BU139" i="12"/>
  <c r="BT139" i="12"/>
  <c r="BT125" i="12"/>
  <c r="BU125" i="12"/>
  <c r="CU123" i="12"/>
  <c r="IR106" i="12"/>
  <c r="AQ116" i="12"/>
  <c r="AQ117" i="12" s="1"/>
  <c r="JH17" i="12"/>
  <c r="JH18" i="12" s="1"/>
  <c r="AT52" i="12"/>
  <c r="O17" i="12" s="1"/>
  <c r="AW52" i="12"/>
  <c r="AT53" i="12"/>
  <c r="AW53" i="12"/>
  <c r="HT32" i="12"/>
  <c r="HO33" i="12"/>
  <c r="IR24" i="12"/>
  <c r="IR12" i="12"/>
  <c r="IR195" i="12"/>
  <c r="IR124" i="12"/>
  <c r="IR131" i="12"/>
  <c r="IR137" i="12"/>
  <c r="IR117" i="12"/>
  <c r="IR6" i="12"/>
  <c r="IR39" i="12"/>
  <c r="IR142" i="12"/>
  <c r="IR127" i="12"/>
  <c r="IR36" i="12"/>
  <c r="IR111" i="12"/>
  <c r="IR99" i="12"/>
  <c r="IR196" i="12"/>
  <c r="IR172" i="12"/>
  <c r="IR49" i="12"/>
  <c r="IQ1" i="12"/>
  <c r="EV9" i="12" s="1"/>
  <c r="IR162" i="12"/>
  <c r="IR179" i="12"/>
  <c r="IR189" i="12"/>
  <c r="IR29" i="12"/>
  <c r="IR166" i="12"/>
  <c r="IR17" i="12"/>
  <c r="IG88" i="12"/>
  <c r="IH88" i="12" s="1"/>
  <c r="IR175" i="12"/>
  <c r="IR97" i="12"/>
  <c r="IR163" i="12"/>
  <c r="IR169" i="12"/>
  <c r="IR80" i="12"/>
  <c r="IR190" i="12"/>
  <c r="IR65" i="12"/>
  <c r="IR113" i="12"/>
  <c r="IR135" i="12"/>
  <c r="IR74" i="12"/>
  <c r="IR150" i="12"/>
  <c r="IR177" i="12"/>
  <c r="IR147" i="12"/>
  <c r="IR199" i="12"/>
  <c r="IR125" i="12"/>
  <c r="IG81" i="12"/>
  <c r="IH81" i="12" s="1"/>
  <c r="IG188" i="12"/>
  <c r="IG92" i="12"/>
  <c r="IG73" i="12"/>
  <c r="IH73" i="12" s="1"/>
  <c r="IG129" i="12"/>
  <c r="IG159" i="12"/>
  <c r="IG42" i="12"/>
  <c r="IH42" i="12" s="1"/>
  <c r="IG174" i="12"/>
  <c r="IG156" i="12"/>
  <c r="IG191" i="12"/>
  <c r="IG192" i="12"/>
  <c r="IG187" i="12"/>
  <c r="IG14" i="12"/>
  <c r="EV21" i="12"/>
  <c r="IR96" i="12"/>
  <c r="IR13" i="12"/>
  <c r="IR129" i="12"/>
  <c r="IR59" i="12"/>
  <c r="IR139" i="12"/>
  <c r="IR133" i="12"/>
  <c r="IR11" i="12"/>
  <c r="IR78" i="12"/>
  <c r="IR151" i="12"/>
  <c r="IG115" i="12"/>
  <c r="IR94" i="12"/>
  <c r="IR81" i="12"/>
  <c r="IR194" i="12"/>
  <c r="IR178" i="12"/>
  <c r="IR16" i="12"/>
  <c r="IR3" i="12"/>
  <c r="IR109" i="12"/>
  <c r="IR19" i="12"/>
  <c r="IG127" i="12"/>
  <c r="IR159" i="12"/>
  <c r="IR69" i="12"/>
  <c r="IR73" i="12"/>
  <c r="IR130" i="12"/>
  <c r="IR104" i="12"/>
  <c r="IG6" i="12"/>
  <c r="IH6" i="12" s="1"/>
  <c r="IG89" i="12"/>
  <c r="IH89" i="12" s="1"/>
  <c r="IR108" i="12"/>
  <c r="IR153" i="12"/>
  <c r="IR91" i="12"/>
  <c r="IR53" i="12"/>
  <c r="IR134" i="12"/>
  <c r="IR54" i="12"/>
  <c r="IR149" i="12"/>
  <c r="IR187" i="12"/>
  <c r="IR128" i="12"/>
  <c r="IR93" i="12"/>
  <c r="IR103" i="12"/>
  <c r="IR25" i="12"/>
  <c r="IR126" i="12"/>
  <c r="IR50" i="12"/>
  <c r="IR92" i="12"/>
  <c r="IR51" i="12"/>
  <c r="IR62" i="12"/>
  <c r="IR56" i="12"/>
  <c r="IR28" i="12"/>
  <c r="IR67" i="12"/>
  <c r="IR86" i="12"/>
  <c r="IR90" i="12"/>
  <c r="IG85" i="12"/>
  <c r="IR35" i="12"/>
  <c r="IG138" i="12"/>
  <c r="IG49" i="12"/>
  <c r="IG26" i="12"/>
  <c r="IG25" i="12" s="1"/>
  <c r="IH25" i="12" s="1"/>
  <c r="IH26" i="12" s="1"/>
  <c r="IG61" i="12"/>
  <c r="IH61" i="12" s="1"/>
  <c r="IR98" i="12"/>
  <c r="IR174" i="12"/>
  <c r="IR165" i="12"/>
  <c r="IR64" i="12"/>
  <c r="IR200" i="12"/>
  <c r="IR82" i="12"/>
  <c r="IR192" i="12"/>
  <c r="IR155" i="12"/>
  <c r="IR21" i="12"/>
  <c r="IR116" i="12"/>
  <c r="IR43" i="12"/>
  <c r="IR79" i="12"/>
  <c r="IG109" i="12"/>
  <c r="IR101" i="12"/>
  <c r="IR176" i="12"/>
  <c r="IR10" i="12"/>
  <c r="IR167" i="12"/>
  <c r="IR52" i="12"/>
  <c r="IR181" i="12"/>
  <c r="IR42" i="12"/>
  <c r="IR148" i="12"/>
  <c r="IR140" i="12"/>
  <c r="IR197" i="12"/>
  <c r="IG151" i="12"/>
  <c r="IR38" i="12"/>
  <c r="IR160" i="12"/>
  <c r="IR34" i="12"/>
  <c r="IR143" i="12"/>
  <c r="IR102" i="12"/>
  <c r="IR141" i="12"/>
  <c r="IR75" i="12"/>
  <c r="IR144" i="12"/>
  <c r="IR30" i="12"/>
  <c r="IG175" i="12"/>
  <c r="IR9" i="12"/>
  <c r="IR71" i="12"/>
  <c r="IG197" i="12"/>
  <c r="IG137" i="12"/>
  <c r="IR100" i="12"/>
  <c r="IR40" i="12"/>
  <c r="IR87" i="12"/>
  <c r="IR83" i="12"/>
  <c r="IR146" i="12"/>
  <c r="IR70" i="12"/>
  <c r="IR95" i="12"/>
  <c r="IR161" i="12"/>
  <c r="IR118" i="12"/>
  <c r="IR132" i="12"/>
  <c r="IG100" i="12"/>
  <c r="IG195" i="12"/>
  <c r="IG190" i="12"/>
  <c r="IR31" i="12"/>
  <c r="IR57" i="12"/>
  <c r="IR45" i="12"/>
  <c r="IR145" i="12"/>
  <c r="IR119" i="12"/>
  <c r="IR158" i="12"/>
  <c r="IR183" i="12"/>
  <c r="IR26" i="12"/>
  <c r="IR138" i="12"/>
  <c r="IR114" i="12"/>
  <c r="IR121" i="12"/>
  <c r="IR186" i="12"/>
  <c r="IR33" i="12"/>
  <c r="IR22" i="12"/>
  <c r="IR185" i="12"/>
  <c r="IR115" i="12"/>
  <c r="IR23" i="12"/>
  <c r="IR37" i="12"/>
  <c r="IR170" i="12"/>
  <c r="IR46" i="12"/>
  <c r="IG122" i="12"/>
  <c r="IG148" i="12"/>
  <c r="IG182" i="12"/>
  <c r="IG145" i="12"/>
  <c r="IG152" i="12"/>
  <c r="IG130" i="12"/>
  <c r="IR5" i="12"/>
  <c r="IR7" i="12"/>
  <c r="IR27" i="12"/>
  <c r="IR84" i="12"/>
  <c r="IR44" i="12"/>
  <c r="IR193" i="12"/>
  <c r="IR110" i="12"/>
  <c r="IR55" i="12"/>
  <c r="IR72" i="12"/>
  <c r="IR188" i="12"/>
  <c r="IR68" i="12"/>
  <c r="IR157" i="12"/>
  <c r="IR4" i="12"/>
  <c r="IR168" i="12"/>
  <c r="IR198" i="12"/>
  <c r="IR180" i="12"/>
  <c r="IG172" i="12"/>
  <c r="IR89" i="12"/>
  <c r="IR173" i="12"/>
  <c r="IR58" i="12"/>
  <c r="IR66" i="12"/>
  <c r="IR85" i="12"/>
  <c r="IR32" i="12"/>
  <c r="IR105" i="12"/>
  <c r="IR152" i="12"/>
  <c r="IR122" i="12"/>
  <c r="IR61" i="12"/>
  <c r="IG162" i="12"/>
  <c r="IG134" i="12"/>
  <c r="IR20" i="12"/>
  <c r="IR156" i="12"/>
  <c r="IR60" i="12"/>
  <c r="IR136" i="12"/>
  <c r="IR184" i="12"/>
  <c r="IR182" i="12"/>
  <c r="IR47" i="12"/>
  <c r="IR8" i="12"/>
  <c r="IR18" i="12"/>
  <c r="IR14" i="12"/>
  <c r="IR154" i="12"/>
  <c r="IR164" i="12"/>
  <c r="IR171" i="12"/>
  <c r="IR63" i="12"/>
  <c r="IR191" i="12"/>
  <c r="IR120" i="12"/>
  <c r="IR41" i="12"/>
  <c r="IR112" i="12"/>
  <c r="IR77" i="12"/>
  <c r="IR76" i="12"/>
  <c r="IR15" i="12"/>
  <c r="IR48" i="12"/>
  <c r="IR88" i="12"/>
  <c r="IR123" i="12"/>
  <c r="IR107" i="12"/>
  <c r="IG119" i="12"/>
  <c r="IG77" i="12"/>
  <c r="IH77" i="12" s="1"/>
  <c r="IG48" i="12"/>
  <c r="IG40" i="12"/>
  <c r="IH40" i="12" s="1"/>
  <c r="IG56" i="12"/>
  <c r="IH56" i="12" s="1"/>
  <c r="IG76" i="12"/>
  <c r="IH76" i="12" s="1"/>
  <c r="IG50" i="12"/>
  <c r="IG110" i="12"/>
  <c r="IG124" i="12"/>
  <c r="IG95" i="12"/>
  <c r="IG154" i="12"/>
  <c r="IG101" i="12"/>
  <c r="IG80" i="12"/>
  <c r="IG170" i="12"/>
  <c r="IG200" i="12"/>
  <c r="IG194" i="12"/>
  <c r="IG144" i="12"/>
  <c r="IG113" i="12"/>
  <c r="IG198" i="12"/>
  <c r="IG112" i="12"/>
  <c r="IG103" i="12"/>
  <c r="IG120" i="12"/>
  <c r="IG96" i="12"/>
  <c r="IG147" i="12"/>
  <c r="IG105" i="12"/>
  <c r="IG189" i="12"/>
  <c r="IG155" i="12"/>
  <c r="IG168" i="12"/>
  <c r="IG183" i="12"/>
  <c r="IG104" i="12"/>
  <c r="IG4" i="12"/>
  <c r="IG28" i="12"/>
  <c r="IH28" i="12" s="1"/>
  <c r="IG41" i="12"/>
  <c r="IH41" i="12" s="1"/>
  <c r="IG75" i="12"/>
  <c r="IH75" i="12" s="1"/>
  <c r="IG82" i="12"/>
  <c r="IH82" i="12" s="1"/>
  <c r="IG84" i="12"/>
  <c r="IH84" i="12" s="1"/>
  <c r="IG33" i="12"/>
  <c r="IH33" i="12" s="1"/>
  <c r="IG55" i="12"/>
  <c r="IH55" i="12" s="1"/>
  <c r="IG60" i="12"/>
  <c r="IH60" i="12" s="1"/>
  <c r="IG54" i="12"/>
  <c r="IH54" i="12" s="1"/>
  <c r="IG12" i="12"/>
  <c r="IG21" i="12"/>
  <c r="EV16" i="12" s="1"/>
  <c r="IG59" i="12"/>
  <c r="IH59" i="12" s="1"/>
  <c r="EV20" i="12"/>
  <c r="IG193" i="12"/>
  <c r="IG114" i="12"/>
  <c r="IG149" i="12"/>
  <c r="IG186" i="12"/>
  <c r="IG94" i="12"/>
  <c r="IG133" i="12"/>
  <c r="IG111" i="12"/>
  <c r="IG142" i="12"/>
  <c r="IG108" i="12"/>
  <c r="IG167" i="12"/>
  <c r="IG123" i="12"/>
  <c r="IG106" i="12"/>
  <c r="IG177" i="12"/>
  <c r="IG158" i="12"/>
  <c r="IG116" i="12"/>
  <c r="IG102" i="12"/>
  <c r="IG199" i="12"/>
  <c r="IG131" i="12"/>
  <c r="IG121" i="12"/>
  <c r="IG126" i="12"/>
  <c r="IG163" i="12"/>
  <c r="IG44" i="12"/>
  <c r="IG178" i="12"/>
  <c r="IG132" i="12"/>
  <c r="IG164" i="12"/>
  <c r="IG143" i="12"/>
  <c r="IG136" i="12"/>
  <c r="IG52" i="12"/>
  <c r="IH52" i="12" s="1"/>
  <c r="IG17" i="12"/>
  <c r="IG16" i="12" s="1"/>
  <c r="IG72" i="12"/>
  <c r="IG64" i="12"/>
  <c r="IH64" i="12" s="1"/>
  <c r="IG86" i="12"/>
  <c r="IH86" i="12" s="1"/>
  <c r="IG70" i="12"/>
  <c r="IH70" i="12" s="1"/>
  <c r="IG179" i="12"/>
  <c r="IG176" i="12"/>
  <c r="IG146" i="12"/>
  <c r="IG99" i="12"/>
  <c r="IG140" i="12"/>
  <c r="IG53" i="12"/>
  <c r="IH53" i="12" s="1"/>
  <c r="EV19" i="12"/>
  <c r="IG87" i="12"/>
  <c r="IH87" i="12" s="1"/>
  <c r="IG5" i="12"/>
  <c r="IG65" i="12"/>
  <c r="IH65" i="12" s="1"/>
  <c r="IG11" i="12"/>
  <c r="IG58" i="12"/>
  <c r="IG83" i="12"/>
  <c r="IH83" i="12" s="1"/>
  <c r="IG30" i="12"/>
  <c r="IG29" i="12" s="1"/>
  <c r="IG39" i="12"/>
  <c r="IG62" i="12"/>
  <c r="IH62" i="12" s="1"/>
  <c r="IG63" i="12"/>
  <c r="IH63" i="12" s="1"/>
  <c r="IG74" i="12"/>
  <c r="IH74" i="12" s="1"/>
  <c r="IG196" i="12"/>
  <c r="IG135" i="12"/>
  <c r="IG97" i="12"/>
  <c r="IG181" i="12"/>
  <c r="IG141" i="12"/>
  <c r="IG153" i="12"/>
  <c r="IG184" i="12"/>
  <c r="IG161" i="12"/>
  <c r="IG128" i="12"/>
  <c r="IG173" i="12"/>
  <c r="IG150" i="12"/>
  <c r="IG185" i="12"/>
  <c r="IG180" i="12"/>
  <c r="IG139" i="12"/>
  <c r="IG118" i="12"/>
  <c r="IG171" i="12"/>
  <c r="IG107" i="12"/>
  <c r="IG98" i="12"/>
  <c r="IG169" i="12"/>
  <c r="IG165" i="12"/>
  <c r="IG166" i="12"/>
  <c r="IG125" i="12"/>
  <c r="IG79" i="12"/>
  <c r="IG117" i="12"/>
  <c r="IG160" i="12"/>
  <c r="IG157" i="12"/>
  <c r="CX248" i="12"/>
  <c r="CX238" i="12"/>
  <c r="CX240" i="12"/>
  <c r="CX252" i="12"/>
  <c r="CX244" i="12"/>
  <c r="CX237" i="12"/>
  <c r="CX253" i="12"/>
  <c r="CX250" i="12"/>
  <c r="CX247" i="12"/>
  <c r="CX251" i="12"/>
  <c r="CX246" i="12"/>
  <c r="CX242" i="12"/>
  <c r="CX249" i="12"/>
  <c r="CX241" i="12"/>
  <c r="CX245" i="12"/>
  <c r="CX243" i="12"/>
  <c r="CX239" i="12"/>
  <c r="JK17" i="12"/>
  <c r="JL17" i="12" s="1"/>
  <c r="EA17" i="12" s="1"/>
  <c r="DQ6" i="12"/>
  <c r="DQ7" i="12" s="1"/>
  <c r="AQ146" i="12"/>
  <c r="FU125" i="12"/>
  <c r="GR125" i="12" s="1"/>
  <c r="FR126" i="12"/>
  <c r="CX2223" i="12"/>
  <c r="IH13" i="12"/>
  <c r="BU8" i="12" l="1"/>
  <c r="BY2" i="12"/>
  <c r="BV2" i="12"/>
  <c r="CU135" i="12"/>
  <c r="EV13" i="12"/>
  <c r="AQ118" i="12"/>
  <c r="AQ119" i="12" s="1"/>
  <c r="IG27" i="12"/>
  <c r="IH27" i="12" s="1"/>
  <c r="AT54" i="12"/>
  <c r="HT33" i="12"/>
  <c r="HO34" i="12"/>
  <c r="IG7" i="12"/>
  <c r="IG3" i="12" s="1"/>
  <c r="IH3" i="12" s="1"/>
  <c r="IG71" i="12"/>
  <c r="IH71" i="12" s="1"/>
  <c r="IG57" i="12"/>
  <c r="IH57" i="12" s="1"/>
  <c r="IH58" i="12" s="1"/>
  <c r="IG51" i="12"/>
  <c r="IH51" i="12" s="1"/>
  <c r="IG78" i="12"/>
  <c r="IH78" i="12" s="1"/>
  <c r="IG13" i="12"/>
  <c r="IG15" i="12"/>
  <c r="IG10" i="12" s="1"/>
  <c r="IG32" i="12"/>
  <c r="IH32" i="12" s="1"/>
  <c r="IH72" i="12"/>
  <c r="IG90" i="12"/>
  <c r="IH90" i="12" s="1"/>
  <c r="CX260" i="12"/>
  <c r="CX262" i="12"/>
  <c r="CX265" i="12"/>
  <c r="CX268" i="12"/>
  <c r="CX259" i="12"/>
  <c r="CX263" i="12"/>
  <c r="CX255" i="12"/>
  <c r="CX261" i="12"/>
  <c r="CX256" i="12"/>
  <c r="CX269" i="12"/>
  <c r="CX258" i="12"/>
  <c r="CX266" i="12"/>
  <c r="CX270" i="12"/>
  <c r="CX264" i="12"/>
  <c r="CX267" i="12"/>
  <c r="CX257" i="12"/>
  <c r="CX271" i="12"/>
  <c r="JK18" i="12"/>
  <c r="JL18" i="12" s="1"/>
  <c r="EA18" i="12" s="1"/>
  <c r="JH19" i="12"/>
  <c r="DQ8" i="12"/>
  <c r="AQ147" i="12"/>
  <c r="FU126" i="12"/>
  <c r="GR126" i="12" s="1"/>
  <c r="FR127" i="12"/>
  <c r="CX2224" i="12"/>
  <c r="IH31" i="12"/>
  <c r="E121" i="10"/>
  <c r="EV14" i="12" l="1"/>
  <c r="BU10" i="12"/>
  <c r="BU9" i="12"/>
  <c r="EV31" i="12"/>
  <c r="IG31" i="12"/>
  <c r="CU136" i="12"/>
  <c r="AW54" i="12"/>
  <c r="AQ120" i="12"/>
  <c r="AQ121" i="12" s="1"/>
  <c r="AT55" i="12"/>
  <c r="AW55" i="12"/>
  <c r="HT34" i="12"/>
  <c r="HO35" i="12"/>
  <c r="IG9" i="12"/>
  <c r="CX276" i="12"/>
  <c r="CX289" i="12"/>
  <c r="CX285" i="12"/>
  <c r="CX279" i="12"/>
  <c r="CX284" i="12"/>
  <c r="CX287" i="12"/>
  <c r="CX274" i="12"/>
  <c r="CX282" i="12"/>
  <c r="CX278" i="12"/>
  <c r="CX288" i="12"/>
  <c r="CX280" i="12"/>
  <c r="CX277" i="12"/>
  <c r="CX286" i="12"/>
  <c r="CX273" i="12"/>
  <c r="CX281" i="12"/>
  <c r="CX283" i="12"/>
  <c r="CX275" i="12"/>
  <c r="JH20" i="12"/>
  <c r="JK19" i="12"/>
  <c r="JL19" i="12" s="1"/>
  <c r="EA19" i="12" s="1"/>
  <c r="DQ9" i="12"/>
  <c r="IH4" i="12"/>
  <c r="IH5" i="12" s="1"/>
  <c r="AQ148" i="12"/>
  <c r="FU127" i="12"/>
  <c r="GR127" i="12" s="1"/>
  <c r="FR128" i="12"/>
  <c r="CX2225" i="12"/>
  <c r="B124" i="10"/>
  <c r="C123" i="10"/>
  <c r="C124" i="10"/>
  <c r="D123" i="10"/>
  <c r="E123" i="10"/>
  <c r="E124" i="10"/>
  <c r="B122" i="10"/>
  <c r="E122" i="10"/>
  <c r="D124" i="10"/>
  <c r="B123" i="10"/>
  <c r="C122" i="10"/>
  <c r="B121" i="10"/>
  <c r="D121" i="10"/>
  <c r="D122" i="10"/>
  <c r="C121" i="10"/>
  <c r="EV15" i="12" l="1"/>
  <c r="EV18" i="12" s="1"/>
  <c r="EW30" i="12" s="1"/>
  <c r="EW29" i="12" s="1"/>
  <c r="EW28" i="12" s="1"/>
  <c r="EW27" i="12" s="1"/>
  <c r="EW26" i="12" s="1"/>
  <c r="EW25" i="12" s="1"/>
  <c r="EW24" i="12" s="1"/>
  <c r="EW23" i="12" s="1"/>
  <c r="EW22" i="12" s="1"/>
  <c r="EW21" i="12" s="1"/>
  <c r="EW20" i="12" s="1"/>
  <c r="EW19" i="12" s="1"/>
  <c r="EW18" i="12" s="1"/>
  <c r="EW17" i="12" s="1"/>
  <c r="EW16" i="12" s="1"/>
  <c r="EW15" i="12" s="1"/>
  <c r="EW14" i="12" s="1"/>
  <c r="EW13" i="12" s="1"/>
  <c r="EW12" i="12" s="1"/>
  <c r="EW11" i="12" s="1"/>
  <c r="EW10" i="12" s="1"/>
  <c r="EW9" i="12" s="1"/>
  <c r="EW8" i="12" s="1"/>
  <c r="EW7" i="12" s="1"/>
  <c r="EW6" i="12" s="1"/>
  <c r="EW5" i="12" s="1"/>
  <c r="EW4" i="12" s="1"/>
  <c r="EW3" i="12" s="1"/>
  <c r="BV7" i="12"/>
  <c r="BW7" i="12" s="1"/>
  <c r="BV3" i="12"/>
  <c r="BW3" i="12" s="1"/>
  <c r="BV8" i="12"/>
  <c r="BW8" i="12" s="1"/>
  <c r="BV6" i="12"/>
  <c r="BW6" i="12" s="1"/>
  <c r="BV4" i="12"/>
  <c r="BW4" i="12" s="1"/>
  <c r="BV5" i="12"/>
  <c r="BW5" i="12" s="1"/>
  <c r="BV10" i="12"/>
  <c r="BW10" i="12" s="1"/>
  <c r="BV140" i="12"/>
  <c r="BW140" i="12" s="1"/>
  <c r="BV181" i="12"/>
  <c r="BW181" i="12" s="1"/>
  <c r="BV198" i="12"/>
  <c r="BW198" i="12" s="1"/>
  <c r="BV170" i="12"/>
  <c r="BW170" i="12" s="1"/>
  <c r="BV176" i="12"/>
  <c r="BW176" i="12" s="1"/>
  <c r="BV50" i="12"/>
  <c r="BW50" i="12" s="1"/>
  <c r="BV90" i="12"/>
  <c r="BW90" i="12" s="1"/>
  <c r="BV54" i="12"/>
  <c r="BW54" i="12" s="1"/>
  <c r="BV47" i="12"/>
  <c r="BW47" i="12" s="1"/>
  <c r="BV89" i="12"/>
  <c r="BW89" i="12" s="1"/>
  <c r="BV163" i="12"/>
  <c r="BW163" i="12" s="1"/>
  <c r="BV209" i="12"/>
  <c r="BW209" i="12" s="1"/>
  <c r="BV168" i="12"/>
  <c r="BW168" i="12" s="1"/>
  <c r="BV96" i="12"/>
  <c r="BW96" i="12" s="1"/>
  <c r="BV205" i="12"/>
  <c r="BW205" i="12" s="1"/>
  <c r="BV62" i="12"/>
  <c r="BW62" i="12" s="1"/>
  <c r="BV65" i="12"/>
  <c r="BW65" i="12" s="1"/>
  <c r="BV148" i="12"/>
  <c r="BW148" i="12" s="1"/>
  <c r="BV133" i="12"/>
  <c r="BW133" i="12" s="1"/>
  <c r="BV49" i="12"/>
  <c r="BW49" i="12" s="1"/>
  <c r="BV75" i="12"/>
  <c r="BW75" i="12" s="1"/>
  <c r="BV46" i="12"/>
  <c r="BW46" i="12" s="1"/>
  <c r="BV20" i="12"/>
  <c r="BW20" i="12" s="1"/>
  <c r="BV58" i="12"/>
  <c r="BW58" i="12" s="1"/>
  <c r="BV150" i="12"/>
  <c r="BW150" i="12" s="1"/>
  <c r="BV25" i="12"/>
  <c r="BW25" i="12" s="1"/>
  <c r="BV15" i="12"/>
  <c r="BW15" i="12" s="1"/>
  <c r="BV29" i="12"/>
  <c r="BW29" i="12" s="1"/>
  <c r="BV121" i="12"/>
  <c r="BW121" i="12" s="1"/>
  <c r="BV73" i="12"/>
  <c r="BW73" i="12" s="1"/>
  <c r="BV87" i="12"/>
  <c r="BW87" i="12" s="1"/>
  <c r="BV63" i="12"/>
  <c r="BW63" i="12" s="1"/>
  <c r="BV68" i="12"/>
  <c r="BW68" i="12" s="1"/>
  <c r="BV39" i="12"/>
  <c r="BW39" i="12" s="1"/>
  <c r="BV185" i="12"/>
  <c r="BW185" i="12" s="1"/>
  <c r="BV100" i="12"/>
  <c r="BW100" i="12" s="1"/>
  <c r="BV127" i="12"/>
  <c r="BW127" i="12" s="1"/>
  <c r="BV97" i="12"/>
  <c r="BW97" i="12" s="1"/>
  <c r="BV24" i="12"/>
  <c r="BW24" i="12" s="1"/>
  <c r="BV157" i="12"/>
  <c r="BW157" i="12" s="1"/>
  <c r="BV52" i="12"/>
  <c r="BW52" i="12" s="1"/>
  <c r="BV216" i="12"/>
  <c r="BW216" i="12" s="1"/>
  <c r="BV32" i="12"/>
  <c r="BW32" i="12" s="1"/>
  <c r="BV139" i="12"/>
  <c r="BW139" i="12" s="1"/>
  <c r="BV13" i="12"/>
  <c r="BW13" i="12" s="1"/>
  <c r="BV130" i="12"/>
  <c r="BW130" i="12" s="1"/>
  <c r="BV88" i="12"/>
  <c r="BW88" i="12" s="1"/>
  <c r="BV26" i="12"/>
  <c r="BW26" i="12" s="1"/>
  <c r="BV108" i="12"/>
  <c r="BW108" i="12" s="1"/>
  <c r="BV156" i="12"/>
  <c r="BW156" i="12" s="1"/>
  <c r="BV51" i="12"/>
  <c r="BW51" i="12" s="1"/>
  <c r="BV180" i="12"/>
  <c r="BW180" i="12" s="1"/>
  <c r="BV12" i="12"/>
  <c r="BW12" i="12" s="1"/>
  <c r="BV154" i="12"/>
  <c r="BW154" i="12" s="1"/>
  <c r="BV94" i="12"/>
  <c r="BW94" i="12" s="1"/>
  <c r="BV72" i="12"/>
  <c r="BW72" i="12" s="1"/>
  <c r="BV114" i="12"/>
  <c r="BW114" i="12" s="1"/>
  <c r="BV124" i="12"/>
  <c r="BW124" i="12" s="1"/>
  <c r="BV136" i="12"/>
  <c r="BW136" i="12" s="1"/>
  <c r="BV112" i="12"/>
  <c r="BW112" i="12" s="1"/>
  <c r="BV177" i="12"/>
  <c r="BW177" i="12" s="1"/>
  <c r="BV179" i="12"/>
  <c r="BW179" i="12" s="1"/>
  <c r="BV128" i="12"/>
  <c r="BW128" i="12" s="1"/>
  <c r="BV70" i="12"/>
  <c r="BW70" i="12" s="1"/>
  <c r="BV125" i="12"/>
  <c r="BW125" i="12" s="1"/>
  <c r="BV142" i="12"/>
  <c r="BW142" i="12" s="1"/>
  <c r="BV129" i="12"/>
  <c r="BW129" i="12" s="1"/>
  <c r="BV98" i="12"/>
  <c r="BW98" i="12" s="1"/>
  <c r="BV38" i="12"/>
  <c r="BW38" i="12" s="1"/>
  <c r="BV28" i="12"/>
  <c r="BW28" i="12" s="1"/>
  <c r="BV93" i="12"/>
  <c r="BW93" i="12" s="1"/>
  <c r="BV219" i="12"/>
  <c r="BW219" i="12" s="1"/>
  <c r="BV137" i="12"/>
  <c r="BW137" i="12" s="1"/>
  <c r="BV171" i="12"/>
  <c r="BW171" i="12" s="1"/>
  <c r="BV115" i="12"/>
  <c r="BW115" i="12" s="1"/>
  <c r="BV167" i="12"/>
  <c r="BW167" i="12" s="1"/>
  <c r="BV64" i="12"/>
  <c r="BW64" i="12" s="1"/>
  <c r="BV16" i="12"/>
  <c r="BW16" i="12" s="1"/>
  <c r="BV190" i="12"/>
  <c r="BW190" i="12" s="1"/>
  <c r="BV132" i="12"/>
  <c r="BW132" i="12" s="1"/>
  <c r="BV69" i="12"/>
  <c r="BW69" i="12" s="1"/>
  <c r="BV33" i="12"/>
  <c r="BW33" i="12" s="1"/>
  <c r="BV134" i="12"/>
  <c r="BW134" i="12" s="1"/>
  <c r="BV43" i="12"/>
  <c r="BW43" i="12" s="1"/>
  <c r="BV74" i="12"/>
  <c r="BW74" i="12" s="1"/>
  <c r="BV158" i="12"/>
  <c r="BW158" i="12" s="1"/>
  <c r="BV196" i="12"/>
  <c r="BW196" i="12" s="1"/>
  <c r="BV95" i="12"/>
  <c r="BW95" i="12" s="1"/>
  <c r="BV23" i="12"/>
  <c r="BW23" i="12" s="1"/>
  <c r="BV21" i="12"/>
  <c r="BW21" i="12" s="1"/>
  <c r="BV131" i="12"/>
  <c r="BW131" i="12" s="1"/>
  <c r="BV76" i="12"/>
  <c r="BW76" i="12" s="1"/>
  <c r="BV218" i="12"/>
  <c r="BW218" i="12" s="1"/>
  <c r="BV153" i="12"/>
  <c r="BW153" i="12" s="1"/>
  <c r="BV192" i="12"/>
  <c r="BW192" i="12" s="1"/>
  <c r="BV188" i="12"/>
  <c r="BW188" i="12" s="1"/>
  <c r="BV91" i="12"/>
  <c r="BW91" i="12" s="1"/>
  <c r="BV48" i="12"/>
  <c r="BW48" i="12" s="1"/>
  <c r="BV189" i="12"/>
  <c r="BW189" i="12" s="1"/>
  <c r="BV155" i="12"/>
  <c r="BW155" i="12" s="1"/>
  <c r="BV138" i="12"/>
  <c r="BW138" i="12" s="1"/>
  <c r="BV123" i="12"/>
  <c r="BW123" i="12" s="1"/>
  <c r="BV86" i="12"/>
  <c r="BW86" i="12" s="1"/>
  <c r="BV203" i="12"/>
  <c r="BW203" i="12" s="1"/>
  <c r="BV182" i="12"/>
  <c r="BW182" i="12" s="1"/>
  <c r="BV212" i="12"/>
  <c r="BW212" i="12" s="1"/>
  <c r="BV213" i="12"/>
  <c r="BW213" i="12" s="1"/>
  <c r="BV40" i="12"/>
  <c r="BW40" i="12" s="1"/>
  <c r="BV186" i="12"/>
  <c r="BW186" i="12" s="1"/>
  <c r="BV175" i="12"/>
  <c r="BW175" i="12" s="1"/>
  <c r="BV201" i="12"/>
  <c r="BW201" i="12" s="1"/>
  <c r="BV120" i="12"/>
  <c r="BW120" i="12" s="1"/>
  <c r="BV173" i="12"/>
  <c r="BW173" i="12" s="1"/>
  <c r="BV117" i="12"/>
  <c r="BW117" i="12" s="1"/>
  <c r="BV164" i="12"/>
  <c r="BW164" i="12" s="1"/>
  <c r="BV11" i="12"/>
  <c r="BW11" i="12" s="1"/>
  <c r="BV200" i="12"/>
  <c r="BW200" i="12" s="1"/>
  <c r="BV183" i="12"/>
  <c r="BW183" i="12" s="1"/>
  <c r="BV61" i="12"/>
  <c r="BW61" i="12" s="1"/>
  <c r="BV34" i="12"/>
  <c r="BW34" i="12" s="1"/>
  <c r="BV36" i="12"/>
  <c r="BW36" i="12" s="1"/>
  <c r="BV42" i="12"/>
  <c r="BW42" i="12" s="1"/>
  <c r="BV178" i="12"/>
  <c r="BW178" i="12" s="1"/>
  <c r="BV144" i="12"/>
  <c r="BW144" i="12" s="1"/>
  <c r="BV55" i="12"/>
  <c r="BW55" i="12" s="1"/>
  <c r="BV44" i="12"/>
  <c r="BW44" i="12" s="1"/>
  <c r="BV18" i="12"/>
  <c r="BW18" i="12" s="1"/>
  <c r="BV169" i="12"/>
  <c r="BW169" i="12" s="1"/>
  <c r="BV84" i="12"/>
  <c r="BW84" i="12" s="1"/>
  <c r="BV57" i="12"/>
  <c r="BW57" i="12" s="1"/>
  <c r="BV104" i="12"/>
  <c r="BW104" i="12" s="1"/>
  <c r="BV81" i="12"/>
  <c r="BW81" i="12" s="1"/>
  <c r="BV27" i="12"/>
  <c r="BW27" i="12" s="1"/>
  <c r="BV30" i="12"/>
  <c r="BW30" i="12" s="1"/>
  <c r="BV202" i="12"/>
  <c r="BW202" i="12" s="1"/>
  <c r="BV184" i="12"/>
  <c r="BW184" i="12" s="1"/>
  <c r="BV107" i="12"/>
  <c r="BW107" i="12" s="1"/>
  <c r="BV126" i="12"/>
  <c r="BW126" i="12" s="1"/>
  <c r="BV214" i="12"/>
  <c r="BW214" i="12" s="1"/>
  <c r="BV152" i="12"/>
  <c r="BW152" i="12" s="1"/>
  <c r="BV187" i="12"/>
  <c r="BW187" i="12" s="1"/>
  <c r="BV197" i="12"/>
  <c r="BW197" i="12" s="1"/>
  <c r="BV102" i="12"/>
  <c r="BW102" i="12" s="1"/>
  <c r="BV122" i="12"/>
  <c r="BW122" i="12" s="1"/>
  <c r="BV17" i="12"/>
  <c r="BW17" i="12" s="1"/>
  <c r="BV83" i="12"/>
  <c r="BW83" i="12" s="1"/>
  <c r="BV166" i="12"/>
  <c r="BW166" i="12" s="1"/>
  <c r="BV77" i="12"/>
  <c r="BW77" i="12" s="1"/>
  <c r="BV99" i="12"/>
  <c r="BW99" i="12" s="1"/>
  <c r="BV143" i="12"/>
  <c r="BW143" i="12" s="1"/>
  <c r="BV103" i="12"/>
  <c r="BW103" i="12" s="1"/>
  <c r="BV45" i="12"/>
  <c r="BW45" i="12" s="1"/>
  <c r="BV217" i="12"/>
  <c r="BW217" i="12" s="1"/>
  <c r="BV41" i="12"/>
  <c r="BW41" i="12" s="1"/>
  <c r="BV135" i="12"/>
  <c r="BW135" i="12" s="1"/>
  <c r="BV194" i="12"/>
  <c r="BW194" i="12" s="1"/>
  <c r="BV92" i="12"/>
  <c r="BW92" i="12" s="1"/>
  <c r="BV9" i="12"/>
  <c r="BW9" i="12" s="1"/>
  <c r="BV207" i="12"/>
  <c r="BW207" i="12" s="1"/>
  <c r="BV141" i="12"/>
  <c r="BW141" i="12" s="1"/>
  <c r="BV109" i="12"/>
  <c r="BW109" i="12" s="1"/>
  <c r="BV195" i="12"/>
  <c r="BW195" i="12" s="1"/>
  <c r="BV174" i="12"/>
  <c r="BW174" i="12" s="1"/>
  <c r="BV211" i="12"/>
  <c r="BW211" i="12" s="1"/>
  <c r="BV199" i="12"/>
  <c r="BW199" i="12" s="1"/>
  <c r="BV193" i="12"/>
  <c r="BW193" i="12" s="1"/>
  <c r="BV31" i="12"/>
  <c r="BW31" i="12" s="1"/>
  <c r="BV159" i="12"/>
  <c r="BW159" i="12" s="1"/>
  <c r="BV215" i="12"/>
  <c r="BW215" i="12" s="1"/>
  <c r="BV191" i="12"/>
  <c r="BW191" i="12" s="1"/>
  <c r="BV22" i="12"/>
  <c r="BW22" i="12" s="1"/>
  <c r="BV101" i="12"/>
  <c r="BW101" i="12" s="1"/>
  <c r="BV35" i="12"/>
  <c r="BW35" i="12" s="1"/>
  <c r="BV147" i="12"/>
  <c r="BW147" i="12" s="1"/>
  <c r="BV210" i="12"/>
  <c r="BW210" i="12" s="1"/>
  <c r="BV79" i="12"/>
  <c r="BW79" i="12" s="1"/>
  <c r="BV172" i="12"/>
  <c r="BW172" i="12" s="1"/>
  <c r="BV80" i="12"/>
  <c r="BW80" i="12" s="1"/>
  <c r="BV59" i="12"/>
  <c r="BW59" i="12" s="1"/>
  <c r="BV162" i="12"/>
  <c r="BW162" i="12" s="1"/>
  <c r="BV149" i="12"/>
  <c r="BW149" i="12" s="1"/>
  <c r="BV146" i="12"/>
  <c r="BW146" i="12" s="1"/>
  <c r="BV71" i="12"/>
  <c r="BW71" i="12" s="1"/>
  <c r="BV19" i="12"/>
  <c r="BW19" i="12" s="1"/>
  <c r="BV145" i="12"/>
  <c r="BW145" i="12" s="1"/>
  <c r="BV116" i="12"/>
  <c r="BW116" i="12" s="1"/>
  <c r="BV37" i="12"/>
  <c r="BW37" i="12" s="1"/>
  <c r="BV161" i="12"/>
  <c r="BW161" i="12" s="1"/>
  <c r="BV110" i="12"/>
  <c r="BW110" i="12" s="1"/>
  <c r="BV60" i="12"/>
  <c r="BW60" i="12" s="1"/>
  <c r="BV53" i="12"/>
  <c r="BW53" i="12" s="1"/>
  <c r="BV204" i="12"/>
  <c r="BW204" i="12" s="1"/>
  <c r="BV56" i="12"/>
  <c r="BW56" i="12" s="1"/>
  <c r="BV113" i="12"/>
  <c r="BW113" i="12" s="1"/>
  <c r="BV160" i="12"/>
  <c r="BW160" i="12" s="1"/>
  <c r="BV82" i="12"/>
  <c r="BW82" i="12" s="1"/>
  <c r="BV111" i="12"/>
  <c r="BW111" i="12" s="1"/>
  <c r="BV118" i="12"/>
  <c r="BW118" i="12" s="1"/>
  <c r="BV85" i="12"/>
  <c r="BW85" i="12" s="1"/>
  <c r="BV106" i="12"/>
  <c r="BW106" i="12" s="1"/>
  <c r="BV66" i="12"/>
  <c r="BW66" i="12" s="1"/>
  <c r="BV67" i="12"/>
  <c r="BW67" i="12" s="1"/>
  <c r="BV105" i="12"/>
  <c r="BW105" i="12" s="1"/>
  <c r="BV151" i="12"/>
  <c r="BW151" i="12" s="1"/>
  <c r="BV78" i="12"/>
  <c r="BW78" i="12" s="1"/>
  <c r="BV208" i="12"/>
  <c r="BW208" i="12" s="1"/>
  <c r="BV14" i="12"/>
  <c r="BW14" i="12" s="1"/>
  <c r="BV206" i="12"/>
  <c r="BW206" i="12" s="1"/>
  <c r="BV165" i="12"/>
  <c r="BW165" i="12" s="1"/>
  <c r="BV119" i="12"/>
  <c r="BW119" i="12" s="1"/>
  <c r="CU140" i="12"/>
  <c r="AW56" i="12"/>
  <c r="AT56" i="12"/>
  <c r="HT35" i="12"/>
  <c r="HO36" i="12"/>
  <c r="AQ122" i="12"/>
  <c r="CX300" i="12"/>
  <c r="CX301" i="12"/>
  <c r="CX297" i="12"/>
  <c r="CX298" i="12"/>
  <c r="CX303" i="12"/>
  <c r="CX304" i="12"/>
  <c r="CX305" i="12"/>
  <c r="CX306" i="12"/>
  <c r="CX296" i="12"/>
  <c r="CX291" i="12"/>
  <c r="CX292" i="12"/>
  <c r="CX293" i="12"/>
  <c r="CX307" i="12"/>
  <c r="CX302" i="12"/>
  <c r="CX299" i="12"/>
  <c r="CX295" i="12"/>
  <c r="CX294" i="12"/>
  <c r="JK20" i="12"/>
  <c r="JL20" i="12" s="1"/>
  <c r="EA20" i="12" s="1"/>
  <c r="JH21" i="12"/>
  <c r="DQ10" i="12"/>
  <c r="DQ11" i="12" s="1"/>
  <c r="IH7" i="12"/>
  <c r="IH9" i="12" s="1"/>
  <c r="IH10" i="12" s="1"/>
  <c r="IH11" i="12" s="1"/>
  <c r="IH12" i="12" s="1"/>
  <c r="IH14" i="12" s="1"/>
  <c r="IH15" i="12" s="1"/>
  <c r="IH16" i="12" s="1"/>
  <c r="IH17" i="12" s="1"/>
  <c r="AQ149" i="12"/>
  <c r="FU128" i="12"/>
  <c r="GR128" i="12" s="1"/>
  <c r="FR129" i="12"/>
  <c r="CX2226" i="12"/>
  <c r="EV1" i="12" l="1"/>
  <c r="CV25" i="12"/>
  <c r="CV4" i="12"/>
  <c r="CV3" i="12"/>
  <c r="CW3" i="12" s="1"/>
  <c r="CV5" i="12"/>
  <c r="CW5" i="12" s="1"/>
  <c r="CV6" i="12"/>
  <c r="CW6" i="12" s="1"/>
  <c r="BW221" i="12"/>
  <c r="CB1" i="12" s="1"/>
  <c r="GE17" i="12" s="1"/>
  <c r="GF20" i="12" s="1"/>
  <c r="CV22" i="12"/>
  <c r="CV24" i="12"/>
  <c r="CV57" i="12"/>
  <c r="CW57" i="12" s="1"/>
  <c r="CV7" i="12"/>
  <c r="CW7" i="12" s="1"/>
  <c r="CV8" i="12"/>
  <c r="CV9" i="12"/>
  <c r="CV10" i="12"/>
  <c r="CV14" i="12"/>
  <c r="CV11" i="12"/>
  <c r="CV12" i="12"/>
  <c r="CV13" i="12"/>
  <c r="CV16" i="12"/>
  <c r="CV15" i="12"/>
  <c r="CV17" i="12"/>
  <c r="CV18" i="12"/>
  <c r="CV19" i="12"/>
  <c r="CV20" i="12"/>
  <c r="CV21" i="12"/>
  <c r="CV23" i="12"/>
  <c r="CV26" i="12"/>
  <c r="CV182" i="12"/>
  <c r="CW182" i="12" s="1"/>
  <c r="CV68" i="12"/>
  <c r="CW68" i="12" s="1"/>
  <c r="CV208" i="12"/>
  <c r="CW208" i="12" s="1"/>
  <c r="CV96" i="12"/>
  <c r="CW96" i="12" s="1"/>
  <c r="CV79" i="12"/>
  <c r="CW79" i="12" s="1"/>
  <c r="CV94" i="12"/>
  <c r="CW94" i="12" s="1"/>
  <c r="CV59" i="12"/>
  <c r="CW59" i="12" s="1"/>
  <c r="CV67" i="12"/>
  <c r="CW67" i="12" s="1"/>
  <c r="CV170" i="12"/>
  <c r="CW170" i="12" s="1"/>
  <c r="CV183" i="12"/>
  <c r="CW183" i="12" s="1"/>
  <c r="CV44" i="12"/>
  <c r="CW44" i="12" s="1"/>
  <c r="CV40" i="12"/>
  <c r="CW40" i="12" s="1"/>
  <c r="CV165" i="12"/>
  <c r="CW165" i="12" s="1"/>
  <c r="CV213" i="12"/>
  <c r="CW213" i="12" s="1"/>
  <c r="CV205" i="12"/>
  <c r="CW205" i="12" s="1"/>
  <c r="CV189" i="12"/>
  <c r="CW189" i="12" s="1"/>
  <c r="CV81" i="12"/>
  <c r="CW81" i="12" s="1"/>
  <c r="CV119" i="12"/>
  <c r="CW119" i="12" s="1"/>
  <c r="CV216" i="12"/>
  <c r="CW216" i="12" s="1"/>
  <c r="CV217" i="12"/>
  <c r="CW217" i="12" s="1"/>
  <c r="CV107" i="12"/>
  <c r="CW107" i="12" s="1"/>
  <c r="CV58" i="12"/>
  <c r="CW58" i="12" s="1"/>
  <c r="CV51" i="12"/>
  <c r="CW51" i="12" s="1"/>
  <c r="CV171" i="12"/>
  <c r="CW171" i="12" s="1"/>
  <c r="CV87" i="12"/>
  <c r="CW87" i="12" s="1"/>
  <c r="CV159" i="12"/>
  <c r="CW159" i="12" s="1"/>
  <c r="CV66" i="12"/>
  <c r="CW66" i="12" s="1"/>
  <c r="CV46" i="12"/>
  <c r="CW46" i="12" s="1"/>
  <c r="CV190" i="12"/>
  <c r="CW190" i="12" s="1"/>
  <c r="CV55" i="12"/>
  <c r="CW55" i="12" s="1"/>
  <c r="CV146" i="12"/>
  <c r="CW146" i="12" s="1"/>
  <c r="CV157" i="12"/>
  <c r="CW157" i="12" s="1"/>
  <c r="CV175" i="12"/>
  <c r="CW175" i="12" s="1"/>
  <c r="CV150" i="12"/>
  <c r="CW150" i="12" s="1"/>
  <c r="CV141" i="12"/>
  <c r="CW141" i="12" s="1"/>
  <c r="CV139" i="12"/>
  <c r="CW139" i="12" s="1"/>
  <c r="CV188" i="12"/>
  <c r="CW188" i="12" s="1"/>
  <c r="CV35" i="12"/>
  <c r="CW35" i="12" s="1"/>
  <c r="CV33" i="12"/>
  <c r="CW33" i="12" s="1"/>
  <c r="CV133" i="12"/>
  <c r="CW133" i="12" s="1"/>
  <c r="CV155" i="12"/>
  <c r="CW155" i="12" s="1"/>
  <c r="CV197" i="12"/>
  <c r="CW197" i="12" s="1"/>
  <c r="CV45" i="12"/>
  <c r="CW45" i="12" s="1"/>
  <c r="CV103" i="12"/>
  <c r="CW103" i="12" s="1"/>
  <c r="CV179" i="12"/>
  <c r="CW179" i="12" s="1"/>
  <c r="CV184" i="12"/>
  <c r="CW184" i="12" s="1"/>
  <c r="CV185" i="12"/>
  <c r="CW185" i="12" s="1"/>
  <c r="CV89" i="12"/>
  <c r="CW89" i="12" s="1"/>
  <c r="CV163" i="12"/>
  <c r="CW163" i="12" s="1"/>
  <c r="CV47" i="12"/>
  <c r="CW47" i="12" s="1"/>
  <c r="CV27" i="12"/>
  <c r="CV88" i="12"/>
  <c r="CW88" i="12" s="1"/>
  <c r="CV115" i="12"/>
  <c r="CW115" i="12" s="1"/>
  <c r="CV142" i="12"/>
  <c r="CW142" i="12" s="1"/>
  <c r="CV124" i="12"/>
  <c r="CW124" i="12" s="1"/>
  <c r="CV37" i="12"/>
  <c r="CW37" i="12" s="1"/>
  <c r="CV83" i="12"/>
  <c r="CW83" i="12" s="1"/>
  <c r="CV91" i="12"/>
  <c r="CW91" i="12" s="1"/>
  <c r="CV193" i="12"/>
  <c r="CW193" i="12" s="1"/>
  <c r="CV29" i="12"/>
  <c r="CW29" i="12" s="1"/>
  <c r="CV192" i="12"/>
  <c r="CW192" i="12" s="1"/>
  <c r="CV114" i="12"/>
  <c r="CW114" i="12" s="1"/>
  <c r="CV50" i="12"/>
  <c r="CW50" i="12" s="1"/>
  <c r="CV218" i="12"/>
  <c r="CW218" i="12" s="1"/>
  <c r="CV48" i="12"/>
  <c r="CW48" i="12" s="1"/>
  <c r="CV215" i="12"/>
  <c r="CW215" i="12" s="1"/>
  <c r="CV195" i="12"/>
  <c r="CW195" i="12" s="1"/>
  <c r="CV77" i="12"/>
  <c r="CW77" i="12" s="1"/>
  <c r="CV97" i="12"/>
  <c r="CW97" i="12" s="1"/>
  <c r="CV71" i="12"/>
  <c r="CW71" i="12" s="1"/>
  <c r="CV52" i="12"/>
  <c r="CW52" i="12" s="1"/>
  <c r="CV116" i="12"/>
  <c r="CW116" i="12" s="1"/>
  <c r="CV112" i="12"/>
  <c r="CW112" i="12" s="1"/>
  <c r="CV178" i="12"/>
  <c r="CW178" i="12" s="1"/>
  <c r="CV145" i="12"/>
  <c r="CW145" i="12" s="1"/>
  <c r="CV130" i="12"/>
  <c r="CW130" i="12" s="1"/>
  <c r="CV201" i="12"/>
  <c r="CW201" i="12" s="1"/>
  <c r="CV70" i="12"/>
  <c r="CW70" i="12" s="1"/>
  <c r="CV166" i="12"/>
  <c r="CW166" i="12" s="1"/>
  <c r="CV186" i="12"/>
  <c r="CW186" i="12" s="1"/>
  <c r="CV73" i="12"/>
  <c r="CW73" i="12" s="1"/>
  <c r="CV34" i="12"/>
  <c r="CW34" i="12" s="1"/>
  <c r="CV164" i="12"/>
  <c r="CW164" i="12" s="1"/>
  <c r="CV176" i="12"/>
  <c r="CW176" i="12" s="1"/>
  <c r="CV109" i="12"/>
  <c r="CW109" i="12" s="1"/>
  <c r="CV41" i="12"/>
  <c r="CW41" i="12" s="1"/>
  <c r="CV140" i="12"/>
  <c r="CW140" i="12" s="1"/>
  <c r="CV122" i="12"/>
  <c r="CW122" i="12" s="1"/>
  <c r="CV209" i="12"/>
  <c r="CW209" i="12" s="1"/>
  <c r="CV203" i="12"/>
  <c r="CW203" i="12" s="1"/>
  <c r="CV102" i="12"/>
  <c r="CW102" i="12" s="1"/>
  <c r="CV211" i="12"/>
  <c r="CW211" i="12" s="1"/>
  <c r="CV131" i="12"/>
  <c r="CW131" i="12" s="1"/>
  <c r="CV95" i="12"/>
  <c r="CW95" i="12" s="1"/>
  <c r="CV93" i="12"/>
  <c r="CW93" i="12" s="1"/>
  <c r="CV60" i="12"/>
  <c r="CW60" i="12" s="1"/>
  <c r="CV152" i="12"/>
  <c r="CW152" i="12" s="1"/>
  <c r="CV43" i="12"/>
  <c r="CW43" i="12" s="1"/>
  <c r="CV63" i="12"/>
  <c r="CW63" i="12" s="1"/>
  <c r="CV154" i="12"/>
  <c r="CW154" i="12" s="1"/>
  <c r="CV85" i="12"/>
  <c r="CW85" i="12" s="1"/>
  <c r="CV65" i="12"/>
  <c r="CW65" i="12" s="1"/>
  <c r="CV117" i="12"/>
  <c r="CW117" i="12" s="1"/>
  <c r="CV191" i="12"/>
  <c r="CW191" i="12" s="1"/>
  <c r="CV61" i="12"/>
  <c r="CW61" i="12" s="1"/>
  <c r="CV54" i="12"/>
  <c r="CW54" i="12" s="1"/>
  <c r="CV199" i="12"/>
  <c r="CW199" i="12" s="1"/>
  <c r="CV74" i="12"/>
  <c r="CW74" i="12" s="1"/>
  <c r="CV38" i="12"/>
  <c r="CW38" i="12" s="1"/>
  <c r="CV204" i="12"/>
  <c r="CW204" i="12" s="1"/>
  <c r="CV173" i="12"/>
  <c r="CW173" i="12" s="1"/>
  <c r="CV111" i="12"/>
  <c r="CW111" i="12" s="1"/>
  <c r="CV158" i="12"/>
  <c r="CW158" i="12" s="1"/>
  <c r="CV106" i="12"/>
  <c r="CW106" i="12" s="1"/>
  <c r="CV156" i="12"/>
  <c r="CW156" i="12" s="1"/>
  <c r="CV86" i="12"/>
  <c r="CW86" i="12" s="1"/>
  <c r="CV31" i="12"/>
  <c r="CW31" i="12" s="1"/>
  <c r="CV143" i="12"/>
  <c r="CW143" i="12" s="1"/>
  <c r="CV200" i="12"/>
  <c r="CW200" i="12" s="1"/>
  <c r="CV98" i="12"/>
  <c r="CW98" i="12" s="1"/>
  <c r="CV136" i="12"/>
  <c r="CW136" i="12" s="1"/>
  <c r="CV220" i="12"/>
  <c r="CW220" i="12" s="1"/>
  <c r="CV108" i="12"/>
  <c r="CW108" i="12" s="1"/>
  <c r="CV180" i="12"/>
  <c r="CW180" i="12" s="1"/>
  <c r="CV212" i="12"/>
  <c r="CW212" i="12" s="1"/>
  <c r="CV104" i="12"/>
  <c r="CW104" i="12" s="1"/>
  <c r="CV134" i="12"/>
  <c r="CW134" i="12" s="1"/>
  <c r="CV187" i="12"/>
  <c r="CW187" i="12" s="1"/>
  <c r="CV118" i="12"/>
  <c r="CW118" i="12" s="1"/>
  <c r="CV219" i="12"/>
  <c r="CW219" i="12" s="1"/>
  <c r="CV129" i="12"/>
  <c r="CW129" i="12" s="1"/>
  <c r="CV207" i="12"/>
  <c r="CW207" i="12" s="1"/>
  <c r="CV30" i="12"/>
  <c r="CW30" i="12" s="1"/>
  <c r="CV99" i="12"/>
  <c r="CW99" i="12" s="1"/>
  <c r="CV214" i="12"/>
  <c r="CW214" i="12" s="1"/>
  <c r="CV126" i="12"/>
  <c r="CW126" i="12" s="1"/>
  <c r="CV123" i="12"/>
  <c r="CW123" i="12" s="1"/>
  <c r="CV53" i="12"/>
  <c r="CW53" i="12" s="1"/>
  <c r="CV72" i="12"/>
  <c r="CW72" i="12" s="1"/>
  <c r="CV135" i="12"/>
  <c r="CW135" i="12" s="1"/>
  <c r="CV56" i="12"/>
  <c r="CW56" i="12" s="1"/>
  <c r="CV137" i="12"/>
  <c r="CW137" i="12" s="1"/>
  <c r="CV132" i="12"/>
  <c r="CW132" i="12" s="1"/>
  <c r="CV121" i="12"/>
  <c r="CW121" i="12" s="1"/>
  <c r="CV113" i="12"/>
  <c r="CW113" i="12" s="1"/>
  <c r="CV120" i="12"/>
  <c r="CW120" i="12" s="1"/>
  <c r="CV162" i="12"/>
  <c r="CW162" i="12" s="1"/>
  <c r="CV168" i="12"/>
  <c r="CW168" i="12" s="1"/>
  <c r="CV177" i="12"/>
  <c r="CW177" i="12" s="1"/>
  <c r="CV202" i="12"/>
  <c r="CW202" i="12" s="1"/>
  <c r="CV174" i="12"/>
  <c r="CW174" i="12" s="1"/>
  <c r="CV62" i="12"/>
  <c r="CW62" i="12" s="1"/>
  <c r="CV42" i="12"/>
  <c r="CW42" i="12" s="1"/>
  <c r="CV69" i="12"/>
  <c r="CW69" i="12" s="1"/>
  <c r="CV101" i="12"/>
  <c r="CW101" i="12" s="1"/>
  <c r="CV169" i="12"/>
  <c r="CW169" i="12" s="1"/>
  <c r="CV151" i="12"/>
  <c r="CW151" i="12" s="1"/>
  <c r="CV161" i="12"/>
  <c r="CW161" i="12" s="1"/>
  <c r="CV144" i="12"/>
  <c r="CW144" i="12" s="1"/>
  <c r="CV78" i="12"/>
  <c r="CW78" i="12" s="1"/>
  <c r="CV148" i="12"/>
  <c r="CW148" i="12" s="1"/>
  <c r="CV76" i="12"/>
  <c r="CW76" i="12" s="1"/>
  <c r="CV206" i="12"/>
  <c r="CW206" i="12" s="1"/>
  <c r="CV80" i="12"/>
  <c r="CW80" i="12" s="1"/>
  <c r="CV75" i="12"/>
  <c r="CW75" i="12" s="1"/>
  <c r="CV100" i="12"/>
  <c r="CW100" i="12" s="1"/>
  <c r="CV210" i="12"/>
  <c r="CW210" i="12" s="1"/>
  <c r="CV128" i="12"/>
  <c r="CW128" i="12" s="1"/>
  <c r="CV105" i="12"/>
  <c r="CW105" i="12" s="1"/>
  <c r="CV167" i="12"/>
  <c r="CW167" i="12" s="1"/>
  <c r="CV198" i="12"/>
  <c r="CW198" i="12" s="1"/>
  <c r="CV196" i="12"/>
  <c r="CW196" i="12" s="1"/>
  <c r="CV32" i="12"/>
  <c r="CW32" i="12" s="1"/>
  <c r="CV39" i="12"/>
  <c r="CW39" i="12" s="1"/>
  <c r="CV110" i="12"/>
  <c r="CW110" i="12" s="1"/>
  <c r="CV138" i="12"/>
  <c r="CW138" i="12" s="1"/>
  <c r="CV64" i="12"/>
  <c r="CW64" i="12" s="1"/>
  <c r="CV92" i="12"/>
  <c r="CW92" i="12" s="1"/>
  <c r="CV147" i="12"/>
  <c r="CW147" i="12" s="1"/>
  <c r="CV194" i="12"/>
  <c r="CW194" i="12" s="1"/>
  <c r="CV90" i="12"/>
  <c r="CW90" i="12" s="1"/>
  <c r="CV49" i="12"/>
  <c r="CW49" i="12" s="1"/>
  <c r="CV125" i="12"/>
  <c r="CW125" i="12" s="1"/>
  <c r="CV28" i="12"/>
  <c r="CW28" i="12" s="1"/>
  <c r="CV82" i="12"/>
  <c r="CW82" i="12" s="1"/>
  <c r="CV84" i="12"/>
  <c r="CW84" i="12" s="1"/>
  <c r="CV160" i="12"/>
  <c r="CW160" i="12" s="1"/>
  <c r="CV149" i="12"/>
  <c r="CW149" i="12" s="1"/>
  <c r="CV127" i="12"/>
  <c r="CW127" i="12" s="1"/>
  <c r="CV36" i="12"/>
  <c r="CW36" i="12" s="1"/>
  <c r="CV172" i="12"/>
  <c r="CW172" i="12" s="1"/>
  <c r="CV181" i="12"/>
  <c r="CW181" i="12" s="1"/>
  <c r="CV153" i="12"/>
  <c r="CW153" i="12" s="1"/>
  <c r="AQ123" i="12"/>
  <c r="AQ124" i="12" s="1"/>
  <c r="AQ125" i="12" s="1"/>
  <c r="AQ126" i="12" s="1"/>
  <c r="AQ127" i="12" s="1"/>
  <c r="AQ128" i="12" s="1"/>
  <c r="AQ129" i="12" s="1"/>
  <c r="AT57" i="12"/>
  <c r="AW57" i="12"/>
  <c r="HT36" i="12"/>
  <c r="HO37" i="12"/>
  <c r="AQ150" i="12"/>
  <c r="DQ12" i="12"/>
  <c r="DQ13" i="12" s="1"/>
  <c r="CX318" i="12"/>
  <c r="CX320" i="12"/>
  <c r="CX321" i="12"/>
  <c r="CX310" i="12"/>
  <c r="CX323" i="12"/>
  <c r="CX313" i="12"/>
  <c r="CX312" i="12"/>
  <c r="CX314" i="12"/>
  <c r="CX317" i="12"/>
  <c r="CX324" i="12"/>
  <c r="CX319" i="12"/>
  <c r="CX322" i="12"/>
  <c r="CX311" i="12"/>
  <c r="CX309" i="12"/>
  <c r="CX325" i="12"/>
  <c r="CX315" i="12"/>
  <c r="CX316" i="12"/>
  <c r="JK21" i="12"/>
  <c r="JL21" i="12" s="1"/>
  <c r="EA21" i="12" s="1"/>
  <c r="JH22" i="12"/>
  <c r="IE1" i="12"/>
  <c r="AQ151" i="12"/>
  <c r="AQ152" i="12" s="1"/>
  <c r="FR130" i="12"/>
  <c r="FR131" i="12" s="1"/>
  <c r="FU131" i="12" s="1"/>
  <c r="GR131" i="12" s="1"/>
  <c r="FU129" i="12"/>
  <c r="GR129" i="12" s="1"/>
  <c r="CX2227" i="12"/>
  <c r="EU1" i="12" l="1"/>
  <c r="IG18" i="12"/>
  <c r="IB2" i="12" s="1"/>
  <c r="IG43" i="12"/>
  <c r="HY1" i="12" s="1"/>
  <c r="IB34" i="12"/>
  <c r="IB18" i="12"/>
  <c r="ES1" i="12"/>
  <c r="EV2" i="12"/>
  <c r="CW4" i="12"/>
  <c r="CW8" i="12"/>
  <c r="CW9" i="12" s="1"/>
  <c r="CW10" i="12" s="1"/>
  <c r="AT63" i="12"/>
  <c r="AW58" i="12"/>
  <c r="AW62" i="12"/>
  <c r="AQ130" i="12"/>
  <c r="AW64" i="12" s="1"/>
  <c r="AT62" i="12"/>
  <c r="AW61" i="12"/>
  <c r="AW60" i="12"/>
  <c r="AW63" i="12"/>
  <c r="AT61" i="12"/>
  <c r="AT60" i="12"/>
  <c r="AT58" i="12"/>
  <c r="AT59" i="12"/>
  <c r="HT37" i="12"/>
  <c r="HO38" i="12"/>
  <c r="CX333" i="12"/>
  <c r="CX342" i="12"/>
  <c r="CX338" i="12"/>
  <c r="CX329" i="12"/>
  <c r="CX343" i="12"/>
  <c r="CX335" i="12"/>
  <c r="CX340" i="12"/>
  <c r="CX337" i="12"/>
  <c r="CX341" i="12"/>
  <c r="CX331" i="12"/>
  <c r="CX328" i="12"/>
  <c r="CX339" i="12"/>
  <c r="CX330" i="12"/>
  <c r="CX336" i="12"/>
  <c r="CX334" i="12"/>
  <c r="CX332" i="12"/>
  <c r="CX327" i="12"/>
  <c r="JH23" i="12"/>
  <c r="JH24" i="12" s="1"/>
  <c r="JK24" i="12" s="1"/>
  <c r="JL24" i="12" s="1"/>
  <c r="EA24" i="12" s="1"/>
  <c r="JK22" i="12"/>
  <c r="JL22" i="12" s="1"/>
  <c r="EA22" i="12" s="1"/>
  <c r="DQ14" i="12"/>
  <c r="AQ168" i="12"/>
  <c r="FU130" i="12"/>
  <c r="GR130" i="12" s="1"/>
  <c r="FR132" i="12"/>
  <c r="CX2228" i="12"/>
  <c r="CW11" i="12" l="1"/>
  <c r="O14" i="12"/>
  <c r="O15" i="12"/>
  <c r="AQ131" i="12"/>
  <c r="AT64" i="12"/>
  <c r="HT38" i="12"/>
  <c r="HO39" i="12"/>
  <c r="CX393" i="12"/>
  <c r="CX392" i="12"/>
  <c r="CX396" i="12"/>
  <c r="CX389" i="12"/>
  <c r="CX388" i="12"/>
  <c r="CX382" i="12"/>
  <c r="CX381" i="12"/>
  <c r="CX390" i="12"/>
  <c r="CX391" i="12"/>
  <c r="CX397" i="12"/>
  <c r="CX387" i="12"/>
  <c r="CX385" i="12"/>
  <c r="CX384" i="12"/>
  <c r="CX394" i="12"/>
  <c r="CX395" i="12"/>
  <c r="CX383" i="12"/>
  <c r="CX386" i="12"/>
  <c r="CX350" i="12"/>
  <c r="CX361" i="12"/>
  <c r="CX353" i="12"/>
  <c r="CX354" i="12"/>
  <c r="CX348" i="12"/>
  <c r="CX359" i="12"/>
  <c r="CX347" i="12"/>
  <c r="CX356" i="12"/>
  <c r="CX352" i="12"/>
  <c r="CX357" i="12"/>
  <c r="CX351" i="12"/>
  <c r="CX346" i="12"/>
  <c r="CX345" i="12"/>
  <c r="CX349" i="12"/>
  <c r="CX360" i="12"/>
  <c r="CX358" i="12"/>
  <c r="CX355" i="12"/>
  <c r="JK23" i="12"/>
  <c r="JL23" i="12" s="1"/>
  <c r="EA23" i="12" s="1"/>
  <c r="JH25" i="12"/>
  <c r="DQ15" i="12"/>
  <c r="FU132" i="12"/>
  <c r="GR132" i="12" s="1"/>
  <c r="FR133" i="12"/>
  <c r="CX2229" i="12"/>
  <c r="CW12" i="12" l="1"/>
  <c r="CW13" i="12"/>
  <c r="AQ132" i="12"/>
  <c r="HT39" i="12"/>
  <c r="HO40" i="12"/>
  <c r="CX377" i="12"/>
  <c r="CX365" i="12"/>
  <c r="CX374" i="12"/>
  <c r="CX371" i="12"/>
  <c r="CX369" i="12"/>
  <c r="CX372" i="12"/>
  <c r="CX368" i="12"/>
  <c r="CX376" i="12"/>
  <c r="CX367" i="12"/>
  <c r="CX378" i="12"/>
  <c r="CX364" i="12"/>
  <c r="CX375" i="12"/>
  <c r="CX370" i="12"/>
  <c r="CX363" i="12"/>
  <c r="CX373" i="12"/>
  <c r="CX366" i="12"/>
  <c r="CX379" i="12"/>
  <c r="JH26" i="12"/>
  <c r="JH27" i="12" s="1"/>
  <c r="JK25" i="12"/>
  <c r="JL25" i="12" s="1"/>
  <c r="EA25" i="12" s="1"/>
  <c r="DQ16" i="12"/>
  <c r="DQ17" i="12" s="1"/>
  <c r="DQ18" i="12" s="1"/>
  <c r="DQ19" i="12" s="1"/>
  <c r="FU133" i="12"/>
  <c r="GR133" i="12" s="1"/>
  <c r="FR134" i="12"/>
  <c r="CX2230" i="12"/>
  <c r="CW14" i="12" l="1"/>
  <c r="AQ133" i="12"/>
  <c r="HT40" i="12"/>
  <c r="HO41" i="12"/>
  <c r="JK27" i="12"/>
  <c r="JL27" i="12" s="1"/>
  <c r="EA27" i="12" s="1"/>
  <c r="CX410" i="12"/>
  <c r="CX408" i="12"/>
  <c r="CX413" i="12"/>
  <c r="CX403" i="12"/>
  <c r="CX414" i="12"/>
  <c r="CX407" i="12"/>
  <c r="CX405" i="12"/>
  <c r="CX411" i="12"/>
  <c r="CX415" i="12"/>
  <c r="CX412" i="12"/>
  <c r="CX406" i="12"/>
  <c r="CX409" i="12"/>
  <c r="CX404" i="12"/>
  <c r="CX400" i="12"/>
  <c r="CX399" i="12"/>
  <c r="CX402" i="12"/>
  <c r="CX401" i="12"/>
  <c r="JK26" i="12"/>
  <c r="JL26" i="12" s="1"/>
  <c r="EA26" i="12" s="1"/>
  <c r="JH28" i="12"/>
  <c r="JK28" i="12" s="1"/>
  <c r="JL28" i="12" s="1"/>
  <c r="EA28" i="12" s="1"/>
  <c r="CX453" i="12" s="1"/>
  <c r="DQ20" i="12"/>
  <c r="DQ21" i="12" s="1"/>
  <c r="DQ22" i="12" s="1"/>
  <c r="DQ23" i="12" s="1"/>
  <c r="DQ24" i="12" s="1"/>
  <c r="DQ25" i="12" s="1"/>
  <c r="DQ26" i="12" s="1"/>
  <c r="DQ27" i="12" s="1"/>
  <c r="FU134" i="12"/>
  <c r="GR134" i="12" s="1"/>
  <c r="FR135" i="12"/>
  <c r="CX2231" i="12"/>
  <c r="CW15" i="12" l="1"/>
  <c r="CW16" i="12"/>
  <c r="AQ134" i="12"/>
  <c r="HT41" i="12"/>
  <c r="HO42" i="12"/>
  <c r="DR111" i="12"/>
  <c r="DT111" i="12" s="1"/>
  <c r="DR3" i="12"/>
  <c r="DR4" i="12"/>
  <c r="DR5" i="12"/>
  <c r="DR7" i="12"/>
  <c r="DR6" i="12"/>
  <c r="DR18" i="12"/>
  <c r="DS18" i="12" s="1"/>
  <c r="CX459" i="12"/>
  <c r="DR15" i="12"/>
  <c r="DT15" i="12" s="1"/>
  <c r="DR8" i="12"/>
  <c r="DR9" i="12"/>
  <c r="DR10" i="12"/>
  <c r="DR17" i="12"/>
  <c r="DS17" i="12" s="1"/>
  <c r="DR134" i="12"/>
  <c r="DS134" i="12" s="1"/>
  <c r="DR178" i="12"/>
  <c r="DT178" i="12" s="1"/>
  <c r="DR182" i="12"/>
  <c r="DS182" i="12" s="1"/>
  <c r="CX457" i="12"/>
  <c r="CX458" i="12"/>
  <c r="DR38" i="12"/>
  <c r="DS38" i="12" s="1"/>
  <c r="DR137" i="12"/>
  <c r="DS137" i="12" s="1"/>
  <c r="CX468" i="12"/>
  <c r="CX464" i="12"/>
  <c r="DR202" i="12"/>
  <c r="DS202" i="12" s="1"/>
  <c r="DR48" i="12"/>
  <c r="DT48" i="12" s="1"/>
  <c r="DR133" i="12"/>
  <c r="DT133" i="12" s="1"/>
  <c r="DR19" i="12"/>
  <c r="DT19" i="12" s="1"/>
  <c r="A7" i="11"/>
  <c r="DR51" i="12"/>
  <c r="DR159" i="12"/>
  <c r="DT159" i="12" s="1"/>
  <c r="DR124" i="12"/>
  <c r="DS124" i="12" s="1"/>
  <c r="DR210" i="12"/>
  <c r="DT210" i="12" s="1"/>
  <c r="DR16" i="12"/>
  <c r="DR191" i="12"/>
  <c r="DT191" i="12" s="1"/>
  <c r="DR173" i="12"/>
  <c r="DS173" i="12" s="1"/>
  <c r="DR203" i="12"/>
  <c r="DR199" i="12"/>
  <c r="DR14" i="12"/>
  <c r="DR81" i="12"/>
  <c r="DT81" i="12" s="1"/>
  <c r="DR12" i="12"/>
  <c r="DR11" i="12"/>
  <c r="DR13" i="12"/>
  <c r="CX420" i="12"/>
  <c r="CX418" i="12"/>
  <c r="CX426" i="12"/>
  <c r="CX430" i="12"/>
  <c r="CX425" i="12"/>
  <c r="CX427" i="12"/>
  <c r="CX423" i="12"/>
  <c r="CX428" i="12"/>
  <c r="CX429" i="12"/>
  <c r="CX433" i="12"/>
  <c r="CX424" i="12"/>
  <c r="CX422" i="12"/>
  <c r="CX421" i="12"/>
  <c r="CX432" i="12"/>
  <c r="CX417" i="12"/>
  <c r="CX431" i="12"/>
  <c r="CX419" i="12"/>
  <c r="DR50" i="12"/>
  <c r="DS50" i="12" s="1"/>
  <c r="DR80" i="12"/>
  <c r="DS80" i="12" s="1"/>
  <c r="DR183" i="12"/>
  <c r="DR76" i="12"/>
  <c r="DT76" i="12" s="1"/>
  <c r="DR146" i="12"/>
  <c r="DT146" i="12" s="1"/>
  <c r="DR86" i="12"/>
  <c r="DT86" i="12" s="1"/>
  <c r="DR171" i="12"/>
  <c r="DS171" i="12" s="1"/>
  <c r="DR69" i="12"/>
  <c r="DT69" i="12" s="1"/>
  <c r="CX465" i="12"/>
  <c r="CX455" i="12"/>
  <c r="CX463" i="12"/>
  <c r="CX462" i="12"/>
  <c r="DR64" i="12"/>
  <c r="DS64" i="12" s="1"/>
  <c r="DR132" i="12"/>
  <c r="DS132" i="12" s="1"/>
  <c r="DR68" i="12"/>
  <c r="DT68" i="12" s="1"/>
  <c r="DR85" i="12"/>
  <c r="DS85" i="12" s="1"/>
  <c r="DR144" i="12"/>
  <c r="DS144" i="12" s="1"/>
  <c r="DR72" i="12"/>
  <c r="DR79" i="12"/>
  <c r="DT79" i="12" s="1"/>
  <c r="DR158" i="12"/>
  <c r="DT158" i="12" s="1"/>
  <c r="DR47" i="12"/>
  <c r="DT47" i="12" s="1"/>
  <c r="CX461" i="12"/>
  <c r="CX469" i="12"/>
  <c r="CX456" i="12"/>
  <c r="CX454" i="12"/>
  <c r="JH29" i="12"/>
  <c r="CX466" i="12"/>
  <c r="CX467" i="12"/>
  <c r="CX460" i="12"/>
  <c r="CX440" i="12"/>
  <c r="CX439" i="12"/>
  <c r="CX446" i="12"/>
  <c r="CX450" i="12"/>
  <c r="CX442" i="12"/>
  <c r="CX436" i="12"/>
  <c r="CX443" i="12"/>
  <c r="CX447" i="12"/>
  <c r="CX438" i="12"/>
  <c r="CX435" i="12"/>
  <c r="CX448" i="12"/>
  <c r="CX451" i="12"/>
  <c r="CX441" i="12"/>
  <c r="CX437" i="12"/>
  <c r="CX444" i="12"/>
  <c r="CX449" i="12"/>
  <c r="CX445" i="12"/>
  <c r="DR22" i="12"/>
  <c r="DT22" i="12" s="1"/>
  <c r="DR161" i="12"/>
  <c r="DS161" i="12" s="1"/>
  <c r="DR106" i="12"/>
  <c r="DT106" i="12" s="1"/>
  <c r="DR195" i="12"/>
  <c r="DT195" i="12" s="1"/>
  <c r="DR107" i="12"/>
  <c r="DS107" i="12" s="1"/>
  <c r="DR96" i="12"/>
  <c r="DT96" i="12" s="1"/>
  <c r="DR148" i="12"/>
  <c r="DR41" i="12"/>
  <c r="DS41" i="12" s="1"/>
  <c r="DR213" i="12"/>
  <c r="DS213" i="12" s="1"/>
  <c r="DR63" i="12"/>
  <c r="DT63" i="12" s="1"/>
  <c r="DR128" i="12"/>
  <c r="DT128" i="12" s="1"/>
  <c r="DR29" i="12"/>
  <c r="DS29" i="12" s="1"/>
  <c r="DR145" i="12"/>
  <c r="DS145" i="12" s="1"/>
  <c r="DR100" i="12"/>
  <c r="DT100" i="12" s="1"/>
  <c r="DR49" i="12"/>
  <c r="DS49" i="12" s="1"/>
  <c r="DR118" i="12"/>
  <c r="DT118" i="12" s="1"/>
  <c r="DW1" i="12"/>
  <c r="DX121" i="12" s="1"/>
  <c r="DR52" i="12"/>
  <c r="DS52" i="12" s="1"/>
  <c r="DR190" i="12"/>
  <c r="DT190" i="12" s="1"/>
  <c r="DR196" i="12"/>
  <c r="DT196" i="12" s="1"/>
  <c r="DR94" i="12"/>
  <c r="DS94" i="12" s="1"/>
  <c r="DR172" i="12"/>
  <c r="DS172" i="12" s="1"/>
  <c r="DR143" i="12"/>
  <c r="DS143" i="12" s="1"/>
  <c r="DR208" i="12"/>
  <c r="DS208" i="12" s="1"/>
  <c r="DR176" i="12"/>
  <c r="DS176" i="12" s="1"/>
  <c r="DR55" i="12"/>
  <c r="DS55" i="12" s="1"/>
  <c r="DR33" i="12"/>
  <c r="DT33" i="12" s="1"/>
  <c r="DR98" i="12"/>
  <c r="DT98" i="12" s="1"/>
  <c r="DR189" i="12"/>
  <c r="DS189" i="12" s="1"/>
  <c r="DR37" i="12"/>
  <c r="DS37" i="12" s="1"/>
  <c r="DR220" i="12"/>
  <c r="DT220" i="12" s="1"/>
  <c r="DR114" i="12"/>
  <c r="DR135" i="12"/>
  <c r="DS135" i="12" s="1"/>
  <c r="DR127" i="12"/>
  <c r="DS127" i="12" s="1"/>
  <c r="DR216" i="12"/>
  <c r="DR89" i="12"/>
  <c r="DS89" i="12" s="1"/>
  <c r="DR180" i="12"/>
  <c r="DT180" i="12" s="1"/>
  <c r="DR130" i="12"/>
  <c r="DT130" i="12" s="1"/>
  <c r="DR169" i="12"/>
  <c r="DR25" i="12"/>
  <c r="DS25" i="12" s="1"/>
  <c r="DR36" i="12"/>
  <c r="DT36" i="12" s="1"/>
  <c r="DR23" i="12"/>
  <c r="DT23" i="12" s="1"/>
  <c r="DR65" i="12"/>
  <c r="DR200" i="12"/>
  <c r="DT200" i="12" s="1"/>
  <c r="DR153" i="12"/>
  <c r="DS153" i="12" s="1"/>
  <c r="DR35" i="12"/>
  <c r="DS35" i="12" s="1"/>
  <c r="DR201" i="12"/>
  <c r="DT201" i="12" s="1"/>
  <c r="DR34" i="12"/>
  <c r="DS34" i="12" s="1"/>
  <c r="DR67" i="12"/>
  <c r="DS67" i="12" s="1"/>
  <c r="DR167" i="12"/>
  <c r="DS167" i="12" s="1"/>
  <c r="DR82" i="12"/>
  <c r="DS82" i="12" s="1"/>
  <c r="DR116" i="12"/>
  <c r="DT116" i="12" s="1"/>
  <c r="DT233" i="12"/>
  <c r="DR197" i="12"/>
  <c r="DT197" i="12" s="1"/>
  <c r="DR32" i="12"/>
  <c r="DS32" i="12" s="1"/>
  <c r="DR30" i="12"/>
  <c r="DT30" i="12" s="1"/>
  <c r="DR209" i="12"/>
  <c r="DT209" i="12" s="1"/>
  <c r="DR92" i="12"/>
  <c r="DR181" i="12"/>
  <c r="DT181" i="12" s="1"/>
  <c r="DR26" i="12"/>
  <c r="DT26" i="12" s="1"/>
  <c r="DR211" i="12"/>
  <c r="DS211" i="12" s="1"/>
  <c r="DR155" i="12"/>
  <c r="DR108" i="12"/>
  <c r="DS108" i="12" s="1"/>
  <c r="DR174" i="12"/>
  <c r="DS174" i="12" s="1"/>
  <c r="DR206" i="12"/>
  <c r="DS206" i="12" s="1"/>
  <c r="DR152" i="12"/>
  <c r="DR53" i="12"/>
  <c r="DT53" i="12" s="1"/>
  <c r="DR205" i="12"/>
  <c r="DT205" i="12" s="1"/>
  <c r="DR157" i="12"/>
  <c r="DS157" i="12" s="1"/>
  <c r="DR110" i="12"/>
  <c r="DS110" i="12" s="1"/>
  <c r="DR62" i="12"/>
  <c r="DS62" i="12" s="1"/>
  <c r="DR192" i="12"/>
  <c r="DS192" i="12" s="1"/>
  <c r="DR179" i="12"/>
  <c r="DS179" i="12" s="1"/>
  <c r="DR74" i="12"/>
  <c r="DS74" i="12" s="1"/>
  <c r="DR140" i="12"/>
  <c r="DR43" i="12"/>
  <c r="DT43" i="12" s="1"/>
  <c r="DR87" i="12"/>
  <c r="DT87" i="12" s="1"/>
  <c r="DR58" i="12"/>
  <c r="DR21" i="12"/>
  <c r="DS21" i="12" s="1"/>
  <c r="DR40" i="12"/>
  <c r="DS40" i="12" s="1"/>
  <c r="DR219" i="12"/>
  <c r="DT219" i="12" s="1"/>
  <c r="DR112" i="12"/>
  <c r="DT112" i="12" s="1"/>
  <c r="DR109" i="12"/>
  <c r="DS109" i="12" s="1"/>
  <c r="DR102" i="12"/>
  <c r="DS102" i="12" s="1"/>
  <c r="DR73" i="12"/>
  <c r="DT73" i="12" s="1"/>
  <c r="DR212" i="12"/>
  <c r="DT212" i="12" s="1"/>
  <c r="DR115" i="12"/>
  <c r="DS115" i="12" s="1"/>
  <c r="DR54" i="12"/>
  <c r="DT54" i="12" s="1"/>
  <c r="DR84" i="12"/>
  <c r="DS84" i="12" s="1"/>
  <c r="DR214" i="12"/>
  <c r="DT214" i="12" s="1"/>
  <c r="DR139" i="12"/>
  <c r="DS139" i="12" s="1"/>
  <c r="DR163" i="12"/>
  <c r="DS163" i="12" s="1"/>
  <c r="DR77" i="12"/>
  <c r="DS77" i="12" s="1"/>
  <c r="DR97" i="12"/>
  <c r="DS97" i="12" s="1"/>
  <c r="DR46" i="12"/>
  <c r="DS46" i="12" s="1"/>
  <c r="DR156" i="12"/>
  <c r="DS156" i="12" s="1"/>
  <c r="DR44" i="12"/>
  <c r="DT44" i="12" s="1"/>
  <c r="DR31" i="12"/>
  <c r="DS31" i="12" s="1"/>
  <c r="DR122" i="12"/>
  <c r="DT122" i="12" s="1"/>
  <c r="DR131" i="12"/>
  <c r="DT131" i="12" s="1"/>
  <c r="DR101" i="12"/>
  <c r="DS101" i="12" s="1"/>
  <c r="DR204" i="12"/>
  <c r="DS204" i="12" s="1"/>
  <c r="DR136" i="12"/>
  <c r="DT136" i="12" s="1"/>
  <c r="DR142" i="12"/>
  <c r="DS142" i="12" s="1"/>
  <c r="DR42" i="12"/>
  <c r="DS42" i="12" s="1"/>
  <c r="DR125" i="12"/>
  <c r="DT125" i="12" s="1"/>
  <c r="DR149" i="12"/>
  <c r="DT149" i="12" s="1"/>
  <c r="DR151" i="12"/>
  <c r="DT151" i="12" s="1"/>
  <c r="DR70" i="12"/>
  <c r="DS70" i="12" s="1"/>
  <c r="DR150" i="12"/>
  <c r="DT150" i="12" s="1"/>
  <c r="DR121" i="12"/>
  <c r="DT121" i="12" s="1"/>
  <c r="DR207" i="12"/>
  <c r="DT207" i="12" s="1"/>
  <c r="DR123" i="12"/>
  <c r="DT123" i="12" s="1"/>
  <c r="DR188" i="12"/>
  <c r="DS188" i="12" s="1"/>
  <c r="DR88" i="12"/>
  <c r="DR91" i="12"/>
  <c r="DS91" i="12" s="1"/>
  <c r="DR39" i="12"/>
  <c r="DT39" i="12" s="1"/>
  <c r="DR162" i="12"/>
  <c r="DT162" i="12" s="1"/>
  <c r="DR56" i="12"/>
  <c r="DT56" i="12" s="1"/>
  <c r="DR105" i="12"/>
  <c r="DT105" i="12" s="1"/>
  <c r="DR95" i="12"/>
  <c r="DT95" i="12" s="1"/>
  <c r="DR78" i="12"/>
  <c r="DS78" i="12" s="1"/>
  <c r="DR99" i="12"/>
  <c r="DR147" i="12"/>
  <c r="DT147" i="12" s="1"/>
  <c r="DR75" i="12"/>
  <c r="DS75" i="12" s="1"/>
  <c r="DR83" i="12"/>
  <c r="DS83" i="12" s="1"/>
  <c r="DR57" i="12"/>
  <c r="DT57" i="12" s="1"/>
  <c r="DR185" i="12"/>
  <c r="DT185" i="12" s="1"/>
  <c r="DR186" i="12"/>
  <c r="DT186" i="12" s="1"/>
  <c r="DR217" i="12"/>
  <c r="DT217" i="12" s="1"/>
  <c r="DR113" i="12"/>
  <c r="DS113" i="12" s="1"/>
  <c r="DR103" i="12"/>
  <c r="DT103" i="12" s="1"/>
  <c r="DR93" i="12"/>
  <c r="DS93" i="12" s="1"/>
  <c r="DR187" i="12"/>
  <c r="DS187" i="12" s="1"/>
  <c r="DR119" i="12"/>
  <c r="DR193" i="12"/>
  <c r="DR61" i="12"/>
  <c r="DR141" i="12"/>
  <c r="DR66" i="12"/>
  <c r="DR164" i="12"/>
  <c r="DR165" i="12"/>
  <c r="DR59" i="12"/>
  <c r="DR126" i="12"/>
  <c r="DT126" i="12" s="1"/>
  <c r="DR138" i="12"/>
  <c r="DR27" i="12"/>
  <c r="DT27" i="12" s="1"/>
  <c r="DR20" i="12"/>
  <c r="DR117" i="12"/>
  <c r="DR177" i="12"/>
  <c r="DR170" i="12"/>
  <c r="DR104" i="12"/>
  <c r="DR215" i="12"/>
  <c r="DR90" i="12"/>
  <c r="DR160" i="12"/>
  <c r="DR184" i="12"/>
  <c r="DR168" i="12"/>
  <c r="DR218" i="12"/>
  <c r="DR194" i="12"/>
  <c r="DR175" i="12"/>
  <c r="DR154" i="12"/>
  <c r="DR60" i="12"/>
  <c r="DR166" i="12"/>
  <c r="DR24" i="12"/>
  <c r="DR129" i="12"/>
  <c r="DR71" i="12"/>
  <c r="DR28" i="12"/>
  <c r="DR198" i="12"/>
  <c r="DR120" i="12"/>
  <c r="DR45" i="12"/>
  <c r="FU135" i="12"/>
  <c r="GR135" i="12" s="1"/>
  <c r="FR136" i="12"/>
  <c r="CX2232" i="12"/>
  <c r="DS15" i="12" l="1"/>
  <c r="CW17" i="12"/>
  <c r="DX184" i="12"/>
  <c r="DX196" i="12"/>
  <c r="DW196" i="12" s="1"/>
  <c r="H203" i="11" s="1"/>
  <c r="DX169" i="12"/>
  <c r="DY169" i="12" s="1"/>
  <c r="DX155" i="12"/>
  <c r="DX76" i="12"/>
  <c r="DY76" i="12" s="1"/>
  <c r="DX122" i="12"/>
  <c r="C129" i="11" s="1"/>
  <c r="B129" i="11" s="1"/>
  <c r="DX111" i="12"/>
  <c r="C118" i="11" s="1"/>
  <c r="B118" i="11" s="1"/>
  <c r="DX202" i="12"/>
  <c r="C209" i="11" s="1"/>
  <c r="B209" i="11" s="1"/>
  <c r="DX24" i="12"/>
  <c r="C31" i="11" s="1"/>
  <c r="B31" i="11" s="1"/>
  <c r="DX85" i="12"/>
  <c r="DW85" i="12" s="1"/>
  <c r="H92" i="11" s="1"/>
  <c r="DX213" i="12"/>
  <c r="C220" i="11" s="1"/>
  <c r="B220" i="11" s="1"/>
  <c r="DX168" i="12"/>
  <c r="DZ168" i="12" s="1"/>
  <c r="DX51" i="12"/>
  <c r="C58" i="11" s="1"/>
  <c r="B58" i="11" s="1"/>
  <c r="DX208" i="12"/>
  <c r="DZ208" i="12" s="1"/>
  <c r="DX5" i="12"/>
  <c r="DW5" i="12" s="1"/>
  <c r="H12" i="11" s="1"/>
  <c r="DX36" i="12"/>
  <c r="DY36" i="12" s="1"/>
  <c r="E43" i="11" s="1"/>
  <c r="DX63" i="12"/>
  <c r="C70" i="11" s="1"/>
  <c r="B70" i="11" s="1"/>
  <c r="DX205" i="12"/>
  <c r="C212" i="11" s="1"/>
  <c r="B212" i="11" s="1"/>
  <c r="DX215" i="12"/>
  <c r="DY215" i="12" s="1"/>
  <c r="DX3" i="12"/>
  <c r="C10" i="11" s="1"/>
  <c r="B10" i="11" s="1"/>
  <c r="DX154" i="12"/>
  <c r="DW154" i="12" s="1"/>
  <c r="H161" i="11" s="1"/>
  <c r="DX37" i="12"/>
  <c r="DW37" i="12" s="1"/>
  <c r="H44" i="11" s="1"/>
  <c r="DX131" i="12"/>
  <c r="DW131" i="12" s="1"/>
  <c r="H138" i="11" s="1"/>
  <c r="DX212" i="12"/>
  <c r="DZ212" i="12" s="1"/>
  <c r="DX86" i="12"/>
  <c r="DZ86" i="12" s="1"/>
  <c r="DX192" i="12"/>
  <c r="DW192" i="12" s="1"/>
  <c r="H199" i="11" s="1"/>
  <c r="DX18" i="12"/>
  <c r="C25" i="11" s="1"/>
  <c r="B25" i="11" s="1"/>
  <c r="DX107" i="12"/>
  <c r="DW107" i="12" s="1"/>
  <c r="H114" i="11" s="1"/>
  <c r="DX157" i="12"/>
  <c r="C164" i="11" s="1"/>
  <c r="B164" i="11" s="1"/>
  <c r="DX214" i="12"/>
  <c r="C221" i="11" s="1"/>
  <c r="B221" i="11" s="1"/>
  <c r="DX188" i="12"/>
  <c r="DZ188" i="12" s="1"/>
  <c r="DX123" i="12"/>
  <c r="DY123" i="12" s="1"/>
  <c r="DX174" i="12"/>
  <c r="C181" i="11" s="1"/>
  <c r="B181" i="11" s="1"/>
  <c r="DX96" i="12"/>
  <c r="DW96" i="12" s="1"/>
  <c r="H103" i="11" s="1"/>
  <c r="DX113" i="12"/>
  <c r="C120" i="11" s="1"/>
  <c r="B120" i="11" s="1"/>
  <c r="DX203" i="12"/>
  <c r="DW203" i="12" s="1"/>
  <c r="H210" i="11" s="1"/>
  <c r="DX56" i="12"/>
  <c r="DW56" i="12" s="1"/>
  <c r="H63" i="11" s="1"/>
  <c r="DX129" i="12"/>
  <c r="DZ129" i="12" s="1"/>
  <c r="DX139" i="12"/>
  <c r="C146" i="11" s="1"/>
  <c r="B146" i="11" s="1"/>
  <c r="DX14" i="12"/>
  <c r="DY14" i="12" s="1"/>
  <c r="DX35" i="12"/>
  <c r="C42" i="11" s="1"/>
  <c r="B42" i="11" s="1"/>
  <c r="DX153" i="12"/>
  <c r="C160" i="11" s="1"/>
  <c r="B160" i="11" s="1"/>
  <c r="DX32" i="12"/>
  <c r="DW32" i="12" s="1"/>
  <c r="H39" i="11" s="1"/>
  <c r="DX109" i="12"/>
  <c r="C116" i="11" s="1"/>
  <c r="B116" i="11" s="1"/>
  <c r="DX158" i="12"/>
  <c r="DZ158" i="12" s="1"/>
  <c r="DX108" i="12"/>
  <c r="DW108" i="12" s="1"/>
  <c r="H115" i="11" s="1"/>
  <c r="DX136" i="12"/>
  <c r="C143" i="11" s="1"/>
  <c r="B143" i="11" s="1"/>
  <c r="DX15" i="12"/>
  <c r="C22" i="11" s="1"/>
  <c r="B22" i="11" s="1"/>
  <c r="DX99" i="12"/>
  <c r="DZ99" i="12" s="1"/>
  <c r="DX34" i="12"/>
  <c r="DW34" i="12" s="1"/>
  <c r="H41" i="11" s="1"/>
  <c r="DX22" i="12"/>
  <c r="C29" i="11" s="1"/>
  <c r="B29" i="11" s="1"/>
  <c r="DX95" i="12"/>
  <c r="C102" i="11" s="1"/>
  <c r="B102" i="11" s="1"/>
  <c r="DX44" i="12"/>
  <c r="DY44" i="12" s="1"/>
  <c r="DX199" i="12"/>
  <c r="C206" i="11" s="1"/>
  <c r="B206" i="11" s="1"/>
  <c r="DX181" i="12"/>
  <c r="DY181" i="12" s="1"/>
  <c r="E188" i="11" s="1"/>
  <c r="DX177" i="12"/>
  <c r="DZ177" i="12" s="1"/>
  <c r="DX84" i="12"/>
  <c r="DY84" i="12" s="1"/>
  <c r="DX91" i="12"/>
  <c r="DW91" i="12" s="1"/>
  <c r="H98" i="11" s="1"/>
  <c r="DX118" i="12"/>
  <c r="DW118" i="12" s="1"/>
  <c r="H125" i="11" s="1"/>
  <c r="DX67" i="12"/>
  <c r="DW67" i="12" s="1"/>
  <c r="H74" i="11" s="1"/>
  <c r="DX117" i="12"/>
  <c r="DW117" i="12" s="1"/>
  <c r="H124" i="11" s="1"/>
  <c r="DX182" i="12"/>
  <c r="DW182" i="12" s="1"/>
  <c r="H189" i="11" s="1"/>
  <c r="DX171" i="12"/>
  <c r="DW171" i="12" s="1"/>
  <c r="H178" i="11" s="1"/>
  <c r="DX163" i="12"/>
  <c r="DY163" i="12" s="1"/>
  <c r="DX147" i="12"/>
  <c r="DY147" i="12" s="1"/>
  <c r="E154" i="11" s="1"/>
  <c r="DX97" i="12"/>
  <c r="DY97" i="12" s="1"/>
  <c r="DX23" i="12"/>
  <c r="DY23" i="12" s="1"/>
  <c r="DX38" i="12"/>
  <c r="DW38" i="12" s="1"/>
  <c r="H45" i="11" s="1"/>
  <c r="DX61" i="12"/>
  <c r="DY61" i="12" s="1"/>
  <c r="DX64" i="12"/>
  <c r="DW64" i="12" s="1"/>
  <c r="H71" i="11" s="1"/>
  <c r="DX180" i="12"/>
  <c r="DY180" i="12" s="1"/>
  <c r="E187" i="11" s="1"/>
  <c r="DX126" i="12"/>
  <c r="DW126" i="12" s="1"/>
  <c r="H133" i="11" s="1"/>
  <c r="DX55" i="12"/>
  <c r="C62" i="11" s="1"/>
  <c r="B62" i="11" s="1"/>
  <c r="DX9" i="12"/>
  <c r="DW9" i="12" s="1"/>
  <c r="H16" i="11" s="1"/>
  <c r="DX98" i="12"/>
  <c r="DW98" i="12" s="1"/>
  <c r="H105" i="11" s="1"/>
  <c r="DX156" i="12"/>
  <c r="DW156" i="12" s="1"/>
  <c r="H163" i="11" s="1"/>
  <c r="DX198" i="12"/>
  <c r="C205" i="11" s="1"/>
  <c r="B205" i="11" s="1"/>
  <c r="DX40" i="12"/>
  <c r="C47" i="11" s="1"/>
  <c r="B47" i="11" s="1"/>
  <c r="DX89" i="12"/>
  <c r="DZ89" i="12" s="1"/>
  <c r="DX148" i="12"/>
  <c r="DW148" i="12" s="1"/>
  <c r="H155" i="11" s="1"/>
  <c r="DX191" i="12"/>
  <c r="DY191" i="12" s="1"/>
  <c r="DX101" i="12"/>
  <c r="DW101" i="12" s="1"/>
  <c r="H108" i="11" s="1"/>
  <c r="DT163" i="12"/>
  <c r="DU163" i="12" s="1"/>
  <c r="DX175" i="12"/>
  <c r="DW175" i="12" s="1"/>
  <c r="H182" i="11" s="1"/>
  <c r="DX69" i="12"/>
  <c r="DW69" i="12" s="1"/>
  <c r="H76" i="11" s="1"/>
  <c r="DX209" i="12"/>
  <c r="DW209" i="12" s="1"/>
  <c r="H216" i="11" s="1"/>
  <c r="DX115" i="12"/>
  <c r="DW115" i="12" s="1"/>
  <c r="H122" i="11" s="1"/>
  <c r="DX87" i="12"/>
  <c r="C94" i="11" s="1"/>
  <c r="B94" i="11" s="1"/>
  <c r="DX170" i="12"/>
  <c r="C177" i="11" s="1"/>
  <c r="B177" i="11" s="1"/>
  <c r="DX114" i="12"/>
  <c r="C121" i="11" s="1"/>
  <c r="B121" i="11" s="1"/>
  <c r="DX186" i="12"/>
  <c r="DW186" i="12" s="1"/>
  <c r="H193" i="11" s="1"/>
  <c r="DX65" i="12"/>
  <c r="C72" i="11" s="1"/>
  <c r="B72" i="11" s="1"/>
  <c r="DX130" i="12"/>
  <c r="C137" i="11" s="1"/>
  <c r="B137" i="11" s="1"/>
  <c r="DX90" i="12"/>
  <c r="DY90" i="12" s="1"/>
  <c r="DX211" i="12"/>
  <c r="C218" i="11" s="1"/>
  <c r="B218" i="11" s="1"/>
  <c r="DX127" i="12"/>
  <c r="DW127" i="12" s="1"/>
  <c r="H134" i="11" s="1"/>
  <c r="DX93" i="12"/>
  <c r="C100" i="11" s="1"/>
  <c r="B100" i="11" s="1"/>
  <c r="DX173" i="12"/>
  <c r="DW173" i="12" s="1"/>
  <c r="H180" i="11" s="1"/>
  <c r="DX74" i="12"/>
  <c r="C81" i="11" s="1"/>
  <c r="B81" i="11" s="1"/>
  <c r="DX138" i="12"/>
  <c r="DZ138" i="12" s="1"/>
  <c r="DX42" i="12"/>
  <c r="DY42" i="12" s="1"/>
  <c r="D49" i="11" s="1"/>
  <c r="DX73" i="12"/>
  <c r="C80" i="11" s="1"/>
  <c r="B80" i="11" s="1"/>
  <c r="DX71" i="12"/>
  <c r="DZ71" i="12" s="1"/>
  <c r="DX70" i="12"/>
  <c r="DY70" i="12" s="1"/>
  <c r="AQ135" i="12"/>
  <c r="AQ136" i="12" s="1"/>
  <c r="AQ137" i="12" s="1"/>
  <c r="AQ138" i="12" s="1"/>
  <c r="AQ139" i="12" s="1"/>
  <c r="AQ140" i="12" s="1"/>
  <c r="AQ141" i="12" s="1"/>
  <c r="AQ142" i="12" s="1"/>
  <c r="HT42" i="12"/>
  <c r="HO43" i="12"/>
  <c r="DS133" i="12"/>
  <c r="DU133" i="12" s="1"/>
  <c r="DS111" i="12"/>
  <c r="DV111" i="12" s="1"/>
  <c r="DT17" i="12"/>
  <c r="DU17" i="12" s="1"/>
  <c r="DT64" i="12"/>
  <c r="DU64" i="12" s="1"/>
  <c r="DS158" i="12"/>
  <c r="DU158" i="12" s="1"/>
  <c r="DS159" i="12"/>
  <c r="DV159" i="12" s="1"/>
  <c r="DS146" i="12"/>
  <c r="DU146" i="12" s="1"/>
  <c r="DT38" i="12"/>
  <c r="DU38" i="12" s="1"/>
  <c r="DS47" i="12"/>
  <c r="DU47" i="12" s="1"/>
  <c r="DT50" i="12"/>
  <c r="DU50" i="12" s="1"/>
  <c r="DT144" i="12"/>
  <c r="DU144" i="12" s="1"/>
  <c r="DS116" i="12"/>
  <c r="DU116" i="12" s="1"/>
  <c r="C162" i="11"/>
  <c r="B162" i="11" s="1"/>
  <c r="DT173" i="12"/>
  <c r="DV173" i="12" s="1"/>
  <c r="DS23" i="12"/>
  <c r="DU23" i="12" s="1"/>
  <c r="DT127" i="12"/>
  <c r="DU127" i="12" s="1"/>
  <c r="DT206" i="12"/>
  <c r="DU206" i="12" s="1"/>
  <c r="DS44" i="12"/>
  <c r="DU44" i="12" s="1"/>
  <c r="DS63" i="12"/>
  <c r="DU63" i="12" s="1"/>
  <c r="DS73" i="12"/>
  <c r="DU73" i="12" s="1"/>
  <c r="DT67" i="12"/>
  <c r="DV67" i="12" s="1"/>
  <c r="DS96" i="12"/>
  <c r="DV96" i="12" s="1"/>
  <c r="DS19" i="12"/>
  <c r="DU19" i="12" s="1"/>
  <c r="DT124" i="12"/>
  <c r="DU124" i="12" s="1"/>
  <c r="DT134" i="12"/>
  <c r="DU134" i="12" s="1"/>
  <c r="DS39" i="12"/>
  <c r="DV39" i="12" s="1"/>
  <c r="DS22" i="12"/>
  <c r="DU22" i="12" s="1"/>
  <c r="DS210" i="12"/>
  <c r="DU210" i="12" s="1"/>
  <c r="DS219" i="12"/>
  <c r="DU219" i="12" s="1"/>
  <c r="DT157" i="12"/>
  <c r="DV157" i="12" s="1"/>
  <c r="DT55" i="12"/>
  <c r="DV55" i="12" s="1"/>
  <c r="DT37" i="12"/>
  <c r="DV37" i="12" s="1"/>
  <c r="DS186" i="12"/>
  <c r="DV186" i="12" s="1"/>
  <c r="DT101" i="12"/>
  <c r="DU101" i="12" s="1"/>
  <c r="DT35" i="12"/>
  <c r="DV35" i="12" s="1"/>
  <c r="DS69" i="12"/>
  <c r="DV69" i="12" s="1"/>
  <c r="DT52" i="12"/>
  <c r="DU52" i="12" s="1"/>
  <c r="DT85" i="12"/>
  <c r="DU85" i="12" s="1"/>
  <c r="DT179" i="12"/>
  <c r="DV179" i="12" s="1"/>
  <c r="DS209" i="12"/>
  <c r="DV209" i="12" s="1"/>
  <c r="DT161" i="12"/>
  <c r="DV161" i="12" s="1"/>
  <c r="DS76" i="12"/>
  <c r="DU76" i="12" s="1"/>
  <c r="DT42" i="12"/>
  <c r="DU42" i="12" s="1"/>
  <c r="DT84" i="12"/>
  <c r="DV84" i="12" s="1"/>
  <c r="DT172" i="12"/>
  <c r="DV172" i="12" s="1"/>
  <c r="DS100" i="12"/>
  <c r="DU100" i="12" s="1"/>
  <c r="DS87" i="12"/>
  <c r="DU87" i="12" s="1"/>
  <c r="DT211" i="12"/>
  <c r="DU211" i="12" s="1"/>
  <c r="DS130" i="12"/>
  <c r="DV130" i="12" s="1"/>
  <c r="DT70" i="12"/>
  <c r="DU70" i="12" s="1"/>
  <c r="DT77" i="12"/>
  <c r="DV77" i="12" s="1"/>
  <c r="DT75" i="12"/>
  <c r="DU75" i="12" s="1"/>
  <c r="DS30" i="12"/>
  <c r="DV30" i="12" s="1"/>
  <c r="DT189" i="12"/>
  <c r="DU189" i="12" s="1"/>
  <c r="DT107" i="12"/>
  <c r="DV107" i="12" s="1"/>
  <c r="DT142" i="12"/>
  <c r="DU142" i="12" s="1"/>
  <c r="DT176" i="12"/>
  <c r="DV176" i="12" s="1"/>
  <c r="DS180" i="12"/>
  <c r="DV180" i="12" s="1"/>
  <c r="DT94" i="12"/>
  <c r="DU94" i="12" s="1"/>
  <c r="DT145" i="12"/>
  <c r="DV145" i="12" s="1"/>
  <c r="DS147" i="12"/>
  <c r="DV147" i="12" s="1"/>
  <c r="DT153" i="12"/>
  <c r="DV153" i="12" s="1"/>
  <c r="DT213" i="12"/>
  <c r="DV213" i="12" s="1"/>
  <c r="DS7" i="12"/>
  <c r="DT7" i="12"/>
  <c r="DT6" i="12"/>
  <c r="DS6" i="12"/>
  <c r="DT3" i="12"/>
  <c r="DS3" i="12"/>
  <c r="DS105" i="12"/>
  <c r="DV105" i="12" s="1"/>
  <c r="DS4" i="12"/>
  <c r="DT4" i="12"/>
  <c r="DS5" i="12"/>
  <c r="DT5" i="12"/>
  <c r="DS191" i="12"/>
  <c r="DV191" i="12" s="1"/>
  <c r="DS123" i="12"/>
  <c r="DV123" i="12" s="1"/>
  <c r="DS95" i="12"/>
  <c r="DV95" i="12" s="1"/>
  <c r="DS151" i="12"/>
  <c r="DV151" i="12" s="1"/>
  <c r="DT203" i="12"/>
  <c r="DT115" i="12"/>
  <c r="DV115" i="12" s="1"/>
  <c r="DT182" i="12"/>
  <c r="DV182" i="12" s="1"/>
  <c r="DT135" i="12"/>
  <c r="DV135" i="12" s="1"/>
  <c r="DT202" i="12"/>
  <c r="DU202" i="12" s="1"/>
  <c r="DS178" i="12"/>
  <c r="DV178" i="12" s="1"/>
  <c r="DX194" i="12"/>
  <c r="C201" i="11" s="1"/>
  <c r="B201" i="11" s="1"/>
  <c r="DX4" i="12"/>
  <c r="DY4" i="12" s="1"/>
  <c r="DX30" i="12"/>
  <c r="C37" i="11" s="1"/>
  <c r="B37" i="11" s="1"/>
  <c r="DX193" i="12"/>
  <c r="C200" i="11" s="1"/>
  <c r="B200" i="11" s="1"/>
  <c r="DX152" i="12"/>
  <c r="C159" i="11" s="1"/>
  <c r="B159" i="11" s="1"/>
  <c r="DX172" i="12"/>
  <c r="C179" i="11" s="1"/>
  <c r="B179" i="11" s="1"/>
  <c r="DX133" i="12"/>
  <c r="DW133" i="12" s="1"/>
  <c r="H140" i="11" s="1"/>
  <c r="DX137" i="12"/>
  <c r="DZ137" i="12" s="1"/>
  <c r="DX218" i="12"/>
  <c r="DW218" i="12" s="1"/>
  <c r="H225" i="11" s="1"/>
  <c r="DX162" i="12"/>
  <c r="DZ162" i="12" s="1"/>
  <c r="DX151" i="12"/>
  <c r="DW151" i="12" s="1"/>
  <c r="H158" i="11" s="1"/>
  <c r="DX79" i="12"/>
  <c r="C86" i="11" s="1"/>
  <c r="B86" i="11" s="1"/>
  <c r="DX75" i="12"/>
  <c r="DZ75" i="12" s="1"/>
  <c r="DX6" i="12"/>
  <c r="DY6" i="12" s="1"/>
  <c r="DX165" i="12"/>
  <c r="DY165" i="12" s="1"/>
  <c r="DX29" i="12"/>
  <c r="DZ29" i="12" s="1"/>
  <c r="DX161" i="12"/>
  <c r="C168" i="11" s="1"/>
  <c r="B168" i="11" s="1"/>
  <c r="DX20" i="12"/>
  <c r="DZ20" i="12" s="1"/>
  <c r="DX144" i="12"/>
  <c r="C151" i="11" s="1"/>
  <c r="B151" i="11" s="1"/>
  <c r="DX10" i="12"/>
  <c r="DY10" i="12" s="1"/>
  <c r="DX187" i="12"/>
  <c r="DZ187" i="12" s="1"/>
  <c r="DX39" i="12"/>
  <c r="DW39" i="12" s="1"/>
  <c r="H46" i="11" s="1"/>
  <c r="DX60" i="12"/>
  <c r="DY60" i="12" s="1"/>
  <c r="DX100" i="12"/>
  <c r="DW100" i="12" s="1"/>
  <c r="H107" i="11" s="1"/>
  <c r="DX47" i="12"/>
  <c r="DY47" i="12" s="1"/>
  <c r="DX68" i="12"/>
  <c r="DZ68" i="12" s="1"/>
  <c r="DX46" i="12"/>
  <c r="C53" i="11" s="1"/>
  <c r="B53" i="11" s="1"/>
  <c r="DX217" i="12"/>
  <c r="C224" i="11" s="1"/>
  <c r="B224" i="11" s="1"/>
  <c r="DX31" i="12"/>
  <c r="DY31" i="12" s="1"/>
  <c r="DX149" i="12"/>
  <c r="C156" i="11" s="1"/>
  <c r="B156" i="11" s="1"/>
  <c r="DX190" i="12"/>
  <c r="DW190" i="12" s="1"/>
  <c r="H197" i="11" s="1"/>
  <c r="DX110" i="12"/>
  <c r="DY110" i="12" s="1"/>
  <c r="D117" i="11" s="1"/>
  <c r="DX143" i="12"/>
  <c r="DW143" i="12" s="1"/>
  <c r="H150" i="11" s="1"/>
  <c r="DX94" i="12"/>
  <c r="DW94" i="12" s="1"/>
  <c r="H101" i="11" s="1"/>
  <c r="DX125" i="12"/>
  <c r="DW125" i="12" s="1"/>
  <c r="H132" i="11" s="1"/>
  <c r="DX16" i="12"/>
  <c r="C23" i="11" s="1"/>
  <c r="B23" i="11" s="1"/>
  <c r="DX120" i="12"/>
  <c r="DZ120" i="12" s="1"/>
  <c r="DX128" i="12"/>
  <c r="DY128" i="12" s="1"/>
  <c r="DX50" i="12"/>
  <c r="DW50" i="12" s="1"/>
  <c r="H57" i="11" s="1"/>
  <c r="DX159" i="12"/>
  <c r="C166" i="11" s="1"/>
  <c r="B166" i="11" s="1"/>
  <c r="DX150" i="12"/>
  <c r="DW150" i="12" s="1"/>
  <c r="H157" i="11" s="1"/>
  <c r="DX105" i="12"/>
  <c r="DW105" i="12" s="1"/>
  <c r="H112" i="11" s="1"/>
  <c r="DX197" i="12"/>
  <c r="DY197" i="12" s="1"/>
  <c r="DX200" i="12"/>
  <c r="C207" i="11" s="1"/>
  <c r="B207" i="11" s="1"/>
  <c r="DX13" i="12"/>
  <c r="DZ13" i="12" s="1"/>
  <c r="DX88" i="12"/>
  <c r="DZ88" i="12" s="1"/>
  <c r="DX141" i="12"/>
  <c r="DZ141" i="12" s="1"/>
  <c r="DX19" i="12"/>
  <c r="C26" i="11" s="1"/>
  <c r="B26" i="11" s="1"/>
  <c r="DX119" i="12"/>
  <c r="C126" i="11" s="1"/>
  <c r="B126" i="11" s="1"/>
  <c r="DX185" i="12"/>
  <c r="DY185" i="12" s="1"/>
  <c r="E192" i="11" s="1"/>
  <c r="DX179" i="12"/>
  <c r="C186" i="11" s="1"/>
  <c r="B186" i="11" s="1"/>
  <c r="DX72" i="12"/>
  <c r="DW72" i="12" s="1"/>
  <c r="H79" i="11" s="1"/>
  <c r="DT109" i="12"/>
  <c r="DV109" i="12" s="1"/>
  <c r="DT40" i="12"/>
  <c r="DU40" i="12" s="1"/>
  <c r="DS43" i="12"/>
  <c r="DV43" i="12" s="1"/>
  <c r="DT192" i="12"/>
  <c r="DV192" i="12" s="1"/>
  <c r="DS205" i="12"/>
  <c r="DV205" i="12" s="1"/>
  <c r="DS26" i="12"/>
  <c r="DV26" i="12" s="1"/>
  <c r="DS36" i="12"/>
  <c r="DU36" i="12" s="1"/>
  <c r="DS203" i="12"/>
  <c r="DS185" i="12"/>
  <c r="DU185" i="12" s="1"/>
  <c r="DS207" i="12"/>
  <c r="DV207" i="12" s="1"/>
  <c r="DT156" i="12"/>
  <c r="DU156" i="12" s="1"/>
  <c r="DS54" i="12"/>
  <c r="DU54" i="12" s="1"/>
  <c r="DT102" i="12"/>
  <c r="DV102" i="12" s="1"/>
  <c r="DT174" i="12"/>
  <c r="DV174" i="12" s="1"/>
  <c r="DS56" i="12"/>
  <c r="DU56" i="12" s="1"/>
  <c r="DT91" i="12"/>
  <c r="DV91" i="12" s="1"/>
  <c r="DS131" i="12"/>
  <c r="DV131" i="12" s="1"/>
  <c r="DX140" i="12"/>
  <c r="C147" i="11" s="1"/>
  <c r="B147" i="11" s="1"/>
  <c r="DX45" i="12"/>
  <c r="C52" i="11" s="1"/>
  <c r="B52" i="11" s="1"/>
  <c r="DX62" i="12"/>
  <c r="DY62" i="12" s="1"/>
  <c r="DX116" i="12"/>
  <c r="C123" i="11" s="1"/>
  <c r="B123" i="11" s="1"/>
  <c r="DX124" i="12"/>
  <c r="DW124" i="12" s="1"/>
  <c r="H131" i="11" s="1"/>
  <c r="DX81" i="12"/>
  <c r="C88" i="11" s="1"/>
  <c r="B88" i="11" s="1"/>
  <c r="DX207" i="12"/>
  <c r="DW207" i="12" s="1"/>
  <c r="H214" i="11" s="1"/>
  <c r="DX201" i="12"/>
  <c r="DW201" i="12" s="1"/>
  <c r="H208" i="11" s="1"/>
  <c r="DX82" i="12"/>
  <c r="C89" i="11" s="1"/>
  <c r="B89" i="11" s="1"/>
  <c r="DX59" i="12"/>
  <c r="DZ59" i="12" s="1"/>
  <c r="DX53" i="12"/>
  <c r="C60" i="11" s="1"/>
  <c r="B60" i="11" s="1"/>
  <c r="DX57" i="12"/>
  <c r="DW57" i="12" s="1"/>
  <c r="H64" i="11" s="1"/>
  <c r="DX135" i="12"/>
  <c r="C142" i="11" s="1"/>
  <c r="B142" i="11" s="1"/>
  <c r="DX49" i="12"/>
  <c r="C56" i="11" s="1"/>
  <c r="B56" i="11" s="1"/>
  <c r="DX12" i="12"/>
  <c r="DW12" i="12" s="1"/>
  <c r="H19" i="11" s="1"/>
  <c r="DX167" i="12"/>
  <c r="DY167" i="12" s="1"/>
  <c r="DX103" i="12"/>
  <c r="C110" i="11" s="1"/>
  <c r="B110" i="11" s="1"/>
  <c r="DX80" i="12"/>
  <c r="DY80" i="12" s="1"/>
  <c r="DX41" i="12"/>
  <c r="C48" i="11" s="1"/>
  <c r="B48" i="11" s="1"/>
  <c r="DX102" i="12"/>
  <c r="DW102" i="12" s="1"/>
  <c r="H109" i="11" s="1"/>
  <c r="DX178" i="12"/>
  <c r="DW178" i="12" s="1"/>
  <c r="H185" i="11" s="1"/>
  <c r="DX145" i="12"/>
  <c r="C152" i="11" s="1"/>
  <c r="B152" i="11" s="1"/>
  <c r="DX48" i="12"/>
  <c r="DW48" i="12" s="1"/>
  <c r="H55" i="11" s="1"/>
  <c r="DX142" i="12"/>
  <c r="DZ142" i="12" s="1"/>
  <c r="DX66" i="12"/>
  <c r="DZ66" i="12" s="1"/>
  <c r="DX160" i="12"/>
  <c r="C167" i="11" s="1"/>
  <c r="B167" i="11" s="1"/>
  <c r="DX210" i="12"/>
  <c r="C217" i="11" s="1"/>
  <c r="B217" i="11" s="1"/>
  <c r="DX58" i="12"/>
  <c r="DW58" i="12" s="1"/>
  <c r="H65" i="11" s="1"/>
  <c r="DX204" i="12"/>
  <c r="DW204" i="12" s="1"/>
  <c r="H211" i="11" s="1"/>
  <c r="DX52" i="12"/>
  <c r="DW52" i="12" s="1"/>
  <c r="H59" i="11" s="1"/>
  <c r="DX176" i="12"/>
  <c r="C183" i="11" s="1"/>
  <c r="B183" i="11" s="1"/>
  <c r="DX106" i="12"/>
  <c r="C113" i="11" s="1"/>
  <c r="B113" i="11" s="1"/>
  <c r="DX134" i="12"/>
  <c r="C141" i="11" s="1"/>
  <c r="B141" i="11" s="1"/>
  <c r="DX78" i="12"/>
  <c r="DW78" i="12" s="1"/>
  <c r="H85" i="11" s="1"/>
  <c r="DX219" i="12"/>
  <c r="DW219" i="12" s="1"/>
  <c r="H226" i="11" s="1"/>
  <c r="DX216" i="12"/>
  <c r="DW216" i="12" s="1"/>
  <c r="H223" i="11" s="1"/>
  <c r="DX83" i="12"/>
  <c r="DY83" i="12" s="1"/>
  <c r="DX166" i="12"/>
  <c r="DW166" i="12" s="1"/>
  <c r="H173" i="11" s="1"/>
  <c r="DX132" i="12"/>
  <c r="DY132" i="12" s="1"/>
  <c r="DX43" i="12"/>
  <c r="C50" i="11" s="1"/>
  <c r="B50" i="11" s="1"/>
  <c r="DX77" i="12"/>
  <c r="DZ77" i="12" s="1"/>
  <c r="DX206" i="12"/>
  <c r="DW206" i="12" s="1"/>
  <c r="H213" i="11" s="1"/>
  <c r="DX183" i="12"/>
  <c r="DW183" i="12" s="1"/>
  <c r="H190" i="11" s="1"/>
  <c r="DX104" i="12"/>
  <c r="DZ104" i="12" s="1"/>
  <c r="DX195" i="12"/>
  <c r="C202" i="11" s="1"/>
  <c r="B202" i="11" s="1"/>
  <c r="DX33" i="12"/>
  <c r="C40" i="11" s="1"/>
  <c r="B40" i="11" s="1"/>
  <c r="DX92" i="12"/>
  <c r="DY92" i="12" s="1"/>
  <c r="DX54" i="12"/>
  <c r="DY54" i="12" s="1"/>
  <c r="DX112" i="12"/>
  <c r="C119" i="11" s="1"/>
  <c r="B119" i="11" s="1"/>
  <c r="DX164" i="12"/>
  <c r="DZ164" i="12" s="1"/>
  <c r="DX189" i="12"/>
  <c r="DW189" i="12" s="1"/>
  <c r="H196" i="11" s="1"/>
  <c r="DX146" i="12"/>
  <c r="C153" i="11" s="1"/>
  <c r="B153" i="11" s="1"/>
  <c r="DX220" i="12"/>
  <c r="DW220" i="12" s="1"/>
  <c r="H227" i="11" s="1"/>
  <c r="DS103" i="12"/>
  <c r="DT18" i="12"/>
  <c r="DV18" i="12" s="1"/>
  <c r="DW155" i="12"/>
  <c r="H162" i="11" s="1"/>
  <c r="DT58" i="12"/>
  <c r="DT152" i="12"/>
  <c r="DS65" i="12"/>
  <c r="DT80" i="12"/>
  <c r="DV80" i="12" s="1"/>
  <c r="DT49" i="12"/>
  <c r="DU49" i="12" s="1"/>
  <c r="DT132" i="12"/>
  <c r="DV132" i="12" s="1"/>
  <c r="DS197" i="12"/>
  <c r="DV197" i="12" s="1"/>
  <c r="C93" i="11"/>
  <c r="B93" i="11" s="1"/>
  <c r="DS106" i="12"/>
  <c r="DU106" i="12" s="1"/>
  <c r="DS72" i="12"/>
  <c r="DS128" i="12"/>
  <c r="DU128" i="12" s="1"/>
  <c r="C155" i="11"/>
  <c r="B155" i="11" s="1"/>
  <c r="DS33" i="12"/>
  <c r="DV33" i="12" s="1"/>
  <c r="DS48" i="12"/>
  <c r="DV48" i="12" s="1"/>
  <c r="DS58" i="12"/>
  <c r="DS152" i="12"/>
  <c r="DT92" i="12"/>
  <c r="DT167" i="12"/>
  <c r="DU167" i="12" s="1"/>
  <c r="DT169" i="12"/>
  <c r="DT16" i="12"/>
  <c r="DT137" i="12"/>
  <c r="DV137" i="12" s="1"/>
  <c r="DT72" i="12"/>
  <c r="DS51" i="12"/>
  <c r="DT83" i="12"/>
  <c r="DV83" i="12" s="1"/>
  <c r="DT78" i="12"/>
  <c r="DV78" i="12" s="1"/>
  <c r="DS162" i="12"/>
  <c r="DU162" i="12" s="1"/>
  <c r="DT188" i="12"/>
  <c r="DU188" i="12" s="1"/>
  <c r="DS150" i="12"/>
  <c r="DU150" i="12" s="1"/>
  <c r="DS125" i="12"/>
  <c r="DV125" i="12" s="1"/>
  <c r="DT204" i="12"/>
  <c r="DU204" i="12" s="1"/>
  <c r="DT31" i="12"/>
  <c r="DV31" i="12" s="1"/>
  <c r="DT97" i="12"/>
  <c r="DV97" i="12" s="1"/>
  <c r="DS214" i="12"/>
  <c r="DV214" i="12" s="1"/>
  <c r="DS199" i="12"/>
  <c r="DS169" i="12"/>
  <c r="DS86" i="12"/>
  <c r="DV86" i="12" s="1"/>
  <c r="DS16" i="12"/>
  <c r="DS220" i="12"/>
  <c r="DU220" i="12" s="1"/>
  <c r="DS148" i="12"/>
  <c r="DS217" i="12"/>
  <c r="DU217" i="12" s="1"/>
  <c r="DT74" i="12"/>
  <c r="DV74" i="12" s="1"/>
  <c r="DT155" i="12"/>
  <c r="DT199" i="12"/>
  <c r="DT65" i="12"/>
  <c r="DS216" i="12"/>
  <c r="DS201" i="12"/>
  <c r="DV201" i="12" s="1"/>
  <c r="DT148" i="12"/>
  <c r="DW86" i="12"/>
  <c r="H93" i="11" s="1"/>
  <c r="DS81" i="12"/>
  <c r="DV81" i="12" s="1"/>
  <c r="DS212" i="12"/>
  <c r="DV212" i="12" s="1"/>
  <c r="DS112" i="12"/>
  <c r="DV112" i="12" s="1"/>
  <c r="DT110" i="12"/>
  <c r="DV110" i="12" s="1"/>
  <c r="DS155" i="12"/>
  <c r="DS92" i="12"/>
  <c r="DS200" i="12"/>
  <c r="DU200" i="12" s="1"/>
  <c r="DT216" i="12"/>
  <c r="DS149" i="12"/>
  <c r="DU149" i="12" s="1"/>
  <c r="DT143" i="12"/>
  <c r="DV143" i="12" s="1"/>
  <c r="DS190" i="12"/>
  <c r="DV190" i="12" s="1"/>
  <c r="DT51" i="12"/>
  <c r="DW63" i="12"/>
  <c r="H70" i="11" s="1"/>
  <c r="DT21" i="12"/>
  <c r="DV21" i="12" s="1"/>
  <c r="DS57" i="12"/>
  <c r="DU57" i="12" s="1"/>
  <c r="DS136" i="12"/>
  <c r="DU136" i="12" s="1"/>
  <c r="DT34" i="12"/>
  <c r="DV34" i="12" s="1"/>
  <c r="DS68" i="12"/>
  <c r="DV68" i="12" s="1"/>
  <c r="DT41" i="12"/>
  <c r="DV41" i="12" s="1"/>
  <c r="DT10" i="12"/>
  <c r="DS10" i="12"/>
  <c r="DT8" i="12"/>
  <c r="DS8" i="12"/>
  <c r="DT9" i="12"/>
  <c r="DS9" i="12"/>
  <c r="DT113" i="12"/>
  <c r="DU113" i="12" s="1"/>
  <c r="DT140" i="12"/>
  <c r="DT62" i="12"/>
  <c r="DV62" i="12" s="1"/>
  <c r="DT108" i="12"/>
  <c r="DV108" i="12" s="1"/>
  <c r="DS181" i="12"/>
  <c r="DU181" i="12" s="1"/>
  <c r="DT171" i="12"/>
  <c r="DV171" i="12" s="1"/>
  <c r="DT25" i="12"/>
  <c r="DV25" i="12" s="1"/>
  <c r="DT89" i="12"/>
  <c r="DU89" i="12" s="1"/>
  <c r="DT183" i="12"/>
  <c r="DT114" i="12"/>
  <c r="DS98" i="12"/>
  <c r="DU98" i="12" s="1"/>
  <c r="DT99" i="12"/>
  <c r="DS88" i="12"/>
  <c r="DS121" i="12"/>
  <c r="DU121" i="12" s="1"/>
  <c r="DS122" i="12"/>
  <c r="DU122" i="12" s="1"/>
  <c r="DT139" i="12"/>
  <c r="DV139" i="12" s="1"/>
  <c r="DS195" i="12"/>
  <c r="DU195" i="12" s="1"/>
  <c r="DT208" i="12"/>
  <c r="DV208" i="12" s="1"/>
  <c r="DS79" i="12"/>
  <c r="DV79" i="12" s="1"/>
  <c r="DS118" i="12"/>
  <c r="DV118" i="12" s="1"/>
  <c r="DT29" i="12"/>
  <c r="DU29" i="12" s="1"/>
  <c r="DS140" i="12"/>
  <c r="DS53" i="12"/>
  <c r="DV53" i="12" s="1"/>
  <c r="DT32" i="12"/>
  <c r="DV32" i="12" s="1"/>
  <c r="DT82" i="12"/>
  <c r="DV82" i="12" s="1"/>
  <c r="DS183" i="12"/>
  <c r="DS114" i="12"/>
  <c r="DS99" i="12"/>
  <c r="DT88" i="12"/>
  <c r="DT46" i="12"/>
  <c r="DU46" i="12" s="1"/>
  <c r="DS196" i="12"/>
  <c r="DV196" i="12" s="1"/>
  <c r="C128" i="11"/>
  <c r="B128" i="11" s="1"/>
  <c r="DV15" i="12"/>
  <c r="DU15" i="12"/>
  <c r="DS13" i="12"/>
  <c r="DT13" i="12"/>
  <c r="DT14" i="12"/>
  <c r="DS14" i="12"/>
  <c r="DS12" i="12"/>
  <c r="DT12" i="12"/>
  <c r="DS11" i="12"/>
  <c r="DT11" i="12"/>
  <c r="JH30" i="12"/>
  <c r="JK29" i="12"/>
  <c r="JL29" i="12" s="1"/>
  <c r="EA29" i="12" s="1"/>
  <c r="DS27" i="12"/>
  <c r="DV27" i="12" s="1"/>
  <c r="DT93" i="12"/>
  <c r="DS126" i="12"/>
  <c r="DT187" i="12"/>
  <c r="C170" i="11"/>
  <c r="B170" i="11" s="1"/>
  <c r="DT59" i="12"/>
  <c r="DS59" i="12"/>
  <c r="DS119" i="12"/>
  <c r="DT119" i="12"/>
  <c r="DT66" i="12"/>
  <c r="DS66" i="12"/>
  <c r="DT193" i="12"/>
  <c r="DS193" i="12"/>
  <c r="DT138" i="12"/>
  <c r="DS138" i="12"/>
  <c r="DS164" i="12"/>
  <c r="DT164" i="12"/>
  <c r="DT61" i="12"/>
  <c r="DS61" i="12"/>
  <c r="DW121" i="12"/>
  <c r="H128" i="11" s="1"/>
  <c r="DS165" i="12"/>
  <c r="DT165" i="12"/>
  <c r="DT141" i="12"/>
  <c r="DS141" i="12"/>
  <c r="DS120" i="12"/>
  <c r="DT120" i="12"/>
  <c r="DT129" i="12"/>
  <c r="DS129" i="12"/>
  <c r="DS194" i="12"/>
  <c r="DT194" i="12"/>
  <c r="DS160" i="12"/>
  <c r="DT160" i="12"/>
  <c r="DY86" i="12"/>
  <c r="E93" i="11" s="1"/>
  <c r="DZ163" i="12"/>
  <c r="DY184" i="12"/>
  <c r="DZ184" i="12"/>
  <c r="DW18" i="12"/>
  <c r="H25" i="11" s="1"/>
  <c r="DZ213" i="12"/>
  <c r="DY63" i="12"/>
  <c r="E70" i="11" s="1"/>
  <c r="DZ35" i="12"/>
  <c r="DY126" i="12"/>
  <c r="E133" i="11" s="1"/>
  <c r="DZ169" i="12"/>
  <c r="DY67" i="12"/>
  <c r="D74" i="11" s="1"/>
  <c r="DZ70" i="12"/>
  <c r="DT215" i="12"/>
  <c r="DS215" i="12"/>
  <c r="DS117" i="12"/>
  <c r="DT117" i="12"/>
  <c r="DT45" i="12"/>
  <c r="DS45" i="12"/>
  <c r="DS71" i="12"/>
  <c r="DT71" i="12"/>
  <c r="DS175" i="12"/>
  <c r="DT175" i="12"/>
  <c r="DT184" i="12"/>
  <c r="C191" i="11"/>
  <c r="B191" i="11" s="1"/>
  <c r="DW184" i="12"/>
  <c r="H191" i="11" s="1"/>
  <c r="DS184" i="12"/>
  <c r="DT90" i="12"/>
  <c r="DS90" i="12"/>
  <c r="DS177" i="12"/>
  <c r="DT177" i="12"/>
  <c r="C184" i="11"/>
  <c r="B184" i="11" s="1"/>
  <c r="DS28" i="12"/>
  <c r="DT28" i="12"/>
  <c r="DS166" i="12"/>
  <c r="DT166" i="12"/>
  <c r="DT154" i="12"/>
  <c r="DS154" i="12"/>
  <c r="DS168" i="12"/>
  <c r="DT168" i="12"/>
  <c r="DW15" i="12"/>
  <c r="H22" i="11" s="1"/>
  <c r="DT170" i="12"/>
  <c r="DS170" i="12"/>
  <c r="DT198" i="12"/>
  <c r="DS198" i="12"/>
  <c r="DS24" i="12"/>
  <c r="DT24" i="12"/>
  <c r="DT60" i="12"/>
  <c r="DS60" i="12"/>
  <c r="DS218" i="12"/>
  <c r="DT218" i="12"/>
  <c r="C12" i="11"/>
  <c r="B12" i="11" s="1"/>
  <c r="DZ174" i="12"/>
  <c r="DY155" i="12"/>
  <c r="DZ155" i="12"/>
  <c r="DW113" i="12"/>
  <c r="H120" i="11" s="1"/>
  <c r="DZ38" i="12"/>
  <c r="DY196" i="12"/>
  <c r="E203" i="11" s="1"/>
  <c r="DZ196" i="12"/>
  <c r="DY127" i="12"/>
  <c r="DZ121" i="12"/>
  <c r="DY121" i="12"/>
  <c r="E128" i="11" s="1"/>
  <c r="DS104" i="12"/>
  <c r="DT104" i="12"/>
  <c r="DS20" i="12"/>
  <c r="DT20" i="12"/>
  <c r="FU136" i="12"/>
  <c r="GR136" i="12" s="1"/>
  <c r="FR137" i="12"/>
  <c r="CX2233" i="12"/>
  <c r="C216" i="11" l="1"/>
  <c r="B216" i="11" s="1"/>
  <c r="DY154" i="12"/>
  <c r="DW76" i="12"/>
  <c r="H83" i="11" s="1"/>
  <c r="DZ76" i="12"/>
  <c r="DZ51" i="12"/>
  <c r="DW163" i="12"/>
  <c r="H170" i="11" s="1"/>
  <c r="C165" i="11"/>
  <c r="B165" i="11" s="1"/>
  <c r="DW158" i="12"/>
  <c r="H165" i="11" s="1"/>
  <c r="DZ56" i="12"/>
  <c r="DY158" i="12"/>
  <c r="DZ157" i="12"/>
  <c r="C161" i="11"/>
  <c r="B161" i="11" s="1"/>
  <c r="DW157" i="12"/>
  <c r="H164" i="11" s="1"/>
  <c r="DW51" i="12"/>
  <c r="H58" i="11" s="1"/>
  <c r="DW40" i="12"/>
  <c r="H47" i="11" s="1"/>
  <c r="DW147" i="12"/>
  <c r="H154" i="11" s="1"/>
  <c r="DW188" i="12"/>
  <c r="H195" i="11" s="1"/>
  <c r="C195" i="11"/>
  <c r="B195" i="11" s="1"/>
  <c r="DY188" i="12"/>
  <c r="D195" i="11" s="1"/>
  <c r="DZ131" i="12"/>
  <c r="C203" i="11"/>
  <c r="B203" i="11" s="1"/>
  <c r="DY38" i="12"/>
  <c r="E45" i="11" s="1"/>
  <c r="DY15" i="12"/>
  <c r="DW177" i="12"/>
  <c r="H184" i="11" s="1"/>
  <c r="DY148" i="12"/>
  <c r="E155" i="11" s="1"/>
  <c r="C133" i="11"/>
  <c r="B133" i="11" s="1"/>
  <c r="DY156" i="12"/>
  <c r="DZ126" i="12"/>
  <c r="DY177" i="12"/>
  <c r="D184" i="11" s="1"/>
  <c r="C45" i="11"/>
  <c r="B45" i="11" s="1"/>
  <c r="DW169" i="12"/>
  <c r="H176" i="11" s="1"/>
  <c r="DW95" i="12"/>
  <c r="H102" i="11" s="1"/>
  <c r="DZ15" i="12"/>
  <c r="DY95" i="12"/>
  <c r="E102" i="11" s="1"/>
  <c r="DZ148" i="12"/>
  <c r="DZ156" i="12"/>
  <c r="DY202" i="12"/>
  <c r="D209" i="11" s="1"/>
  <c r="C176" i="11"/>
  <c r="B176" i="11" s="1"/>
  <c r="DZ95" i="12"/>
  <c r="DZ67" i="12"/>
  <c r="C74" i="11"/>
  <c r="B74" i="11" s="1"/>
  <c r="CW18" i="12"/>
  <c r="C83" i="11"/>
  <c r="B83" i="11" s="1"/>
  <c r="DW129" i="12"/>
  <c r="H136" i="11" s="1"/>
  <c r="DW123" i="12"/>
  <c r="H130" i="11" s="1"/>
  <c r="DZ111" i="12"/>
  <c r="G118" i="11" s="1"/>
  <c r="DY113" i="12"/>
  <c r="DY5" i="12"/>
  <c r="D12" i="11" s="1"/>
  <c r="DY213" i="12"/>
  <c r="D220" i="11" s="1"/>
  <c r="DZ18" i="12"/>
  <c r="G25" i="11" s="1"/>
  <c r="DZ215" i="12"/>
  <c r="DY18" i="12"/>
  <c r="D25" i="11" s="1"/>
  <c r="DZ32" i="12"/>
  <c r="G39" i="11" s="1"/>
  <c r="DZ113" i="12"/>
  <c r="F120" i="11" s="1"/>
  <c r="DZ5" i="12"/>
  <c r="C222" i="11"/>
  <c r="B222" i="11" s="1"/>
  <c r="DY139" i="12"/>
  <c r="D146" i="11" s="1"/>
  <c r="DY32" i="12"/>
  <c r="D39" i="11" s="1"/>
  <c r="DY131" i="12"/>
  <c r="DW71" i="12"/>
  <c r="H78" i="11" s="1"/>
  <c r="DW215" i="12"/>
  <c r="H222" i="11" s="1"/>
  <c r="DZ139" i="12"/>
  <c r="G146" i="11" s="1"/>
  <c r="DW139" i="12"/>
  <c r="H146" i="11" s="1"/>
  <c r="DZ154" i="12"/>
  <c r="DY157" i="12"/>
  <c r="E164" i="11" s="1"/>
  <c r="DZ63" i="12"/>
  <c r="F70" i="11" s="1"/>
  <c r="C63" i="11"/>
  <c r="B63" i="11" s="1"/>
  <c r="DW35" i="12"/>
  <c r="H42" i="11" s="1"/>
  <c r="DW174" i="12"/>
  <c r="H181" i="11" s="1"/>
  <c r="DY51" i="12"/>
  <c r="E58" i="11" s="1"/>
  <c r="DY56" i="12"/>
  <c r="D63" i="11" s="1"/>
  <c r="DY174" i="12"/>
  <c r="E181" i="11" s="1"/>
  <c r="DY24" i="12"/>
  <c r="D31" i="11" s="1"/>
  <c r="DY35" i="12"/>
  <c r="E42" i="11" s="1"/>
  <c r="DW84" i="12"/>
  <c r="H91" i="11" s="1"/>
  <c r="C16" i="11"/>
  <c r="B16" i="11" s="1"/>
  <c r="DZ209" i="12"/>
  <c r="DZ97" i="12"/>
  <c r="G104" i="11" s="1"/>
  <c r="C39" i="11"/>
  <c r="B39" i="11" s="1"/>
  <c r="DY199" i="12"/>
  <c r="D206" i="11" s="1"/>
  <c r="DW199" i="12"/>
  <c r="H206" i="11" s="1"/>
  <c r="DY205" i="12"/>
  <c r="D212" i="11" s="1"/>
  <c r="DZ40" i="12"/>
  <c r="F47" i="11" s="1"/>
  <c r="DY91" i="12"/>
  <c r="DY34" i="12"/>
  <c r="D41" i="11" s="1"/>
  <c r="DZ101" i="12"/>
  <c r="F108" i="11" s="1"/>
  <c r="DZ199" i="12"/>
  <c r="DW97" i="12"/>
  <c r="H104" i="11" s="1"/>
  <c r="DY40" i="12"/>
  <c r="E47" i="11" s="1"/>
  <c r="DZ9" i="12"/>
  <c r="DZ91" i="12"/>
  <c r="G98" i="11" s="1"/>
  <c r="DZ34" i="12"/>
  <c r="DY182" i="12"/>
  <c r="D189" i="11" s="1"/>
  <c r="C138" i="11"/>
  <c r="B138" i="11" s="1"/>
  <c r="DZ64" i="12"/>
  <c r="F71" i="11" s="1"/>
  <c r="DZ182" i="12"/>
  <c r="G189" i="11" s="1"/>
  <c r="DW213" i="12"/>
  <c r="H220" i="11" s="1"/>
  <c r="C104" i="11"/>
  <c r="B104" i="11" s="1"/>
  <c r="C71" i="11"/>
  <c r="B71" i="11" s="1"/>
  <c r="C180" i="11"/>
  <c r="B180" i="11" s="1"/>
  <c r="C98" i="11"/>
  <c r="B98" i="11" s="1"/>
  <c r="C163" i="11"/>
  <c r="B163" i="11" s="1"/>
  <c r="DY37" i="12"/>
  <c r="E44" i="11" s="1"/>
  <c r="DY117" i="12"/>
  <c r="E124" i="11" s="1"/>
  <c r="DZ122" i="12"/>
  <c r="F129" i="11" s="1"/>
  <c r="DW122" i="12"/>
  <c r="H129" i="11" s="1"/>
  <c r="DY99" i="12"/>
  <c r="D106" i="11" s="1"/>
  <c r="DY214" i="12"/>
  <c r="DY122" i="12"/>
  <c r="D129" i="11" s="1"/>
  <c r="DY85" i="12"/>
  <c r="D92" i="11" s="1"/>
  <c r="DZ191" i="12"/>
  <c r="G198" i="11" s="1"/>
  <c r="C124" i="11"/>
  <c r="B124" i="11" s="1"/>
  <c r="DY55" i="12"/>
  <c r="D62" i="11" s="1"/>
  <c r="DZ84" i="12"/>
  <c r="G91" i="11" s="1"/>
  <c r="C68" i="11"/>
  <c r="B68" i="11" s="1"/>
  <c r="DY129" i="12"/>
  <c r="DY192" i="12"/>
  <c r="E199" i="11" s="1"/>
  <c r="DZ44" i="12"/>
  <c r="F51" i="11" s="1"/>
  <c r="DW153" i="12"/>
  <c r="H160" i="11" s="1"/>
  <c r="C91" i="11"/>
  <c r="B91" i="11" s="1"/>
  <c r="C44" i="11"/>
  <c r="B44" i="11" s="1"/>
  <c r="DY198" i="12"/>
  <c r="D205" i="11" s="1"/>
  <c r="DY208" i="12"/>
  <c r="E215" i="11" s="1"/>
  <c r="DW61" i="12"/>
  <c r="H68" i="11" s="1"/>
  <c r="DZ147" i="12"/>
  <c r="DW208" i="12"/>
  <c r="H215" i="11" s="1"/>
  <c r="DZ85" i="12"/>
  <c r="F92" i="11" s="1"/>
  <c r="DZ61" i="12"/>
  <c r="C136" i="11"/>
  <c r="B136" i="11" s="1"/>
  <c r="DY108" i="12"/>
  <c r="E115" i="11" s="1"/>
  <c r="DY96" i="12"/>
  <c r="D103" i="11" s="1"/>
  <c r="DW198" i="12"/>
  <c r="H205" i="11" s="1"/>
  <c r="DY153" i="12"/>
  <c r="C154" i="11"/>
  <c r="B154" i="11" s="1"/>
  <c r="C106" i="11"/>
  <c r="B106" i="11" s="1"/>
  <c r="C92" i="11"/>
  <c r="B92" i="11" s="1"/>
  <c r="DY71" i="12"/>
  <c r="D78" i="11" s="1"/>
  <c r="DZ186" i="12"/>
  <c r="G193" i="11" s="1"/>
  <c r="DW202" i="12"/>
  <c r="H209" i="11" s="1"/>
  <c r="C193" i="11"/>
  <c r="B193" i="11" s="1"/>
  <c r="DZ115" i="12"/>
  <c r="C78" i="11"/>
  <c r="B78" i="11" s="1"/>
  <c r="DW3" i="12"/>
  <c r="H10" i="11" s="1"/>
  <c r="DY74" i="12"/>
  <c r="D81" i="11" s="1"/>
  <c r="DY211" i="12"/>
  <c r="D218" i="11" s="1"/>
  <c r="DY186" i="12"/>
  <c r="E193" i="11" s="1"/>
  <c r="DZ22" i="12"/>
  <c r="F29" i="11" s="1"/>
  <c r="DZ202" i="12"/>
  <c r="F209" i="11" s="1"/>
  <c r="DW211" i="12"/>
  <c r="H218" i="11" s="1"/>
  <c r="DW168" i="12"/>
  <c r="H175" i="11" s="1"/>
  <c r="DZ74" i="12"/>
  <c r="G81" i="11" s="1"/>
  <c r="DZ211" i="12"/>
  <c r="F218" i="11" s="1"/>
  <c r="DY115" i="12"/>
  <c r="D122" i="11" s="1"/>
  <c r="DW74" i="12"/>
  <c r="H81" i="11" s="1"/>
  <c r="DW24" i="12"/>
  <c r="H31" i="11" s="1"/>
  <c r="C175" i="11"/>
  <c r="B175" i="11" s="1"/>
  <c r="DY3" i="12"/>
  <c r="DZ24" i="12"/>
  <c r="DY168" i="12"/>
  <c r="E175" i="11" s="1"/>
  <c r="C114" i="11"/>
  <c r="B114" i="11" s="1"/>
  <c r="DW36" i="12"/>
  <c r="H43" i="11" s="1"/>
  <c r="DY209" i="12"/>
  <c r="D216" i="11" s="1"/>
  <c r="DZ36" i="12"/>
  <c r="F43" i="11" s="1"/>
  <c r="DY73" i="12"/>
  <c r="D80" i="11" s="1"/>
  <c r="DW90" i="12"/>
  <c r="H97" i="11" s="1"/>
  <c r="DZ3" i="12"/>
  <c r="C43" i="11"/>
  <c r="B43" i="11" s="1"/>
  <c r="DZ173" i="12"/>
  <c r="G180" i="11" s="1"/>
  <c r="DW14" i="12"/>
  <c r="H21" i="11" s="1"/>
  <c r="DZ73" i="12"/>
  <c r="F80" i="11" s="1"/>
  <c r="DW114" i="12"/>
  <c r="H121" i="11" s="1"/>
  <c r="C115" i="11"/>
  <c r="B115" i="11" s="1"/>
  <c r="C215" i="11"/>
  <c r="B215" i="11" s="1"/>
  <c r="DW191" i="12"/>
  <c r="H198" i="11" s="1"/>
  <c r="DW111" i="12"/>
  <c r="H118" i="11" s="1"/>
  <c r="C198" i="11"/>
  <c r="B198" i="11" s="1"/>
  <c r="C51" i="11"/>
  <c r="B51" i="11" s="1"/>
  <c r="C199" i="11"/>
  <c r="B199" i="11" s="1"/>
  <c r="C103" i="11"/>
  <c r="B103" i="11" s="1"/>
  <c r="DZ117" i="12"/>
  <c r="DZ214" i="12"/>
  <c r="DZ205" i="12"/>
  <c r="G212" i="11" s="1"/>
  <c r="DY87" i="12"/>
  <c r="D94" i="11" s="1"/>
  <c r="DY111" i="12"/>
  <c r="E118" i="11" s="1"/>
  <c r="DZ37" i="12"/>
  <c r="DZ55" i="12"/>
  <c r="G62" i="11" s="1"/>
  <c r="DZ192" i="12"/>
  <c r="G199" i="11" s="1"/>
  <c r="DW44" i="12"/>
  <c r="H51" i="11" s="1"/>
  <c r="DW214" i="12"/>
  <c r="H221" i="11" s="1"/>
  <c r="DW205" i="12"/>
  <c r="H212" i="11" s="1"/>
  <c r="DW99" i="12"/>
  <c r="H106" i="11" s="1"/>
  <c r="DW55" i="12"/>
  <c r="H62" i="11" s="1"/>
  <c r="DZ198" i="12"/>
  <c r="DZ108" i="12"/>
  <c r="G115" i="11" s="1"/>
  <c r="DZ96" i="12"/>
  <c r="G103" i="11" s="1"/>
  <c r="DW138" i="12"/>
  <c r="H145" i="11" s="1"/>
  <c r="DZ153" i="12"/>
  <c r="C122" i="11"/>
  <c r="B122" i="11" s="1"/>
  <c r="DZ93" i="12"/>
  <c r="DY98" i="12"/>
  <c r="E105" i="11" s="1"/>
  <c r="E170" i="11"/>
  <c r="DZ171" i="12"/>
  <c r="G178" i="11" s="1"/>
  <c r="DW89" i="12"/>
  <c r="H96" i="11" s="1"/>
  <c r="DY9" i="12"/>
  <c r="DZ180" i="12"/>
  <c r="DY69" i="12"/>
  <c r="E76" i="11" s="1"/>
  <c r="DZ42" i="12"/>
  <c r="F49" i="11" s="1"/>
  <c r="DZ109" i="12"/>
  <c r="G116" i="11" s="1"/>
  <c r="DY64" i="12"/>
  <c r="D71" i="11" s="1"/>
  <c r="C189" i="11"/>
  <c r="B189" i="11" s="1"/>
  <c r="DW109" i="12"/>
  <c r="H116" i="11" s="1"/>
  <c r="C41" i="11"/>
  <c r="B41" i="11" s="1"/>
  <c r="C108" i="11"/>
  <c r="B108" i="11" s="1"/>
  <c r="DY170" i="12"/>
  <c r="E177" i="11" s="1"/>
  <c r="DY89" i="12"/>
  <c r="D96" i="11" s="1"/>
  <c r="DY130" i="12"/>
  <c r="E137" i="11" s="1"/>
  <c r="DY175" i="12"/>
  <c r="DY101" i="12"/>
  <c r="E108" i="11" s="1"/>
  <c r="C130" i="11"/>
  <c r="B130" i="11" s="1"/>
  <c r="DZ123" i="12"/>
  <c r="G130" i="11" s="1"/>
  <c r="DY136" i="12"/>
  <c r="E143" i="11" s="1"/>
  <c r="DZ98" i="12"/>
  <c r="F105" i="11" s="1"/>
  <c r="DY109" i="12"/>
  <c r="D116" i="11" s="1"/>
  <c r="DZ107" i="12"/>
  <c r="G114" i="11" s="1"/>
  <c r="DY171" i="12"/>
  <c r="D178" i="11" s="1"/>
  <c r="C49" i="11"/>
  <c r="B49" i="11" s="1"/>
  <c r="C125" i="11"/>
  <c r="B125" i="11" s="1"/>
  <c r="DW181" i="12"/>
  <c r="H188" i="11" s="1"/>
  <c r="DW136" i="12"/>
  <c r="H143" i="11" s="1"/>
  <c r="DW23" i="12"/>
  <c r="H30" i="11" s="1"/>
  <c r="C187" i="11"/>
  <c r="B187" i="11" s="1"/>
  <c r="C188" i="11"/>
  <c r="B188" i="11" s="1"/>
  <c r="DW180" i="12"/>
  <c r="H187" i="11" s="1"/>
  <c r="DY93" i="12"/>
  <c r="D100" i="11" s="1"/>
  <c r="C21" i="11"/>
  <c r="B21" i="11" s="1"/>
  <c r="DZ69" i="12"/>
  <c r="G76" i="11" s="1"/>
  <c r="DY203" i="12"/>
  <c r="DW170" i="12"/>
  <c r="H177" i="11" s="1"/>
  <c r="DV163" i="12"/>
  <c r="G170" i="11" s="1"/>
  <c r="DZ14" i="12"/>
  <c r="DZ181" i="12"/>
  <c r="DZ203" i="12"/>
  <c r="DZ136" i="12"/>
  <c r="F143" i="11" s="1"/>
  <c r="DY118" i="12"/>
  <c r="E125" i="11" s="1"/>
  <c r="DY107" i="12"/>
  <c r="D114" i="11" s="1"/>
  <c r="DZ23" i="12"/>
  <c r="F30" i="11" s="1"/>
  <c r="DY212" i="12"/>
  <c r="E219" i="11" s="1"/>
  <c r="C105" i="11"/>
  <c r="B105" i="11" s="1"/>
  <c r="DW42" i="12"/>
  <c r="H49" i="11" s="1"/>
  <c r="C96" i="11"/>
  <c r="B96" i="11" s="1"/>
  <c r="C219" i="11"/>
  <c r="B219" i="11" s="1"/>
  <c r="DW212" i="12"/>
  <c r="H219" i="11" s="1"/>
  <c r="DW130" i="12"/>
  <c r="H137" i="11" s="1"/>
  <c r="C210" i="11"/>
  <c r="B210" i="11" s="1"/>
  <c r="C30" i="11"/>
  <c r="B30" i="11" s="1"/>
  <c r="DW93" i="12"/>
  <c r="H100" i="11" s="1"/>
  <c r="DZ130" i="12"/>
  <c r="DZ170" i="12"/>
  <c r="DY22" i="12"/>
  <c r="D29" i="11" s="1"/>
  <c r="DZ118" i="12"/>
  <c r="G125" i="11" s="1"/>
  <c r="C178" i="11"/>
  <c r="B178" i="11" s="1"/>
  <c r="C76" i="11"/>
  <c r="B76" i="11" s="1"/>
  <c r="DW22" i="12"/>
  <c r="H29" i="11" s="1"/>
  <c r="DZ175" i="12"/>
  <c r="C145" i="11"/>
  <c r="B145" i="11" s="1"/>
  <c r="DZ65" i="12"/>
  <c r="DW70" i="12"/>
  <c r="H77" i="11" s="1"/>
  <c r="C77" i="11"/>
  <c r="B77" i="11" s="1"/>
  <c r="C134" i="11"/>
  <c r="B134" i="11" s="1"/>
  <c r="DZ127" i="12"/>
  <c r="F134" i="11" s="1"/>
  <c r="DY65" i="12"/>
  <c r="E72" i="11" s="1"/>
  <c r="DZ87" i="12"/>
  <c r="F94" i="11" s="1"/>
  <c r="DY138" i="12"/>
  <c r="E145" i="11" s="1"/>
  <c r="DW65" i="12"/>
  <c r="H72" i="11" s="1"/>
  <c r="DW87" i="12"/>
  <c r="H94" i="11" s="1"/>
  <c r="C182" i="11"/>
  <c r="B182" i="11" s="1"/>
  <c r="C97" i="11"/>
  <c r="B97" i="11" s="1"/>
  <c r="DZ90" i="12"/>
  <c r="DY114" i="12"/>
  <c r="E121" i="11" s="1"/>
  <c r="DY173" i="12"/>
  <c r="E180" i="11" s="1"/>
  <c r="DZ114" i="12"/>
  <c r="DW73" i="12"/>
  <c r="H80" i="11" s="1"/>
  <c r="AQ162" i="12"/>
  <c r="AQ163" i="12" s="1"/>
  <c r="DV64" i="12"/>
  <c r="DV133" i="12"/>
  <c r="DU159" i="12"/>
  <c r="DV16" i="12"/>
  <c r="HT43" i="12"/>
  <c r="HO44" i="12"/>
  <c r="D30" i="11"/>
  <c r="DV17" i="12"/>
  <c r="DU107" i="12"/>
  <c r="DU111" i="12"/>
  <c r="DV158" i="12"/>
  <c r="G165" i="11" s="1"/>
  <c r="DU84" i="12"/>
  <c r="DV38" i="12"/>
  <c r="G45" i="11" s="1"/>
  <c r="D165" i="11"/>
  <c r="DY162" i="12"/>
  <c r="E169" i="11" s="1"/>
  <c r="DU145" i="12"/>
  <c r="DV146" i="12"/>
  <c r="DU105" i="12"/>
  <c r="DV70" i="12"/>
  <c r="G77" i="11" s="1"/>
  <c r="DV134" i="12"/>
  <c r="DU157" i="12"/>
  <c r="F164" i="11" s="1"/>
  <c r="DZ160" i="12"/>
  <c r="DU213" i="12"/>
  <c r="F220" i="11" s="1"/>
  <c r="C173" i="11"/>
  <c r="B173" i="11" s="1"/>
  <c r="DY16" i="12"/>
  <c r="E23" i="11" s="1"/>
  <c r="DZ72" i="12"/>
  <c r="DV162" i="12"/>
  <c r="G169" i="11" s="1"/>
  <c r="DU80" i="12"/>
  <c r="DZ78" i="12"/>
  <c r="G85" i="11" s="1"/>
  <c r="C13" i="11"/>
  <c r="B13" i="11" s="1"/>
  <c r="DU135" i="12"/>
  <c r="DU118" i="12"/>
  <c r="DV185" i="12"/>
  <c r="DY164" i="12"/>
  <c r="D171" i="11" s="1"/>
  <c r="DZ45" i="12"/>
  <c r="DY187" i="12"/>
  <c r="E194" i="11" s="1"/>
  <c r="DY159" i="12"/>
  <c r="E166" i="11" s="1"/>
  <c r="DV204" i="12"/>
  <c r="DY59" i="12"/>
  <c r="D66" i="11" s="1"/>
  <c r="DY143" i="12"/>
  <c r="D150" i="11" s="1"/>
  <c r="DZ4" i="12"/>
  <c r="DZ200" i="12"/>
  <c r="F207" i="11" s="1"/>
  <c r="DZ189" i="12"/>
  <c r="F196" i="11" s="1"/>
  <c r="DU191" i="12"/>
  <c r="DU110" i="12"/>
  <c r="DU172" i="12"/>
  <c r="DU173" i="12"/>
  <c r="DU186" i="12"/>
  <c r="DV52" i="12"/>
  <c r="D51" i="11"/>
  <c r="DV50" i="12"/>
  <c r="DU161" i="12"/>
  <c r="DV44" i="12"/>
  <c r="E77" i="11"/>
  <c r="DV181" i="12"/>
  <c r="G188" i="11" s="1"/>
  <c r="DU39" i="12"/>
  <c r="DV144" i="12"/>
  <c r="DY151" i="12"/>
  <c r="D158" i="11" s="1"/>
  <c r="DU197" i="12"/>
  <c r="DU176" i="12"/>
  <c r="DV142" i="12"/>
  <c r="G149" i="11" s="1"/>
  <c r="DV63" i="12"/>
  <c r="DU147" i="12"/>
  <c r="DU96" i="12"/>
  <c r="DV124" i="12"/>
  <c r="DV47" i="12"/>
  <c r="D54" i="11"/>
  <c r="E91" i="11"/>
  <c r="DU27" i="12"/>
  <c r="DV98" i="12"/>
  <c r="C17" i="11"/>
  <c r="B17" i="11" s="1"/>
  <c r="DZ193" i="12"/>
  <c r="DY58" i="12"/>
  <c r="D65" i="11" s="1"/>
  <c r="DV116" i="12"/>
  <c r="DZ185" i="12"/>
  <c r="F192" i="11" s="1"/>
  <c r="DU123" i="12"/>
  <c r="DV127" i="12"/>
  <c r="E134" i="11"/>
  <c r="C67" i="11"/>
  <c r="B67" i="11" s="1"/>
  <c r="DZ128" i="12"/>
  <c r="F135" i="11" s="1"/>
  <c r="DU97" i="12"/>
  <c r="DV73" i="12"/>
  <c r="DY43" i="12"/>
  <c r="E50" i="11" s="1"/>
  <c r="DZ190" i="12"/>
  <c r="DW142" i="12"/>
  <c r="H149" i="11" s="1"/>
  <c r="DU115" i="12"/>
  <c r="DU179" i="12"/>
  <c r="DY116" i="12"/>
  <c r="E123" i="11" s="1"/>
  <c r="DU32" i="12"/>
  <c r="C111" i="11"/>
  <c r="B111" i="11" s="1"/>
  <c r="DZ146" i="12"/>
  <c r="F153" i="11" s="1"/>
  <c r="DV19" i="12"/>
  <c r="DW43" i="12"/>
  <c r="H50" i="11" s="1"/>
  <c r="DV183" i="12"/>
  <c r="DV136" i="12"/>
  <c r="DU65" i="12"/>
  <c r="DU153" i="12"/>
  <c r="DU69" i="12"/>
  <c r="DV206" i="12"/>
  <c r="DV219" i="12"/>
  <c r="DU67" i="12"/>
  <c r="F74" i="11" s="1"/>
  <c r="DW116" i="12"/>
  <c r="H123" i="11" s="1"/>
  <c r="DW79" i="12"/>
  <c r="H86" i="11" s="1"/>
  <c r="E104" i="11"/>
  <c r="C61" i="11"/>
  <c r="B61" i="11" s="1"/>
  <c r="DV149" i="12"/>
  <c r="DW119" i="12"/>
  <c r="H126" i="11" s="1"/>
  <c r="DU212" i="12"/>
  <c r="F219" i="11" s="1"/>
  <c r="C19" i="11"/>
  <c r="B19" i="11" s="1"/>
  <c r="DV65" i="12"/>
  <c r="DY48" i="12"/>
  <c r="D55" i="11" s="1"/>
  <c r="DZ62" i="12"/>
  <c r="G69" i="11" s="1"/>
  <c r="D198" i="11"/>
  <c r="DY144" i="12"/>
  <c r="D151" i="11" s="1"/>
  <c r="DZ133" i="12"/>
  <c r="F140" i="11" s="1"/>
  <c r="DU174" i="12"/>
  <c r="F181" i="11" s="1"/>
  <c r="C87" i="11"/>
  <c r="B87" i="11" s="1"/>
  <c r="DV75" i="12"/>
  <c r="G82" i="11" s="1"/>
  <c r="DV23" i="12"/>
  <c r="DU196" i="12"/>
  <c r="F203" i="11" s="1"/>
  <c r="DY13" i="12"/>
  <c r="E20" i="11" s="1"/>
  <c r="DU77" i="12"/>
  <c r="F84" i="11" s="1"/>
  <c r="DU151" i="12"/>
  <c r="DU131" i="12"/>
  <c r="F138" i="11" s="1"/>
  <c r="DY104" i="12"/>
  <c r="D111" i="11" s="1"/>
  <c r="DW146" i="12"/>
  <c r="H153" i="11" s="1"/>
  <c r="DU178" i="12"/>
  <c r="DV210" i="12"/>
  <c r="C64" i="11"/>
  <c r="B64" i="11" s="1"/>
  <c r="C36" i="11"/>
  <c r="B36" i="11" s="1"/>
  <c r="C174" i="11"/>
  <c r="B174" i="11" s="1"/>
  <c r="C95" i="11"/>
  <c r="B95" i="11" s="1"/>
  <c r="DW167" i="12"/>
  <c r="H174" i="11" s="1"/>
  <c r="C135" i="11"/>
  <c r="B135" i="11" s="1"/>
  <c r="DW137" i="12"/>
  <c r="H144" i="11" s="1"/>
  <c r="DW185" i="12"/>
  <c r="H192" i="11" s="1"/>
  <c r="DU35" i="12"/>
  <c r="F42" i="11" s="1"/>
  <c r="DV211" i="12"/>
  <c r="DV42" i="12"/>
  <c r="DU180" i="12"/>
  <c r="F187" i="11" s="1"/>
  <c r="DU192" i="12"/>
  <c r="DV156" i="12"/>
  <c r="G163" i="11" s="1"/>
  <c r="DY216" i="12"/>
  <c r="D223" i="11" s="1"/>
  <c r="DY106" i="12"/>
  <c r="D113" i="11" s="1"/>
  <c r="DY94" i="12"/>
  <c r="D101" i="11" s="1"/>
  <c r="DZ60" i="12"/>
  <c r="D130" i="11"/>
  <c r="DZ105" i="12"/>
  <c r="G112" i="11" s="1"/>
  <c r="DW128" i="12"/>
  <c r="H135" i="11" s="1"/>
  <c r="DW54" i="12"/>
  <c r="H61" i="11" s="1"/>
  <c r="C109" i="11"/>
  <c r="B109" i="11" s="1"/>
  <c r="DW88" i="12"/>
  <c r="H95" i="11" s="1"/>
  <c r="DZ54" i="12"/>
  <c r="F61" i="11" s="1"/>
  <c r="DZ216" i="12"/>
  <c r="DZ58" i="12"/>
  <c r="DZ167" i="12"/>
  <c r="F174" i="11" s="1"/>
  <c r="DZ201" i="12"/>
  <c r="G208" i="11" s="1"/>
  <c r="DY193" i="12"/>
  <c r="D200" i="11" s="1"/>
  <c r="DZ43" i="12"/>
  <c r="G50" i="11" s="1"/>
  <c r="DZ106" i="12"/>
  <c r="F113" i="11" s="1"/>
  <c r="DZ57" i="12"/>
  <c r="F64" i="11" s="1"/>
  <c r="DY46" i="12"/>
  <c r="D53" i="11" s="1"/>
  <c r="DW10" i="12"/>
  <c r="H17" i="11" s="1"/>
  <c r="DW106" i="12"/>
  <c r="H113" i="11" s="1"/>
  <c r="C197" i="11"/>
  <c r="B197" i="11" s="1"/>
  <c r="C192" i="11"/>
  <c r="B192" i="11" s="1"/>
  <c r="DV58" i="12"/>
  <c r="DV122" i="12"/>
  <c r="C169" i="11"/>
  <c r="B169" i="11" s="1"/>
  <c r="DW31" i="12"/>
  <c r="H38" i="11" s="1"/>
  <c r="DU82" i="12"/>
  <c r="DW195" i="12"/>
  <c r="H202" i="11" s="1"/>
  <c r="DV29" i="12"/>
  <c r="G36" i="11" s="1"/>
  <c r="DU37" i="12"/>
  <c r="F44" i="11" s="1"/>
  <c r="DU130" i="12"/>
  <c r="DU74" i="12"/>
  <c r="DU209" i="12"/>
  <c r="DW141" i="12"/>
  <c r="H148" i="11" s="1"/>
  <c r="DU183" i="12"/>
  <c r="C99" i="11"/>
  <c r="B99" i="11" s="1"/>
  <c r="DU41" i="12"/>
  <c r="DU169" i="12"/>
  <c r="F176" i="11" s="1"/>
  <c r="DV85" i="12"/>
  <c r="E160" i="11"/>
  <c r="DV87" i="12"/>
  <c r="DV22" i="12"/>
  <c r="DU190" i="12"/>
  <c r="DW77" i="12"/>
  <c r="H84" i="11" s="1"/>
  <c r="DU55" i="12"/>
  <c r="DV101" i="12"/>
  <c r="DV189" i="12"/>
  <c r="D83" i="11"/>
  <c r="DV76" i="12"/>
  <c r="G83" i="11" s="1"/>
  <c r="DW110" i="12"/>
  <c r="H117" i="11" s="1"/>
  <c r="DV100" i="12"/>
  <c r="DY103" i="12"/>
  <c r="D110" i="11" s="1"/>
  <c r="DU31" i="12"/>
  <c r="DY161" i="12"/>
  <c r="E168" i="11" s="1"/>
  <c r="DZ197" i="12"/>
  <c r="DU171" i="12"/>
  <c r="DV188" i="12"/>
  <c r="G195" i="11" s="1"/>
  <c r="DV217" i="12"/>
  <c r="DU86" i="12"/>
  <c r="F93" i="11" s="1"/>
  <c r="DZ220" i="12"/>
  <c r="F227" i="11" s="1"/>
  <c r="E176" i="11"/>
  <c r="DU51" i="12"/>
  <c r="F58" i="11" s="1"/>
  <c r="DU88" i="12"/>
  <c r="F95" i="11" s="1"/>
  <c r="DU148" i="12"/>
  <c r="F155" i="11" s="1"/>
  <c r="C65" i="11"/>
  <c r="B65" i="11" s="1"/>
  <c r="D11" i="11"/>
  <c r="DU5" i="12"/>
  <c r="DU72" i="12"/>
  <c r="DU58" i="12"/>
  <c r="E90" i="11"/>
  <c r="D204" i="11"/>
  <c r="DV4" i="12"/>
  <c r="DV200" i="12"/>
  <c r="DU108" i="12"/>
  <c r="G203" i="11"/>
  <c r="DY179" i="12"/>
  <c r="D186" i="11" s="1"/>
  <c r="DW66" i="12"/>
  <c r="H73" i="11" s="1"/>
  <c r="DZ195" i="12"/>
  <c r="F202" i="11" s="1"/>
  <c r="DY100" i="12"/>
  <c r="D107" i="11" s="1"/>
  <c r="DV72" i="12"/>
  <c r="DU68" i="12"/>
  <c r="F75" i="11" s="1"/>
  <c r="DU205" i="12"/>
  <c r="DW152" i="12"/>
  <c r="H159" i="11" s="1"/>
  <c r="DV152" i="12"/>
  <c r="C79" i="11"/>
  <c r="B79" i="11" s="1"/>
  <c r="DU4" i="12"/>
  <c r="DU7" i="12"/>
  <c r="DU21" i="12"/>
  <c r="DZ178" i="12"/>
  <c r="DY135" i="12"/>
  <c r="D142" i="11" s="1"/>
  <c r="DZ140" i="12"/>
  <c r="D10" i="11"/>
  <c r="DV94" i="12"/>
  <c r="C82" i="11"/>
  <c r="B82" i="11" s="1"/>
  <c r="DW75" i="12"/>
  <c r="H82" i="11" s="1"/>
  <c r="DY82" i="12"/>
  <c r="E89" i="11" s="1"/>
  <c r="C211" i="11"/>
  <c r="B211" i="11" s="1"/>
  <c r="C117" i="11"/>
  <c r="B117" i="11" s="1"/>
  <c r="DV6" i="12"/>
  <c r="DU16" i="12"/>
  <c r="DZ134" i="12"/>
  <c r="F141" i="11" s="1"/>
  <c r="C73" i="11"/>
  <c r="B73" i="11" s="1"/>
  <c r="DZ103" i="12"/>
  <c r="DZ135" i="12"/>
  <c r="G142" i="11" s="1"/>
  <c r="DZ82" i="12"/>
  <c r="G89" i="11" s="1"/>
  <c r="DZ124" i="12"/>
  <c r="F131" i="11" s="1"/>
  <c r="DY140" i="12"/>
  <c r="E147" i="11" s="1"/>
  <c r="DW194" i="12"/>
  <c r="H201" i="11" s="1"/>
  <c r="DV54" i="12"/>
  <c r="C84" i="11"/>
  <c r="B84" i="11" s="1"/>
  <c r="C90" i="11"/>
  <c r="B90" i="11" s="1"/>
  <c r="C132" i="11"/>
  <c r="B132" i="11" s="1"/>
  <c r="DW82" i="12"/>
  <c r="H89" i="11" s="1"/>
  <c r="DV5" i="12"/>
  <c r="G12" i="11" s="1"/>
  <c r="DU3" i="12"/>
  <c r="DV7" i="12"/>
  <c r="DU182" i="12"/>
  <c r="F189" i="11" s="1"/>
  <c r="DZ179" i="12"/>
  <c r="G186" i="11" s="1"/>
  <c r="DZ204" i="12"/>
  <c r="F211" i="11" s="1"/>
  <c r="DY195" i="12"/>
  <c r="E202" i="11" s="1"/>
  <c r="DZ50" i="12"/>
  <c r="F57" i="11" s="1"/>
  <c r="DZ125" i="12"/>
  <c r="G132" i="11" s="1"/>
  <c r="DZ110" i="12"/>
  <c r="G117" i="11" s="1"/>
  <c r="DZ161" i="12"/>
  <c r="DY75" i="12"/>
  <c r="D82" i="11" s="1"/>
  <c r="DZ218" i="12"/>
  <c r="DY194" i="12"/>
  <c r="D201" i="11" s="1"/>
  <c r="DV150" i="12"/>
  <c r="G42" i="11"/>
  <c r="DV88" i="12"/>
  <c r="G95" i="11" s="1"/>
  <c r="DY112" i="12"/>
  <c r="E119" i="11" s="1"/>
  <c r="D210" i="11"/>
  <c r="C225" i="11"/>
  <c r="B225" i="11" s="1"/>
  <c r="DY141" i="12"/>
  <c r="D148" i="11" s="1"/>
  <c r="DY77" i="12"/>
  <c r="E84" i="11" s="1"/>
  <c r="DZ83" i="12"/>
  <c r="G90" i="11" s="1"/>
  <c r="DY134" i="12"/>
  <c r="D141" i="11" s="1"/>
  <c r="DY204" i="12"/>
  <c r="D211" i="11" s="1"/>
  <c r="DY66" i="12"/>
  <c r="E73" i="11" s="1"/>
  <c r="DW103" i="12"/>
  <c r="H110" i="11" s="1"/>
  <c r="DY124" i="12"/>
  <c r="D131" i="11" s="1"/>
  <c r="DU152" i="12"/>
  <c r="DY50" i="12"/>
  <c r="E57" i="11" s="1"/>
  <c r="DY125" i="12"/>
  <c r="E132" i="11" s="1"/>
  <c r="DY217" i="12"/>
  <c r="D224" i="11" s="1"/>
  <c r="DY218" i="12"/>
  <c r="E225" i="11" s="1"/>
  <c r="DZ152" i="12"/>
  <c r="DZ194" i="12"/>
  <c r="DW197" i="12"/>
  <c r="H204" i="11" s="1"/>
  <c r="DU30" i="12"/>
  <c r="C107" i="11"/>
  <c r="B107" i="11" s="1"/>
  <c r="DW83" i="12"/>
  <c r="H90" i="11" s="1"/>
  <c r="DW112" i="12"/>
  <c r="H119" i="11" s="1"/>
  <c r="C204" i="11"/>
  <c r="B204" i="11" s="1"/>
  <c r="DW217" i="12"/>
  <c r="H224" i="11" s="1"/>
  <c r="C57" i="11"/>
  <c r="B57" i="11" s="1"/>
  <c r="DU109" i="12"/>
  <c r="D162" i="11"/>
  <c r="C148" i="11"/>
  <c r="B148" i="11" s="1"/>
  <c r="DU83" i="12"/>
  <c r="DU132" i="12"/>
  <c r="DY220" i="12"/>
  <c r="E227" i="11" s="1"/>
  <c r="DZ112" i="12"/>
  <c r="G119" i="11" s="1"/>
  <c r="DY178" i="12"/>
  <c r="E185" i="11" s="1"/>
  <c r="DZ217" i="12"/>
  <c r="F224" i="11" s="1"/>
  <c r="DZ100" i="12"/>
  <c r="DY152" i="12"/>
  <c r="E159" i="11" s="1"/>
  <c r="C185" i="11"/>
  <c r="B185" i="11" s="1"/>
  <c r="C131" i="11"/>
  <c r="B131" i="11" s="1"/>
  <c r="DW140" i="12"/>
  <c r="H147" i="11" s="1"/>
  <c r="C227" i="11"/>
  <c r="B227" i="11" s="1"/>
  <c r="DW179" i="12"/>
  <c r="H186" i="11" s="1"/>
  <c r="DW161" i="12"/>
  <c r="H168" i="11" s="1"/>
  <c r="DU6" i="12"/>
  <c r="D104" i="11"/>
  <c r="DV169" i="12"/>
  <c r="G176" i="11" s="1"/>
  <c r="DV3" i="12"/>
  <c r="E11" i="11"/>
  <c r="E10" i="11"/>
  <c r="D143" i="11"/>
  <c r="DU114" i="12"/>
  <c r="DU140" i="12"/>
  <c r="DV199" i="12"/>
  <c r="D38" i="11"/>
  <c r="E38" i="11"/>
  <c r="DU95" i="12"/>
  <c r="DU102" i="12"/>
  <c r="DV128" i="12"/>
  <c r="C27" i="11"/>
  <c r="B27" i="11" s="1"/>
  <c r="C171" i="11"/>
  <c r="B171" i="11" s="1"/>
  <c r="DY72" i="12"/>
  <c r="D79" i="11" s="1"/>
  <c r="DY78" i="12"/>
  <c r="D85" i="11" s="1"/>
  <c r="DY160" i="12"/>
  <c r="D167" i="11" s="1"/>
  <c r="DY145" i="12"/>
  <c r="E152" i="11" s="1"/>
  <c r="DZ80" i="12"/>
  <c r="G87" i="11" s="1"/>
  <c r="DW59" i="12"/>
  <c r="H66" i="11" s="1"/>
  <c r="DY45" i="12"/>
  <c r="D52" i="11" s="1"/>
  <c r="DY206" i="12"/>
  <c r="E213" i="11" s="1"/>
  <c r="DZ16" i="12"/>
  <c r="DZ47" i="12"/>
  <c r="F54" i="11" s="1"/>
  <c r="C194" i="11"/>
  <c r="B194" i="11" s="1"/>
  <c r="DW6" i="12"/>
  <c r="H13" i="11" s="1"/>
  <c r="DW4" i="12"/>
  <c r="H11" i="11" s="1"/>
  <c r="DW45" i="12"/>
  <c r="H52" i="11" s="1"/>
  <c r="DY200" i="12"/>
  <c r="E207" i="11" s="1"/>
  <c r="G93" i="11"/>
  <c r="DW160" i="12"/>
  <c r="H167" i="11" s="1"/>
  <c r="DW200" i="12"/>
  <c r="H207" i="11" s="1"/>
  <c r="DV56" i="12"/>
  <c r="G63" i="11" s="1"/>
  <c r="DW172" i="12"/>
  <c r="H179" i="11" s="1"/>
  <c r="DW145" i="12"/>
  <c r="H152" i="11" s="1"/>
  <c r="C85" i="11"/>
  <c r="B85" i="11" s="1"/>
  <c r="DW162" i="12"/>
  <c r="H169" i="11" s="1"/>
  <c r="C59" i="11"/>
  <c r="B59" i="11" s="1"/>
  <c r="DW80" i="12"/>
  <c r="H87" i="11" s="1"/>
  <c r="C150" i="11"/>
  <c r="B150" i="11" s="1"/>
  <c r="DW16" i="12"/>
  <c r="H23" i="11" s="1"/>
  <c r="DW159" i="12"/>
  <c r="H166" i="11" s="1"/>
  <c r="DV49" i="12"/>
  <c r="DU34" i="12"/>
  <c r="F41" i="11" s="1"/>
  <c r="DU201" i="12"/>
  <c r="DV40" i="12"/>
  <c r="DW20" i="12"/>
  <c r="H27" i="11" s="1"/>
  <c r="DW164" i="12"/>
  <c r="H171" i="11" s="1"/>
  <c r="DZ19" i="12"/>
  <c r="DY166" i="12"/>
  <c r="E173" i="11" s="1"/>
  <c r="DZ52" i="12"/>
  <c r="DZ145" i="12"/>
  <c r="DY49" i="12"/>
  <c r="D56" i="11" s="1"/>
  <c r="C66" i="11"/>
  <c r="B66" i="11" s="1"/>
  <c r="DY81" i="12"/>
  <c r="E88" i="11" s="1"/>
  <c r="DZ33" i="12"/>
  <c r="G40" i="11" s="1"/>
  <c r="DZ206" i="12"/>
  <c r="DZ31" i="12"/>
  <c r="G38" i="11" s="1"/>
  <c r="DY20" i="12"/>
  <c r="E27" i="11" s="1"/>
  <c r="DZ6" i="12"/>
  <c r="DY172" i="12"/>
  <c r="D179" i="11" s="1"/>
  <c r="C11" i="11"/>
  <c r="B11" i="11" s="1"/>
  <c r="DU26" i="12"/>
  <c r="C38" i="11"/>
  <c r="B38" i="11" s="1"/>
  <c r="DW187" i="12"/>
  <c r="H194" i="11" s="1"/>
  <c r="C213" i="11"/>
  <c r="B213" i="11" s="1"/>
  <c r="DW81" i="12"/>
  <c r="H88" i="11" s="1"/>
  <c r="DW19" i="12"/>
  <c r="H26" i="11" s="1"/>
  <c r="DY19" i="12"/>
  <c r="D26" i="11" s="1"/>
  <c r="DZ166" i="12"/>
  <c r="DY52" i="12"/>
  <c r="D59" i="11" s="1"/>
  <c r="DZ49" i="12"/>
  <c r="F56" i="11" s="1"/>
  <c r="DZ81" i="12"/>
  <c r="G88" i="11" s="1"/>
  <c r="DY33" i="12"/>
  <c r="D40" i="11" s="1"/>
  <c r="DZ143" i="12"/>
  <c r="G150" i="11" s="1"/>
  <c r="DZ172" i="12"/>
  <c r="G179" i="11" s="1"/>
  <c r="DZ159" i="12"/>
  <c r="G166" i="11" s="1"/>
  <c r="DW49" i="12"/>
  <c r="H56" i="11" s="1"/>
  <c r="DW33" i="12"/>
  <c r="H40" i="11" s="1"/>
  <c r="DU18" i="12"/>
  <c r="F25" i="11" s="1"/>
  <c r="E74" i="11"/>
  <c r="E222" i="11"/>
  <c r="DV195" i="12"/>
  <c r="DU48" i="12"/>
  <c r="DV140" i="12"/>
  <c r="DU99" i="12"/>
  <c r="F106" i="11" s="1"/>
  <c r="DW62" i="12"/>
  <c r="H69" i="11" s="1"/>
  <c r="DW132" i="12"/>
  <c r="H139" i="11" s="1"/>
  <c r="DU62" i="12"/>
  <c r="D77" i="11"/>
  <c r="E21" i="11"/>
  <c r="DV114" i="12"/>
  <c r="G164" i="11"/>
  <c r="D160" i="11"/>
  <c r="DW165" i="12"/>
  <c r="H172" i="11" s="1"/>
  <c r="DW120" i="12"/>
  <c r="H127" i="11" s="1"/>
  <c r="DW41" i="12"/>
  <c r="H48" i="11" s="1"/>
  <c r="DU199" i="12"/>
  <c r="DY41" i="12"/>
  <c r="D48" i="11" s="1"/>
  <c r="DY207" i="12"/>
  <c r="E214" i="11" s="1"/>
  <c r="DW135" i="12"/>
  <c r="H142" i="11" s="1"/>
  <c r="F169" i="11"/>
  <c r="D61" i="11"/>
  <c r="G154" i="11"/>
  <c r="DW92" i="12"/>
  <c r="H99" i="11" s="1"/>
  <c r="E174" i="11"/>
  <c r="D135" i="11"/>
  <c r="G216" i="11"/>
  <c r="DU92" i="12"/>
  <c r="F96" i="11"/>
  <c r="DV148" i="12"/>
  <c r="G155" i="11" s="1"/>
  <c r="E139" i="11"/>
  <c r="DV203" i="12"/>
  <c r="D99" i="11"/>
  <c r="E99" i="11"/>
  <c r="DV36" i="12"/>
  <c r="D221" i="11"/>
  <c r="DY12" i="12"/>
  <c r="D19" i="11" s="1"/>
  <c r="DZ144" i="12"/>
  <c r="DZ151" i="12"/>
  <c r="G158" i="11" s="1"/>
  <c r="DZ150" i="12"/>
  <c r="F157" i="11" s="1"/>
  <c r="C75" i="11"/>
  <c r="B75" i="11" s="1"/>
  <c r="DW144" i="12"/>
  <c r="H151" i="11" s="1"/>
  <c r="C69" i="11"/>
  <c r="B69" i="11" s="1"/>
  <c r="DW30" i="12"/>
  <c r="H37" i="11" s="1"/>
  <c r="DU207" i="12"/>
  <c r="DV89" i="12"/>
  <c r="G96" i="11" s="1"/>
  <c r="DV167" i="12"/>
  <c r="DU43" i="12"/>
  <c r="DW104" i="12"/>
  <c r="H111" i="11" s="1"/>
  <c r="DY146" i="12"/>
  <c r="D153" i="11" s="1"/>
  <c r="DZ132" i="12"/>
  <c r="DY219" i="12"/>
  <c r="E226" i="11" s="1"/>
  <c r="DZ210" i="12"/>
  <c r="DY102" i="12"/>
  <c r="D109" i="11" s="1"/>
  <c r="DZ12" i="12"/>
  <c r="DY53" i="12"/>
  <c r="D60" i="11" s="1"/>
  <c r="DZ116" i="12"/>
  <c r="F123" i="11" s="1"/>
  <c r="DU81" i="12"/>
  <c r="DV106" i="12"/>
  <c r="D138" i="11"/>
  <c r="DZ92" i="12"/>
  <c r="DZ183" i="12"/>
  <c r="DY120" i="12"/>
  <c r="D127" i="11" s="1"/>
  <c r="DZ149" i="12"/>
  <c r="F156" i="11" s="1"/>
  <c r="DY68" i="12"/>
  <c r="E75" i="11" s="1"/>
  <c r="DZ39" i="12"/>
  <c r="G46" i="11" s="1"/>
  <c r="DZ10" i="12"/>
  <c r="DY29" i="12"/>
  <c r="DZ165" i="12"/>
  <c r="DY79" i="12"/>
  <c r="DY137" i="12"/>
  <c r="D144" i="11" s="1"/>
  <c r="DW193" i="12"/>
  <c r="H200" i="11" s="1"/>
  <c r="DY30" i="12"/>
  <c r="D37" i="11" s="1"/>
  <c r="DY150" i="12"/>
  <c r="E157" i="11" s="1"/>
  <c r="E163" i="11"/>
  <c r="C127" i="11"/>
  <c r="B127" i="11" s="1"/>
  <c r="C196" i="11"/>
  <c r="B196" i="11" s="1"/>
  <c r="DU91" i="12"/>
  <c r="DV202" i="12"/>
  <c r="C139" i="11"/>
  <c r="B139" i="11" s="1"/>
  <c r="C158" i="11"/>
  <c r="B158" i="11" s="1"/>
  <c r="DW29" i="12"/>
  <c r="H36" i="11" s="1"/>
  <c r="DW149" i="12"/>
  <c r="H156" i="11" s="1"/>
  <c r="DW68" i="12"/>
  <c r="H75" i="11" s="1"/>
  <c r="C226" i="11"/>
  <c r="B226" i="11" s="1"/>
  <c r="DW46" i="12"/>
  <c r="H53" i="11" s="1"/>
  <c r="DU10" i="12"/>
  <c r="C149" i="11"/>
  <c r="B149" i="11" s="1"/>
  <c r="C214" i="11"/>
  <c r="B214" i="11" s="1"/>
  <c r="C144" i="11"/>
  <c r="B144" i="11" s="1"/>
  <c r="DW210" i="12"/>
  <c r="H217" i="11" s="1"/>
  <c r="DW47" i="12"/>
  <c r="H54" i="11" s="1"/>
  <c r="C54" i="11"/>
  <c r="B54" i="11" s="1"/>
  <c r="G160" i="11"/>
  <c r="C20" i="11"/>
  <c r="B20" i="11" s="1"/>
  <c r="DZ48" i="12"/>
  <c r="G55" i="11" s="1"/>
  <c r="DZ41" i="12"/>
  <c r="G48" i="11" s="1"/>
  <c r="DZ53" i="12"/>
  <c r="G60" i="11" s="1"/>
  <c r="G138" i="11"/>
  <c r="DY183" i="12"/>
  <c r="E190" i="11" s="1"/>
  <c r="DY149" i="12"/>
  <c r="E156" i="11" s="1"/>
  <c r="DY39" i="12"/>
  <c r="D46" i="11" s="1"/>
  <c r="C172" i="11"/>
  <c r="B172" i="11" s="1"/>
  <c r="DY133" i="12"/>
  <c r="E140" i="11" s="1"/>
  <c r="C157" i="11"/>
  <c r="B157" i="11" s="1"/>
  <c r="DW176" i="12"/>
  <c r="H183" i="11" s="1"/>
  <c r="DW53" i="12"/>
  <c r="H60" i="11" s="1"/>
  <c r="C55" i="11"/>
  <c r="B55" i="11" s="1"/>
  <c r="C140" i="11"/>
  <c r="B140" i="11" s="1"/>
  <c r="DU112" i="12"/>
  <c r="DU53" i="12"/>
  <c r="DU79" i="12"/>
  <c r="DU203" i="12"/>
  <c r="DW13" i="12"/>
  <c r="H20" i="11" s="1"/>
  <c r="DW60" i="12"/>
  <c r="H67" i="11" s="1"/>
  <c r="D155" i="11"/>
  <c r="DY119" i="12"/>
  <c r="E126" i="11" s="1"/>
  <c r="DY88" i="12"/>
  <c r="E95" i="11" s="1"/>
  <c r="DY176" i="12"/>
  <c r="E183" i="11" s="1"/>
  <c r="DY142" i="12"/>
  <c r="D149" i="11" s="1"/>
  <c r="DY201" i="12"/>
  <c r="D208" i="11" s="1"/>
  <c r="DU137" i="12"/>
  <c r="F144" i="11" s="1"/>
  <c r="D91" i="11"/>
  <c r="E117" i="11"/>
  <c r="DY189" i="12"/>
  <c r="E196" i="11" s="1"/>
  <c r="E98" i="11"/>
  <c r="G181" i="11"/>
  <c r="DZ119" i="12"/>
  <c r="DZ219" i="12"/>
  <c r="F226" i="11" s="1"/>
  <c r="DZ176" i="12"/>
  <c r="DY210" i="12"/>
  <c r="E217" i="11" s="1"/>
  <c r="DZ102" i="12"/>
  <c r="G109" i="11" s="1"/>
  <c r="E87" i="11"/>
  <c r="DY57" i="12"/>
  <c r="E64" i="11" s="1"/>
  <c r="DZ207" i="12"/>
  <c r="G214" i="11" s="1"/>
  <c r="DU143" i="12"/>
  <c r="DZ94" i="12"/>
  <c r="DY190" i="12"/>
  <c r="D197" i="11" s="1"/>
  <c r="DZ46" i="12"/>
  <c r="F53" i="11" s="1"/>
  <c r="DZ79" i="12"/>
  <c r="G86" i="11" s="1"/>
  <c r="DZ30" i="12"/>
  <c r="G37" i="11" s="1"/>
  <c r="DY105" i="12"/>
  <c r="C112" i="11"/>
  <c r="B112" i="11" s="1"/>
  <c r="C208" i="11"/>
  <c r="B208" i="11" s="1"/>
  <c r="C101" i="11"/>
  <c r="B101" i="11" s="1"/>
  <c r="C46" i="11"/>
  <c r="B46" i="11" s="1"/>
  <c r="C190" i="11"/>
  <c r="B190" i="11" s="1"/>
  <c r="C223" i="11"/>
  <c r="B223" i="11" s="1"/>
  <c r="DW134" i="12"/>
  <c r="H141" i="11" s="1"/>
  <c r="DU155" i="12"/>
  <c r="F162" i="11" s="1"/>
  <c r="DU103" i="12"/>
  <c r="DV103" i="12"/>
  <c r="DV51" i="12"/>
  <c r="G58" i="11" s="1"/>
  <c r="DV8" i="12"/>
  <c r="DU216" i="12"/>
  <c r="DV92" i="12"/>
  <c r="F195" i="11"/>
  <c r="D154" i="11"/>
  <c r="DV10" i="12"/>
  <c r="G41" i="11"/>
  <c r="DU25" i="12"/>
  <c r="DU78" i="12"/>
  <c r="DV46" i="12"/>
  <c r="DV121" i="12"/>
  <c r="G128" i="11" s="1"/>
  <c r="DU208" i="12"/>
  <c r="F215" i="11" s="1"/>
  <c r="E198" i="11"/>
  <c r="F149" i="11"/>
  <c r="E69" i="11"/>
  <c r="DV155" i="12"/>
  <c r="G162" i="11" s="1"/>
  <c r="DV57" i="12"/>
  <c r="DV9" i="12"/>
  <c r="F128" i="11"/>
  <c r="DU33" i="12"/>
  <c r="DV220" i="12"/>
  <c r="DV216" i="12"/>
  <c r="DU214" i="12"/>
  <c r="F221" i="11" s="1"/>
  <c r="DU125" i="12"/>
  <c r="F165" i="11"/>
  <c r="DU139" i="12"/>
  <c r="DV99" i="12"/>
  <c r="G106" i="11" s="1"/>
  <c r="E146" i="11"/>
  <c r="E54" i="11"/>
  <c r="DV113" i="12"/>
  <c r="DU9" i="12"/>
  <c r="DU8" i="12"/>
  <c r="DU12" i="12"/>
  <c r="E130" i="11"/>
  <c r="DV14" i="12"/>
  <c r="DU14" i="12"/>
  <c r="DV12" i="12"/>
  <c r="DU13" i="12"/>
  <c r="F20" i="11" s="1"/>
  <c r="E138" i="11"/>
  <c r="D176" i="11"/>
  <c r="D170" i="11"/>
  <c r="F163" i="11"/>
  <c r="D215" i="11"/>
  <c r="G215" i="11"/>
  <c r="DV11" i="12"/>
  <c r="DV13" i="12"/>
  <c r="G20" i="11" s="1"/>
  <c r="D16" i="11"/>
  <c r="E16" i="11"/>
  <c r="E31" i="11"/>
  <c r="DU11" i="12"/>
  <c r="F77" i="11"/>
  <c r="G122" i="11"/>
  <c r="E25" i="11"/>
  <c r="D21" i="11"/>
  <c r="CX487" i="12"/>
  <c r="CX471" i="12"/>
  <c r="CX473" i="12"/>
  <c r="CX485" i="12"/>
  <c r="CX482" i="12"/>
  <c r="CX476" i="12"/>
  <c r="CX474" i="12"/>
  <c r="CX480" i="12"/>
  <c r="CX478" i="12"/>
  <c r="CX483" i="12"/>
  <c r="CX477" i="12"/>
  <c r="CX475" i="12"/>
  <c r="CX486" i="12"/>
  <c r="CX472" i="12"/>
  <c r="CX479" i="12"/>
  <c r="CX481" i="12"/>
  <c r="CX484" i="12"/>
  <c r="JK30" i="12"/>
  <c r="JL30" i="12" s="1"/>
  <c r="EA30" i="12" s="1"/>
  <c r="JH31" i="12"/>
  <c r="D98" i="11"/>
  <c r="D192" i="11"/>
  <c r="G74" i="11"/>
  <c r="DV93" i="12"/>
  <c r="DU93" i="12"/>
  <c r="E210" i="11"/>
  <c r="DU60" i="12"/>
  <c r="DV165" i="12"/>
  <c r="D187" i="11"/>
  <c r="D174" i="11"/>
  <c r="DU45" i="12"/>
  <c r="DU59" i="12"/>
  <c r="F66" i="11" s="1"/>
  <c r="DU126" i="12"/>
  <c r="F133" i="11" s="1"/>
  <c r="DV126" i="12"/>
  <c r="G133" i="11" s="1"/>
  <c r="F45" i="11"/>
  <c r="G137" i="11"/>
  <c r="F63" i="11"/>
  <c r="DV120" i="12"/>
  <c r="G127" i="11" s="1"/>
  <c r="DU119" i="12"/>
  <c r="DV66" i="12"/>
  <c r="G73" i="11" s="1"/>
  <c r="DV59" i="12"/>
  <c r="G66" i="11" s="1"/>
  <c r="F36" i="11"/>
  <c r="E51" i="11"/>
  <c r="E30" i="11"/>
  <c r="E191" i="11"/>
  <c r="DV119" i="12"/>
  <c r="DU138" i="12"/>
  <c r="F145" i="11" s="1"/>
  <c r="F188" i="11"/>
  <c r="D70" i="11"/>
  <c r="E71" i="11"/>
  <c r="DV45" i="12"/>
  <c r="D93" i="11"/>
  <c r="DU120" i="12"/>
  <c r="F127" i="11" s="1"/>
  <c r="DV138" i="12"/>
  <c r="G145" i="11" s="1"/>
  <c r="DU187" i="12"/>
  <c r="F194" i="11" s="1"/>
  <c r="DV187" i="12"/>
  <c r="G194" i="11" s="1"/>
  <c r="E135" i="11"/>
  <c r="G219" i="11"/>
  <c r="DV141" i="12"/>
  <c r="G148" i="11" s="1"/>
  <c r="DU141" i="12"/>
  <c r="F148" i="11" s="1"/>
  <c r="D136" i="11"/>
  <c r="G144" i="11"/>
  <c r="F170" i="11"/>
  <c r="D43" i="11"/>
  <c r="DU24" i="12"/>
  <c r="E221" i="11"/>
  <c r="D188" i="11"/>
  <c r="E83" i="11"/>
  <c r="E61" i="11"/>
  <c r="DU194" i="12"/>
  <c r="DU165" i="12"/>
  <c r="DV193" i="12"/>
  <c r="DU66" i="12"/>
  <c r="F73" i="11" s="1"/>
  <c r="DV61" i="12"/>
  <c r="DU61" i="12"/>
  <c r="G102" i="11"/>
  <c r="E178" i="11"/>
  <c r="D163" i="11"/>
  <c r="E182" i="11"/>
  <c r="E129" i="11"/>
  <c r="E209" i="11"/>
  <c r="E136" i="11"/>
  <c r="DV164" i="12"/>
  <c r="G171" i="11" s="1"/>
  <c r="DU164" i="12"/>
  <c r="F171" i="11" s="1"/>
  <c r="G44" i="11"/>
  <c r="E195" i="11"/>
  <c r="D128" i="11"/>
  <c r="E67" i="11"/>
  <c r="D133" i="11"/>
  <c r="DU28" i="12"/>
  <c r="DU193" i="12"/>
  <c r="DU20" i="12"/>
  <c r="F27" i="11" s="1"/>
  <c r="DV20" i="12"/>
  <c r="G27" i="11" s="1"/>
  <c r="DU168" i="12"/>
  <c r="F175" i="11" s="1"/>
  <c r="DU166" i="12"/>
  <c r="DV166" i="12"/>
  <c r="D182" i="11"/>
  <c r="DV175" i="12"/>
  <c r="DV71" i="12"/>
  <c r="G78" i="11" s="1"/>
  <c r="DU71" i="12"/>
  <c r="F78" i="11" s="1"/>
  <c r="DU117" i="12"/>
  <c r="DV117" i="12"/>
  <c r="DU160" i="12"/>
  <c r="DV160" i="12"/>
  <c r="D203" i="11"/>
  <c r="G187" i="11"/>
  <c r="F83" i="11"/>
  <c r="E49" i="11"/>
  <c r="E204" i="11"/>
  <c r="DU198" i="12"/>
  <c r="F205" i="11" s="1"/>
  <c r="DV198" i="12"/>
  <c r="G205" i="11" s="1"/>
  <c r="D90" i="11"/>
  <c r="G75" i="11"/>
  <c r="DU170" i="12"/>
  <c r="DV168" i="12"/>
  <c r="G175" i="11" s="1"/>
  <c r="E161" i="11"/>
  <c r="DV28" i="12"/>
  <c r="D87" i="11"/>
  <c r="D47" i="11"/>
  <c r="E165" i="11"/>
  <c r="E218" i="11"/>
  <c r="DU129" i="12"/>
  <c r="F136" i="11" s="1"/>
  <c r="D161" i="11"/>
  <c r="DV154" i="12"/>
  <c r="G161" i="11" s="1"/>
  <c r="DU154" i="12"/>
  <c r="D13" i="11"/>
  <c r="E13" i="11"/>
  <c r="E68" i="11"/>
  <c r="D68" i="11"/>
  <c r="DV177" i="12"/>
  <c r="G184" i="11" s="1"/>
  <c r="DU177" i="12"/>
  <c r="F184" i="11" s="1"/>
  <c r="E120" i="11"/>
  <c r="D120" i="11"/>
  <c r="DV218" i="12"/>
  <c r="DU218" i="12"/>
  <c r="F22" i="11"/>
  <c r="G22" i="11"/>
  <c r="D222" i="11"/>
  <c r="DV215" i="12"/>
  <c r="G222" i="11" s="1"/>
  <c r="DU215" i="12"/>
  <c r="F222" i="11" s="1"/>
  <c r="G221" i="11"/>
  <c r="DS231" i="12"/>
  <c r="DT231" i="12"/>
  <c r="G220" i="11"/>
  <c r="E216" i="11"/>
  <c r="E162" i="11"/>
  <c r="DV104" i="12"/>
  <c r="G111" i="11" s="1"/>
  <c r="D139" i="11"/>
  <c r="E63" i="11"/>
  <c r="D134" i="11"/>
  <c r="E97" i="11"/>
  <c r="E122" i="11"/>
  <c r="D67" i="11"/>
  <c r="DV60" i="12"/>
  <c r="E22" i="11"/>
  <c r="D22" i="11"/>
  <c r="D97" i="11"/>
  <c r="DU90" i="12"/>
  <c r="DV90" i="12"/>
  <c r="D17" i="11"/>
  <c r="E17" i="11"/>
  <c r="E172" i="11"/>
  <c r="D172" i="11"/>
  <c r="D191" i="11"/>
  <c r="DV184" i="12"/>
  <c r="G191" i="11" s="1"/>
  <c r="DU184" i="12"/>
  <c r="F191" i="11" s="1"/>
  <c r="DV194" i="12"/>
  <c r="G84" i="11"/>
  <c r="F82" i="11"/>
  <c r="D69" i="11"/>
  <c r="DU104" i="12"/>
  <c r="F111" i="11" s="1"/>
  <c r="DV24" i="12"/>
  <c r="DV170" i="12"/>
  <c r="DU175" i="12"/>
  <c r="DV129" i="12"/>
  <c r="G136" i="11" s="1"/>
  <c r="FU137" i="12"/>
  <c r="GR137" i="12" s="1"/>
  <c r="FR138" i="12"/>
  <c r="CX2234" i="12"/>
  <c r="E29" i="11" l="1"/>
  <c r="F161" i="11"/>
  <c r="E206" i="11"/>
  <c r="D124" i="11"/>
  <c r="F68" i="11"/>
  <c r="G68" i="11"/>
  <c r="E12" i="11"/>
  <c r="D181" i="11"/>
  <c r="F160" i="11"/>
  <c r="F122" i="11"/>
  <c r="D45" i="11"/>
  <c r="G51" i="11"/>
  <c r="F17" i="11"/>
  <c r="G71" i="11"/>
  <c r="F102" i="11"/>
  <c r="F12" i="11"/>
  <c r="D199" i="11"/>
  <c r="E189" i="11"/>
  <c r="E184" i="11"/>
  <c r="F39" i="11"/>
  <c r="E78" i="11"/>
  <c r="E62" i="11"/>
  <c r="D193" i="11"/>
  <c r="E220" i="11"/>
  <c r="D102" i="11"/>
  <c r="CW19" i="12"/>
  <c r="F31" i="11"/>
  <c r="G31" i="11"/>
  <c r="D164" i="11"/>
  <c r="E41" i="11"/>
  <c r="D177" i="11"/>
  <c r="DX27" i="12"/>
  <c r="DY27" i="12" s="1"/>
  <c r="DX7" i="12"/>
  <c r="F16" i="11"/>
  <c r="G70" i="11"/>
  <c r="F118" i="11"/>
  <c r="E212" i="11"/>
  <c r="D58" i="11"/>
  <c r="E94" i="11"/>
  <c r="E39" i="11"/>
  <c r="D42" i="11"/>
  <c r="E92" i="11"/>
  <c r="E205" i="11"/>
  <c r="G120" i="11"/>
  <c r="F146" i="11"/>
  <c r="G10" i="11"/>
  <c r="F216" i="11"/>
  <c r="F10" i="11"/>
  <c r="G129" i="11"/>
  <c r="F100" i="11"/>
  <c r="G16" i="11"/>
  <c r="D175" i="11"/>
  <c r="G43" i="11"/>
  <c r="F104" i="11"/>
  <c r="D115" i="11"/>
  <c r="E96" i="11"/>
  <c r="G108" i="11"/>
  <c r="D105" i="11"/>
  <c r="D118" i="11"/>
  <c r="E80" i="11"/>
  <c r="G124" i="11"/>
  <c r="E81" i="11"/>
  <c r="E103" i="11"/>
  <c r="E106" i="11"/>
  <c r="F124" i="11"/>
  <c r="D44" i="11"/>
  <c r="G209" i="11"/>
  <c r="F98" i="11"/>
  <c r="F206" i="11"/>
  <c r="G47" i="11"/>
  <c r="G218" i="11"/>
  <c r="F198" i="11"/>
  <c r="G206" i="11"/>
  <c r="F116" i="11"/>
  <c r="G92" i="11"/>
  <c r="F180" i="11"/>
  <c r="D125" i="11"/>
  <c r="F154" i="11"/>
  <c r="G100" i="11"/>
  <c r="F199" i="11"/>
  <c r="F103" i="11"/>
  <c r="F193" i="11"/>
  <c r="G29" i="11"/>
  <c r="F81" i="11"/>
  <c r="F91" i="11"/>
  <c r="G97" i="11"/>
  <c r="F212" i="11"/>
  <c r="F115" i="11"/>
  <c r="F62" i="11"/>
  <c r="G105" i="11"/>
  <c r="G72" i="11"/>
  <c r="DX17" i="12"/>
  <c r="DW17" i="12" s="1"/>
  <c r="H24" i="11" s="1"/>
  <c r="F21" i="11"/>
  <c r="F130" i="11"/>
  <c r="D137" i="11"/>
  <c r="G94" i="11"/>
  <c r="G49" i="11"/>
  <c r="D219" i="11"/>
  <c r="F76" i="11"/>
  <c r="F114" i="11"/>
  <c r="F182" i="11"/>
  <c r="D180" i="11"/>
  <c r="G182" i="11"/>
  <c r="G21" i="11"/>
  <c r="G80" i="11"/>
  <c r="F125" i="11"/>
  <c r="G143" i="11"/>
  <c r="D72" i="11"/>
  <c r="DX28" i="12"/>
  <c r="C35" i="11" s="1"/>
  <c r="B35" i="11" s="1"/>
  <c r="D108" i="11"/>
  <c r="F210" i="11"/>
  <c r="F72" i="11"/>
  <c r="F97" i="11"/>
  <c r="D76" i="11"/>
  <c r="G177" i="11"/>
  <c r="G210" i="11"/>
  <c r="F178" i="11"/>
  <c r="E100" i="11"/>
  <c r="F177" i="11"/>
  <c r="G30" i="11"/>
  <c r="D145" i="11"/>
  <c r="E114" i="11"/>
  <c r="G121" i="11"/>
  <c r="F121" i="11"/>
  <c r="D194" i="11"/>
  <c r="E116" i="11"/>
  <c r="F137" i="11"/>
  <c r="DX26" i="12"/>
  <c r="G134" i="11"/>
  <c r="D121" i="11"/>
  <c r="DX25" i="12"/>
  <c r="AQ164" i="12"/>
  <c r="AQ165" i="12" s="1"/>
  <c r="G23" i="11"/>
  <c r="G167" i="11"/>
  <c r="F11" i="11"/>
  <c r="G61" i="11"/>
  <c r="AQ166" i="12"/>
  <c r="HT44" i="12"/>
  <c r="HO45" i="12"/>
  <c r="E66" i="11"/>
  <c r="F152" i="11"/>
  <c r="E101" i="11"/>
  <c r="E111" i="11"/>
  <c r="D166" i="11"/>
  <c r="E150" i="11"/>
  <c r="D23" i="11"/>
  <c r="F85" i="11"/>
  <c r="F79" i="11"/>
  <c r="F167" i="11"/>
  <c r="G79" i="11"/>
  <c r="G11" i="11"/>
  <c r="E171" i="11"/>
  <c r="G64" i="11"/>
  <c r="D169" i="11"/>
  <c r="G52" i="11"/>
  <c r="F52" i="11"/>
  <c r="G225" i="11"/>
  <c r="E223" i="11"/>
  <c r="D50" i="11"/>
  <c r="G207" i="11"/>
  <c r="G140" i="11"/>
  <c r="E110" i="11"/>
  <c r="G59" i="11"/>
  <c r="F168" i="11"/>
  <c r="D119" i="11"/>
  <c r="F190" i="11"/>
  <c r="G151" i="11"/>
  <c r="G196" i="11"/>
  <c r="G159" i="11"/>
  <c r="G153" i="11"/>
  <c r="F183" i="11"/>
  <c r="F69" i="11"/>
  <c r="G213" i="11"/>
  <c r="G135" i="11"/>
  <c r="F185" i="11"/>
  <c r="F50" i="11"/>
  <c r="F117" i="11"/>
  <c r="G200" i="11"/>
  <c r="D147" i="11"/>
  <c r="F200" i="11"/>
  <c r="G65" i="11"/>
  <c r="E158" i="11"/>
  <c r="E151" i="11"/>
  <c r="F208" i="11"/>
  <c r="F46" i="11"/>
  <c r="G107" i="11"/>
  <c r="E200" i="11"/>
  <c r="G201" i="11"/>
  <c r="F67" i="11"/>
  <c r="F204" i="11"/>
  <c r="D190" i="11"/>
  <c r="D20" i="11"/>
  <c r="D225" i="11"/>
  <c r="E52" i="11"/>
  <c r="D185" i="11"/>
  <c r="D126" i="11"/>
  <c r="E208" i="11"/>
  <c r="F159" i="11"/>
  <c r="F65" i="11"/>
  <c r="E142" i="11"/>
  <c r="G168" i="11"/>
  <c r="D159" i="11"/>
  <c r="E148" i="11"/>
  <c r="F139" i="11"/>
  <c r="F197" i="11"/>
  <c r="E113" i="11"/>
  <c r="G113" i="11"/>
  <c r="D123" i="11"/>
  <c r="E65" i="11"/>
  <c r="G26" i="11"/>
  <c r="D89" i="11"/>
  <c r="F201" i="11"/>
  <c r="G204" i="11"/>
  <c r="G197" i="11"/>
  <c r="G217" i="11"/>
  <c r="G54" i="11"/>
  <c r="G13" i="11"/>
  <c r="G131" i="11"/>
  <c r="G192" i="11"/>
  <c r="G172" i="11"/>
  <c r="D73" i="11"/>
  <c r="E186" i="11"/>
  <c r="F172" i="11"/>
  <c r="E167" i="11"/>
  <c r="G67" i="11"/>
  <c r="E55" i="11"/>
  <c r="E53" i="11"/>
  <c r="E127" i="11"/>
  <c r="E211" i="11"/>
  <c r="F89" i="11"/>
  <c r="G141" i="11"/>
  <c r="G57" i="11"/>
  <c r="G101" i="11"/>
  <c r="F101" i="11"/>
  <c r="F112" i="11"/>
  <c r="G174" i="11"/>
  <c r="D173" i="11"/>
  <c r="F179" i="11"/>
  <c r="G227" i="11"/>
  <c r="F158" i="11"/>
  <c r="G139" i="11"/>
  <c r="F19" i="11"/>
  <c r="D157" i="11"/>
  <c r="D214" i="11"/>
  <c r="G223" i="11"/>
  <c r="G226" i="11"/>
  <c r="F132" i="11"/>
  <c r="F223" i="11"/>
  <c r="F147" i="11"/>
  <c r="F119" i="11"/>
  <c r="F150" i="11"/>
  <c r="F225" i="11"/>
  <c r="D132" i="11"/>
  <c r="G211" i="11"/>
  <c r="D217" i="11"/>
  <c r="E46" i="11"/>
  <c r="D196" i="11"/>
  <c r="G185" i="11"/>
  <c r="G202" i="11"/>
  <c r="G19" i="11"/>
  <c r="G56" i="11"/>
  <c r="D202" i="11"/>
  <c r="G126" i="11"/>
  <c r="E149" i="11"/>
  <c r="F186" i="11"/>
  <c r="E82" i="11"/>
  <c r="E37" i="11"/>
  <c r="G190" i="11"/>
  <c r="D75" i="11"/>
  <c r="F38" i="11"/>
  <c r="E107" i="11"/>
  <c r="D57" i="11"/>
  <c r="F109" i="11"/>
  <c r="F13" i="11"/>
  <c r="D227" i="11"/>
  <c r="D84" i="11"/>
  <c r="D168" i="11"/>
  <c r="G147" i="11"/>
  <c r="G224" i="11"/>
  <c r="F90" i="11"/>
  <c r="F59" i="11"/>
  <c r="F110" i="11"/>
  <c r="D88" i="11"/>
  <c r="G110" i="11"/>
  <c r="E19" i="11"/>
  <c r="D140" i="11"/>
  <c r="D27" i="11"/>
  <c r="E60" i="11"/>
  <c r="G157" i="11"/>
  <c r="D226" i="11"/>
  <c r="E26" i="11"/>
  <c r="G156" i="11"/>
  <c r="E201" i="11"/>
  <c r="D152" i="11"/>
  <c r="F142" i="11"/>
  <c r="E79" i="11"/>
  <c r="E224" i="11"/>
  <c r="E141" i="11"/>
  <c r="G152" i="11"/>
  <c r="F107" i="11"/>
  <c r="E131" i="11"/>
  <c r="F23" i="11"/>
  <c r="F40" i="11"/>
  <c r="D213" i="11"/>
  <c r="F126" i="11"/>
  <c r="E59" i="11"/>
  <c r="F37" i="11"/>
  <c r="E48" i="11"/>
  <c r="E197" i="11"/>
  <c r="E56" i="11"/>
  <c r="E179" i="11"/>
  <c r="F99" i="11"/>
  <c r="D207" i="11"/>
  <c r="F88" i="11"/>
  <c r="F48" i="11"/>
  <c r="F173" i="11"/>
  <c r="F26" i="11"/>
  <c r="F151" i="11"/>
  <c r="F87" i="11"/>
  <c r="E144" i="11"/>
  <c r="G17" i="11"/>
  <c r="F214" i="11"/>
  <c r="E85" i="11"/>
  <c r="F166" i="11"/>
  <c r="F213" i="11"/>
  <c r="G53" i="11"/>
  <c r="E153" i="11"/>
  <c r="D64" i="11"/>
  <c r="G173" i="11"/>
  <c r="D95" i="11"/>
  <c r="F217" i="11"/>
  <c r="E40" i="11"/>
  <c r="F55" i="11"/>
  <c r="F86" i="11"/>
  <c r="G123" i="11"/>
  <c r="D36" i="11"/>
  <c r="E36" i="11"/>
  <c r="E86" i="11"/>
  <c r="D86" i="11"/>
  <c r="G183" i="11"/>
  <c r="D156" i="11"/>
  <c r="D112" i="11"/>
  <c r="E112" i="11"/>
  <c r="D183" i="11"/>
  <c r="E109" i="11"/>
  <c r="G99" i="11"/>
  <c r="F60" i="11"/>
  <c r="DX8" i="12"/>
  <c r="DX11" i="12"/>
  <c r="CX493" i="12"/>
  <c r="CX489" i="12"/>
  <c r="CX496" i="12"/>
  <c r="CX490" i="12"/>
  <c r="CX491" i="12"/>
  <c r="CX501" i="12"/>
  <c r="CX497" i="12"/>
  <c r="CX502" i="12"/>
  <c r="CX498" i="12"/>
  <c r="CX499" i="12"/>
  <c r="CX505" i="12"/>
  <c r="CX495" i="12"/>
  <c r="CX500" i="12"/>
  <c r="CX504" i="12"/>
  <c r="CX492" i="12"/>
  <c r="CX503" i="12"/>
  <c r="CX494" i="12"/>
  <c r="JH32" i="12"/>
  <c r="JK31" i="12"/>
  <c r="JL31" i="12" s="1"/>
  <c r="EA31" i="12" s="1"/>
  <c r="DU231" i="12"/>
  <c r="DV231" i="12"/>
  <c r="DX21" i="12"/>
  <c r="FU138" i="12"/>
  <c r="GR138" i="12" s="1"/>
  <c r="FR139" i="12"/>
  <c r="CX2235" i="12"/>
  <c r="C34" i="11" l="1"/>
  <c r="B34" i="11" s="1"/>
  <c r="DZ27" i="12"/>
  <c r="G34" i="11" s="1"/>
  <c r="CW20" i="12"/>
  <c r="DW27" i="12"/>
  <c r="H34" i="11" s="1"/>
  <c r="C14" i="11"/>
  <c r="B14" i="11" s="1"/>
  <c r="DY7" i="12"/>
  <c r="DW7" i="12"/>
  <c r="H14" i="11" s="1"/>
  <c r="DZ7" i="12"/>
  <c r="E34" i="11"/>
  <c r="D34" i="11"/>
  <c r="DZ28" i="12"/>
  <c r="F35" i="11" s="1"/>
  <c r="DW28" i="12"/>
  <c r="H35" i="11" s="1"/>
  <c r="DY17" i="12"/>
  <c r="E24" i="11" s="1"/>
  <c r="C24" i="11"/>
  <c r="B24" i="11" s="1"/>
  <c r="DZ17" i="12"/>
  <c r="DY28" i="12"/>
  <c r="D35" i="11" s="1"/>
  <c r="DZ26" i="12"/>
  <c r="DW26" i="12"/>
  <c r="H33" i="11" s="1"/>
  <c r="DY26" i="12"/>
  <c r="C33" i="11"/>
  <c r="B33" i="11" s="1"/>
  <c r="DW25" i="12"/>
  <c r="H32" i="11" s="1"/>
  <c r="DY25" i="12"/>
  <c r="DZ25" i="12"/>
  <c r="C32" i="11"/>
  <c r="B32" i="11" s="1"/>
  <c r="AQ167" i="12"/>
  <c r="HT45" i="12"/>
  <c r="HO46" i="12"/>
  <c r="DY8" i="12"/>
  <c r="DZ8" i="12"/>
  <c r="C15" i="11"/>
  <c r="B15" i="11" s="1"/>
  <c r="DW8" i="12"/>
  <c r="H15" i="11" s="1"/>
  <c r="DY11" i="12"/>
  <c r="DZ11" i="12"/>
  <c r="C18" i="11"/>
  <c r="B18" i="11" s="1"/>
  <c r="DW11" i="12"/>
  <c r="H18" i="11" s="1"/>
  <c r="JH33" i="12"/>
  <c r="JK32" i="12"/>
  <c r="JL32" i="12" s="1"/>
  <c r="EA32" i="12" s="1"/>
  <c r="CB183" i="12"/>
  <c r="CC183" i="12" s="1"/>
  <c r="CX521" i="12"/>
  <c r="CX515" i="12"/>
  <c r="CX514" i="12"/>
  <c r="CX511" i="12"/>
  <c r="CX519" i="12"/>
  <c r="CX523" i="12"/>
  <c r="CX507" i="12"/>
  <c r="CX509" i="12"/>
  <c r="CX513" i="12"/>
  <c r="CX522" i="12"/>
  <c r="CX516" i="12"/>
  <c r="CX520" i="12"/>
  <c r="CX508" i="12"/>
  <c r="CX512" i="12"/>
  <c r="CX518" i="12"/>
  <c r="CX510" i="12"/>
  <c r="CX517" i="12"/>
  <c r="CB106" i="12"/>
  <c r="CC106" i="12" s="1"/>
  <c r="CB132" i="12"/>
  <c r="CC132" i="12" s="1"/>
  <c r="CB215" i="12"/>
  <c r="CC215" i="12" s="1"/>
  <c r="CB128" i="12"/>
  <c r="CC128" i="12" s="1"/>
  <c r="CB174" i="12"/>
  <c r="CC174" i="12" s="1"/>
  <c r="CB121" i="12"/>
  <c r="CC121" i="12" s="1"/>
  <c r="CB108" i="12"/>
  <c r="CC108" i="12" s="1"/>
  <c r="CB116" i="12"/>
  <c r="CC116" i="12" s="1"/>
  <c r="CB167" i="12"/>
  <c r="CC167" i="12" s="1"/>
  <c r="CB184" i="12"/>
  <c r="CC184" i="12" s="1"/>
  <c r="CB207" i="12"/>
  <c r="CC207" i="12" s="1"/>
  <c r="CB118" i="12"/>
  <c r="CC118" i="12" s="1"/>
  <c r="CB122" i="12"/>
  <c r="CC122" i="12" s="1"/>
  <c r="CB163" i="12"/>
  <c r="CC163" i="12" s="1"/>
  <c r="CB206" i="12"/>
  <c r="CC206" i="12" s="1"/>
  <c r="CB210" i="12"/>
  <c r="CC210" i="12" s="1"/>
  <c r="CB158" i="12"/>
  <c r="CC158" i="12" s="1"/>
  <c r="CB156" i="12"/>
  <c r="CC156" i="12" s="1"/>
  <c r="CB101" i="12"/>
  <c r="CC101" i="12" s="1"/>
  <c r="CB139" i="12"/>
  <c r="CC139" i="12" s="1"/>
  <c r="CB188" i="12"/>
  <c r="CC188" i="12" s="1"/>
  <c r="CB200" i="12"/>
  <c r="CC200" i="12" s="1"/>
  <c r="CB185" i="12"/>
  <c r="CC185" i="12" s="1"/>
  <c r="CB219" i="12"/>
  <c r="CC219" i="12" s="1"/>
  <c r="CP1" i="12"/>
  <c r="CB169" i="12"/>
  <c r="CC169" i="12" s="1"/>
  <c r="CB133" i="12"/>
  <c r="CC133" i="12" s="1"/>
  <c r="CB165" i="12"/>
  <c r="CC165" i="12" s="1"/>
  <c r="CB149" i="12"/>
  <c r="CC149" i="12" s="1"/>
  <c r="CB203" i="12"/>
  <c r="CC203" i="12" s="1"/>
  <c r="CB197" i="12"/>
  <c r="CC197" i="12" s="1"/>
  <c r="CB130" i="12"/>
  <c r="CC130" i="12" s="1"/>
  <c r="CB102" i="12"/>
  <c r="CC102" i="12" s="1"/>
  <c r="CB152" i="12"/>
  <c r="CC152" i="12" s="1"/>
  <c r="CB135" i="12"/>
  <c r="CC135" i="12" s="1"/>
  <c r="CB178" i="12"/>
  <c r="CC178" i="12" s="1"/>
  <c r="CB159" i="12"/>
  <c r="CC159" i="12" s="1"/>
  <c r="CB190" i="12"/>
  <c r="CC190" i="12" s="1"/>
  <c r="CB134" i="12"/>
  <c r="CC134" i="12" s="1"/>
  <c r="CB211" i="12"/>
  <c r="CC211" i="12" s="1"/>
  <c r="CB140" i="12"/>
  <c r="CC140" i="12" s="1"/>
  <c r="CB212" i="12"/>
  <c r="CC212" i="12" s="1"/>
  <c r="CB143" i="12"/>
  <c r="CC143" i="12" s="1"/>
  <c r="CB147" i="12"/>
  <c r="CC147" i="12" s="1"/>
  <c r="CB145" i="12"/>
  <c r="CC145" i="12" s="1"/>
  <c r="CB177" i="12"/>
  <c r="CC177" i="12" s="1"/>
  <c r="CB129" i="12"/>
  <c r="CC129" i="12" s="1"/>
  <c r="CB157" i="12"/>
  <c r="CC157" i="12" s="1"/>
  <c r="CB146" i="12"/>
  <c r="CC146" i="12" s="1"/>
  <c r="CB148" i="12"/>
  <c r="CC148" i="12" s="1"/>
  <c r="CB137" i="12"/>
  <c r="CC137" i="12" s="1"/>
  <c r="CB103" i="12"/>
  <c r="CC103" i="12" s="1"/>
  <c r="CB131" i="12"/>
  <c r="CC131" i="12" s="1"/>
  <c r="CB120" i="12"/>
  <c r="CC120" i="12" s="1"/>
  <c r="CB217" i="12"/>
  <c r="CC217" i="12" s="1"/>
  <c r="CB150" i="12"/>
  <c r="CC150" i="12" s="1"/>
  <c r="CB209" i="12"/>
  <c r="CC209" i="12" s="1"/>
  <c r="CB125" i="12"/>
  <c r="CC125" i="12" s="1"/>
  <c r="CB218" i="12"/>
  <c r="CC218" i="12" s="1"/>
  <c r="CB151" i="12"/>
  <c r="CC151" i="12" s="1"/>
  <c r="CB141" i="12"/>
  <c r="CC141" i="12" s="1"/>
  <c r="CB110" i="12"/>
  <c r="CC110" i="12" s="1"/>
  <c r="CB109" i="12"/>
  <c r="CC109" i="12" s="1"/>
  <c r="CB154" i="12"/>
  <c r="CC154" i="12" s="1"/>
  <c r="CB144" i="12"/>
  <c r="CC144" i="12" s="1"/>
  <c r="CB164" i="12"/>
  <c r="CC164" i="12" s="1"/>
  <c r="CB112" i="12"/>
  <c r="CC112" i="12" s="1"/>
  <c r="CB142" i="12"/>
  <c r="CC142" i="12" s="1"/>
  <c r="CB114" i="12"/>
  <c r="CC114" i="12" s="1"/>
  <c r="CB192" i="12"/>
  <c r="CC192" i="12" s="1"/>
  <c r="CB195" i="12"/>
  <c r="CC195" i="12" s="1"/>
  <c r="CB123" i="12"/>
  <c r="CC123" i="12" s="1"/>
  <c r="CB107" i="12"/>
  <c r="CC107" i="12" s="1"/>
  <c r="CB181" i="12"/>
  <c r="CC181" i="12" s="1"/>
  <c r="CB176" i="12"/>
  <c r="CC176" i="12" s="1"/>
  <c r="CB160" i="12"/>
  <c r="CC160" i="12" s="1"/>
  <c r="CB204" i="12"/>
  <c r="CC204" i="12" s="1"/>
  <c r="CB208" i="12"/>
  <c r="CC208" i="12" s="1"/>
  <c r="CB113" i="12"/>
  <c r="CC113" i="12" s="1"/>
  <c r="CB198" i="12"/>
  <c r="CC198" i="12" s="1"/>
  <c r="CB153" i="12"/>
  <c r="CC153" i="12" s="1"/>
  <c r="CB155" i="12"/>
  <c r="CC155" i="12" s="1"/>
  <c r="CB111" i="12"/>
  <c r="CC111" i="12" s="1"/>
  <c r="CB189" i="12"/>
  <c r="CC189" i="12" s="1"/>
  <c r="CB136" i="12"/>
  <c r="CC136" i="12" s="1"/>
  <c r="CB175" i="12"/>
  <c r="CC175" i="12" s="1"/>
  <c r="CB191" i="12"/>
  <c r="CC191" i="12" s="1"/>
  <c r="CB171" i="12"/>
  <c r="CC171" i="12" s="1"/>
  <c r="CB138" i="12"/>
  <c r="CC138" i="12" s="1"/>
  <c r="CB202" i="12"/>
  <c r="CC202" i="12" s="1"/>
  <c r="CB119" i="12"/>
  <c r="CC119" i="12" s="1"/>
  <c r="CB161" i="12"/>
  <c r="CC161" i="12" s="1"/>
  <c r="CB186" i="12"/>
  <c r="CC186" i="12" s="1"/>
  <c r="CB124" i="12"/>
  <c r="CC124" i="12" s="1"/>
  <c r="CB196" i="12"/>
  <c r="CC196" i="12" s="1"/>
  <c r="CB199" i="12"/>
  <c r="CC199" i="12" s="1"/>
  <c r="CB117" i="12"/>
  <c r="CC117" i="12" s="1"/>
  <c r="CB173" i="12"/>
  <c r="CC173" i="12" s="1"/>
  <c r="CM1" i="12"/>
  <c r="CB126" i="12"/>
  <c r="CC126" i="12" s="1"/>
  <c r="CB179" i="12"/>
  <c r="CC179" i="12" s="1"/>
  <c r="CB127" i="12"/>
  <c r="CC127" i="12" s="1"/>
  <c r="CB162" i="12"/>
  <c r="CC162" i="12" s="1"/>
  <c r="CB220" i="12"/>
  <c r="CC220" i="12" s="1"/>
  <c r="CB182" i="12"/>
  <c r="CC182" i="12" s="1"/>
  <c r="CB194" i="12"/>
  <c r="CC194" i="12" s="1"/>
  <c r="CB205" i="12"/>
  <c r="CC205" i="12" s="1"/>
  <c r="CB115" i="12"/>
  <c r="CC115" i="12" s="1"/>
  <c r="CB172" i="12"/>
  <c r="CC172" i="12" s="1"/>
  <c r="CB193" i="12"/>
  <c r="CC193" i="12" s="1"/>
  <c r="CB180" i="12"/>
  <c r="CC180" i="12" s="1"/>
  <c r="DY21" i="12"/>
  <c r="DZ21" i="12"/>
  <c r="C28" i="11"/>
  <c r="B28" i="11" s="1"/>
  <c r="DW21" i="12"/>
  <c r="H28" i="11" s="1"/>
  <c r="CB187" i="12"/>
  <c r="CC187" i="12" s="1"/>
  <c r="CB168" i="12"/>
  <c r="CC168" i="12" s="1"/>
  <c r="CB214" i="12"/>
  <c r="CC214" i="12" s="1"/>
  <c r="CB104" i="12"/>
  <c r="CC104" i="12" s="1"/>
  <c r="CB201" i="12"/>
  <c r="CC201" i="12" s="1"/>
  <c r="CB216" i="12"/>
  <c r="CC216" i="12" s="1"/>
  <c r="CB166" i="12"/>
  <c r="CC166" i="12" s="1"/>
  <c r="CB105" i="12"/>
  <c r="CC105" i="12" s="1"/>
  <c r="CB170" i="12"/>
  <c r="CC170" i="12" s="1"/>
  <c r="CB213" i="12"/>
  <c r="CC213" i="12" s="1"/>
  <c r="FU139" i="12"/>
  <c r="GR139" i="12" s="1"/>
  <c r="FR140" i="12"/>
  <c r="FR141" i="12" s="1"/>
  <c r="CX2236" i="12"/>
  <c r="F34" i="11" l="1"/>
  <c r="CW21" i="12"/>
  <c r="F14" i="11"/>
  <c r="G14" i="11"/>
  <c r="E14" i="11"/>
  <c r="D14" i="11"/>
  <c r="G35" i="11"/>
  <c r="D24" i="11"/>
  <c r="EU37" i="12"/>
  <c r="E35" i="11"/>
  <c r="F24" i="11"/>
  <c r="G24" i="11"/>
  <c r="E33" i="11"/>
  <c r="D33" i="11"/>
  <c r="G33" i="11"/>
  <c r="F33" i="11"/>
  <c r="BX9" i="12"/>
  <c r="CB9" i="12" s="1"/>
  <c r="G32" i="11"/>
  <c r="F32" i="11"/>
  <c r="D32" i="11"/>
  <c r="E32" i="11"/>
  <c r="AQ169" i="12"/>
  <c r="AQ170" i="12" s="1"/>
  <c r="HT46" i="12"/>
  <c r="HO47" i="12"/>
  <c r="EE77" i="12"/>
  <c r="EF77" i="12" s="1"/>
  <c r="CR93" i="12"/>
  <c r="EG93" i="12" s="1"/>
  <c r="D15" i="11"/>
  <c r="E15" i="11"/>
  <c r="CR87" i="12"/>
  <c r="EG87" i="12" s="1"/>
  <c r="G15" i="11"/>
  <c r="F15" i="11"/>
  <c r="BX10" i="12"/>
  <c r="CB10" i="12" s="1"/>
  <c r="CC10" i="12" s="1"/>
  <c r="CH1" i="12"/>
  <c r="D7" i="10" s="1"/>
  <c r="EE32" i="12"/>
  <c r="EF32" i="12" s="1"/>
  <c r="GE4" i="12"/>
  <c r="EE40" i="12"/>
  <c r="EF40" i="12" s="1"/>
  <c r="BR223" i="12"/>
  <c r="BR224" i="12" s="1"/>
  <c r="EE3" i="12"/>
  <c r="EF3" i="12" s="1"/>
  <c r="EE60" i="12"/>
  <c r="EF60" i="12" s="1"/>
  <c r="EE21" i="12"/>
  <c r="EF21" i="12" s="1"/>
  <c r="CR11" i="12"/>
  <c r="EG11" i="12" s="1"/>
  <c r="BX79" i="12"/>
  <c r="CB79" i="12" s="1"/>
  <c r="CC79" i="12" s="1"/>
  <c r="EE67" i="12"/>
  <c r="EF67" i="12" s="1"/>
  <c r="EE68" i="12"/>
  <c r="EF68" i="12" s="1"/>
  <c r="BY4" i="12"/>
  <c r="BZ4" i="12" s="1"/>
  <c r="EE37" i="12"/>
  <c r="EF37" i="12" s="1"/>
  <c r="EE44" i="12"/>
  <c r="EF44" i="12" s="1"/>
  <c r="BX100" i="12"/>
  <c r="CB100" i="12" s="1"/>
  <c r="CC100" i="12" s="1"/>
  <c r="CR40" i="12"/>
  <c r="EG40" i="12" s="1"/>
  <c r="BX49" i="12"/>
  <c r="CB49" i="12" s="1"/>
  <c r="CC49" i="12" s="1"/>
  <c r="CR92" i="12"/>
  <c r="EG92" i="12" s="1"/>
  <c r="CR58" i="12"/>
  <c r="EG58" i="12" s="1"/>
  <c r="BX48" i="12"/>
  <c r="CB48" i="12" s="1"/>
  <c r="CC48" i="12" s="1"/>
  <c r="EE96" i="12"/>
  <c r="EF96" i="12" s="1"/>
  <c r="EE18" i="12"/>
  <c r="EF18" i="12" s="1"/>
  <c r="CR35" i="12"/>
  <c r="EG35" i="12" s="1"/>
  <c r="BX66" i="12"/>
  <c r="CB66" i="12" s="1"/>
  <c r="CC66" i="12" s="1"/>
  <c r="BX35" i="12"/>
  <c r="CB35" i="12" s="1"/>
  <c r="CC35" i="12" s="1"/>
  <c r="EE95" i="12"/>
  <c r="EF95" i="12" s="1"/>
  <c r="EE26" i="12"/>
  <c r="EF26" i="12" s="1"/>
  <c r="EE59" i="12"/>
  <c r="EF59" i="12" s="1"/>
  <c r="BX44" i="12"/>
  <c r="CB44" i="12" s="1"/>
  <c r="CC44" i="12" s="1"/>
  <c r="EE100" i="12"/>
  <c r="CR67" i="12"/>
  <c r="EG67" i="12" s="1"/>
  <c r="BX29" i="12"/>
  <c r="CB29" i="12" s="1"/>
  <c r="CC29" i="12" s="1"/>
  <c r="CR9" i="12"/>
  <c r="EG9" i="12" s="1"/>
  <c r="BX87" i="12"/>
  <c r="CB87" i="12" s="1"/>
  <c r="CC87" i="12" s="1"/>
  <c r="CR75" i="12"/>
  <c r="EG75" i="12" s="1"/>
  <c r="BX39" i="12"/>
  <c r="CB39" i="12" s="1"/>
  <c r="CC39" i="12" s="1"/>
  <c r="CR10" i="12"/>
  <c r="EG10" i="12" s="1"/>
  <c r="EE91" i="12"/>
  <c r="EF91" i="12" s="1"/>
  <c r="CR42" i="12"/>
  <c r="EG42" i="12" s="1"/>
  <c r="EE57" i="12"/>
  <c r="EF57" i="12" s="1"/>
  <c r="BX37" i="12"/>
  <c r="CB37" i="12" s="1"/>
  <c r="CC37" i="12" s="1"/>
  <c r="BX41" i="12"/>
  <c r="CB41" i="12" s="1"/>
  <c r="CC41" i="12" s="1"/>
  <c r="CR71" i="12"/>
  <c r="EG71" i="12" s="1"/>
  <c r="CR85" i="12"/>
  <c r="EG85" i="12" s="1"/>
  <c r="EE70" i="12"/>
  <c r="EF70" i="12" s="1"/>
  <c r="BX45" i="12"/>
  <c r="CB45" i="12" s="1"/>
  <c r="CC45" i="12" s="1"/>
  <c r="CR59" i="12"/>
  <c r="EG59" i="12" s="1"/>
  <c r="EE58" i="12"/>
  <c r="EF58" i="12" s="1"/>
  <c r="EE46" i="12"/>
  <c r="EF46" i="12" s="1"/>
  <c r="E18" i="11"/>
  <c r="D18" i="11"/>
  <c r="F18" i="11"/>
  <c r="G18" i="11"/>
  <c r="EE49" i="12"/>
  <c r="EF49" i="12" s="1"/>
  <c r="JH34" i="12"/>
  <c r="JK33" i="12"/>
  <c r="JL33" i="12" s="1"/>
  <c r="EA33" i="12" s="1"/>
  <c r="GF3" i="12"/>
  <c r="BW222" i="12"/>
  <c r="BW223" i="12" s="1"/>
  <c r="CR23" i="12"/>
  <c r="EG23" i="12" s="1"/>
  <c r="CR82" i="12"/>
  <c r="EG82" i="12" s="1"/>
  <c r="EE92" i="12"/>
  <c r="EF92" i="12" s="1"/>
  <c r="CR97" i="12"/>
  <c r="EG97" i="12" s="1"/>
  <c r="EE4" i="12"/>
  <c r="EE89" i="12"/>
  <c r="EF89" i="12" s="1"/>
  <c r="BX67" i="12"/>
  <c r="CB67" i="12" s="1"/>
  <c r="CC67" i="12" s="1"/>
  <c r="BX69" i="12"/>
  <c r="CB69" i="12" s="1"/>
  <c r="CC69" i="12" s="1"/>
  <c r="BX58" i="12"/>
  <c r="CB58" i="12" s="1"/>
  <c r="CC58" i="12" s="1"/>
  <c r="EE50" i="12"/>
  <c r="EF50" i="12" s="1"/>
  <c r="CR21" i="12"/>
  <c r="EG21" i="12" s="1"/>
  <c r="EE16" i="12"/>
  <c r="EF16" i="12" s="1"/>
  <c r="CR38" i="12"/>
  <c r="EG38" i="12" s="1"/>
  <c r="EE41" i="12"/>
  <c r="EF41" i="12" s="1"/>
  <c r="EE24" i="12"/>
  <c r="EF24" i="12" s="1"/>
  <c r="BX63" i="12"/>
  <c r="CB63" i="12" s="1"/>
  <c r="CC63" i="12" s="1"/>
  <c r="BX82" i="12"/>
  <c r="CB82" i="12" s="1"/>
  <c r="CC82" i="12" s="1"/>
  <c r="EE10" i="12"/>
  <c r="EF10" i="12" s="1"/>
  <c r="CR62" i="12"/>
  <c r="EG62" i="12" s="1"/>
  <c r="CR99" i="12"/>
  <c r="EG99" i="12" s="1"/>
  <c r="EE35" i="12"/>
  <c r="EF35" i="12" s="1"/>
  <c r="BX46" i="12"/>
  <c r="CB46" i="12" s="1"/>
  <c r="CC46" i="12" s="1"/>
  <c r="CR61" i="12"/>
  <c r="EG61" i="12" s="1"/>
  <c r="EE83" i="12"/>
  <c r="EF83" i="12" s="1"/>
  <c r="CX541" i="12"/>
  <c r="CX539" i="12"/>
  <c r="CX535" i="12"/>
  <c r="CX531" i="12"/>
  <c r="CX534" i="12"/>
  <c r="CX540" i="12"/>
  <c r="CX529" i="12"/>
  <c r="CX528" i="12"/>
  <c r="CX527" i="12"/>
  <c r="CX526" i="12"/>
  <c r="CX525" i="12"/>
  <c r="CX533" i="12"/>
  <c r="CX530" i="12"/>
  <c r="CX532" i="12"/>
  <c r="CX538" i="12"/>
  <c r="CX537" i="12"/>
  <c r="CX536" i="12"/>
  <c r="CR34" i="12"/>
  <c r="EG34" i="12" s="1"/>
  <c r="EE63" i="12"/>
  <c r="EF63" i="12" s="1"/>
  <c r="CR16" i="12"/>
  <c r="EG16" i="12" s="1"/>
  <c r="CR80" i="12"/>
  <c r="EG80" i="12" s="1"/>
  <c r="CR66" i="12"/>
  <c r="EG66" i="12" s="1"/>
  <c r="EE73" i="12"/>
  <c r="EF73" i="12" s="1"/>
  <c r="BX73" i="12"/>
  <c r="CB73" i="12" s="1"/>
  <c r="CC73" i="12" s="1"/>
  <c r="BX12" i="12"/>
  <c r="CB12" i="12" s="1"/>
  <c r="BY12" i="12"/>
  <c r="BZ12" i="12" s="1"/>
  <c r="BX74" i="12"/>
  <c r="CB74" i="12" s="1"/>
  <c r="CC74" i="12" s="1"/>
  <c r="IG66" i="12"/>
  <c r="IG67" i="12" s="1"/>
  <c r="CR49" i="12"/>
  <c r="EG49" i="12" s="1"/>
  <c r="CR47" i="12"/>
  <c r="EG47" i="12" s="1"/>
  <c r="EE45" i="12"/>
  <c r="EF45" i="12" s="1"/>
  <c r="CR43" i="12"/>
  <c r="EG43" i="12" s="1"/>
  <c r="EE88" i="12"/>
  <c r="EF88" i="12" s="1"/>
  <c r="EE99" i="12"/>
  <c r="EF99" i="12" s="1"/>
  <c r="BX25" i="12"/>
  <c r="CB25" i="12" s="1"/>
  <c r="CC25" i="12" s="1"/>
  <c r="BX16" i="12"/>
  <c r="CB16" i="12" s="1"/>
  <c r="CC16" i="12" s="1"/>
  <c r="CR64" i="12"/>
  <c r="EG64" i="12" s="1"/>
  <c r="CR15" i="12"/>
  <c r="EG15" i="12" s="1"/>
  <c r="EE39" i="12"/>
  <c r="EF39" i="12" s="1"/>
  <c r="EE54" i="12"/>
  <c r="EF54" i="12" s="1"/>
  <c r="BX76" i="12"/>
  <c r="CB76" i="12" s="1"/>
  <c r="CC76" i="12" s="1"/>
  <c r="CR30" i="12"/>
  <c r="EG30" i="12" s="1"/>
  <c r="EE47" i="12"/>
  <c r="EF47" i="12" s="1"/>
  <c r="BX90" i="12"/>
  <c r="CB90" i="12" s="1"/>
  <c r="CC90" i="12" s="1"/>
  <c r="CR74" i="12"/>
  <c r="EG74" i="12" s="1"/>
  <c r="BX84" i="12"/>
  <c r="CB84" i="12" s="1"/>
  <c r="CC84" i="12" s="1"/>
  <c r="EE31" i="12"/>
  <c r="EF31" i="12" s="1"/>
  <c r="CR45" i="12"/>
  <c r="EG45" i="12" s="1"/>
  <c r="BX22" i="12"/>
  <c r="CB22" i="12" s="1"/>
  <c r="CC22" i="12" s="1"/>
  <c r="BX64" i="12"/>
  <c r="CB64" i="12" s="1"/>
  <c r="CC64" i="12" s="1"/>
  <c r="BX55" i="12"/>
  <c r="CB55" i="12" s="1"/>
  <c r="CC55" i="12" s="1"/>
  <c r="CR4" i="12"/>
  <c r="EG4" i="12" s="1"/>
  <c r="CR78" i="12"/>
  <c r="EG78" i="12" s="1"/>
  <c r="CR77" i="12"/>
  <c r="EG77" i="12" s="1"/>
  <c r="CR86" i="12"/>
  <c r="EG86" i="12" s="1"/>
  <c r="BX6" i="12"/>
  <c r="CB6" i="12" s="1"/>
  <c r="BX7" i="12"/>
  <c r="CB7" i="12" s="1"/>
  <c r="D12" i="10" s="1"/>
  <c r="BX5" i="12"/>
  <c r="CB5" i="12" s="1"/>
  <c r="D10" i="10" s="1"/>
  <c r="BY48" i="12"/>
  <c r="BZ48" i="12" s="1"/>
  <c r="CA48" i="12" s="1"/>
  <c r="CR5" i="12"/>
  <c r="EG5" i="12" s="1"/>
  <c r="CR24" i="12"/>
  <c r="EG24" i="12" s="1"/>
  <c r="EE28" i="12"/>
  <c r="EF28" i="12" s="1"/>
  <c r="EE52" i="12"/>
  <c r="EF52" i="12" s="1"/>
  <c r="CR41" i="12"/>
  <c r="EG41" i="12" s="1"/>
  <c r="EE69" i="12"/>
  <c r="EF69" i="12" s="1"/>
  <c r="BX94" i="12"/>
  <c r="CB94" i="12" s="1"/>
  <c r="CC94" i="12" s="1"/>
  <c r="BX93" i="12"/>
  <c r="CB93" i="12" s="1"/>
  <c r="CC93" i="12" s="1"/>
  <c r="BX99" i="12"/>
  <c r="CB99" i="12" s="1"/>
  <c r="CC99" i="12" s="1"/>
  <c r="EE85" i="12"/>
  <c r="EF85" i="12" s="1"/>
  <c r="EE66" i="12"/>
  <c r="EF66" i="12" s="1"/>
  <c r="CR65" i="12"/>
  <c r="EG65" i="12" s="1"/>
  <c r="EE27" i="12"/>
  <c r="EF27" i="12" s="1"/>
  <c r="BY3" i="12"/>
  <c r="BZ3" i="12" s="1"/>
  <c r="BX17" i="12"/>
  <c r="BX53" i="12"/>
  <c r="BX77" i="12"/>
  <c r="BX34" i="12"/>
  <c r="GE5" i="12"/>
  <c r="GF12" i="12" s="1"/>
  <c r="CR53" i="12"/>
  <c r="EG53" i="12" s="1"/>
  <c r="CR69" i="12"/>
  <c r="EG69" i="12" s="1"/>
  <c r="CR70" i="12"/>
  <c r="EG70" i="12" s="1"/>
  <c r="CR14" i="12"/>
  <c r="EG14" i="12" s="1"/>
  <c r="CR18" i="12"/>
  <c r="EG18" i="12" s="1"/>
  <c r="EE30" i="12"/>
  <c r="EF30" i="12" s="1"/>
  <c r="EE38" i="12"/>
  <c r="EF38" i="12" s="1"/>
  <c r="EE93" i="12"/>
  <c r="EF93" i="12" s="1"/>
  <c r="EE8" i="12"/>
  <c r="EF8" i="12" s="1"/>
  <c r="EE53" i="12"/>
  <c r="EF53" i="12" s="1"/>
  <c r="EE61" i="12"/>
  <c r="EF61" i="12" s="1"/>
  <c r="CR63" i="12"/>
  <c r="EG63" i="12" s="1"/>
  <c r="BX91" i="12"/>
  <c r="CB91" i="12" s="1"/>
  <c r="CC91" i="12" s="1"/>
  <c r="BX65" i="12"/>
  <c r="CB65" i="12" s="1"/>
  <c r="CC65" i="12" s="1"/>
  <c r="BX52" i="12"/>
  <c r="CB52" i="12" s="1"/>
  <c r="CC52" i="12" s="1"/>
  <c r="BY11" i="12"/>
  <c r="BZ11" i="12" s="1"/>
  <c r="BX4" i="12"/>
  <c r="CB4" i="12" s="1"/>
  <c r="IG45" i="12"/>
  <c r="EE12" i="12"/>
  <c r="EF12" i="12" s="1"/>
  <c r="CR26" i="12"/>
  <c r="EG26" i="12" s="1"/>
  <c r="EE76" i="12"/>
  <c r="EF76" i="12" s="1"/>
  <c r="EE55" i="12"/>
  <c r="EF55" i="12" s="1"/>
  <c r="CR19" i="12"/>
  <c r="EG19" i="12" s="1"/>
  <c r="CR95" i="12"/>
  <c r="EG95" i="12" s="1"/>
  <c r="EE64" i="12"/>
  <c r="EF64" i="12" s="1"/>
  <c r="CR91" i="12"/>
  <c r="EG91" i="12" s="1"/>
  <c r="CR13" i="12"/>
  <c r="EG13" i="12" s="1"/>
  <c r="EE19" i="12"/>
  <c r="EF19" i="12" s="1"/>
  <c r="EE29" i="12"/>
  <c r="EF29" i="12" s="1"/>
  <c r="EE34" i="12"/>
  <c r="EF34" i="12" s="1"/>
  <c r="BX97" i="12"/>
  <c r="CB97" i="12" s="1"/>
  <c r="CC97" i="12" s="1"/>
  <c r="BX62" i="12"/>
  <c r="BX70" i="12"/>
  <c r="BX11" i="12"/>
  <c r="CB11" i="12" s="1"/>
  <c r="BX20" i="12"/>
  <c r="CB20" i="12" s="1"/>
  <c r="CC20" i="12" s="1"/>
  <c r="BX85" i="12"/>
  <c r="CB85" i="12" s="1"/>
  <c r="CC85" i="12" s="1"/>
  <c r="CR96" i="12"/>
  <c r="EG96" i="12" s="1"/>
  <c r="CR56" i="12"/>
  <c r="EG56" i="12" s="1"/>
  <c r="CR52" i="12"/>
  <c r="EG52" i="12" s="1"/>
  <c r="EE22" i="12"/>
  <c r="EF22" i="12" s="1"/>
  <c r="CR90" i="12"/>
  <c r="EG90" i="12" s="1"/>
  <c r="EE5" i="12"/>
  <c r="CR48" i="12"/>
  <c r="EG48" i="12" s="1"/>
  <c r="CR76" i="12"/>
  <c r="EG76" i="12" s="1"/>
  <c r="CR50" i="12"/>
  <c r="EG50" i="12" s="1"/>
  <c r="EE15" i="12"/>
  <c r="EF15" i="12" s="1"/>
  <c r="CR27" i="12"/>
  <c r="EG27" i="12" s="1"/>
  <c r="EE65" i="12"/>
  <c r="EF65" i="12" s="1"/>
  <c r="BX96" i="12"/>
  <c r="BX23" i="12"/>
  <c r="CB23" i="12" s="1"/>
  <c r="CC23" i="12" s="1"/>
  <c r="BX42" i="12"/>
  <c r="BX83" i="12"/>
  <c r="CB83" i="12" s="1"/>
  <c r="CC83" i="12" s="1"/>
  <c r="BX13" i="12"/>
  <c r="CB13" i="12" s="1"/>
  <c r="BX30" i="12"/>
  <c r="BX57" i="12"/>
  <c r="CB57" i="12" s="1"/>
  <c r="CC57" i="12" s="1"/>
  <c r="EE82" i="12"/>
  <c r="EF82" i="12" s="1"/>
  <c r="CR68" i="12"/>
  <c r="EG68" i="12" s="1"/>
  <c r="EE23" i="12"/>
  <c r="EF23" i="12" s="1"/>
  <c r="CR37" i="12"/>
  <c r="EG37" i="12" s="1"/>
  <c r="CR89" i="12"/>
  <c r="EG89" i="12" s="1"/>
  <c r="EE11" i="12"/>
  <c r="EF11" i="12" s="1"/>
  <c r="CR33" i="12"/>
  <c r="EG33" i="12" s="1"/>
  <c r="CR12" i="12"/>
  <c r="EG12" i="12" s="1"/>
  <c r="EE13" i="12"/>
  <c r="EF13" i="12" s="1"/>
  <c r="EE80" i="12"/>
  <c r="EF80" i="12" s="1"/>
  <c r="EE90" i="12"/>
  <c r="EF90" i="12" s="1"/>
  <c r="CR100" i="12"/>
  <c r="BX3" i="12"/>
  <c r="BX50" i="12"/>
  <c r="CB50" i="12" s="1"/>
  <c r="CC50" i="12" s="1"/>
  <c r="BX71" i="12"/>
  <c r="CB71" i="12" s="1"/>
  <c r="CC71" i="12" s="1"/>
  <c r="BX60" i="12"/>
  <c r="BX78" i="12"/>
  <c r="CB78" i="12" s="1"/>
  <c r="CC78" i="12" s="1"/>
  <c r="BX19" i="12"/>
  <c r="CB19" i="12" s="1"/>
  <c r="CC19" i="12" s="1"/>
  <c r="CR79" i="12"/>
  <c r="GE7" i="12"/>
  <c r="GF8" i="12" s="1"/>
  <c r="GE9" i="12" s="1"/>
  <c r="GF10" i="12" s="1"/>
  <c r="EE74" i="12"/>
  <c r="EF74" i="12" s="1"/>
  <c r="EE7" i="12"/>
  <c r="EF7" i="12" s="1"/>
  <c r="CR60" i="12"/>
  <c r="EG60" i="12" s="1"/>
  <c r="EE17" i="12"/>
  <c r="EF17" i="12" s="1"/>
  <c r="EE84" i="12"/>
  <c r="EF84" i="12" s="1"/>
  <c r="EE87" i="12"/>
  <c r="EF87" i="12" s="1"/>
  <c r="CR8" i="12"/>
  <c r="EG8" i="12" s="1"/>
  <c r="CR3" i="12"/>
  <c r="EG3" i="12" s="1"/>
  <c r="CR20" i="12"/>
  <c r="EG20" i="12" s="1"/>
  <c r="EE56" i="12"/>
  <c r="EF56" i="12" s="1"/>
  <c r="CR44" i="12"/>
  <c r="EG44" i="12" s="1"/>
  <c r="EE20" i="12"/>
  <c r="EF20" i="12" s="1"/>
  <c r="BX92" i="12"/>
  <c r="CB92" i="12" s="1"/>
  <c r="CC92" i="12" s="1"/>
  <c r="BX36" i="12"/>
  <c r="CB36" i="12" s="1"/>
  <c r="CC36" i="12" s="1"/>
  <c r="BX68" i="12"/>
  <c r="CB68" i="12" s="1"/>
  <c r="CC68" i="12" s="1"/>
  <c r="BX18" i="12"/>
  <c r="CB18" i="12" s="1"/>
  <c r="CC18" i="12" s="1"/>
  <c r="BX61" i="12"/>
  <c r="CB61" i="12" s="1"/>
  <c r="CC61" i="12" s="1"/>
  <c r="BX47" i="12"/>
  <c r="CB47" i="12" s="1"/>
  <c r="CC47" i="12" s="1"/>
  <c r="BX8" i="12"/>
  <c r="IG23" i="12"/>
  <c r="IB23" i="12" s="1"/>
  <c r="EE71" i="12"/>
  <c r="EF71" i="12" s="1"/>
  <c r="CR46" i="12"/>
  <c r="EG46" i="12" s="1"/>
  <c r="CR88" i="12"/>
  <c r="EG88" i="12" s="1"/>
  <c r="EE51" i="12"/>
  <c r="EF51" i="12" s="1"/>
  <c r="EE81" i="12"/>
  <c r="EF81" i="12" s="1"/>
  <c r="EE9" i="12"/>
  <c r="EF9" i="12" s="1"/>
  <c r="EE79" i="12"/>
  <c r="EF79" i="12" s="1"/>
  <c r="CR81" i="12"/>
  <c r="EG81" i="12" s="1"/>
  <c r="CR7" i="12"/>
  <c r="EG7" i="12" s="1"/>
  <c r="CR98" i="12"/>
  <c r="EG98" i="12" s="1"/>
  <c r="EE25" i="12"/>
  <c r="EF25" i="12" s="1"/>
  <c r="EE98" i="12"/>
  <c r="EF98" i="12" s="1"/>
  <c r="CR94" i="12"/>
  <c r="EG94" i="12" s="1"/>
  <c r="BX56" i="12"/>
  <c r="BX43" i="12"/>
  <c r="CB43" i="12" s="1"/>
  <c r="CC43" i="12" s="1"/>
  <c r="BX72" i="12"/>
  <c r="CB72" i="12" s="1"/>
  <c r="CC72" i="12" s="1"/>
  <c r="BX26" i="12"/>
  <c r="BX21" i="12"/>
  <c r="CB21" i="12" s="1"/>
  <c r="CC21" i="12" s="1"/>
  <c r="CR29" i="12"/>
  <c r="EG29" i="12" s="1"/>
  <c r="EE75" i="12"/>
  <c r="EF75" i="12" s="1"/>
  <c r="CR73" i="12"/>
  <c r="EG73" i="12" s="1"/>
  <c r="CR6" i="12"/>
  <c r="EG6" i="12" s="1"/>
  <c r="CR25" i="12"/>
  <c r="EG25" i="12" s="1"/>
  <c r="EE6" i="12"/>
  <c r="EF6" i="12" s="1"/>
  <c r="EE33" i="12"/>
  <c r="EF33" i="12" s="1"/>
  <c r="EE42" i="12"/>
  <c r="EF42" i="12" s="1"/>
  <c r="CR36" i="12"/>
  <c r="EG36" i="12" s="1"/>
  <c r="EE72" i="12"/>
  <c r="EF72" i="12" s="1"/>
  <c r="CR28" i="12"/>
  <c r="EG28" i="12" s="1"/>
  <c r="CR51" i="12"/>
  <c r="EG51" i="12" s="1"/>
  <c r="BX88" i="12"/>
  <c r="CB88" i="12" s="1"/>
  <c r="CC88" i="12" s="1"/>
  <c r="BX15" i="12"/>
  <c r="CB15" i="12" s="1"/>
  <c r="CC15" i="12" s="1"/>
  <c r="BX95" i="12"/>
  <c r="CB95" i="12" s="1"/>
  <c r="CC95" i="12" s="1"/>
  <c r="BX51" i="12"/>
  <c r="CB51" i="12" s="1"/>
  <c r="CC51" i="12" s="1"/>
  <c r="BX98" i="12"/>
  <c r="CB98" i="12" s="1"/>
  <c r="CC98" i="12" s="1"/>
  <c r="BX75" i="12"/>
  <c r="CB75" i="12" s="1"/>
  <c r="CC75" i="12" s="1"/>
  <c r="BX27" i="12"/>
  <c r="BX54" i="12"/>
  <c r="CB54" i="12" s="1"/>
  <c r="CC54" i="12" s="1"/>
  <c r="CR84" i="12"/>
  <c r="EG84" i="12" s="1"/>
  <c r="CR17" i="12"/>
  <c r="EG17" i="12" s="1"/>
  <c r="EE36" i="12"/>
  <c r="EF36" i="12" s="1"/>
  <c r="EE48" i="12"/>
  <c r="EF48" i="12" s="1"/>
  <c r="EE43" i="12"/>
  <c r="EF43" i="12" s="1"/>
  <c r="EE97" i="12"/>
  <c r="EF97" i="12" s="1"/>
  <c r="CR83" i="12"/>
  <c r="EG83" i="12" s="1"/>
  <c r="CR39" i="12"/>
  <c r="EG39" i="12" s="1"/>
  <c r="CR57" i="12"/>
  <c r="EG57" i="12" s="1"/>
  <c r="CR22" i="12"/>
  <c r="EG22" i="12" s="1"/>
  <c r="EE62" i="12"/>
  <c r="EF62" i="12" s="1"/>
  <c r="CR31" i="12"/>
  <c r="EG31" i="12" s="1"/>
  <c r="EE14" i="12"/>
  <c r="EF14" i="12" s="1"/>
  <c r="BX38" i="12"/>
  <c r="CB38" i="12" s="1"/>
  <c r="CC38" i="12" s="1"/>
  <c r="BX86" i="12"/>
  <c r="BX32" i="12"/>
  <c r="CB32" i="12" s="1"/>
  <c r="CC32" i="12" s="1"/>
  <c r="BX40" i="12"/>
  <c r="CB40" i="12" s="1"/>
  <c r="CC40" i="12" s="1"/>
  <c r="BX14" i="12"/>
  <c r="CB14" i="12" s="1"/>
  <c r="CC14" i="12" s="1"/>
  <c r="BX24" i="12"/>
  <c r="CB24" i="12" s="1"/>
  <c r="CC24" i="12" s="1"/>
  <c r="CR54" i="12"/>
  <c r="EG54" i="12" s="1"/>
  <c r="EE78" i="12"/>
  <c r="EF78" i="12" s="1"/>
  <c r="CR72" i="12"/>
  <c r="EG72" i="12" s="1"/>
  <c r="EE86" i="12"/>
  <c r="EF86" i="12" s="1"/>
  <c r="EE94" i="12"/>
  <c r="EF94" i="12" s="1"/>
  <c r="CR32" i="12"/>
  <c r="EG32" i="12" s="1"/>
  <c r="CR55" i="12"/>
  <c r="EG55" i="12" s="1"/>
  <c r="BX89" i="12"/>
  <c r="CB89" i="12" s="1"/>
  <c r="CC89" i="12" s="1"/>
  <c r="BX33" i="12"/>
  <c r="CB33" i="12" s="1"/>
  <c r="CC33" i="12" s="1"/>
  <c r="BX31" i="12"/>
  <c r="BX28" i="12"/>
  <c r="CB28" i="12" s="1"/>
  <c r="CC28" i="12" s="1"/>
  <c r="BX81" i="12"/>
  <c r="CB81" i="12" s="1"/>
  <c r="CC81" i="12" s="1"/>
  <c r="BX80" i="12"/>
  <c r="CB80" i="12" s="1"/>
  <c r="CC80" i="12" s="1"/>
  <c r="BX59" i="12"/>
  <c r="CB59" i="12" s="1"/>
  <c r="CC59" i="12" s="1"/>
  <c r="E28" i="11"/>
  <c r="D28" i="11"/>
  <c r="F28" i="11"/>
  <c r="G28" i="11"/>
  <c r="BY68" i="12"/>
  <c r="BZ68" i="12" s="1"/>
  <c r="CA68" i="12" s="1"/>
  <c r="FU141" i="12"/>
  <c r="GR141" i="12" s="1"/>
  <c r="FR142" i="12"/>
  <c r="FU140" i="12"/>
  <c r="GR140" i="12" s="1"/>
  <c r="CX2237" i="12"/>
  <c r="D14" i="10"/>
  <c r="B58" i="10"/>
  <c r="B24" i="10"/>
  <c r="E97" i="10"/>
  <c r="E89" i="10"/>
  <c r="E82" i="10"/>
  <c r="B81" i="10"/>
  <c r="B113" i="10"/>
  <c r="B30" i="10"/>
  <c r="C24" i="10"/>
  <c r="C73" i="10"/>
  <c r="B108" i="10"/>
  <c r="D77" i="10"/>
  <c r="E52" i="10"/>
  <c r="D87" i="10"/>
  <c r="B103" i="10"/>
  <c r="B48" i="10"/>
  <c r="E57" i="10"/>
  <c r="D115" i="10"/>
  <c r="B34" i="10"/>
  <c r="E84" i="10"/>
  <c r="D112" i="10"/>
  <c r="C69" i="10"/>
  <c r="D56" i="10"/>
  <c r="B25" i="10"/>
  <c r="D78" i="10"/>
  <c r="E81" i="10"/>
  <c r="D117" i="10"/>
  <c r="B68" i="10"/>
  <c r="C89" i="10"/>
  <c r="B21" i="10"/>
  <c r="C90" i="10"/>
  <c r="E33" i="10"/>
  <c r="D79" i="10"/>
  <c r="B65" i="10"/>
  <c r="B39" i="10"/>
  <c r="E32" i="10"/>
  <c r="E45" i="10"/>
  <c r="D49" i="10"/>
  <c r="B97" i="10"/>
  <c r="E109" i="10"/>
  <c r="C87" i="10"/>
  <c r="C39" i="10"/>
  <c r="E77" i="10"/>
  <c r="D92" i="10"/>
  <c r="D108" i="10"/>
  <c r="D44" i="10"/>
  <c r="B98" i="10"/>
  <c r="B116" i="10"/>
  <c r="C38" i="10"/>
  <c r="E116" i="10"/>
  <c r="D106" i="10"/>
  <c r="D81" i="10"/>
  <c r="E110" i="10"/>
  <c r="D37" i="10"/>
  <c r="D89" i="10"/>
  <c r="D105" i="10"/>
  <c r="D98" i="10"/>
  <c r="C54" i="10"/>
  <c r="D60" i="10"/>
  <c r="C78" i="10"/>
  <c r="D58" i="10"/>
  <c r="B87" i="10"/>
  <c r="E86" i="10"/>
  <c r="D107" i="10"/>
  <c r="E30" i="10"/>
  <c r="E93" i="10"/>
  <c r="C36" i="10"/>
  <c r="E48" i="10"/>
  <c r="D96" i="10"/>
  <c r="B51" i="10"/>
  <c r="E55" i="10"/>
  <c r="C82" i="10"/>
  <c r="D59" i="10"/>
  <c r="C68" i="10"/>
  <c r="B29" i="10"/>
  <c r="D83" i="10"/>
  <c r="D41" i="10"/>
  <c r="B31" i="10"/>
  <c r="E27" i="10"/>
  <c r="E47" i="10"/>
  <c r="B57" i="10"/>
  <c r="E49" i="10"/>
  <c r="E64" i="10"/>
  <c r="E118" i="10"/>
  <c r="D25" i="10"/>
  <c r="E95" i="10"/>
  <c r="D74" i="10"/>
  <c r="D43" i="10"/>
  <c r="B111" i="10"/>
  <c r="D118" i="10"/>
  <c r="D21" i="10"/>
  <c r="E76" i="10"/>
  <c r="D94" i="10"/>
  <c r="C53" i="10"/>
  <c r="C80" i="10"/>
  <c r="B79" i="10"/>
  <c r="D113" i="10"/>
  <c r="C105" i="10"/>
  <c r="D22" i="10"/>
  <c r="D18" i="10"/>
  <c r="D100" i="10"/>
  <c r="D47" i="10"/>
  <c r="D86" i="10"/>
  <c r="E107" i="10"/>
  <c r="D95" i="10"/>
  <c r="D120" i="10"/>
  <c r="E104" i="10"/>
  <c r="D111" i="10"/>
  <c r="B69" i="10"/>
  <c r="B80" i="10"/>
  <c r="D70" i="10"/>
  <c r="B64" i="10"/>
  <c r="E100" i="10"/>
  <c r="B96" i="10"/>
  <c r="B95" i="10"/>
  <c r="C57" i="10"/>
  <c r="E21" i="10"/>
  <c r="B102" i="10"/>
  <c r="E80" i="10"/>
  <c r="D61" i="10"/>
  <c r="B74" i="10"/>
  <c r="D55" i="10"/>
  <c r="C101" i="10"/>
  <c r="E74" i="10"/>
  <c r="D16" i="10"/>
  <c r="E42" i="10"/>
  <c r="C102" i="10"/>
  <c r="C29" i="10"/>
  <c r="B67" i="10"/>
  <c r="B83" i="10"/>
  <c r="D85" i="10"/>
  <c r="E96" i="10"/>
  <c r="B52" i="10"/>
  <c r="D110" i="10"/>
  <c r="B86" i="10"/>
  <c r="D91" i="10"/>
  <c r="B71" i="10"/>
  <c r="C26" i="10"/>
  <c r="C96" i="10"/>
  <c r="C60" i="10"/>
  <c r="D30" i="10"/>
  <c r="B26" i="10"/>
  <c r="E105" i="10"/>
  <c r="C74" i="10"/>
  <c r="C31" i="10"/>
  <c r="B101" i="10"/>
  <c r="C81" i="10"/>
  <c r="C61" i="10"/>
  <c r="E111" i="10"/>
  <c r="E88" i="10"/>
  <c r="B53" i="10"/>
  <c r="B114" i="10"/>
  <c r="E38" i="10"/>
  <c r="E69" i="10"/>
  <c r="C62" i="10"/>
  <c r="B105" i="10"/>
  <c r="D38" i="10"/>
  <c r="B56" i="10"/>
  <c r="B40" i="10"/>
  <c r="C50" i="10"/>
  <c r="C86" i="10"/>
  <c r="E92" i="10"/>
  <c r="E103" i="10"/>
  <c r="C56" i="10"/>
  <c r="E117" i="10"/>
  <c r="C35" i="10"/>
  <c r="C23" i="10"/>
  <c r="B23" i="10"/>
  <c r="C109" i="10"/>
  <c r="E73" i="10"/>
  <c r="B59" i="10"/>
  <c r="D102" i="10"/>
  <c r="E39" i="10"/>
  <c r="D26" i="10"/>
  <c r="E101" i="10"/>
  <c r="E85" i="10"/>
  <c r="B47" i="10"/>
  <c r="C110" i="10"/>
  <c r="D27" i="10"/>
  <c r="D35" i="10"/>
  <c r="E106" i="10"/>
  <c r="C33" i="10"/>
  <c r="D23" i="10"/>
  <c r="E90" i="10"/>
  <c r="D90" i="10"/>
  <c r="C63" i="10"/>
  <c r="E91" i="10"/>
  <c r="C41" i="10"/>
  <c r="C107" i="10"/>
  <c r="E72" i="10"/>
  <c r="B106" i="10"/>
  <c r="D33" i="10"/>
  <c r="C37" i="10"/>
  <c r="E53" i="10"/>
  <c r="B94" i="10"/>
  <c r="E68" i="10"/>
  <c r="E102" i="10"/>
  <c r="C28" i="10"/>
  <c r="C103" i="10"/>
  <c r="B28" i="10"/>
  <c r="E51" i="10"/>
  <c r="D99" i="10"/>
  <c r="D101" i="10"/>
  <c r="C84" i="10"/>
  <c r="C95" i="10"/>
  <c r="C116" i="10"/>
  <c r="D73" i="10"/>
  <c r="C108" i="10"/>
  <c r="D34" i="10"/>
  <c r="E50" i="10"/>
  <c r="D29" i="10"/>
  <c r="E31" i="10"/>
  <c r="B115" i="10"/>
  <c r="B16" i="10"/>
  <c r="D69" i="10"/>
  <c r="C30" i="10"/>
  <c r="B43" i="10"/>
  <c r="C85" i="10"/>
  <c r="D80" i="10"/>
  <c r="B104" i="10"/>
  <c r="D28" i="10"/>
  <c r="D40" i="10"/>
  <c r="B22" i="10"/>
  <c r="D84" i="10"/>
  <c r="E56" i="10"/>
  <c r="B45" i="10"/>
  <c r="B73" i="10"/>
  <c r="D57" i="10"/>
  <c r="C44" i="10"/>
  <c r="D97" i="10"/>
  <c r="D103" i="10"/>
  <c r="B109" i="10"/>
  <c r="B70" i="10"/>
  <c r="B93" i="10"/>
  <c r="B27" i="10"/>
  <c r="C25" i="10"/>
  <c r="E58" i="10"/>
  <c r="E15" i="10"/>
  <c r="E40" i="10"/>
  <c r="D68" i="10"/>
  <c r="D51" i="10"/>
  <c r="B118" i="10"/>
  <c r="E63" i="10"/>
  <c r="D50" i="10"/>
  <c r="E43" i="10"/>
  <c r="C40" i="10"/>
  <c r="C49" i="10"/>
  <c r="C55" i="10"/>
  <c r="B90" i="10"/>
  <c r="D62" i="10"/>
  <c r="D24" i="10"/>
  <c r="C106" i="10"/>
  <c r="D17" i="10"/>
  <c r="D52" i="10"/>
  <c r="E98" i="10"/>
  <c r="D67" i="10"/>
  <c r="E61" i="10"/>
  <c r="E71" i="10"/>
  <c r="C42" i="10"/>
  <c r="B63" i="10"/>
  <c r="B110" i="10"/>
  <c r="B32" i="10"/>
  <c r="B66" i="10"/>
  <c r="C47" i="10"/>
  <c r="B84" i="10"/>
  <c r="D31" i="10"/>
  <c r="D36" i="10"/>
  <c r="D45" i="10"/>
  <c r="E87" i="10"/>
  <c r="D75" i="10"/>
  <c r="D88" i="10"/>
  <c r="D64" i="10"/>
  <c r="B107" i="10"/>
  <c r="C45" i="10"/>
  <c r="B72" i="10"/>
  <c r="C75" i="10"/>
  <c r="E75" i="10"/>
  <c r="D93" i="10"/>
  <c r="C65" i="10"/>
  <c r="B75" i="10"/>
  <c r="D65" i="10"/>
  <c r="B112" i="10"/>
  <c r="B117" i="10"/>
  <c r="C77" i="10"/>
  <c r="B76" i="10"/>
  <c r="C111" i="10"/>
  <c r="E34" i="10"/>
  <c r="C104" i="10"/>
  <c r="B46" i="10"/>
  <c r="D32" i="10"/>
  <c r="B50" i="10"/>
  <c r="C32" i="10"/>
  <c r="E41" i="10"/>
  <c r="C46" i="10"/>
  <c r="E59" i="10"/>
  <c r="B55" i="10"/>
  <c r="C58" i="10"/>
  <c r="B61" i="10"/>
  <c r="E29" i="10"/>
  <c r="D71" i="10"/>
  <c r="C117" i="10"/>
  <c r="E70" i="10"/>
  <c r="B120" i="10"/>
  <c r="B60" i="10"/>
  <c r="C34" i="10"/>
  <c r="C67" i="10"/>
  <c r="D66" i="10"/>
  <c r="B38" i="10"/>
  <c r="B100" i="10"/>
  <c r="B89" i="10"/>
  <c r="E26" i="10"/>
  <c r="B78" i="10"/>
  <c r="B44" i="10"/>
  <c r="D39" i="10"/>
  <c r="E37" i="10"/>
  <c r="E67" i="10"/>
  <c r="B99" i="10"/>
  <c r="E108" i="10"/>
  <c r="D53" i="10"/>
  <c r="E99" i="10"/>
  <c r="C59" i="10"/>
  <c r="B35" i="10"/>
  <c r="B33" i="10"/>
  <c r="E65" i="10"/>
  <c r="C52" i="10"/>
  <c r="D104" i="10"/>
  <c r="E46" i="10"/>
  <c r="C27" i="10"/>
  <c r="C21" i="10"/>
  <c r="D116" i="10"/>
  <c r="E94" i="10"/>
  <c r="B91" i="10"/>
  <c r="E62" i="10"/>
  <c r="D76" i="10"/>
  <c r="D42" i="10"/>
  <c r="C118" i="10"/>
  <c r="D63" i="10"/>
  <c r="C64" i="10"/>
  <c r="B37" i="10"/>
  <c r="B36" i="10"/>
  <c r="B119" i="10"/>
  <c r="D48" i="10"/>
  <c r="C71" i="10"/>
  <c r="C83" i="10"/>
  <c r="C22" i="10"/>
  <c r="E66" i="10"/>
  <c r="E36" i="10"/>
  <c r="D114" i="10"/>
  <c r="E54" i="10"/>
  <c r="D54" i="10"/>
  <c r="E79" i="10"/>
  <c r="C70" i="10"/>
  <c r="C48" i="10"/>
  <c r="E35" i="10"/>
  <c r="B88" i="10"/>
  <c r="C76" i="10"/>
  <c r="C88" i="10"/>
  <c r="B82" i="10"/>
  <c r="E78" i="10"/>
  <c r="D46" i="10"/>
  <c r="E44" i="10"/>
  <c r="B54" i="10"/>
  <c r="B49" i="10"/>
  <c r="D109" i="10"/>
  <c r="D119" i="10"/>
  <c r="C43" i="10"/>
  <c r="B92" i="10"/>
  <c r="E60" i="10"/>
  <c r="B17" i="10"/>
  <c r="B42" i="10"/>
  <c r="D72" i="10"/>
  <c r="C100" i="10"/>
  <c r="B77" i="10"/>
  <c r="C79" i="10"/>
  <c r="D82" i="10"/>
  <c r="B41" i="10"/>
  <c r="C72" i="10"/>
  <c r="B85" i="10"/>
  <c r="C66" i="10"/>
  <c r="C51" i="10"/>
  <c r="B62" i="10"/>
  <c r="E28" i="10"/>
  <c r="E83" i="10"/>
  <c r="CW22" i="12" l="1"/>
  <c r="BY66" i="12"/>
  <c r="BZ66" i="12" s="1"/>
  <c r="CA66" i="12" s="1"/>
  <c r="BY43" i="12"/>
  <c r="BZ43" i="12" s="1"/>
  <c r="CA43" i="12" s="1"/>
  <c r="BY47" i="12"/>
  <c r="BZ47" i="12" s="1"/>
  <c r="CA47" i="12" s="1"/>
  <c r="BY96" i="12"/>
  <c r="BZ96" i="12" s="1"/>
  <c r="CA96" i="12" s="1"/>
  <c r="BY60" i="12"/>
  <c r="BZ60" i="12" s="1"/>
  <c r="CA60" i="12" s="1"/>
  <c r="BY7" i="12"/>
  <c r="BZ7" i="12" s="1"/>
  <c r="CA7" i="12" s="1"/>
  <c r="C12" i="10" s="1"/>
  <c r="BY24" i="12"/>
  <c r="BZ24" i="12" s="1"/>
  <c r="CA24" i="12" s="1"/>
  <c r="BY78" i="12"/>
  <c r="BZ78" i="12" s="1"/>
  <c r="CA78" i="12" s="1"/>
  <c r="BY14" i="12"/>
  <c r="BZ14" i="12" s="1"/>
  <c r="BY63" i="12"/>
  <c r="BZ63" i="12" s="1"/>
  <c r="CA63" i="12" s="1"/>
  <c r="BY69" i="12"/>
  <c r="BZ69" i="12" s="1"/>
  <c r="CA69" i="12" s="1"/>
  <c r="CC9" i="12"/>
  <c r="BY92" i="12"/>
  <c r="BZ92" i="12" s="1"/>
  <c r="CA92" i="12" s="1"/>
  <c r="EF100" i="12"/>
  <c r="EG100" i="12"/>
  <c r="AQ171" i="12"/>
  <c r="AQ172" i="12" s="1"/>
  <c r="HT47" i="12"/>
  <c r="HO48" i="12"/>
  <c r="B6" i="10"/>
  <c r="C7" i="11"/>
  <c r="F9" i="11"/>
  <c r="F11" i="15"/>
  <c r="IG46" i="12"/>
  <c r="IG38" i="12" s="1"/>
  <c r="D9" i="11"/>
  <c r="B7" i="10"/>
  <c r="C8" i="11"/>
  <c r="B5" i="10"/>
  <c r="BR225" i="12"/>
  <c r="CC13" i="12" s="1"/>
  <c r="F2" i="5"/>
  <c r="G9" i="11"/>
  <c r="D11" i="15"/>
  <c r="B11" i="15"/>
  <c r="C11" i="15"/>
  <c r="D8" i="11"/>
  <c r="CC7" i="12"/>
  <c r="E12" i="10" s="1"/>
  <c r="IB1" i="12"/>
  <c r="IG22" i="12" s="1"/>
  <c r="GF6" i="12"/>
  <c r="GE11" i="12" s="1"/>
  <c r="GE19" i="12" s="1"/>
  <c r="BY35" i="12"/>
  <c r="BZ35" i="12" s="1"/>
  <c r="CA35" i="12" s="1"/>
  <c r="CC11" i="12"/>
  <c r="D2" i="11"/>
  <c r="F8" i="11"/>
  <c r="B8" i="11"/>
  <c r="B10" i="15"/>
  <c r="D3" i="2"/>
  <c r="D7" i="2"/>
  <c r="D2" i="10"/>
  <c r="BY76" i="12"/>
  <c r="BZ76" i="12" s="1"/>
  <c r="CA76" i="12" s="1"/>
  <c r="E2" i="15"/>
  <c r="G11" i="15"/>
  <c r="H11" i="15"/>
  <c r="E9" i="11"/>
  <c r="B3" i="10"/>
  <c r="E11" i="15"/>
  <c r="BY13" i="12"/>
  <c r="BZ13" i="12" s="1"/>
  <c r="CA13" i="12" s="1"/>
  <c r="BY27" i="12"/>
  <c r="BZ27" i="12" s="1"/>
  <c r="CA27" i="12" s="1"/>
  <c r="BY50" i="12"/>
  <c r="BZ50" i="12" s="1"/>
  <c r="CA50" i="12" s="1"/>
  <c r="BY95" i="12"/>
  <c r="BZ95" i="12" s="1"/>
  <c r="CA95" i="12" s="1"/>
  <c r="BY41" i="12"/>
  <c r="BZ41" i="12" s="1"/>
  <c r="CA41" i="12" s="1"/>
  <c r="BY67" i="12"/>
  <c r="BZ67" i="12" s="1"/>
  <c r="CA67" i="12" s="1"/>
  <c r="BY31" i="12"/>
  <c r="BZ31" i="12" s="1"/>
  <c r="CA31" i="12" s="1"/>
  <c r="BY93" i="12"/>
  <c r="BZ93" i="12" s="1"/>
  <c r="CA93" i="12" s="1"/>
  <c r="BY80" i="12"/>
  <c r="BZ80" i="12" s="1"/>
  <c r="CA80" i="12" s="1"/>
  <c r="BY38" i="12"/>
  <c r="BZ38" i="12" s="1"/>
  <c r="CA38" i="12" s="1"/>
  <c r="BY74" i="12"/>
  <c r="BZ74" i="12" s="1"/>
  <c r="CA74" i="12" s="1"/>
  <c r="BY21" i="12"/>
  <c r="BZ21" i="12" s="1"/>
  <c r="CA21" i="12" s="1"/>
  <c r="BY57" i="12"/>
  <c r="BZ57" i="12" s="1"/>
  <c r="CA57" i="12" s="1"/>
  <c r="BY75" i="12"/>
  <c r="BZ75" i="12" s="1"/>
  <c r="CA75" i="12" s="1"/>
  <c r="IH66" i="12"/>
  <c r="BY52" i="12"/>
  <c r="BZ52" i="12" s="1"/>
  <c r="CA52" i="12" s="1"/>
  <c r="BY51" i="12"/>
  <c r="BZ51" i="12" s="1"/>
  <c r="CA51" i="12" s="1"/>
  <c r="BY71" i="12"/>
  <c r="BZ71" i="12" s="1"/>
  <c r="CA71" i="12" s="1"/>
  <c r="BY39" i="12"/>
  <c r="BZ39" i="12" s="1"/>
  <c r="CA39" i="12" s="1"/>
  <c r="BY46" i="12"/>
  <c r="BZ46" i="12" s="1"/>
  <c r="CA46" i="12" s="1"/>
  <c r="BY18" i="12"/>
  <c r="BZ18" i="12" s="1"/>
  <c r="CA18" i="12" s="1"/>
  <c r="BY37" i="12"/>
  <c r="BZ37" i="12" s="1"/>
  <c r="CA37" i="12" s="1"/>
  <c r="BY15" i="12"/>
  <c r="BZ15" i="12" s="1"/>
  <c r="BY81" i="12"/>
  <c r="BZ81" i="12" s="1"/>
  <c r="CA81" i="12" s="1"/>
  <c r="BY90" i="12"/>
  <c r="BZ90" i="12" s="1"/>
  <c r="CA90" i="12" s="1"/>
  <c r="BY8" i="12"/>
  <c r="BZ8" i="12" s="1"/>
  <c r="CA8" i="12" s="1"/>
  <c r="CA11" i="12"/>
  <c r="BY89" i="12"/>
  <c r="BZ89" i="12" s="1"/>
  <c r="CA89" i="12" s="1"/>
  <c r="BY65" i="12"/>
  <c r="BZ65" i="12" s="1"/>
  <c r="CA65" i="12" s="1"/>
  <c r="BY86" i="12"/>
  <c r="BZ86" i="12" s="1"/>
  <c r="CA86" i="12" s="1"/>
  <c r="EF4" i="12"/>
  <c r="EF5" i="12"/>
  <c r="BY23" i="12"/>
  <c r="BZ23" i="12" s="1"/>
  <c r="CA23" i="12" s="1"/>
  <c r="BY70" i="12"/>
  <c r="BZ70" i="12" s="1"/>
  <c r="CA70" i="12" s="1"/>
  <c r="BY49" i="12"/>
  <c r="BZ49" i="12" s="1"/>
  <c r="CA49" i="12" s="1"/>
  <c r="BY54" i="12"/>
  <c r="BZ54" i="12" s="1"/>
  <c r="CA54" i="12" s="1"/>
  <c r="BY25" i="12"/>
  <c r="BZ25" i="12" s="1"/>
  <c r="CA25" i="12" s="1"/>
  <c r="BY73" i="12"/>
  <c r="BZ73" i="12" s="1"/>
  <c r="CA73" i="12" s="1"/>
  <c r="BY84" i="12"/>
  <c r="BZ84" i="12" s="1"/>
  <c r="CA84" i="12" s="1"/>
  <c r="BY45" i="12"/>
  <c r="BZ45" i="12" s="1"/>
  <c r="CA45" i="12" s="1"/>
  <c r="BY99" i="12"/>
  <c r="BZ99" i="12" s="1"/>
  <c r="CA99" i="12" s="1"/>
  <c r="BY22" i="12"/>
  <c r="BZ22" i="12" s="1"/>
  <c r="CA22" i="12" s="1"/>
  <c r="B9" i="10"/>
  <c r="CA4" i="12"/>
  <c r="C9" i="10" s="1"/>
  <c r="CC5" i="12"/>
  <c r="E10" i="10" s="1"/>
  <c r="CB8" i="12"/>
  <c r="BY10" i="12"/>
  <c r="BZ10" i="12" s="1"/>
  <c r="BY34" i="12"/>
  <c r="BZ34" i="12" s="1"/>
  <c r="CA34" i="12" s="1"/>
  <c r="BY9" i="12"/>
  <c r="BZ9" i="12" s="1"/>
  <c r="CA9" i="12" s="1"/>
  <c r="CA12" i="12"/>
  <c r="JK34" i="12"/>
  <c r="JL34" i="12" s="1"/>
  <c r="EA34" i="12" s="1"/>
  <c r="JH35" i="12"/>
  <c r="BY91" i="12"/>
  <c r="BZ91" i="12" s="1"/>
  <c r="CA91" i="12" s="1"/>
  <c r="BY53" i="12"/>
  <c r="BZ53" i="12" s="1"/>
  <c r="CA53" i="12" s="1"/>
  <c r="CX549" i="12"/>
  <c r="CX544" i="12"/>
  <c r="CX547" i="12"/>
  <c r="CX559" i="12"/>
  <c r="CX553" i="12"/>
  <c r="CX554" i="12"/>
  <c r="CX548" i="12"/>
  <c r="CX551" i="12"/>
  <c r="CX557" i="12"/>
  <c r="CX546" i="12"/>
  <c r="CX543" i="12"/>
  <c r="CX550" i="12"/>
  <c r="CX556" i="12"/>
  <c r="CX545" i="12"/>
  <c r="CX555" i="12"/>
  <c r="CX558" i="12"/>
  <c r="CX552" i="12"/>
  <c r="CC12" i="12"/>
  <c r="CB53" i="12"/>
  <c r="CC53" i="12" s="1"/>
  <c r="BY55" i="12"/>
  <c r="BZ55" i="12" s="1"/>
  <c r="CA55" i="12" s="1"/>
  <c r="BY97" i="12"/>
  <c r="BZ97" i="12" s="1"/>
  <c r="CA97" i="12" s="1"/>
  <c r="BY20" i="12"/>
  <c r="BZ20" i="12" s="1"/>
  <c r="CA20" i="12" s="1"/>
  <c r="BY94" i="12"/>
  <c r="BZ94" i="12" s="1"/>
  <c r="CA94" i="12" s="1"/>
  <c r="D11" i="10"/>
  <c r="CC6" i="12"/>
  <c r="E11" i="10" s="1"/>
  <c r="BY77" i="12"/>
  <c r="BZ77" i="12" s="1"/>
  <c r="CA77" i="12" s="1"/>
  <c r="BY83" i="12"/>
  <c r="BZ83" i="12" s="1"/>
  <c r="CA83" i="12" s="1"/>
  <c r="CA3" i="12"/>
  <c r="C8" i="10" s="1"/>
  <c r="B8" i="10"/>
  <c r="CB17" i="12"/>
  <c r="CC17" i="12" s="1"/>
  <c r="BY19" i="12"/>
  <c r="BZ19" i="12" s="1"/>
  <c r="CA19" i="12" s="1"/>
  <c r="CB77" i="12"/>
  <c r="CC77" i="12" s="1"/>
  <c r="BY79" i="12"/>
  <c r="BZ79" i="12" s="1"/>
  <c r="CA79" i="12" s="1"/>
  <c r="CB34" i="12"/>
  <c r="CC34" i="12" s="1"/>
  <c r="BY36" i="12"/>
  <c r="BZ36" i="12" s="1"/>
  <c r="CA36" i="12" s="1"/>
  <c r="BY42" i="12"/>
  <c r="BZ42" i="12" s="1"/>
  <c r="CA42" i="12" s="1"/>
  <c r="BY100" i="12"/>
  <c r="BZ100" i="12" s="1"/>
  <c r="CA100" i="12" s="1"/>
  <c r="BY85" i="12"/>
  <c r="BZ85" i="12" s="1"/>
  <c r="CA85" i="12" s="1"/>
  <c r="CB86" i="12"/>
  <c r="CC86" i="12" s="1"/>
  <c r="BY88" i="12"/>
  <c r="BZ88" i="12" s="1"/>
  <c r="CA88" i="12" s="1"/>
  <c r="EG79" i="12"/>
  <c r="CB30" i="12"/>
  <c r="CC30" i="12" s="1"/>
  <c r="BY32" i="12"/>
  <c r="BZ32" i="12" s="1"/>
  <c r="CA32" i="12" s="1"/>
  <c r="BY44" i="12"/>
  <c r="BZ44" i="12" s="1"/>
  <c r="CA44" i="12" s="1"/>
  <c r="CB42" i="12"/>
  <c r="CC42" i="12" s="1"/>
  <c r="D9" i="10"/>
  <c r="CC4" i="12"/>
  <c r="E9" i="10" s="1"/>
  <c r="BY56" i="12"/>
  <c r="BZ56" i="12" s="1"/>
  <c r="CA56" i="12" s="1"/>
  <c r="BY62" i="12"/>
  <c r="BZ62" i="12" s="1"/>
  <c r="CA62" i="12" s="1"/>
  <c r="CB60" i="12"/>
  <c r="CC60" i="12" s="1"/>
  <c r="CB62" i="12"/>
  <c r="CC62" i="12" s="1"/>
  <c r="BY64" i="12"/>
  <c r="BZ64" i="12" s="1"/>
  <c r="CA64" i="12" s="1"/>
  <c r="BY40" i="12"/>
  <c r="BZ40" i="12" s="1"/>
  <c r="CA40" i="12" s="1"/>
  <c r="BY82" i="12"/>
  <c r="BZ82" i="12" s="1"/>
  <c r="CA82" i="12" s="1"/>
  <c r="BY59" i="12"/>
  <c r="BZ59" i="12" s="1"/>
  <c r="CA59" i="12" s="1"/>
  <c r="BY61" i="12"/>
  <c r="BZ61" i="12" s="1"/>
  <c r="CA61" i="12" s="1"/>
  <c r="CB31" i="12"/>
  <c r="CC31" i="12" s="1"/>
  <c r="BY33" i="12"/>
  <c r="BZ33" i="12" s="1"/>
  <c r="CA33" i="12" s="1"/>
  <c r="CB3" i="12"/>
  <c r="BY5" i="12"/>
  <c r="BZ5" i="12" s="1"/>
  <c r="CB96" i="12"/>
  <c r="CC96" i="12" s="1"/>
  <c r="BY98" i="12"/>
  <c r="BZ98" i="12" s="1"/>
  <c r="CA98" i="12" s="1"/>
  <c r="CB70" i="12"/>
  <c r="CC70" i="12" s="1"/>
  <c r="BY72" i="12"/>
  <c r="BZ72" i="12" s="1"/>
  <c r="CA72" i="12" s="1"/>
  <c r="BY26" i="12"/>
  <c r="BZ26" i="12" s="1"/>
  <c r="CA26" i="12" s="1"/>
  <c r="BY16" i="12"/>
  <c r="BZ16" i="12" s="1"/>
  <c r="CA16" i="12" s="1"/>
  <c r="BY87" i="12"/>
  <c r="BZ87" i="12" s="1"/>
  <c r="CA87" i="12" s="1"/>
  <c r="BY30" i="12"/>
  <c r="BZ30" i="12" s="1"/>
  <c r="CA30" i="12" s="1"/>
  <c r="BY17" i="12"/>
  <c r="BZ17" i="12" s="1"/>
  <c r="CA17" i="12" s="1"/>
  <c r="CB27" i="12"/>
  <c r="CC27" i="12" s="1"/>
  <c r="BY29" i="12"/>
  <c r="BZ29" i="12" s="1"/>
  <c r="CA29" i="12" s="1"/>
  <c r="CB26" i="12"/>
  <c r="CC26" i="12" s="1"/>
  <c r="BY28" i="12"/>
  <c r="BZ28" i="12" s="1"/>
  <c r="CA28" i="12" s="1"/>
  <c r="CB56" i="12"/>
  <c r="CC56" i="12" s="1"/>
  <c r="BY58" i="12"/>
  <c r="BZ58" i="12" s="1"/>
  <c r="CA58" i="12" s="1"/>
  <c r="BY6" i="12"/>
  <c r="BZ6" i="12" s="1"/>
  <c r="IG24" i="12"/>
  <c r="FU142" i="12"/>
  <c r="GR142" i="12" s="1"/>
  <c r="FR143" i="12"/>
  <c r="CX2238" i="12"/>
  <c r="C93" i="10"/>
  <c r="D19" i="10"/>
  <c r="E16" i="10"/>
  <c r="C112" i="10"/>
  <c r="C114" i="10"/>
  <c r="E25" i="10"/>
  <c r="C98" i="10"/>
  <c r="E119" i="10"/>
  <c r="E23" i="10"/>
  <c r="C17" i="10"/>
  <c r="C13" i="10"/>
  <c r="E19" i="10"/>
  <c r="E18" i="10"/>
  <c r="C94" i="10"/>
  <c r="C115" i="10"/>
  <c r="E112" i="10"/>
  <c r="E20" i="10"/>
  <c r="D13" i="10"/>
  <c r="C92" i="10"/>
  <c r="D20" i="10"/>
  <c r="C18" i="10"/>
  <c r="C99" i="10"/>
  <c r="E114" i="10"/>
  <c r="B19" i="10"/>
  <c r="D15" i="10"/>
  <c r="C119" i="10"/>
  <c r="E22" i="10"/>
  <c r="E115" i="10"/>
  <c r="B20" i="10"/>
  <c r="C120" i="10"/>
  <c r="C113" i="10"/>
  <c r="C91" i="10"/>
  <c r="C14" i="10"/>
  <c r="E113" i="10"/>
  <c r="E17" i="10"/>
  <c r="B15" i="10"/>
  <c r="C16" i="10"/>
  <c r="C97" i="10"/>
  <c r="E24" i="10"/>
  <c r="E14" i="10"/>
  <c r="E120" i="10"/>
  <c r="CW23" i="12" l="1"/>
  <c r="B12" i="10"/>
  <c r="CA14" i="12"/>
  <c r="CA15" i="12"/>
  <c r="AQ173" i="12"/>
  <c r="AQ174" i="12" s="1"/>
  <c r="HT48" i="12"/>
  <c r="HO49" i="12"/>
  <c r="IG69" i="12"/>
  <c r="IG68" i="12"/>
  <c r="IG91" i="12" s="1"/>
  <c r="IG37" i="12"/>
  <c r="IG47" i="12"/>
  <c r="CC8" i="12"/>
  <c r="CA10" i="12"/>
  <c r="CX575" i="12"/>
  <c r="CX576" i="12"/>
  <c r="CX562" i="12"/>
  <c r="CX569" i="12"/>
  <c r="CX564" i="12"/>
  <c r="CX572" i="12"/>
  <c r="CX577" i="12"/>
  <c r="CX567" i="12"/>
  <c r="CX573" i="12"/>
  <c r="CX566" i="12"/>
  <c r="CX568" i="12"/>
  <c r="CX571" i="12"/>
  <c r="CX574" i="12"/>
  <c r="CX565" i="12"/>
  <c r="CX563" i="12"/>
  <c r="CX561" i="12"/>
  <c r="CX570" i="12"/>
  <c r="JH36" i="12"/>
  <c r="JK35" i="12"/>
  <c r="JL35" i="12" s="1"/>
  <c r="EA35" i="12" s="1"/>
  <c r="CC3" i="12"/>
  <c r="E8" i="10" s="1"/>
  <c r="D8" i="10"/>
  <c r="B11" i="10"/>
  <c r="CA6" i="12"/>
  <c r="C11" i="10" s="1"/>
  <c r="B10" i="10"/>
  <c r="CA5" i="12"/>
  <c r="C10" i="10" s="1"/>
  <c r="IG34" i="12"/>
  <c r="IG20" i="12"/>
  <c r="IH20" i="12" s="1"/>
  <c r="AQ180" i="12"/>
  <c r="FU143" i="12"/>
  <c r="GR143" i="12" s="1"/>
  <c r="FR144" i="12"/>
  <c r="CX2239" i="12"/>
  <c r="B13" i="10"/>
  <c r="B14" i="10"/>
  <c r="E13" i="10"/>
  <c r="C19" i="10"/>
  <c r="B18" i="10"/>
  <c r="C15" i="10"/>
  <c r="C20" i="10"/>
  <c r="CW24" i="12" l="1"/>
  <c r="AQ175" i="12"/>
  <c r="AQ176" i="12" s="1"/>
  <c r="HT49" i="12"/>
  <c r="HO50" i="12"/>
  <c r="JH37" i="12"/>
  <c r="JK36" i="12"/>
  <c r="JL36" i="12" s="1"/>
  <c r="EA36" i="12" s="1"/>
  <c r="CX591" i="12"/>
  <c r="CX592" i="12"/>
  <c r="CX586" i="12"/>
  <c r="CX594" i="12"/>
  <c r="CX588" i="12"/>
  <c r="CX580" i="12"/>
  <c r="CX587" i="12"/>
  <c r="CX595" i="12"/>
  <c r="CX583" i="12"/>
  <c r="CX593" i="12"/>
  <c r="CX579" i="12"/>
  <c r="CX584" i="12"/>
  <c r="CX585" i="12"/>
  <c r="CX582" i="12"/>
  <c r="CX590" i="12"/>
  <c r="CX581" i="12"/>
  <c r="CX589" i="12"/>
  <c r="IH21" i="12"/>
  <c r="IG93" i="12"/>
  <c r="IB93" i="12" s="1"/>
  <c r="AQ181" i="12"/>
  <c r="FU144" i="12"/>
  <c r="GR144" i="12" s="1"/>
  <c r="FR145" i="12"/>
  <c r="CX2240" i="12"/>
  <c r="CW25" i="12" l="1"/>
  <c r="AQ177" i="12"/>
  <c r="AQ178" i="12"/>
  <c r="AQ179" i="12" s="1"/>
  <c r="HT50" i="12"/>
  <c r="HO51" i="12"/>
  <c r="IH22" i="12"/>
  <c r="CX598" i="12"/>
  <c r="CX600" i="12"/>
  <c r="CX603" i="12"/>
  <c r="CX606" i="12"/>
  <c r="CX605" i="12"/>
  <c r="CX599" i="12"/>
  <c r="CX602" i="12"/>
  <c r="CX601" i="12"/>
  <c r="CX608" i="12"/>
  <c r="CX607" i="12"/>
  <c r="CX611" i="12"/>
  <c r="CX610" i="12"/>
  <c r="CX612" i="12"/>
  <c r="CX609" i="12"/>
  <c r="CX604" i="12"/>
  <c r="CX597" i="12"/>
  <c r="CX613" i="12"/>
  <c r="JK37" i="12"/>
  <c r="JL37" i="12" s="1"/>
  <c r="EA37" i="12" s="1"/>
  <c r="JH38" i="12"/>
  <c r="JH39" i="12" s="1"/>
  <c r="IH23" i="12"/>
  <c r="AQ182" i="12"/>
  <c r="FR146" i="12"/>
  <c r="FU145" i="12"/>
  <c r="GR145" i="12" s="1"/>
  <c r="CX2241" i="12"/>
  <c r="CW26" i="12" l="1"/>
  <c r="HT51" i="12"/>
  <c r="HO52" i="12"/>
  <c r="JH40" i="12"/>
  <c r="JK40" i="12" s="1"/>
  <c r="JL40" i="12" s="1"/>
  <c r="EA40" i="12" s="1"/>
  <c r="JK39" i="12"/>
  <c r="JL39" i="12" s="1"/>
  <c r="EA39" i="12" s="1"/>
  <c r="JK38" i="12"/>
  <c r="JL38" i="12" s="1"/>
  <c r="EA38" i="12" s="1"/>
  <c r="CX626" i="12"/>
  <c r="CX617" i="12"/>
  <c r="CX630" i="12"/>
  <c r="CX624" i="12"/>
  <c r="CX616" i="12"/>
  <c r="CX615" i="12"/>
  <c r="CX623" i="12"/>
  <c r="CX625" i="12"/>
  <c r="CX621" i="12"/>
  <c r="CX622" i="12"/>
  <c r="CX620" i="12"/>
  <c r="CX618" i="12"/>
  <c r="CX629" i="12"/>
  <c r="CX619" i="12"/>
  <c r="CX628" i="12"/>
  <c r="CX631" i="12"/>
  <c r="CX627" i="12"/>
  <c r="IH24" i="12"/>
  <c r="AQ183" i="12"/>
  <c r="FR147" i="12"/>
  <c r="FU146" i="12"/>
  <c r="GR146" i="12" s="1"/>
  <c r="CX2242" i="12"/>
  <c r="CW27" i="12" l="1"/>
  <c r="CY550" i="12" s="1"/>
  <c r="CY2234" i="12"/>
  <c r="CY2236" i="12"/>
  <c r="CY2238" i="12"/>
  <c r="CY2240" i="12"/>
  <c r="HT52" i="12"/>
  <c r="HO53" i="12"/>
  <c r="JH41" i="12"/>
  <c r="CX674" i="12"/>
  <c r="CX673" i="12"/>
  <c r="CX682" i="12"/>
  <c r="CX669" i="12"/>
  <c r="CX671" i="12"/>
  <c r="CX685" i="12"/>
  <c r="CX672" i="12"/>
  <c r="CX679" i="12"/>
  <c r="CX677" i="12"/>
  <c r="CX681" i="12"/>
  <c r="CX670" i="12"/>
  <c r="CX675" i="12"/>
  <c r="CX683" i="12"/>
  <c r="CX680" i="12"/>
  <c r="CX678" i="12"/>
  <c r="CX684" i="12"/>
  <c r="CX676" i="12"/>
  <c r="CX660" i="12"/>
  <c r="CX658" i="12"/>
  <c r="CX664" i="12"/>
  <c r="CX657" i="12"/>
  <c r="CX651" i="12"/>
  <c r="CX654" i="12"/>
  <c r="CX667" i="12"/>
  <c r="CX662" i="12"/>
  <c r="CX653" i="12"/>
  <c r="CX652" i="12"/>
  <c r="CX659" i="12"/>
  <c r="CX655" i="12"/>
  <c r="CX656" i="12"/>
  <c r="CX663" i="12"/>
  <c r="CX666" i="12"/>
  <c r="CX665" i="12"/>
  <c r="CX661" i="12"/>
  <c r="CX646" i="12"/>
  <c r="CX637" i="12"/>
  <c r="CX638" i="12"/>
  <c r="CX644" i="12"/>
  <c r="CX640" i="12"/>
  <c r="CX635" i="12"/>
  <c r="CX639" i="12"/>
  <c r="CX636" i="12"/>
  <c r="CX641" i="12"/>
  <c r="CX648" i="12"/>
  <c r="CX642" i="12"/>
  <c r="CX643" i="12"/>
  <c r="CX649" i="12"/>
  <c r="CX634" i="12"/>
  <c r="CX633" i="12"/>
  <c r="CX645" i="12"/>
  <c r="CY645" i="12" s="1"/>
  <c r="CX647" i="12"/>
  <c r="IH29" i="12"/>
  <c r="AQ184" i="12"/>
  <c r="FU147" i="12"/>
  <c r="GR147" i="12" s="1"/>
  <c r="FR148" i="12"/>
  <c r="CX2243" i="12"/>
  <c r="CY2242" i="12"/>
  <c r="CY600" i="12" l="1"/>
  <c r="CY636" i="12"/>
  <c r="CY647" i="12"/>
  <c r="CY673" i="12"/>
  <c r="CY661" i="12"/>
  <c r="CY660" i="12"/>
  <c r="CY547" i="12"/>
  <c r="CY653" i="12"/>
  <c r="CY681" i="12"/>
  <c r="CY591" i="12"/>
  <c r="CY599" i="12"/>
  <c r="CY588" i="12"/>
  <c r="CY677" i="12"/>
  <c r="CY520" i="12"/>
  <c r="CY541" i="12"/>
  <c r="CY575" i="12"/>
  <c r="CY519" i="12"/>
  <c r="CY642" i="12"/>
  <c r="CY638" i="12"/>
  <c r="CY655" i="12"/>
  <c r="CY657" i="12"/>
  <c r="CY683" i="12"/>
  <c r="CY671" i="12"/>
  <c r="CY584" i="12"/>
  <c r="CY546" i="12"/>
  <c r="CY583" i="12"/>
  <c r="CY641" i="12"/>
  <c r="CY646" i="12"/>
  <c r="CY652" i="12"/>
  <c r="CY658" i="12"/>
  <c r="CY670" i="12"/>
  <c r="CY682" i="12"/>
  <c r="CY605" i="12"/>
  <c r="CY593" i="12"/>
  <c r="CY536" i="12"/>
  <c r="CY549" i="12"/>
  <c r="CY473" i="12"/>
  <c r="CY544" i="12"/>
  <c r="CY580" i="12"/>
  <c r="CY648" i="12"/>
  <c r="CY604" i="12"/>
  <c r="CY570" i="12"/>
  <c r="CY552" i="12"/>
  <c r="CY630" i="12"/>
  <c r="CY573" i="12"/>
  <c r="CY607" i="12"/>
  <c r="CY665" i="12"/>
  <c r="CY674" i="12"/>
  <c r="CY518" i="12"/>
  <c r="CY499" i="12"/>
  <c r="CY511" i="12"/>
  <c r="CY634" i="12"/>
  <c r="CY666" i="12"/>
  <c r="CY582" i="12"/>
  <c r="CY495" i="12"/>
  <c r="CY565" i="12"/>
  <c r="CY567" i="12"/>
  <c r="CY649" i="12"/>
  <c r="CY640" i="12"/>
  <c r="CY663" i="12"/>
  <c r="CY654" i="12"/>
  <c r="CY678" i="12"/>
  <c r="CY672" i="12"/>
  <c r="CY618" i="12"/>
  <c r="CY610" i="12"/>
  <c r="CY563" i="12"/>
  <c r="CY566" i="12"/>
  <c r="CY551" i="12"/>
  <c r="CY548" i="12"/>
  <c r="CY561" i="12"/>
  <c r="DC561" i="12" s="1"/>
  <c r="CY498" i="12"/>
  <c r="CY633" i="12"/>
  <c r="DC633" i="12" s="1"/>
  <c r="DD633" i="12" s="1"/>
  <c r="CY662" i="12"/>
  <c r="CY526" i="12"/>
  <c r="CY532" i="12"/>
  <c r="CY590" i="12"/>
  <c r="CY300" i="12"/>
  <c r="CY635" i="12"/>
  <c r="CY667" i="12"/>
  <c r="CY679" i="12"/>
  <c r="CY537" i="12"/>
  <c r="CY516" i="12"/>
  <c r="CY492" i="12"/>
  <c r="CY643" i="12"/>
  <c r="CY644" i="12"/>
  <c r="CY656" i="12"/>
  <c r="CY651" i="12"/>
  <c r="DC651" i="12" s="1"/>
  <c r="DB651" i="12" s="1"/>
  <c r="CY680" i="12"/>
  <c r="CY685" i="12"/>
  <c r="CY608" i="12"/>
  <c r="CY609" i="12"/>
  <c r="CY579" i="12"/>
  <c r="DC579" i="12" s="1"/>
  <c r="DB579" i="12" s="1"/>
  <c r="CY572" i="12"/>
  <c r="CY543" i="12"/>
  <c r="DC543" i="12" s="1"/>
  <c r="CY496" i="12"/>
  <c r="CY533" i="12"/>
  <c r="CY507" i="12"/>
  <c r="CY515" i="12"/>
  <c r="CY637" i="12"/>
  <c r="CY659" i="12"/>
  <c r="CY664" i="12"/>
  <c r="CY675" i="12"/>
  <c r="CY669" i="12"/>
  <c r="DC669" i="12" s="1"/>
  <c r="DE669" i="12" s="1"/>
  <c r="CY613" i="12"/>
  <c r="CY602" i="12"/>
  <c r="CY589" i="12"/>
  <c r="CY509" i="12"/>
  <c r="CY587" i="12"/>
  <c r="CY592" i="12"/>
  <c r="CY553" i="12"/>
  <c r="CY555" i="12"/>
  <c r="CY558" i="12"/>
  <c r="CY530" i="12"/>
  <c r="CY491" i="12"/>
  <c r="CY639" i="12"/>
  <c r="CY676" i="12"/>
  <c r="CY620" i="12"/>
  <c r="CY523" i="12"/>
  <c r="CY586" i="12"/>
  <c r="CY684" i="12"/>
  <c r="CY611" i="12"/>
  <c r="CY577" i="12"/>
  <c r="CY364" i="12"/>
  <c r="CY503" i="12"/>
  <c r="CY545" i="12"/>
  <c r="CY594" i="12"/>
  <c r="CY625" i="12"/>
  <c r="CY57" i="12"/>
  <c r="CY29" i="12"/>
  <c r="CY49" i="12"/>
  <c r="CY66" i="12"/>
  <c r="CY42" i="12"/>
  <c r="CY63" i="12"/>
  <c r="CY39" i="12"/>
  <c r="CY55" i="12"/>
  <c r="CY45" i="12"/>
  <c r="CY15" i="12"/>
  <c r="CY9" i="12"/>
  <c r="CY46" i="12"/>
  <c r="CY50" i="12"/>
  <c r="CY54" i="12"/>
  <c r="CY10" i="12"/>
  <c r="CY40" i="12"/>
  <c r="CY19" i="12"/>
  <c r="CY36" i="12"/>
  <c r="CY12" i="12"/>
  <c r="CY33" i="12"/>
  <c r="CY48" i="12"/>
  <c r="CY52" i="12"/>
  <c r="CY44" i="12"/>
  <c r="CY27" i="12"/>
  <c r="CY16" i="12"/>
  <c r="CY8" i="12"/>
  <c r="CY34" i="12"/>
  <c r="CY51" i="12"/>
  <c r="CY62" i="12"/>
  <c r="CY35" i="12"/>
  <c r="CY4" i="12"/>
  <c r="CY43" i="12"/>
  <c r="CY61" i="12"/>
  <c r="CY69" i="12"/>
  <c r="CY3" i="12"/>
  <c r="CY60" i="12"/>
  <c r="CY53" i="12"/>
  <c r="CY7" i="12"/>
  <c r="CY37" i="12"/>
  <c r="CY65" i="12"/>
  <c r="CY13" i="12"/>
  <c r="CY23" i="12"/>
  <c r="CY64" i="12"/>
  <c r="CY31" i="12"/>
  <c r="CY25" i="12"/>
  <c r="CY26" i="12"/>
  <c r="CY22" i="12"/>
  <c r="CY41" i="12"/>
  <c r="CY58" i="12"/>
  <c r="CY30" i="12"/>
  <c r="CY5" i="12"/>
  <c r="CY59" i="12"/>
  <c r="CY148" i="12"/>
  <c r="CY32" i="12"/>
  <c r="CY24" i="12"/>
  <c r="CY17" i="12"/>
  <c r="CY70" i="12"/>
  <c r="CY47" i="12"/>
  <c r="CY71" i="12"/>
  <c r="CY97" i="12"/>
  <c r="CY68" i="12"/>
  <c r="CY72" i="12"/>
  <c r="CY28" i="12"/>
  <c r="CY21" i="12"/>
  <c r="DC21" i="12" s="1"/>
  <c r="CY14" i="12"/>
  <c r="CY73" i="12"/>
  <c r="CY81" i="12"/>
  <c r="CY11" i="12"/>
  <c r="CY67" i="12"/>
  <c r="CY18" i="12"/>
  <c r="CY144" i="12"/>
  <c r="CY103" i="12"/>
  <c r="CY154" i="12"/>
  <c r="CY118" i="12"/>
  <c r="CY141" i="12"/>
  <c r="CY86" i="12"/>
  <c r="CY90" i="12"/>
  <c r="CY120" i="12"/>
  <c r="CY116" i="12"/>
  <c r="CY142" i="12"/>
  <c r="CY133" i="12"/>
  <c r="CY125" i="12"/>
  <c r="CY76" i="12"/>
  <c r="CY114" i="12"/>
  <c r="CY85" i="12"/>
  <c r="CY102" i="12"/>
  <c r="CY121" i="12"/>
  <c r="CY95" i="12"/>
  <c r="CY109" i="12"/>
  <c r="CY94" i="12"/>
  <c r="CY165" i="12"/>
  <c r="DC165" i="12" s="1"/>
  <c r="CY88" i="12"/>
  <c r="CY93" i="12"/>
  <c r="CY6" i="12"/>
  <c r="CY130" i="12"/>
  <c r="CY162" i="12"/>
  <c r="CY115" i="12"/>
  <c r="CY168" i="12"/>
  <c r="CY77" i="12"/>
  <c r="CY96" i="12"/>
  <c r="CY112" i="12"/>
  <c r="CY123" i="12"/>
  <c r="CY80" i="12"/>
  <c r="CY89" i="12"/>
  <c r="CY83" i="12"/>
  <c r="CY87" i="12"/>
  <c r="CY176" i="12"/>
  <c r="CY119" i="12"/>
  <c r="CY122" i="12"/>
  <c r="CY143" i="12"/>
  <c r="CY171" i="12"/>
  <c r="CY113" i="12"/>
  <c r="CY158" i="12"/>
  <c r="CY187" i="12"/>
  <c r="CY147" i="12"/>
  <c r="DC147" i="12" s="1"/>
  <c r="CY173" i="12"/>
  <c r="CY145" i="12"/>
  <c r="CY172" i="12"/>
  <c r="CY197" i="12"/>
  <c r="CY195" i="12"/>
  <c r="CY100" i="12"/>
  <c r="CY139" i="12"/>
  <c r="CY192" i="12"/>
  <c r="CY155" i="12"/>
  <c r="CY79" i="12"/>
  <c r="CY169" i="12"/>
  <c r="CY107" i="12"/>
  <c r="CY117" i="12"/>
  <c r="CY175" i="12"/>
  <c r="CY137" i="12"/>
  <c r="CY75" i="12"/>
  <c r="DC75" i="12" s="1"/>
  <c r="CY150" i="12"/>
  <c r="CY91" i="12"/>
  <c r="CY174" i="12"/>
  <c r="CY153" i="12"/>
  <c r="CY99" i="12"/>
  <c r="CY126" i="12"/>
  <c r="CY163" i="12"/>
  <c r="CY214" i="12"/>
  <c r="CY156" i="12"/>
  <c r="CY152" i="12"/>
  <c r="CY84" i="12"/>
  <c r="CY177" i="12"/>
  <c r="CY78" i="12"/>
  <c r="CY135" i="12"/>
  <c r="CY179" i="12"/>
  <c r="CY170" i="12"/>
  <c r="CY140" i="12"/>
  <c r="CY127" i="12"/>
  <c r="CY108" i="12"/>
  <c r="CY111" i="12"/>
  <c r="CY178" i="12"/>
  <c r="CY167" i="12"/>
  <c r="CY180" i="12"/>
  <c r="CY166" i="12"/>
  <c r="CY161" i="12"/>
  <c r="CY132" i="12"/>
  <c r="CY131" i="12"/>
  <c r="CY136" i="12"/>
  <c r="CY106" i="12"/>
  <c r="CY159" i="12"/>
  <c r="CY138" i="12"/>
  <c r="CY124" i="12"/>
  <c r="CY104" i="12"/>
  <c r="CY160" i="12"/>
  <c r="CY105" i="12"/>
  <c r="CY129" i="12"/>
  <c r="CY149" i="12"/>
  <c r="CY181" i="12"/>
  <c r="CY234" i="12"/>
  <c r="CY216" i="12"/>
  <c r="CY157" i="12"/>
  <c r="CY189" i="12"/>
  <c r="CY186" i="12"/>
  <c r="CY210" i="12"/>
  <c r="CY208" i="12"/>
  <c r="CY219" i="12"/>
  <c r="DC219" i="12" s="1"/>
  <c r="CY215" i="12"/>
  <c r="CY198" i="12"/>
  <c r="CY226" i="12"/>
  <c r="CY190" i="12"/>
  <c r="CY134" i="12"/>
  <c r="CY196" i="12"/>
  <c r="CY235" i="12"/>
  <c r="CY193" i="12"/>
  <c r="CY151" i="12"/>
  <c r="CY194" i="12"/>
  <c r="CY232" i="12"/>
  <c r="CY213" i="12"/>
  <c r="CY183" i="12"/>
  <c r="CY82" i="12"/>
  <c r="CY188" i="12"/>
  <c r="CY185" i="12"/>
  <c r="CY220" i="12"/>
  <c r="CY222" i="12"/>
  <c r="CY204" i="12"/>
  <c r="CY209" i="12"/>
  <c r="CY242" i="12"/>
  <c r="CY191" i="12"/>
  <c r="CY205" i="12"/>
  <c r="CY207" i="12"/>
  <c r="CY203" i="12"/>
  <c r="CY249" i="12"/>
  <c r="CY250" i="12"/>
  <c r="CY231" i="12"/>
  <c r="CY201" i="12"/>
  <c r="DC201" i="12" s="1"/>
  <c r="CY237" i="12"/>
  <c r="DC237" i="12" s="1"/>
  <c r="CY229" i="12"/>
  <c r="CY98" i="12"/>
  <c r="CY223" i="12"/>
  <c r="CY199" i="12"/>
  <c r="CY184" i="12"/>
  <c r="CY224" i="12"/>
  <c r="CY225" i="12"/>
  <c r="CY253" i="12"/>
  <c r="CY239" i="12"/>
  <c r="CY206" i="12"/>
  <c r="CY280" i="12"/>
  <c r="CY217" i="12"/>
  <c r="CY238" i="12"/>
  <c r="CY228" i="12"/>
  <c r="CY211" i="12"/>
  <c r="CY262" i="12"/>
  <c r="CY251" i="12"/>
  <c r="CY227" i="12"/>
  <c r="CY240" i="12"/>
  <c r="CY246" i="12"/>
  <c r="CY255" i="12"/>
  <c r="CY212" i="12"/>
  <c r="CY243" i="12"/>
  <c r="CY244" i="12"/>
  <c r="CY202" i="12"/>
  <c r="CY247" i="12"/>
  <c r="CY259" i="12"/>
  <c r="CY279" i="12"/>
  <c r="CY241" i="12"/>
  <c r="CY268" i="12"/>
  <c r="CY271" i="12"/>
  <c r="CY283" i="12"/>
  <c r="CY248" i="12"/>
  <c r="CY260" i="12"/>
  <c r="CY256" i="12"/>
  <c r="CY270" i="12"/>
  <c r="CY252" i="12"/>
  <c r="CY267" i="12"/>
  <c r="CY221" i="12"/>
  <c r="CY233" i="12"/>
  <c r="CY230" i="12"/>
  <c r="CY264" i="12"/>
  <c r="CY265" i="12"/>
  <c r="CY266" i="12"/>
  <c r="CY263" i="12"/>
  <c r="CY258" i="12"/>
  <c r="CY261" i="12"/>
  <c r="CY285" i="12"/>
  <c r="CY245" i="12"/>
  <c r="CY257" i="12"/>
  <c r="CY277" i="12"/>
  <c r="CY288" i="12"/>
  <c r="CY278" i="12"/>
  <c r="CY282" i="12"/>
  <c r="CY286" i="12"/>
  <c r="CY276" i="12"/>
  <c r="CY274" i="12"/>
  <c r="CY281" i="12"/>
  <c r="CY273" i="12"/>
  <c r="CY269" i="12"/>
  <c r="CY307" i="12"/>
  <c r="CY275" i="12"/>
  <c r="CY284" i="12"/>
  <c r="CY289" i="12"/>
  <c r="CY294" i="12"/>
  <c r="CY312" i="12"/>
  <c r="CY292" i="12"/>
  <c r="CY287" i="12"/>
  <c r="CY310" i="12"/>
  <c r="CY299" i="12"/>
  <c r="CY606" i="12"/>
  <c r="CY621" i="12"/>
  <c r="CY615" i="12"/>
  <c r="DC615" i="12" s="1"/>
  <c r="CY628" i="12"/>
  <c r="DB561" i="12"/>
  <c r="DE561" i="12"/>
  <c r="DD561" i="12"/>
  <c r="CY629" i="12"/>
  <c r="CY622" i="12"/>
  <c r="DB543" i="12"/>
  <c r="DD543" i="12"/>
  <c r="DE543" i="12"/>
  <c r="DC507" i="12"/>
  <c r="DB507" i="12" s="1"/>
  <c r="CY740" i="12"/>
  <c r="CY301" i="12"/>
  <c r="CY2167" i="12"/>
  <c r="CY332" i="12"/>
  <c r="CY291" i="12"/>
  <c r="CY956" i="12"/>
  <c r="CY344" i="12"/>
  <c r="CY2195" i="12"/>
  <c r="CY218" i="12"/>
  <c r="CY1838" i="12"/>
  <c r="CY1352" i="12"/>
  <c r="CY334" i="12"/>
  <c r="CY2176" i="12"/>
  <c r="CY2179" i="12"/>
  <c r="CY333" i="12"/>
  <c r="CY323" i="12"/>
  <c r="CY812" i="12"/>
  <c r="CY1262" i="12"/>
  <c r="CY2171" i="12"/>
  <c r="CY92" i="12"/>
  <c r="CY182" i="12"/>
  <c r="CY342" i="12"/>
  <c r="CY506" i="12"/>
  <c r="CY434" i="12"/>
  <c r="CY1532" i="12"/>
  <c r="CY1496" i="12"/>
  <c r="CY1028" i="12"/>
  <c r="CY2191" i="12"/>
  <c r="CY128" i="12"/>
  <c r="CY336" i="12"/>
  <c r="CY758" i="12"/>
  <c r="CY2224" i="12"/>
  <c r="CY1766" i="12"/>
  <c r="CY1478" i="12"/>
  <c r="CY470" i="12"/>
  <c r="CY2226" i="12"/>
  <c r="CY1442" i="12"/>
  <c r="CY340" i="12"/>
  <c r="CY326" i="12"/>
  <c r="CY2219" i="12"/>
  <c r="CY1460" i="12"/>
  <c r="CY2199" i="12"/>
  <c r="CY306" i="12"/>
  <c r="CY1424" i="12"/>
  <c r="CY452" i="12"/>
  <c r="CY1694" i="12"/>
  <c r="CY2183" i="12"/>
  <c r="CY343" i="12"/>
  <c r="CY2217" i="12"/>
  <c r="CY2201" i="12"/>
  <c r="CY304" i="12"/>
  <c r="CY311" i="12"/>
  <c r="CY668" i="12"/>
  <c r="CY164" i="12"/>
  <c r="CY848" i="12"/>
  <c r="CY1154" i="12"/>
  <c r="CY380" i="12"/>
  <c r="CY1208" i="12"/>
  <c r="CY327" i="12"/>
  <c r="CY2216" i="12"/>
  <c r="CY56" i="12"/>
  <c r="CX2" i="12"/>
  <c r="JL1" i="12" s="1"/>
  <c r="B2" i="2" s="1"/>
  <c r="CY2204" i="12"/>
  <c r="CY488" i="12"/>
  <c r="CY1910" i="12"/>
  <c r="CY335" i="12"/>
  <c r="CY1334" i="12"/>
  <c r="CY74" i="12"/>
  <c r="CY524" i="12"/>
  <c r="CY2227" i="12"/>
  <c r="CY650" i="12"/>
  <c r="CY2169" i="12"/>
  <c r="CY1100" i="12"/>
  <c r="CY2202" i="12"/>
  <c r="CY2190" i="12"/>
  <c r="CY362" i="12"/>
  <c r="CY2165" i="12"/>
  <c r="CY2173" i="12"/>
  <c r="CY578" i="12"/>
  <c r="CY2198" i="12"/>
  <c r="CY1748" i="12"/>
  <c r="CY1298" i="12"/>
  <c r="CY2203" i="12"/>
  <c r="CY938" i="12"/>
  <c r="CY2182" i="12"/>
  <c r="CY2185" i="12"/>
  <c r="CY2090" i="12"/>
  <c r="CY2186" i="12"/>
  <c r="CY1658" i="12"/>
  <c r="CY1226" i="12"/>
  <c r="CY303" i="12"/>
  <c r="CY1856" i="12"/>
  <c r="CY614" i="12"/>
  <c r="CY2223" i="12"/>
  <c r="CY272" i="12"/>
  <c r="CY2164" i="12"/>
  <c r="CY305" i="12"/>
  <c r="CY302" i="12"/>
  <c r="CY2000" i="12"/>
  <c r="CY1568" i="12"/>
  <c r="CY2214" i="12"/>
  <c r="CY902" i="12"/>
  <c r="CY322" i="12"/>
  <c r="CY2189" i="12"/>
  <c r="CY1640" i="12"/>
  <c r="CY1802" i="12"/>
  <c r="CY2192" i="12"/>
  <c r="CY2018" i="12"/>
  <c r="CY2215" i="12"/>
  <c r="CY2222" i="12"/>
  <c r="CY396" i="12"/>
  <c r="CY2188" i="12"/>
  <c r="CY542" i="12"/>
  <c r="CY722" i="12"/>
  <c r="CY560" i="12"/>
  <c r="CY358" i="12"/>
  <c r="CY316" i="12"/>
  <c r="CY1046" i="12"/>
  <c r="CY1514" i="12"/>
  <c r="CY338" i="12"/>
  <c r="CY2220" i="12"/>
  <c r="CY293" i="12"/>
  <c r="CY1118" i="12"/>
  <c r="CY387" i="12"/>
  <c r="CY2172" i="12"/>
  <c r="CY2126" i="12"/>
  <c r="CY382" i="12"/>
  <c r="CY1892" i="12"/>
  <c r="CY2213" i="12"/>
  <c r="CY321" i="12"/>
  <c r="CY355" i="12"/>
  <c r="CY2207" i="12"/>
  <c r="CY337" i="12"/>
  <c r="CY1622" i="12"/>
  <c r="CY2178" i="12"/>
  <c r="CY1172" i="12"/>
  <c r="CY319" i="12"/>
  <c r="CY2175" i="12"/>
  <c r="CY290" i="12"/>
  <c r="CY1730" i="12"/>
  <c r="CY2166" i="12"/>
  <c r="CY1712" i="12"/>
  <c r="CY361" i="12"/>
  <c r="CY2225" i="12"/>
  <c r="CY2187" i="12"/>
  <c r="CY331" i="12"/>
  <c r="CY1820" i="12"/>
  <c r="CY349" i="12"/>
  <c r="CY2184" i="12"/>
  <c r="CY1946" i="12"/>
  <c r="CY2163" i="12"/>
  <c r="DC2163" i="12" s="1"/>
  <c r="CY295" i="12"/>
  <c r="CY776" i="12"/>
  <c r="CY2193" i="12"/>
  <c r="CY2180" i="12"/>
  <c r="CY318" i="12"/>
  <c r="CY330" i="12"/>
  <c r="CY360" i="12"/>
  <c r="CY296" i="12"/>
  <c r="CY348" i="12"/>
  <c r="CY297" i="12"/>
  <c r="CY2036" i="12"/>
  <c r="CY392" i="12"/>
  <c r="CY1928" i="12"/>
  <c r="CY397" i="12"/>
  <c r="CY1370" i="12"/>
  <c r="CY974" i="12"/>
  <c r="CY352" i="12"/>
  <c r="CY2168" i="12"/>
  <c r="CY2072" i="12"/>
  <c r="CY2196" i="12"/>
  <c r="CY110" i="12"/>
  <c r="CY315" i="12"/>
  <c r="CY1550" i="12"/>
  <c r="CY2144" i="12"/>
  <c r="CY350" i="12"/>
  <c r="CY298" i="12"/>
  <c r="CY2170" i="12"/>
  <c r="CY416" i="12"/>
  <c r="CY2211" i="12"/>
  <c r="CY388" i="12"/>
  <c r="CY353" i="12"/>
  <c r="CY2208" i="12"/>
  <c r="CY356" i="12"/>
  <c r="CY393" i="12"/>
  <c r="CY320" i="12"/>
  <c r="CY328" i="12"/>
  <c r="CY2194" i="12"/>
  <c r="CY359" i="12"/>
  <c r="CY389" i="12"/>
  <c r="CY324" i="12"/>
  <c r="CY686" i="12"/>
  <c r="CY339" i="12"/>
  <c r="CY347" i="12"/>
  <c r="CY1280" i="12"/>
  <c r="CY2228" i="12"/>
  <c r="CY1244" i="12"/>
  <c r="CY866" i="12"/>
  <c r="CY1406" i="12"/>
  <c r="CY830" i="12"/>
  <c r="CY2200" i="12"/>
  <c r="CY2054" i="12"/>
  <c r="CY394" i="12"/>
  <c r="CY254" i="12"/>
  <c r="CY1136" i="12"/>
  <c r="CY1964" i="12"/>
  <c r="CY390" i="12"/>
  <c r="CY1676" i="12"/>
  <c r="CY395" i="12"/>
  <c r="CY1064" i="12"/>
  <c r="CY884" i="12"/>
  <c r="CY329" i="12"/>
  <c r="CY2205" i="12"/>
  <c r="CY704" i="12"/>
  <c r="CY363" i="12"/>
  <c r="CY383" i="12"/>
  <c r="CY2174" i="12"/>
  <c r="CY354" i="12"/>
  <c r="CY1010" i="12"/>
  <c r="CY371" i="12"/>
  <c r="CY2209" i="12"/>
  <c r="CY346" i="12"/>
  <c r="CY377" i="12"/>
  <c r="CY1316" i="12"/>
  <c r="CY920" i="12"/>
  <c r="CY2108" i="12"/>
  <c r="CY2221" i="12"/>
  <c r="CY2230" i="12"/>
  <c r="CY2218" i="12"/>
  <c r="CY313" i="12"/>
  <c r="CY373" i="12"/>
  <c r="CY1082" i="12"/>
  <c r="CY384" i="12"/>
  <c r="CY385" i="12"/>
  <c r="CY314" i="12"/>
  <c r="CY2197" i="12"/>
  <c r="CY325" i="12"/>
  <c r="CY386" i="12"/>
  <c r="CY368" i="12"/>
  <c r="CY2206" i="12"/>
  <c r="CY2181" i="12"/>
  <c r="CY345" i="12"/>
  <c r="DC345" i="12" s="1"/>
  <c r="CY2177" i="12"/>
  <c r="CY2212" i="12"/>
  <c r="CY369" i="12"/>
  <c r="CY146" i="12"/>
  <c r="CY376" i="12"/>
  <c r="CY317" i="12"/>
  <c r="CY381" i="12"/>
  <c r="CY391" i="12"/>
  <c r="CY309" i="12"/>
  <c r="DC309" i="12" s="1"/>
  <c r="CY341" i="12"/>
  <c r="CY2210" i="12"/>
  <c r="CY357" i="12"/>
  <c r="CY1874" i="12"/>
  <c r="CY351" i="12"/>
  <c r="CY2229" i="12"/>
  <c r="CY400" i="12"/>
  <c r="CY379" i="12"/>
  <c r="CY632" i="12"/>
  <c r="CY453" i="12"/>
  <c r="DC453" i="12" s="1"/>
  <c r="CY367" i="12"/>
  <c r="CY370" i="12"/>
  <c r="CY412" i="12"/>
  <c r="CY236" i="12"/>
  <c r="CY410" i="12"/>
  <c r="CY1604" i="12"/>
  <c r="CY374" i="12"/>
  <c r="CY366" i="12"/>
  <c r="CY402" i="12"/>
  <c r="CY308" i="12"/>
  <c r="CY365" i="12"/>
  <c r="CY409" i="12"/>
  <c r="CY372" i="12"/>
  <c r="CY378" i="12"/>
  <c r="CY438" i="12"/>
  <c r="CY447" i="12"/>
  <c r="CY405" i="12"/>
  <c r="CY419" i="12"/>
  <c r="CY460" i="12"/>
  <c r="CY407" i="12"/>
  <c r="CY375" i="12"/>
  <c r="CY424" i="12"/>
  <c r="CY429" i="12"/>
  <c r="CY449" i="12"/>
  <c r="CY440" i="12"/>
  <c r="CY462" i="12"/>
  <c r="CY422" i="12"/>
  <c r="CY423" i="12"/>
  <c r="CY411" i="12"/>
  <c r="CY463" i="12"/>
  <c r="CY414" i="12"/>
  <c r="CY403" i="12"/>
  <c r="CY451" i="12"/>
  <c r="CY461" i="12"/>
  <c r="CY465" i="12"/>
  <c r="CY406" i="12"/>
  <c r="CY399" i="12"/>
  <c r="DC399" i="12" s="1"/>
  <c r="CY455" i="12"/>
  <c r="CY450" i="12"/>
  <c r="CY439" i="12"/>
  <c r="CY469" i="12"/>
  <c r="CY421" i="12"/>
  <c r="CY408" i="12"/>
  <c r="CY420" i="12"/>
  <c r="CY442" i="12"/>
  <c r="CY401" i="12"/>
  <c r="CY413" i="12"/>
  <c r="CY448" i="12"/>
  <c r="CY435" i="12"/>
  <c r="DC435" i="12" s="1"/>
  <c r="CY417" i="12"/>
  <c r="DC417" i="12" s="1"/>
  <c r="CY425" i="12"/>
  <c r="CY459" i="12"/>
  <c r="CY415" i="12"/>
  <c r="CY404" i="12"/>
  <c r="CY436" i="12"/>
  <c r="CY445" i="12"/>
  <c r="CY2232" i="12"/>
  <c r="CY468" i="12"/>
  <c r="CY431" i="12"/>
  <c r="CY2233" i="12"/>
  <c r="CY456" i="12"/>
  <c r="CY477" i="12"/>
  <c r="CY418" i="12"/>
  <c r="CY467" i="12"/>
  <c r="CY427" i="12"/>
  <c r="CY433" i="12"/>
  <c r="CY444" i="12"/>
  <c r="CY483" i="12"/>
  <c r="CY487" i="12"/>
  <c r="CY457" i="12"/>
  <c r="CY454" i="12"/>
  <c r="CY480" i="12"/>
  <c r="CY466" i="12"/>
  <c r="CY443" i="12"/>
  <c r="CY426" i="12"/>
  <c r="CY446" i="12"/>
  <c r="CY458" i="12"/>
  <c r="CY486" i="12"/>
  <c r="CY437" i="12"/>
  <c r="CY484" i="12"/>
  <c r="CY441" i="12"/>
  <c r="CY482" i="12"/>
  <c r="CY432" i="12"/>
  <c r="CY430" i="12"/>
  <c r="CY428" i="12"/>
  <c r="CY489" i="12"/>
  <c r="CY471" i="12"/>
  <c r="DC471" i="12" s="1"/>
  <c r="CY475" i="12"/>
  <c r="CY2231" i="12"/>
  <c r="CY464" i="12"/>
  <c r="CY478" i="12"/>
  <c r="CY476" i="12"/>
  <c r="CY474" i="12"/>
  <c r="CY574" i="12"/>
  <c r="CY538" i="12"/>
  <c r="CY504" i="12"/>
  <c r="CY510" i="12"/>
  <c r="CY531" i="12"/>
  <c r="CY2235" i="12"/>
  <c r="CY472" i="12"/>
  <c r="CY564" i="12"/>
  <c r="CY505" i="12"/>
  <c r="CY514" i="12"/>
  <c r="CY557" i="12"/>
  <c r="CY479" i="12"/>
  <c r="CY481" i="12"/>
  <c r="CY529" i="12"/>
  <c r="CY569" i="12"/>
  <c r="CY501" i="12"/>
  <c r="CY500" i="12"/>
  <c r="CY581" i="12"/>
  <c r="CY601" i="12"/>
  <c r="CY508" i="12"/>
  <c r="CY556" i="12"/>
  <c r="CY535" i="12"/>
  <c r="CY522" i="12"/>
  <c r="CY493" i="12"/>
  <c r="CY2237" i="12"/>
  <c r="CY521" i="12"/>
  <c r="CY527" i="12"/>
  <c r="CY534" i="12"/>
  <c r="CY562" i="12"/>
  <c r="CY494" i="12"/>
  <c r="CY595" i="12"/>
  <c r="CY2241" i="12"/>
  <c r="CY485" i="12"/>
  <c r="CY490" i="12"/>
  <c r="CY568" i="12"/>
  <c r="CY513" i="12"/>
  <c r="CY540" i="12"/>
  <c r="CY554" i="12"/>
  <c r="CY497" i="12"/>
  <c r="CY512" i="12"/>
  <c r="CY2239" i="12"/>
  <c r="CY576" i="12"/>
  <c r="CY571" i="12"/>
  <c r="CY539" i="12"/>
  <c r="CY598" i="12"/>
  <c r="CY585" i="12"/>
  <c r="CY517" i="12"/>
  <c r="CY597" i="12"/>
  <c r="DC597" i="12" s="1"/>
  <c r="CY528" i="12"/>
  <c r="CY525" i="12"/>
  <c r="DC525" i="12" s="1"/>
  <c r="CY502" i="12"/>
  <c r="CY612" i="12"/>
  <c r="CY626" i="12"/>
  <c r="CY627" i="12"/>
  <c r="CY619" i="12"/>
  <c r="CY631" i="12"/>
  <c r="CY559" i="12"/>
  <c r="CY624" i="12"/>
  <c r="CY616" i="12"/>
  <c r="CY617" i="12"/>
  <c r="CY623" i="12"/>
  <c r="CY603" i="12"/>
  <c r="HT53" i="12"/>
  <c r="HO54" i="12"/>
  <c r="AQ185" i="12"/>
  <c r="JK41" i="12"/>
  <c r="JL41" i="12" s="1"/>
  <c r="EA41" i="12" s="1"/>
  <c r="JH42" i="12"/>
  <c r="JH43" i="12" s="1"/>
  <c r="JK43" i="12" s="1"/>
  <c r="JL43" i="12" s="1"/>
  <c r="EA43" i="12" s="1"/>
  <c r="DB669" i="12"/>
  <c r="DD669" i="12"/>
  <c r="IH30" i="12"/>
  <c r="K26" i="12"/>
  <c r="K40" i="12"/>
  <c r="K39" i="12"/>
  <c r="K37" i="12"/>
  <c r="K31" i="12"/>
  <c r="K42" i="12"/>
  <c r="K33" i="12"/>
  <c r="K28" i="12"/>
  <c r="K35" i="12"/>
  <c r="K34" i="12"/>
  <c r="K41" i="12"/>
  <c r="K27" i="12"/>
  <c r="K29" i="12"/>
  <c r="K38" i="12"/>
  <c r="K36" i="12"/>
  <c r="K30" i="12"/>
  <c r="K32" i="12"/>
  <c r="K43" i="12"/>
  <c r="K44" i="12"/>
  <c r="K45" i="12"/>
  <c r="K46" i="12"/>
  <c r="K47" i="12"/>
  <c r="K48" i="12"/>
  <c r="K49" i="12"/>
  <c r="K50" i="12"/>
  <c r="K55" i="12"/>
  <c r="K53" i="12"/>
  <c r="K60" i="12"/>
  <c r="K51" i="12"/>
  <c r="K57" i="12"/>
  <c r="K70" i="12"/>
  <c r="K69" i="12"/>
  <c r="K64" i="12"/>
  <c r="K63" i="12"/>
  <c r="K65" i="12"/>
  <c r="K67" i="12"/>
  <c r="K66" i="12"/>
  <c r="K62" i="12"/>
  <c r="K68" i="12"/>
  <c r="K72" i="12"/>
  <c r="K59" i="12"/>
  <c r="K54" i="12"/>
  <c r="K58" i="12"/>
  <c r="K56" i="12"/>
  <c r="K61" i="12"/>
  <c r="K52" i="12"/>
  <c r="K71" i="12"/>
  <c r="FU148" i="12"/>
  <c r="GR148" i="12" s="1"/>
  <c r="FR149" i="12"/>
  <c r="CX2244" i="12"/>
  <c r="CY2243" i="12"/>
  <c r="CZ167" i="12"/>
  <c r="CZ581" i="12"/>
  <c r="CZ257" i="12"/>
  <c r="CZ221" i="12"/>
  <c r="CZ563" i="12"/>
  <c r="CZ329" i="12"/>
  <c r="CZ5" i="12"/>
  <c r="CZ437" i="12"/>
  <c r="CZ617" i="12"/>
  <c r="CZ599" i="12"/>
  <c r="CZ185" i="12"/>
  <c r="CZ113" i="12"/>
  <c r="CZ401" i="12"/>
  <c r="CZ491" i="12"/>
  <c r="CZ383" i="12"/>
  <c r="CZ95" i="12"/>
  <c r="CZ203" i="12"/>
  <c r="CZ545" i="12"/>
  <c r="CZ77" i="12"/>
  <c r="CZ671" i="12"/>
  <c r="CZ509" i="12"/>
  <c r="CZ635" i="12"/>
  <c r="CZ149" i="12"/>
  <c r="CZ365" i="12"/>
  <c r="CZ41" i="12"/>
  <c r="CZ239" i="12"/>
  <c r="CZ653" i="12"/>
  <c r="CZ2165" i="12"/>
  <c r="CZ527" i="12"/>
  <c r="CZ311" i="12"/>
  <c r="CZ59" i="12"/>
  <c r="CZ455" i="12"/>
  <c r="CZ23" i="12"/>
  <c r="CZ131" i="12"/>
  <c r="CZ275" i="12"/>
  <c r="CZ293" i="12"/>
  <c r="CZ473" i="12"/>
  <c r="CZ347" i="12"/>
  <c r="CZ419" i="12"/>
  <c r="DE633" i="12" l="1"/>
  <c r="DB633" i="12"/>
  <c r="DC653" i="12"/>
  <c r="DE653" i="12"/>
  <c r="DD653" i="12"/>
  <c r="DA653" i="12"/>
  <c r="DB653" i="12"/>
  <c r="DE599" i="12"/>
  <c r="DB599" i="12"/>
  <c r="DD599" i="12"/>
  <c r="DA599" i="12"/>
  <c r="DC599" i="12"/>
  <c r="DE671" i="12"/>
  <c r="DA671" i="12"/>
  <c r="DB671" i="12"/>
  <c r="DD671" i="12"/>
  <c r="DC671" i="12"/>
  <c r="DB473" i="12"/>
  <c r="DD473" i="12"/>
  <c r="DE473" i="12"/>
  <c r="DC473" i="12"/>
  <c r="DA473" i="12"/>
  <c r="DC635" i="12"/>
  <c r="DB635" i="12"/>
  <c r="DD635" i="12"/>
  <c r="DE635" i="12"/>
  <c r="DA635" i="12"/>
  <c r="DB509" i="12"/>
  <c r="DA509" i="12"/>
  <c r="DE509" i="12"/>
  <c r="DD509" i="12"/>
  <c r="DC509" i="12"/>
  <c r="DB491" i="12"/>
  <c r="DA491" i="12"/>
  <c r="DE491" i="12"/>
  <c r="DD491" i="12"/>
  <c r="DC491" i="12"/>
  <c r="DA563" i="12"/>
  <c r="DB563" i="12"/>
  <c r="DE563" i="12"/>
  <c r="DC563" i="12"/>
  <c r="DD563" i="12"/>
  <c r="DD545" i="12"/>
  <c r="DC545" i="12"/>
  <c r="DA545" i="12"/>
  <c r="DE545" i="12"/>
  <c r="DB545" i="12"/>
  <c r="DD77" i="12"/>
  <c r="DE77" i="12"/>
  <c r="DC77" i="12"/>
  <c r="DA77" i="12"/>
  <c r="DB77" i="12"/>
  <c r="DC5" i="12"/>
  <c r="DB5" i="12"/>
  <c r="DA5" i="12"/>
  <c r="DD5" i="12"/>
  <c r="DE5" i="12"/>
  <c r="DB221" i="12"/>
  <c r="DE221" i="12"/>
  <c r="DA221" i="12"/>
  <c r="DD221" i="12"/>
  <c r="DC221" i="12"/>
  <c r="DE203" i="12"/>
  <c r="DB203" i="12"/>
  <c r="DA203" i="12"/>
  <c r="DD203" i="12"/>
  <c r="DC203" i="12"/>
  <c r="DA131" i="12"/>
  <c r="DD131" i="12"/>
  <c r="DB131" i="12"/>
  <c r="DE131" i="12"/>
  <c r="DC131" i="12"/>
  <c r="DD23" i="12"/>
  <c r="DC23" i="12"/>
  <c r="DA23" i="12"/>
  <c r="DB23" i="12"/>
  <c r="DE23" i="12"/>
  <c r="DA275" i="12"/>
  <c r="DB275" i="12"/>
  <c r="DC275" i="12"/>
  <c r="DE275" i="12"/>
  <c r="DD275" i="12"/>
  <c r="DA257" i="12"/>
  <c r="DC257" i="12"/>
  <c r="DD257" i="12"/>
  <c r="DE257" i="12"/>
  <c r="DB257" i="12"/>
  <c r="DE185" i="12"/>
  <c r="DB185" i="12"/>
  <c r="DC185" i="12"/>
  <c r="DD185" i="12"/>
  <c r="DA185" i="12"/>
  <c r="DA167" i="12"/>
  <c r="DB167" i="12"/>
  <c r="DC167" i="12"/>
  <c r="DE167" i="12"/>
  <c r="DD167" i="12"/>
  <c r="DB239" i="12"/>
  <c r="DE239" i="12"/>
  <c r="DC239" i="12"/>
  <c r="DA239" i="12"/>
  <c r="DD239" i="12"/>
  <c r="DB149" i="12"/>
  <c r="DE149" i="12"/>
  <c r="DC149" i="12"/>
  <c r="DA149" i="12"/>
  <c r="DD149" i="12"/>
  <c r="DC113" i="12"/>
  <c r="DA113" i="12"/>
  <c r="DD113" i="12"/>
  <c r="DB113" i="12"/>
  <c r="DE113" i="12"/>
  <c r="DE95" i="12"/>
  <c r="DC95" i="12"/>
  <c r="DD95" i="12"/>
  <c r="DA95" i="12"/>
  <c r="DB95" i="12"/>
  <c r="DD59" i="12"/>
  <c r="DC59" i="12"/>
  <c r="DA59" i="12"/>
  <c r="DE59" i="12"/>
  <c r="DB59" i="12"/>
  <c r="DD41" i="12"/>
  <c r="DA41" i="12"/>
  <c r="DE41" i="12"/>
  <c r="DC41" i="12"/>
  <c r="DB41" i="12"/>
  <c r="DB237" i="12"/>
  <c r="DE237" i="12"/>
  <c r="DD237" i="12"/>
  <c r="DC129" i="12"/>
  <c r="DB129" i="12" s="1"/>
  <c r="DC111" i="12"/>
  <c r="DB111" i="12" s="1"/>
  <c r="DB75" i="12"/>
  <c r="DD75" i="12"/>
  <c r="DE75" i="12"/>
  <c r="DB147" i="12"/>
  <c r="DE147" i="12"/>
  <c r="DD147" i="12"/>
  <c r="DB165" i="12"/>
  <c r="DE165" i="12"/>
  <c r="DD165" i="12"/>
  <c r="DC3" i="12"/>
  <c r="DB3" i="12" s="1"/>
  <c r="DC39" i="12"/>
  <c r="DB39" i="12" s="1"/>
  <c r="DC273" i="12"/>
  <c r="DB273" i="12" s="1"/>
  <c r="DB201" i="12"/>
  <c r="DE201" i="12"/>
  <c r="DD201" i="12"/>
  <c r="DC183" i="12"/>
  <c r="DB183" i="12" s="1"/>
  <c r="DB219" i="12"/>
  <c r="DD219" i="12"/>
  <c r="DE219" i="12"/>
  <c r="DC93" i="12"/>
  <c r="DB93" i="12" s="1"/>
  <c r="DC57" i="12"/>
  <c r="DB57" i="12" s="1"/>
  <c r="DC255" i="12"/>
  <c r="DB255" i="12" s="1"/>
  <c r="DB21" i="12"/>
  <c r="DE21" i="12"/>
  <c r="DD21" i="12"/>
  <c r="DE581" i="12"/>
  <c r="DD581" i="12"/>
  <c r="DC581" i="12"/>
  <c r="DA581" i="12"/>
  <c r="DB581" i="12"/>
  <c r="DA437" i="12"/>
  <c r="DB437" i="12"/>
  <c r="DE437" i="12"/>
  <c r="DD437" i="12"/>
  <c r="DC437" i="12"/>
  <c r="DA365" i="12"/>
  <c r="DC365" i="12"/>
  <c r="DD365" i="12"/>
  <c r="DB365" i="12"/>
  <c r="DE365" i="12"/>
  <c r="DD383" i="12"/>
  <c r="DB383" i="12"/>
  <c r="DE383" i="12"/>
  <c r="DC383" i="12"/>
  <c r="DA383" i="12"/>
  <c r="DD329" i="12"/>
  <c r="DC329" i="12"/>
  <c r="DE329" i="12"/>
  <c r="DB329" i="12"/>
  <c r="DA329" i="12"/>
  <c r="DA311" i="12"/>
  <c r="DE311" i="12"/>
  <c r="DD311" i="12"/>
  <c r="DB311" i="12"/>
  <c r="DC311" i="12"/>
  <c r="DA401" i="12"/>
  <c r="DD401" i="12"/>
  <c r="DB401" i="12"/>
  <c r="DE401" i="12"/>
  <c r="DC401" i="12"/>
  <c r="DC455" i="12"/>
  <c r="DE455" i="12"/>
  <c r="DD455" i="12"/>
  <c r="DA455" i="12"/>
  <c r="DB455" i="12"/>
  <c r="DE419" i="12"/>
  <c r="DC419" i="12"/>
  <c r="DD419" i="12"/>
  <c r="DB419" i="12"/>
  <c r="DA419" i="12"/>
  <c r="DC347" i="12"/>
  <c r="DB347" i="12"/>
  <c r="DD347" i="12"/>
  <c r="DA347" i="12"/>
  <c r="DE347" i="12"/>
  <c r="DB293" i="12"/>
  <c r="DD293" i="12"/>
  <c r="DC293" i="12"/>
  <c r="DE293" i="12"/>
  <c r="DA293" i="12"/>
  <c r="DE617" i="12"/>
  <c r="DB617" i="12"/>
  <c r="DD617" i="12"/>
  <c r="DA617" i="12"/>
  <c r="DC617" i="12"/>
  <c r="DB527" i="12"/>
  <c r="DD527" i="12"/>
  <c r="DC527" i="12"/>
  <c r="DA527" i="12"/>
  <c r="DE527" i="12"/>
  <c r="DE2165" i="12"/>
  <c r="DB2165" i="12"/>
  <c r="DD2165" i="12"/>
  <c r="DC2165" i="12"/>
  <c r="DA2165" i="12"/>
  <c r="DA580" i="12"/>
  <c r="DC580" i="12"/>
  <c r="DE580" i="12"/>
  <c r="DB580" i="12"/>
  <c r="DD580" i="12"/>
  <c r="DD508" i="12"/>
  <c r="DC508" i="12"/>
  <c r="DA508" i="12"/>
  <c r="DB508" i="12"/>
  <c r="DE508" i="12"/>
  <c r="DB399" i="12"/>
  <c r="DD399" i="12"/>
  <c r="DE399" i="12"/>
  <c r="DB525" i="12"/>
  <c r="DE525" i="12"/>
  <c r="DD525" i="12"/>
  <c r="DB471" i="12"/>
  <c r="DE471" i="12"/>
  <c r="DD471" i="12"/>
  <c r="DA633" i="12"/>
  <c r="DB632" i="12"/>
  <c r="DB1082" i="12"/>
  <c r="DA1083" i="12"/>
  <c r="DA1317" i="12"/>
  <c r="DB1316" i="12"/>
  <c r="DA1677" i="12"/>
  <c r="DB1676" i="12"/>
  <c r="DB254" i="12"/>
  <c r="DA255" i="12"/>
  <c r="DB830" i="12"/>
  <c r="DA831" i="12"/>
  <c r="DA687" i="12"/>
  <c r="DB686" i="12"/>
  <c r="DB110" i="12"/>
  <c r="DA111" i="12"/>
  <c r="DA1929" i="12"/>
  <c r="DB1928" i="12"/>
  <c r="DA1731" i="12"/>
  <c r="DB1730" i="12"/>
  <c r="DB1172" i="12"/>
  <c r="DA1173" i="12"/>
  <c r="DA1893" i="12"/>
  <c r="DB1892" i="12"/>
  <c r="DA2019" i="12"/>
  <c r="DB2018" i="12"/>
  <c r="DA1569" i="12"/>
  <c r="DB1568" i="12"/>
  <c r="DA1857" i="12"/>
  <c r="DB1856" i="12"/>
  <c r="DA939" i="12"/>
  <c r="DB938" i="12"/>
  <c r="DB362" i="12"/>
  <c r="DA363" i="12"/>
  <c r="DA75" i="12"/>
  <c r="DB74" i="12"/>
  <c r="DB488" i="12"/>
  <c r="DA489" i="12"/>
  <c r="DB1154" i="12"/>
  <c r="DA1155" i="12"/>
  <c r="DB1424" i="12"/>
  <c r="DA1425" i="12"/>
  <c r="DB434" i="12"/>
  <c r="DA435" i="12"/>
  <c r="DA93" i="12"/>
  <c r="DB92" i="12"/>
  <c r="DD544" i="12"/>
  <c r="DA544" i="12"/>
  <c r="DB544" i="12"/>
  <c r="DC544" i="12"/>
  <c r="DE544" i="12"/>
  <c r="DC489" i="12"/>
  <c r="DB489" i="12" s="1"/>
  <c r="DB417" i="12"/>
  <c r="DE417" i="12"/>
  <c r="DD417" i="12"/>
  <c r="DB308" i="12"/>
  <c r="DA309" i="12"/>
  <c r="DB1604" i="12"/>
  <c r="DA1605" i="12"/>
  <c r="DA1875" i="12"/>
  <c r="DB1874" i="12"/>
  <c r="DB309" i="12"/>
  <c r="DE309" i="12"/>
  <c r="DD309" i="12"/>
  <c r="DB1010" i="12"/>
  <c r="DA1011" i="12"/>
  <c r="DC363" i="12"/>
  <c r="DB363" i="12" s="1"/>
  <c r="DB884" i="12"/>
  <c r="DA885" i="12"/>
  <c r="DA1407" i="12"/>
  <c r="DB1406" i="12"/>
  <c r="DB1280" i="12"/>
  <c r="DA1281" i="12"/>
  <c r="DB416" i="12"/>
  <c r="DA417" i="12"/>
  <c r="DA2145" i="12"/>
  <c r="DB2144" i="12"/>
  <c r="DA975" i="12"/>
  <c r="DB974" i="12"/>
  <c r="DB2163" i="12"/>
  <c r="DD2163" i="12"/>
  <c r="DE2163" i="12"/>
  <c r="DB1820" i="12"/>
  <c r="DA1821" i="12"/>
  <c r="DA291" i="12"/>
  <c r="DB290" i="12"/>
  <c r="DB1118" i="12"/>
  <c r="DA1119" i="12"/>
  <c r="DB1514" i="12"/>
  <c r="DA1515" i="12"/>
  <c r="DA561" i="12"/>
  <c r="DB560" i="12"/>
  <c r="DB2000" i="12"/>
  <c r="DA2001" i="12"/>
  <c r="DA273" i="12"/>
  <c r="DB272" i="12"/>
  <c r="DA2091" i="12"/>
  <c r="DB2090" i="12"/>
  <c r="DA579" i="12"/>
  <c r="DB578" i="12"/>
  <c r="DA651" i="12"/>
  <c r="DB650" i="12"/>
  <c r="DA1335" i="12"/>
  <c r="DB1334" i="12"/>
  <c r="DC327" i="12"/>
  <c r="DB327" i="12" s="1"/>
  <c r="DB848" i="12"/>
  <c r="DA849" i="12"/>
  <c r="DB326" i="12"/>
  <c r="DA327" i="12"/>
  <c r="DA471" i="12"/>
  <c r="DB470" i="12"/>
  <c r="DB758" i="12"/>
  <c r="DA759" i="12"/>
  <c r="DB1028" i="12"/>
  <c r="DA1029" i="12"/>
  <c r="DB506" i="12"/>
  <c r="DA507" i="12"/>
  <c r="DB1352" i="12"/>
  <c r="DA1353" i="12"/>
  <c r="DA345" i="12"/>
  <c r="DB344" i="12"/>
  <c r="DD507" i="12"/>
  <c r="DE507" i="12"/>
  <c r="DB615" i="12"/>
  <c r="DE615" i="12"/>
  <c r="DD615" i="12"/>
  <c r="DB597" i="12"/>
  <c r="DE597" i="12"/>
  <c r="DD597" i="12"/>
  <c r="DA147" i="12"/>
  <c r="DB146" i="12"/>
  <c r="DB2108" i="12"/>
  <c r="DA2109" i="12"/>
  <c r="DA705" i="12"/>
  <c r="DB704" i="12"/>
  <c r="DB1064" i="12"/>
  <c r="DA1065" i="12"/>
  <c r="DA1965" i="12"/>
  <c r="DB1964" i="12"/>
  <c r="DA2055" i="12"/>
  <c r="DB2054" i="12"/>
  <c r="DA867" i="12"/>
  <c r="DB866" i="12"/>
  <c r="DA1551" i="12"/>
  <c r="DB1550" i="12"/>
  <c r="DA2073" i="12"/>
  <c r="DB2072" i="12"/>
  <c r="DA1371" i="12"/>
  <c r="DB1370" i="12"/>
  <c r="DA2037" i="12"/>
  <c r="DB2036" i="12"/>
  <c r="DB1946" i="12"/>
  <c r="DA1947" i="12"/>
  <c r="DA1713" i="12"/>
  <c r="DB1712" i="12"/>
  <c r="DB1622" i="12"/>
  <c r="DA1623" i="12"/>
  <c r="DB2126" i="12"/>
  <c r="DA2127" i="12"/>
  <c r="DA1047" i="12"/>
  <c r="DB1046" i="12"/>
  <c r="DA723" i="12"/>
  <c r="DB722" i="12"/>
  <c r="DB1802" i="12"/>
  <c r="DA1803" i="12"/>
  <c r="DB902" i="12"/>
  <c r="DA903" i="12"/>
  <c r="DB1226" i="12"/>
  <c r="DA1227" i="12"/>
  <c r="DA1299" i="12"/>
  <c r="DB1298" i="12"/>
  <c r="DA1209" i="12"/>
  <c r="DB1208" i="12"/>
  <c r="DA165" i="12"/>
  <c r="DB164" i="12"/>
  <c r="DA1695" i="12"/>
  <c r="DB1694" i="12"/>
  <c r="DA1479" i="12"/>
  <c r="DB1478" i="12"/>
  <c r="DA1497" i="12"/>
  <c r="DB1496" i="12"/>
  <c r="DA1263" i="12"/>
  <c r="DB1262" i="12"/>
  <c r="DB1838" i="12"/>
  <c r="DA1839" i="12"/>
  <c r="DB956" i="12"/>
  <c r="DA957" i="12"/>
  <c r="DE579" i="12"/>
  <c r="DD579" i="12"/>
  <c r="DB435" i="12"/>
  <c r="DD435" i="12"/>
  <c r="DE435" i="12"/>
  <c r="DB345" i="12"/>
  <c r="DD345" i="12"/>
  <c r="DE345" i="12"/>
  <c r="DB236" i="12"/>
  <c r="DA237" i="12"/>
  <c r="DB453" i="12"/>
  <c r="DE453" i="12"/>
  <c r="DD453" i="12"/>
  <c r="DC381" i="12"/>
  <c r="DB381" i="12" s="1"/>
  <c r="DB920" i="12"/>
  <c r="DA921" i="12"/>
  <c r="DA1137" i="12"/>
  <c r="DB1136" i="12"/>
  <c r="DA1245" i="12"/>
  <c r="DB1244" i="12"/>
  <c r="DA777" i="12"/>
  <c r="DB776" i="12"/>
  <c r="DB542" i="12"/>
  <c r="DA543" i="12"/>
  <c r="DA1641" i="12"/>
  <c r="DB1640" i="12"/>
  <c r="DB614" i="12"/>
  <c r="DA615" i="12"/>
  <c r="DA1659" i="12"/>
  <c r="DB1658" i="12"/>
  <c r="DB1748" i="12"/>
  <c r="DA1749" i="12"/>
  <c r="DA1101" i="12"/>
  <c r="DB1100" i="12"/>
  <c r="DA525" i="12"/>
  <c r="DB524" i="12"/>
  <c r="DB1910" i="12"/>
  <c r="DA1911" i="12"/>
  <c r="DB56" i="12"/>
  <c r="DA57" i="12"/>
  <c r="DA381" i="12"/>
  <c r="DB380" i="12"/>
  <c r="DB668" i="12"/>
  <c r="DA669" i="12"/>
  <c r="DB452" i="12"/>
  <c r="DA453" i="12"/>
  <c r="DA1461" i="12"/>
  <c r="DB1460" i="12"/>
  <c r="DA1443" i="12"/>
  <c r="DB1442" i="12"/>
  <c r="DB1766" i="12"/>
  <c r="DA1767" i="12"/>
  <c r="DB128" i="12"/>
  <c r="DA129" i="12"/>
  <c r="DA1533" i="12"/>
  <c r="DB1532" i="12"/>
  <c r="DB182" i="12"/>
  <c r="DA183" i="12"/>
  <c r="DA813" i="12"/>
  <c r="DB812" i="12"/>
  <c r="DB218" i="12"/>
  <c r="DA219" i="12"/>
  <c r="DC291" i="12"/>
  <c r="DB291" i="12" s="1"/>
  <c r="DB740" i="12"/>
  <c r="DA741" i="12"/>
  <c r="DE562" i="12"/>
  <c r="DD562" i="12"/>
  <c r="DC562" i="12"/>
  <c r="DA562" i="12"/>
  <c r="DB562" i="12"/>
  <c r="HT54" i="12"/>
  <c r="HO55" i="12"/>
  <c r="AQ186" i="12"/>
  <c r="O49" i="12"/>
  <c r="P49" i="12" s="1"/>
  <c r="O13" i="12"/>
  <c r="CX725" i="12"/>
  <c r="CY725" i="12" s="1"/>
  <c r="CX723" i="12"/>
  <c r="CY723" i="12" s="1"/>
  <c r="CX737" i="12"/>
  <c r="CY737" i="12" s="1"/>
  <c r="CX724" i="12"/>
  <c r="CY724" i="12" s="1"/>
  <c r="CX729" i="12"/>
  <c r="CY729" i="12" s="1"/>
  <c r="CX738" i="12"/>
  <c r="CY738" i="12" s="1"/>
  <c r="CX736" i="12"/>
  <c r="CY736" i="12" s="1"/>
  <c r="CX732" i="12"/>
  <c r="CY732" i="12" s="1"/>
  <c r="CX734" i="12"/>
  <c r="CY734" i="12" s="1"/>
  <c r="CX731" i="12"/>
  <c r="CY731" i="12" s="1"/>
  <c r="CX739" i="12"/>
  <c r="CY739" i="12" s="1"/>
  <c r="CX733" i="12"/>
  <c r="CY733" i="12" s="1"/>
  <c r="CX726" i="12"/>
  <c r="CY726" i="12" s="1"/>
  <c r="CX735" i="12"/>
  <c r="CY735" i="12" s="1"/>
  <c r="DC652" i="12"/>
  <c r="DE652" i="12"/>
  <c r="DB652" i="12"/>
  <c r="DD652" i="12"/>
  <c r="DA652" i="12"/>
  <c r="DB634" i="12"/>
  <c r="DE634" i="12"/>
  <c r="DD634" i="12"/>
  <c r="DC634" i="12"/>
  <c r="DA634" i="12"/>
  <c r="JK42" i="12"/>
  <c r="JL42" i="12" s="1"/>
  <c r="EA42" i="12" s="1"/>
  <c r="JH44" i="12"/>
  <c r="CX727" i="12"/>
  <c r="CY727" i="12" s="1"/>
  <c r="CX728" i="12"/>
  <c r="CY728" i="12" s="1"/>
  <c r="CX730" i="12"/>
  <c r="CY730" i="12" s="1"/>
  <c r="DD670" i="12"/>
  <c r="DB670" i="12"/>
  <c r="DA670" i="12"/>
  <c r="DC670" i="12"/>
  <c r="DE670" i="12"/>
  <c r="DD651" i="12"/>
  <c r="DE651" i="12"/>
  <c r="CX689" i="12"/>
  <c r="CY689" i="12" s="1"/>
  <c r="CX688" i="12"/>
  <c r="CY688" i="12" s="1"/>
  <c r="CX699" i="12"/>
  <c r="CY699" i="12" s="1"/>
  <c r="CX703" i="12"/>
  <c r="CY703" i="12" s="1"/>
  <c r="CX694" i="12"/>
  <c r="CY694" i="12" s="1"/>
  <c r="CX698" i="12"/>
  <c r="CY698" i="12" s="1"/>
  <c r="CX690" i="12"/>
  <c r="CY690" i="12" s="1"/>
  <c r="CX687" i="12"/>
  <c r="CY687" i="12" s="1"/>
  <c r="DC687" i="12" s="1"/>
  <c r="CX702" i="12"/>
  <c r="CY702" i="12" s="1"/>
  <c r="CX695" i="12"/>
  <c r="CY695" i="12" s="1"/>
  <c r="CX700" i="12"/>
  <c r="CY700" i="12" s="1"/>
  <c r="CX696" i="12"/>
  <c r="CY696" i="12" s="1"/>
  <c r="CX691" i="12"/>
  <c r="CY691" i="12" s="1"/>
  <c r="CX697" i="12"/>
  <c r="CY697" i="12" s="1"/>
  <c r="CX692" i="12"/>
  <c r="CY692" i="12" s="1"/>
  <c r="CX693" i="12"/>
  <c r="CY693" i="12" s="1"/>
  <c r="CX701" i="12"/>
  <c r="CY701" i="12" s="1"/>
  <c r="IF1" i="12"/>
  <c r="IG1" i="12" s="1"/>
  <c r="O41" i="12"/>
  <c r="FR150" i="12"/>
  <c r="FU149" i="12"/>
  <c r="GR149" i="12" s="1"/>
  <c r="FS7" i="12"/>
  <c r="CY2244" i="12"/>
  <c r="CX2245" i="12"/>
  <c r="CZ132" i="12"/>
  <c r="CZ725" i="12"/>
  <c r="CZ330" i="12"/>
  <c r="CZ258" i="12"/>
  <c r="CZ366" i="12"/>
  <c r="CZ384" i="12"/>
  <c r="CZ348" i="12"/>
  <c r="CZ564" i="12"/>
  <c r="CZ2166" i="12"/>
  <c r="CZ456" i="12"/>
  <c r="CZ204" i="12"/>
  <c r="CZ96" i="12"/>
  <c r="CZ492" i="12"/>
  <c r="CZ186" i="12"/>
  <c r="CZ654" i="12"/>
  <c r="CZ78" i="12"/>
  <c r="CZ510" i="12"/>
  <c r="CZ42" i="12"/>
  <c r="CZ312" i="12"/>
  <c r="CZ474" i="12"/>
  <c r="CZ600" i="12"/>
  <c r="CZ294" i="12"/>
  <c r="CZ114" i="12"/>
  <c r="CZ636" i="12"/>
  <c r="CZ276" i="12"/>
  <c r="CZ150" i="12"/>
  <c r="CZ618" i="12"/>
  <c r="CZ582" i="12"/>
  <c r="CZ24" i="12"/>
  <c r="CZ420" i="12"/>
  <c r="CZ168" i="12"/>
  <c r="CZ222" i="12"/>
  <c r="CZ528" i="12"/>
  <c r="CZ438" i="12"/>
  <c r="CZ240" i="12"/>
  <c r="CZ60" i="12"/>
  <c r="CZ672" i="12"/>
  <c r="CZ546" i="12"/>
  <c r="CZ6" i="12"/>
  <c r="CZ402" i="12"/>
  <c r="CZ689" i="12"/>
  <c r="DC474" i="12" l="1"/>
  <c r="DD474" i="12"/>
  <c r="DE474" i="12"/>
  <c r="DA474" i="12"/>
  <c r="DB474" i="12"/>
  <c r="DA564" i="12"/>
  <c r="DD564" i="12"/>
  <c r="DE564" i="12"/>
  <c r="DC564" i="12"/>
  <c r="DB564" i="12"/>
  <c r="DC510" i="12"/>
  <c r="DB510" i="12"/>
  <c r="DE510" i="12"/>
  <c r="DD510" i="12"/>
  <c r="DA510" i="12"/>
  <c r="DE636" i="12"/>
  <c r="DC636" i="12"/>
  <c r="DB636" i="12"/>
  <c r="DD636" i="12"/>
  <c r="DA636" i="12"/>
  <c r="DD492" i="12"/>
  <c r="DE492" i="12"/>
  <c r="DB492" i="12"/>
  <c r="DC492" i="12"/>
  <c r="DA492" i="12"/>
  <c r="DC600" i="12"/>
  <c r="DE600" i="12"/>
  <c r="DB600" i="12"/>
  <c r="DD600" i="12"/>
  <c r="DA600" i="12"/>
  <c r="DE654" i="12"/>
  <c r="DA654" i="12"/>
  <c r="DD654" i="12"/>
  <c r="DB654" i="12"/>
  <c r="DC654" i="12"/>
  <c r="DA672" i="12"/>
  <c r="DD672" i="12"/>
  <c r="DC672" i="12"/>
  <c r="DE672" i="12"/>
  <c r="DB672" i="12"/>
  <c r="DB546" i="12"/>
  <c r="DA546" i="12"/>
  <c r="DC546" i="12"/>
  <c r="DD546" i="12"/>
  <c r="DE546" i="12"/>
  <c r="DA150" i="12"/>
  <c r="DB150" i="12"/>
  <c r="DD150" i="12"/>
  <c r="DE150" i="12"/>
  <c r="DC150" i="12"/>
  <c r="DE348" i="12"/>
  <c r="DB348" i="12"/>
  <c r="DD348" i="12"/>
  <c r="DA348" i="12"/>
  <c r="DC348" i="12"/>
  <c r="DC96" i="12"/>
  <c r="DD96" i="12"/>
  <c r="DA96" i="12"/>
  <c r="DE96" i="12"/>
  <c r="DB96" i="12"/>
  <c r="DC168" i="12"/>
  <c r="DD168" i="12"/>
  <c r="DE168" i="12"/>
  <c r="DA168" i="12"/>
  <c r="DB168" i="12"/>
  <c r="DE384" i="12"/>
  <c r="DA384" i="12"/>
  <c r="DB384" i="12"/>
  <c r="DC384" i="12"/>
  <c r="DD384" i="12"/>
  <c r="DC456" i="12"/>
  <c r="DA456" i="12"/>
  <c r="DB456" i="12"/>
  <c r="DE456" i="12"/>
  <c r="DD456" i="12"/>
  <c r="DB186" i="12"/>
  <c r="DA186" i="12"/>
  <c r="DC186" i="12"/>
  <c r="DD186" i="12"/>
  <c r="DE186" i="12"/>
  <c r="DE420" i="12"/>
  <c r="DC420" i="12"/>
  <c r="DB420" i="12"/>
  <c r="DA420" i="12"/>
  <c r="DD420" i="12"/>
  <c r="DD240" i="12"/>
  <c r="DA240" i="12"/>
  <c r="DE240" i="12"/>
  <c r="DB240" i="12"/>
  <c r="DC240" i="12"/>
  <c r="DD438" i="12"/>
  <c r="DC438" i="12"/>
  <c r="DB438" i="12"/>
  <c r="DE438" i="12"/>
  <c r="DA438" i="12"/>
  <c r="DD24" i="12"/>
  <c r="DE24" i="12"/>
  <c r="DA24" i="12"/>
  <c r="DB24" i="12"/>
  <c r="DC24" i="12"/>
  <c r="DC582" i="12"/>
  <c r="DD582" i="12"/>
  <c r="DE582" i="12"/>
  <c r="DA582" i="12"/>
  <c r="DB582" i="12"/>
  <c r="DA204" i="12"/>
  <c r="DD204" i="12"/>
  <c r="DC204" i="12"/>
  <c r="DE204" i="12"/>
  <c r="DB204" i="12"/>
  <c r="DE312" i="12"/>
  <c r="DC312" i="12"/>
  <c r="DB312" i="12"/>
  <c r="DA312" i="12"/>
  <c r="DD312" i="12"/>
  <c r="DE258" i="12"/>
  <c r="DD258" i="12"/>
  <c r="DC258" i="12"/>
  <c r="DA258" i="12"/>
  <c r="DB258" i="12"/>
  <c r="DA222" i="12"/>
  <c r="DD222" i="12"/>
  <c r="DC222" i="12"/>
  <c r="DE222" i="12"/>
  <c r="DB222" i="12"/>
  <c r="DD132" i="12"/>
  <c r="DA132" i="12"/>
  <c r="DE132" i="12"/>
  <c r="DB132" i="12"/>
  <c r="DC132" i="12"/>
  <c r="DE42" i="12"/>
  <c r="DD42" i="12"/>
  <c r="DB42" i="12"/>
  <c r="DC42" i="12"/>
  <c r="DA42" i="12"/>
  <c r="DB6" i="12"/>
  <c r="DD6" i="12"/>
  <c r="DC6" i="12"/>
  <c r="DA6" i="12"/>
  <c r="DE6" i="12"/>
  <c r="DA78" i="12"/>
  <c r="DB78" i="12"/>
  <c r="DC78" i="12"/>
  <c r="DE78" i="12"/>
  <c r="DD78" i="12"/>
  <c r="DA276" i="12"/>
  <c r="DD276" i="12"/>
  <c r="DB276" i="12"/>
  <c r="DE276" i="12"/>
  <c r="DC276" i="12"/>
  <c r="DB60" i="12"/>
  <c r="DE60" i="12"/>
  <c r="DC60" i="12"/>
  <c r="DD60" i="12"/>
  <c r="DA60" i="12"/>
  <c r="DB528" i="12"/>
  <c r="DC528" i="12"/>
  <c r="DD528" i="12"/>
  <c r="DA528" i="12"/>
  <c r="DE528" i="12"/>
  <c r="DD366" i="12"/>
  <c r="DC366" i="12"/>
  <c r="DE366" i="12"/>
  <c r="DB366" i="12"/>
  <c r="DA366" i="12"/>
  <c r="DE2166" i="12"/>
  <c r="DA2166" i="12"/>
  <c r="DB2166" i="12"/>
  <c r="DD2166" i="12"/>
  <c r="DC2166" i="12"/>
  <c r="DD330" i="12"/>
  <c r="DB330" i="12"/>
  <c r="DE330" i="12"/>
  <c r="DC330" i="12"/>
  <c r="DA330" i="12"/>
  <c r="DD402" i="12"/>
  <c r="DE402" i="12"/>
  <c r="DA402" i="12"/>
  <c r="DC402" i="12"/>
  <c r="DB402" i="12"/>
  <c r="DB114" i="12"/>
  <c r="DD114" i="12"/>
  <c r="DE114" i="12"/>
  <c r="DC114" i="12"/>
  <c r="DA114" i="12"/>
  <c r="DA294" i="12"/>
  <c r="DC294" i="12"/>
  <c r="DE294" i="12"/>
  <c r="DB294" i="12"/>
  <c r="DD294" i="12"/>
  <c r="DD618" i="12"/>
  <c r="DC618" i="12"/>
  <c r="DB618" i="12"/>
  <c r="DE618" i="12"/>
  <c r="DA618" i="12"/>
  <c r="DD274" i="12"/>
  <c r="DC274" i="12"/>
  <c r="DE274" i="12"/>
  <c r="DB274" i="12"/>
  <c r="DA274" i="12"/>
  <c r="DE4" i="12"/>
  <c r="DC4" i="12"/>
  <c r="DA4" i="12"/>
  <c r="DD4" i="12"/>
  <c r="DB4" i="12"/>
  <c r="DC58" i="12"/>
  <c r="DA58" i="12"/>
  <c r="DB58" i="12"/>
  <c r="DD58" i="12"/>
  <c r="DE58" i="12"/>
  <c r="DD112" i="12"/>
  <c r="DB112" i="12"/>
  <c r="DA112" i="12"/>
  <c r="DE112" i="12"/>
  <c r="DC112" i="12"/>
  <c r="DC256" i="12"/>
  <c r="DB256" i="12"/>
  <c r="DA256" i="12"/>
  <c r="DD256" i="12"/>
  <c r="DE256" i="12"/>
  <c r="DE94" i="12"/>
  <c r="DA94" i="12"/>
  <c r="DD94" i="12"/>
  <c r="DB94" i="12"/>
  <c r="DC94" i="12"/>
  <c r="DB220" i="12"/>
  <c r="DD220" i="12"/>
  <c r="DE220" i="12"/>
  <c r="DA220" i="12"/>
  <c r="DC220" i="12"/>
  <c r="DD40" i="12"/>
  <c r="DC40" i="12"/>
  <c r="DA40" i="12"/>
  <c r="DB40" i="12"/>
  <c r="DE40" i="12"/>
  <c r="DA76" i="12"/>
  <c r="DB76" i="12"/>
  <c r="DD76" i="12"/>
  <c r="DC76" i="12"/>
  <c r="DE76" i="12"/>
  <c r="DE129" i="12"/>
  <c r="DD129" i="12"/>
  <c r="DE255" i="12"/>
  <c r="DD255" i="12"/>
  <c r="DD93" i="12"/>
  <c r="DE93" i="12"/>
  <c r="DE184" i="12"/>
  <c r="DC184" i="12"/>
  <c r="DA184" i="12"/>
  <c r="DB184" i="12"/>
  <c r="DD184" i="12"/>
  <c r="DD202" i="12"/>
  <c r="DE202" i="12"/>
  <c r="DB202" i="12"/>
  <c r="DC202" i="12"/>
  <c r="DA202" i="12"/>
  <c r="DD39" i="12"/>
  <c r="DE39" i="12"/>
  <c r="DD148" i="12"/>
  <c r="DE148" i="12"/>
  <c r="DB148" i="12"/>
  <c r="DA148" i="12"/>
  <c r="DC148" i="12"/>
  <c r="DE183" i="12"/>
  <c r="DD183" i="12"/>
  <c r="DB166" i="12"/>
  <c r="DA166" i="12"/>
  <c r="DE166" i="12"/>
  <c r="DC166" i="12"/>
  <c r="DD166" i="12"/>
  <c r="DD111" i="12"/>
  <c r="DE111" i="12"/>
  <c r="DC22" i="12"/>
  <c r="DD22" i="12"/>
  <c r="DB22" i="12"/>
  <c r="DE22" i="12"/>
  <c r="DA22" i="12"/>
  <c r="DD57" i="12"/>
  <c r="DE57" i="12"/>
  <c r="DD273" i="12"/>
  <c r="DE273" i="12"/>
  <c r="DE3" i="12"/>
  <c r="DD3" i="12"/>
  <c r="DD130" i="12"/>
  <c r="DC130" i="12"/>
  <c r="DB130" i="12"/>
  <c r="DE130" i="12"/>
  <c r="DA130" i="12"/>
  <c r="DA238" i="12"/>
  <c r="DE238" i="12"/>
  <c r="DD238" i="12"/>
  <c r="DB238" i="12"/>
  <c r="DC238" i="12"/>
  <c r="DC382" i="12"/>
  <c r="DD382" i="12"/>
  <c r="DA382" i="12"/>
  <c r="DE382" i="12"/>
  <c r="DB382" i="12"/>
  <c r="DD490" i="12"/>
  <c r="DA490" i="12"/>
  <c r="DB490" i="12"/>
  <c r="DE490" i="12"/>
  <c r="DC490" i="12"/>
  <c r="DD364" i="12"/>
  <c r="DB364" i="12"/>
  <c r="DA364" i="12"/>
  <c r="DE364" i="12"/>
  <c r="DC364" i="12"/>
  <c r="DE292" i="12"/>
  <c r="DD292" i="12"/>
  <c r="DA292" i="12"/>
  <c r="DC292" i="12"/>
  <c r="DB292" i="12"/>
  <c r="DD291" i="12"/>
  <c r="DE291" i="12"/>
  <c r="DA598" i="12"/>
  <c r="DE598" i="12"/>
  <c r="DB598" i="12"/>
  <c r="DC598" i="12"/>
  <c r="DD598" i="12"/>
  <c r="DE2164" i="12"/>
  <c r="DB2164" i="12"/>
  <c r="DF2165" i="12" s="1"/>
  <c r="DA2164" i="12"/>
  <c r="DC2164" i="12"/>
  <c r="DD2164" i="12"/>
  <c r="DD418" i="12"/>
  <c r="DB418" i="12"/>
  <c r="DE418" i="12"/>
  <c r="DC418" i="12"/>
  <c r="DA418" i="12"/>
  <c r="DA472" i="12"/>
  <c r="DE472" i="12"/>
  <c r="DB472" i="12"/>
  <c r="DC472" i="12"/>
  <c r="DD472" i="12"/>
  <c r="DD454" i="12"/>
  <c r="DB454" i="12"/>
  <c r="DE454" i="12"/>
  <c r="DA454" i="12"/>
  <c r="DC454" i="12"/>
  <c r="DB436" i="12"/>
  <c r="DA436" i="12"/>
  <c r="DC436" i="12"/>
  <c r="DD436" i="12"/>
  <c r="DE436" i="12"/>
  <c r="DD328" i="12"/>
  <c r="DA328" i="12"/>
  <c r="DB328" i="12"/>
  <c r="DE328" i="12"/>
  <c r="DC328" i="12"/>
  <c r="DE381" i="12"/>
  <c r="DD381" i="12"/>
  <c r="DD346" i="12"/>
  <c r="DA346" i="12"/>
  <c r="DB346" i="12"/>
  <c r="DC346" i="12"/>
  <c r="DE346" i="12"/>
  <c r="DD363" i="12"/>
  <c r="DE363" i="12"/>
  <c r="DD489" i="12"/>
  <c r="DE489" i="12"/>
  <c r="DE400" i="12"/>
  <c r="DA400" i="12"/>
  <c r="DD400" i="12"/>
  <c r="DB400" i="12"/>
  <c r="DC400" i="12"/>
  <c r="DD616" i="12"/>
  <c r="DC616" i="12"/>
  <c r="DB616" i="12"/>
  <c r="DE616" i="12"/>
  <c r="DA616" i="12"/>
  <c r="DD327" i="12"/>
  <c r="DE327" i="12"/>
  <c r="DA310" i="12"/>
  <c r="DD310" i="12"/>
  <c r="DC310" i="12"/>
  <c r="DE310" i="12"/>
  <c r="DB310" i="12"/>
  <c r="DE526" i="12"/>
  <c r="DB526" i="12"/>
  <c r="DA526" i="12"/>
  <c r="DC526" i="12"/>
  <c r="DD526" i="12"/>
  <c r="HT55" i="12"/>
  <c r="HO56" i="12"/>
  <c r="AQ187" i="12"/>
  <c r="DA725" i="12"/>
  <c r="DB725" i="12"/>
  <c r="DC725" i="12"/>
  <c r="DD725" i="12"/>
  <c r="DE725" i="12"/>
  <c r="DC723" i="12"/>
  <c r="DA689" i="12"/>
  <c r="DC689" i="12"/>
  <c r="DB689" i="12"/>
  <c r="DE689" i="12"/>
  <c r="DD689" i="12"/>
  <c r="DB687" i="12"/>
  <c r="DE687" i="12"/>
  <c r="DD687" i="12"/>
  <c r="CX710" i="12"/>
  <c r="CY710" i="12" s="1"/>
  <c r="CX715" i="12"/>
  <c r="CY715" i="12" s="1"/>
  <c r="CX709" i="12"/>
  <c r="CY709" i="12" s="1"/>
  <c r="CX719" i="12"/>
  <c r="CY719" i="12" s="1"/>
  <c r="CX714" i="12"/>
  <c r="CY714" i="12" s="1"/>
  <c r="CX707" i="12"/>
  <c r="CY707" i="12" s="1"/>
  <c r="CX713" i="12"/>
  <c r="CY713" i="12" s="1"/>
  <c r="CX716" i="12"/>
  <c r="CY716" i="12" s="1"/>
  <c r="CX720" i="12"/>
  <c r="CY720" i="12" s="1"/>
  <c r="CX721" i="12"/>
  <c r="CY721" i="12" s="1"/>
  <c r="CX711" i="12"/>
  <c r="CY711" i="12" s="1"/>
  <c r="CX708" i="12"/>
  <c r="CY708" i="12" s="1"/>
  <c r="CX718" i="12"/>
  <c r="CY718" i="12" s="1"/>
  <c r="CX717" i="12"/>
  <c r="CY717" i="12" s="1"/>
  <c r="CX705" i="12"/>
  <c r="CY705" i="12" s="1"/>
  <c r="CX712" i="12"/>
  <c r="CY712" i="12" s="1"/>
  <c r="CX706" i="12"/>
  <c r="CY706" i="12" s="1"/>
  <c r="JK44" i="12"/>
  <c r="JL44" i="12" s="1"/>
  <c r="EA44" i="12" s="1"/>
  <c r="JH45" i="12"/>
  <c r="FS8" i="12"/>
  <c r="IH36" i="12"/>
  <c r="IH34" i="12"/>
  <c r="IH18" i="12"/>
  <c r="IG36" i="12"/>
  <c r="A7" i="14"/>
  <c r="C10" i="14"/>
  <c r="FU150" i="12"/>
  <c r="GR150" i="12" s="1"/>
  <c r="FR151" i="12"/>
  <c r="CX2246" i="12"/>
  <c r="CY2245" i="12"/>
  <c r="CZ511" i="12"/>
  <c r="CZ61" i="12"/>
  <c r="CZ421" i="12"/>
  <c r="CZ331" i="12"/>
  <c r="CZ457" i="12"/>
  <c r="CZ601" i="12"/>
  <c r="CZ565" i="12"/>
  <c r="CZ385" i="12"/>
  <c r="CZ151" i="12"/>
  <c r="CZ259" i="12"/>
  <c r="CZ25" i="12"/>
  <c r="CZ475" i="12"/>
  <c r="CZ349" i="12"/>
  <c r="CZ707" i="12"/>
  <c r="CZ637" i="12"/>
  <c r="CZ726" i="12"/>
  <c r="CZ187" i="12"/>
  <c r="CZ583" i="12"/>
  <c r="CZ295" i="12"/>
  <c r="CZ43" i="12"/>
  <c r="CZ619" i="12"/>
  <c r="CZ313" i="12"/>
  <c r="CZ655" i="12"/>
  <c r="CZ7" i="12"/>
  <c r="CZ223" i="12"/>
  <c r="CZ79" i="12"/>
  <c r="CZ439" i="12"/>
  <c r="CZ367" i="12"/>
  <c r="CZ241" i="12"/>
  <c r="CZ277" i="12"/>
  <c r="CZ133" i="12"/>
  <c r="CZ547" i="12"/>
  <c r="CZ2167" i="12"/>
  <c r="CZ690" i="12"/>
  <c r="CZ529" i="12"/>
  <c r="CZ493" i="12"/>
  <c r="CZ115" i="12"/>
  <c r="CZ205" i="12"/>
  <c r="CZ169" i="12"/>
  <c r="CZ403" i="12"/>
  <c r="CZ97" i="12"/>
  <c r="CZ673" i="12"/>
  <c r="DE655" i="12" l="1"/>
  <c r="DA655" i="12"/>
  <c r="DB655" i="12"/>
  <c r="DC655" i="12"/>
  <c r="DD655" i="12"/>
  <c r="DA601" i="12"/>
  <c r="DC601" i="12"/>
  <c r="DD601" i="12"/>
  <c r="DB601" i="12"/>
  <c r="DE601" i="12"/>
  <c r="DA511" i="12"/>
  <c r="DE511" i="12"/>
  <c r="DC511" i="12"/>
  <c r="DD511" i="12"/>
  <c r="DB511" i="12"/>
  <c r="DB475" i="12"/>
  <c r="DA475" i="12"/>
  <c r="DC475" i="12"/>
  <c r="DD475" i="12"/>
  <c r="DE475" i="12"/>
  <c r="DE673" i="12"/>
  <c r="DA673" i="12"/>
  <c r="DD673" i="12"/>
  <c r="DB673" i="12"/>
  <c r="DC673" i="12"/>
  <c r="DC637" i="12"/>
  <c r="DE637" i="12"/>
  <c r="DA637" i="12"/>
  <c r="DB637" i="12"/>
  <c r="DD637" i="12"/>
  <c r="DE565" i="12"/>
  <c r="DA565" i="12"/>
  <c r="DD565" i="12"/>
  <c r="DB565" i="12"/>
  <c r="DC565" i="12"/>
  <c r="DE493" i="12"/>
  <c r="DC493" i="12"/>
  <c r="DD493" i="12"/>
  <c r="DA493" i="12"/>
  <c r="DB493" i="12"/>
  <c r="DD547" i="12"/>
  <c r="DE547" i="12"/>
  <c r="DC547" i="12"/>
  <c r="DB547" i="12"/>
  <c r="DA547" i="12"/>
  <c r="DB619" i="12"/>
  <c r="DC619" i="12"/>
  <c r="DD619" i="12"/>
  <c r="DA619" i="12"/>
  <c r="DE619" i="12"/>
  <c r="DC295" i="12"/>
  <c r="DA295" i="12"/>
  <c r="DD295" i="12"/>
  <c r="DB295" i="12"/>
  <c r="DE295" i="12"/>
  <c r="DC403" i="12"/>
  <c r="DE403" i="12"/>
  <c r="DA403" i="12"/>
  <c r="DB403" i="12"/>
  <c r="DD403" i="12"/>
  <c r="DC2167" i="12"/>
  <c r="DB2167" i="12"/>
  <c r="DE2167" i="12"/>
  <c r="DA2167" i="12"/>
  <c r="DD2167" i="12"/>
  <c r="DC529" i="12"/>
  <c r="DB529" i="12"/>
  <c r="DE529" i="12"/>
  <c r="DD529" i="12"/>
  <c r="DA529" i="12"/>
  <c r="DC277" i="12"/>
  <c r="DE277" i="12"/>
  <c r="DD277" i="12"/>
  <c r="DA277" i="12"/>
  <c r="DB277" i="12"/>
  <c r="DB7" i="12"/>
  <c r="DE7" i="12"/>
  <c r="DC7" i="12"/>
  <c r="DA7" i="12"/>
  <c r="DD7" i="12"/>
  <c r="DC133" i="12"/>
  <c r="DD133" i="12"/>
  <c r="DA133" i="12"/>
  <c r="DB133" i="12"/>
  <c r="DE133" i="12"/>
  <c r="DE259" i="12"/>
  <c r="DD259" i="12"/>
  <c r="DA259" i="12"/>
  <c r="DB259" i="12"/>
  <c r="DC259" i="12"/>
  <c r="DD205" i="12"/>
  <c r="DE205" i="12"/>
  <c r="DA205" i="12"/>
  <c r="DC205" i="12"/>
  <c r="DB205" i="12"/>
  <c r="DD583" i="12"/>
  <c r="DB583" i="12"/>
  <c r="DC583" i="12"/>
  <c r="DA583" i="12"/>
  <c r="DE583" i="12"/>
  <c r="DB241" i="12"/>
  <c r="DA241" i="12"/>
  <c r="DD241" i="12"/>
  <c r="DC241" i="12"/>
  <c r="DE241" i="12"/>
  <c r="DE187" i="12"/>
  <c r="DC187" i="12"/>
  <c r="DB187" i="12"/>
  <c r="DA187" i="12"/>
  <c r="DD187" i="12"/>
  <c r="DD457" i="12"/>
  <c r="DE457" i="12"/>
  <c r="DC457" i="12"/>
  <c r="DB457" i="12"/>
  <c r="DA457" i="12"/>
  <c r="DE169" i="12"/>
  <c r="DB169" i="12"/>
  <c r="DC169" i="12"/>
  <c r="DA169" i="12"/>
  <c r="DD169" i="12"/>
  <c r="DE349" i="12"/>
  <c r="DC349" i="12"/>
  <c r="DB349" i="12"/>
  <c r="DD349" i="12"/>
  <c r="DA349" i="12"/>
  <c r="DD115" i="12"/>
  <c r="DB115" i="12"/>
  <c r="DE115" i="12"/>
  <c r="DA115" i="12"/>
  <c r="DC115" i="12"/>
  <c r="DC331" i="12"/>
  <c r="DB331" i="12"/>
  <c r="DE331" i="12"/>
  <c r="DA331" i="12"/>
  <c r="DD331" i="12"/>
  <c r="DB367" i="12"/>
  <c r="DC367" i="12"/>
  <c r="DE367" i="12"/>
  <c r="DA367" i="12"/>
  <c r="DD367" i="12"/>
  <c r="DA61" i="12"/>
  <c r="DC61" i="12"/>
  <c r="DD61" i="12"/>
  <c r="DE61" i="12"/>
  <c r="DB61" i="12"/>
  <c r="DD79" i="12"/>
  <c r="DA79" i="12"/>
  <c r="DB79" i="12"/>
  <c r="DC79" i="12"/>
  <c r="DE79" i="12"/>
  <c r="DB43" i="12"/>
  <c r="DE43" i="12"/>
  <c r="DA43" i="12"/>
  <c r="DC43" i="12"/>
  <c r="DD43" i="12"/>
  <c r="DC223" i="12"/>
  <c r="DD223" i="12"/>
  <c r="DA223" i="12"/>
  <c r="DE223" i="12"/>
  <c r="DB223" i="12"/>
  <c r="DD313" i="12"/>
  <c r="DA313" i="12"/>
  <c r="DC313" i="12"/>
  <c r="DB313" i="12"/>
  <c r="DE313" i="12"/>
  <c r="DB25" i="12"/>
  <c r="DE25" i="12"/>
  <c r="DC25" i="12"/>
  <c r="DA25" i="12"/>
  <c r="DD25" i="12"/>
  <c r="DD439" i="12"/>
  <c r="DC439" i="12"/>
  <c r="DB439" i="12"/>
  <c r="DA439" i="12"/>
  <c r="DE439" i="12"/>
  <c r="DE421" i="12"/>
  <c r="DD421" i="12"/>
  <c r="DC421" i="12"/>
  <c r="DA421" i="12"/>
  <c r="DB421" i="12"/>
  <c r="DB385" i="12"/>
  <c r="DD385" i="12"/>
  <c r="DC385" i="12"/>
  <c r="DA385" i="12"/>
  <c r="DE385" i="12"/>
  <c r="DE97" i="12"/>
  <c r="DA97" i="12"/>
  <c r="DC97" i="12"/>
  <c r="DD97" i="12"/>
  <c r="DB97" i="12"/>
  <c r="DA151" i="12"/>
  <c r="DB151" i="12"/>
  <c r="DD151" i="12"/>
  <c r="DC151" i="12"/>
  <c r="DE151" i="12"/>
  <c r="DF2163" i="12"/>
  <c r="DF2164" i="12"/>
  <c r="HT56" i="12"/>
  <c r="HO57" i="12"/>
  <c r="K73" i="12"/>
  <c r="AQ188" i="12"/>
  <c r="AW59" i="12" s="1"/>
  <c r="O37" i="12" s="1"/>
  <c r="K98" i="12"/>
  <c r="K128" i="12"/>
  <c r="K119" i="12"/>
  <c r="K214" i="12"/>
  <c r="K116" i="12"/>
  <c r="K90" i="12"/>
  <c r="K216" i="12"/>
  <c r="AW176" i="12"/>
  <c r="K93" i="12"/>
  <c r="AW175" i="12"/>
  <c r="K140" i="12"/>
  <c r="K96" i="12"/>
  <c r="AT155" i="12"/>
  <c r="K99" i="12"/>
  <c r="K206" i="12"/>
  <c r="AW83" i="12"/>
  <c r="AT83" i="12"/>
  <c r="DE690" i="12"/>
  <c r="DB690" i="12"/>
  <c r="DA690" i="12"/>
  <c r="DC690" i="12"/>
  <c r="DD690" i="12"/>
  <c r="DE726" i="12"/>
  <c r="DC726" i="12"/>
  <c r="DB726" i="12"/>
  <c r="DA726" i="12"/>
  <c r="DD726" i="12"/>
  <c r="B9" i="14"/>
  <c r="D9" i="14"/>
  <c r="E9" i="14"/>
  <c r="D10" i="14"/>
  <c r="D11" i="14"/>
  <c r="E10" i="14"/>
  <c r="E11" i="14"/>
  <c r="D13" i="14"/>
  <c r="E13" i="14"/>
  <c r="D12" i="14"/>
  <c r="E14" i="14"/>
  <c r="E12" i="14"/>
  <c r="D14" i="14"/>
  <c r="DD723" i="12"/>
  <c r="DE723" i="12"/>
  <c r="DB723" i="12"/>
  <c r="DD707" i="12"/>
  <c r="DA707" i="12"/>
  <c r="DE707" i="12"/>
  <c r="DC707" i="12"/>
  <c r="DB707" i="12"/>
  <c r="CX749" i="12"/>
  <c r="CY749" i="12" s="1"/>
  <c r="CX751" i="12"/>
  <c r="CY751" i="12" s="1"/>
  <c r="CX748" i="12"/>
  <c r="CY748" i="12" s="1"/>
  <c r="CX753" i="12"/>
  <c r="CY753" i="12" s="1"/>
  <c r="CX742" i="12"/>
  <c r="CY742" i="12" s="1"/>
  <c r="CX750" i="12"/>
  <c r="CY750" i="12" s="1"/>
  <c r="CX747" i="12"/>
  <c r="CY747" i="12" s="1"/>
  <c r="CX754" i="12"/>
  <c r="CY754" i="12" s="1"/>
  <c r="CX746" i="12"/>
  <c r="CY746" i="12" s="1"/>
  <c r="CX752" i="12"/>
  <c r="CY752" i="12" s="1"/>
  <c r="CX756" i="12"/>
  <c r="CY756" i="12" s="1"/>
  <c r="CX745" i="12"/>
  <c r="CY745" i="12" s="1"/>
  <c r="CX744" i="12"/>
  <c r="CY744" i="12" s="1"/>
  <c r="CX741" i="12"/>
  <c r="CY741" i="12" s="1"/>
  <c r="DC741" i="12" s="1"/>
  <c r="CX743" i="12"/>
  <c r="CY743" i="12" s="1"/>
  <c r="CX757" i="12"/>
  <c r="CY757" i="12" s="1"/>
  <c r="CX755" i="12"/>
  <c r="CY755" i="12" s="1"/>
  <c r="DA688" i="12"/>
  <c r="DC688" i="12"/>
  <c r="DB688" i="12"/>
  <c r="DE688" i="12"/>
  <c r="DD688" i="12"/>
  <c r="JH46" i="12"/>
  <c r="JK45" i="12"/>
  <c r="JL45" i="12" s="1"/>
  <c r="EA45" i="12" s="1"/>
  <c r="DC705" i="12"/>
  <c r="IH37" i="12"/>
  <c r="E8" i="14"/>
  <c r="B8" i="14"/>
  <c r="D8" i="14"/>
  <c r="C8" i="14"/>
  <c r="B7" i="14"/>
  <c r="E26" i="14"/>
  <c r="D106" i="14"/>
  <c r="E95" i="14"/>
  <c r="E81" i="14"/>
  <c r="E36" i="14"/>
  <c r="E92" i="14"/>
  <c r="E84" i="14"/>
  <c r="D69" i="14"/>
  <c r="D51" i="14"/>
  <c r="D75" i="14"/>
  <c r="D109" i="14"/>
  <c r="E53" i="14"/>
  <c r="E47" i="14"/>
  <c r="E87" i="14"/>
  <c r="E22" i="14"/>
  <c r="E71" i="14"/>
  <c r="D74" i="14"/>
  <c r="D34" i="14"/>
  <c r="D92" i="14"/>
  <c r="D81" i="14"/>
  <c r="D15" i="14"/>
  <c r="D49" i="14"/>
  <c r="E41" i="14"/>
  <c r="E118" i="14"/>
  <c r="E105" i="14"/>
  <c r="D115" i="14"/>
  <c r="D35" i="14"/>
  <c r="D105" i="14"/>
  <c r="D96" i="14"/>
  <c r="D99" i="14"/>
  <c r="D26" i="14"/>
  <c r="E24" i="14"/>
  <c r="E30" i="14"/>
  <c r="E104" i="14"/>
  <c r="D110" i="14"/>
  <c r="E16" i="14"/>
  <c r="E82" i="14"/>
  <c r="D77" i="14"/>
  <c r="E35" i="14"/>
  <c r="E15" i="14"/>
  <c r="D88" i="14"/>
  <c r="D114" i="14"/>
  <c r="E88" i="14"/>
  <c r="D101" i="14"/>
  <c r="E94" i="14"/>
  <c r="D23" i="14"/>
  <c r="E98" i="14"/>
  <c r="D83" i="14"/>
  <c r="D56" i="14"/>
  <c r="E28" i="14"/>
  <c r="D89" i="14"/>
  <c r="E113" i="14"/>
  <c r="E60" i="14"/>
  <c r="E68" i="14"/>
  <c r="E34" i="14"/>
  <c r="E73" i="14"/>
  <c r="E102" i="14"/>
  <c r="E114" i="14"/>
  <c r="E85" i="14"/>
  <c r="E38" i="14"/>
  <c r="E56" i="14"/>
  <c r="D70" i="14"/>
  <c r="D30" i="14"/>
  <c r="D82" i="14"/>
  <c r="E74" i="14"/>
  <c r="D97" i="14"/>
  <c r="E44" i="14"/>
  <c r="E97" i="14"/>
  <c r="D63" i="14"/>
  <c r="E86" i="14"/>
  <c r="D25" i="14"/>
  <c r="E48" i="14"/>
  <c r="D84" i="14"/>
  <c r="D50" i="14"/>
  <c r="E42" i="14"/>
  <c r="D54" i="14"/>
  <c r="E119" i="14"/>
  <c r="E70" i="14"/>
  <c r="E96" i="14"/>
  <c r="D95" i="14"/>
  <c r="D66" i="14"/>
  <c r="E62" i="14"/>
  <c r="E43" i="14"/>
  <c r="D43" i="14"/>
  <c r="D121" i="14"/>
  <c r="E18" i="14"/>
  <c r="E61" i="14"/>
  <c r="E89" i="14"/>
  <c r="D36" i="14"/>
  <c r="D68" i="14"/>
  <c r="D86" i="14"/>
  <c r="E25" i="14"/>
  <c r="D44" i="14"/>
  <c r="D78" i="14"/>
  <c r="D111" i="14"/>
  <c r="D103" i="14"/>
  <c r="E100" i="14"/>
  <c r="E67" i="14"/>
  <c r="E45" i="14"/>
  <c r="E103" i="14"/>
  <c r="E27" i="14"/>
  <c r="D55" i="14"/>
  <c r="E122" i="14"/>
  <c r="D94" i="14"/>
  <c r="E117" i="14"/>
  <c r="E21" i="14"/>
  <c r="D38" i="14"/>
  <c r="D42" i="14"/>
  <c r="D39" i="14"/>
  <c r="D91" i="14"/>
  <c r="D120" i="14"/>
  <c r="D62" i="14"/>
  <c r="E55" i="14"/>
  <c r="E20" i="14"/>
  <c r="D100" i="14"/>
  <c r="D32" i="14"/>
  <c r="D76" i="14"/>
  <c r="E49" i="14"/>
  <c r="E59" i="14"/>
  <c r="D65" i="14"/>
  <c r="D64" i="14"/>
  <c r="D73" i="14"/>
  <c r="D17" i="14"/>
  <c r="D27" i="14"/>
  <c r="D71" i="14"/>
  <c r="E79" i="14"/>
  <c r="D72" i="14"/>
  <c r="D118" i="14"/>
  <c r="D21" i="14"/>
  <c r="D52" i="14"/>
  <c r="D60" i="14"/>
  <c r="D119" i="14"/>
  <c r="D87" i="14"/>
  <c r="E23" i="14"/>
  <c r="E121" i="14"/>
  <c r="D45" i="14"/>
  <c r="E17" i="14"/>
  <c r="E76" i="14"/>
  <c r="E106" i="14"/>
  <c r="E19" i="14"/>
  <c r="D28" i="14"/>
  <c r="D31" i="14"/>
  <c r="D46" i="14"/>
  <c r="D47" i="14"/>
  <c r="E107" i="14"/>
  <c r="E58" i="14"/>
  <c r="D117" i="14"/>
  <c r="E52" i="14"/>
  <c r="D19" i="14"/>
  <c r="E75" i="14"/>
  <c r="E31" i="14"/>
  <c r="D116" i="14"/>
  <c r="E66" i="14"/>
  <c r="E29" i="14"/>
  <c r="E51" i="14"/>
  <c r="E65" i="14"/>
  <c r="E109" i="14"/>
  <c r="E77" i="14"/>
  <c r="E80" i="14"/>
  <c r="E33" i="14"/>
  <c r="D98" i="14"/>
  <c r="D29" i="14"/>
  <c r="D48" i="14"/>
  <c r="D112" i="14"/>
  <c r="D107" i="14"/>
  <c r="D113" i="14"/>
  <c r="E110" i="14"/>
  <c r="D67" i="14"/>
  <c r="E116" i="14"/>
  <c r="D22" i="14"/>
  <c r="E111" i="14"/>
  <c r="D24" i="14"/>
  <c r="E101" i="14"/>
  <c r="D79" i="14"/>
  <c r="E64" i="14"/>
  <c r="E99" i="14"/>
  <c r="E90" i="14"/>
  <c r="D20" i="14"/>
  <c r="E83" i="14"/>
  <c r="D90" i="14"/>
  <c r="E112" i="14"/>
  <c r="E32" i="14"/>
  <c r="E46" i="14"/>
  <c r="E40" i="14"/>
  <c r="E50" i="14"/>
  <c r="D57" i="14"/>
  <c r="D18" i="14"/>
  <c r="D41" i="14"/>
  <c r="D59" i="14"/>
  <c r="D40" i="14"/>
  <c r="D61" i="14"/>
  <c r="D122" i="14"/>
  <c r="E120" i="14"/>
  <c r="D16" i="14"/>
  <c r="E54" i="14"/>
  <c r="D53" i="14"/>
  <c r="D33" i="14"/>
  <c r="E57" i="14"/>
  <c r="E78" i="14"/>
  <c r="E72" i="14"/>
  <c r="E39" i="14"/>
  <c r="D104" i="14"/>
  <c r="E63" i="14"/>
  <c r="E91" i="14"/>
  <c r="E108" i="14"/>
  <c r="E115" i="14"/>
  <c r="E69" i="14"/>
  <c r="D37" i="14"/>
  <c r="D80" i="14"/>
  <c r="D102" i="14"/>
  <c r="D93" i="14"/>
  <c r="D85" i="14"/>
  <c r="D58" i="14"/>
  <c r="E93" i="14"/>
  <c r="E37" i="14"/>
  <c r="D108" i="14"/>
  <c r="C9" i="14"/>
  <c r="FU151" i="12"/>
  <c r="GR151" i="12" s="1"/>
  <c r="FR152" i="12"/>
  <c r="CY2246" i="12"/>
  <c r="CX2247" i="12"/>
  <c r="CZ2168" i="12"/>
  <c r="CZ620" i="12"/>
  <c r="CZ440" i="12"/>
  <c r="CZ404" i="12"/>
  <c r="CZ188" i="12"/>
  <c r="CZ296" i="12"/>
  <c r="CZ368" i="12"/>
  <c r="CZ494" i="12"/>
  <c r="CZ476" i="12"/>
  <c r="CZ548" i="12"/>
  <c r="CZ708" i="12"/>
  <c r="CZ727" i="12"/>
  <c r="CZ260" i="12"/>
  <c r="CZ152" i="12"/>
  <c r="CZ674" i="12"/>
  <c r="CZ224" i="12"/>
  <c r="CZ691" i="12"/>
  <c r="CZ170" i="12"/>
  <c r="CZ134" i="12"/>
  <c r="CZ386" i="12"/>
  <c r="CZ530" i="12"/>
  <c r="CZ656" i="12"/>
  <c r="CZ44" i="12"/>
  <c r="CZ314" i="12"/>
  <c r="CZ422" i="12"/>
  <c r="CZ584" i="12"/>
  <c r="CZ62" i="12"/>
  <c r="CZ80" i="12"/>
  <c r="CZ512" i="12"/>
  <c r="CZ350" i="12"/>
  <c r="CZ206" i="12"/>
  <c r="CZ8" i="12"/>
  <c r="CZ242" i="12"/>
  <c r="CZ458" i="12"/>
  <c r="CZ26" i="12"/>
  <c r="CZ98" i="12"/>
  <c r="CZ116" i="12"/>
  <c r="CZ602" i="12"/>
  <c r="CZ332" i="12"/>
  <c r="CZ566" i="12"/>
  <c r="CZ743" i="12"/>
  <c r="CZ278" i="12"/>
  <c r="CZ638" i="12"/>
  <c r="DE566" i="12" l="1"/>
  <c r="DA566" i="12"/>
  <c r="DB566" i="12"/>
  <c r="DD566" i="12"/>
  <c r="DC566" i="12"/>
  <c r="DC494" i="12"/>
  <c r="DB494" i="12"/>
  <c r="DA494" i="12"/>
  <c r="DE494" i="12"/>
  <c r="DD494" i="12"/>
  <c r="DB476" i="12"/>
  <c r="DE476" i="12"/>
  <c r="DD476" i="12"/>
  <c r="DC476" i="12"/>
  <c r="DA476" i="12"/>
  <c r="DB656" i="12"/>
  <c r="DD656" i="12"/>
  <c r="DA656" i="12"/>
  <c r="DE656" i="12"/>
  <c r="DC656" i="12"/>
  <c r="DE674" i="12"/>
  <c r="DD674" i="12"/>
  <c r="DA674" i="12"/>
  <c r="DB674" i="12"/>
  <c r="DC674" i="12"/>
  <c r="DE638" i="12"/>
  <c r="DA638" i="12"/>
  <c r="DD638" i="12"/>
  <c r="DB638" i="12"/>
  <c r="DC638" i="12"/>
  <c r="DD512" i="12"/>
  <c r="DA512" i="12"/>
  <c r="DE512" i="12"/>
  <c r="DB512" i="12"/>
  <c r="DC512" i="12"/>
  <c r="DC602" i="12"/>
  <c r="DD602" i="12"/>
  <c r="DA602" i="12"/>
  <c r="DB602" i="12"/>
  <c r="DE602" i="12"/>
  <c r="DD548" i="12"/>
  <c r="DB548" i="12"/>
  <c r="DC548" i="12"/>
  <c r="DA548" i="12"/>
  <c r="DE548" i="12"/>
  <c r="K113" i="12"/>
  <c r="K101" i="12"/>
  <c r="K162" i="12"/>
  <c r="K151" i="12"/>
  <c r="K131" i="12"/>
  <c r="K132" i="12"/>
  <c r="AW159" i="12"/>
  <c r="AW183" i="12"/>
  <c r="AW218" i="12"/>
  <c r="K160" i="12"/>
  <c r="DB152" i="12"/>
  <c r="DA152" i="12"/>
  <c r="DD152" i="12"/>
  <c r="DE152" i="12"/>
  <c r="DC152" i="12"/>
  <c r="DD440" i="12"/>
  <c r="DE440" i="12"/>
  <c r="DC440" i="12"/>
  <c r="DB440" i="12"/>
  <c r="DA440" i="12"/>
  <c r="DE224" i="12"/>
  <c r="DD224" i="12"/>
  <c r="DA224" i="12"/>
  <c r="DB224" i="12"/>
  <c r="DC224" i="12"/>
  <c r="DD80" i="12"/>
  <c r="DA80" i="12"/>
  <c r="DE80" i="12"/>
  <c r="DC80" i="12"/>
  <c r="DB80" i="12"/>
  <c r="DD368" i="12"/>
  <c r="DE368" i="12"/>
  <c r="DA368" i="12"/>
  <c r="DC368" i="12"/>
  <c r="DB368" i="12"/>
  <c r="DB116" i="12"/>
  <c r="DE116" i="12"/>
  <c r="DC116" i="12"/>
  <c r="DA116" i="12"/>
  <c r="DD116" i="12"/>
  <c r="DB350" i="12"/>
  <c r="DC350" i="12"/>
  <c r="DE350" i="12"/>
  <c r="DA350" i="12"/>
  <c r="DD350" i="12"/>
  <c r="DE170" i="12"/>
  <c r="DC170" i="12"/>
  <c r="DB170" i="12"/>
  <c r="DA170" i="12"/>
  <c r="DD170" i="12"/>
  <c r="DC188" i="12"/>
  <c r="DE188" i="12"/>
  <c r="DD188" i="12"/>
  <c r="DA188" i="12"/>
  <c r="DB188" i="12"/>
  <c r="DB206" i="12"/>
  <c r="DD206" i="12"/>
  <c r="DA206" i="12"/>
  <c r="DC206" i="12"/>
  <c r="DE206" i="12"/>
  <c r="DC134" i="12"/>
  <c r="DB134" i="12"/>
  <c r="DE134" i="12"/>
  <c r="DA134" i="12"/>
  <c r="DD134" i="12"/>
  <c r="DD278" i="12"/>
  <c r="DC278" i="12"/>
  <c r="DB278" i="12"/>
  <c r="DA278" i="12"/>
  <c r="DE278" i="12"/>
  <c r="DD2168" i="12"/>
  <c r="DB2168" i="12"/>
  <c r="DF2167" i="12" s="1"/>
  <c r="DA2168" i="12"/>
  <c r="DC2168" i="12"/>
  <c r="DE2168" i="12"/>
  <c r="DC296" i="12"/>
  <c r="DA296" i="12"/>
  <c r="DB296" i="12"/>
  <c r="DD296" i="12"/>
  <c r="DE296" i="12"/>
  <c r="DA620" i="12"/>
  <c r="DB620" i="12"/>
  <c r="DE620" i="12"/>
  <c r="DC620" i="12"/>
  <c r="DD620" i="12"/>
  <c r="DA98" i="12"/>
  <c r="DB98" i="12"/>
  <c r="DC98" i="12"/>
  <c r="DE98" i="12"/>
  <c r="DD98" i="12"/>
  <c r="DC386" i="12"/>
  <c r="DA386" i="12"/>
  <c r="DB386" i="12"/>
  <c r="DE386" i="12"/>
  <c r="DD386" i="12"/>
  <c r="DB422" i="12"/>
  <c r="DD422" i="12"/>
  <c r="DE422" i="12"/>
  <c r="DC422" i="12"/>
  <c r="DA422" i="12"/>
  <c r="DB26" i="12"/>
  <c r="DD26" i="12"/>
  <c r="DC26" i="12"/>
  <c r="DE26" i="12"/>
  <c r="DA26" i="12"/>
  <c r="DB314" i="12"/>
  <c r="DD314" i="12"/>
  <c r="DC314" i="12"/>
  <c r="DA314" i="12"/>
  <c r="DE314" i="12"/>
  <c r="DC44" i="12"/>
  <c r="DA44" i="12"/>
  <c r="DD44" i="12"/>
  <c r="DB44" i="12"/>
  <c r="DE44" i="12"/>
  <c r="DD62" i="12"/>
  <c r="DA62" i="12"/>
  <c r="DE62" i="12"/>
  <c r="DC62" i="12"/>
  <c r="DB62" i="12"/>
  <c r="DB332" i="12"/>
  <c r="DC332" i="12"/>
  <c r="DA332" i="12"/>
  <c r="DE332" i="12"/>
  <c r="DD332" i="12"/>
  <c r="DE458" i="12"/>
  <c r="DB458" i="12"/>
  <c r="DA458" i="12"/>
  <c r="DD458" i="12"/>
  <c r="DC458" i="12"/>
  <c r="DA242" i="12"/>
  <c r="DB242" i="12"/>
  <c r="DC242" i="12"/>
  <c r="DE242" i="12"/>
  <c r="DD242" i="12"/>
  <c r="DC584" i="12"/>
  <c r="DA584" i="12"/>
  <c r="DE584" i="12"/>
  <c r="DB584" i="12"/>
  <c r="DD584" i="12"/>
  <c r="DC260" i="12"/>
  <c r="DD260" i="12"/>
  <c r="DE260" i="12"/>
  <c r="DA260" i="12"/>
  <c r="DB260" i="12"/>
  <c r="DA8" i="12"/>
  <c r="DE8" i="12"/>
  <c r="DD8" i="12"/>
  <c r="DB8" i="12"/>
  <c r="DC8" i="12"/>
  <c r="DC530" i="12"/>
  <c r="DA530" i="12"/>
  <c r="DE530" i="12"/>
  <c r="DD530" i="12"/>
  <c r="DB530" i="12"/>
  <c r="DA404" i="12"/>
  <c r="DE404" i="12"/>
  <c r="DC404" i="12"/>
  <c r="DD404" i="12"/>
  <c r="DB404" i="12"/>
  <c r="DF2166" i="12"/>
  <c r="AW196" i="12"/>
  <c r="AW117" i="12"/>
  <c r="AT203" i="12"/>
  <c r="AT120" i="12"/>
  <c r="AT198" i="12"/>
  <c r="AT188" i="12"/>
  <c r="AW206" i="12"/>
  <c r="AT99" i="12"/>
  <c r="AT126" i="12"/>
  <c r="AW165" i="12"/>
  <c r="AT95" i="12"/>
  <c r="AW188" i="12"/>
  <c r="AW127" i="12"/>
  <c r="AT199" i="12"/>
  <c r="AT219" i="12"/>
  <c r="AW99" i="12"/>
  <c r="AT84" i="12"/>
  <c r="AW201" i="12"/>
  <c r="AT89" i="12"/>
  <c r="AT124" i="12"/>
  <c r="AW102" i="12"/>
  <c r="AW138" i="12"/>
  <c r="AW205" i="12"/>
  <c r="HT57" i="12"/>
  <c r="HO58" i="12"/>
  <c r="AW101" i="12"/>
  <c r="AW178" i="12"/>
  <c r="AW140" i="12"/>
  <c r="AT179" i="12"/>
  <c r="AT149" i="12"/>
  <c r="AW150" i="12"/>
  <c r="K137" i="12"/>
  <c r="AT185" i="12"/>
  <c r="O38" i="12"/>
  <c r="K76" i="12"/>
  <c r="K74" i="12"/>
  <c r="K75" i="12"/>
  <c r="K22" i="12"/>
  <c r="AW65" i="12"/>
  <c r="AW66" i="12"/>
  <c r="AT67" i="12"/>
  <c r="AW67" i="12"/>
  <c r="AT66" i="12"/>
  <c r="AT65" i="12"/>
  <c r="AW68" i="12"/>
  <c r="AT68" i="12"/>
  <c r="AT69" i="12"/>
  <c r="AW69" i="12"/>
  <c r="O43" i="12" s="1"/>
  <c r="AW72" i="12"/>
  <c r="AT71" i="12"/>
  <c r="AW70" i="12"/>
  <c r="AT70" i="12"/>
  <c r="AW71" i="12"/>
  <c r="AW73" i="12"/>
  <c r="AT73" i="12"/>
  <c r="AW74" i="12"/>
  <c r="AT72" i="12"/>
  <c r="AT74" i="12"/>
  <c r="AT75" i="12"/>
  <c r="AW75" i="12"/>
  <c r="AW76" i="12"/>
  <c r="AT76" i="12"/>
  <c r="AW77" i="12"/>
  <c r="AT77" i="12"/>
  <c r="AT78" i="12"/>
  <c r="AW80" i="12"/>
  <c r="AW79" i="12"/>
  <c r="AW78" i="12"/>
  <c r="AT80" i="12"/>
  <c r="AT79" i="12"/>
  <c r="AT81" i="12"/>
  <c r="AW86" i="12"/>
  <c r="AT86" i="12"/>
  <c r="AT147" i="12"/>
  <c r="AT94" i="12"/>
  <c r="K217" i="12"/>
  <c r="K180" i="12"/>
  <c r="K138" i="12"/>
  <c r="K191" i="12"/>
  <c r="K136" i="12"/>
  <c r="K142" i="12"/>
  <c r="K199" i="12"/>
  <c r="K178" i="12"/>
  <c r="AT91" i="12"/>
  <c r="AW134" i="12"/>
  <c r="AW147" i="12"/>
  <c r="AW170" i="12"/>
  <c r="AT144" i="12"/>
  <c r="AT201" i="12"/>
  <c r="AW84" i="12"/>
  <c r="AW156" i="12"/>
  <c r="AW87" i="12"/>
  <c r="K102" i="12"/>
  <c r="K148" i="12"/>
  <c r="K201" i="12"/>
  <c r="K211" i="12"/>
  <c r="K97" i="12"/>
  <c r="K134" i="12"/>
  <c r="K105" i="12"/>
  <c r="K139" i="12"/>
  <c r="AT106" i="12"/>
  <c r="AW179" i="12"/>
  <c r="AT213" i="12"/>
  <c r="AT138" i="12"/>
  <c r="AW174" i="12"/>
  <c r="AW154" i="12"/>
  <c r="AT211" i="12"/>
  <c r="AW110" i="12"/>
  <c r="AW187" i="12"/>
  <c r="K166" i="12"/>
  <c r="K147" i="12"/>
  <c r="K83" i="12"/>
  <c r="K218" i="12"/>
  <c r="K189" i="12"/>
  <c r="K193" i="12"/>
  <c r="K89" i="12"/>
  <c r="K220" i="12"/>
  <c r="AT170" i="12"/>
  <c r="AT154" i="12"/>
  <c r="AW113" i="12"/>
  <c r="AW200" i="12"/>
  <c r="AW124" i="12"/>
  <c r="AW186" i="12"/>
  <c r="O33" i="12" s="1"/>
  <c r="AT194" i="12"/>
  <c r="AW139" i="12"/>
  <c r="AW210" i="12"/>
  <c r="AT93" i="12"/>
  <c r="AT205" i="12"/>
  <c r="AW144" i="12"/>
  <c r="AT111" i="12"/>
  <c r="AT151" i="12"/>
  <c r="AW98" i="12"/>
  <c r="AW192" i="12"/>
  <c r="AT137" i="12"/>
  <c r="AT146" i="12"/>
  <c r="AW148" i="12"/>
  <c r="AT158" i="12"/>
  <c r="K114" i="12"/>
  <c r="K205" i="12"/>
  <c r="K174" i="12"/>
  <c r="K92" i="12"/>
  <c r="K192" i="12"/>
  <c r="K112" i="12"/>
  <c r="K207" i="12"/>
  <c r="K118" i="12"/>
  <c r="AT217" i="12"/>
  <c r="AW142" i="12"/>
  <c r="AT133" i="12"/>
  <c r="AW152" i="12"/>
  <c r="AT153" i="12"/>
  <c r="AW91" i="12"/>
  <c r="AW105" i="12"/>
  <c r="AT173" i="12"/>
  <c r="AT184" i="12"/>
  <c r="AW128" i="12"/>
  <c r="AW199" i="12"/>
  <c r="AT90" i="12"/>
  <c r="AW197" i="12"/>
  <c r="AT161" i="12"/>
  <c r="AW100" i="12"/>
  <c r="AT115" i="12"/>
  <c r="AT118" i="12"/>
  <c r="AT141" i="12"/>
  <c r="AT82" i="12"/>
  <c r="AW132" i="12"/>
  <c r="AW125" i="12"/>
  <c r="AW211" i="12"/>
  <c r="AT103" i="12"/>
  <c r="K87" i="12"/>
  <c r="K85" i="12"/>
  <c r="K91" i="12"/>
  <c r="K197" i="12"/>
  <c r="K152" i="12"/>
  <c r="K78" i="12"/>
  <c r="K79" i="12"/>
  <c r="K195" i="12"/>
  <c r="AW115" i="12"/>
  <c r="AW219" i="12"/>
  <c r="AT175" i="12"/>
  <c r="AT160" i="12"/>
  <c r="AW121" i="12"/>
  <c r="AT145" i="12"/>
  <c r="AT163" i="12"/>
  <c r="AT186" i="12"/>
  <c r="K183" i="12"/>
  <c r="K187" i="12"/>
  <c r="K110" i="12"/>
  <c r="K149" i="12"/>
  <c r="K122" i="12"/>
  <c r="K130" i="12"/>
  <c r="K200" i="12"/>
  <c r="K153" i="12"/>
  <c r="AW185" i="12"/>
  <c r="AW143" i="12"/>
  <c r="AT190" i="12"/>
  <c r="AW111" i="12"/>
  <c r="AW216" i="12"/>
  <c r="AT136" i="12"/>
  <c r="AW164" i="12"/>
  <c r="AW89" i="12"/>
  <c r="AW153" i="12"/>
  <c r="AW145" i="12"/>
  <c r="K145" i="12"/>
  <c r="K158" i="12"/>
  <c r="K209" i="12"/>
  <c r="K198" i="12"/>
  <c r="K141" i="12"/>
  <c r="K159" i="12"/>
  <c r="K188" i="12"/>
  <c r="AW198" i="12"/>
  <c r="AW136" i="12"/>
  <c r="AT159" i="12"/>
  <c r="AT98" i="12"/>
  <c r="AW93" i="12"/>
  <c r="AT87" i="12"/>
  <c r="AT121" i="12"/>
  <c r="AW137" i="12"/>
  <c r="AT97" i="12"/>
  <c r="AT127" i="12"/>
  <c r="AT122" i="12"/>
  <c r="AW103" i="12"/>
  <c r="AT171" i="12"/>
  <c r="AT152" i="12"/>
  <c r="AT164" i="12"/>
  <c r="AW162" i="12"/>
  <c r="AT108" i="12"/>
  <c r="AW212" i="12"/>
  <c r="AW157" i="12"/>
  <c r="AT102" i="12"/>
  <c r="K184" i="12"/>
  <c r="K127" i="12"/>
  <c r="K104" i="12"/>
  <c r="K150" i="12"/>
  <c r="K203" i="12"/>
  <c r="K163" i="12"/>
  <c r="K212" i="12"/>
  <c r="K202" i="12"/>
  <c r="AT110" i="12"/>
  <c r="AT143" i="12"/>
  <c r="AW129" i="12"/>
  <c r="AT182" i="12"/>
  <c r="AT92" i="12"/>
  <c r="AW173" i="12"/>
  <c r="AT209" i="12"/>
  <c r="AT181" i="12"/>
  <c r="AT183" i="12"/>
  <c r="AT135" i="12"/>
  <c r="AW204" i="12"/>
  <c r="AT191" i="12"/>
  <c r="AT189" i="12"/>
  <c r="AW109" i="12"/>
  <c r="AW195" i="12"/>
  <c r="AT116" i="12"/>
  <c r="AT119" i="12"/>
  <c r="AW172" i="12"/>
  <c r="AW82" i="12"/>
  <c r="AW85" i="12"/>
  <c r="AW131" i="12"/>
  <c r="AT130" i="12"/>
  <c r="K86" i="12"/>
  <c r="K155" i="12"/>
  <c r="K208" i="12"/>
  <c r="K167" i="12"/>
  <c r="K103" i="12"/>
  <c r="K80" i="12"/>
  <c r="K170" i="12"/>
  <c r="K204" i="12"/>
  <c r="AT165" i="12"/>
  <c r="AW215" i="12"/>
  <c r="AW161" i="12"/>
  <c r="AT193" i="12"/>
  <c r="AW151" i="12"/>
  <c r="AW135" i="12"/>
  <c r="AT196" i="12"/>
  <c r="AT131" i="12"/>
  <c r="AW208" i="12"/>
  <c r="K194" i="12"/>
  <c r="K111" i="12"/>
  <c r="K210" i="12"/>
  <c r="K185" i="12"/>
  <c r="K164" i="12"/>
  <c r="K115" i="12"/>
  <c r="K133" i="12"/>
  <c r="AW141" i="12"/>
  <c r="AW106" i="12"/>
  <c r="AT129" i="12"/>
  <c r="AW158" i="12"/>
  <c r="AW114" i="12"/>
  <c r="AT134" i="12"/>
  <c r="AW184" i="12"/>
  <c r="AT187" i="12"/>
  <c r="AW160" i="12"/>
  <c r="AT218" i="12"/>
  <c r="K125" i="12"/>
  <c r="K181" i="12"/>
  <c r="K156" i="12"/>
  <c r="K175" i="12"/>
  <c r="K144" i="12"/>
  <c r="K121" i="12"/>
  <c r="K108" i="12"/>
  <c r="AT100" i="12"/>
  <c r="AW202" i="12"/>
  <c r="AW149" i="12"/>
  <c r="AT207" i="12"/>
  <c r="AT176" i="12"/>
  <c r="AW207" i="12"/>
  <c r="AT180" i="12"/>
  <c r="AW214" i="12"/>
  <c r="AW104" i="12"/>
  <c r="AW88" i="12"/>
  <c r="AT208" i="12"/>
  <c r="AT206" i="12"/>
  <c r="AT132" i="12"/>
  <c r="AW171" i="12"/>
  <c r="AT166" i="12"/>
  <c r="AT101" i="12"/>
  <c r="AT197" i="12"/>
  <c r="AT178" i="12"/>
  <c r="AT112" i="12"/>
  <c r="AT128" i="12"/>
  <c r="K100" i="12"/>
  <c r="K84" i="12"/>
  <c r="K219" i="12"/>
  <c r="K190" i="12"/>
  <c r="K176" i="12"/>
  <c r="K215" i="12"/>
  <c r="K182" i="12"/>
  <c r="K165" i="12"/>
  <c r="AW92" i="12"/>
  <c r="AT212" i="12"/>
  <c r="AT157" i="12"/>
  <c r="AW133" i="12"/>
  <c r="AW168" i="12"/>
  <c r="AT104" i="12"/>
  <c r="AW220" i="12"/>
  <c r="AW209" i="12"/>
  <c r="AT117" i="12"/>
  <c r="AT107" i="12"/>
  <c r="AW119" i="12"/>
  <c r="AW163" i="12"/>
  <c r="AW97" i="12"/>
  <c r="AT162" i="12"/>
  <c r="AT88" i="12"/>
  <c r="AW120" i="12"/>
  <c r="AW95" i="12"/>
  <c r="AW123" i="12"/>
  <c r="AW81" i="12"/>
  <c r="AW94" i="12"/>
  <c r="AW180" i="12"/>
  <c r="K177" i="12"/>
  <c r="K213" i="12"/>
  <c r="K126" i="12"/>
  <c r="K172" i="12"/>
  <c r="K81" i="12"/>
  <c r="K129" i="12"/>
  <c r="K143" i="12"/>
  <c r="K186" i="12"/>
  <c r="AT148" i="12"/>
  <c r="AT174" i="12"/>
  <c r="AT210" i="12"/>
  <c r="AT214" i="12"/>
  <c r="AT113" i="12"/>
  <c r="AW190" i="12"/>
  <c r="AT85" i="12"/>
  <c r="AW122" i="12"/>
  <c r="AW155" i="12"/>
  <c r="K179" i="12"/>
  <c r="K95" i="12"/>
  <c r="K171" i="12"/>
  <c r="K169" i="12"/>
  <c r="K157" i="12"/>
  <c r="K109" i="12"/>
  <c r="K88" i="12"/>
  <c r="K135" i="12"/>
  <c r="AW194" i="12"/>
  <c r="AW167" i="12"/>
  <c r="AT204" i="12"/>
  <c r="AT142" i="12"/>
  <c r="AW166" i="12"/>
  <c r="AW130" i="12"/>
  <c r="AT114" i="12"/>
  <c r="AT195" i="12"/>
  <c r="AW107" i="12"/>
  <c r="K154" i="12"/>
  <c r="K106" i="12"/>
  <c r="K161" i="12"/>
  <c r="K124" i="12"/>
  <c r="K168" i="12"/>
  <c r="K107" i="12"/>
  <c r="K123" i="12"/>
  <c r="AT96" i="12"/>
  <c r="AW146" i="12"/>
  <c r="AW169" i="12"/>
  <c r="AT202" i="12"/>
  <c r="AT125" i="12"/>
  <c r="AT140" i="12"/>
  <c r="AT192" i="12"/>
  <c r="AT215" i="12"/>
  <c r="AT156" i="12"/>
  <c r="AW189" i="12"/>
  <c r="AW217" i="12"/>
  <c r="AT123" i="12"/>
  <c r="AT177" i="12"/>
  <c r="AT167" i="12"/>
  <c r="AT220" i="12"/>
  <c r="AW182" i="12"/>
  <c r="AW126" i="12"/>
  <c r="AW116" i="12"/>
  <c r="AT169" i="12"/>
  <c r="AT200" i="12"/>
  <c r="K82" i="12"/>
  <c r="K77" i="12"/>
  <c r="K146" i="12"/>
  <c r="K196" i="12"/>
  <c r="K173" i="12"/>
  <c r="K117" i="12"/>
  <c r="K120" i="12"/>
  <c r="K94" i="12"/>
  <c r="AW96" i="12"/>
  <c r="AW108" i="12"/>
  <c r="AW193" i="12"/>
  <c r="AW181" i="12"/>
  <c r="AT216" i="12"/>
  <c r="AT168" i="12"/>
  <c r="AW118" i="12"/>
  <c r="AW90" i="12"/>
  <c r="AT105" i="12"/>
  <c r="AT139" i="12"/>
  <c r="AT109" i="12"/>
  <c r="AW203" i="12"/>
  <c r="AT172" i="12"/>
  <c r="AW177" i="12"/>
  <c r="AW112" i="12"/>
  <c r="AW191" i="12"/>
  <c r="AW213" i="12"/>
  <c r="AT150" i="12"/>
  <c r="DD727" i="12"/>
  <c r="DA727" i="12"/>
  <c r="DC727" i="12"/>
  <c r="DE727" i="12"/>
  <c r="DB727" i="12"/>
  <c r="DD691" i="12"/>
  <c r="DE691" i="12"/>
  <c r="DA691" i="12"/>
  <c r="DC691" i="12"/>
  <c r="DB691" i="12"/>
  <c r="DB708" i="12"/>
  <c r="DE708" i="12"/>
  <c r="DD708" i="12"/>
  <c r="DC708" i="12"/>
  <c r="DA708" i="12"/>
  <c r="DA724" i="12"/>
  <c r="DE724" i="12"/>
  <c r="DC724" i="12"/>
  <c r="DB724" i="12"/>
  <c r="DD724" i="12"/>
  <c r="DB743" i="12"/>
  <c r="DE743" i="12"/>
  <c r="DC743" i="12"/>
  <c r="DA743" i="12"/>
  <c r="DD743" i="12"/>
  <c r="DE705" i="12"/>
  <c r="DD705" i="12"/>
  <c r="JK46" i="12"/>
  <c r="JL46" i="12" s="1"/>
  <c r="EA46" i="12" s="1"/>
  <c r="DB705" i="12"/>
  <c r="JH47" i="12"/>
  <c r="CX759" i="12"/>
  <c r="CY759" i="12" s="1"/>
  <c r="CX767" i="12"/>
  <c r="CY767" i="12" s="1"/>
  <c r="CX764" i="12"/>
  <c r="CY764" i="12" s="1"/>
  <c r="CX770" i="12"/>
  <c r="CY770" i="12" s="1"/>
  <c r="CX762" i="12"/>
  <c r="CY762" i="12" s="1"/>
  <c r="CX775" i="12"/>
  <c r="CY775" i="12" s="1"/>
  <c r="CX760" i="12"/>
  <c r="CY760" i="12" s="1"/>
  <c r="CX768" i="12"/>
  <c r="CY768" i="12" s="1"/>
  <c r="CX769" i="12"/>
  <c r="CY769" i="12" s="1"/>
  <c r="CX774" i="12"/>
  <c r="CY774" i="12" s="1"/>
  <c r="CX765" i="12"/>
  <c r="CY765" i="12" s="1"/>
  <c r="CX766" i="12"/>
  <c r="CY766" i="12" s="1"/>
  <c r="CX771" i="12"/>
  <c r="CY771" i="12" s="1"/>
  <c r="CX772" i="12"/>
  <c r="CY772" i="12" s="1"/>
  <c r="CX763" i="12"/>
  <c r="CY763" i="12" s="1"/>
  <c r="CX773" i="12"/>
  <c r="CY773" i="12" s="1"/>
  <c r="CX761" i="12"/>
  <c r="CY761" i="12" s="1"/>
  <c r="DB741" i="12"/>
  <c r="DE741" i="12"/>
  <c r="DD741" i="12"/>
  <c r="IH38" i="12"/>
  <c r="FU152" i="12"/>
  <c r="GR152" i="12" s="1"/>
  <c r="FR153" i="12"/>
  <c r="CX2248" i="12"/>
  <c r="CY2247" i="12"/>
  <c r="CZ761" i="12"/>
  <c r="CZ45" i="12"/>
  <c r="CZ171" i="12"/>
  <c r="CZ189" i="12"/>
  <c r="CZ27" i="12"/>
  <c r="CZ135" i="12"/>
  <c r="CZ549" i="12"/>
  <c r="CZ603" i="12"/>
  <c r="CZ621" i="12"/>
  <c r="CZ261" i="12"/>
  <c r="CZ495" i="12"/>
  <c r="CZ423" i="12"/>
  <c r="CZ657" i="12"/>
  <c r="CZ63" i="12"/>
  <c r="CZ333" i="12"/>
  <c r="CZ117" i="12"/>
  <c r="CZ279" i="12"/>
  <c r="CZ225" i="12"/>
  <c r="CZ477" i="12"/>
  <c r="CZ728" i="12"/>
  <c r="CZ675" i="12"/>
  <c r="CZ441" i="12"/>
  <c r="CZ585" i="12"/>
  <c r="CZ99" i="12"/>
  <c r="CZ513" i="12"/>
  <c r="CZ709" i="12"/>
  <c r="CZ243" i="12"/>
  <c r="CZ639" i="12"/>
  <c r="CZ387" i="12"/>
  <c r="CZ692" i="12"/>
  <c r="CZ567" i="12"/>
  <c r="CZ9" i="12"/>
  <c r="CZ297" i="12"/>
  <c r="CZ351" i="12"/>
  <c r="CZ315" i="12"/>
  <c r="CZ531" i="12"/>
  <c r="CZ369" i="12"/>
  <c r="CZ207" i="12"/>
  <c r="CZ153" i="12"/>
  <c r="CZ459" i="12"/>
  <c r="CZ81" i="12"/>
  <c r="CZ2169" i="12"/>
  <c r="CZ744" i="12"/>
  <c r="CZ405" i="12"/>
  <c r="DB657" i="12" l="1"/>
  <c r="DE657" i="12"/>
  <c r="DD657" i="12"/>
  <c r="DC657" i="12"/>
  <c r="DA657" i="12"/>
  <c r="DA567" i="12"/>
  <c r="DB567" i="12"/>
  <c r="DE567" i="12"/>
  <c r="DC567" i="12"/>
  <c r="DD567" i="12"/>
  <c r="DA603" i="12"/>
  <c r="DE603" i="12"/>
  <c r="DD603" i="12"/>
  <c r="DB603" i="12"/>
  <c r="DC603" i="12"/>
  <c r="DC639" i="12"/>
  <c r="DA639" i="12"/>
  <c r="DB639" i="12"/>
  <c r="DE639" i="12"/>
  <c r="DD639" i="12"/>
  <c r="DB495" i="12"/>
  <c r="DD495" i="12"/>
  <c r="DA495" i="12"/>
  <c r="DC495" i="12"/>
  <c r="DE495" i="12"/>
  <c r="DD477" i="12"/>
  <c r="DA477" i="12"/>
  <c r="DE477" i="12"/>
  <c r="DC477" i="12"/>
  <c r="DB477" i="12"/>
  <c r="DB513" i="12"/>
  <c r="DC513" i="12"/>
  <c r="DE513" i="12"/>
  <c r="DA513" i="12"/>
  <c r="DD513" i="12"/>
  <c r="DD675" i="12"/>
  <c r="DC675" i="12"/>
  <c r="DB675" i="12"/>
  <c r="DA675" i="12"/>
  <c r="DE675" i="12"/>
  <c r="DC549" i="12"/>
  <c r="DA549" i="12"/>
  <c r="DD549" i="12"/>
  <c r="DB549" i="12"/>
  <c r="DE549" i="12"/>
  <c r="DA621" i="12"/>
  <c r="DD621" i="12"/>
  <c r="DC621" i="12"/>
  <c r="DE621" i="12"/>
  <c r="DB621" i="12"/>
  <c r="DA405" i="12"/>
  <c r="DC405" i="12"/>
  <c r="DD405" i="12"/>
  <c r="DB405" i="12"/>
  <c r="DE405" i="12"/>
  <c r="DA9" i="12"/>
  <c r="DE9" i="12"/>
  <c r="DB9" i="12"/>
  <c r="DD9" i="12"/>
  <c r="DC9" i="12"/>
  <c r="DE585" i="12"/>
  <c r="DD585" i="12"/>
  <c r="DA585" i="12"/>
  <c r="DC585" i="12"/>
  <c r="DB585" i="12"/>
  <c r="DC459" i="12"/>
  <c r="DB459" i="12"/>
  <c r="DA459" i="12"/>
  <c r="DD459" i="12"/>
  <c r="DE459" i="12"/>
  <c r="DD63" i="12"/>
  <c r="DA63" i="12"/>
  <c r="DE63" i="12"/>
  <c r="DC63" i="12"/>
  <c r="DB63" i="12"/>
  <c r="DB315" i="12"/>
  <c r="DC315" i="12"/>
  <c r="DE315" i="12"/>
  <c r="DA315" i="12"/>
  <c r="DD315" i="12"/>
  <c r="DA423" i="12"/>
  <c r="DE423" i="12"/>
  <c r="DB423" i="12"/>
  <c r="DD423" i="12"/>
  <c r="DC423" i="12"/>
  <c r="DE99" i="12"/>
  <c r="DB99" i="12"/>
  <c r="DC99" i="12"/>
  <c r="DA99" i="12"/>
  <c r="DD99" i="12"/>
  <c r="DC297" i="12"/>
  <c r="DD297" i="12"/>
  <c r="DB297" i="12"/>
  <c r="DE297" i="12"/>
  <c r="DA297" i="12"/>
  <c r="DD279" i="12"/>
  <c r="DB279" i="12"/>
  <c r="DA279" i="12"/>
  <c r="DC279" i="12"/>
  <c r="DE279" i="12"/>
  <c r="DB207" i="12"/>
  <c r="DE207" i="12"/>
  <c r="DD207" i="12"/>
  <c r="DC207" i="12"/>
  <c r="DA207" i="12"/>
  <c r="DA189" i="12"/>
  <c r="DB189" i="12"/>
  <c r="DC189" i="12"/>
  <c r="DE189" i="12"/>
  <c r="DD189" i="12"/>
  <c r="DA351" i="12"/>
  <c r="DE351" i="12"/>
  <c r="DC351" i="12"/>
  <c r="DB351" i="12"/>
  <c r="DD351" i="12"/>
  <c r="DE369" i="12"/>
  <c r="DB369" i="12"/>
  <c r="DD369" i="12"/>
  <c r="DA369" i="12"/>
  <c r="DC369" i="12"/>
  <c r="DC225" i="12"/>
  <c r="DE225" i="12"/>
  <c r="DD225" i="12"/>
  <c r="DA225" i="12"/>
  <c r="DB225" i="12"/>
  <c r="DE441" i="12"/>
  <c r="DC441" i="12"/>
  <c r="DD441" i="12"/>
  <c r="DA441" i="12"/>
  <c r="DB441" i="12"/>
  <c r="DE153" i="12"/>
  <c r="DB153" i="12"/>
  <c r="DC153" i="12"/>
  <c r="DA153" i="12"/>
  <c r="DD153" i="12"/>
  <c r="DC531" i="12"/>
  <c r="DA531" i="12"/>
  <c r="DD531" i="12"/>
  <c r="DB531" i="12"/>
  <c r="DE531" i="12"/>
  <c r="DE261" i="12"/>
  <c r="DA261" i="12"/>
  <c r="DD261" i="12"/>
  <c r="DC261" i="12"/>
  <c r="DB261" i="12"/>
  <c r="DA243" i="12"/>
  <c r="DB243" i="12"/>
  <c r="DD243" i="12"/>
  <c r="DE243" i="12"/>
  <c r="DC243" i="12"/>
  <c r="DA333" i="12"/>
  <c r="DE333" i="12"/>
  <c r="DB333" i="12"/>
  <c r="DD333" i="12"/>
  <c r="DC333" i="12"/>
  <c r="DA45" i="12"/>
  <c r="DD45" i="12"/>
  <c r="DC45" i="12"/>
  <c r="DB45" i="12"/>
  <c r="DE45" i="12"/>
  <c r="DD27" i="12"/>
  <c r="DC27" i="12"/>
  <c r="DB27" i="12"/>
  <c r="DA27" i="12"/>
  <c r="DE27" i="12"/>
  <c r="DA387" i="12"/>
  <c r="DC387" i="12"/>
  <c r="DB387" i="12"/>
  <c r="DD387" i="12"/>
  <c r="DE387" i="12"/>
  <c r="DC2169" i="12"/>
  <c r="DB2169" i="12"/>
  <c r="DE2169" i="12"/>
  <c r="DA2169" i="12"/>
  <c r="DD2169" i="12"/>
  <c r="DE135" i="12"/>
  <c r="DB135" i="12"/>
  <c r="DA135" i="12"/>
  <c r="DC135" i="12"/>
  <c r="DD135" i="12"/>
  <c r="DE171" i="12"/>
  <c r="DC171" i="12"/>
  <c r="DA171" i="12"/>
  <c r="DB171" i="12"/>
  <c r="DD171" i="12"/>
  <c r="DA117" i="12"/>
  <c r="DB117" i="12"/>
  <c r="DE117" i="12"/>
  <c r="DC117" i="12"/>
  <c r="DD117" i="12"/>
  <c r="DA81" i="12"/>
  <c r="DE81" i="12"/>
  <c r="DC81" i="12"/>
  <c r="DB81" i="12"/>
  <c r="DD81" i="12"/>
  <c r="HT58" i="12"/>
  <c r="HO59" i="12"/>
  <c r="O39" i="12"/>
  <c r="O40" i="12"/>
  <c r="O48" i="12"/>
  <c r="O46" i="12"/>
  <c r="O51" i="12"/>
  <c r="P51" i="12" s="1"/>
  <c r="O47" i="12"/>
  <c r="O50" i="12"/>
  <c r="P50" i="12" s="1"/>
  <c r="O55" i="12"/>
  <c r="P55" i="12" s="1"/>
  <c r="O52" i="12"/>
  <c r="P52" i="12" s="1"/>
  <c r="O56" i="12"/>
  <c r="P56" i="12" s="1"/>
  <c r="O58" i="12"/>
  <c r="P58" i="12" s="1"/>
  <c r="O53" i="12"/>
  <c r="P53" i="12" s="1"/>
  <c r="O57" i="12"/>
  <c r="P57" i="12" s="1"/>
  <c r="O42" i="12"/>
  <c r="O59" i="12"/>
  <c r="P59" i="12" s="1"/>
  <c r="O60" i="12"/>
  <c r="P60" i="12" s="1"/>
  <c r="O54" i="12"/>
  <c r="P54" i="12" s="1"/>
  <c r="O5" i="12"/>
  <c r="P5" i="12" s="1"/>
  <c r="O6" i="12"/>
  <c r="DB692" i="12"/>
  <c r="DA692" i="12"/>
  <c r="DE692" i="12"/>
  <c r="DD692" i="12"/>
  <c r="DC692" i="12"/>
  <c r="DC728" i="12"/>
  <c r="DA728" i="12"/>
  <c r="DB728" i="12"/>
  <c r="DE728" i="12"/>
  <c r="DD728" i="12"/>
  <c r="DA744" i="12"/>
  <c r="DB744" i="12"/>
  <c r="DC744" i="12"/>
  <c r="DE744" i="12"/>
  <c r="DD744" i="12"/>
  <c r="DA709" i="12"/>
  <c r="DC709" i="12"/>
  <c r="DB709" i="12"/>
  <c r="DD709" i="12"/>
  <c r="DE709" i="12"/>
  <c r="DC761" i="12"/>
  <c r="DE761" i="12"/>
  <c r="DD761" i="12"/>
  <c r="DB761" i="12"/>
  <c r="DA761" i="12"/>
  <c r="JK47" i="12"/>
  <c r="JL47" i="12" s="1"/>
  <c r="EA47" i="12" s="1"/>
  <c r="DC759" i="12"/>
  <c r="DB759" i="12" s="1"/>
  <c r="JH48" i="12"/>
  <c r="JH49" i="12" s="1"/>
  <c r="JK49" i="12" s="1"/>
  <c r="JL49" i="12" s="1"/>
  <c r="EA49" i="12" s="1"/>
  <c r="CX833" i="12" s="1"/>
  <c r="CY833" i="12" s="1"/>
  <c r="DA742" i="12"/>
  <c r="DB742" i="12"/>
  <c r="DE742" i="12"/>
  <c r="DC742" i="12"/>
  <c r="DD742" i="12"/>
  <c r="CX783" i="12"/>
  <c r="CY783" i="12" s="1"/>
  <c r="CX784" i="12"/>
  <c r="CY784" i="12" s="1"/>
  <c r="CX791" i="12"/>
  <c r="CY791" i="12" s="1"/>
  <c r="CX790" i="12"/>
  <c r="CY790" i="12" s="1"/>
  <c r="CX785" i="12"/>
  <c r="CY785" i="12" s="1"/>
  <c r="CX787" i="12"/>
  <c r="CY787" i="12" s="1"/>
  <c r="CX782" i="12"/>
  <c r="CY782" i="12" s="1"/>
  <c r="CX792" i="12"/>
  <c r="CY792" i="12" s="1"/>
  <c r="CX778" i="12"/>
  <c r="CY778" i="12" s="1"/>
  <c r="CX780" i="12"/>
  <c r="CY780" i="12" s="1"/>
  <c r="CX779" i="12"/>
  <c r="CY779" i="12" s="1"/>
  <c r="CX781" i="12"/>
  <c r="CY781" i="12" s="1"/>
  <c r="CX788" i="12"/>
  <c r="CY788" i="12" s="1"/>
  <c r="CX786" i="12"/>
  <c r="CY786" i="12" s="1"/>
  <c r="CX789" i="12"/>
  <c r="CY789" i="12" s="1"/>
  <c r="CX793" i="12"/>
  <c r="CY793" i="12" s="1"/>
  <c r="CX777" i="12"/>
  <c r="CY777" i="12" s="1"/>
  <c r="DC777" i="12" s="1"/>
  <c r="DB777" i="12" s="1"/>
  <c r="DB778" i="12" s="1"/>
  <c r="DB706" i="12"/>
  <c r="DA706" i="12"/>
  <c r="DE706" i="12"/>
  <c r="DD706" i="12"/>
  <c r="DC706" i="12"/>
  <c r="IH39" i="12"/>
  <c r="IH43" i="12" s="1"/>
  <c r="FU153" i="12"/>
  <c r="GR153" i="12" s="1"/>
  <c r="FR154" i="12"/>
  <c r="FS19" i="12"/>
  <c r="FS20" i="12" s="1"/>
  <c r="CX2249" i="12"/>
  <c r="CY2248" i="12"/>
  <c r="CZ532" i="12"/>
  <c r="CZ424" i="12"/>
  <c r="CZ298" i="12"/>
  <c r="CZ154" i="12"/>
  <c r="CZ208" i="12"/>
  <c r="CZ280" i="12"/>
  <c r="CZ334" i="12"/>
  <c r="CZ710" i="12"/>
  <c r="CZ442" i="12"/>
  <c r="CZ136" i="12"/>
  <c r="CZ262" i="12"/>
  <c r="CZ496" i="12"/>
  <c r="CZ622" i="12"/>
  <c r="CZ676" i="12"/>
  <c r="CZ316" i="12"/>
  <c r="CZ779" i="12"/>
  <c r="CZ226" i="12"/>
  <c r="CZ762" i="12"/>
  <c r="CZ745" i="12"/>
  <c r="CZ514" i="12"/>
  <c r="CZ693" i="12"/>
  <c r="CZ352" i="12"/>
  <c r="CZ82" i="12"/>
  <c r="CZ406" i="12"/>
  <c r="CZ28" i="12"/>
  <c r="CZ64" i="12"/>
  <c r="CZ658" i="12"/>
  <c r="CZ568" i="12"/>
  <c r="CZ388" i="12"/>
  <c r="CZ2170" i="12"/>
  <c r="CZ478" i="12"/>
  <c r="CZ460" i="12"/>
  <c r="CZ729" i="12"/>
  <c r="CZ244" i="12"/>
  <c r="CZ100" i="12"/>
  <c r="CZ190" i="12"/>
  <c r="CZ10" i="12"/>
  <c r="CZ550" i="12"/>
  <c r="CZ586" i="12"/>
  <c r="CZ604" i="12"/>
  <c r="CZ118" i="12"/>
  <c r="CZ640" i="12"/>
  <c r="CZ370" i="12"/>
  <c r="CZ172" i="12"/>
  <c r="CZ46" i="12"/>
  <c r="CZ833" i="12"/>
  <c r="DE676" i="12" l="1"/>
  <c r="DA676" i="12"/>
  <c r="DC676" i="12"/>
  <c r="DD676" i="12"/>
  <c r="DB676" i="12"/>
  <c r="DC496" i="12"/>
  <c r="DA496" i="12"/>
  <c r="DB496" i="12"/>
  <c r="DE496" i="12"/>
  <c r="DD496" i="12"/>
  <c r="DD514" i="12"/>
  <c r="DA514" i="12"/>
  <c r="DB514" i="12"/>
  <c r="DE514" i="12"/>
  <c r="DC514" i="12"/>
  <c r="DC568" i="12"/>
  <c r="DB568" i="12"/>
  <c r="DE568" i="12"/>
  <c r="DD568" i="12"/>
  <c r="DA568" i="12"/>
  <c r="DB640" i="12"/>
  <c r="DC640" i="12"/>
  <c r="DA640" i="12"/>
  <c r="DE640" i="12"/>
  <c r="DD640" i="12"/>
  <c r="DD658" i="12"/>
  <c r="DC658" i="12"/>
  <c r="DB658" i="12"/>
  <c r="DA658" i="12"/>
  <c r="DE658" i="12"/>
  <c r="DC478" i="12"/>
  <c r="DE478" i="12"/>
  <c r="DB478" i="12"/>
  <c r="DA478" i="12"/>
  <c r="DD478" i="12"/>
  <c r="DA604" i="12"/>
  <c r="DC604" i="12"/>
  <c r="DE604" i="12"/>
  <c r="DB604" i="12"/>
  <c r="DD604" i="12"/>
  <c r="DE550" i="12"/>
  <c r="DD550" i="12"/>
  <c r="DB550" i="12"/>
  <c r="DA550" i="12"/>
  <c r="DC550" i="12"/>
  <c r="DA586" i="12"/>
  <c r="DC586" i="12"/>
  <c r="DB586" i="12"/>
  <c r="DD586" i="12"/>
  <c r="DE586" i="12"/>
  <c r="DB82" i="12"/>
  <c r="DA82" i="12"/>
  <c r="DD82" i="12"/>
  <c r="DC82" i="12"/>
  <c r="DE82" i="12"/>
  <c r="DB172" i="12"/>
  <c r="DC172" i="12"/>
  <c r="DD172" i="12"/>
  <c r="DA172" i="12"/>
  <c r="DE172" i="12"/>
  <c r="DA136" i="12"/>
  <c r="DE136" i="12"/>
  <c r="DD136" i="12"/>
  <c r="DC136" i="12"/>
  <c r="DB136" i="12"/>
  <c r="DA388" i="12"/>
  <c r="DE388" i="12"/>
  <c r="DD388" i="12"/>
  <c r="DC388" i="12"/>
  <c r="DB388" i="12"/>
  <c r="DC46" i="12"/>
  <c r="DB46" i="12"/>
  <c r="DD46" i="12"/>
  <c r="DA46" i="12"/>
  <c r="DE46" i="12"/>
  <c r="DC262" i="12"/>
  <c r="DE262" i="12"/>
  <c r="DD262" i="12"/>
  <c r="DB262" i="12"/>
  <c r="DA262" i="12"/>
  <c r="DE154" i="12"/>
  <c r="DA154" i="12"/>
  <c r="DB154" i="12"/>
  <c r="DD154" i="12"/>
  <c r="DC154" i="12"/>
  <c r="DB226" i="12"/>
  <c r="DA226" i="12"/>
  <c r="DC226" i="12"/>
  <c r="DD226" i="12"/>
  <c r="DE226" i="12"/>
  <c r="DA352" i="12"/>
  <c r="DB352" i="12"/>
  <c r="DD352" i="12"/>
  <c r="DC352" i="12"/>
  <c r="DE352" i="12"/>
  <c r="DA208" i="12"/>
  <c r="DC208" i="12"/>
  <c r="DD208" i="12"/>
  <c r="DB208" i="12"/>
  <c r="DE208" i="12"/>
  <c r="DA298" i="12"/>
  <c r="DD298" i="12"/>
  <c r="DE298" i="12"/>
  <c r="DB298" i="12"/>
  <c r="DC298" i="12"/>
  <c r="DB424" i="12"/>
  <c r="DE424" i="12"/>
  <c r="DA424" i="12"/>
  <c r="DC424" i="12"/>
  <c r="DD424" i="12"/>
  <c r="DB64" i="12"/>
  <c r="DD64" i="12"/>
  <c r="DA64" i="12"/>
  <c r="DC64" i="12"/>
  <c r="DE64" i="12"/>
  <c r="DE460" i="12"/>
  <c r="DB460" i="12"/>
  <c r="DC460" i="12"/>
  <c r="DD460" i="12"/>
  <c r="DA460" i="12"/>
  <c r="DE10" i="12"/>
  <c r="DC10" i="12"/>
  <c r="DB10" i="12"/>
  <c r="DD10" i="12"/>
  <c r="DA10" i="12"/>
  <c r="DB622" i="12"/>
  <c r="DD622" i="12"/>
  <c r="DC622" i="12"/>
  <c r="DE622" i="12"/>
  <c r="DA622" i="12"/>
  <c r="DA118" i="12"/>
  <c r="DB118" i="12"/>
  <c r="DD118" i="12"/>
  <c r="DE118" i="12"/>
  <c r="DC118" i="12"/>
  <c r="DE2170" i="12"/>
  <c r="DC2170" i="12"/>
  <c r="DB2170" i="12"/>
  <c r="DA2170" i="12"/>
  <c r="DD2170" i="12"/>
  <c r="DC28" i="12"/>
  <c r="DA28" i="12"/>
  <c r="DE28" i="12"/>
  <c r="DD28" i="12"/>
  <c r="DB28" i="12"/>
  <c r="DA334" i="12"/>
  <c r="DC334" i="12"/>
  <c r="DB334" i="12"/>
  <c r="DD334" i="12"/>
  <c r="DE334" i="12"/>
  <c r="DE244" i="12"/>
  <c r="DB244" i="12"/>
  <c r="DD244" i="12"/>
  <c r="DA244" i="12"/>
  <c r="DC244" i="12"/>
  <c r="DE532" i="12"/>
  <c r="DC532" i="12"/>
  <c r="DA532" i="12"/>
  <c r="DD532" i="12"/>
  <c r="DB532" i="12"/>
  <c r="DD442" i="12"/>
  <c r="DE442" i="12"/>
  <c r="DA442" i="12"/>
  <c r="DB442" i="12"/>
  <c r="DC442" i="12"/>
  <c r="DD370" i="12"/>
  <c r="DC370" i="12"/>
  <c r="DA370" i="12"/>
  <c r="DB370" i="12"/>
  <c r="DE370" i="12"/>
  <c r="DA190" i="12"/>
  <c r="DB190" i="12"/>
  <c r="DC190" i="12"/>
  <c r="DD190" i="12"/>
  <c r="DE190" i="12"/>
  <c r="DC280" i="12"/>
  <c r="DD280" i="12"/>
  <c r="DE280" i="12"/>
  <c r="DA280" i="12"/>
  <c r="DB280" i="12"/>
  <c r="DD100" i="12"/>
  <c r="DC100" i="12"/>
  <c r="DB100" i="12"/>
  <c r="DA100" i="12"/>
  <c r="DE100" i="12"/>
  <c r="DA316" i="12"/>
  <c r="DB316" i="12"/>
  <c r="DE316" i="12"/>
  <c r="DD316" i="12"/>
  <c r="DC316" i="12"/>
  <c r="DC406" i="12"/>
  <c r="DE406" i="12"/>
  <c r="DD406" i="12"/>
  <c r="DB406" i="12"/>
  <c r="DA406" i="12"/>
  <c r="DF2168" i="12"/>
  <c r="IH44" i="12"/>
  <c r="IH45" i="12" s="1"/>
  <c r="IH46" i="12" s="1"/>
  <c r="HT59" i="12"/>
  <c r="HO60" i="12"/>
  <c r="P6" i="12"/>
  <c r="DC762" i="12"/>
  <c r="DD762" i="12"/>
  <c r="DA762" i="12"/>
  <c r="DB762" i="12"/>
  <c r="DE762" i="12"/>
  <c r="DE729" i="12"/>
  <c r="DC729" i="12"/>
  <c r="DA729" i="12"/>
  <c r="DD729" i="12"/>
  <c r="DB729" i="12"/>
  <c r="DA693" i="12"/>
  <c r="DD693" i="12"/>
  <c r="DC693" i="12"/>
  <c r="DE693" i="12"/>
  <c r="DB693" i="12"/>
  <c r="DA710" i="12"/>
  <c r="DC710" i="12"/>
  <c r="DB710" i="12"/>
  <c r="DD710" i="12"/>
  <c r="DE710" i="12"/>
  <c r="DE745" i="12"/>
  <c r="DC745" i="12"/>
  <c r="DD745" i="12"/>
  <c r="DA745" i="12"/>
  <c r="DB745" i="12"/>
  <c r="CX841" i="12"/>
  <c r="CY841" i="12" s="1"/>
  <c r="CX842" i="12"/>
  <c r="CY842" i="12" s="1"/>
  <c r="DA778" i="12"/>
  <c r="CX839" i="12"/>
  <c r="CY839" i="12" s="1"/>
  <c r="CX838" i="12"/>
  <c r="CY838" i="12" s="1"/>
  <c r="CX847" i="12"/>
  <c r="CY847" i="12" s="1"/>
  <c r="DD777" i="12"/>
  <c r="CX835" i="12"/>
  <c r="CY835" i="12" s="1"/>
  <c r="CX837" i="12"/>
  <c r="CY837" i="12" s="1"/>
  <c r="CX840" i="12"/>
  <c r="CY840" i="12" s="1"/>
  <c r="CX846" i="12"/>
  <c r="CY846" i="12" s="1"/>
  <c r="DE779" i="12"/>
  <c r="DC779" i="12"/>
  <c r="DA779" i="12"/>
  <c r="DB779" i="12"/>
  <c r="DD779" i="12"/>
  <c r="DD759" i="12"/>
  <c r="DE759" i="12"/>
  <c r="CX836" i="12"/>
  <c r="CY836" i="12" s="1"/>
  <c r="CX834" i="12"/>
  <c r="CY834" i="12" s="1"/>
  <c r="CX844" i="12"/>
  <c r="CY844" i="12" s="1"/>
  <c r="CX831" i="12"/>
  <c r="CY831" i="12" s="1"/>
  <c r="DC831" i="12" s="1"/>
  <c r="DB831" i="12" s="1"/>
  <c r="DA832" i="12" s="1"/>
  <c r="DE778" i="12"/>
  <c r="DC778" i="12"/>
  <c r="JK48" i="12"/>
  <c r="JL48" i="12" s="1"/>
  <c r="EA48" i="12" s="1"/>
  <c r="JH50" i="12"/>
  <c r="CX802" i="12"/>
  <c r="CY802" i="12" s="1"/>
  <c r="CX796" i="12"/>
  <c r="CY796" i="12" s="1"/>
  <c r="CX800" i="12"/>
  <c r="CY800" i="12" s="1"/>
  <c r="CX810" i="12"/>
  <c r="CY810" i="12" s="1"/>
  <c r="CX807" i="12"/>
  <c r="CY807" i="12" s="1"/>
  <c r="CX803" i="12"/>
  <c r="CY803" i="12" s="1"/>
  <c r="CX801" i="12"/>
  <c r="CY801" i="12" s="1"/>
  <c r="CX806" i="12"/>
  <c r="CY806" i="12" s="1"/>
  <c r="CX805" i="12"/>
  <c r="CY805" i="12" s="1"/>
  <c r="CX795" i="12"/>
  <c r="CY795" i="12" s="1"/>
  <c r="CX797" i="12"/>
  <c r="CY797" i="12" s="1"/>
  <c r="CX798" i="12"/>
  <c r="CY798" i="12" s="1"/>
  <c r="CX811" i="12"/>
  <c r="CY811" i="12" s="1"/>
  <c r="CX809" i="12"/>
  <c r="CY809" i="12" s="1"/>
  <c r="CX804" i="12"/>
  <c r="CY804" i="12" s="1"/>
  <c r="CX808" i="12"/>
  <c r="CY808" i="12" s="1"/>
  <c r="CX799" i="12"/>
  <c r="CY799" i="12" s="1"/>
  <c r="DE777" i="12"/>
  <c r="CX843" i="12"/>
  <c r="CY843" i="12" s="1"/>
  <c r="CX832" i="12"/>
  <c r="CY832" i="12" s="1"/>
  <c r="CX845" i="12"/>
  <c r="CY845" i="12" s="1"/>
  <c r="DD778" i="12"/>
  <c r="DA760" i="12"/>
  <c r="DE760" i="12"/>
  <c r="DD760" i="12"/>
  <c r="DB760" i="12"/>
  <c r="DC760" i="12"/>
  <c r="DE833" i="12"/>
  <c r="DB833" i="12"/>
  <c r="DD833" i="12"/>
  <c r="DA833" i="12"/>
  <c r="DC833" i="12"/>
  <c r="FU154" i="12"/>
  <c r="GR154" i="12" s="1"/>
  <c r="FR155" i="12"/>
  <c r="FS21" i="12"/>
  <c r="CX2250" i="12"/>
  <c r="CY2249" i="12"/>
  <c r="CZ497" i="12"/>
  <c r="CZ227" i="12"/>
  <c r="CZ623" i="12"/>
  <c r="CZ83" i="12"/>
  <c r="CZ2171" i="12"/>
  <c r="CZ515" i="12"/>
  <c r="CZ533" i="12"/>
  <c r="CZ155" i="12"/>
  <c r="CZ281" i="12"/>
  <c r="CZ29" i="12"/>
  <c r="CZ711" i="12"/>
  <c r="CZ65" i="12"/>
  <c r="CZ191" i="12"/>
  <c r="CZ730" i="12"/>
  <c r="CZ461" i="12"/>
  <c r="CZ780" i="12"/>
  <c r="CZ834" i="12"/>
  <c r="CZ119" i="12"/>
  <c r="CZ605" i="12"/>
  <c r="CZ569" i="12"/>
  <c r="CZ245" i="12"/>
  <c r="CZ763" i="12"/>
  <c r="CZ425" i="12"/>
  <c r="CZ659" i="12"/>
  <c r="CZ47" i="12"/>
  <c r="CZ443" i="12"/>
  <c r="CZ353" i="12"/>
  <c r="CZ479" i="12"/>
  <c r="CZ694" i="12"/>
  <c r="CZ389" i="12"/>
  <c r="CZ299" i="12"/>
  <c r="CZ317" i="12"/>
  <c r="CZ335" i="12"/>
  <c r="CZ797" i="12"/>
  <c r="CZ677" i="12"/>
  <c r="CZ173" i="12"/>
  <c r="CZ407" i="12"/>
  <c r="CZ137" i="12"/>
  <c r="CZ101" i="12"/>
  <c r="CZ551" i="12"/>
  <c r="CZ746" i="12"/>
  <c r="CZ371" i="12"/>
  <c r="CZ587" i="12"/>
  <c r="CZ209" i="12"/>
  <c r="CZ641" i="12"/>
  <c r="CZ11" i="12"/>
  <c r="CZ263" i="12"/>
  <c r="DC479" i="12" l="1"/>
  <c r="DE479" i="12"/>
  <c r="DA479" i="12"/>
  <c r="DD479" i="12"/>
  <c r="DB479" i="12"/>
  <c r="DD569" i="12"/>
  <c r="DA569" i="12"/>
  <c r="DC569" i="12"/>
  <c r="DB569" i="12"/>
  <c r="DE569" i="12"/>
  <c r="DD605" i="12"/>
  <c r="DC605" i="12"/>
  <c r="DB605" i="12"/>
  <c r="DE605" i="12"/>
  <c r="DA605" i="12"/>
  <c r="DA677" i="12"/>
  <c r="DC677" i="12"/>
  <c r="DB677" i="12"/>
  <c r="DE677" i="12"/>
  <c r="DD677" i="12"/>
  <c r="DA659" i="12"/>
  <c r="DC659" i="12"/>
  <c r="DE659" i="12"/>
  <c r="DD659" i="12"/>
  <c r="DB659" i="12"/>
  <c r="DA641" i="12"/>
  <c r="DB641" i="12"/>
  <c r="DD641" i="12"/>
  <c r="DE641" i="12"/>
  <c r="DC641" i="12"/>
  <c r="DD515" i="12"/>
  <c r="DB515" i="12"/>
  <c r="DA515" i="12"/>
  <c r="DC515" i="12"/>
  <c r="DE515" i="12"/>
  <c r="DB497" i="12"/>
  <c r="DC497" i="12"/>
  <c r="DE497" i="12"/>
  <c r="DA497" i="12"/>
  <c r="DD497" i="12"/>
  <c r="DA551" i="12"/>
  <c r="DC551" i="12"/>
  <c r="DB551" i="12"/>
  <c r="DD551" i="12"/>
  <c r="DE551" i="12"/>
  <c r="DA407" i="12"/>
  <c r="DD407" i="12"/>
  <c r="DE407" i="12"/>
  <c r="DB407" i="12"/>
  <c r="DC407" i="12"/>
  <c r="DB101" i="12"/>
  <c r="DA101" i="12"/>
  <c r="DD101" i="12"/>
  <c r="DC101" i="12"/>
  <c r="DE101" i="12"/>
  <c r="DE191" i="12"/>
  <c r="DD191" i="12"/>
  <c r="DC191" i="12"/>
  <c r="DA191" i="12"/>
  <c r="DB191" i="12"/>
  <c r="DD443" i="12"/>
  <c r="DB443" i="12"/>
  <c r="DC443" i="12"/>
  <c r="DE443" i="12"/>
  <c r="DA443" i="12"/>
  <c r="DA245" i="12"/>
  <c r="DB245" i="12"/>
  <c r="DE245" i="12"/>
  <c r="DC245" i="12"/>
  <c r="DD245" i="12"/>
  <c r="DA29" i="12"/>
  <c r="DD29" i="12"/>
  <c r="DC29" i="12"/>
  <c r="DB29" i="12"/>
  <c r="DE29" i="12"/>
  <c r="DE119" i="12"/>
  <c r="DD119" i="12"/>
  <c r="DB119" i="12"/>
  <c r="DC119" i="12"/>
  <c r="DA119" i="12"/>
  <c r="DA623" i="12"/>
  <c r="DD623" i="12"/>
  <c r="DB623" i="12"/>
  <c r="DC623" i="12"/>
  <c r="DE623" i="12"/>
  <c r="DA11" i="12"/>
  <c r="DD11" i="12"/>
  <c r="DE11" i="12"/>
  <c r="DB11" i="12"/>
  <c r="DC11" i="12"/>
  <c r="DD65" i="12"/>
  <c r="DC65" i="12"/>
  <c r="DA65" i="12"/>
  <c r="DB65" i="12"/>
  <c r="DE65" i="12"/>
  <c r="DB299" i="12"/>
  <c r="DC299" i="12"/>
  <c r="DD299" i="12"/>
  <c r="DE299" i="12"/>
  <c r="DA299" i="12"/>
  <c r="DE353" i="12"/>
  <c r="DB353" i="12"/>
  <c r="DA353" i="12"/>
  <c r="DD353" i="12"/>
  <c r="DC353" i="12"/>
  <c r="DE155" i="12"/>
  <c r="DA155" i="12"/>
  <c r="DB155" i="12"/>
  <c r="DD155" i="12"/>
  <c r="DC155" i="12"/>
  <c r="DD389" i="12"/>
  <c r="DC389" i="12"/>
  <c r="DB389" i="12"/>
  <c r="DE389" i="12"/>
  <c r="DA389" i="12"/>
  <c r="DB173" i="12"/>
  <c r="DA173" i="12"/>
  <c r="DC173" i="12"/>
  <c r="DE173" i="12"/>
  <c r="DD173" i="12"/>
  <c r="DE587" i="12"/>
  <c r="DD587" i="12"/>
  <c r="DA587" i="12"/>
  <c r="DB587" i="12"/>
  <c r="DC587" i="12"/>
  <c r="DE317" i="12"/>
  <c r="DB317" i="12"/>
  <c r="DA317" i="12"/>
  <c r="DC317" i="12"/>
  <c r="DD317" i="12"/>
  <c r="DA281" i="12"/>
  <c r="DD281" i="12"/>
  <c r="DC281" i="12"/>
  <c r="DB281" i="12"/>
  <c r="DE281" i="12"/>
  <c r="DD371" i="12"/>
  <c r="DB371" i="12"/>
  <c r="DC371" i="12"/>
  <c r="DA371" i="12"/>
  <c r="DE371" i="12"/>
  <c r="DD533" i="12"/>
  <c r="DA533" i="12"/>
  <c r="DB533" i="12"/>
  <c r="DE533" i="12"/>
  <c r="DC533" i="12"/>
  <c r="DC335" i="12"/>
  <c r="DE335" i="12"/>
  <c r="DB335" i="12"/>
  <c r="DD335" i="12"/>
  <c r="DA335" i="12"/>
  <c r="DD2171" i="12"/>
  <c r="DA2171" i="12"/>
  <c r="DC2171" i="12"/>
  <c r="DB2171" i="12"/>
  <c r="DE2171" i="12"/>
  <c r="DE461" i="12"/>
  <c r="DA461" i="12"/>
  <c r="DD461" i="12"/>
  <c r="DB461" i="12"/>
  <c r="DC461" i="12"/>
  <c r="DE425" i="12"/>
  <c r="DC425" i="12"/>
  <c r="DB425" i="12"/>
  <c r="DA425" i="12"/>
  <c r="DD425" i="12"/>
  <c r="DB209" i="12"/>
  <c r="DC209" i="12"/>
  <c r="DA209" i="12"/>
  <c r="DD209" i="12"/>
  <c r="DE209" i="12"/>
  <c r="DD227" i="12"/>
  <c r="DA227" i="12"/>
  <c r="DE227" i="12"/>
  <c r="DB227" i="12"/>
  <c r="DC227" i="12"/>
  <c r="DB263" i="12"/>
  <c r="DA263" i="12"/>
  <c r="DD263" i="12"/>
  <c r="DC263" i="12"/>
  <c r="DE263" i="12"/>
  <c r="DD47" i="12"/>
  <c r="DA47" i="12"/>
  <c r="DE47" i="12"/>
  <c r="DC47" i="12"/>
  <c r="DB47" i="12"/>
  <c r="DA137" i="12"/>
  <c r="DE137" i="12"/>
  <c r="DC137" i="12"/>
  <c r="DB137" i="12"/>
  <c r="DD137" i="12"/>
  <c r="DE83" i="12"/>
  <c r="DD83" i="12"/>
  <c r="DB83" i="12"/>
  <c r="DA83" i="12"/>
  <c r="DC83" i="12"/>
  <c r="DF2169" i="12"/>
  <c r="HT60" i="12"/>
  <c r="HO61" i="12"/>
  <c r="P7" i="12"/>
  <c r="DC832" i="12"/>
  <c r="DD746" i="12"/>
  <c r="DC746" i="12"/>
  <c r="DE746" i="12"/>
  <c r="DB746" i="12"/>
  <c r="DA746" i="12"/>
  <c r="DB694" i="12"/>
  <c r="DD694" i="12"/>
  <c r="DE694" i="12"/>
  <c r="DC694" i="12"/>
  <c r="DA694" i="12"/>
  <c r="DE730" i="12"/>
  <c r="DC730" i="12"/>
  <c r="DA730" i="12"/>
  <c r="DB730" i="12"/>
  <c r="DD730" i="12"/>
  <c r="DC780" i="12"/>
  <c r="DE780" i="12"/>
  <c r="DA780" i="12"/>
  <c r="DB780" i="12"/>
  <c r="DD780" i="12"/>
  <c r="DC711" i="12"/>
  <c r="DA711" i="12"/>
  <c r="DD711" i="12"/>
  <c r="DB711" i="12"/>
  <c r="DE711" i="12"/>
  <c r="DD763" i="12"/>
  <c r="DE763" i="12"/>
  <c r="DB763" i="12"/>
  <c r="DC763" i="12"/>
  <c r="DA763" i="12"/>
  <c r="DD831" i="12"/>
  <c r="DD834" i="12"/>
  <c r="DA834" i="12"/>
  <c r="DB834" i="12"/>
  <c r="DC834" i="12"/>
  <c r="DE834" i="12"/>
  <c r="DE797" i="12"/>
  <c r="DB797" i="12"/>
  <c r="DA797" i="12"/>
  <c r="DC797" i="12"/>
  <c r="DD797" i="12"/>
  <c r="JK50" i="12"/>
  <c r="JL50" i="12" s="1"/>
  <c r="EA50" i="12" s="1"/>
  <c r="JH51" i="12"/>
  <c r="DC795" i="12"/>
  <c r="DB795" i="12" s="1"/>
  <c r="DE832" i="12"/>
  <c r="DE831" i="12"/>
  <c r="CX813" i="12"/>
  <c r="CY813" i="12" s="1"/>
  <c r="CX823" i="12"/>
  <c r="CY823" i="12" s="1"/>
  <c r="CX820" i="12"/>
  <c r="CY820" i="12" s="1"/>
  <c r="CX827" i="12"/>
  <c r="CY827" i="12" s="1"/>
  <c r="CX826" i="12"/>
  <c r="CY826" i="12" s="1"/>
  <c r="CX815" i="12"/>
  <c r="CY815" i="12" s="1"/>
  <c r="CX814" i="12"/>
  <c r="CY814" i="12" s="1"/>
  <c r="CX828" i="12"/>
  <c r="CY828" i="12" s="1"/>
  <c r="CX816" i="12"/>
  <c r="CY816" i="12" s="1"/>
  <c r="CX818" i="12"/>
  <c r="CY818" i="12" s="1"/>
  <c r="CX829" i="12"/>
  <c r="CY829" i="12" s="1"/>
  <c r="CX822" i="12"/>
  <c r="CY822" i="12" s="1"/>
  <c r="CX821" i="12"/>
  <c r="CY821" i="12" s="1"/>
  <c r="CX825" i="12"/>
  <c r="CY825" i="12" s="1"/>
  <c r="CX824" i="12"/>
  <c r="CY824" i="12" s="1"/>
  <c r="CX819" i="12"/>
  <c r="CY819" i="12" s="1"/>
  <c r="CX817" i="12"/>
  <c r="CY817" i="12" s="1"/>
  <c r="DB832" i="12"/>
  <c r="DD832" i="12"/>
  <c r="IH47" i="12"/>
  <c r="FU155" i="12"/>
  <c r="GR155" i="12" s="1"/>
  <c r="FR156" i="12"/>
  <c r="FS22" i="12"/>
  <c r="CY2250" i="12"/>
  <c r="CX2251" i="12"/>
  <c r="CZ764" i="12"/>
  <c r="CZ228" i="12"/>
  <c r="CZ731" i="12"/>
  <c r="CZ695" i="12"/>
  <c r="CZ570" i="12"/>
  <c r="CZ444" i="12"/>
  <c r="CZ642" i="12"/>
  <c r="CZ84" i="12"/>
  <c r="CZ372" i="12"/>
  <c r="CZ498" i="12"/>
  <c r="CZ246" i="12"/>
  <c r="CZ678" i="12"/>
  <c r="CZ282" i="12"/>
  <c r="CZ354" i="12"/>
  <c r="CZ336" i="12"/>
  <c r="CZ781" i="12"/>
  <c r="CZ588" i="12"/>
  <c r="CZ318" i="12"/>
  <c r="CZ462" i="12"/>
  <c r="CZ606" i="12"/>
  <c r="CZ516" i="12"/>
  <c r="CZ300" i="12"/>
  <c r="CZ552" i="12"/>
  <c r="CZ426" i="12"/>
  <c r="CZ192" i="12"/>
  <c r="CZ174" i="12"/>
  <c r="CZ156" i="12"/>
  <c r="CZ48" i="12"/>
  <c r="CZ30" i="12"/>
  <c r="CZ534" i="12"/>
  <c r="CZ480" i="12"/>
  <c r="CZ798" i="12"/>
  <c r="CZ264" i="12"/>
  <c r="CZ390" i="12"/>
  <c r="CZ660" i="12"/>
  <c r="CZ2172" i="12"/>
  <c r="CZ835" i="12"/>
  <c r="CZ712" i="12"/>
  <c r="CZ102" i="12"/>
  <c r="CZ747" i="12"/>
  <c r="CZ138" i="12"/>
  <c r="CZ210" i="12"/>
  <c r="CZ120" i="12"/>
  <c r="CZ408" i="12"/>
  <c r="CZ624" i="12"/>
  <c r="CZ12" i="12"/>
  <c r="CZ66" i="12"/>
  <c r="CZ815" i="12"/>
  <c r="DE516" i="12" l="1"/>
  <c r="DA516" i="12"/>
  <c r="DD516" i="12"/>
  <c r="DC516" i="12"/>
  <c r="DB516" i="12"/>
  <c r="DC678" i="12"/>
  <c r="DD678" i="12"/>
  <c r="DA678" i="12"/>
  <c r="DE678" i="12"/>
  <c r="DB678" i="12"/>
  <c r="DE480" i="12"/>
  <c r="DC480" i="12"/>
  <c r="DD480" i="12"/>
  <c r="DA480" i="12"/>
  <c r="DB480" i="12"/>
  <c r="DE498" i="12"/>
  <c r="DC498" i="12"/>
  <c r="DD498" i="12"/>
  <c r="DA498" i="12"/>
  <c r="DB498" i="12"/>
  <c r="DD642" i="12"/>
  <c r="DA642" i="12"/>
  <c r="DE642" i="12"/>
  <c r="DB642" i="12"/>
  <c r="DC642" i="12"/>
  <c r="DC660" i="12"/>
  <c r="DE660" i="12"/>
  <c r="DA660" i="12"/>
  <c r="DD660" i="12"/>
  <c r="DB660" i="12"/>
  <c r="DD570" i="12"/>
  <c r="DA570" i="12"/>
  <c r="DE570" i="12"/>
  <c r="DC570" i="12"/>
  <c r="DB570" i="12"/>
  <c r="DD606" i="12"/>
  <c r="DB606" i="12"/>
  <c r="DC606" i="12"/>
  <c r="DA606" i="12"/>
  <c r="DE606" i="12"/>
  <c r="DE552" i="12"/>
  <c r="DC552" i="12"/>
  <c r="DD552" i="12"/>
  <c r="DA552" i="12"/>
  <c r="DB552" i="12"/>
  <c r="DE426" i="12"/>
  <c r="DA426" i="12"/>
  <c r="DC426" i="12"/>
  <c r="DB426" i="12"/>
  <c r="DD426" i="12"/>
  <c r="DC2172" i="12"/>
  <c r="DA2172" i="12"/>
  <c r="DE2172" i="12"/>
  <c r="DD2172" i="12"/>
  <c r="DB2172" i="12"/>
  <c r="DA534" i="12"/>
  <c r="DD534" i="12"/>
  <c r="DE534" i="12"/>
  <c r="DB534" i="12"/>
  <c r="DC534" i="12"/>
  <c r="DE282" i="12"/>
  <c r="DC282" i="12"/>
  <c r="DB282" i="12"/>
  <c r="DD282" i="12"/>
  <c r="DA282" i="12"/>
  <c r="DA390" i="12"/>
  <c r="DB390" i="12"/>
  <c r="DD390" i="12"/>
  <c r="DE390" i="12"/>
  <c r="DC390" i="12"/>
  <c r="DA156" i="12"/>
  <c r="DC156" i="12"/>
  <c r="DD156" i="12"/>
  <c r="DE156" i="12"/>
  <c r="DB156" i="12"/>
  <c r="DE300" i="12"/>
  <c r="DC300" i="12"/>
  <c r="DD300" i="12"/>
  <c r="DB300" i="12"/>
  <c r="DA300" i="12"/>
  <c r="DB12" i="12"/>
  <c r="DA12" i="12"/>
  <c r="DE12" i="12"/>
  <c r="DD12" i="12"/>
  <c r="DC12" i="12"/>
  <c r="DA30" i="12"/>
  <c r="DB30" i="12"/>
  <c r="DD30" i="12"/>
  <c r="DE30" i="12"/>
  <c r="DC30" i="12"/>
  <c r="DE444" i="12"/>
  <c r="DB444" i="12"/>
  <c r="DC444" i="12"/>
  <c r="DD444" i="12"/>
  <c r="DA444" i="12"/>
  <c r="DE102" i="12"/>
  <c r="DA102" i="12"/>
  <c r="DB102" i="12"/>
  <c r="DD102" i="12"/>
  <c r="DC102" i="12"/>
  <c r="DE84" i="12"/>
  <c r="DB84" i="12"/>
  <c r="DC84" i="12"/>
  <c r="DA84" i="12"/>
  <c r="DD84" i="12"/>
  <c r="DC48" i="12"/>
  <c r="DA48" i="12"/>
  <c r="DE48" i="12"/>
  <c r="DB48" i="12"/>
  <c r="DD48" i="12"/>
  <c r="DE228" i="12"/>
  <c r="DD228" i="12"/>
  <c r="DC228" i="12"/>
  <c r="DA228" i="12"/>
  <c r="DB228" i="12"/>
  <c r="DD588" i="12"/>
  <c r="DB588" i="12"/>
  <c r="DA588" i="12"/>
  <c r="DE588" i="12"/>
  <c r="DC588" i="12"/>
  <c r="DA138" i="12"/>
  <c r="DC138" i="12"/>
  <c r="DD138" i="12"/>
  <c r="DB138" i="12"/>
  <c r="DE138" i="12"/>
  <c r="DC264" i="12"/>
  <c r="DA264" i="12"/>
  <c r="DD264" i="12"/>
  <c r="DE264" i="12"/>
  <c r="DB264" i="12"/>
  <c r="DC210" i="12"/>
  <c r="DA210" i="12"/>
  <c r="DB210" i="12"/>
  <c r="DE210" i="12"/>
  <c r="DD210" i="12"/>
  <c r="DE462" i="12"/>
  <c r="DB462" i="12"/>
  <c r="DC462" i="12"/>
  <c r="DA462" i="12"/>
  <c r="DD462" i="12"/>
  <c r="DE336" i="12"/>
  <c r="DD336" i="12"/>
  <c r="DB336" i="12"/>
  <c r="DC336" i="12"/>
  <c r="DA336" i="12"/>
  <c r="DB372" i="12"/>
  <c r="DD372" i="12"/>
  <c r="DC372" i="12"/>
  <c r="DA372" i="12"/>
  <c r="DE372" i="12"/>
  <c r="DA318" i="12"/>
  <c r="DB318" i="12"/>
  <c r="DD318" i="12"/>
  <c r="DC318" i="12"/>
  <c r="DE318" i="12"/>
  <c r="DC174" i="12"/>
  <c r="DB174" i="12"/>
  <c r="DA174" i="12"/>
  <c r="DE174" i="12"/>
  <c r="DD174" i="12"/>
  <c r="DE354" i="12"/>
  <c r="DA354" i="12"/>
  <c r="DB354" i="12"/>
  <c r="DD354" i="12"/>
  <c r="DC354" i="12"/>
  <c r="DB66" i="12"/>
  <c r="DC66" i="12"/>
  <c r="DA66" i="12"/>
  <c r="DD66" i="12"/>
  <c r="DE66" i="12"/>
  <c r="DB624" i="12"/>
  <c r="DA624" i="12"/>
  <c r="DD624" i="12"/>
  <c r="DE624" i="12"/>
  <c r="DC624" i="12"/>
  <c r="DE120" i="12"/>
  <c r="DD120" i="12"/>
  <c r="DA120" i="12"/>
  <c r="DB120" i="12"/>
  <c r="DC120" i="12"/>
  <c r="DA246" i="12"/>
  <c r="DB246" i="12"/>
  <c r="DD246" i="12"/>
  <c r="DE246" i="12"/>
  <c r="DC246" i="12"/>
  <c r="DC192" i="12"/>
  <c r="DA192" i="12"/>
  <c r="DE192" i="12"/>
  <c r="DB192" i="12"/>
  <c r="DD192" i="12"/>
  <c r="DB408" i="12"/>
  <c r="DC408" i="12"/>
  <c r="DE408" i="12"/>
  <c r="DD408" i="12"/>
  <c r="DA408" i="12"/>
  <c r="DF2171" i="12"/>
  <c r="DF2170" i="12"/>
  <c r="HT61" i="12"/>
  <c r="HO62" i="12"/>
  <c r="P8" i="12"/>
  <c r="DB764" i="12"/>
  <c r="DC764" i="12"/>
  <c r="DA764" i="12"/>
  <c r="DD764" i="12"/>
  <c r="DE764" i="12"/>
  <c r="DC798" i="12"/>
  <c r="DB798" i="12"/>
  <c r="DA798" i="12"/>
  <c r="DD798" i="12"/>
  <c r="DE798" i="12"/>
  <c r="DE731" i="12"/>
  <c r="DA731" i="12"/>
  <c r="DB731" i="12"/>
  <c r="DC731" i="12"/>
  <c r="DD731" i="12"/>
  <c r="DC835" i="12"/>
  <c r="DA835" i="12"/>
  <c r="DE835" i="12"/>
  <c r="DB835" i="12"/>
  <c r="DD835" i="12"/>
  <c r="DB712" i="12"/>
  <c r="DD712" i="12"/>
  <c r="DA712" i="12"/>
  <c r="DC712" i="12"/>
  <c r="DE712" i="12"/>
  <c r="DC781" i="12"/>
  <c r="DE781" i="12"/>
  <c r="DB781" i="12"/>
  <c r="DA781" i="12"/>
  <c r="DD781" i="12"/>
  <c r="DD695" i="12"/>
  <c r="DA695" i="12"/>
  <c r="DB695" i="12"/>
  <c r="DE695" i="12"/>
  <c r="DC695" i="12"/>
  <c r="DD747" i="12"/>
  <c r="DB747" i="12"/>
  <c r="DC747" i="12"/>
  <c r="DA747" i="12"/>
  <c r="DE747" i="12"/>
  <c r="IH48" i="12"/>
  <c r="IH49" i="12" s="1"/>
  <c r="DA815" i="12"/>
  <c r="DC815" i="12"/>
  <c r="DE815" i="12"/>
  <c r="DD815" i="12"/>
  <c r="DB815" i="12"/>
  <c r="JK51" i="12"/>
  <c r="JL51" i="12" s="1"/>
  <c r="EA51" i="12" s="1"/>
  <c r="JH52" i="12"/>
  <c r="DC813" i="12"/>
  <c r="DB813" i="12" s="1"/>
  <c r="DE795" i="12"/>
  <c r="DD795" i="12"/>
  <c r="DB796" i="12"/>
  <c r="DA796" i="12"/>
  <c r="DD796" i="12"/>
  <c r="DE796" i="12"/>
  <c r="DC796" i="12"/>
  <c r="CX850" i="12"/>
  <c r="CY850" i="12" s="1"/>
  <c r="CX859" i="12"/>
  <c r="CY859" i="12" s="1"/>
  <c r="CX851" i="12"/>
  <c r="CY851" i="12" s="1"/>
  <c r="CX858" i="12"/>
  <c r="CY858" i="12" s="1"/>
  <c r="CX865" i="12"/>
  <c r="CY865" i="12" s="1"/>
  <c r="CX852" i="12"/>
  <c r="CY852" i="12" s="1"/>
  <c r="CX853" i="12"/>
  <c r="CY853" i="12" s="1"/>
  <c r="CX856" i="12"/>
  <c r="CY856" i="12" s="1"/>
  <c r="CX862" i="12"/>
  <c r="CY862" i="12" s="1"/>
  <c r="CX849" i="12"/>
  <c r="CY849" i="12" s="1"/>
  <c r="DC849" i="12" s="1"/>
  <c r="DB849" i="12" s="1"/>
  <c r="DC850" i="12" s="1"/>
  <c r="CX860" i="12"/>
  <c r="CY860" i="12" s="1"/>
  <c r="CX854" i="12"/>
  <c r="CY854" i="12" s="1"/>
  <c r="CX855" i="12"/>
  <c r="CY855" i="12" s="1"/>
  <c r="CX857" i="12"/>
  <c r="CY857" i="12" s="1"/>
  <c r="CX861" i="12"/>
  <c r="CY861" i="12" s="1"/>
  <c r="CX863" i="12"/>
  <c r="CY863" i="12" s="1"/>
  <c r="CX864" i="12"/>
  <c r="CY864" i="12" s="1"/>
  <c r="FU156" i="12"/>
  <c r="GR156" i="12" s="1"/>
  <c r="FR157" i="12"/>
  <c r="FS23" i="12"/>
  <c r="CX2252" i="12"/>
  <c r="CY2251" i="12"/>
  <c r="CZ643" i="12"/>
  <c r="CZ355" i="12"/>
  <c r="CZ175" i="12"/>
  <c r="CZ265" i="12"/>
  <c r="CZ517" i="12"/>
  <c r="CZ157" i="12"/>
  <c r="CZ373" i="12"/>
  <c r="CZ391" i="12"/>
  <c r="CZ85" i="12"/>
  <c r="CZ31" i="12"/>
  <c r="CZ571" i="12"/>
  <c r="CZ319" i="12"/>
  <c r="CZ67" i="12"/>
  <c r="CZ121" i="12"/>
  <c r="CZ713" i="12"/>
  <c r="CZ211" i="12"/>
  <c r="CZ535" i="12"/>
  <c r="CZ625" i="12"/>
  <c r="CZ836" i="12"/>
  <c r="CZ799" i="12"/>
  <c r="CZ301" i="12"/>
  <c r="CZ445" i="12"/>
  <c r="CZ229" i="12"/>
  <c r="CZ103" i="12"/>
  <c r="CZ696" i="12"/>
  <c r="CZ765" i="12"/>
  <c r="CZ463" i="12"/>
  <c r="CZ2173" i="12"/>
  <c r="CZ427" i="12"/>
  <c r="CZ13" i="12"/>
  <c r="CZ193" i="12"/>
  <c r="CZ49" i="12"/>
  <c r="CZ499" i="12"/>
  <c r="CZ607" i="12"/>
  <c r="CZ139" i="12"/>
  <c r="CZ748" i="12"/>
  <c r="CZ816" i="12"/>
  <c r="CZ283" i="12"/>
  <c r="CZ661" i="12"/>
  <c r="CZ782" i="12"/>
  <c r="CZ409" i="12"/>
  <c r="CZ481" i="12"/>
  <c r="CZ553" i="12"/>
  <c r="CZ337" i="12"/>
  <c r="CZ679" i="12"/>
  <c r="CZ247" i="12"/>
  <c r="CZ589" i="12"/>
  <c r="CZ732" i="12"/>
  <c r="CZ851" i="12"/>
  <c r="DE499" i="12" l="1"/>
  <c r="DA499" i="12"/>
  <c r="DC499" i="12"/>
  <c r="DD499" i="12"/>
  <c r="DB499" i="12"/>
  <c r="DC607" i="12"/>
  <c r="DD607" i="12"/>
  <c r="DA607" i="12"/>
  <c r="DB607" i="12"/>
  <c r="DE607" i="12"/>
  <c r="DB571" i="12"/>
  <c r="DC571" i="12"/>
  <c r="DE571" i="12"/>
  <c r="DA571" i="12"/>
  <c r="DD571" i="12"/>
  <c r="DE643" i="12"/>
  <c r="DD643" i="12"/>
  <c r="DB643" i="12"/>
  <c r="DA643" i="12"/>
  <c r="DC643" i="12"/>
  <c r="DE481" i="12"/>
  <c r="DD481" i="12"/>
  <c r="DA481" i="12"/>
  <c r="DC481" i="12"/>
  <c r="DB481" i="12"/>
  <c r="DA661" i="12"/>
  <c r="DE661" i="12"/>
  <c r="DC661" i="12"/>
  <c r="DD661" i="12"/>
  <c r="DB661" i="12"/>
  <c r="DE679" i="12"/>
  <c r="DB679" i="12"/>
  <c r="DA679" i="12"/>
  <c r="DD679" i="12"/>
  <c r="DC679" i="12"/>
  <c r="DA517" i="12"/>
  <c r="DC517" i="12"/>
  <c r="DB517" i="12"/>
  <c r="DE517" i="12"/>
  <c r="DD517" i="12"/>
  <c r="DE553" i="12"/>
  <c r="DC553" i="12"/>
  <c r="DA553" i="12"/>
  <c r="DD553" i="12"/>
  <c r="DB553" i="12"/>
  <c r="DC625" i="12"/>
  <c r="DA625" i="12"/>
  <c r="DD625" i="12"/>
  <c r="DE625" i="12"/>
  <c r="DB625" i="12"/>
  <c r="DE589" i="12"/>
  <c r="DA589" i="12"/>
  <c r="DC589" i="12"/>
  <c r="DD589" i="12"/>
  <c r="DB589" i="12"/>
  <c r="DE535" i="12"/>
  <c r="DC535" i="12"/>
  <c r="DA535" i="12"/>
  <c r="DD535" i="12"/>
  <c r="DB535" i="12"/>
  <c r="DB409" i="12"/>
  <c r="DE409" i="12"/>
  <c r="DD409" i="12"/>
  <c r="DA409" i="12"/>
  <c r="DC409" i="12"/>
  <c r="DA247" i="12"/>
  <c r="DC247" i="12"/>
  <c r="DB247" i="12"/>
  <c r="DE247" i="12"/>
  <c r="DD247" i="12"/>
  <c r="DD355" i="12"/>
  <c r="DC355" i="12"/>
  <c r="DA355" i="12"/>
  <c r="DB355" i="12"/>
  <c r="DE355" i="12"/>
  <c r="DB175" i="12"/>
  <c r="DC175" i="12"/>
  <c r="DA175" i="12"/>
  <c r="DE175" i="12"/>
  <c r="DD175" i="12"/>
  <c r="DB373" i="12"/>
  <c r="DD373" i="12"/>
  <c r="DE373" i="12"/>
  <c r="DA373" i="12"/>
  <c r="DC373" i="12"/>
  <c r="DC211" i="12"/>
  <c r="DD211" i="12"/>
  <c r="DB211" i="12"/>
  <c r="DA211" i="12"/>
  <c r="DE211" i="12"/>
  <c r="DE139" i="12"/>
  <c r="DC139" i="12"/>
  <c r="DA139" i="12"/>
  <c r="DB139" i="12"/>
  <c r="DD139" i="12"/>
  <c r="DB229" i="12"/>
  <c r="DA229" i="12"/>
  <c r="DE229" i="12"/>
  <c r="DC229" i="12"/>
  <c r="DD229" i="12"/>
  <c r="DD85" i="12"/>
  <c r="DE85" i="12"/>
  <c r="DB85" i="12"/>
  <c r="DA85" i="12"/>
  <c r="DC85" i="12"/>
  <c r="DA445" i="12"/>
  <c r="DE445" i="12"/>
  <c r="DC445" i="12"/>
  <c r="DB445" i="12"/>
  <c r="DD445" i="12"/>
  <c r="DA13" i="12"/>
  <c r="DE13" i="12"/>
  <c r="DC13" i="12"/>
  <c r="DB13" i="12"/>
  <c r="DD13" i="12"/>
  <c r="DD157" i="12"/>
  <c r="DC157" i="12"/>
  <c r="DB157" i="12"/>
  <c r="DA157" i="12"/>
  <c r="DE157" i="12"/>
  <c r="DE427" i="12"/>
  <c r="DD427" i="12"/>
  <c r="DC427" i="12"/>
  <c r="DA427" i="12"/>
  <c r="DB427" i="12"/>
  <c r="DE193" i="12"/>
  <c r="DC193" i="12"/>
  <c r="DD193" i="12"/>
  <c r="DA193" i="12"/>
  <c r="DB193" i="12"/>
  <c r="DD121" i="12"/>
  <c r="DB121" i="12"/>
  <c r="DC121" i="12"/>
  <c r="DE121" i="12"/>
  <c r="DA121" i="12"/>
  <c r="DA67" i="12"/>
  <c r="DB67" i="12"/>
  <c r="DD67" i="12"/>
  <c r="DC67" i="12"/>
  <c r="DE67" i="12"/>
  <c r="DE319" i="12"/>
  <c r="DD319" i="12"/>
  <c r="DA319" i="12"/>
  <c r="DC319" i="12"/>
  <c r="DB319" i="12"/>
  <c r="DC337" i="12"/>
  <c r="DE337" i="12"/>
  <c r="DD337" i="12"/>
  <c r="DA337" i="12"/>
  <c r="DB337" i="12"/>
  <c r="DE463" i="12"/>
  <c r="DA463" i="12"/>
  <c r="DB463" i="12"/>
  <c r="DC463" i="12"/>
  <c r="DD463" i="12"/>
  <c r="DB265" i="12"/>
  <c r="DC265" i="12"/>
  <c r="DD265" i="12"/>
  <c r="DA265" i="12"/>
  <c r="DE265" i="12"/>
  <c r="DA49" i="12"/>
  <c r="DD49" i="12"/>
  <c r="DC49" i="12"/>
  <c r="DB49" i="12"/>
  <c r="DE49" i="12"/>
  <c r="DD103" i="12"/>
  <c r="DC103" i="12"/>
  <c r="DB103" i="12"/>
  <c r="DA103" i="12"/>
  <c r="DE103" i="12"/>
  <c r="DA31" i="12"/>
  <c r="DB31" i="12"/>
  <c r="DE31" i="12"/>
  <c r="DD31" i="12"/>
  <c r="DC31" i="12"/>
  <c r="DC301" i="12"/>
  <c r="DB301" i="12"/>
  <c r="DD301" i="12"/>
  <c r="DE301" i="12"/>
  <c r="DA301" i="12"/>
  <c r="DE391" i="12"/>
  <c r="DA391" i="12"/>
  <c r="DC391" i="12"/>
  <c r="DD391" i="12"/>
  <c r="DB391" i="12"/>
  <c r="DB283" i="12"/>
  <c r="DE283" i="12"/>
  <c r="DD283" i="12"/>
  <c r="DC283" i="12"/>
  <c r="DA283" i="12"/>
  <c r="DA2173" i="12"/>
  <c r="DB2173" i="12"/>
  <c r="DF2172" i="12" s="1"/>
  <c r="DC2173" i="12"/>
  <c r="DD2173" i="12"/>
  <c r="DE2173" i="12"/>
  <c r="IH50" i="12"/>
  <c r="IH67" i="12" s="1"/>
  <c r="HT62" i="12"/>
  <c r="HO63" i="12"/>
  <c r="P9" i="12"/>
  <c r="DE696" i="12"/>
  <c r="DD696" i="12"/>
  <c r="DB696" i="12"/>
  <c r="DA696" i="12"/>
  <c r="DC696" i="12"/>
  <c r="DB765" i="12"/>
  <c r="DE765" i="12"/>
  <c r="DA765" i="12"/>
  <c r="DD765" i="12"/>
  <c r="DC765" i="12"/>
  <c r="DA782" i="12"/>
  <c r="DC782" i="12"/>
  <c r="DB782" i="12"/>
  <c r="DE782" i="12"/>
  <c r="DD782" i="12"/>
  <c r="DD713" i="12"/>
  <c r="DE713" i="12"/>
  <c r="DB713" i="12"/>
  <c r="DA713" i="12"/>
  <c r="DC713" i="12"/>
  <c r="DA836" i="12"/>
  <c r="DD836" i="12"/>
  <c r="DB836" i="12"/>
  <c r="DC836" i="12"/>
  <c r="DE836" i="12"/>
  <c r="DB748" i="12"/>
  <c r="DE748" i="12"/>
  <c r="DC748" i="12"/>
  <c r="DD748" i="12"/>
  <c r="DA748" i="12"/>
  <c r="DE816" i="12"/>
  <c r="DB816" i="12"/>
  <c r="DD816" i="12"/>
  <c r="DC816" i="12"/>
  <c r="DA816" i="12"/>
  <c r="DA732" i="12"/>
  <c r="DC732" i="12"/>
  <c r="DB732" i="12"/>
  <c r="DD732" i="12"/>
  <c r="DE732" i="12"/>
  <c r="DB799" i="12"/>
  <c r="DA799" i="12"/>
  <c r="DE799" i="12"/>
  <c r="DD799" i="12"/>
  <c r="DC799" i="12"/>
  <c r="DE850" i="12"/>
  <c r="DA850" i="12"/>
  <c r="DE849" i="12"/>
  <c r="DD849" i="12"/>
  <c r="DB850" i="12"/>
  <c r="DD850" i="12"/>
  <c r="DA851" i="12"/>
  <c r="DE851" i="12"/>
  <c r="DB851" i="12"/>
  <c r="DD851" i="12"/>
  <c r="DC851" i="12"/>
  <c r="DC814" i="12"/>
  <c r="DD814" i="12"/>
  <c r="DB814" i="12"/>
  <c r="DA814" i="12"/>
  <c r="DE814" i="12"/>
  <c r="CX867" i="12"/>
  <c r="CY867" i="12" s="1"/>
  <c r="CX878" i="12"/>
  <c r="CY878" i="12" s="1"/>
  <c r="CX880" i="12"/>
  <c r="CY880" i="12" s="1"/>
  <c r="CX883" i="12"/>
  <c r="CY883" i="12" s="1"/>
  <c r="CX872" i="12"/>
  <c r="CY872" i="12" s="1"/>
  <c r="CX875" i="12"/>
  <c r="CY875" i="12" s="1"/>
  <c r="CX882" i="12"/>
  <c r="CY882" i="12" s="1"/>
  <c r="CX879" i="12"/>
  <c r="CY879" i="12" s="1"/>
  <c r="CX881" i="12"/>
  <c r="CY881" i="12" s="1"/>
  <c r="CX873" i="12"/>
  <c r="CY873" i="12" s="1"/>
  <c r="CX868" i="12"/>
  <c r="CY868" i="12" s="1"/>
  <c r="CX877" i="12"/>
  <c r="CY877" i="12" s="1"/>
  <c r="CX871" i="12"/>
  <c r="CY871" i="12" s="1"/>
  <c r="CX876" i="12"/>
  <c r="CY876" i="12" s="1"/>
  <c r="CX870" i="12"/>
  <c r="CY870" i="12" s="1"/>
  <c r="CX869" i="12"/>
  <c r="CY869" i="12" s="1"/>
  <c r="CX874" i="12"/>
  <c r="CY874" i="12" s="1"/>
  <c r="JH53" i="12"/>
  <c r="JK52" i="12"/>
  <c r="JL52" i="12" s="1"/>
  <c r="EA52" i="12" s="1"/>
  <c r="DD813" i="12"/>
  <c r="DE813" i="12"/>
  <c r="FU157" i="12"/>
  <c r="GR157" i="12" s="1"/>
  <c r="FR158" i="12"/>
  <c r="CY2252" i="12"/>
  <c r="CX2253" i="12"/>
  <c r="CZ302" i="12"/>
  <c r="CZ554" i="12"/>
  <c r="CZ817" i="12"/>
  <c r="CZ482" i="12"/>
  <c r="CZ536" i="12"/>
  <c r="CZ266" i="12"/>
  <c r="CZ122" i="12"/>
  <c r="CZ644" i="12"/>
  <c r="CZ733" i="12"/>
  <c r="CZ140" i="12"/>
  <c r="CZ158" i="12"/>
  <c r="CZ783" i="12"/>
  <c r="CZ464" i="12"/>
  <c r="CZ852" i="12"/>
  <c r="CZ518" i="12"/>
  <c r="CZ837" i="12"/>
  <c r="CZ50" i="12"/>
  <c r="CZ176" i="12"/>
  <c r="CZ86" i="12"/>
  <c r="CZ766" i="12"/>
  <c r="CZ374" i="12"/>
  <c r="CZ392" i="12"/>
  <c r="CZ248" i="12"/>
  <c r="CZ749" i="12"/>
  <c r="CZ320" i="12"/>
  <c r="CZ104" i="12"/>
  <c r="CZ32" i="12"/>
  <c r="CZ626" i="12"/>
  <c r="CZ68" i="12"/>
  <c r="CZ500" i="12"/>
  <c r="CZ662" i="12"/>
  <c r="CZ428" i="12"/>
  <c r="CZ572" i="12"/>
  <c r="CZ608" i="12"/>
  <c r="CZ590" i="12"/>
  <c r="CZ194" i="12"/>
  <c r="CZ356" i="12"/>
  <c r="CZ800" i="12"/>
  <c r="CZ2174" i="12"/>
  <c r="CZ212" i="12"/>
  <c r="CZ714" i="12"/>
  <c r="CZ230" i="12"/>
  <c r="CZ338" i="12"/>
  <c r="CZ697" i="12"/>
  <c r="CZ869" i="12"/>
  <c r="CZ284" i="12"/>
  <c r="CZ446" i="12"/>
  <c r="CZ680" i="12"/>
  <c r="CZ410" i="12"/>
  <c r="CZ14" i="12"/>
  <c r="DD662" i="12" l="1"/>
  <c r="DA662" i="12"/>
  <c r="DE662" i="12"/>
  <c r="DB662" i="12"/>
  <c r="DC662" i="12"/>
  <c r="DC518" i="12"/>
  <c r="DD518" i="12"/>
  <c r="DE518" i="12"/>
  <c r="DB518" i="12"/>
  <c r="DA518" i="12"/>
  <c r="DD482" i="12"/>
  <c r="DE482" i="12"/>
  <c r="DB482" i="12"/>
  <c r="DA482" i="12"/>
  <c r="DC482" i="12"/>
  <c r="DB644" i="12"/>
  <c r="DC644" i="12"/>
  <c r="DD644" i="12"/>
  <c r="DE644" i="12"/>
  <c r="DA644" i="12"/>
  <c r="DD500" i="12"/>
  <c r="DE500" i="12"/>
  <c r="DB500" i="12"/>
  <c r="DC500" i="12"/>
  <c r="DA500" i="12"/>
  <c r="DA608" i="12"/>
  <c r="DC608" i="12"/>
  <c r="DB608" i="12"/>
  <c r="DD608" i="12"/>
  <c r="DE608" i="12"/>
  <c r="DA572" i="12"/>
  <c r="DE572" i="12"/>
  <c r="DC572" i="12"/>
  <c r="DD572" i="12"/>
  <c r="DB572" i="12"/>
  <c r="DB680" i="12"/>
  <c r="DE680" i="12"/>
  <c r="DC680" i="12"/>
  <c r="DA680" i="12"/>
  <c r="DD680" i="12"/>
  <c r="DC554" i="12"/>
  <c r="DE554" i="12"/>
  <c r="DD554" i="12"/>
  <c r="DA554" i="12"/>
  <c r="DB554" i="12"/>
  <c r="DC2174" i="12"/>
  <c r="DB2174" i="12"/>
  <c r="DF2173" i="12" s="1"/>
  <c r="DA2174" i="12"/>
  <c r="DD2174" i="12"/>
  <c r="DE2174" i="12"/>
  <c r="DA392" i="12"/>
  <c r="DE392" i="12"/>
  <c r="DD392" i="12"/>
  <c r="DC392" i="12"/>
  <c r="DB392" i="12"/>
  <c r="DB32" i="12"/>
  <c r="DA32" i="12"/>
  <c r="DC32" i="12"/>
  <c r="DD32" i="12"/>
  <c r="DE32" i="12"/>
  <c r="DA50" i="12"/>
  <c r="DB50" i="12"/>
  <c r="DC50" i="12"/>
  <c r="DD50" i="12"/>
  <c r="DE50" i="12"/>
  <c r="DC266" i="12"/>
  <c r="DE266" i="12"/>
  <c r="DD266" i="12"/>
  <c r="DA266" i="12"/>
  <c r="DB266" i="12"/>
  <c r="DA338" i="12"/>
  <c r="DD338" i="12"/>
  <c r="DE338" i="12"/>
  <c r="DC338" i="12"/>
  <c r="DB338" i="12"/>
  <c r="DC122" i="12"/>
  <c r="DE122" i="12"/>
  <c r="DA122" i="12"/>
  <c r="DD122" i="12"/>
  <c r="DB122" i="12"/>
  <c r="DD428" i="12"/>
  <c r="DC428" i="12"/>
  <c r="DA428" i="12"/>
  <c r="DE428" i="12"/>
  <c r="DB428" i="12"/>
  <c r="DE158" i="12"/>
  <c r="DC158" i="12"/>
  <c r="DD158" i="12"/>
  <c r="DB158" i="12"/>
  <c r="DA158" i="12"/>
  <c r="DD446" i="12"/>
  <c r="DB446" i="12"/>
  <c r="DA446" i="12"/>
  <c r="DC446" i="12"/>
  <c r="DE446" i="12"/>
  <c r="DC230" i="12"/>
  <c r="DB230" i="12"/>
  <c r="DD230" i="12"/>
  <c r="DA230" i="12"/>
  <c r="DE230" i="12"/>
  <c r="DA212" i="12"/>
  <c r="DC212" i="12"/>
  <c r="DB212" i="12"/>
  <c r="DE212" i="12"/>
  <c r="DD212" i="12"/>
  <c r="DA176" i="12"/>
  <c r="DD176" i="12"/>
  <c r="DB176" i="12"/>
  <c r="DE176" i="12"/>
  <c r="DC176" i="12"/>
  <c r="DE248" i="12"/>
  <c r="DA248" i="12"/>
  <c r="DD248" i="12"/>
  <c r="DB248" i="12"/>
  <c r="DC248" i="12"/>
  <c r="DA590" i="12"/>
  <c r="DC590" i="12"/>
  <c r="DE590" i="12"/>
  <c r="DD590" i="12"/>
  <c r="DB590" i="12"/>
  <c r="DC536" i="12"/>
  <c r="DE536" i="12"/>
  <c r="DA536" i="12"/>
  <c r="DB536" i="12"/>
  <c r="DD536" i="12"/>
  <c r="DC626" i="12"/>
  <c r="DB626" i="12"/>
  <c r="DA626" i="12"/>
  <c r="DE626" i="12"/>
  <c r="DD626" i="12"/>
  <c r="DC284" i="12"/>
  <c r="DB284" i="12"/>
  <c r="DE284" i="12"/>
  <c r="DA284" i="12"/>
  <c r="DD284" i="12"/>
  <c r="DC302" i="12"/>
  <c r="DE302" i="12"/>
  <c r="DD302" i="12"/>
  <c r="DA302" i="12"/>
  <c r="DB302" i="12"/>
  <c r="DC104" i="12"/>
  <c r="DD104" i="12"/>
  <c r="DA104" i="12"/>
  <c r="DE104" i="12"/>
  <c r="DB104" i="12"/>
  <c r="DC464" i="12"/>
  <c r="DB464" i="12"/>
  <c r="DD464" i="12"/>
  <c r="DA464" i="12"/>
  <c r="DE464" i="12"/>
  <c r="DE320" i="12"/>
  <c r="DC320" i="12"/>
  <c r="DD320" i="12"/>
  <c r="DB320" i="12"/>
  <c r="DA320" i="12"/>
  <c r="DA68" i="12"/>
  <c r="DC68" i="12"/>
  <c r="DD68" i="12"/>
  <c r="DB68" i="12"/>
  <c r="DE68" i="12"/>
  <c r="DE194" i="12"/>
  <c r="DA194" i="12"/>
  <c r="DB194" i="12"/>
  <c r="DC194" i="12"/>
  <c r="DD194" i="12"/>
  <c r="DD14" i="12"/>
  <c r="DC14" i="12"/>
  <c r="DE14" i="12"/>
  <c r="DA14" i="12"/>
  <c r="DB14" i="12"/>
  <c r="DE86" i="12"/>
  <c r="DB86" i="12"/>
  <c r="DD86" i="12"/>
  <c r="DC86" i="12"/>
  <c r="DA86" i="12"/>
  <c r="DE140" i="12"/>
  <c r="DA140" i="12"/>
  <c r="DD140" i="12"/>
  <c r="DC140" i="12"/>
  <c r="DB140" i="12"/>
  <c r="DD374" i="12"/>
  <c r="DB374" i="12"/>
  <c r="DE374" i="12"/>
  <c r="DC374" i="12"/>
  <c r="DA374" i="12"/>
  <c r="DB356" i="12"/>
  <c r="DC356" i="12"/>
  <c r="DD356" i="12"/>
  <c r="DE356" i="12"/>
  <c r="DA356" i="12"/>
  <c r="DB410" i="12"/>
  <c r="DD410" i="12"/>
  <c r="DE410" i="12"/>
  <c r="DA410" i="12"/>
  <c r="DC410" i="12"/>
  <c r="IH68" i="12"/>
  <c r="IH69" i="12" s="1"/>
  <c r="HT63" i="12"/>
  <c r="HO64" i="12"/>
  <c r="P10" i="12"/>
  <c r="DE852" i="12"/>
  <c r="DA852" i="12"/>
  <c r="DD852" i="12"/>
  <c r="DC852" i="12"/>
  <c r="DB852" i="12"/>
  <c r="DC800" i="12"/>
  <c r="DA800" i="12"/>
  <c r="DD800" i="12"/>
  <c r="DB800" i="12"/>
  <c r="DE800" i="12"/>
  <c r="DA817" i="12"/>
  <c r="DB817" i="12"/>
  <c r="DC817" i="12"/>
  <c r="DD817" i="12"/>
  <c r="DE817" i="12"/>
  <c r="DC749" i="12"/>
  <c r="DE749" i="12"/>
  <c r="DA749" i="12"/>
  <c r="DD749" i="12"/>
  <c r="DB749" i="12"/>
  <c r="DE714" i="12"/>
  <c r="DC714" i="12"/>
  <c r="DB714" i="12"/>
  <c r="DA714" i="12"/>
  <c r="DD714" i="12"/>
  <c r="DE766" i="12"/>
  <c r="DC766" i="12"/>
  <c r="DB766" i="12"/>
  <c r="DA766" i="12"/>
  <c r="DD766" i="12"/>
  <c r="DD697" i="12"/>
  <c r="DE697" i="12"/>
  <c r="DA697" i="12"/>
  <c r="DB697" i="12"/>
  <c r="DC697" i="12"/>
  <c r="DB733" i="12"/>
  <c r="DC733" i="12"/>
  <c r="DD733" i="12"/>
  <c r="DA733" i="12"/>
  <c r="DE733" i="12"/>
  <c r="DE837" i="12"/>
  <c r="DB837" i="12"/>
  <c r="DD837" i="12"/>
  <c r="DC837" i="12"/>
  <c r="DA837" i="12"/>
  <c r="DE783" i="12"/>
  <c r="DA783" i="12"/>
  <c r="DB783" i="12"/>
  <c r="DD783" i="12"/>
  <c r="DC783" i="12"/>
  <c r="DA869" i="12"/>
  <c r="DC869" i="12"/>
  <c r="DE869" i="12"/>
  <c r="DB869" i="12"/>
  <c r="DD869" i="12"/>
  <c r="CX895" i="12"/>
  <c r="CY895" i="12" s="1"/>
  <c r="CX901" i="12"/>
  <c r="CY901" i="12" s="1"/>
  <c r="CX893" i="12"/>
  <c r="CY893" i="12" s="1"/>
  <c r="CX896" i="12"/>
  <c r="CY896" i="12" s="1"/>
  <c r="CX894" i="12"/>
  <c r="CY894" i="12" s="1"/>
  <c r="CX890" i="12"/>
  <c r="CY890" i="12" s="1"/>
  <c r="CX898" i="12"/>
  <c r="CY898" i="12" s="1"/>
  <c r="CX887" i="12"/>
  <c r="CY887" i="12" s="1"/>
  <c r="CX889" i="12"/>
  <c r="CY889" i="12" s="1"/>
  <c r="CX891" i="12"/>
  <c r="CY891" i="12" s="1"/>
  <c r="CX885" i="12"/>
  <c r="CY885" i="12" s="1"/>
  <c r="DC885" i="12" s="1"/>
  <c r="DB885" i="12" s="1"/>
  <c r="DD886" i="12" s="1"/>
  <c r="CX886" i="12"/>
  <c r="CY886" i="12" s="1"/>
  <c r="CX897" i="12"/>
  <c r="CY897" i="12" s="1"/>
  <c r="CX899" i="12"/>
  <c r="CY899" i="12" s="1"/>
  <c r="CX888" i="12"/>
  <c r="CY888" i="12" s="1"/>
  <c r="CX892" i="12"/>
  <c r="CY892" i="12" s="1"/>
  <c r="CX900" i="12"/>
  <c r="CY900" i="12" s="1"/>
  <c r="JK53" i="12"/>
  <c r="JL53" i="12" s="1"/>
  <c r="EA53" i="12" s="1"/>
  <c r="JH54" i="12"/>
  <c r="JH55" i="12" s="1"/>
  <c r="JK55" i="12" s="1"/>
  <c r="JL55" i="12" s="1"/>
  <c r="EA55" i="12" s="1"/>
  <c r="CX943" i="12" s="1"/>
  <c r="CY943" i="12" s="1"/>
  <c r="DC867" i="12"/>
  <c r="FU158" i="12"/>
  <c r="GR158" i="12" s="1"/>
  <c r="FR159" i="12"/>
  <c r="CX2254" i="12"/>
  <c r="CY2253" i="12"/>
  <c r="CZ447" i="12"/>
  <c r="CZ321" i="12"/>
  <c r="CZ357" i="12"/>
  <c r="CZ51" i="12"/>
  <c r="CZ339" i="12"/>
  <c r="CZ555" i="12"/>
  <c r="CZ213" i="12"/>
  <c r="CZ141" i="12"/>
  <c r="CZ818" i="12"/>
  <c r="CZ411" i="12"/>
  <c r="CZ573" i="12"/>
  <c r="CZ801" i="12"/>
  <c r="CZ177" i="12"/>
  <c r="CZ870" i="12"/>
  <c r="CZ537" i="12"/>
  <c r="CZ33" i="12"/>
  <c r="CZ887" i="12"/>
  <c r="CZ627" i="12"/>
  <c r="CZ87" i="12"/>
  <c r="CZ249" i="12"/>
  <c r="CZ429" i="12"/>
  <c r="CZ645" i="12"/>
  <c r="CZ123" i="12"/>
  <c r="CZ267" i="12"/>
  <c r="CZ375" i="12"/>
  <c r="CZ698" i="12"/>
  <c r="CZ591" i="12"/>
  <c r="CZ681" i="12"/>
  <c r="CZ2175" i="12"/>
  <c r="CZ303" i="12"/>
  <c r="CZ231" i="12"/>
  <c r="CZ715" i="12"/>
  <c r="CZ465" i="12"/>
  <c r="CZ483" i="12"/>
  <c r="CZ750" i="12"/>
  <c r="CZ393" i="12"/>
  <c r="CZ69" i="12"/>
  <c r="CZ663" i="12"/>
  <c r="CZ609" i="12"/>
  <c r="CZ767" i="12"/>
  <c r="CZ784" i="12"/>
  <c r="CZ501" i="12"/>
  <c r="CZ15" i="12"/>
  <c r="CZ838" i="12"/>
  <c r="CZ105" i="12"/>
  <c r="CZ734" i="12"/>
  <c r="CZ159" i="12"/>
  <c r="CZ195" i="12"/>
  <c r="CZ853" i="12"/>
  <c r="CZ519" i="12"/>
  <c r="CZ285" i="12"/>
  <c r="DB681" i="12" l="1"/>
  <c r="DC681" i="12"/>
  <c r="DD681" i="12"/>
  <c r="DA681" i="12"/>
  <c r="DE681" i="12"/>
  <c r="DA573" i="12"/>
  <c r="DE573" i="12"/>
  <c r="DC573" i="12"/>
  <c r="DB573" i="12"/>
  <c r="DD573" i="12"/>
  <c r="DA501" i="12"/>
  <c r="DE501" i="12"/>
  <c r="DB501" i="12"/>
  <c r="DC501" i="12"/>
  <c r="DD501" i="12"/>
  <c r="DC645" i="12"/>
  <c r="DA645" i="12"/>
  <c r="DB645" i="12"/>
  <c r="DD645" i="12"/>
  <c r="DE645" i="12"/>
  <c r="DD483" i="12"/>
  <c r="DA483" i="12"/>
  <c r="DE483" i="12"/>
  <c r="DC483" i="12"/>
  <c r="DB483" i="12"/>
  <c r="DA609" i="12"/>
  <c r="DE609" i="12"/>
  <c r="DC609" i="12"/>
  <c r="DB609" i="12"/>
  <c r="DD609" i="12"/>
  <c r="DE519" i="12"/>
  <c r="DA519" i="12"/>
  <c r="DD519" i="12"/>
  <c r="DC519" i="12"/>
  <c r="DB519" i="12"/>
  <c r="DD663" i="12"/>
  <c r="DA663" i="12"/>
  <c r="DB663" i="12"/>
  <c r="DE663" i="12"/>
  <c r="DC663" i="12"/>
  <c r="DB555" i="12"/>
  <c r="DD555" i="12"/>
  <c r="DC555" i="12"/>
  <c r="DE555" i="12"/>
  <c r="DA555" i="12"/>
  <c r="DE411" i="12"/>
  <c r="DC411" i="12"/>
  <c r="DA411" i="12"/>
  <c r="DD411" i="12"/>
  <c r="DB411" i="12"/>
  <c r="DE375" i="12"/>
  <c r="DA375" i="12"/>
  <c r="DD375" i="12"/>
  <c r="DB375" i="12"/>
  <c r="DC375" i="12"/>
  <c r="DD87" i="12"/>
  <c r="DA87" i="12"/>
  <c r="DB87" i="12"/>
  <c r="DE87" i="12"/>
  <c r="DC87" i="12"/>
  <c r="DB195" i="12"/>
  <c r="DE195" i="12"/>
  <c r="DD195" i="12"/>
  <c r="DC195" i="12"/>
  <c r="DA195" i="12"/>
  <c r="DD321" i="12"/>
  <c r="DC321" i="12"/>
  <c r="DB321" i="12"/>
  <c r="DE321" i="12"/>
  <c r="DA321" i="12"/>
  <c r="DC105" i="12"/>
  <c r="DE105" i="12"/>
  <c r="DA105" i="12"/>
  <c r="DD105" i="12"/>
  <c r="DB105" i="12"/>
  <c r="DE285" i="12"/>
  <c r="DC285" i="12"/>
  <c r="DD285" i="12"/>
  <c r="DB285" i="12"/>
  <c r="DA285" i="12"/>
  <c r="DB249" i="12"/>
  <c r="DE249" i="12"/>
  <c r="DC249" i="12"/>
  <c r="DA249" i="12"/>
  <c r="DD249" i="12"/>
  <c r="DD213" i="12"/>
  <c r="DB213" i="12"/>
  <c r="DE213" i="12"/>
  <c r="DC213" i="12"/>
  <c r="DA213" i="12"/>
  <c r="DB447" i="12"/>
  <c r="DE447" i="12"/>
  <c r="DC447" i="12"/>
  <c r="DA447" i="12"/>
  <c r="DD447" i="12"/>
  <c r="DC267" i="12"/>
  <c r="DA267" i="12"/>
  <c r="DE267" i="12"/>
  <c r="DB267" i="12"/>
  <c r="DD267" i="12"/>
  <c r="DE33" i="12"/>
  <c r="DC33" i="12"/>
  <c r="DD33" i="12"/>
  <c r="DB33" i="12"/>
  <c r="DA33" i="12"/>
  <c r="DB2175" i="12"/>
  <c r="DF2174" i="12" s="1"/>
  <c r="DA2175" i="12"/>
  <c r="DC2175" i="12"/>
  <c r="DD2175" i="12"/>
  <c r="DE2175" i="12"/>
  <c r="DE627" i="12"/>
  <c r="DC627" i="12"/>
  <c r="DB627" i="12"/>
  <c r="DA627" i="12"/>
  <c r="DD627" i="12"/>
  <c r="DB537" i="12"/>
  <c r="DA537" i="12"/>
  <c r="DD537" i="12"/>
  <c r="DC537" i="12"/>
  <c r="DE537" i="12"/>
  <c r="DD357" i="12"/>
  <c r="DA357" i="12"/>
  <c r="DE357" i="12"/>
  <c r="DC357" i="12"/>
  <c r="DB357" i="12"/>
  <c r="DA141" i="12"/>
  <c r="DB141" i="12"/>
  <c r="DC141" i="12"/>
  <c r="DE141" i="12"/>
  <c r="DD141" i="12"/>
  <c r="DA15" i="12"/>
  <c r="DB15" i="12"/>
  <c r="DD15" i="12"/>
  <c r="DE15" i="12"/>
  <c r="DC15" i="12"/>
  <c r="DD69" i="12"/>
  <c r="DA69" i="12"/>
  <c r="DE69" i="12"/>
  <c r="DC69" i="12"/>
  <c r="DB69" i="12"/>
  <c r="DE465" i="12"/>
  <c r="DC465" i="12"/>
  <c r="DA465" i="12"/>
  <c r="DD465" i="12"/>
  <c r="DB465" i="12"/>
  <c r="DD303" i="12"/>
  <c r="DB303" i="12"/>
  <c r="DE303" i="12"/>
  <c r="DA303" i="12"/>
  <c r="DC303" i="12"/>
  <c r="DB591" i="12"/>
  <c r="DE591" i="12"/>
  <c r="DA591" i="12"/>
  <c r="DC591" i="12"/>
  <c r="DD591" i="12"/>
  <c r="DD177" i="12"/>
  <c r="DA177" i="12"/>
  <c r="DC177" i="12"/>
  <c r="DB177" i="12"/>
  <c r="DE177" i="12"/>
  <c r="DB231" i="12"/>
  <c r="DA231" i="12"/>
  <c r="DE231" i="12"/>
  <c r="DC231" i="12"/>
  <c r="DD231" i="12"/>
  <c r="DA159" i="12"/>
  <c r="DC159" i="12"/>
  <c r="DB159" i="12"/>
  <c r="DD159" i="12"/>
  <c r="DE159" i="12"/>
  <c r="DB429" i="12"/>
  <c r="DA429" i="12"/>
  <c r="DE429" i="12"/>
  <c r="DC429" i="12"/>
  <c r="DD429" i="12"/>
  <c r="DD123" i="12"/>
  <c r="DE123" i="12"/>
  <c r="DC123" i="12"/>
  <c r="DB123" i="12"/>
  <c r="DA123" i="12"/>
  <c r="DA339" i="12"/>
  <c r="DC339" i="12"/>
  <c r="DE339" i="12"/>
  <c r="DD339" i="12"/>
  <c r="DB339" i="12"/>
  <c r="DB51" i="12"/>
  <c r="DE51" i="12"/>
  <c r="DA51" i="12"/>
  <c r="DC51" i="12"/>
  <c r="DD51" i="12"/>
  <c r="DC393" i="12"/>
  <c r="DA393" i="12"/>
  <c r="DE393" i="12"/>
  <c r="DB393" i="12"/>
  <c r="DD393" i="12"/>
  <c r="IH79" i="12"/>
  <c r="IH80" i="12" s="1"/>
  <c r="IH85" i="12" s="1"/>
  <c r="HT64" i="12"/>
  <c r="HO65" i="12"/>
  <c r="P11" i="12"/>
  <c r="DF1" i="12"/>
  <c r="DA784" i="12"/>
  <c r="DE784" i="12"/>
  <c r="DB784" i="12"/>
  <c r="DC784" i="12"/>
  <c r="DD784" i="12"/>
  <c r="DA853" i="12"/>
  <c r="DC853" i="12"/>
  <c r="DD853" i="12"/>
  <c r="DE853" i="12"/>
  <c r="DB853" i="12"/>
  <c r="DA698" i="12"/>
  <c r="DC698" i="12"/>
  <c r="DB698" i="12"/>
  <c r="DD698" i="12"/>
  <c r="DE698" i="12"/>
  <c r="DB715" i="12"/>
  <c r="DD715" i="12"/>
  <c r="DA715" i="12"/>
  <c r="DE715" i="12"/>
  <c r="DC715" i="12"/>
  <c r="DA750" i="12"/>
  <c r="DC750" i="12"/>
  <c r="DE750" i="12"/>
  <c r="DD750" i="12"/>
  <c r="DB750" i="12"/>
  <c r="DA838" i="12"/>
  <c r="DC838" i="12"/>
  <c r="DD838" i="12"/>
  <c r="DB838" i="12"/>
  <c r="DE838" i="12"/>
  <c r="DA734" i="12"/>
  <c r="DB734" i="12"/>
  <c r="DC734" i="12"/>
  <c r="DE734" i="12"/>
  <c r="DD734" i="12"/>
  <c r="DA801" i="12"/>
  <c r="DD801" i="12"/>
  <c r="DB801" i="12"/>
  <c r="DC801" i="12"/>
  <c r="DE801" i="12"/>
  <c r="DA870" i="12"/>
  <c r="DD870" i="12"/>
  <c r="DB870" i="12"/>
  <c r="DC870" i="12"/>
  <c r="DE870" i="12"/>
  <c r="DE767" i="12"/>
  <c r="DD767" i="12"/>
  <c r="DB767" i="12"/>
  <c r="DA767" i="12"/>
  <c r="DC767" i="12"/>
  <c r="DA818" i="12"/>
  <c r="DE818" i="12"/>
  <c r="DD818" i="12"/>
  <c r="DB818" i="12"/>
  <c r="DC818" i="12"/>
  <c r="DC887" i="12"/>
  <c r="DB887" i="12"/>
  <c r="DE887" i="12"/>
  <c r="DA887" i="12"/>
  <c r="DD887" i="12"/>
  <c r="DD867" i="12"/>
  <c r="DE867" i="12"/>
  <c r="CX949" i="12"/>
  <c r="CY949" i="12" s="1"/>
  <c r="CX946" i="12"/>
  <c r="CY946" i="12" s="1"/>
  <c r="CX950" i="12"/>
  <c r="CY950" i="12" s="1"/>
  <c r="CX953" i="12"/>
  <c r="CY953" i="12" s="1"/>
  <c r="DB886" i="12"/>
  <c r="CX945" i="12"/>
  <c r="CY945" i="12" s="1"/>
  <c r="CX947" i="12"/>
  <c r="CY947" i="12" s="1"/>
  <c r="CX942" i="12"/>
  <c r="CY942" i="12" s="1"/>
  <c r="CX940" i="12"/>
  <c r="CY940" i="12" s="1"/>
  <c r="CX948" i="12"/>
  <c r="CY948" i="12" s="1"/>
  <c r="DA886" i="12"/>
  <c r="DE885" i="12"/>
  <c r="CX919" i="12"/>
  <c r="CY919" i="12" s="1"/>
  <c r="CX916" i="12"/>
  <c r="CY916" i="12" s="1"/>
  <c r="CX913" i="12"/>
  <c r="CY913" i="12" s="1"/>
  <c r="CX910" i="12"/>
  <c r="CY910" i="12" s="1"/>
  <c r="CX917" i="12"/>
  <c r="CY917" i="12" s="1"/>
  <c r="CX906" i="12"/>
  <c r="CY906" i="12" s="1"/>
  <c r="CX905" i="12"/>
  <c r="CY905" i="12" s="1"/>
  <c r="CX914" i="12"/>
  <c r="CY914" i="12" s="1"/>
  <c r="CX909" i="12"/>
  <c r="CY909" i="12" s="1"/>
  <c r="CX915" i="12"/>
  <c r="CY915" i="12" s="1"/>
  <c r="CX912" i="12"/>
  <c r="CY912" i="12" s="1"/>
  <c r="CX911" i="12"/>
  <c r="CY911" i="12" s="1"/>
  <c r="CX908" i="12"/>
  <c r="CY908" i="12" s="1"/>
  <c r="CX903" i="12"/>
  <c r="CY903" i="12" s="1"/>
  <c r="CX904" i="12"/>
  <c r="CY904" i="12" s="1"/>
  <c r="CX907" i="12"/>
  <c r="CY907" i="12" s="1"/>
  <c r="CX918" i="12"/>
  <c r="CY918" i="12" s="1"/>
  <c r="CX944" i="12"/>
  <c r="CY944" i="12" s="1"/>
  <c r="CX952" i="12"/>
  <c r="CY952" i="12" s="1"/>
  <c r="CX939" i="12"/>
  <c r="CY939" i="12" s="1"/>
  <c r="DC939" i="12" s="1"/>
  <c r="DE939" i="12" s="1"/>
  <c r="CX954" i="12"/>
  <c r="CY954" i="12" s="1"/>
  <c r="DC886" i="12"/>
  <c r="DE886" i="12"/>
  <c r="CX955" i="12"/>
  <c r="CY955" i="12" s="1"/>
  <c r="CX951" i="12"/>
  <c r="CY951" i="12" s="1"/>
  <c r="CX941" i="12"/>
  <c r="CY941" i="12" s="1"/>
  <c r="DD885" i="12"/>
  <c r="DB867" i="12"/>
  <c r="JK54" i="12"/>
  <c r="JL54" i="12" s="1"/>
  <c r="EA54" i="12" s="1"/>
  <c r="JH56" i="12"/>
  <c r="JK56" i="12" s="1"/>
  <c r="JL56" i="12" s="1"/>
  <c r="EA56" i="12" s="1"/>
  <c r="CX970" i="12" s="1"/>
  <c r="CY970" i="12" s="1"/>
  <c r="FU159" i="12"/>
  <c r="GR159" i="12" s="1"/>
  <c r="FR160" i="12"/>
  <c r="CX2255" i="12"/>
  <c r="CY2254" i="12"/>
  <c r="CZ664" i="12"/>
  <c r="CZ735" i="12"/>
  <c r="CZ268" i="12"/>
  <c r="CZ358" i="12"/>
  <c r="CZ52" i="12"/>
  <c r="CZ322" i="12"/>
  <c r="CZ178" i="12"/>
  <c r="CZ106" i="12"/>
  <c r="CZ610" i="12"/>
  <c r="CZ448" i="12"/>
  <c r="CZ250" i="12"/>
  <c r="CZ430" i="12"/>
  <c r="CZ484" i="12"/>
  <c r="CZ466" i="12"/>
  <c r="CZ502" i="12"/>
  <c r="CZ88" i="12"/>
  <c r="CZ751" i="12"/>
  <c r="CZ768" i="12"/>
  <c r="CZ716" i="12"/>
  <c r="CZ802" i="12"/>
  <c r="CZ2176" i="12"/>
  <c r="CZ628" i="12"/>
  <c r="CZ888" i="12"/>
  <c r="CZ196" i="12"/>
  <c r="CZ304" i="12"/>
  <c r="CZ412" i="12"/>
  <c r="CZ232" i="12"/>
  <c r="CZ160" i="12"/>
  <c r="CZ854" i="12"/>
  <c r="CZ520" i="12"/>
  <c r="CZ905" i="12"/>
  <c r="CZ340" i="12"/>
  <c r="CZ394" i="12"/>
  <c r="CZ574" i="12"/>
  <c r="CZ556" i="12"/>
  <c r="CZ941" i="12"/>
  <c r="CZ34" i="12"/>
  <c r="CZ682" i="12"/>
  <c r="CZ871" i="12"/>
  <c r="CZ142" i="12"/>
  <c r="CZ699" i="12"/>
  <c r="CZ214" i="12"/>
  <c r="CZ646" i="12"/>
  <c r="CZ124" i="12"/>
  <c r="CZ376" i="12"/>
  <c r="CZ839" i="12"/>
  <c r="CZ819" i="12"/>
  <c r="CZ592" i="12"/>
  <c r="CZ70" i="12"/>
  <c r="CZ538" i="12"/>
  <c r="CZ785" i="12"/>
  <c r="CZ286" i="12"/>
  <c r="CZ16" i="12"/>
  <c r="DA664" i="12" l="1"/>
  <c r="DE664" i="12"/>
  <c r="DD664" i="12"/>
  <c r="DB664" i="12"/>
  <c r="DC664" i="12"/>
  <c r="DA502" i="12"/>
  <c r="DE502" i="12"/>
  <c r="DC502" i="12"/>
  <c r="DD502" i="12"/>
  <c r="DB502" i="12"/>
  <c r="DD574" i="12"/>
  <c r="DB574" i="12"/>
  <c r="DE574" i="12"/>
  <c r="DA574" i="12"/>
  <c r="DC574" i="12"/>
  <c r="DA484" i="12"/>
  <c r="DE484" i="12"/>
  <c r="DC484" i="12"/>
  <c r="DB484" i="12"/>
  <c r="DD484" i="12"/>
  <c r="DA646" i="12"/>
  <c r="DE646" i="12"/>
  <c r="DC646" i="12"/>
  <c r="DB646" i="12"/>
  <c r="DD646" i="12"/>
  <c r="DD682" i="12"/>
  <c r="DA682" i="12"/>
  <c r="DB682" i="12"/>
  <c r="DE682" i="12"/>
  <c r="DC682" i="12"/>
  <c r="DE610" i="12"/>
  <c r="DB610" i="12"/>
  <c r="DD610" i="12"/>
  <c r="DC610" i="12"/>
  <c r="DA610" i="12"/>
  <c r="DB520" i="12"/>
  <c r="DC520" i="12"/>
  <c r="DD520" i="12"/>
  <c r="DA520" i="12"/>
  <c r="DE520" i="12"/>
  <c r="DD556" i="12"/>
  <c r="DA556" i="12"/>
  <c r="DC556" i="12"/>
  <c r="DE556" i="12"/>
  <c r="DB556" i="12"/>
  <c r="DC538" i="12"/>
  <c r="DA538" i="12"/>
  <c r="DD538" i="12"/>
  <c r="DE538" i="12"/>
  <c r="DB538" i="12"/>
  <c r="DC394" i="12"/>
  <c r="DA394" i="12"/>
  <c r="DE394" i="12"/>
  <c r="DD394" i="12"/>
  <c r="DB394" i="12"/>
  <c r="DB340" i="12"/>
  <c r="DE340" i="12"/>
  <c r="DD340" i="12"/>
  <c r="DA340" i="12"/>
  <c r="DC340" i="12"/>
  <c r="DD430" i="12"/>
  <c r="DB430" i="12"/>
  <c r="DC430" i="12"/>
  <c r="DE430" i="12"/>
  <c r="DA430" i="12"/>
  <c r="DD232" i="12"/>
  <c r="DA232" i="12"/>
  <c r="DE232" i="12"/>
  <c r="DC232" i="12"/>
  <c r="DB232" i="12"/>
  <c r="DC592" i="12"/>
  <c r="DB592" i="12"/>
  <c r="DA592" i="12"/>
  <c r="DD592" i="12"/>
  <c r="DE592" i="12"/>
  <c r="DA304" i="12"/>
  <c r="DB304" i="12"/>
  <c r="DD304" i="12"/>
  <c r="DC304" i="12"/>
  <c r="DE304" i="12"/>
  <c r="DC70" i="12"/>
  <c r="DB70" i="12"/>
  <c r="DA70" i="12"/>
  <c r="DE70" i="12"/>
  <c r="DD70" i="12"/>
  <c r="DC142" i="12"/>
  <c r="DD142" i="12"/>
  <c r="DA142" i="12"/>
  <c r="DB142" i="12"/>
  <c r="DE142" i="12"/>
  <c r="DC628" i="12"/>
  <c r="DA628" i="12"/>
  <c r="DE628" i="12"/>
  <c r="DB628" i="12"/>
  <c r="DD628" i="12"/>
  <c r="DA2176" i="12"/>
  <c r="DE2176" i="12"/>
  <c r="DC2176" i="12"/>
  <c r="DB2176" i="12"/>
  <c r="DF2175" i="12" s="1"/>
  <c r="DD2176" i="12"/>
  <c r="DD268" i="12"/>
  <c r="DE268" i="12"/>
  <c r="DC268" i="12"/>
  <c r="DA268" i="12"/>
  <c r="DB268" i="12"/>
  <c r="DC214" i="12"/>
  <c r="DB214" i="12"/>
  <c r="DE214" i="12"/>
  <c r="DD214" i="12"/>
  <c r="DA214" i="12"/>
  <c r="DD106" i="12"/>
  <c r="DB106" i="12"/>
  <c r="DA106" i="12"/>
  <c r="DE106" i="12"/>
  <c r="DC106" i="12"/>
  <c r="DC196" i="12"/>
  <c r="DE196" i="12"/>
  <c r="DA196" i="12"/>
  <c r="DB196" i="12"/>
  <c r="DD196" i="12"/>
  <c r="DB376" i="12"/>
  <c r="DA376" i="12"/>
  <c r="DD376" i="12"/>
  <c r="DC376" i="12"/>
  <c r="DE376" i="12"/>
  <c r="DD52" i="12"/>
  <c r="DE52" i="12"/>
  <c r="DA52" i="12"/>
  <c r="DB52" i="12"/>
  <c r="DC52" i="12"/>
  <c r="DC124" i="12"/>
  <c r="DA124" i="12"/>
  <c r="DB124" i="12"/>
  <c r="DD124" i="12"/>
  <c r="DE124" i="12"/>
  <c r="DB160" i="12"/>
  <c r="DE160" i="12"/>
  <c r="DC160" i="12"/>
  <c r="DD160" i="12"/>
  <c r="DA160" i="12"/>
  <c r="DB178" i="12"/>
  <c r="DE178" i="12"/>
  <c r="DD178" i="12"/>
  <c r="DA178" i="12"/>
  <c r="DC178" i="12"/>
  <c r="DC466" i="12"/>
  <c r="DE466" i="12"/>
  <c r="DB466" i="12"/>
  <c r="DA466" i="12"/>
  <c r="DD466" i="12"/>
  <c r="DD16" i="12"/>
  <c r="DE16" i="12"/>
  <c r="DA16" i="12"/>
  <c r="DB16" i="12"/>
  <c r="DC16" i="12"/>
  <c r="DA358" i="12"/>
  <c r="DC358" i="12"/>
  <c r="DD358" i="12"/>
  <c r="DE358" i="12"/>
  <c r="DB358" i="12"/>
  <c r="DC34" i="12"/>
  <c r="DE34" i="12"/>
  <c r="DA34" i="12"/>
  <c r="DD34" i="12"/>
  <c r="DB34" i="12"/>
  <c r="DE448" i="12"/>
  <c r="DC448" i="12"/>
  <c r="DA448" i="12"/>
  <c r="DB448" i="12"/>
  <c r="DD448" i="12"/>
  <c r="DA250" i="12"/>
  <c r="DE250" i="12"/>
  <c r="DD250" i="12"/>
  <c r="DC250" i="12"/>
  <c r="DB250" i="12"/>
  <c r="DA286" i="12"/>
  <c r="DB286" i="12"/>
  <c r="DC286" i="12"/>
  <c r="DE286" i="12"/>
  <c r="DD286" i="12"/>
  <c r="DA322" i="12"/>
  <c r="DC322" i="12"/>
  <c r="DD322" i="12"/>
  <c r="DE322" i="12"/>
  <c r="DB322" i="12"/>
  <c r="DC88" i="12"/>
  <c r="DE88" i="12"/>
  <c r="DD88" i="12"/>
  <c r="DB88" i="12"/>
  <c r="DA88" i="12"/>
  <c r="DE412" i="12"/>
  <c r="DA412" i="12"/>
  <c r="DB412" i="12"/>
  <c r="DC412" i="12"/>
  <c r="DD412" i="12"/>
  <c r="IH91" i="12"/>
  <c r="IH92" i="12" s="1"/>
  <c r="HT65" i="12"/>
  <c r="HO66" i="12"/>
  <c r="P12" i="12"/>
  <c r="DH10" i="12"/>
  <c r="DH8" i="12"/>
  <c r="DH11" i="12"/>
  <c r="DH12" i="12" s="1"/>
  <c r="DH13" i="12"/>
  <c r="DH22" i="12"/>
  <c r="DH4" i="12"/>
  <c r="DH5" i="12"/>
  <c r="DH3" i="12"/>
  <c r="DH20" i="12"/>
  <c r="DH9" i="12"/>
  <c r="DH7" i="12"/>
  <c r="DH21" i="12"/>
  <c r="DH19" i="12"/>
  <c r="DH23" i="12"/>
  <c r="DH24" i="12" s="1"/>
  <c r="DH6" i="12"/>
  <c r="DH25" i="12"/>
  <c r="DH73" i="12"/>
  <c r="DH60" i="12"/>
  <c r="DH31" i="12"/>
  <c r="DH47" i="12"/>
  <c r="DH40" i="12"/>
  <c r="DH72" i="12"/>
  <c r="DH44" i="12"/>
  <c r="DH39" i="12"/>
  <c r="DH58" i="12"/>
  <c r="DH59" i="12" s="1"/>
  <c r="DH45" i="12"/>
  <c r="DH52" i="12"/>
  <c r="DH74" i="12"/>
  <c r="DH35" i="12"/>
  <c r="DH70" i="12"/>
  <c r="DH42" i="12"/>
  <c r="DH80" i="12"/>
  <c r="DH51" i="12"/>
  <c r="DH33" i="12"/>
  <c r="DH71" i="12"/>
  <c r="DH82" i="12"/>
  <c r="DH46" i="12"/>
  <c r="DH75" i="12"/>
  <c r="DH38" i="12"/>
  <c r="DH78" i="12"/>
  <c r="DH77" i="12"/>
  <c r="DH41" i="12"/>
  <c r="DH37" i="12"/>
  <c r="DH61" i="12"/>
  <c r="DH62" i="12" s="1"/>
  <c r="DH63" i="12" s="1"/>
  <c r="DH64" i="12" s="1"/>
  <c r="DH65" i="12" s="1"/>
  <c r="DH66" i="12" s="1"/>
  <c r="DH67" i="12" s="1"/>
  <c r="DH68" i="12" s="1"/>
  <c r="DH69" i="12" s="1"/>
  <c r="DH48" i="12"/>
  <c r="DH49" i="12" s="1"/>
  <c r="DH32" i="12"/>
  <c r="DH76" i="12"/>
  <c r="DH83" i="12"/>
  <c r="DH50" i="12"/>
  <c r="DH43" i="12"/>
  <c r="DH79" i="12"/>
  <c r="DH81" i="12"/>
  <c r="DH36" i="12"/>
  <c r="DH30" i="12"/>
  <c r="DH84" i="12"/>
  <c r="DH85" i="12" s="1"/>
  <c r="DH86" i="12" s="1"/>
  <c r="DH87" i="12" s="1"/>
  <c r="DH88" i="12"/>
  <c r="DH89" i="12" s="1"/>
  <c r="DH90" i="12" s="1"/>
  <c r="DH91" i="12" s="1"/>
  <c r="DH92" i="12" s="1"/>
  <c r="DH93" i="12" s="1"/>
  <c r="DH94" i="12" s="1"/>
  <c r="DH95" i="12" s="1"/>
  <c r="DH96" i="12" s="1"/>
  <c r="DH97" i="12" s="1"/>
  <c r="DH98" i="12" s="1"/>
  <c r="DH99" i="12" s="1"/>
  <c r="DH100" i="12" s="1"/>
  <c r="DH101" i="12" s="1"/>
  <c r="DH102" i="12" s="1"/>
  <c r="DH103" i="12" s="1"/>
  <c r="DH104" i="12" s="1"/>
  <c r="DH105" i="12" s="1"/>
  <c r="DH106" i="12" s="1"/>
  <c r="DH107" i="12" s="1"/>
  <c r="DH108" i="12" s="1"/>
  <c r="DH109" i="12" s="1"/>
  <c r="DH110" i="12" s="1"/>
  <c r="DH111" i="12" s="1"/>
  <c r="DH112" i="12" s="1"/>
  <c r="DH113" i="12" s="1"/>
  <c r="DH114" i="12" s="1"/>
  <c r="DH115" i="12" s="1"/>
  <c r="DH116" i="12" s="1"/>
  <c r="DH117" i="12" s="1"/>
  <c r="DH118" i="12" s="1"/>
  <c r="DH119" i="12" s="1"/>
  <c r="DH120" i="12" s="1"/>
  <c r="DH121" i="12" s="1"/>
  <c r="DH122" i="12" s="1"/>
  <c r="DH123" i="12" s="1"/>
  <c r="DH124" i="12" s="1"/>
  <c r="DH125" i="12" s="1"/>
  <c r="DH126" i="12" s="1"/>
  <c r="DH127" i="12" s="1"/>
  <c r="DH128" i="12" s="1"/>
  <c r="DH129" i="12" s="1"/>
  <c r="DH130" i="12" s="1"/>
  <c r="DH131" i="12" s="1"/>
  <c r="DH132" i="12" s="1"/>
  <c r="DH133" i="12" s="1"/>
  <c r="DH134" i="12" s="1"/>
  <c r="DH135" i="12" s="1"/>
  <c r="DH136" i="12" s="1"/>
  <c r="DH137" i="12" s="1"/>
  <c r="DH138" i="12" s="1"/>
  <c r="DH139" i="12" s="1"/>
  <c r="DH140" i="12" s="1"/>
  <c r="DH141" i="12" s="1"/>
  <c r="DH142" i="12" s="1"/>
  <c r="DH143" i="12" s="1"/>
  <c r="DH144" i="12" s="1"/>
  <c r="DH145" i="12" s="1"/>
  <c r="DH146" i="12" s="1"/>
  <c r="DH147" i="12" s="1"/>
  <c r="DH148" i="12" s="1"/>
  <c r="DH149" i="12" s="1"/>
  <c r="DH150" i="12" s="1"/>
  <c r="DH151" i="12" s="1"/>
  <c r="DH152" i="12" s="1"/>
  <c r="DH153" i="12" s="1"/>
  <c r="DH154" i="12" s="1"/>
  <c r="DH155" i="12" s="1"/>
  <c r="DH156" i="12" s="1"/>
  <c r="DH157" i="12" s="1"/>
  <c r="DH158" i="12" s="1"/>
  <c r="DH159" i="12" s="1"/>
  <c r="DH160" i="12" s="1"/>
  <c r="DH161" i="12" s="1"/>
  <c r="DH162" i="12" s="1"/>
  <c r="DH163" i="12" s="1"/>
  <c r="DH164" i="12" s="1"/>
  <c r="DH165" i="12" s="1"/>
  <c r="DH166" i="12" s="1"/>
  <c r="DH167" i="12" s="1"/>
  <c r="DH168" i="12" s="1"/>
  <c r="DH169" i="12" s="1"/>
  <c r="DH170" i="12" s="1"/>
  <c r="DH171" i="12" s="1"/>
  <c r="DH172" i="12" s="1"/>
  <c r="DH173" i="12" s="1"/>
  <c r="DH174" i="12" s="1"/>
  <c r="DH175" i="12" s="1"/>
  <c r="DH176" i="12" s="1"/>
  <c r="DH177" i="12" s="1"/>
  <c r="DH178" i="12" s="1"/>
  <c r="DH179" i="12" s="1"/>
  <c r="DH180" i="12" s="1"/>
  <c r="DH181" i="12" s="1"/>
  <c r="DH182" i="12" s="1"/>
  <c r="DH183" i="12" s="1"/>
  <c r="DH184" i="12" s="1"/>
  <c r="DH185" i="12" s="1"/>
  <c r="DH186" i="12" s="1"/>
  <c r="DH187" i="12" s="1"/>
  <c r="DH188" i="12" s="1"/>
  <c r="DH189" i="12" s="1"/>
  <c r="DH190" i="12" s="1"/>
  <c r="DH191" i="12" s="1"/>
  <c r="DH192" i="12" s="1"/>
  <c r="DH193" i="12" s="1"/>
  <c r="DH194" i="12" s="1"/>
  <c r="DH195" i="12" s="1"/>
  <c r="DH196" i="12" s="1"/>
  <c r="DH197" i="12" s="1"/>
  <c r="DH198" i="12" s="1"/>
  <c r="DH199" i="12" s="1"/>
  <c r="DH200" i="12" s="1"/>
  <c r="DH201" i="12" s="1"/>
  <c r="DH202" i="12" s="1"/>
  <c r="DH203" i="12" s="1"/>
  <c r="DH204" i="12" s="1"/>
  <c r="DH205" i="12" s="1"/>
  <c r="DH206" i="12" s="1"/>
  <c r="DH207" i="12" s="1"/>
  <c r="DH208" i="12" s="1"/>
  <c r="DH209" i="12" s="1"/>
  <c r="DH210" i="12" s="1"/>
  <c r="DH211" i="12" s="1"/>
  <c r="DH212" i="12" s="1"/>
  <c r="DH213" i="12" s="1"/>
  <c r="DH214" i="12" s="1"/>
  <c r="DH215" i="12" s="1"/>
  <c r="DH216" i="12" s="1"/>
  <c r="DH217" i="12" s="1"/>
  <c r="DH218" i="12" s="1"/>
  <c r="DH219" i="12" s="1"/>
  <c r="DH220" i="12" s="1"/>
  <c r="DH34" i="12"/>
  <c r="DH53" i="12"/>
  <c r="DH54" i="12" s="1"/>
  <c r="DH55" i="12" s="1"/>
  <c r="DH56" i="12" s="1"/>
  <c r="DH57" i="12" s="1"/>
  <c r="DD939" i="12"/>
  <c r="DC768" i="12"/>
  <c r="DA768" i="12"/>
  <c r="DD768" i="12"/>
  <c r="DE768" i="12"/>
  <c r="DB768" i="12"/>
  <c r="DC751" i="12"/>
  <c r="DB751" i="12"/>
  <c r="DA751" i="12"/>
  <c r="DE751" i="12"/>
  <c r="DD751" i="12"/>
  <c r="DC699" i="12"/>
  <c r="DB699" i="12"/>
  <c r="DD699" i="12"/>
  <c r="DA699" i="12"/>
  <c r="DE699" i="12"/>
  <c r="DC785" i="12"/>
  <c r="DD785" i="12"/>
  <c r="DA785" i="12"/>
  <c r="DB785" i="12"/>
  <c r="DE785" i="12"/>
  <c r="DC819" i="12"/>
  <c r="DA819" i="12"/>
  <c r="DD819" i="12"/>
  <c r="DB819" i="12"/>
  <c r="DE819" i="12"/>
  <c r="DA888" i="12"/>
  <c r="DE888" i="12"/>
  <c r="DB888" i="12"/>
  <c r="DD888" i="12"/>
  <c r="DC888" i="12"/>
  <c r="DE871" i="12"/>
  <c r="DC871" i="12"/>
  <c r="DB871" i="12"/>
  <c r="DD871" i="12"/>
  <c r="DA871" i="12"/>
  <c r="DB839" i="12"/>
  <c r="DC839" i="12"/>
  <c r="DA839" i="12"/>
  <c r="DE839" i="12"/>
  <c r="DD839" i="12"/>
  <c r="DA716" i="12"/>
  <c r="DC716" i="12"/>
  <c r="DB716" i="12"/>
  <c r="DE716" i="12"/>
  <c r="DD716" i="12"/>
  <c r="DB854" i="12"/>
  <c r="DA854" i="12"/>
  <c r="DE854" i="12"/>
  <c r="DC854" i="12"/>
  <c r="DD854" i="12"/>
  <c r="DD802" i="12"/>
  <c r="DC802" i="12"/>
  <c r="DB802" i="12"/>
  <c r="DE802" i="12"/>
  <c r="DA802" i="12"/>
  <c r="DB735" i="12"/>
  <c r="DD735" i="12"/>
  <c r="DC735" i="12"/>
  <c r="DA735" i="12"/>
  <c r="DE735" i="12"/>
  <c r="CX957" i="12"/>
  <c r="CY957" i="12" s="1"/>
  <c r="DC957" i="12" s="1"/>
  <c r="CX969" i="12"/>
  <c r="CY969" i="12" s="1"/>
  <c r="CX972" i="12"/>
  <c r="CY972" i="12" s="1"/>
  <c r="CX960" i="12"/>
  <c r="CY960" i="12" s="1"/>
  <c r="CX968" i="12"/>
  <c r="CY968" i="12" s="1"/>
  <c r="CX958" i="12"/>
  <c r="CY958" i="12" s="1"/>
  <c r="CX965" i="12"/>
  <c r="CY965" i="12" s="1"/>
  <c r="CX967" i="12"/>
  <c r="CY967" i="12" s="1"/>
  <c r="CX959" i="12"/>
  <c r="CY959" i="12" s="1"/>
  <c r="CX964" i="12"/>
  <c r="CY964" i="12" s="1"/>
  <c r="CX963" i="12"/>
  <c r="CY963" i="12" s="1"/>
  <c r="CX971" i="12"/>
  <c r="CY971" i="12" s="1"/>
  <c r="DB941" i="12"/>
  <c r="DD941" i="12"/>
  <c r="DA941" i="12"/>
  <c r="DE941" i="12"/>
  <c r="DC941" i="12"/>
  <c r="DD905" i="12"/>
  <c r="DA905" i="12"/>
  <c r="DC905" i="12"/>
  <c r="DE905" i="12"/>
  <c r="DB905" i="12"/>
  <c r="CX922" i="12"/>
  <c r="CY922" i="12" s="1"/>
  <c r="CX936" i="12"/>
  <c r="CY936" i="12" s="1"/>
  <c r="CX928" i="12"/>
  <c r="CY928" i="12" s="1"/>
  <c r="CX934" i="12"/>
  <c r="CY934" i="12" s="1"/>
  <c r="CX923" i="12"/>
  <c r="CY923" i="12" s="1"/>
  <c r="CX933" i="12"/>
  <c r="CY933" i="12" s="1"/>
  <c r="CX926" i="12"/>
  <c r="CY926" i="12" s="1"/>
  <c r="CX927" i="12"/>
  <c r="CY927" i="12" s="1"/>
  <c r="CX932" i="12"/>
  <c r="CY932" i="12" s="1"/>
  <c r="CX935" i="12"/>
  <c r="CY935" i="12" s="1"/>
  <c r="CX930" i="12"/>
  <c r="CY930" i="12" s="1"/>
  <c r="CX921" i="12"/>
  <c r="CY921" i="12" s="1"/>
  <c r="DC921" i="12" s="1"/>
  <c r="CX931" i="12"/>
  <c r="CY931" i="12" s="1"/>
  <c r="CX924" i="12"/>
  <c r="CY924" i="12" s="1"/>
  <c r="CX929" i="12"/>
  <c r="CY929" i="12" s="1"/>
  <c r="CX937" i="12"/>
  <c r="CY937" i="12" s="1"/>
  <c r="CX925" i="12"/>
  <c r="CY925" i="12" s="1"/>
  <c r="DC903" i="12"/>
  <c r="DB903" i="12" s="1"/>
  <c r="CX961" i="12"/>
  <c r="CY961" i="12" s="1"/>
  <c r="CX966" i="12"/>
  <c r="CY966" i="12" s="1"/>
  <c r="CX973" i="12"/>
  <c r="CY973" i="12" s="1"/>
  <c r="CX962" i="12"/>
  <c r="CY962" i="12" s="1"/>
  <c r="JH57" i="12"/>
  <c r="DB939" i="12"/>
  <c r="DB940" i="12" s="1"/>
  <c r="DE868" i="12"/>
  <c r="DB868" i="12"/>
  <c r="DC868" i="12"/>
  <c r="DD868" i="12"/>
  <c r="DA868" i="12"/>
  <c r="IH93" i="12"/>
  <c r="FU160" i="12"/>
  <c r="GR160" i="12" s="1"/>
  <c r="FR161" i="12"/>
  <c r="CX2256" i="12"/>
  <c r="CY2255" i="12"/>
  <c r="CZ629" i="12"/>
  <c r="CZ287" i="12"/>
  <c r="CZ840" i="12"/>
  <c r="CZ305" i="12"/>
  <c r="CZ521" i="12"/>
  <c r="CZ2177" i="12"/>
  <c r="CZ341" i="12"/>
  <c r="CZ575" i="12"/>
  <c r="CZ395" i="12"/>
  <c r="CZ431" i="12"/>
  <c r="CZ665" i="12"/>
  <c r="CZ197" i="12"/>
  <c r="CZ377" i="12"/>
  <c r="CZ923" i="12"/>
  <c r="CZ906" i="12"/>
  <c r="CZ35" i="12"/>
  <c r="CZ889" i="12"/>
  <c r="CZ820" i="12"/>
  <c r="CZ215" i="12"/>
  <c r="CZ539" i="12"/>
  <c r="CZ449" i="12"/>
  <c r="CZ17" i="12"/>
  <c r="CZ557" i="12"/>
  <c r="CZ413" i="12"/>
  <c r="CZ769" i="12"/>
  <c r="CZ161" i="12"/>
  <c r="CZ872" i="12"/>
  <c r="CZ855" i="12"/>
  <c r="CZ752" i="12"/>
  <c r="CZ647" i="12"/>
  <c r="CZ467" i="12"/>
  <c r="CZ803" i="12"/>
  <c r="CZ736" i="12"/>
  <c r="CZ269" i="12"/>
  <c r="CZ251" i="12"/>
  <c r="CZ611" i="12"/>
  <c r="CZ786" i="12"/>
  <c r="CZ717" i="12"/>
  <c r="CZ503" i="12"/>
  <c r="CZ359" i="12"/>
  <c r="CZ683" i="12"/>
  <c r="CZ323" i="12"/>
  <c r="CZ71" i="12"/>
  <c r="CZ593" i="12"/>
  <c r="CZ143" i="12"/>
  <c r="CZ125" i="12"/>
  <c r="CZ942" i="12"/>
  <c r="CZ53" i="12"/>
  <c r="CZ485" i="12"/>
  <c r="CZ700" i="12"/>
  <c r="CZ233" i="12"/>
  <c r="CZ89" i="12"/>
  <c r="CZ179" i="12"/>
  <c r="CZ107" i="12"/>
  <c r="CZ959" i="12"/>
  <c r="DD521" i="12" l="1"/>
  <c r="DE521" i="12"/>
  <c r="DA521" i="12"/>
  <c r="DB521" i="12"/>
  <c r="DC521" i="12"/>
  <c r="DC575" i="12"/>
  <c r="DA575" i="12"/>
  <c r="DD575" i="12"/>
  <c r="DE575" i="12"/>
  <c r="DB575" i="12"/>
  <c r="DA665" i="12"/>
  <c r="DC665" i="12"/>
  <c r="DE665" i="12"/>
  <c r="DB665" i="12"/>
  <c r="DD665" i="12"/>
  <c r="DE485" i="12"/>
  <c r="DD485" i="12"/>
  <c r="DC485" i="12"/>
  <c r="DB485" i="12"/>
  <c r="DA485" i="12"/>
  <c r="DE503" i="12"/>
  <c r="DC503" i="12"/>
  <c r="DA503" i="12"/>
  <c r="DD503" i="12"/>
  <c r="DB503" i="12"/>
  <c r="DA611" i="12"/>
  <c r="DB611" i="12"/>
  <c r="DD611" i="12"/>
  <c r="DE611" i="12"/>
  <c r="DC611" i="12"/>
  <c r="DB683" i="12"/>
  <c r="DD683" i="12"/>
  <c r="DC683" i="12"/>
  <c r="DE683" i="12"/>
  <c r="DA683" i="12"/>
  <c r="DD647" i="12"/>
  <c r="DB647" i="12"/>
  <c r="DC647" i="12"/>
  <c r="DE647" i="12"/>
  <c r="DA647" i="12"/>
  <c r="DE557" i="12"/>
  <c r="DB557" i="12"/>
  <c r="DD557" i="12"/>
  <c r="DC557" i="12"/>
  <c r="DA557" i="12"/>
  <c r="DE413" i="12"/>
  <c r="DB413" i="12"/>
  <c r="DA413" i="12"/>
  <c r="DD413" i="12"/>
  <c r="DC413" i="12"/>
  <c r="DC323" i="12"/>
  <c r="DB323" i="12"/>
  <c r="DA323" i="12"/>
  <c r="DE323" i="12"/>
  <c r="DD323" i="12"/>
  <c r="DD251" i="12"/>
  <c r="DB251" i="12"/>
  <c r="DA251" i="12"/>
  <c r="DC251" i="12"/>
  <c r="DE251" i="12"/>
  <c r="DC35" i="12"/>
  <c r="DB35" i="12"/>
  <c r="DE35" i="12"/>
  <c r="DD35" i="12"/>
  <c r="DA35" i="12"/>
  <c r="DD359" i="12"/>
  <c r="DE359" i="12"/>
  <c r="DB359" i="12"/>
  <c r="DA359" i="12"/>
  <c r="DC359" i="12"/>
  <c r="DA467" i="12"/>
  <c r="DE467" i="12"/>
  <c r="DC467" i="12"/>
  <c r="DB467" i="12"/>
  <c r="DD467" i="12"/>
  <c r="DB161" i="12"/>
  <c r="DD161" i="12"/>
  <c r="DA161" i="12"/>
  <c r="DC161" i="12"/>
  <c r="DE161" i="12"/>
  <c r="DC53" i="12"/>
  <c r="DA53" i="12"/>
  <c r="DE53" i="12"/>
  <c r="DD53" i="12"/>
  <c r="DB53" i="12"/>
  <c r="DA197" i="12"/>
  <c r="DB197" i="12"/>
  <c r="DC197" i="12"/>
  <c r="DD197" i="12"/>
  <c r="DE197" i="12"/>
  <c r="DC215" i="12"/>
  <c r="DA215" i="12"/>
  <c r="DE215" i="12"/>
  <c r="DD215" i="12"/>
  <c r="DB215" i="12"/>
  <c r="DB2177" i="12"/>
  <c r="DF2176" i="12" s="1"/>
  <c r="DE2177" i="12"/>
  <c r="DD2177" i="12"/>
  <c r="DC2177" i="12"/>
  <c r="DA2177" i="12"/>
  <c r="DC143" i="12"/>
  <c r="DE143" i="12"/>
  <c r="DD143" i="12"/>
  <c r="DB143" i="12"/>
  <c r="DA143" i="12"/>
  <c r="DE305" i="12"/>
  <c r="DC305" i="12"/>
  <c r="DD305" i="12"/>
  <c r="DA305" i="12"/>
  <c r="DB305" i="12"/>
  <c r="DE593" i="12"/>
  <c r="DB593" i="12"/>
  <c r="DC593" i="12"/>
  <c r="DD593" i="12"/>
  <c r="DA593" i="12"/>
  <c r="DA233" i="12"/>
  <c r="DE233" i="12"/>
  <c r="DD233" i="12"/>
  <c r="DC233" i="12"/>
  <c r="DB233" i="12"/>
  <c r="DD341" i="12"/>
  <c r="DA341" i="12"/>
  <c r="DB341" i="12"/>
  <c r="DC341" i="12"/>
  <c r="DE341" i="12"/>
  <c r="DA629" i="12"/>
  <c r="DD629" i="12"/>
  <c r="DE629" i="12"/>
  <c r="DC629" i="12"/>
  <c r="DB629" i="12"/>
  <c r="DA89" i="12"/>
  <c r="DE89" i="12"/>
  <c r="DB89" i="12"/>
  <c r="DD89" i="12"/>
  <c r="DC89" i="12"/>
  <c r="DD287" i="12"/>
  <c r="DE287" i="12"/>
  <c r="DB287" i="12"/>
  <c r="DC287" i="12"/>
  <c r="DA287" i="12"/>
  <c r="DE449" i="12"/>
  <c r="DC449" i="12"/>
  <c r="DA449" i="12"/>
  <c r="DB449" i="12"/>
  <c r="DD449" i="12"/>
  <c r="DA17" i="12"/>
  <c r="DE17" i="12"/>
  <c r="DD17" i="12"/>
  <c r="DC17" i="12"/>
  <c r="DB17" i="12"/>
  <c r="DC179" i="12"/>
  <c r="DA179" i="12"/>
  <c r="DB179" i="12"/>
  <c r="DD179" i="12"/>
  <c r="DE179" i="12"/>
  <c r="DD125" i="12"/>
  <c r="DB125" i="12"/>
  <c r="DC125" i="12"/>
  <c r="DA125" i="12"/>
  <c r="DE125" i="12"/>
  <c r="DB377" i="12"/>
  <c r="DD377" i="12"/>
  <c r="DA377" i="12"/>
  <c r="DE377" i="12"/>
  <c r="DC377" i="12"/>
  <c r="DB107" i="12"/>
  <c r="DC107" i="12"/>
  <c r="DD107" i="12"/>
  <c r="DA107" i="12"/>
  <c r="DE107" i="12"/>
  <c r="DD269" i="12"/>
  <c r="DB269" i="12"/>
  <c r="DE269" i="12"/>
  <c r="DC269" i="12"/>
  <c r="DA269" i="12"/>
  <c r="DD71" i="12"/>
  <c r="DE71" i="12"/>
  <c r="DB71" i="12"/>
  <c r="DC71" i="12"/>
  <c r="DA71" i="12"/>
  <c r="DC431" i="12"/>
  <c r="DE431" i="12"/>
  <c r="DB431" i="12"/>
  <c r="DD431" i="12"/>
  <c r="DA431" i="12"/>
  <c r="DE395" i="12"/>
  <c r="DA395" i="12"/>
  <c r="DB395" i="12"/>
  <c r="DD395" i="12"/>
  <c r="DC395" i="12"/>
  <c r="DC539" i="12"/>
  <c r="DD539" i="12"/>
  <c r="DE539" i="12"/>
  <c r="DB539" i="12"/>
  <c r="DA539" i="12"/>
  <c r="IH94" i="12"/>
  <c r="IH95" i="12" s="1"/>
  <c r="IH96" i="12" s="1"/>
  <c r="IH97" i="12" s="1"/>
  <c r="IH98" i="12" s="1"/>
  <c r="P13" i="12"/>
  <c r="HT66" i="12"/>
  <c r="HO67" i="12"/>
  <c r="P14" i="12"/>
  <c r="P15" i="12" s="1"/>
  <c r="DH14" i="12"/>
  <c r="DH15" i="12" s="1"/>
  <c r="DH16" i="12" s="1"/>
  <c r="DH17" i="12" s="1"/>
  <c r="DH18" i="12" s="1"/>
  <c r="B20" i="14"/>
  <c r="B18" i="14"/>
  <c r="B13" i="14"/>
  <c r="B14" i="14"/>
  <c r="B17" i="14"/>
  <c r="B15" i="14"/>
  <c r="B12" i="14"/>
  <c r="B16" i="14"/>
  <c r="B10" i="14"/>
  <c r="B11" i="14"/>
  <c r="C18" i="14"/>
  <c r="DH26" i="12"/>
  <c r="DH27" i="12" s="1"/>
  <c r="DH28" i="12" s="1"/>
  <c r="DH29" i="12" s="1"/>
  <c r="DB906" i="12"/>
  <c r="DC906" i="12"/>
  <c r="DD906" i="12"/>
  <c r="DA906" i="12"/>
  <c r="DE906" i="12"/>
  <c r="DB717" i="12"/>
  <c r="DD717" i="12"/>
  <c r="DC717" i="12"/>
  <c r="DE717" i="12"/>
  <c r="DA717" i="12"/>
  <c r="DB840" i="12"/>
  <c r="DD840" i="12"/>
  <c r="DE840" i="12"/>
  <c r="DC840" i="12"/>
  <c r="DA840" i="12"/>
  <c r="DB942" i="12"/>
  <c r="DE942" i="12"/>
  <c r="DC942" i="12"/>
  <c r="DD942" i="12"/>
  <c r="DA942" i="12"/>
  <c r="DA803" i="12"/>
  <c r="DC803" i="12"/>
  <c r="DB803" i="12"/>
  <c r="DD803" i="12"/>
  <c r="DE803" i="12"/>
  <c r="DB872" i="12"/>
  <c r="DE872" i="12"/>
  <c r="DD872" i="12"/>
  <c r="DC872" i="12"/>
  <c r="DA872" i="12"/>
  <c r="DB889" i="12"/>
  <c r="DD889" i="12"/>
  <c r="DA889" i="12"/>
  <c r="DC889" i="12"/>
  <c r="DE889" i="12"/>
  <c r="DA786" i="12"/>
  <c r="DE786" i="12"/>
  <c r="DB786" i="12"/>
  <c r="DC786" i="12"/>
  <c r="DD786" i="12"/>
  <c r="DD700" i="12"/>
  <c r="DC700" i="12"/>
  <c r="DE700" i="12"/>
  <c r="DA700" i="12"/>
  <c r="DB700" i="12"/>
  <c r="DC769" i="12"/>
  <c r="DB769" i="12"/>
  <c r="DE769" i="12"/>
  <c r="DD769" i="12"/>
  <c r="DA769" i="12"/>
  <c r="DA855" i="12"/>
  <c r="DC855" i="12"/>
  <c r="DE855" i="12"/>
  <c r="DD855" i="12"/>
  <c r="DB855" i="12"/>
  <c r="DA736" i="12"/>
  <c r="DC736" i="12"/>
  <c r="DD736" i="12"/>
  <c r="DB736" i="12"/>
  <c r="DE736" i="12"/>
  <c r="DA820" i="12"/>
  <c r="DB820" i="12"/>
  <c r="DC820" i="12"/>
  <c r="DD820" i="12"/>
  <c r="DE820" i="12"/>
  <c r="DB752" i="12"/>
  <c r="DE752" i="12"/>
  <c r="DA752" i="12"/>
  <c r="DD752" i="12"/>
  <c r="DC752" i="12"/>
  <c r="B103" i="14"/>
  <c r="B21" i="14"/>
  <c r="B24" i="14"/>
  <c r="C17" i="14"/>
  <c r="C12" i="14"/>
  <c r="C14" i="14"/>
  <c r="B23" i="14"/>
  <c r="C11" i="14"/>
  <c r="C16" i="14"/>
  <c r="B19" i="14"/>
  <c r="C15" i="14"/>
  <c r="B22" i="14"/>
  <c r="B25" i="14"/>
  <c r="C13" i="14"/>
  <c r="B31" i="14"/>
  <c r="C122" i="14"/>
  <c r="C67" i="14"/>
  <c r="B30" i="14"/>
  <c r="B90" i="14"/>
  <c r="B79" i="14"/>
  <c r="B59" i="14"/>
  <c r="B99" i="14"/>
  <c r="C90" i="14"/>
  <c r="B119" i="14"/>
  <c r="C40" i="14"/>
  <c r="B26" i="14"/>
  <c r="C19" i="14"/>
  <c r="B27" i="14"/>
  <c r="B116" i="14"/>
  <c r="C26" i="14"/>
  <c r="C63" i="14"/>
  <c r="C112" i="14"/>
  <c r="C58" i="14"/>
  <c r="C54" i="14"/>
  <c r="B91" i="14"/>
  <c r="C114" i="14"/>
  <c r="B49" i="14"/>
  <c r="B107" i="14"/>
  <c r="B105" i="14"/>
  <c r="B97" i="14"/>
  <c r="C85" i="14"/>
  <c r="C105" i="14"/>
  <c r="B46" i="14"/>
  <c r="C73" i="14"/>
  <c r="C64" i="14"/>
  <c r="C106" i="14"/>
  <c r="B112" i="14"/>
  <c r="B83" i="14"/>
  <c r="C76" i="14"/>
  <c r="C65" i="14"/>
  <c r="B86" i="14"/>
  <c r="B67" i="14"/>
  <c r="C60" i="14"/>
  <c r="C101" i="14"/>
  <c r="C117" i="14"/>
  <c r="C98" i="14"/>
  <c r="C50" i="14"/>
  <c r="C102" i="14"/>
  <c r="C30" i="14"/>
  <c r="B53" i="14"/>
  <c r="DD959" i="12"/>
  <c r="DC959" i="12"/>
  <c r="DB959" i="12"/>
  <c r="DE959" i="12"/>
  <c r="DA959" i="12"/>
  <c r="B81" i="14"/>
  <c r="B54" i="14"/>
  <c r="B57" i="14"/>
  <c r="B88" i="14"/>
  <c r="C55" i="14"/>
  <c r="B95" i="14"/>
  <c r="C95" i="14"/>
  <c r="C27" i="14"/>
  <c r="B85" i="14"/>
  <c r="C80" i="14"/>
  <c r="C83" i="14"/>
  <c r="C116" i="14"/>
  <c r="B96" i="14"/>
  <c r="B102" i="14"/>
  <c r="C57" i="14"/>
  <c r="C115" i="14"/>
  <c r="B65" i="14"/>
  <c r="B44" i="14"/>
  <c r="B29" i="14"/>
  <c r="B87" i="14"/>
  <c r="C82" i="14"/>
  <c r="C46" i="14"/>
  <c r="C25" i="14"/>
  <c r="B108" i="14"/>
  <c r="C21" i="14"/>
  <c r="C71" i="14"/>
  <c r="C109" i="14"/>
  <c r="C99" i="14"/>
  <c r="B58" i="14"/>
  <c r="C86" i="14"/>
  <c r="C56" i="14"/>
  <c r="C75" i="14"/>
  <c r="C53" i="14"/>
  <c r="C74" i="14"/>
  <c r="C49" i="14"/>
  <c r="C87" i="14"/>
  <c r="B66" i="14"/>
  <c r="C104" i="14"/>
  <c r="C103" i="14"/>
  <c r="C113" i="14"/>
  <c r="B68" i="14"/>
  <c r="B55" i="14"/>
  <c r="C52" i="14"/>
  <c r="C108" i="14"/>
  <c r="B98" i="14"/>
  <c r="C119" i="14"/>
  <c r="C70" i="14"/>
  <c r="B109" i="14"/>
  <c r="C96" i="14"/>
  <c r="C23" i="14"/>
  <c r="C28" i="14"/>
  <c r="C100" i="14"/>
  <c r="B78" i="14"/>
  <c r="C47" i="14"/>
  <c r="B77" i="14"/>
  <c r="C94" i="14"/>
  <c r="B50" i="14"/>
  <c r="B114" i="14"/>
  <c r="B70" i="14"/>
  <c r="B115" i="14"/>
  <c r="B117" i="14"/>
  <c r="C31" i="14"/>
  <c r="C20" i="14"/>
  <c r="B71" i="14"/>
  <c r="B60" i="14"/>
  <c r="B72" i="14"/>
  <c r="C72" i="14"/>
  <c r="C77" i="14"/>
  <c r="B120" i="14"/>
  <c r="C78" i="14"/>
  <c r="B45" i="14"/>
  <c r="C45" i="14"/>
  <c r="C48" i="14"/>
  <c r="B61" i="14"/>
  <c r="C121" i="14"/>
  <c r="B56" i="14"/>
  <c r="B101" i="14"/>
  <c r="C88" i="14"/>
  <c r="B122" i="14"/>
  <c r="B48" i="14"/>
  <c r="C118" i="14"/>
  <c r="B52" i="14"/>
  <c r="B111" i="14"/>
  <c r="C62" i="14"/>
  <c r="C59" i="14"/>
  <c r="B92" i="14"/>
  <c r="DD940" i="12"/>
  <c r="B47" i="14"/>
  <c r="C42" i="14"/>
  <c r="B41" i="14"/>
  <c r="B36" i="14"/>
  <c r="B42" i="14"/>
  <c r="B69" i="14"/>
  <c r="C44" i="14"/>
  <c r="B73" i="14"/>
  <c r="C97" i="14"/>
  <c r="C79" i="14"/>
  <c r="C93" i="14"/>
  <c r="B74" i="14"/>
  <c r="C24" i="14"/>
  <c r="B82" i="14"/>
  <c r="B80" i="14"/>
  <c r="B110" i="14"/>
  <c r="B89" i="14"/>
  <c r="B62" i="14"/>
  <c r="C91" i="14"/>
  <c r="B76" i="14"/>
  <c r="B84" i="14"/>
  <c r="B63" i="14"/>
  <c r="B118" i="14"/>
  <c r="B64" i="14"/>
  <c r="IK1" i="12"/>
  <c r="C81" i="14"/>
  <c r="B100" i="14"/>
  <c r="C29" i="14"/>
  <c r="B113" i="14"/>
  <c r="B75" i="14"/>
  <c r="C111" i="14"/>
  <c r="C61" i="14"/>
  <c r="B94" i="14"/>
  <c r="C68" i="14"/>
  <c r="B121" i="14"/>
  <c r="C120" i="14"/>
  <c r="C107" i="14"/>
  <c r="B51" i="14"/>
  <c r="C51" i="14"/>
  <c r="C66" i="14"/>
  <c r="C84" i="14"/>
  <c r="B39" i="14"/>
  <c r="C36" i="14"/>
  <c r="B40" i="14"/>
  <c r="C41" i="14"/>
  <c r="B93" i="14"/>
  <c r="B106" i="14"/>
  <c r="C69" i="14"/>
  <c r="C92" i="14"/>
  <c r="C22" i="14"/>
  <c r="B28" i="14"/>
  <c r="C110" i="14"/>
  <c r="B104" i="14"/>
  <c r="C89" i="14"/>
  <c r="B38" i="14"/>
  <c r="C38" i="14"/>
  <c r="C39" i="14"/>
  <c r="B33" i="14"/>
  <c r="B32" i="14"/>
  <c r="B35" i="14"/>
  <c r="C33" i="14"/>
  <c r="C32" i="14"/>
  <c r="C34" i="14"/>
  <c r="B37" i="14"/>
  <c r="B43" i="14"/>
  <c r="C37" i="14"/>
  <c r="C35" i="14"/>
  <c r="B34" i="14"/>
  <c r="C43" i="14"/>
  <c r="DA923" i="12"/>
  <c r="DC923" i="12"/>
  <c r="DE923" i="12"/>
  <c r="DB923" i="12"/>
  <c r="DD923" i="12"/>
  <c r="DE904" i="12"/>
  <c r="DC904" i="12"/>
  <c r="DD904" i="12"/>
  <c r="DA904" i="12"/>
  <c r="DB904" i="12"/>
  <c r="DA940" i="12"/>
  <c r="JH58" i="12"/>
  <c r="JK57" i="12"/>
  <c r="JL57" i="12" s="1"/>
  <c r="EA57" i="12" s="1"/>
  <c r="DB921" i="12"/>
  <c r="DE921" i="12"/>
  <c r="DD921" i="12"/>
  <c r="DC940" i="12"/>
  <c r="DD903" i="12"/>
  <c r="DE903" i="12"/>
  <c r="DE940" i="12"/>
  <c r="DE957" i="12"/>
  <c r="DD957" i="12"/>
  <c r="DB957" i="12"/>
  <c r="FU161" i="12"/>
  <c r="GR161" i="12" s="1"/>
  <c r="FR162" i="12"/>
  <c r="CX2257" i="12"/>
  <c r="CY2256" i="12"/>
  <c r="CZ737" i="12"/>
  <c r="CZ540" i="12"/>
  <c r="CZ108" i="12"/>
  <c r="CZ396" i="12"/>
  <c r="CZ36" i="12"/>
  <c r="CZ576" i="12"/>
  <c r="CZ270" i="12"/>
  <c r="CZ787" i="12"/>
  <c r="CZ414" i="12"/>
  <c r="CZ486" i="12"/>
  <c r="CZ342" i="12"/>
  <c r="CZ180" i="12"/>
  <c r="CZ630" i="12"/>
  <c r="CZ648" i="12"/>
  <c r="CZ234" i="12"/>
  <c r="CZ18" i="12"/>
  <c r="CZ288" i="12"/>
  <c r="CZ701" i="12"/>
  <c r="CZ753" i="12"/>
  <c r="CZ504" i="12"/>
  <c r="CZ2178" i="12"/>
  <c r="CZ594" i="12"/>
  <c r="CZ718" i="12"/>
  <c r="CZ216" i="12"/>
  <c r="CZ450" i="12"/>
  <c r="CZ770" i="12"/>
  <c r="CZ324" i="12"/>
  <c r="CZ522" i="12"/>
  <c r="CZ558" i="12"/>
  <c r="CZ90" i="12"/>
  <c r="CZ960" i="12"/>
  <c r="CZ144" i="12"/>
  <c r="CZ924" i="12"/>
  <c r="CZ378" i="12"/>
  <c r="CZ360" i="12"/>
  <c r="CZ306" i="12"/>
  <c r="CZ162" i="12"/>
  <c r="CZ72" i="12"/>
  <c r="CZ804" i="12"/>
  <c r="CZ252" i="12"/>
  <c r="CZ943" i="12"/>
  <c r="CZ684" i="12"/>
  <c r="CZ126" i="12"/>
  <c r="CZ890" i="12"/>
  <c r="CZ856" i="12"/>
  <c r="CZ198" i="12"/>
  <c r="CZ841" i="12"/>
  <c r="CZ54" i="12"/>
  <c r="CZ907" i="12"/>
  <c r="CZ432" i="12"/>
  <c r="CZ468" i="12"/>
  <c r="CZ873" i="12"/>
  <c r="CZ612" i="12"/>
  <c r="CZ821" i="12"/>
  <c r="CZ666" i="12"/>
  <c r="DE486" i="12" l="1"/>
  <c r="DB486" i="12"/>
  <c r="DA486" i="12"/>
  <c r="DD486" i="12"/>
  <c r="DC486" i="12"/>
  <c r="DD648" i="12"/>
  <c r="DC648" i="12"/>
  <c r="DB648" i="12"/>
  <c r="DA648" i="12"/>
  <c r="DE648" i="12"/>
  <c r="DD504" i="12"/>
  <c r="DE504" i="12"/>
  <c r="DC504" i="12"/>
  <c r="DA504" i="12"/>
  <c r="DB504" i="12"/>
  <c r="DA522" i="12"/>
  <c r="DD522" i="12"/>
  <c r="DB522" i="12"/>
  <c r="DE522" i="12"/>
  <c r="DC522" i="12"/>
  <c r="DE666" i="12"/>
  <c r="DC666" i="12"/>
  <c r="DB666" i="12"/>
  <c r="DA666" i="12"/>
  <c r="DD666" i="12"/>
  <c r="DB612" i="12"/>
  <c r="DC612" i="12"/>
  <c r="DD612" i="12"/>
  <c r="DA612" i="12"/>
  <c r="DE612" i="12"/>
  <c r="DB684" i="12"/>
  <c r="DC684" i="12"/>
  <c r="DE684" i="12"/>
  <c r="DA684" i="12"/>
  <c r="DD684" i="12"/>
  <c r="DC576" i="12"/>
  <c r="DA576" i="12"/>
  <c r="DB576" i="12"/>
  <c r="DD576" i="12"/>
  <c r="DE576" i="12"/>
  <c r="DD558" i="12"/>
  <c r="DA558" i="12"/>
  <c r="DE558" i="12"/>
  <c r="DC558" i="12"/>
  <c r="DB558" i="12"/>
  <c r="DE540" i="12"/>
  <c r="DD540" i="12"/>
  <c r="DC540" i="12"/>
  <c r="DA540" i="12"/>
  <c r="DB540" i="12"/>
  <c r="DB630" i="12"/>
  <c r="DD630" i="12"/>
  <c r="DA630" i="12"/>
  <c r="DC630" i="12"/>
  <c r="DE630" i="12"/>
  <c r="DE594" i="12"/>
  <c r="DB594" i="12"/>
  <c r="DC594" i="12"/>
  <c r="DA594" i="12"/>
  <c r="DD594" i="12"/>
  <c r="DA396" i="12"/>
  <c r="DB396" i="12"/>
  <c r="DD396" i="12"/>
  <c r="DC396" i="12"/>
  <c r="DE396" i="12"/>
  <c r="DB432" i="12"/>
  <c r="DA432" i="12"/>
  <c r="DE432" i="12"/>
  <c r="DC432" i="12"/>
  <c r="DD432" i="12"/>
  <c r="DA72" i="12"/>
  <c r="DE72" i="12"/>
  <c r="DB72" i="12"/>
  <c r="DC72" i="12"/>
  <c r="DD72" i="12"/>
  <c r="DB108" i="12"/>
  <c r="DD108" i="12"/>
  <c r="DC108" i="12"/>
  <c r="DA108" i="12"/>
  <c r="DE108" i="12"/>
  <c r="DB126" i="12"/>
  <c r="DA126" i="12"/>
  <c r="DC126" i="12"/>
  <c r="DE126" i="12"/>
  <c r="DD126" i="12"/>
  <c r="DD18" i="12"/>
  <c r="DB18" i="12"/>
  <c r="DE18" i="12"/>
  <c r="DA18" i="12"/>
  <c r="DC18" i="12"/>
  <c r="DC288" i="12"/>
  <c r="DD288" i="12"/>
  <c r="DA288" i="12"/>
  <c r="DB288" i="12"/>
  <c r="DE288" i="12"/>
  <c r="DC234" i="12"/>
  <c r="DD234" i="12"/>
  <c r="DE234" i="12"/>
  <c r="DB234" i="12"/>
  <c r="DA234" i="12"/>
  <c r="DE306" i="12"/>
  <c r="DA306" i="12"/>
  <c r="DC306" i="12"/>
  <c r="DB306" i="12"/>
  <c r="DD306" i="12"/>
  <c r="DB2178" i="12"/>
  <c r="DF2177" i="12" s="1"/>
  <c r="DD2178" i="12"/>
  <c r="DA2178" i="12"/>
  <c r="DE2178" i="12"/>
  <c r="DC2178" i="12"/>
  <c r="DA198" i="12"/>
  <c r="DD198" i="12"/>
  <c r="DB198" i="12"/>
  <c r="DE198" i="12"/>
  <c r="DC198" i="12"/>
  <c r="DD162" i="12"/>
  <c r="DE162" i="12"/>
  <c r="DA162" i="12"/>
  <c r="DB162" i="12"/>
  <c r="DC162" i="12"/>
  <c r="DC360" i="12"/>
  <c r="DB360" i="12"/>
  <c r="DA360" i="12"/>
  <c r="DD360" i="12"/>
  <c r="DE360" i="12"/>
  <c r="DA36" i="12"/>
  <c r="DD36" i="12"/>
  <c r="DE36" i="12"/>
  <c r="DB36" i="12"/>
  <c r="DC36" i="12"/>
  <c r="DD324" i="12"/>
  <c r="DE324" i="12"/>
  <c r="DB324" i="12"/>
  <c r="DA324" i="12"/>
  <c r="DC324" i="12"/>
  <c r="DD450" i="12"/>
  <c r="DB450" i="12"/>
  <c r="DE450" i="12"/>
  <c r="DC450" i="12"/>
  <c r="DA450" i="12"/>
  <c r="DC468" i="12"/>
  <c r="DE468" i="12"/>
  <c r="DB468" i="12"/>
  <c r="DA468" i="12"/>
  <c r="DD468" i="12"/>
  <c r="DB270" i="12"/>
  <c r="DA270" i="12"/>
  <c r="DE270" i="12"/>
  <c r="DC270" i="12"/>
  <c r="DD270" i="12"/>
  <c r="DA378" i="12"/>
  <c r="DC378" i="12"/>
  <c r="DB378" i="12"/>
  <c r="DE378" i="12"/>
  <c r="DD378" i="12"/>
  <c r="DC180" i="12"/>
  <c r="DE180" i="12"/>
  <c r="DB180" i="12"/>
  <c r="DA180" i="12"/>
  <c r="DD180" i="12"/>
  <c r="DA90" i="12"/>
  <c r="DE90" i="12"/>
  <c r="DD90" i="12"/>
  <c r="DC90" i="12"/>
  <c r="DB90" i="12"/>
  <c r="DA342" i="12"/>
  <c r="DE342" i="12"/>
  <c r="DB342" i="12"/>
  <c r="DD342" i="12"/>
  <c r="DC342" i="12"/>
  <c r="DD144" i="12"/>
  <c r="DB144" i="12"/>
  <c r="DA144" i="12"/>
  <c r="DE144" i="12"/>
  <c r="DC144" i="12"/>
  <c r="DB216" i="12"/>
  <c r="DA216" i="12"/>
  <c r="DE216" i="12"/>
  <c r="DD216" i="12"/>
  <c r="DC216" i="12"/>
  <c r="DC54" i="12"/>
  <c r="DA54" i="12"/>
  <c r="DD54" i="12"/>
  <c r="DE54" i="12"/>
  <c r="DB54" i="12"/>
  <c r="DA252" i="12"/>
  <c r="DC252" i="12"/>
  <c r="DD252" i="12"/>
  <c r="DB252" i="12"/>
  <c r="DE252" i="12"/>
  <c r="DE414" i="12"/>
  <c r="DA414" i="12"/>
  <c r="DC414" i="12"/>
  <c r="DD414" i="12"/>
  <c r="DB414" i="12"/>
  <c r="IH99" i="12"/>
  <c r="IH100" i="12" s="1"/>
  <c r="IH101" i="12" s="1"/>
  <c r="IH102" i="12" s="1"/>
  <c r="IH103" i="12" s="1"/>
  <c r="IH104" i="12" s="1"/>
  <c r="IH105" i="12" s="1"/>
  <c r="IH106" i="12" s="1"/>
  <c r="IH107" i="12" s="1"/>
  <c r="IH108" i="12" s="1"/>
  <c r="IH109" i="12" s="1"/>
  <c r="IH110" i="12" s="1"/>
  <c r="IH111" i="12" s="1"/>
  <c r="IH112" i="12" s="1"/>
  <c r="IH113" i="12" s="1"/>
  <c r="IH114" i="12" s="1"/>
  <c r="IH115" i="12" s="1"/>
  <c r="IH116" i="12" s="1"/>
  <c r="IH117" i="12" s="1"/>
  <c r="IH118" i="12" s="1"/>
  <c r="IH119" i="12" s="1"/>
  <c r="IH120" i="12" s="1"/>
  <c r="IH121" i="12" s="1"/>
  <c r="IH122" i="12" s="1"/>
  <c r="IH123" i="12" s="1"/>
  <c r="IH124" i="12" s="1"/>
  <c r="IH125" i="12" s="1"/>
  <c r="IH126" i="12" s="1"/>
  <c r="IH127" i="12" s="1"/>
  <c r="IH128" i="12" s="1"/>
  <c r="IH129" i="12" s="1"/>
  <c r="IH130" i="12" s="1"/>
  <c r="IH131" i="12" s="1"/>
  <c r="IH132" i="12" s="1"/>
  <c r="IH133" i="12" s="1"/>
  <c r="IH134" i="12" s="1"/>
  <c r="IH135" i="12" s="1"/>
  <c r="IH136" i="12" s="1"/>
  <c r="IH137" i="12" s="1"/>
  <c r="IH138" i="12" s="1"/>
  <c r="IH139" i="12" s="1"/>
  <c r="IH140" i="12" s="1"/>
  <c r="IH141" i="12" s="1"/>
  <c r="IH142" i="12" s="1"/>
  <c r="IH143" i="12" s="1"/>
  <c r="IH144" i="12" s="1"/>
  <c r="IH145" i="12" s="1"/>
  <c r="IH146" i="12" s="1"/>
  <c r="IH147" i="12" s="1"/>
  <c r="IH148" i="12" s="1"/>
  <c r="IH149" i="12" s="1"/>
  <c r="IH150" i="12" s="1"/>
  <c r="IH151" i="12" s="1"/>
  <c r="IH152" i="12" s="1"/>
  <c r="IH153" i="12" s="1"/>
  <c r="IH154" i="12" s="1"/>
  <c r="IH155" i="12" s="1"/>
  <c r="IH156" i="12" s="1"/>
  <c r="IH157" i="12" s="1"/>
  <c r="IH158" i="12" s="1"/>
  <c r="IH159" i="12" s="1"/>
  <c r="IH160" i="12" s="1"/>
  <c r="IH161" i="12" s="1"/>
  <c r="IH162" i="12" s="1"/>
  <c r="IH163" i="12" s="1"/>
  <c r="IH164" i="12" s="1"/>
  <c r="IH165" i="12" s="1"/>
  <c r="IH166" i="12" s="1"/>
  <c r="IH167" i="12" s="1"/>
  <c r="IH168" i="12" s="1"/>
  <c r="IH169" i="12" s="1"/>
  <c r="IH170" i="12" s="1"/>
  <c r="IH171" i="12" s="1"/>
  <c r="IH172" i="12" s="1"/>
  <c r="IH173" i="12" s="1"/>
  <c r="IH174" i="12" s="1"/>
  <c r="IH175" i="12" s="1"/>
  <c r="IH176" i="12" s="1"/>
  <c r="IH177" i="12" s="1"/>
  <c r="IH178" i="12" s="1"/>
  <c r="IH179" i="12" s="1"/>
  <c r="IH180" i="12" s="1"/>
  <c r="IH181" i="12" s="1"/>
  <c r="IH182" i="12" s="1"/>
  <c r="IH183" i="12" s="1"/>
  <c r="IH184" i="12" s="1"/>
  <c r="IH185" i="12" s="1"/>
  <c r="IH186" i="12" s="1"/>
  <c r="IH187" i="12" s="1"/>
  <c r="IH188" i="12" s="1"/>
  <c r="IH189" i="12" s="1"/>
  <c r="IH190" i="12" s="1"/>
  <c r="IH191" i="12" s="1"/>
  <c r="IH192" i="12" s="1"/>
  <c r="IH193" i="12" s="1"/>
  <c r="IH194" i="12" s="1"/>
  <c r="IH195" i="12" s="1"/>
  <c r="IH196" i="12" s="1"/>
  <c r="IH197" i="12" s="1"/>
  <c r="IH198" i="12" s="1"/>
  <c r="IH199" i="12" s="1"/>
  <c r="IH200" i="12" s="1"/>
  <c r="DI130" i="12"/>
  <c r="HT67" i="12"/>
  <c r="HO68" i="12"/>
  <c r="P16" i="12"/>
  <c r="DI116" i="12"/>
  <c r="DI95" i="12"/>
  <c r="DI98" i="12"/>
  <c r="DI11" i="12"/>
  <c r="DI141" i="12"/>
  <c r="DI91" i="12"/>
  <c r="DI96" i="12"/>
  <c r="DI23" i="12"/>
  <c r="DI14" i="12"/>
  <c r="DI194" i="12"/>
  <c r="DI146" i="12"/>
  <c r="DI63" i="12"/>
  <c r="DI169" i="12"/>
  <c r="DI202" i="12"/>
  <c r="DI6" i="12"/>
  <c r="DI181" i="12"/>
  <c r="DI60" i="12"/>
  <c r="DI73" i="12"/>
  <c r="DI74" i="12"/>
  <c r="DI97" i="12"/>
  <c r="DI83" i="12"/>
  <c r="DH1" i="12"/>
  <c r="DI218" i="12"/>
  <c r="DI9" i="12"/>
  <c r="DI57" i="12"/>
  <c r="DI142" i="12"/>
  <c r="DI54" i="12"/>
  <c r="DI187" i="12"/>
  <c r="DI35" i="12"/>
  <c r="DI48" i="12"/>
  <c r="DI47" i="12"/>
  <c r="DI132" i="12"/>
  <c r="DI182" i="12"/>
  <c r="DI129" i="12"/>
  <c r="DI200" i="12"/>
  <c r="DI199" i="12"/>
  <c r="DI119" i="12"/>
  <c r="DI175" i="12"/>
  <c r="DI43" i="12"/>
  <c r="DI89" i="12"/>
  <c r="DI109" i="12"/>
  <c r="DI99" i="12"/>
  <c r="DI155" i="12"/>
  <c r="DI100" i="12"/>
  <c r="DI209" i="12"/>
  <c r="DI198" i="12"/>
  <c r="DI77" i="12"/>
  <c r="DI5" i="12"/>
  <c r="DI50" i="12"/>
  <c r="DI70" i="12"/>
  <c r="DI159" i="12"/>
  <c r="DI206" i="12"/>
  <c r="DI104" i="12"/>
  <c r="DI152" i="12"/>
  <c r="DI180" i="12"/>
  <c r="DI166" i="12"/>
  <c r="DI45" i="12"/>
  <c r="DI19" i="12"/>
  <c r="DI188" i="12"/>
  <c r="DI160" i="12"/>
  <c r="DI87" i="12"/>
  <c r="DI163" i="12"/>
  <c r="DI207" i="12"/>
  <c r="DI13" i="12"/>
  <c r="DI122" i="12"/>
  <c r="DI80" i="12"/>
  <c r="DI139" i="12"/>
  <c r="DI190" i="12"/>
  <c r="DI135" i="12"/>
  <c r="DI88" i="12"/>
  <c r="DI82" i="12"/>
  <c r="DI37" i="12"/>
  <c r="DI134" i="12"/>
  <c r="DI214" i="12"/>
  <c r="DI68" i="12"/>
  <c r="DI162" i="12"/>
  <c r="DI58" i="12"/>
  <c r="DI117" i="12"/>
  <c r="DI196" i="12"/>
  <c r="DI32" i="12"/>
  <c r="DI102" i="12"/>
  <c r="DI140" i="12"/>
  <c r="DI25" i="12"/>
  <c r="DI193" i="12"/>
  <c r="DI174" i="12"/>
  <c r="DI205" i="12"/>
  <c r="DI197" i="12"/>
  <c r="DI3" i="12"/>
  <c r="DI192" i="12"/>
  <c r="DI131" i="12"/>
  <c r="DI17" i="12"/>
  <c r="DI38" i="12"/>
  <c r="DI81" i="12"/>
  <c r="DI105" i="12"/>
  <c r="DI120" i="12"/>
  <c r="DI18" i="12"/>
  <c r="DI7" i="12"/>
  <c r="DI49" i="12"/>
  <c r="DI108" i="12"/>
  <c r="DI114" i="12"/>
  <c r="DI157" i="12"/>
  <c r="DI66" i="12"/>
  <c r="DI53" i="12"/>
  <c r="DI10" i="12"/>
  <c r="DI111" i="12"/>
  <c r="DI42" i="12"/>
  <c r="DI21" i="12"/>
  <c r="DI65" i="12"/>
  <c r="DI33" i="12"/>
  <c r="DI36" i="12"/>
  <c r="DI20" i="12"/>
  <c r="DI75" i="12"/>
  <c r="DI173" i="12"/>
  <c r="DI76" i="12"/>
  <c r="DI72" i="12"/>
  <c r="DI212" i="12"/>
  <c r="DI55" i="12"/>
  <c r="DI145" i="12"/>
  <c r="DI121" i="12"/>
  <c r="DI123" i="12"/>
  <c r="DI195" i="12"/>
  <c r="DI69" i="12"/>
  <c r="DI113" i="12"/>
  <c r="DI62" i="12"/>
  <c r="DI148" i="12"/>
  <c r="DI178" i="12"/>
  <c r="DI136" i="12"/>
  <c r="DI86" i="12"/>
  <c r="DI118" i="12"/>
  <c r="DI153" i="12"/>
  <c r="DI112" i="12"/>
  <c r="DI85" i="12"/>
  <c r="DI183" i="12"/>
  <c r="DI219" i="12"/>
  <c r="DI137" i="12"/>
  <c r="DI164" i="12"/>
  <c r="DI213" i="12"/>
  <c r="DI170" i="12"/>
  <c r="DI127" i="12"/>
  <c r="DI208" i="12"/>
  <c r="DI185" i="12"/>
  <c r="DI52" i="12"/>
  <c r="DI101" i="12"/>
  <c r="DI176" i="12"/>
  <c r="DI151" i="12"/>
  <c r="DI128" i="12"/>
  <c r="DI165" i="12"/>
  <c r="DI216" i="12"/>
  <c r="DI124" i="12"/>
  <c r="DI138" i="12"/>
  <c r="DI191" i="12"/>
  <c r="DI143" i="12"/>
  <c r="DI28" i="12"/>
  <c r="DI8" i="12"/>
  <c r="DI12" i="12"/>
  <c r="DI171" i="12"/>
  <c r="DI27" i="12"/>
  <c r="DI210" i="12"/>
  <c r="DI92" i="12"/>
  <c r="DI201" i="12"/>
  <c r="DI94" i="12"/>
  <c r="DI177" i="12"/>
  <c r="DI133" i="12"/>
  <c r="DI150" i="12"/>
  <c r="DI167" i="12"/>
  <c r="DI78" i="12"/>
  <c r="DI39" i="12"/>
  <c r="DI93" i="12"/>
  <c r="DI67" i="12"/>
  <c r="DI24" i="12"/>
  <c r="DI84" i="12"/>
  <c r="DI59" i="12"/>
  <c r="DI149" i="12"/>
  <c r="DI126" i="12"/>
  <c r="DI22" i="12"/>
  <c r="DI51" i="12"/>
  <c r="DI115" i="12"/>
  <c r="DI156" i="12"/>
  <c r="DI186" i="12"/>
  <c r="DI64" i="12"/>
  <c r="DI40" i="12"/>
  <c r="DI56" i="12"/>
  <c r="DI144" i="12"/>
  <c r="DI211" i="12"/>
  <c r="DI31" i="12"/>
  <c r="DI79" i="12"/>
  <c r="DI41" i="12"/>
  <c r="DI158" i="12"/>
  <c r="DI125" i="12"/>
  <c r="DI44" i="12"/>
  <c r="DI179" i="12"/>
  <c r="DI103" i="12"/>
  <c r="DI4" i="12"/>
  <c r="DI110" i="12"/>
  <c r="DI215" i="12"/>
  <c r="DI15" i="12"/>
  <c r="DI106" i="12"/>
  <c r="DI204" i="12"/>
  <c r="DI220" i="12"/>
  <c r="DI29" i="12"/>
  <c r="DI90" i="12"/>
  <c r="DI107" i="12"/>
  <c r="DI189" i="12"/>
  <c r="DI147" i="12"/>
  <c r="DI168" i="12"/>
  <c r="DI161" i="12"/>
  <c r="DI184" i="12"/>
  <c r="DI61" i="12"/>
  <c r="DI26" i="12"/>
  <c r="DI71" i="12"/>
  <c r="DI203" i="12"/>
  <c r="DI172" i="12"/>
  <c r="DI16" i="12"/>
  <c r="DI154" i="12"/>
  <c r="DI34" i="12"/>
  <c r="DI46" i="12"/>
  <c r="DI217" i="12"/>
  <c r="DI30" i="12"/>
  <c r="DD924" i="12"/>
  <c r="DE924" i="12"/>
  <c r="DB924" i="12"/>
  <c r="DC924" i="12"/>
  <c r="DA924" i="12"/>
  <c r="DB737" i="12"/>
  <c r="DC737" i="12"/>
  <c r="DD737" i="12"/>
  <c r="DA737" i="12"/>
  <c r="DE737" i="12"/>
  <c r="DA770" i="12"/>
  <c r="DB770" i="12"/>
  <c r="DE770" i="12"/>
  <c r="DC770" i="12"/>
  <c r="DD770" i="12"/>
  <c r="DD787" i="12"/>
  <c r="DC787" i="12"/>
  <c r="DE787" i="12"/>
  <c r="DA787" i="12"/>
  <c r="DB787" i="12"/>
  <c r="DC873" i="12"/>
  <c r="DA873" i="12"/>
  <c r="DD873" i="12"/>
  <c r="DE873" i="12"/>
  <c r="DB873" i="12"/>
  <c r="DE804" i="12"/>
  <c r="DD804" i="12"/>
  <c r="DA804" i="12"/>
  <c r="DC804" i="12"/>
  <c r="DB804" i="12"/>
  <c r="DC943" i="12"/>
  <c r="DD943" i="12"/>
  <c r="DE943" i="12"/>
  <c r="DB943" i="12"/>
  <c r="DA943" i="12"/>
  <c r="DC841" i="12"/>
  <c r="DE841" i="12"/>
  <c r="DB841" i="12"/>
  <c r="DD841" i="12"/>
  <c r="DA841" i="12"/>
  <c r="DA907" i="12"/>
  <c r="DB907" i="12"/>
  <c r="DE907" i="12"/>
  <c r="DC907" i="12"/>
  <c r="DD907" i="12"/>
  <c r="DE753" i="12"/>
  <c r="DA753" i="12"/>
  <c r="DB753" i="12"/>
  <c r="DD753" i="12"/>
  <c r="DC753" i="12"/>
  <c r="DB821" i="12"/>
  <c r="DC821" i="12"/>
  <c r="DE821" i="12"/>
  <c r="DD821" i="12"/>
  <c r="DA821" i="12"/>
  <c r="DB960" i="12"/>
  <c r="DD960" i="12"/>
  <c r="DA960" i="12"/>
  <c r="DE960" i="12"/>
  <c r="DC960" i="12"/>
  <c r="DA856" i="12"/>
  <c r="DD856" i="12"/>
  <c r="DB856" i="12"/>
  <c r="DE856" i="12"/>
  <c r="DC856" i="12"/>
  <c r="DC701" i="12"/>
  <c r="DB701" i="12"/>
  <c r="DE701" i="12"/>
  <c r="DA701" i="12"/>
  <c r="DD701" i="12"/>
  <c r="DD890" i="12"/>
  <c r="DC890" i="12"/>
  <c r="DB890" i="12"/>
  <c r="DA890" i="12"/>
  <c r="DE890" i="12"/>
  <c r="DE718" i="12"/>
  <c r="DC718" i="12"/>
  <c r="DA718" i="12"/>
  <c r="DD718" i="12"/>
  <c r="DB718" i="12"/>
  <c r="DB922" i="12"/>
  <c r="DE922" i="12"/>
  <c r="DA922" i="12"/>
  <c r="DD922" i="12"/>
  <c r="DC922" i="12"/>
  <c r="JH59" i="12"/>
  <c r="JK58" i="12"/>
  <c r="JL58" i="12" s="1"/>
  <c r="EA58" i="12" s="1"/>
  <c r="CX976" i="12"/>
  <c r="CY976" i="12" s="1"/>
  <c r="CX986" i="12"/>
  <c r="CY986" i="12" s="1"/>
  <c r="CX978" i="12"/>
  <c r="CY978" i="12" s="1"/>
  <c r="CX975" i="12"/>
  <c r="CY975" i="12" s="1"/>
  <c r="CX990" i="12"/>
  <c r="CY990" i="12" s="1"/>
  <c r="CX984" i="12"/>
  <c r="CY984" i="12" s="1"/>
  <c r="CX988" i="12"/>
  <c r="CY988" i="12" s="1"/>
  <c r="CX991" i="12"/>
  <c r="CY991" i="12" s="1"/>
  <c r="CX981" i="12"/>
  <c r="CY981" i="12" s="1"/>
  <c r="CX987" i="12"/>
  <c r="CY987" i="12" s="1"/>
  <c r="CX977" i="12"/>
  <c r="CY977" i="12" s="1"/>
  <c r="CX989" i="12"/>
  <c r="CY989" i="12" s="1"/>
  <c r="CX985" i="12"/>
  <c r="CY985" i="12" s="1"/>
  <c r="CX980" i="12"/>
  <c r="CY980" i="12" s="1"/>
  <c r="CX979" i="12"/>
  <c r="CY979" i="12" s="1"/>
  <c r="CX982" i="12"/>
  <c r="CY982" i="12" s="1"/>
  <c r="CX983" i="12"/>
  <c r="CY983" i="12" s="1"/>
  <c r="DB958" i="12"/>
  <c r="DE958" i="12"/>
  <c r="DA958" i="12"/>
  <c r="DC958" i="12"/>
  <c r="DD958" i="12"/>
  <c r="FU162" i="12"/>
  <c r="GR162" i="12" s="1"/>
  <c r="FR163" i="12"/>
  <c r="FS81" i="12"/>
  <c r="CX2258" i="12"/>
  <c r="CY2257" i="12"/>
  <c r="CZ977" i="12"/>
  <c r="CZ181" i="12"/>
  <c r="CZ649" i="12"/>
  <c r="CZ613" i="12"/>
  <c r="CZ127" i="12"/>
  <c r="CZ325" i="12"/>
  <c r="CZ73" i="12"/>
  <c r="CZ37" i="12"/>
  <c r="CZ595" i="12"/>
  <c r="CZ469" i="12"/>
  <c r="CZ199" i="12"/>
  <c r="CZ217" i="12"/>
  <c r="CZ361" i="12"/>
  <c r="CZ822" i="12"/>
  <c r="CZ235" i="12"/>
  <c r="CZ415" i="12"/>
  <c r="CZ702" i="12"/>
  <c r="CZ55" i="12"/>
  <c r="CZ577" i="12"/>
  <c r="CZ944" i="12"/>
  <c r="CZ91" i="12"/>
  <c r="CZ289" i="12"/>
  <c r="CZ631" i="12"/>
  <c r="CZ523" i="12"/>
  <c r="CZ857" i="12"/>
  <c r="CZ754" i="12"/>
  <c r="CZ109" i="12"/>
  <c r="CZ771" i="12"/>
  <c r="CZ505" i="12"/>
  <c r="CZ667" i="12"/>
  <c r="CZ874" i="12"/>
  <c r="CZ271" i="12"/>
  <c r="CZ487" i="12"/>
  <c r="CZ685" i="12"/>
  <c r="CZ451" i="12"/>
  <c r="CZ397" i="12"/>
  <c r="CZ719" i="12"/>
  <c r="CZ891" i="12"/>
  <c r="CZ559" i="12"/>
  <c r="CZ2179" i="12"/>
  <c r="CZ343" i="12"/>
  <c r="CZ805" i="12"/>
  <c r="CZ788" i="12"/>
  <c r="CZ925" i="12"/>
  <c r="CZ379" i="12"/>
  <c r="CZ163" i="12"/>
  <c r="CZ433" i="12"/>
  <c r="CZ842" i="12"/>
  <c r="CZ738" i="12"/>
  <c r="CZ541" i="12"/>
  <c r="CZ961" i="12"/>
  <c r="CZ19" i="12"/>
  <c r="CZ307" i="12"/>
  <c r="CZ145" i="12"/>
  <c r="CZ908" i="12"/>
  <c r="CZ253" i="12"/>
  <c r="DD685" i="12" l="1"/>
  <c r="DE685" i="12"/>
  <c r="DA685" i="12"/>
  <c r="DB685" i="12"/>
  <c r="DC685" i="12"/>
  <c r="DD613" i="12"/>
  <c r="DC613" i="12"/>
  <c r="DA613" i="12"/>
  <c r="DE613" i="12"/>
  <c r="DB613" i="12"/>
  <c r="DB649" i="12"/>
  <c r="DA649" i="12"/>
  <c r="DC649" i="12"/>
  <c r="DD649" i="12"/>
  <c r="DE649" i="12"/>
  <c r="DC577" i="12"/>
  <c r="DB577" i="12"/>
  <c r="DE577" i="12"/>
  <c r="DA577" i="12"/>
  <c r="DD577" i="12"/>
  <c r="DC505" i="12"/>
  <c r="DB505" i="12"/>
  <c r="DA505" i="12"/>
  <c r="DD505" i="12"/>
  <c r="DE505" i="12"/>
  <c r="DC523" i="12"/>
  <c r="DA523" i="12"/>
  <c r="DD523" i="12"/>
  <c r="DB523" i="12"/>
  <c r="DE523" i="12"/>
  <c r="DB487" i="12"/>
  <c r="DC487" i="12"/>
  <c r="DA487" i="12"/>
  <c r="DE487" i="12"/>
  <c r="DD487" i="12"/>
  <c r="DB667" i="12"/>
  <c r="DA667" i="12"/>
  <c r="DC667" i="12"/>
  <c r="DD667" i="12"/>
  <c r="DE667" i="12"/>
  <c r="DA559" i="12"/>
  <c r="DB559" i="12"/>
  <c r="DD559" i="12"/>
  <c r="DE559" i="12"/>
  <c r="DC559" i="12"/>
  <c r="DC451" i="12"/>
  <c r="DE451" i="12"/>
  <c r="DB451" i="12"/>
  <c r="DA451" i="12"/>
  <c r="DD451" i="12"/>
  <c r="DA37" i="12"/>
  <c r="DD37" i="12"/>
  <c r="DE37" i="12"/>
  <c r="DB37" i="12"/>
  <c r="DC37" i="12"/>
  <c r="DA163" i="12"/>
  <c r="DD163" i="12"/>
  <c r="DE163" i="12"/>
  <c r="DC163" i="12"/>
  <c r="DB163" i="12"/>
  <c r="DC2179" i="12"/>
  <c r="DE2179" i="12"/>
  <c r="DD2179" i="12"/>
  <c r="DB2179" i="12"/>
  <c r="DF2178" i="12" s="1"/>
  <c r="DA2179" i="12"/>
  <c r="DD235" i="12"/>
  <c r="DA235" i="12"/>
  <c r="DC235" i="12"/>
  <c r="DE235" i="12"/>
  <c r="DB235" i="12"/>
  <c r="DD19" i="12"/>
  <c r="DB19" i="12"/>
  <c r="DC19" i="12"/>
  <c r="DE19" i="12"/>
  <c r="DA19" i="12"/>
  <c r="DE109" i="12"/>
  <c r="DB109" i="12"/>
  <c r="DD109" i="12"/>
  <c r="DC109" i="12"/>
  <c r="DA109" i="12"/>
  <c r="DC631" i="12"/>
  <c r="DE631" i="12"/>
  <c r="DA631" i="12"/>
  <c r="DB631" i="12"/>
  <c r="DD631" i="12"/>
  <c r="DC541" i="12"/>
  <c r="DA541" i="12"/>
  <c r="DD541" i="12"/>
  <c r="DE541" i="12"/>
  <c r="DB541" i="12"/>
  <c r="DE253" i="12"/>
  <c r="DA253" i="12"/>
  <c r="DC253" i="12"/>
  <c r="DD253" i="12"/>
  <c r="DB253" i="12"/>
  <c r="DE217" i="12"/>
  <c r="DA217" i="12"/>
  <c r="DC217" i="12"/>
  <c r="DB217" i="12"/>
  <c r="DD217" i="12"/>
  <c r="DD343" i="12"/>
  <c r="DC343" i="12"/>
  <c r="DA343" i="12"/>
  <c r="DE343" i="12"/>
  <c r="DB343" i="12"/>
  <c r="DA181" i="12"/>
  <c r="DB181" i="12"/>
  <c r="DD181" i="12"/>
  <c r="DE181" i="12"/>
  <c r="DC181" i="12"/>
  <c r="DD271" i="12"/>
  <c r="DC271" i="12"/>
  <c r="DA271" i="12"/>
  <c r="DB271" i="12"/>
  <c r="DE271" i="12"/>
  <c r="DA433" i="12"/>
  <c r="DE433" i="12"/>
  <c r="DB433" i="12"/>
  <c r="DD433" i="12"/>
  <c r="DC433" i="12"/>
  <c r="DD415" i="12"/>
  <c r="DB415" i="12"/>
  <c r="DC415" i="12"/>
  <c r="DA415" i="12"/>
  <c r="DE415" i="12"/>
  <c r="DA469" i="12"/>
  <c r="DE469" i="12"/>
  <c r="DD469" i="12"/>
  <c r="DC469" i="12"/>
  <c r="DB469" i="12"/>
  <c r="DC325" i="12"/>
  <c r="DD325" i="12"/>
  <c r="DE325" i="12"/>
  <c r="DA325" i="12"/>
  <c r="DB325" i="12"/>
  <c r="DA361" i="12"/>
  <c r="DE361" i="12"/>
  <c r="DC361" i="12"/>
  <c r="DB361" i="12"/>
  <c r="DD361" i="12"/>
  <c r="DD199" i="12"/>
  <c r="DB199" i="12"/>
  <c r="DE199" i="12"/>
  <c r="DA199" i="12"/>
  <c r="DC199" i="12"/>
  <c r="DA307" i="12"/>
  <c r="DB307" i="12"/>
  <c r="DE307" i="12"/>
  <c r="DD307" i="12"/>
  <c r="DC307" i="12"/>
  <c r="DE289" i="12"/>
  <c r="DA289" i="12"/>
  <c r="DB289" i="12"/>
  <c r="DC289" i="12"/>
  <c r="DD289" i="12"/>
  <c r="DD127" i="12"/>
  <c r="DE127" i="12"/>
  <c r="DA127" i="12"/>
  <c r="DC127" i="12"/>
  <c r="DB127" i="12"/>
  <c r="DC73" i="12"/>
  <c r="DE73" i="12"/>
  <c r="DB73" i="12"/>
  <c r="DD73" i="12"/>
  <c r="DA73" i="12"/>
  <c r="DD397" i="12"/>
  <c r="DC397" i="12"/>
  <c r="DE397" i="12"/>
  <c r="DA397" i="12"/>
  <c r="DB397" i="12"/>
  <c r="DB595" i="12"/>
  <c r="DC595" i="12"/>
  <c r="DD595" i="12"/>
  <c r="DE595" i="12"/>
  <c r="DA595" i="12"/>
  <c r="DC55" i="12"/>
  <c r="DD55" i="12"/>
  <c r="DB55" i="12"/>
  <c r="DE55" i="12"/>
  <c r="DA55" i="12"/>
  <c r="DE145" i="12"/>
  <c r="DD145" i="12"/>
  <c r="DC145" i="12"/>
  <c r="DA145" i="12"/>
  <c r="DB145" i="12"/>
  <c r="DC91" i="12"/>
  <c r="DE91" i="12"/>
  <c r="DB91" i="12"/>
  <c r="DD91" i="12"/>
  <c r="DA91" i="12"/>
  <c r="DB379" i="12"/>
  <c r="DC379" i="12"/>
  <c r="DD379" i="12"/>
  <c r="DE379" i="12"/>
  <c r="DA379" i="12"/>
  <c r="P17" i="12"/>
  <c r="HT68" i="12"/>
  <c r="HO69" i="12"/>
  <c r="DB842" i="12"/>
  <c r="DA842" i="12"/>
  <c r="DC842" i="12"/>
  <c r="DE842" i="12"/>
  <c r="DD842" i="12"/>
  <c r="DE891" i="12"/>
  <c r="DA891" i="12"/>
  <c r="DC891" i="12"/>
  <c r="DB891" i="12"/>
  <c r="DD891" i="12"/>
  <c r="DA857" i="12"/>
  <c r="DE857" i="12"/>
  <c r="DB857" i="12"/>
  <c r="DD857" i="12"/>
  <c r="DC857" i="12"/>
  <c r="DE961" i="12"/>
  <c r="DC961" i="12"/>
  <c r="DA961" i="12"/>
  <c r="DB961" i="12"/>
  <c r="DD961" i="12"/>
  <c r="DE822" i="12"/>
  <c r="DD822" i="12"/>
  <c r="DC822" i="12"/>
  <c r="DA822" i="12"/>
  <c r="DB822" i="12"/>
  <c r="DD754" i="12"/>
  <c r="DA754" i="12"/>
  <c r="DB754" i="12"/>
  <c r="DC754" i="12"/>
  <c r="DE754" i="12"/>
  <c r="DA788" i="12"/>
  <c r="DE788" i="12"/>
  <c r="DC788" i="12"/>
  <c r="DD788" i="12"/>
  <c r="DB788" i="12"/>
  <c r="DA738" i="12"/>
  <c r="DD738" i="12"/>
  <c r="DB738" i="12"/>
  <c r="DE738" i="12"/>
  <c r="DC738" i="12"/>
  <c r="DA908" i="12"/>
  <c r="DD908" i="12"/>
  <c r="DB908" i="12"/>
  <c r="DC908" i="12"/>
  <c r="DE908" i="12"/>
  <c r="DA944" i="12"/>
  <c r="DD944" i="12"/>
  <c r="DB944" i="12"/>
  <c r="DC944" i="12"/>
  <c r="DE944" i="12"/>
  <c r="DE874" i="12"/>
  <c r="DC874" i="12"/>
  <c r="DA874" i="12"/>
  <c r="DD874" i="12"/>
  <c r="DB874" i="12"/>
  <c r="DA771" i="12"/>
  <c r="DE771" i="12"/>
  <c r="DD771" i="12"/>
  <c r="DC771" i="12"/>
  <c r="DB771" i="12"/>
  <c r="DE925" i="12"/>
  <c r="DB925" i="12"/>
  <c r="DD925" i="12"/>
  <c r="DA925" i="12"/>
  <c r="DC925" i="12"/>
  <c r="DC719" i="12"/>
  <c r="DB719" i="12"/>
  <c r="DE719" i="12"/>
  <c r="DA719" i="12"/>
  <c r="DD719" i="12"/>
  <c r="DD702" i="12"/>
  <c r="DB702" i="12"/>
  <c r="DC702" i="12"/>
  <c r="DA702" i="12"/>
  <c r="DE702" i="12"/>
  <c r="DC805" i="12"/>
  <c r="DD805" i="12"/>
  <c r="DB805" i="12"/>
  <c r="DE805" i="12"/>
  <c r="DA805" i="12"/>
  <c r="DC977" i="12"/>
  <c r="DA977" i="12"/>
  <c r="DE977" i="12"/>
  <c r="DD977" i="12"/>
  <c r="DB977" i="12"/>
  <c r="JK59" i="12"/>
  <c r="JL59" i="12" s="1"/>
  <c r="EA59" i="12" s="1"/>
  <c r="JH60" i="12"/>
  <c r="DC975" i="12"/>
  <c r="DB975" i="12" s="1"/>
  <c r="CX996" i="12"/>
  <c r="CY996" i="12" s="1"/>
  <c r="CX994" i="12"/>
  <c r="CY994" i="12" s="1"/>
  <c r="CX995" i="12"/>
  <c r="CY995" i="12" s="1"/>
  <c r="CX998" i="12"/>
  <c r="CY998" i="12" s="1"/>
  <c r="CX1002" i="12"/>
  <c r="CY1002" i="12" s="1"/>
  <c r="CX993" i="12"/>
  <c r="CY993" i="12" s="1"/>
  <c r="DC993" i="12" s="1"/>
  <c r="DB993" i="12" s="1"/>
  <c r="DD994" i="12" s="1"/>
  <c r="CX1003" i="12"/>
  <c r="CY1003" i="12" s="1"/>
  <c r="CX997" i="12"/>
  <c r="CY997" i="12" s="1"/>
  <c r="CX1007" i="12"/>
  <c r="CY1007" i="12" s="1"/>
  <c r="CX1000" i="12"/>
  <c r="CY1000" i="12" s="1"/>
  <c r="CX1006" i="12"/>
  <c r="CY1006" i="12" s="1"/>
  <c r="CX1005" i="12"/>
  <c r="CY1005" i="12" s="1"/>
  <c r="CX999" i="12"/>
  <c r="CY999" i="12" s="1"/>
  <c r="CX1001" i="12"/>
  <c r="CY1001" i="12" s="1"/>
  <c r="CX1004" i="12"/>
  <c r="CY1004" i="12" s="1"/>
  <c r="CX1009" i="12"/>
  <c r="CY1009" i="12" s="1"/>
  <c r="CX1008" i="12"/>
  <c r="CY1008" i="12" s="1"/>
  <c r="FU163" i="12"/>
  <c r="GR163" i="12" s="1"/>
  <c r="FR164" i="12"/>
  <c r="CY2258" i="12"/>
  <c r="CX2259" i="12"/>
  <c r="CZ945" i="12"/>
  <c r="CZ703" i="12"/>
  <c r="CZ926" i="12"/>
  <c r="CZ843" i="12"/>
  <c r="CZ962" i="12"/>
  <c r="CZ772" i="12"/>
  <c r="CZ858" i="12"/>
  <c r="CZ789" i="12"/>
  <c r="CZ720" i="12"/>
  <c r="CZ892" i="12"/>
  <c r="CZ2180" i="12"/>
  <c r="CZ755" i="12"/>
  <c r="CZ978" i="12"/>
  <c r="CZ823" i="12"/>
  <c r="CZ995" i="12"/>
  <c r="CZ739" i="12"/>
  <c r="CZ875" i="12"/>
  <c r="CZ806" i="12"/>
  <c r="CZ909" i="12"/>
  <c r="DE2180" i="12" l="1"/>
  <c r="DC2180" i="12"/>
  <c r="DD2180" i="12"/>
  <c r="DA2180" i="12"/>
  <c r="DB2180" i="12"/>
  <c r="DF2179" i="12" s="1"/>
  <c r="P18" i="12"/>
  <c r="HT69" i="12"/>
  <c r="HO70" i="12"/>
  <c r="DE978" i="12"/>
  <c r="DD978" i="12"/>
  <c r="DB978" i="12"/>
  <c r="DC978" i="12"/>
  <c r="DA978" i="12"/>
  <c r="DC806" i="12"/>
  <c r="DD806" i="12"/>
  <c r="DA806" i="12"/>
  <c r="DB806" i="12"/>
  <c r="DE806" i="12"/>
  <c r="DE720" i="12"/>
  <c r="DD720" i="12"/>
  <c r="DA720" i="12"/>
  <c r="DC720" i="12"/>
  <c r="DB720" i="12"/>
  <c r="DC926" i="12"/>
  <c r="DB926" i="12"/>
  <c r="DD926" i="12"/>
  <c r="DA926" i="12"/>
  <c r="DE926" i="12"/>
  <c r="DC772" i="12"/>
  <c r="DE772" i="12"/>
  <c r="DA772" i="12"/>
  <c r="DD772" i="12"/>
  <c r="DB772" i="12"/>
  <c r="DC945" i="12"/>
  <c r="DA945" i="12"/>
  <c r="DB945" i="12"/>
  <c r="DE945" i="12"/>
  <c r="DD945" i="12"/>
  <c r="DA739" i="12"/>
  <c r="DB739" i="12"/>
  <c r="DE739" i="12"/>
  <c r="DC739" i="12"/>
  <c r="DD739" i="12"/>
  <c r="DA789" i="12"/>
  <c r="DD789" i="12"/>
  <c r="DC789" i="12"/>
  <c r="DE789" i="12"/>
  <c r="DB789" i="12"/>
  <c r="DA823" i="12"/>
  <c r="DB823" i="12"/>
  <c r="DD823" i="12"/>
  <c r="DE823" i="12"/>
  <c r="DC823" i="12"/>
  <c r="DB858" i="12"/>
  <c r="DA858" i="12"/>
  <c r="DD858" i="12"/>
  <c r="DC858" i="12"/>
  <c r="DE858" i="12"/>
  <c r="DD843" i="12"/>
  <c r="DC843" i="12"/>
  <c r="DA843" i="12"/>
  <c r="DB843" i="12"/>
  <c r="DE843" i="12"/>
  <c r="DA703" i="12"/>
  <c r="DD703" i="12"/>
  <c r="DC703" i="12"/>
  <c r="DE703" i="12"/>
  <c r="DB703" i="12"/>
  <c r="DC875" i="12"/>
  <c r="DA875" i="12"/>
  <c r="DD875" i="12"/>
  <c r="DB875" i="12"/>
  <c r="DE875" i="12"/>
  <c r="DA909" i="12"/>
  <c r="DB909" i="12"/>
  <c r="DE909" i="12"/>
  <c r="DD909" i="12"/>
  <c r="DC909" i="12"/>
  <c r="DE755" i="12"/>
  <c r="DB755" i="12"/>
  <c r="DA755" i="12"/>
  <c r="DC755" i="12"/>
  <c r="DD755" i="12"/>
  <c r="DA962" i="12"/>
  <c r="DD962" i="12"/>
  <c r="DB962" i="12"/>
  <c r="DC962" i="12"/>
  <c r="DE962" i="12"/>
  <c r="DE892" i="12"/>
  <c r="DC892" i="12"/>
  <c r="DA892" i="12"/>
  <c r="DB892" i="12"/>
  <c r="DD892" i="12"/>
  <c r="DE993" i="12"/>
  <c r="DA994" i="12"/>
  <c r="DC994" i="12"/>
  <c r="DE994" i="12"/>
  <c r="DB994" i="12"/>
  <c r="DD993" i="12"/>
  <c r="DA995" i="12"/>
  <c r="DD995" i="12"/>
  <c r="DC995" i="12"/>
  <c r="DB995" i="12"/>
  <c r="DE995" i="12"/>
  <c r="CX1024" i="12"/>
  <c r="CY1024" i="12" s="1"/>
  <c r="CX1016" i="12"/>
  <c r="CY1016" i="12" s="1"/>
  <c r="CX1027" i="12"/>
  <c r="CY1027" i="12" s="1"/>
  <c r="CX1018" i="12"/>
  <c r="CY1018" i="12" s="1"/>
  <c r="CX1013" i="12"/>
  <c r="CY1013" i="12" s="1"/>
  <c r="CX1025" i="12"/>
  <c r="CY1025" i="12" s="1"/>
  <c r="CX1026" i="12"/>
  <c r="CY1026" i="12" s="1"/>
  <c r="CX1022" i="12"/>
  <c r="CY1022" i="12" s="1"/>
  <c r="CX1019" i="12"/>
  <c r="CY1019" i="12" s="1"/>
  <c r="CX1012" i="12"/>
  <c r="CY1012" i="12" s="1"/>
  <c r="CX1020" i="12"/>
  <c r="CY1020" i="12" s="1"/>
  <c r="CX1015" i="12"/>
  <c r="CY1015" i="12" s="1"/>
  <c r="CX1021" i="12"/>
  <c r="CY1021" i="12" s="1"/>
  <c r="CX1014" i="12"/>
  <c r="CY1014" i="12" s="1"/>
  <c r="CX1017" i="12"/>
  <c r="CY1017" i="12" s="1"/>
  <c r="CX1011" i="12"/>
  <c r="CY1011" i="12" s="1"/>
  <c r="CX1023" i="12"/>
  <c r="CY1023" i="12" s="1"/>
  <c r="JH61" i="12"/>
  <c r="JK60" i="12"/>
  <c r="JL60" i="12" s="1"/>
  <c r="EA60" i="12" s="1"/>
  <c r="DE975" i="12"/>
  <c r="DD975" i="12"/>
  <c r="DB976" i="12"/>
  <c r="DE976" i="12"/>
  <c r="DA976" i="12"/>
  <c r="DD976" i="12"/>
  <c r="DC976" i="12"/>
  <c r="FU164" i="12"/>
  <c r="GR164" i="12" s="1"/>
  <c r="FR165" i="12"/>
  <c r="CX2260" i="12"/>
  <c r="CY2259" i="12"/>
  <c r="CZ824" i="12"/>
  <c r="CZ859" i="12"/>
  <c r="CZ721" i="12"/>
  <c r="CZ2181" i="12"/>
  <c r="CZ844" i="12"/>
  <c r="CZ807" i="12"/>
  <c r="CZ910" i="12"/>
  <c r="CZ946" i="12"/>
  <c r="CZ979" i="12"/>
  <c r="CZ876" i="12"/>
  <c r="CZ996" i="12"/>
  <c r="CZ963" i="12"/>
  <c r="CZ756" i="12"/>
  <c r="CZ790" i="12"/>
  <c r="CZ1013" i="12"/>
  <c r="CZ927" i="12"/>
  <c r="CZ893" i="12"/>
  <c r="CZ773" i="12"/>
  <c r="DD2181" i="12" l="1"/>
  <c r="DB2181" i="12"/>
  <c r="DF2180" i="12" s="1"/>
  <c r="DA2181" i="12"/>
  <c r="DC2181" i="12"/>
  <c r="DE2181" i="12"/>
  <c r="P19" i="12"/>
  <c r="HT70" i="12"/>
  <c r="HO71" i="12"/>
  <c r="DE844" i="12"/>
  <c r="DC844" i="12"/>
  <c r="DB844" i="12"/>
  <c r="DD844" i="12"/>
  <c r="DA844" i="12"/>
  <c r="DC824" i="12"/>
  <c r="DE824" i="12"/>
  <c r="DB824" i="12"/>
  <c r="DA824" i="12"/>
  <c r="DD824" i="12"/>
  <c r="DC996" i="12"/>
  <c r="DA996" i="12"/>
  <c r="DE996" i="12"/>
  <c r="DB996" i="12"/>
  <c r="DD996" i="12"/>
  <c r="DC893" i="12"/>
  <c r="DD893" i="12"/>
  <c r="DA893" i="12"/>
  <c r="DB893" i="12"/>
  <c r="DE893" i="12"/>
  <c r="DE756" i="12"/>
  <c r="DD756" i="12"/>
  <c r="DB756" i="12"/>
  <c r="DA756" i="12"/>
  <c r="DC756" i="12"/>
  <c r="DE910" i="12"/>
  <c r="DB910" i="12"/>
  <c r="DC910" i="12"/>
  <c r="DA910" i="12"/>
  <c r="DD910" i="12"/>
  <c r="DC773" i="12"/>
  <c r="DD773" i="12"/>
  <c r="DA773" i="12"/>
  <c r="DB773" i="12"/>
  <c r="DE773" i="12"/>
  <c r="DE721" i="12"/>
  <c r="DC721" i="12"/>
  <c r="DA721" i="12"/>
  <c r="DD721" i="12"/>
  <c r="DB721" i="12"/>
  <c r="DC859" i="12"/>
  <c r="DE859" i="12"/>
  <c r="DA859" i="12"/>
  <c r="DD859" i="12"/>
  <c r="DB859" i="12"/>
  <c r="DD790" i="12"/>
  <c r="DE790" i="12"/>
  <c r="DC790" i="12"/>
  <c r="DA790" i="12"/>
  <c r="DB790" i="12"/>
  <c r="DB979" i="12"/>
  <c r="DA979" i="12"/>
  <c r="DD979" i="12"/>
  <c r="DE979" i="12"/>
  <c r="DC979" i="12"/>
  <c r="DC963" i="12"/>
  <c r="DA963" i="12"/>
  <c r="DB963" i="12"/>
  <c r="DD963" i="12"/>
  <c r="DE963" i="12"/>
  <c r="DA876" i="12"/>
  <c r="DB876" i="12"/>
  <c r="DE876" i="12"/>
  <c r="DD876" i="12"/>
  <c r="DC876" i="12"/>
  <c r="DD946" i="12"/>
  <c r="DA946" i="12"/>
  <c r="DE946" i="12"/>
  <c r="DC946" i="12"/>
  <c r="DB946" i="12"/>
  <c r="DE927" i="12"/>
  <c r="DA927" i="12"/>
  <c r="DD927" i="12"/>
  <c r="DB927" i="12"/>
  <c r="DC927" i="12"/>
  <c r="DB807" i="12"/>
  <c r="DD807" i="12"/>
  <c r="DE807" i="12"/>
  <c r="DA807" i="12"/>
  <c r="DC807" i="12"/>
  <c r="DC1013" i="12"/>
  <c r="DD1013" i="12"/>
  <c r="DA1013" i="12"/>
  <c r="DE1013" i="12"/>
  <c r="DB1013" i="12"/>
  <c r="JK61" i="12"/>
  <c r="JL61" i="12" s="1"/>
  <c r="EA61" i="12" s="1"/>
  <c r="JH62" i="12"/>
  <c r="CX1034" i="12"/>
  <c r="CY1034" i="12" s="1"/>
  <c r="CX1045" i="12"/>
  <c r="CY1045" i="12" s="1"/>
  <c r="CX1041" i="12"/>
  <c r="CY1041" i="12" s="1"/>
  <c r="CX1044" i="12"/>
  <c r="CY1044" i="12" s="1"/>
  <c r="CX1043" i="12"/>
  <c r="CY1043" i="12" s="1"/>
  <c r="CX1037" i="12"/>
  <c r="CY1037" i="12" s="1"/>
  <c r="CX1042" i="12"/>
  <c r="CY1042" i="12" s="1"/>
  <c r="CX1035" i="12"/>
  <c r="CY1035" i="12" s="1"/>
  <c r="CX1029" i="12"/>
  <c r="CY1029" i="12" s="1"/>
  <c r="DC1029" i="12" s="1"/>
  <c r="DB1029" i="12" s="1"/>
  <c r="DE1030" i="12" s="1"/>
  <c r="CX1036" i="12"/>
  <c r="CY1036" i="12" s="1"/>
  <c r="CX1033" i="12"/>
  <c r="CY1033" i="12" s="1"/>
  <c r="CX1032" i="12"/>
  <c r="CY1032" i="12" s="1"/>
  <c r="CX1039" i="12"/>
  <c r="CY1039" i="12" s="1"/>
  <c r="CX1038" i="12"/>
  <c r="CY1038" i="12" s="1"/>
  <c r="CX1030" i="12"/>
  <c r="CY1030" i="12" s="1"/>
  <c r="CX1040" i="12"/>
  <c r="CY1040" i="12" s="1"/>
  <c r="CX1031" i="12"/>
  <c r="CY1031" i="12" s="1"/>
  <c r="DC1011" i="12"/>
  <c r="FU165" i="12"/>
  <c r="GR165" i="12" s="1"/>
  <c r="FR166" i="12"/>
  <c r="CX2261" i="12"/>
  <c r="CY2260" i="12"/>
  <c r="CZ894" i="12"/>
  <c r="CZ964" i="12"/>
  <c r="CZ997" i="12"/>
  <c r="CZ808" i="12"/>
  <c r="CZ791" i="12"/>
  <c r="CZ757" i="12"/>
  <c r="CZ845" i="12"/>
  <c r="CZ877" i="12"/>
  <c r="CZ860" i="12"/>
  <c r="CZ1014" i="12"/>
  <c r="CZ947" i="12"/>
  <c r="CZ774" i="12"/>
  <c r="CZ2182" i="12"/>
  <c r="CZ928" i="12"/>
  <c r="CZ825" i="12"/>
  <c r="CZ911" i="12"/>
  <c r="CZ980" i="12"/>
  <c r="CZ1031" i="12"/>
  <c r="DC2182" i="12" l="1"/>
  <c r="DB2182" i="12"/>
  <c r="DF2181" i="12" s="1"/>
  <c r="DA2182" i="12"/>
  <c r="DE2182" i="12"/>
  <c r="DD2182" i="12"/>
  <c r="P20" i="12"/>
  <c r="HT71" i="12"/>
  <c r="HO72" i="12"/>
  <c r="DB808" i="12"/>
  <c r="DC808" i="12"/>
  <c r="DA808" i="12"/>
  <c r="DD808" i="12"/>
  <c r="DE808" i="12"/>
  <c r="DE947" i="12"/>
  <c r="DC947" i="12"/>
  <c r="DD947" i="12"/>
  <c r="DA947" i="12"/>
  <c r="DB947" i="12"/>
  <c r="DB964" i="12"/>
  <c r="DE964" i="12"/>
  <c r="DA964" i="12"/>
  <c r="DD964" i="12"/>
  <c r="DC964" i="12"/>
  <c r="DE791" i="12"/>
  <c r="DD791" i="12"/>
  <c r="DC791" i="12"/>
  <c r="DA791" i="12"/>
  <c r="DB791" i="12"/>
  <c r="DC845" i="12"/>
  <c r="DD845" i="12"/>
  <c r="DE845" i="12"/>
  <c r="DB845" i="12"/>
  <c r="DA845" i="12"/>
  <c r="DE1014" i="12"/>
  <c r="DC1014" i="12"/>
  <c r="DB1014" i="12"/>
  <c r="DD1014" i="12"/>
  <c r="DA1014" i="12"/>
  <c r="DA911" i="12"/>
  <c r="DD911" i="12"/>
  <c r="DC911" i="12"/>
  <c r="DB911" i="12"/>
  <c r="DE911" i="12"/>
  <c r="DE894" i="12"/>
  <c r="DD894" i="12"/>
  <c r="DC894" i="12"/>
  <c r="DA894" i="12"/>
  <c r="DB894" i="12"/>
  <c r="DC825" i="12"/>
  <c r="DD825" i="12"/>
  <c r="DE825" i="12"/>
  <c r="DA825" i="12"/>
  <c r="DB825" i="12"/>
  <c r="DE928" i="12"/>
  <c r="DD928" i="12"/>
  <c r="DA928" i="12"/>
  <c r="DB928" i="12"/>
  <c r="DC928" i="12"/>
  <c r="DA877" i="12"/>
  <c r="DE877" i="12"/>
  <c r="DC877" i="12"/>
  <c r="DB877" i="12"/>
  <c r="DD877" i="12"/>
  <c r="DD980" i="12"/>
  <c r="DC980" i="12"/>
  <c r="DB980" i="12"/>
  <c r="DE980" i="12"/>
  <c r="DA980" i="12"/>
  <c r="DC860" i="12"/>
  <c r="DD860" i="12"/>
  <c r="DA860" i="12"/>
  <c r="DE860" i="12"/>
  <c r="DB860" i="12"/>
  <c r="DC997" i="12"/>
  <c r="DB997" i="12"/>
  <c r="DD997" i="12"/>
  <c r="DA997" i="12"/>
  <c r="DE997" i="12"/>
  <c r="DE774" i="12"/>
  <c r="DB774" i="12"/>
  <c r="DC774" i="12"/>
  <c r="DD774" i="12"/>
  <c r="DA774" i="12"/>
  <c r="DB757" i="12"/>
  <c r="DD757" i="12"/>
  <c r="DA757" i="12"/>
  <c r="DE757" i="12"/>
  <c r="DC757" i="12"/>
  <c r="DA1030" i="12"/>
  <c r="DB1030" i="12"/>
  <c r="DC1031" i="12"/>
  <c r="DB1031" i="12"/>
  <c r="DD1031" i="12"/>
  <c r="DE1031" i="12"/>
  <c r="DA1031" i="12"/>
  <c r="DD1011" i="12"/>
  <c r="DE1011" i="12"/>
  <c r="DC1030" i="12"/>
  <c r="DD1030" i="12"/>
  <c r="DE1029" i="12"/>
  <c r="CX1048" i="12"/>
  <c r="CY1048" i="12" s="1"/>
  <c r="CX1053" i="12"/>
  <c r="CY1053" i="12" s="1"/>
  <c r="CX1060" i="12"/>
  <c r="CY1060" i="12" s="1"/>
  <c r="CX1058" i="12"/>
  <c r="CY1058" i="12" s="1"/>
  <c r="CX1061" i="12"/>
  <c r="CY1061" i="12" s="1"/>
  <c r="CX1062" i="12"/>
  <c r="CY1062" i="12" s="1"/>
  <c r="CX1049" i="12"/>
  <c r="CY1049" i="12" s="1"/>
  <c r="CX1050" i="12"/>
  <c r="CY1050" i="12" s="1"/>
  <c r="CX1051" i="12"/>
  <c r="CY1051" i="12" s="1"/>
  <c r="CX1054" i="12"/>
  <c r="CY1054" i="12" s="1"/>
  <c r="CX1047" i="12"/>
  <c r="CY1047" i="12" s="1"/>
  <c r="DC1047" i="12" s="1"/>
  <c r="DB1047" i="12" s="1"/>
  <c r="DB1048" i="12" s="1"/>
  <c r="CX1052" i="12"/>
  <c r="CY1052" i="12" s="1"/>
  <c r="CX1059" i="12"/>
  <c r="CY1059" i="12" s="1"/>
  <c r="CX1057" i="12"/>
  <c r="CY1057" i="12" s="1"/>
  <c r="CX1056" i="12"/>
  <c r="CY1056" i="12" s="1"/>
  <c r="CX1055" i="12"/>
  <c r="CY1055" i="12" s="1"/>
  <c r="CX1063" i="12"/>
  <c r="CY1063" i="12" s="1"/>
  <c r="DD1029" i="12"/>
  <c r="DB1011" i="12"/>
  <c r="JH63" i="12"/>
  <c r="JK62" i="12"/>
  <c r="JL62" i="12" s="1"/>
  <c r="EA62" i="12" s="1"/>
  <c r="FU166" i="12"/>
  <c r="GR166" i="12" s="1"/>
  <c r="FR167" i="12"/>
  <c r="CX2262" i="12"/>
  <c r="CY2261" i="12"/>
  <c r="CZ929" i="12"/>
  <c r="CZ965" i="12"/>
  <c r="CZ948" i="12"/>
  <c r="CZ792" i="12"/>
  <c r="CZ1032" i="12"/>
  <c r="CZ895" i="12"/>
  <c r="CZ2183" i="12"/>
  <c r="CZ846" i="12"/>
  <c r="CZ998" i="12"/>
  <c r="CZ1015" i="12"/>
  <c r="CZ861" i="12"/>
  <c r="CZ878" i="12"/>
  <c r="CZ809" i="12"/>
  <c r="CZ826" i="12"/>
  <c r="CZ981" i="12"/>
  <c r="CZ912" i="12"/>
  <c r="CZ775" i="12"/>
  <c r="CZ1049" i="12"/>
  <c r="DB2183" i="12" l="1"/>
  <c r="DF2182" i="12" s="1"/>
  <c r="DC2183" i="12"/>
  <c r="DE2183" i="12"/>
  <c r="DD2183" i="12"/>
  <c r="DA2183" i="12"/>
  <c r="P21" i="12"/>
  <c r="HT72" i="12"/>
  <c r="HO73" i="12"/>
  <c r="DE1047" i="12"/>
  <c r="DD1047" i="12"/>
  <c r="DE775" i="12"/>
  <c r="DA775" i="12"/>
  <c r="DC775" i="12"/>
  <c r="DD775" i="12"/>
  <c r="DB775" i="12"/>
  <c r="DB1015" i="12"/>
  <c r="DA1015" i="12"/>
  <c r="DC1015" i="12"/>
  <c r="DD1015" i="12"/>
  <c r="DE1015" i="12"/>
  <c r="DA846" i="12"/>
  <c r="DD846" i="12"/>
  <c r="DE846" i="12"/>
  <c r="DC846" i="12"/>
  <c r="DB846" i="12"/>
  <c r="DA1032" i="12"/>
  <c r="DE1032" i="12"/>
  <c r="DC1032" i="12"/>
  <c r="DB1032" i="12"/>
  <c r="DD1032" i="12"/>
  <c r="DE861" i="12"/>
  <c r="DA861" i="12"/>
  <c r="DD861" i="12"/>
  <c r="DB861" i="12"/>
  <c r="DC861" i="12"/>
  <c r="DC878" i="12"/>
  <c r="DD878" i="12"/>
  <c r="DA878" i="12"/>
  <c r="DB878" i="12"/>
  <c r="DE878" i="12"/>
  <c r="DE929" i="12"/>
  <c r="DA929" i="12"/>
  <c r="DD929" i="12"/>
  <c r="DB929" i="12"/>
  <c r="DC929" i="12"/>
  <c r="DB826" i="12"/>
  <c r="DC826" i="12"/>
  <c r="DA826" i="12"/>
  <c r="DE826" i="12"/>
  <c r="DD826" i="12"/>
  <c r="DD912" i="12"/>
  <c r="DA912" i="12"/>
  <c r="DB912" i="12"/>
  <c r="DC912" i="12"/>
  <c r="DE912" i="12"/>
  <c r="DA965" i="12"/>
  <c r="DE965" i="12"/>
  <c r="DC965" i="12"/>
  <c r="DB965" i="12"/>
  <c r="DD965" i="12"/>
  <c r="DA809" i="12"/>
  <c r="DD809" i="12"/>
  <c r="DB809" i="12"/>
  <c r="DC809" i="12"/>
  <c r="DE809" i="12"/>
  <c r="DA998" i="12"/>
  <c r="DE998" i="12"/>
  <c r="DD998" i="12"/>
  <c r="DB998" i="12"/>
  <c r="DC998" i="12"/>
  <c r="DC981" i="12"/>
  <c r="DE981" i="12"/>
  <c r="DA981" i="12"/>
  <c r="DD981" i="12"/>
  <c r="DB981" i="12"/>
  <c r="DD895" i="12"/>
  <c r="DC895" i="12"/>
  <c r="DB895" i="12"/>
  <c r="DA895" i="12"/>
  <c r="DE895" i="12"/>
  <c r="DE792" i="12"/>
  <c r="DB792" i="12"/>
  <c r="DD792" i="12"/>
  <c r="DA792" i="12"/>
  <c r="DC792" i="12"/>
  <c r="DA948" i="12"/>
  <c r="DD948" i="12"/>
  <c r="DC948" i="12"/>
  <c r="DB948" i="12"/>
  <c r="DE948" i="12"/>
  <c r="DE1048" i="12"/>
  <c r="DC1049" i="12"/>
  <c r="DD1049" i="12"/>
  <c r="DA1049" i="12"/>
  <c r="DB1049" i="12"/>
  <c r="DE1049" i="12"/>
  <c r="JK63" i="12"/>
  <c r="JL63" i="12" s="1"/>
  <c r="EA63" i="12" s="1"/>
  <c r="JH64" i="12"/>
  <c r="JK64" i="12" s="1"/>
  <c r="JL64" i="12" s="1"/>
  <c r="EA64" i="12" s="1"/>
  <c r="DA1048" i="12"/>
  <c r="DD1012" i="12"/>
  <c r="DC1012" i="12"/>
  <c r="DE1012" i="12"/>
  <c r="DA1012" i="12"/>
  <c r="DB1012" i="12"/>
  <c r="CX1066" i="12"/>
  <c r="CY1066" i="12" s="1"/>
  <c r="CX1068" i="12"/>
  <c r="CY1068" i="12" s="1"/>
  <c r="CX1079" i="12"/>
  <c r="CY1079" i="12" s="1"/>
  <c r="CX1067" i="12"/>
  <c r="CY1067" i="12" s="1"/>
  <c r="CX1069" i="12"/>
  <c r="CY1069" i="12" s="1"/>
  <c r="CX1078" i="12"/>
  <c r="CY1078" i="12" s="1"/>
  <c r="CX1073" i="12"/>
  <c r="CY1073" i="12" s="1"/>
  <c r="CX1076" i="12"/>
  <c r="CY1076" i="12" s="1"/>
  <c r="CX1070" i="12"/>
  <c r="CY1070" i="12" s="1"/>
  <c r="CX1075" i="12"/>
  <c r="CY1075" i="12" s="1"/>
  <c r="CX1081" i="12"/>
  <c r="CY1081" i="12" s="1"/>
  <c r="CX1080" i="12"/>
  <c r="CY1080" i="12" s="1"/>
  <c r="CX1071" i="12"/>
  <c r="CY1071" i="12" s="1"/>
  <c r="CX1074" i="12"/>
  <c r="CY1074" i="12" s="1"/>
  <c r="CX1065" i="12"/>
  <c r="CY1065" i="12" s="1"/>
  <c r="DC1065" i="12" s="1"/>
  <c r="DE1065" i="12" s="1"/>
  <c r="CX1072" i="12"/>
  <c r="CY1072" i="12" s="1"/>
  <c r="CX1077" i="12"/>
  <c r="CY1077" i="12" s="1"/>
  <c r="DD1048" i="12"/>
  <c r="DC1048" i="12"/>
  <c r="FU167" i="12"/>
  <c r="GR167" i="12" s="1"/>
  <c r="FR168" i="12"/>
  <c r="CX2263" i="12"/>
  <c r="CY2262" i="12"/>
  <c r="CZ913" i="12"/>
  <c r="CZ930" i="12"/>
  <c r="CZ999" i="12"/>
  <c r="CZ1050" i="12"/>
  <c r="CZ1016" i="12"/>
  <c r="CZ896" i="12"/>
  <c r="CZ793" i="12"/>
  <c r="CZ1067" i="12"/>
  <c r="CZ949" i="12"/>
  <c r="CZ966" i="12"/>
  <c r="CZ879" i="12"/>
  <c r="CZ982" i="12"/>
  <c r="CZ2184" i="12"/>
  <c r="CZ847" i="12"/>
  <c r="CZ810" i="12"/>
  <c r="CZ827" i="12"/>
  <c r="CZ1033" i="12"/>
  <c r="CZ862" i="12"/>
  <c r="DA2184" i="12" l="1"/>
  <c r="DE2184" i="12"/>
  <c r="DD2184" i="12"/>
  <c r="DC2184" i="12"/>
  <c r="DB2184" i="12"/>
  <c r="P22" i="12"/>
  <c r="HT73" i="12"/>
  <c r="HO74" i="12"/>
  <c r="DB949" i="12"/>
  <c r="DA949" i="12"/>
  <c r="DE949" i="12"/>
  <c r="DC949" i="12"/>
  <c r="DD949" i="12"/>
  <c r="DD896" i="12"/>
  <c r="DE896" i="12"/>
  <c r="DB896" i="12"/>
  <c r="DA896" i="12"/>
  <c r="DC896" i="12"/>
  <c r="DD999" i="12"/>
  <c r="DC999" i="12"/>
  <c r="DB999" i="12"/>
  <c r="DE999" i="12"/>
  <c r="DA999" i="12"/>
  <c r="DC913" i="12"/>
  <c r="DE913" i="12"/>
  <c r="DD913" i="12"/>
  <c r="DB913" i="12"/>
  <c r="DA913" i="12"/>
  <c r="DA930" i="12"/>
  <c r="DE930" i="12"/>
  <c r="DB930" i="12"/>
  <c r="DC930" i="12"/>
  <c r="DD930" i="12"/>
  <c r="DA862" i="12"/>
  <c r="DD862" i="12"/>
  <c r="DB862" i="12"/>
  <c r="DE862" i="12"/>
  <c r="DC862" i="12"/>
  <c r="DB1050" i="12"/>
  <c r="DD1050" i="12"/>
  <c r="DE1050" i="12"/>
  <c r="DC1050" i="12"/>
  <c r="DA1050" i="12"/>
  <c r="DB847" i="12"/>
  <c r="DD847" i="12"/>
  <c r="DA847" i="12"/>
  <c r="DE847" i="12"/>
  <c r="DC847" i="12"/>
  <c r="DD982" i="12"/>
  <c r="DE982" i="12"/>
  <c r="DC982" i="12"/>
  <c r="DB982" i="12"/>
  <c r="DA982" i="12"/>
  <c r="DB966" i="12"/>
  <c r="DC966" i="12"/>
  <c r="DD966" i="12"/>
  <c r="DE966" i="12"/>
  <c r="DA966" i="12"/>
  <c r="DA827" i="12"/>
  <c r="DB827" i="12"/>
  <c r="DD827" i="12"/>
  <c r="DC827" i="12"/>
  <c r="DE827" i="12"/>
  <c r="DB879" i="12"/>
  <c r="DA879" i="12"/>
  <c r="DD879" i="12"/>
  <c r="DC879" i="12"/>
  <c r="DE879" i="12"/>
  <c r="DB1033" i="12"/>
  <c r="DC1033" i="12"/>
  <c r="DD1033" i="12"/>
  <c r="DE1033" i="12"/>
  <c r="DA1033" i="12"/>
  <c r="DA1016" i="12"/>
  <c r="DC1016" i="12"/>
  <c r="DB1016" i="12"/>
  <c r="DE1016" i="12"/>
  <c r="DD1016" i="12"/>
  <c r="DE793" i="12"/>
  <c r="DB793" i="12"/>
  <c r="DC793" i="12"/>
  <c r="DA793" i="12"/>
  <c r="DD793" i="12"/>
  <c r="DB810" i="12"/>
  <c r="DC810" i="12"/>
  <c r="DA810" i="12"/>
  <c r="DE810" i="12"/>
  <c r="DD810" i="12"/>
  <c r="DD1065" i="12"/>
  <c r="DB1065" i="12"/>
  <c r="DD1066" i="12" s="1"/>
  <c r="DA1067" i="12"/>
  <c r="DD1067" i="12"/>
  <c r="DE1067" i="12"/>
  <c r="DB1067" i="12"/>
  <c r="DC1067" i="12"/>
  <c r="JH65" i="12"/>
  <c r="CX1097" i="12"/>
  <c r="CY1097" i="12" s="1"/>
  <c r="CX1099" i="12"/>
  <c r="CY1099" i="12" s="1"/>
  <c r="CX1087" i="12"/>
  <c r="CY1087" i="12" s="1"/>
  <c r="CX1088" i="12"/>
  <c r="CY1088" i="12" s="1"/>
  <c r="CX1096" i="12"/>
  <c r="CY1096" i="12" s="1"/>
  <c r="CX1092" i="12"/>
  <c r="CY1092" i="12" s="1"/>
  <c r="CX1091" i="12"/>
  <c r="CY1091" i="12" s="1"/>
  <c r="CX1086" i="12"/>
  <c r="CY1086" i="12" s="1"/>
  <c r="CX1093" i="12"/>
  <c r="CY1093" i="12" s="1"/>
  <c r="CX1098" i="12"/>
  <c r="CY1098" i="12" s="1"/>
  <c r="CX1084" i="12"/>
  <c r="CY1084" i="12" s="1"/>
  <c r="CX1095" i="12"/>
  <c r="CY1095" i="12" s="1"/>
  <c r="CX1094" i="12"/>
  <c r="CY1094" i="12" s="1"/>
  <c r="CX1089" i="12"/>
  <c r="CY1089" i="12" s="1"/>
  <c r="CX1090" i="12"/>
  <c r="CY1090" i="12" s="1"/>
  <c r="CX1083" i="12"/>
  <c r="CY1083" i="12" s="1"/>
  <c r="CX1085" i="12"/>
  <c r="CY1085" i="12" s="1"/>
  <c r="CX1106" i="12"/>
  <c r="CY1106" i="12" s="1"/>
  <c r="CX1117" i="12"/>
  <c r="CY1117" i="12" s="1"/>
  <c r="CX1105" i="12"/>
  <c r="CY1105" i="12" s="1"/>
  <c r="CX1114" i="12"/>
  <c r="CY1114" i="12" s="1"/>
  <c r="CX1115" i="12"/>
  <c r="CY1115" i="12" s="1"/>
  <c r="CX1108" i="12"/>
  <c r="CY1108" i="12" s="1"/>
  <c r="CX1111" i="12"/>
  <c r="CY1111" i="12" s="1"/>
  <c r="CX1102" i="12"/>
  <c r="CY1102" i="12" s="1"/>
  <c r="CX1113" i="12"/>
  <c r="CY1113" i="12" s="1"/>
  <c r="CX1101" i="12"/>
  <c r="CY1101" i="12" s="1"/>
  <c r="CX1110" i="12"/>
  <c r="CY1110" i="12" s="1"/>
  <c r="CX1104" i="12"/>
  <c r="CY1104" i="12" s="1"/>
  <c r="CX1112" i="12"/>
  <c r="CY1112" i="12" s="1"/>
  <c r="CX1103" i="12"/>
  <c r="CY1103" i="12" s="1"/>
  <c r="CX1109" i="12"/>
  <c r="CY1109" i="12" s="1"/>
  <c r="CX1116" i="12"/>
  <c r="CY1116" i="12" s="1"/>
  <c r="CX1107" i="12"/>
  <c r="CY1107" i="12" s="1"/>
  <c r="FU168" i="12"/>
  <c r="GR168" i="12" s="1"/>
  <c r="FR169" i="12"/>
  <c r="CX2264" i="12"/>
  <c r="CY2263" i="12"/>
  <c r="CZ1000" i="12"/>
  <c r="CZ811" i="12"/>
  <c r="CZ897" i="12"/>
  <c r="CZ1068" i="12"/>
  <c r="CZ967" i="12"/>
  <c r="CZ950" i="12"/>
  <c r="CZ1034" i="12"/>
  <c r="CZ1103" i="12"/>
  <c r="CZ863" i="12"/>
  <c r="CZ1051" i="12"/>
  <c r="CZ1017" i="12"/>
  <c r="CZ983" i="12"/>
  <c r="CZ828" i="12"/>
  <c r="CZ931" i="12"/>
  <c r="CZ880" i="12"/>
  <c r="CZ2185" i="12"/>
  <c r="CZ914" i="12"/>
  <c r="CZ1085" i="12"/>
  <c r="DA2185" i="12" l="1"/>
  <c r="DC2185" i="12"/>
  <c r="DB2185" i="12"/>
  <c r="DF2184" i="12" s="1"/>
  <c r="DE2185" i="12"/>
  <c r="DD2185" i="12"/>
  <c r="DF2183" i="12"/>
  <c r="P23" i="12"/>
  <c r="HT74" i="12"/>
  <c r="HO75" i="12"/>
  <c r="DA1066" i="12"/>
  <c r="DB1066" i="12"/>
  <c r="DC1066" i="12"/>
  <c r="DE1066" i="12"/>
  <c r="DC1034" i="12"/>
  <c r="DA1034" i="12"/>
  <c r="DD1034" i="12"/>
  <c r="DE1034" i="12"/>
  <c r="DB1034" i="12"/>
  <c r="DB828" i="12"/>
  <c r="DA828" i="12"/>
  <c r="DD828" i="12"/>
  <c r="DC828" i="12"/>
  <c r="DE828" i="12"/>
  <c r="DA983" i="12"/>
  <c r="DE983" i="12"/>
  <c r="DC983" i="12"/>
  <c r="DB983" i="12"/>
  <c r="DD983" i="12"/>
  <c r="DB1068" i="12"/>
  <c r="DE1068" i="12"/>
  <c r="DA1068" i="12"/>
  <c r="DD1068" i="12"/>
  <c r="DC1068" i="12"/>
  <c r="DA1051" i="12"/>
  <c r="DC1051" i="12"/>
  <c r="DB1051" i="12"/>
  <c r="DD1051" i="12"/>
  <c r="DE1051" i="12"/>
  <c r="DB931" i="12"/>
  <c r="DA931" i="12"/>
  <c r="DD931" i="12"/>
  <c r="DC931" i="12"/>
  <c r="DE931" i="12"/>
  <c r="DA1000" i="12"/>
  <c r="DE1000" i="12"/>
  <c r="DD1000" i="12"/>
  <c r="DB1000" i="12"/>
  <c r="DC1000" i="12"/>
  <c r="DB950" i="12"/>
  <c r="DE950" i="12"/>
  <c r="DC950" i="12"/>
  <c r="DD950" i="12"/>
  <c r="DA950" i="12"/>
  <c r="DC1017" i="12"/>
  <c r="DD1017" i="12"/>
  <c r="DB1017" i="12"/>
  <c r="DE1017" i="12"/>
  <c r="DA1017" i="12"/>
  <c r="DB880" i="12"/>
  <c r="DA880" i="12"/>
  <c r="DC880" i="12"/>
  <c r="DE880" i="12"/>
  <c r="DD880" i="12"/>
  <c r="DD967" i="12"/>
  <c r="DC967" i="12"/>
  <c r="DB967" i="12"/>
  <c r="DA967" i="12"/>
  <c r="DE967" i="12"/>
  <c r="DD811" i="12"/>
  <c r="DE811" i="12"/>
  <c r="DB811" i="12"/>
  <c r="DA811" i="12"/>
  <c r="DC811" i="12"/>
  <c r="DD863" i="12"/>
  <c r="DC863" i="12"/>
  <c r="DE863" i="12"/>
  <c r="DA863" i="12"/>
  <c r="DB863" i="12"/>
  <c r="DA914" i="12"/>
  <c r="DB914" i="12"/>
  <c r="DE914" i="12"/>
  <c r="DD914" i="12"/>
  <c r="DC914" i="12"/>
  <c r="DD897" i="12"/>
  <c r="DA897" i="12"/>
  <c r="DE897" i="12"/>
  <c r="DB897" i="12"/>
  <c r="DC897" i="12"/>
  <c r="DB1103" i="12"/>
  <c r="DA1103" i="12"/>
  <c r="DC1103" i="12"/>
  <c r="DE1103" i="12"/>
  <c r="DD1103" i="12"/>
  <c r="DC1085" i="12"/>
  <c r="DA1085" i="12"/>
  <c r="DD1085" i="12"/>
  <c r="DE1085" i="12"/>
  <c r="DB1085" i="12"/>
  <c r="DC1101" i="12"/>
  <c r="DB1101" i="12" s="1"/>
  <c r="DC1083" i="12"/>
  <c r="JK65" i="12"/>
  <c r="JL65" i="12" s="1"/>
  <c r="EA65" i="12" s="1"/>
  <c r="JH66" i="12"/>
  <c r="JH67" i="12" s="1"/>
  <c r="JK67" i="12" s="1"/>
  <c r="JL67" i="12" s="1"/>
  <c r="EA67" i="12" s="1"/>
  <c r="CX1160" i="12" s="1"/>
  <c r="CY1160" i="12" s="1"/>
  <c r="FU169" i="12"/>
  <c r="GR169" i="12" s="1"/>
  <c r="FR170" i="12"/>
  <c r="CX2265" i="12"/>
  <c r="CY2264" i="12"/>
  <c r="L1" i="12"/>
  <c r="CZ1052" i="12"/>
  <c r="CZ1035" i="12"/>
  <c r="CZ829" i="12"/>
  <c r="CZ1018" i="12"/>
  <c r="CZ881" i="12"/>
  <c r="CZ968" i="12"/>
  <c r="CZ984" i="12"/>
  <c r="CZ898" i="12"/>
  <c r="CZ951" i="12"/>
  <c r="CZ864" i="12"/>
  <c r="CZ1104" i="12"/>
  <c r="CZ1086" i="12"/>
  <c r="CZ932" i="12"/>
  <c r="CZ915" i="12"/>
  <c r="CZ2186" i="12"/>
  <c r="CZ1001" i="12"/>
  <c r="CZ1069" i="12"/>
  <c r="DA2186" i="12" l="1"/>
  <c r="DE2186" i="12"/>
  <c r="DB2186" i="12"/>
  <c r="DF2185" i="12" s="1"/>
  <c r="DD2186" i="12"/>
  <c r="DC2186" i="12"/>
  <c r="L3" i="12"/>
  <c r="L4" i="12" s="1"/>
  <c r="L5" i="12" s="1"/>
  <c r="L6" i="12" s="1"/>
  <c r="L7" i="12" s="1"/>
  <c r="L8" i="12" s="1"/>
  <c r="L9" i="12" s="1"/>
  <c r="P24" i="12"/>
  <c r="HT75" i="12"/>
  <c r="HO76" i="12"/>
  <c r="DA915" i="12"/>
  <c r="DC915" i="12"/>
  <c r="DE915" i="12"/>
  <c r="DB915" i="12"/>
  <c r="DD915" i="12"/>
  <c r="DD1086" i="12"/>
  <c r="DB1086" i="12"/>
  <c r="DE1086" i="12"/>
  <c r="DA1086" i="12"/>
  <c r="DC1086" i="12"/>
  <c r="DD1035" i="12"/>
  <c r="DB1035" i="12"/>
  <c r="DC1035" i="12"/>
  <c r="DA1035" i="12"/>
  <c r="DE1035" i="12"/>
  <c r="DB1104" i="12"/>
  <c r="DA1104" i="12"/>
  <c r="DE1104" i="12"/>
  <c r="DD1104" i="12"/>
  <c r="DC1104" i="12"/>
  <c r="DB881" i="12"/>
  <c r="DE881" i="12"/>
  <c r="DC881" i="12"/>
  <c r="DD881" i="12"/>
  <c r="DA881" i="12"/>
  <c r="DA1001" i="12"/>
  <c r="DB1001" i="12"/>
  <c r="DE1001" i="12"/>
  <c r="DD1001" i="12"/>
  <c r="DC1001" i="12"/>
  <c r="DB1052" i="12"/>
  <c r="DC1052" i="12"/>
  <c r="DD1052" i="12"/>
  <c r="DA1052" i="12"/>
  <c r="DE1052" i="12"/>
  <c r="DE829" i="12"/>
  <c r="DA829" i="12"/>
  <c r="DC829" i="12"/>
  <c r="DD829" i="12"/>
  <c r="DB829" i="12"/>
  <c r="DC898" i="12"/>
  <c r="DA898" i="12"/>
  <c r="DB898" i="12"/>
  <c r="DD898" i="12"/>
  <c r="DE898" i="12"/>
  <c r="DD1069" i="12"/>
  <c r="DC1069" i="12"/>
  <c r="DB1069" i="12"/>
  <c r="DE1069" i="12"/>
  <c r="DA1069" i="12"/>
  <c r="DD984" i="12"/>
  <c r="DE984" i="12"/>
  <c r="DA984" i="12"/>
  <c r="DB984" i="12"/>
  <c r="DC984" i="12"/>
  <c r="DA864" i="12"/>
  <c r="DC864" i="12"/>
  <c r="DE864" i="12"/>
  <c r="DB864" i="12"/>
  <c r="DD864" i="12"/>
  <c r="DA968" i="12"/>
  <c r="DE968" i="12"/>
  <c r="DD968" i="12"/>
  <c r="DC968" i="12"/>
  <c r="DB968" i="12"/>
  <c r="DB1018" i="12"/>
  <c r="DC1018" i="12"/>
  <c r="DE1018" i="12"/>
  <c r="DA1018" i="12"/>
  <c r="DD1018" i="12"/>
  <c r="DD951" i="12"/>
  <c r="DE951" i="12"/>
  <c r="DA951" i="12"/>
  <c r="DB951" i="12"/>
  <c r="DC951" i="12"/>
  <c r="DD932" i="12"/>
  <c r="DB932" i="12"/>
  <c r="DE932" i="12"/>
  <c r="DA932" i="12"/>
  <c r="DC932" i="12"/>
  <c r="DE1083" i="12"/>
  <c r="DD1083" i="12"/>
  <c r="CX1167" i="12"/>
  <c r="CY1167" i="12" s="1"/>
  <c r="CX1169" i="12"/>
  <c r="CY1169" i="12" s="1"/>
  <c r="CX1159" i="12"/>
  <c r="CY1159" i="12" s="1"/>
  <c r="CX1155" i="12"/>
  <c r="CY1155" i="12" s="1"/>
  <c r="DC1155" i="12" s="1"/>
  <c r="DB1155" i="12" s="1"/>
  <c r="CX1162" i="12"/>
  <c r="CY1162" i="12" s="1"/>
  <c r="CX1157" i="12"/>
  <c r="CY1157" i="12" s="1"/>
  <c r="CX1163" i="12"/>
  <c r="CY1163" i="12" s="1"/>
  <c r="CX1156" i="12"/>
  <c r="CY1156" i="12" s="1"/>
  <c r="DB1083" i="12"/>
  <c r="JK66" i="12"/>
  <c r="JL66" i="12" s="1"/>
  <c r="EA66" i="12" s="1"/>
  <c r="JH68" i="12"/>
  <c r="CX1128" i="12"/>
  <c r="CY1128" i="12" s="1"/>
  <c r="CX1126" i="12"/>
  <c r="CY1126" i="12" s="1"/>
  <c r="CX1130" i="12"/>
  <c r="CY1130" i="12" s="1"/>
  <c r="CX1125" i="12"/>
  <c r="CY1125" i="12" s="1"/>
  <c r="CX1132" i="12"/>
  <c r="CY1132" i="12" s="1"/>
  <c r="CX1127" i="12"/>
  <c r="CY1127" i="12" s="1"/>
  <c r="CX1131" i="12"/>
  <c r="CY1131" i="12" s="1"/>
  <c r="CX1135" i="12"/>
  <c r="CY1135" i="12" s="1"/>
  <c r="CX1123" i="12"/>
  <c r="CY1123" i="12" s="1"/>
  <c r="CX1119" i="12"/>
  <c r="CY1119" i="12" s="1"/>
  <c r="CX1120" i="12"/>
  <c r="CY1120" i="12" s="1"/>
  <c r="CX1124" i="12"/>
  <c r="CY1124" i="12" s="1"/>
  <c r="CX1129" i="12"/>
  <c r="CY1129" i="12" s="1"/>
  <c r="CX1134" i="12"/>
  <c r="CY1134" i="12" s="1"/>
  <c r="CX1121" i="12"/>
  <c r="CY1121" i="12" s="1"/>
  <c r="CX1122" i="12"/>
  <c r="CY1122" i="12" s="1"/>
  <c r="CX1133" i="12"/>
  <c r="CY1133" i="12" s="1"/>
  <c r="DD1101" i="12"/>
  <c r="DE1101" i="12"/>
  <c r="CX1168" i="12"/>
  <c r="CY1168" i="12" s="1"/>
  <c r="CX1161" i="12"/>
  <c r="CY1161" i="12" s="1"/>
  <c r="CX1165" i="12"/>
  <c r="CY1165" i="12" s="1"/>
  <c r="CX1171" i="12"/>
  <c r="CY1171" i="12" s="1"/>
  <c r="CX1170" i="12"/>
  <c r="CY1170" i="12" s="1"/>
  <c r="CX1166" i="12"/>
  <c r="CY1166" i="12" s="1"/>
  <c r="CX1164" i="12"/>
  <c r="CY1164" i="12" s="1"/>
  <c r="CX1158" i="12"/>
  <c r="CY1158" i="12" s="1"/>
  <c r="DE1102" i="12"/>
  <c r="DB1102" i="12"/>
  <c r="DC1102" i="12"/>
  <c r="DD1102" i="12"/>
  <c r="DA1102" i="12"/>
  <c r="FU170" i="12"/>
  <c r="GR170" i="12" s="1"/>
  <c r="FR171" i="12"/>
  <c r="CY2265" i="12"/>
  <c r="CX2266" i="12"/>
  <c r="CZ899" i="12"/>
  <c r="CZ1121" i="12"/>
  <c r="CZ2187" i="12"/>
  <c r="CZ1053" i="12"/>
  <c r="CZ969" i="12"/>
  <c r="CZ1002" i="12"/>
  <c r="CZ952" i="12"/>
  <c r="CZ916" i="12"/>
  <c r="CZ985" i="12"/>
  <c r="CZ933" i="12"/>
  <c r="CZ865" i="12"/>
  <c r="CZ1036" i="12"/>
  <c r="CZ1070" i="12"/>
  <c r="CZ1105" i="12"/>
  <c r="CZ1019" i="12"/>
  <c r="CZ1087" i="12"/>
  <c r="CZ882" i="12"/>
  <c r="CZ1157" i="12"/>
  <c r="DA2187" i="12" l="1"/>
  <c r="DB2187" i="12"/>
  <c r="DF2186" i="12" s="1"/>
  <c r="DC2187" i="12"/>
  <c r="DD2187" i="12"/>
  <c r="DE2187" i="12"/>
  <c r="L10" i="12"/>
  <c r="L11" i="12" s="1"/>
  <c r="L12" i="12" s="1"/>
  <c r="L13" i="12" s="1"/>
  <c r="P25" i="12"/>
  <c r="HT76" i="12"/>
  <c r="HO77" i="12"/>
  <c r="DC952" i="12"/>
  <c r="DD952" i="12"/>
  <c r="DA952" i="12"/>
  <c r="DE952" i="12"/>
  <c r="DB952" i="12"/>
  <c r="DD1053" i="12"/>
  <c r="DA1053" i="12"/>
  <c r="DB1053" i="12"/>
  <c r="DC1053" i="12"/>
  <c r="DE1053" i="12"/>
  <c r="DD1036" i="12"/>
  <c r="DC1036" i="12"/>
  <c r="DA1036" i="12"/>
  <c r="DE1036" i="12"/>
  <c r="DB1036" i="12"/>
  <c r="DD916" i="12"/>
  <c r="DE916" i="12"/>
  <c r="DC916" i="12"/>
  <c r="DA916" i="12"/>
  <c r="DB916" i="12"/>
  <c r="DE969" i="12"/>
  <c r="DC969" i="12"/>
  <c r="DA969" i="12"/>
  <c r="DD969" i="12"/>
  <c r="DB969" i="12"/>
  <c r="DB985" i="12"/>
  <c r="DA985" i="12"/>
  <c r="DD985" i="12"/>
  <c r="DC985" i="12"/>
  <c r="DE985" i="12"/>
  <c r="DD1002" i="12"/>
  <c r="DC1002" i="12"/>
  <c r="DE1002" i="12"/>
  <c r="DA1002" i="12"/>
  <c r="DB1002" i="12"/>
  <c r="DB1105" i="12"/>
  <c r="DC1105" i="12"/>
  <c r="DD1105" i="12"/>
  <c r="DA1105" i="12"/>
  <c r="DE1105" i="12"/>
  <c r="DB1087" i="12"/>
  <c r="DE1087" i="12"/>
  <c r="DD1087" i="12"/>
  <c r="DC1087" i="12"/>
  <c r="DA1087" i="12"/>
  <c r="DD933" i="12"/>
  <c r="DE933" i="12"/>
  <c r="DB933" i="12"/>
  <c r="DC933" i="12"/>
  <c r="DA933" i="12"/>
  <c r="DB1019" i="12"/>
  <c r="DC1019" i="12"/>
  <c r="DA1019" i="12"/>
  <c r="DD1019" i="12"/>
  <c r="DE1019" i="12"/>
  <c r="DC865" i="12"/>
  <c r="DD865" i="12"/>
  <c r="DB865" i="12"/>
  <c r="DE865" i="12"/>
  <c r="DA865" i="12"/>
  <c r="DA1070" i="12"/>
  <c r="DD1070" i="12"/>
  <c r="DB1070" i="12"/>
  <c r="DC1070" i="12"/>
  <c r="DE1070" i="12"/>
  <c r="DD899" i="12"/>
  <c r="DB899" i="12"/>
  <c r="DA899" i="12"/>
  <c r="DC899" i="12"/>
  <c r="DE899" i="12"/>
  <c r="DE882" i="12"/>
  <c r="DA882" i="12"/>
  <c r="DC882" i="12"/>
  <c r="DD882" i="12"/>
  <c r="DB882" i="12"/>
  <c r="DE1121" i="12"/>
  <c r="DD1121" i="12"/>
  <c r="DB1121" i="12"/>
  <c r="DC1121" i="12"/>
  <c r="DA1121" i="12"/>
  <c r="DB1157" i="12"/>
  <c r="DE1157" i="12"/>
  <c r="DA1157" i="12"/>
  <c r="DD1157" i="12"/>
  <c r="DC1157" i="12"/>
  <c r="CX1152" i="12"/>
  <c r="CY1152" i="12" s="1"/>
  <c r="CX1153" i="12"/>
  <c r="CY1153" i="12" s="1"/>
  <c r="CX1144" i="12"/>
  <c r="CY1144" i="12" s="1"/>
  <c r="CX1146" i="12"/>
  <c r="CY1146" i="12" s="1"/>
  <c r="CX1147" i="12"/>
  <c r="CY1147" i="12" s="1"/>
  <c r="CX1140" i="12"/>
  <c r="CY1140" i="12" s="1"/>
  <c r="CX1149" i="12"/>
  <c r="CY1149" i="12" s="1"/>
  <c r="CX1141" i="12"/>
  <c r="CY1141" i="12" s="1"/>
  <c r="CX1151" i="12"/>
  <c r="CY1151" i="12" s="1"/>
  <c r="CX1148" i="12"/>
  <c r="CY1148" i="12" s="1"/>
  <c r="CX1139" i="12"/>
  <c r="CY1139" i="12" s="1"/>
  <c r="CX1143" i="12"/>
  <c r="CY1143" i="12" s="1"/>
  <c r="CX1145" i="12"/>
  <c r="CY1145" i="12" s="1"/>
  <c r="CX1137" i="12"/>
  <c r="CY1137" i="12" s="1"/>
  <c r="CX1142" i="12"/>
  <c r="CY1142" i="12" s="1"/>
  <c r="CX1150" i="12"/>
  <c r="CY1150" i="12" s="1"/>
  <c r="CX1138" i="12"/>
  <c r="CY1138" i="12" s="1"/>
  <c r="JH69" i="12"/>
  <c r="JH70" i="12" s="1"/>
  <c r="JK70" i="12" s="1"/>
  <c r="JL70" i="12" s="1"/>
  <c r="EA70" i="12" s="1"/>
  <c r="JK68" i="12"/>
  <c r="JL68" i="12" s="1"/>
  <c r="EA68" i="12" s="1"/>
  <c r="DC1119" i="12"/>
  <c r="DA1084" i="12"/>
  <c r="DE1084" i="12"/>
  <c r="DC1084" i="12"/>
  <c r="DB1084" i="12"/>
  <c r="DD1084" i="12"/>
  <c r="DE1155" i="12"/>
  <c r="DD1155" i="12"/>
  <c r="DC1156" i="12"/>
  <c r="DD1156" i="12"/>
  <c r="DE1156" i="12"/>
  <c r="DA1156" i="12"/>
  <c r="DB1156" i="12"/>
  <c r="FU171" i="12"/>
  <c r="GR171" i="12" s="1"/>
  <c r="FR172" i="12"/>
  <c r="FT33" i="12"/>
  <c r="CX2267" i="12"/>
  <c r="CY2266" i="12"/>
  <c r="CZ1054" i="12"/>
  <c r="CZ1122" i="12"/>
  <c r="CZ953" i="12"/>
  <c r="CZ1020" i="12"/>
  <c r="CZ900" i="12"/>
  <c r="CZ1071" i="12"/>
  <c r="CZ934" i="12"/>
  <c r="CZ883" i="12"/>
  <c r="CZ1003" i="12"/>
  <c r="CZ1158" i="12"/>
  <c r="CZ1139" i="12"/>
  <c r="CZ2188" i="12"/>
  <c r="CZ986" i="12"/>
  <c r="CZ917" i="12"/>
  <c r="CZ970" i="12"/>
  <c r="CZ1106" i="12"/>
  <c r="CZ1037" i="12"/>
  <c r="CZ1088" i="12"/>
  <c r="DD2188" i="12" l="1"/>
  <c r="DE2188" i="12"/>
  <c r="DB2188" i="12"/>
  <c r="DF2187" i="12" s="1"/>
  <c r="DC2188" i="12"/>
  <c r="DA2188" i="12"/>
  <c r="P26" i="12"/>
  <c r="L14" i="12"/>
  <c r="HT77" i="12"/>
  <c r="HO78" i="12"/>
  <c r="DC1020" i="12"/>
  <c r="DA1020" i="12"/>
  <c r="DD1020" i="12"/>
  <c r="DB1020" i="12"/>
  <c r="DE1020" i="12"/>
  <c r="DD1088" i="12"/>
  <c r="DA1088" i="12"/>
  <c r="DB1088" i="12"/>
  <c r="DE1088" i="12"/>
  <c r="DC1088" i="12"/>
  <c r="DA1003" i="12"/>
  <c r="DE1003" i="12"/>
  <c r="DD1003" i="12"/>
  <c r="DB1003" i="12"/>
  <c r="DC1003" i="12"/>
  <c r="DE986" i="12"/>
  <c r="DC986" i="12"/>
  <c r="DB986" i="12"/>
  <c r="DD986" i="12"/>
  <c r="DA986" i="12"/>
  <c r="DA970" i="12"/>
  <c r="DC970" i="12"/>
  <c r="DB970" i="12"/>
  <c r="DE970" i="12"/>
  <c r="DD970" i="12"/>
  <c r="DE1158" i="12"/>
  <c r="DD1158" i="12"/>
  <c r="DB1158" i="12"/>
  <c r="DA1158" i="12"/>
  <c r="DC1158" i="12"/>
  <c r="DE1037" i="12"/>
  <c r="DA1037" i="12"/>
  <c r="DC1037" i="12"/>
  <c r="DD1037" i="12"/>
  <c r="DB1037" i="12"/>
  <c r="DA953" i="12"/>
  <c r="DE953" i="12"/>
  <c r="DB953" i="12"/>
  <c r="DD953" i="12"/>
  <c r="DC953" i="12"/>
  <c r="DB883" i="12"/>
  <c r="DD883" i="12"/>
  <c r="DA883" i="12"/>
  <c r="DE883" i="12"/>
  <c r="DC883" i="12"/>
  <c r="DA1122" i="12"/>
  <c r="DE1122" i="12"/>
  <c r="DD1122" i="12"/>
  <c r="DB1122" i="12"/>
  <c r="DC1122" i="12"/>
  <c r="DB934" i="12"/>
  <c r="DC934" i="12"/>
  <c r="DA934" i="12"/>
  <c r="DD934" i="12"/>
  <c r="DE934" i="12"/>
  <c r="DB1106" i="12"/>
  <c r="DE1106" i="12"/>
  <c r="DD1106" i="12"/>
  <c r="DC1106" i="12"/>
  <c r="DA1106" i="12"/>
  <c r="DE917" i="12"/>
  <c r="DB917" i="12"/>
  <c r="DD917" i="12"/>
  <c r="DC917" i="12"/>
  <c r="DA917" i="12"/>
  <c r="DD1054" i="12"/>
  <c r="DA1054" i="12"/>
  <c r="DC1054" i="12"/>
  <c r="DB1054" i="12"/>
  <c r="DE1054" i="12"/>
  <c r="DD900" i="12"/>
  <c r="DE900" i="12"/>
  <c r="DA900" i="12"/>
  <c r="DB900" i="12"/>
  <c r="DC900" i="12"/>
  <c r="DE1071" i="12"/>
  <c r="DB1071" i="12"/>
  <c r="DC1071" i="12"/>
  <c r="DA1071" i="12"/>
  <c r="DD1071" i="12"/>
  <c r="DB1139" i="12"/>
  <c r="DA1139" i="12"/>
  <c r="DE1139" i="12"/>
  <c r="DD1139" i="12"/>
  <c r="DC1139" i="12"/>
  <c r="DE1119" i="12"/>
  <c r="DD1119" i="12"/>
  <c r="JK69" i="12"/>
  <c r="JL69" i="12" s="1"/>
  <c r="EA69" i="12" s="1"/>
  <c r="JH71" i="12"/>
  <c r="JK71" i="12" s="1"/>
  <c r="JL71" i="12" s="1"/>
  <c r="EA71" i="12" s="1"/>
  <c r="CX1232" i="12" s="1"/>
  <c r="CY1232" i="12" s="1"/>
  <c r="DC1137" i="12"/>
  <c r="DB1137" i="12" s="1"/>
  <c r="DB1119" i="12"/>
  <c r="CX1179" i="12"/>
  <c r="CY1179" i="12" s="1"/>
  <c r="CX1183" i="12"/>
  <c r="CY1183" i="12" s="1"/>
  <c r="CX1188" i="12"/>
  <c r="CY1188" i="12" s="1"/>
  <c r="CX1185" i="12"/>
  <c r="CY1185" i="12" s="1"/>
  <c r="CX1182" i="12"/>
  <c r="CY1182" i="12" s="1"/>
  <c r="CX1187" i="12"/>
  <c r="CY1187" i="12" s="1"/>
  <c r="CX1180" i="12"/>
  <c r="CY1180" i="12" s="1"/>
  <c r="CX1176" i="12"/>
  <c r="CY1176" i="12" s="1"/>
  <c r="CX1184" i="12"/>
  <c r="CY1184" i="12" s="1"/>
  <c r="CX1186" i="12"/>
  <c r="CY1186" i="12" s="1"/>
  <c r="CX1177" i="12"/>
  <c r="CY1177" i="12" s="1"/>
  <c r="CX1178" i="12"/>
  <c r="CY1178" i="12" s="1"/>
  <c r="CX1175" i="12"/>
  <c r="CY1175" i="12" s="1"/>
  <c r="CX1173" i="12"/>
  <c r="CY1173" i="12" s="1"/>
  <c r="DC1173" i="12" s="1"/>
  <c r="DE1173" i="12" s="1"/>
  <c r="CX1181" i="12"/>
  <c r="CY1181" i="12" s="1"/>
  <c r="CX1174" i="12"/>
  <c r="CY1174" i="12" s="1"/>
  <c r="CX1189" i="12"/>
  <c r="CY1189" i="12" s="1"/>
  <c r="CX1225" i="12"/>
  <c r="CY1225" i="12" s="1"/>
  <c r="CX1209" i="12"/>
  <c r="CY1209" i="12" s="1"/>
  <c r="DC1209" i="12" s="1"/>
  <c r="DB1209" i="12" s="1"/>
  <c r="DA1210" i="12" s="1"/>
  <c r="CX1220" i="12"/>
  <c r="CY1220" i="12" s="1"/>
  <c r="CX1219" i="12"/>
  <c r="CY1219" i="12" s="1"/>
  <c r="CX1218" i="12"/>
  <c r="CY1218" i="12" s="1"/>
  <c r="CX1216" i="12"/>
  <c r="CY1216" i="12" s="1"/>
  <c r="CX1213" i="12"/>
  <c r="CY1213" i="12" s="1"/>
  <c r="CX1222" i="12"/>
  <c r="CY1222" i="12" s="1"/>
  <c r="CX1221" i="12"/>
  <c r="CY1221" i="12" s="1"/>
  <c r="CX1214" i="12"/>
  <c r="CY1214" i="12" s="1"/>
  <c r="CX1211" i="12"/>
  <c r="CY1211" i="12" s="1"/>
  <c r="CX1224" i="12"/>
  <c r="CY1224" i="12" s="1"/>
  <c r="CX1210" i="12"/>
  <c r="CY1210" i="12" s="1"/>
  <c r="CX1223" i="12"/>
  <c r="CY1223" i="12" s="1"/>
  <c r="CX1217" i="12"/>
  <c r="CY1217" i="12" s="1"/>
  <c r="CX1215" i="12"/>
  <c r="CY1215" i="12" s="1"/>
  <c r="CX1212" i="12"/>
  <c r="CY1212" i="12" s="1"/>
  <c r="FU172" i="12"/>
  <c r="GR172" i="12" s="1"/>
  <c r="FR173" i="12"/>
  <c r="FT50" i="12"/>
  <c r="CX2268" i="12"/>
  <c r="CY2267" i="12"/>
  <c r="CZ1089" i="12"/>
  <c r="CZ901" i="12"/>
  <c r="CZ954" i="12"/>
  <c r="CZ1159" i="12"/>
  <c r="CZ1072" i="12"/>
  <c r="CZ1021" i="12"/>
  <c r="CZ935" i="12"/>
  <c r="CZ1107" i="12"/>
  <c r="CZ1123" i="12"/>
  <c r="CZ971" i="12"/>
  <c r="CZ1140" i="12"/>
  <c r="CZ1004" i="12"/>
  <c r="CZ1175" i="12"/>
  <c r="CZ918" i="12"/>
  <c r="CZ1038" i="12"/>
  <c r="CZ2189" i="12"/>
  <c r="CZ1055" i="12"/>
  <c r="CZ987" i="12"/>
  <c r="CZ1211" i="12"/>
  <c r="DD2189" i="12" l="1"/>
  <c r="DA2189" i="12"/>
  <c r="DE2189" i="12"/>
  <c r="DB2189" i="12"/>
  <c r="DF2188" i="12" s="1"/>
  <c r="DC2189" i="12"/>
  <c r="P27" i="12"/>
  <c r="P28" i="12" s="1"/>
  <c r="L15" i="12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71" i="12" s="1"/>
  <c r="L72" i="12" s="1"/>
  <c r="L73" i="12" s="1"/>
  <c r="L74" i="12" s="1"/>
  <c r="L75" i="12" s="1"/>
  <c r="L76" i="12" s="1"/>
  <c r="L77" i="12" s="1"/>
  <c r="L78" i="12" s="1"/>
  <c r="L79" i="12" s="1"/>
  <c r="L80" i="12" s="1"/>
  <c r="L81" i="12" s="1"/>
  <c r="L82" i="12" s="1"/>
  <c r="L83" i="12" s="1"/>
  <c r="L84" i="12" s="1"/>
  <c r="L85" i="12" s="1"/>
  <c r="L86" i="12" s="1"/>
  <c r="L87" i="12" s="1"/>
  <c r="L88" i="12" s="1"/>
  <c r="L89" i="12" s="1"/>
  <c r="L90" i="12" s="1"/>
  <c r="L91" i="12" s="1"/>
  <c r="L92" i="12" s="1"/>
  <c r="L93" i="12" s="1"/>
  <c r="L94" i="12" s="1"/>
  <c r="L95" i="12" s="1"/>
  <c r="L96" i="12" s="1"/>
  <c r="L97" i="12" s="1"/>
  <c r="L98" i="12" s="1"/>
  <c r="L99" i="12" s="1"/>
  <c r="L100" i="12" s="1"/>
  <c r="L101" i="12" s="1"/>
  <c r="L102" i="12" s="1"/>
  <c r="L103" i="12" s="1"/>
  <c r="L104" i="12" s="1"/>
  <c r="L105" i="12" s="1"/>
  <c r="L106" i="12" s="1"/>
  <c r="L107" i="12" s="1"/>
  <c r="L108" i="12" s="1"/>
  <c r="L109" i="12" s="1"/>
  <c r="L110" i="12" s="1"/>
  <c r="L111" i="12" s="1"/>
  <c r="L112" i="12" s="1"/>
  <c r="L113" i="12" s="1"/>
  <c r="L114" i="12" s="1"/>
  <c r="L115" i="12" s="1"/>
  <c r="L116" i="12" s="1"/>
  <c r="L117" i="12" s="1"/>
  <c r="L118" i="12" s="1"/>
  <c r="L119" i="12" s="1"/>
  <c r="L120" i="12" s="1"/>
  <c r="L121" i="12" s="1"/>
  <c r="L122" i="12" s="1"/>
  <c r="L123" i="12" s="1"/>
  <c r="L124" i="12" s="1"/>
  <c r="L125" i="12" s="1"/>
  <c r="L126" i="12" s="1"/>
  <c r="L127" i="12" s="1"/>
  <c r="L128" i="12" s="1"/>
  <c r="L129" i="12" s="1"/>
  <c r="L130" i="12" s="1"/>
  <c r="L131" i="12" s="1"/>
  <c r="L132" i="12" s="1"/>
  <c r="L133" i="12" s="1"/>
  <c r="L134" i="12" s="1"/>
  <c r="L135" i="12" s="1"/>
  <c r="L136" i="12" s="1"/>
  <c r="L137" i="12" s="1"/>
  <c r="L138" i="12" s="1"/>
  <c r="L139" i="12" s="1"/>
  <c r="L140" i="12" s="1"/>
  <c r="L141" i="12" s="1"/>
  <c r="L142" i="12" s="1"/>
  <c r="L143" i="12" s="1"/>
  <c r="L144" i="12" s="1"/>
  <c r="L145" i="12" s="1"/>
  <c r="L146" i="12" s="1"/>
  <c r="L147" i="12" s="1"/>
  <c r="CX1242" i="12"/>
  <c r="CY1242" i="12" s="1"/>
  <c r="CX1227" i="12"/>
  <c r="CY1227" i="12" s="1"/>
  <c r="DC1227" i="12" s="1"/>
  <c r="DB1227" i="12" s="1"/>
  <c r="HT78" i="12"/>
  <c r="HO79" i="12"/>
  <c r="CX1243" i="12"/>
  <c r="CY1243" i="12" s="1"/>
  <c r="CX1234" i="12"/>
  <c r="CY1234" i="12" s="1"/>
  <c r="DB1173" i="12"/>
  <c r="DD1174" i="12" s="1"/>
  <c r="CX1233" i="12"/>
  <c r="CY1233" i="12" s="1"/>
  <c r="CX1238" i="12"/>
  <c r="CY1238" i="12" s="1"/>
  <c r="CX1231" i="12"/>
  <c r="CY1231" i="12" s="1"/>
  <c r="CX1230" i="12"/>
  <c r="CY1230" i="12" s="1"/>
  <c r="CX1228" i="12"/>
  <c r="CY1228" i="12" s="1"/>
  <c r="CX1235" i="12"/>
  <c r="CY1235" i="12" s="1"/>
  <c r="CX1237" i="12"/>
  <c r="CY1237" i="12" s="1"/>
  <c r="CX1241" i="12"/>
  <c r="CY1241" i="12" s="1"/>
  <c r="CX1236" i="12"/>
  <c r="CY1236" i="12" s="1"/>
  <c r="DD1173" i="12"/>
  <c r="CX1240" i="12"/>
  <c r="CY1240" i="12" s="1"/>
  <c r="CX1239" i="12"/>
  <c r="CY1239" i="12" s="1"/>
  <c r="CX1229" i="12"/>
  <c r="CY1229" i="12" s="1"/>
  <c r="DB1055" i="12"/>
  <c r="DD1055" i="12"/>
  <c r="DA1055" i="12"/>
  <c r="DC1055" i="12"/>
  <c r="DE1055" i="12"/>
  <c r="DC918" i="12"/>
  <c r="DB918" i="12"/>
  <c r="DD918" i="12"/>
  <c r="DA918" i="12"/>
  <c r="DE918" i="12"/>
  <c r="DE935" i="12"/>
  <c r="DC935" i="12"/>
  <c r="DB935" i="12"/>
  <c r="DA935" i="12"/>
  <c r="DD935" i="12"/>
  <c r="DB954" i="12"/>
  <c r="DE954" i="12"/>
  <c r="DC954" i="12"/>
  <c r="DA954" i="12"/>
  <c r="DD954" i="12"/>
  <c r="DE1038" i="12"/>
  <c r="DC1038" i="12"/>
  <c r="DA1038" i="12"/>
  <c r="DD1038" i="12"/>
  <c r="DB1038" i="12"/>
  <c r="DE1021" i="12"/>
  <c r="DB1021" i="12"/>
  <c r="DD1021" i="12"/>
  <c r="DA1021" i="12"/>
  <c r="DC1021" i="12"/>
  <c r="DE901" i="12"/>
  <c r="DB901" i="12"/>
  <c r="DA901" i="12"/>
  <c r="DC901" i="12"/>
  <c r="DD901" i="12"/>
  <c r="DC1123" i="12"/>
  <c r="DD1123" i="12"/>
  <c r="DA1123" i="12"/>
  <c r="DE1123" i="12"/>
  <c r="DB1123" i="12"/>
  <c r="DE971" i="12"/>
  <c r="DC971" i="12"/>
  <c r="DA971" i="12"/>
  <c r="DB971" i="12"/>
  <c r="DD971" i="12"/>
  <c r="DC1004" i="12"/>
  <c r="DB1004" i="12"/>
  <c r="DA1004" i="12"/>
  <c r="DE1004" i="12"/>
  <c r="DD1004" i="12"/>
  <c r="DA1072" i="12"/>
  <c r="DE1072" i="12"/>
  <c r="DC1072" i="12"/>
  <c r="DD1072" i="12"/>
  <c r="DB1072" i="12"/>
  <c r="DA1107" i="12"/>
  <c r="DD1107" i="12"/>
  <c r="DB1107" i="12"/>
  <c r="DC1107" i="12"/>
  <c r="DE1107" i="12"/>
  <c r="DE1159" i="12"/>
  <c r="DB1159" i="12"/>
  <c r="DC1159" i="12"/>
  <c r="DA1159" i="12"/>
  <c r="DD1159" i="12"/>
  <c r="DD987" i="12"/>
  <c r="DE987" i="12"/>
  <c r="DC987" i="12"/>
  <c r="DA987" i="12"/>
  <c r="DB987" i="12"/>
  <c r="DE1089" i="12"/>
  <c r="DB1089" i="12"/>
  <c r="DC1089" i="12"/>
  <c r="DA1089" i="12"/>
  <c r="DD1089" i="12"/>
  <c r="DD1140" i="12"/>
  <c r="DB1140" i="12"/>
  <c r="DA1140" i="12"/>
  <c r="DE1140" i="12"/>
  <c r="DC1140" i="12"/>
  <c r="DD1209" i="12"/>
  <c r="DE1210" i="12"/>
  <c r="DE1209" i="12"/>
  <c r="DD1210" i="12"/>
  <c r="DC1210" i="12"/>
  <c r="DB1210" i="12"/>
  <c r="DA1211" i="12"/>
  <c r="DE1211" i="12"/>
  <c r="DB1211" i="12"/>
  <c r="DC1211" i="12"/>
  <c r="DD1211" i="12"/>
  <c r="DB1175" i="12"/>
  <c r="DD1175" i="12"/>
  <c r="DA1175" i="12"/>
  <c r="DE1175" i="12"/>
  <c r="DC1175" i="12"/>
  <c r="DB1138" i="12"/>
  <c r="DE1138" i="12"/>
  <c r="DD1138" i="12"/>
  <c r="DA1138" i="12"/>
  <c r="DC1138" i="12"/>
  <c r="CX1195" i="12"/>
  <c r="CY1195" i="12" s="1"/>
  <c r="CX1204" i="12"/>
  <c r="CY1204" i="12" s="1"/>
  <c r="CX1207" i="12"/>
  <c r="CY1207" i="12" s="1"/>
  <c r="CX1193" i="12"/>
  <c r="CY1193" i="12" s="1"/>
  <c r="CX1198" i="12"/>
  <c r="CY1198" i="12" s="1"/>
  <c r="CX1199" i="12"/>
  <c r="CY1199" i="12" s="1"/>
  <c r="CX1197" i="12"/>
  <c r="CY1197" i="12" s="1"/>
  <c r="CX1203" i="12"/>
  <c r="CY1203" i="12" s="1"/>
  <c r="CX1205" i="12"/>
  <c r="CY1205" i="12" s="1"/>
  <c r="CX1192" i="12"/>
  <c r="CY1192" i="12" s="1"/>
  <c r="CX1194" i="12"/>
  <c r="CY1194" i="12" s="1"/>
  <c r="CX1201" i="12"/>
  <c r="CY1201" i="12" s="1"/>
  <c r="CX1200" i="12"/>
  <c r="CY1200" i="12" s="1"/>
  <c r="CX1202" i="12"/>
  <c r="CY1202" i="12" s="1"/>
  <c r="CX1191" i="12"/>
  <c r="CY1191" i="12" s="1"/>
  <c r="CX1196" i="12"/>
  <c r="CY1196" i="12" s="1"/>
  <c r="CX1206" i="12"/>
  <c r="CY1206" i="12" s="1"/>
  <c r="JH72" i="12"/>
  <c r="DC1120" i="12"/>
  <c r="DB1120" i="12"/>
  <c r="DE1120" i="12"/>
  <c r="DA1120" i="12"/>
  <c r="DD1120" i="12"/>
  <c r="DD1137" i="12"/>
  <c r="DE1137" i="12"/>
  <c r="FU173" i="12"/>
  <c r="GR173" i="12" s="1"/>
  <c r="FR174" i="12"/>
  <c r="CX2269" i="12"/>
  <c r="CY2268" i="12"/>
  <c r="CZ972" i="12"/>
  <c r="CZ1160" i="12"/>
  <c r="CZ1039" i="12"/>
  <c r="CZ955" i="12"/>
  <c r="CZ919" i="12"/>
  <c r="CZ1108" i="12"/>
  <c r="CZ2190" i="12"/>
  <c r="CZ1056" i="12"/>
  <c r="CZ1022" i="12"/>
  <c r="CZ1005" i="12"/>
  <c r="CZ1141" i="12"/>
  <c r="CZ1073" i="12"/>
  <c r="CZ1090" i="12"/>
  <c r="CZ1212" i="12"/>
  <c r="CZ1176" i="12"/>
  <c r="CZ988" i="12"/>
  <c r="CZ1229" i="12"/>
  <c r="CZ1124" i="12"/>
  <c r="CZ936" i="12"/>
  <c r="CZ1193" i="12"/>
  <c r="DD2190" i="12" l="1"/>
  <c r="DE2190" i="12"/>
  <c r="DB2190" i="12"/>
  <c r="DF2189" i="12" s="1"/>
  <c r="DA2190" i="12"/>
  <c r="DC2190" i="12"/>
  <c r="P29" i="12"/>
  <c r="P30" i="12" s="1"/>
  <c r="L148" i="12"/>
  <c r="L149" i="12" s="1"/>
  <c r="L150" i="12" s="1"/>
  <c r="L151" i="12" s="1"/>
  <c r="L152" i="12" s="1"/>
  <c r="L153" i="12" s="1"/>
  <c r="L154" i="12" s="1"/>
  <c r="L155" i="12" s="1"/>
  <c r="L156" i="12" s="1"/>
  <c r="L157" i="12" s="1"/>
  <c r="L158" i="12" s="1"/>
  <c r="L159" i="12" s="1"/>
  <c r="L160" i="12" s="1"/>
  <c r="L161" i="12" s="1"/>
  <c r="L162" i="12" s="1"/>
  <c r="L163" i="12" s="1"/>
  <c r="L164" i="12" s="1"/>
  <c r="L165" i="12" s="1"/>
  <c r="L166" i="12" s="1"/>
  <c r="L167" i="12" s="1"/>
  <c r="L168" i="12" s="1"/>
  <c r="L169" i="12" s="1"/>
  <c r="L170" i="12" s="1"/>
  <c r="L171" i="12" s="1"/>
  <c r="L172" i="12" s="1"/>
  <c r="L173" i="12" s="1"/>
  <c r="L174" i="12" s="1"/>
  <c r="L175" i="12" s="1"/>
  <c r="L176" i="12" s="1"/>
  <c r="L177" i="12" s="1"/>
  <c r="L178" i="12" s="1"/>
  <c r="L179" i="12" s="1"/>
  <c r="L180" i="12" s="1"/>
  <c r="L181" i="12" s="1"/>
  <c r="L182" i="12" s="1"/>
  <c r="L183" i="12" s="1"/>
  <c r="L184" i="12" s="1"/>
  <c r="L185" i="12" s="1"/>
  <c r="L186" i="12" s="1"/>
  <c r="L187" i="12" s="1"/>
  <c r="L188" i="12" s="1"/>
  <c r="L189" i="12" s="1"/>
  <c r="L190" i="12" s="1"/>
  <c r="L191" i="12" s="1"/>
  <c r="L192" i="12" s="1"/>
  <c r="L193" i="12" s="1"/>
  <c r="L194" i="12" s="1"/>
  <c r="L195" i="12" s="1"/>
  <c r="L196" i="12" s="1"/>
  <c r="L197" i="12" s="1"/>
  <c r="L198" i="12" s="1"/>
  <c r="L199" i="12" s="1"/>
  <c r="L200" i="12" s="1"/>
  <c r="L201" i="12" s="1"/>
  <c r="L202" i="12" s="1"/>
  <c r="L203" i="12" s="1"/>
  <c r="L204" i="12" s="1"/>
  <c r="L205" i="12" s="1"/>
  <c r="L206" i="12" s="1"/>
  <c r="L207" i="12" s="1"/>
  <c r="L208" i="12" s="1"/>
  <c r="L209" i="12" s="1"/>
  <c r="L210" i="12" s="1"/>
  <c r="L211" i="12" s="1"/>
  <c r="L212" i="12" s="1"/>
  <c r="L213" i="12" s="1"/>
  <c r="L214" i="12" s="1"/>
  <c r="L215" i="12" s="1"/>
  <c r="L216" i="12" s="1"/>
  <c r="L217" i="12" s="1"/>
  <c r="L218" i="12" s="1"/>
  <c r="L219" i="12" s="1"/>
  <c r="L220" i="12" s="1"/>
  <c r="M90" i="12" s="1"/>
  <c r="Q4" i="12"/>
  <c r="Q6" i="12"/>
  <c r="Q5" i="12"/>
  <c r="Q9" i="12"/>
  <c r="Q8" i="12"/>
  <c r="Q7" i="12"/>
  <c r="Q11" i="12"/>
  <c r="Q10" i="12"/>
  <c r="M10" i="12"/>
  <c r="M3" i="12"/>
  <c r="M8" i="12"/>
  <c r="M4" i="12"/>
  <c r="M7" i="12"/>
  <c r="M11" i="12"/>
  <c r="M9" i="12"/>
  <c r="M6" i="12"/>
  <c r="M5" i="12"/>
  <c r="HT79" i="12"/>
  <c r="HO80" i="12"/>
  <c r="DC1174" i="12"/>
  <c r="DB1174" i="12"/>
  <c r="DE1174" i="12"/>
  <c r="DA1174" i="12"/>
  <c r="DC1229" i="12"/>
  <c r="DD1229" i="12"/>
  <c r="DB1229" i="12"/>
  <c r="DE1229" i="12"/>
  <c r="DA1229" i="12"/>
  <c r="DE1090" i="12"/>
  <c r="DD1090" i="12"/>
  <c r="DC1090" i="12"/>
  <c r="DB1090" i="12"/>
  <c r="DA1090" i="12"/>
  <c r="DE1160" i="12"/>
  <c r="DD1160" i="12"/>
  <c r="DB1160" i="12"/>
  <c r="DA1160" i="12"/>
  <c r="DC1160" i="12"/>
  <c r="DA1073" i="12"/>
  <c r="DC1073" i="12"/>
  <c r="DB1073" i="12"/>
  <c r="DE1073" i="12"/>
  <c r="DD1073" i="12"/>
  <c r="DB936" i="12"/>
  <c r="DC936" i="12"/>
  <c r="DD936" i="12"/>
  <c r="DE936" i="12"/>
  <c r="DA936" i="12"/>
  <c r="DA1056" i="12"/>
  <c r="DC1056" i="12"/>
  <c r="DB1056" i="12"/>
  <c r="DE1056" i="12"/>
  <c r="DD1056" i="12"/>
  <c r="DC1212" i="12"/>
  <c r="DD1212" i="12"/>
  <c r="DB1212" i="12"/>
  <c r="DE1212" i="12"/>
  <c r="DA1212" i="12"/>
  <c r="DC1005" i="12"/>
  <c r="DA1005" i="12"/>
  <c r="DD1005" i="12"/>
  <c r="DB1005" i="12"/>
  <c r="DE1005" i="12"/>
  <c r="DB1022" i="12"/>
  <c r="DD1022" i="12"/>
  <c r="DA1022" i="12"/>
  <c r="DE1022" i="12"/>
  <c r="DC1022" i="12"/>
  <c r="DE1039" i="12"/>
  <c r="DC1039" i="12"/>
  <c r="DD1039" i="12"/>
  <c r="DA1039" i="12"/>
  <c r="DB1039" i="12"/>
  <c r="DA1176" i="12"/>
  <c r="DD1176" i="12"/>
  <c r="DB1176" i="12"/>
  <c r="DE1176" i="12"/>
  <c r="DC1176" i="12"/>
  <c r="DD1141" i="12"/>
  <c r="DA1141" i="12"/>
  <c r="DB1141" i="12"/>
  <c r="DE1141" i="12"/>
  <c r="DC1141" i="12"/>
  <c r="DE988" i="12"/>
  <c r="DD988" i="12"/>
  <c r="DC988" i="12"/>
  <c r="DA988" i="12"/>
  <c r="DB988" i="12"/>
  <c r="DC1108" i="12"/>
  <c r="DE1108" i="12"/>
  <c r="DB1108" i="12"/>
  <c r="DD1108" i="12"/>
  <c r="DA1108" i="12"/>
  <c r="DA972" i="12"/>
  <c r="DD972" i="12"/>
  <c r="DB972" i="12"/>
  <c r="DE972" i="12"/>
  <c r="DC972" i="12"/>
  <c r="DB1124" i="12"/>
  <c r="DD1124" i="12"/>
  <c r="DA1124" i="12"/>
  <c r="DC1124" i="12"/>
  <c r="DE1124" i="12"/>
  <c r="DD919" i="12"/>
  <c r="DE919" i="12"/>
  <c r="DB919" i="12"/>
  <c r="DC919" i="12"/>
  <c r="DA919" i="12"/>
  <c r="DD955" i="12"/>
  <c r="DC955" i="12"/>
  <c r="DB955" i="12"/>
  <c r="DA955" i="12"/>
  <c r="DE955" i="12"/>
  <c r="DD1193" i="12"/>
  <c r="DA1193" i="12"/>
  <c r="DB1193" i="12"/>
  <c r="DE1193" i="12"/>
  <c r="DC1193" i="12"/>
  <c r="JK72" i="12"/>
  <c r="JL72" i="12" s="1"/>
  <c r="EA72" i="12" s="1"/>
  <c r="JH73" i="12"/>
  <c r="DC1191" i="12"/>
  <c r="DB1191" i="12" s="1"/>
  <c r="DD1227" i="12"/>
  <c r="DE1227" i="12"/>
  <c r="DC1228" i="12"/>
  <c r="DA1228" i="12"/>
  <c r="DB1228" i="12"/>
  <c r="DE1228" i="12"/>
  <c r="DD1228" i="12"/>
  <c r="FU174" i="12"/>
  <c r="GR174" i="12" s="1"/>
  <c r="FR175" i="12"/>
  <c r="CY2269" i="12"/>
  <c r="CX2270" i="12"/>
  <c r="CZ1125" i="12"/>
  <c r="CZ989" i="12"/>
  <c r="CZ1142" i="12"/>
  <c r="CZ1057" i="12"/>
  <c r="CZ1074" i="12"/>
  <c r="CZ937" i="12"/>
  <c r="CZ1230" i="12"/>
  <c r="CZ1023" i="12"/>
  <c r="CZ1109" i="12"/>
  <c r="CZ2191" i="12"/>
  <c r="CZ1177" i="12"/>
  <c r="CZ1161" i="12"/>
  <c r="CZ973" i="12"/>
  <c r="CZ1213" i="12"/>
  <c r="CZ1040" i="12"/>
  <c r="CZ1091" i="12"/>
  <c r="CZ1194" i="12"/>
  <c r="CZ1006" i="12"/>
  <c r="Q12" i="12" l="1"/>
  <c r="DD2191" i="12"/>
  <c r="DC2191" i="12"/>
  <c r="DA2191" i="12"/>
  <c r="DB2191" i="12"/>
  <c r="DF2190" i="12" s="1"/>
  <c r="DE2191" i="12"/>
  <c r="M79" i="12"/>
  <c r="M127" i="12"/>
  <c r="M76" i="12"/>
  <c r="M139" i="12"/>
  <c r="M81" i="12"/>
  <c r="M143" i="12"/>
  <c r="M130" i="12"/>
  <c r="M73" i="12"/>
  <c r="M108" i="12"/>
  <c r="M18" i="12"/>
  <c r="M138" i="12"/>
  <c r="M61" i="12"/>
  <c r="M59" i="12"/>
  <c r="M96" i="12"/>
  <c r="M93" i="12"/>
  <c r="M85" i="12"/>
  <c r="M103" i="12"/>
  <c r="M113" i="12"/>
  <c r="M31" i="12"/>
  <c r="M129" i="12"/>
  <c r="M80" i="12"/>
  <c r="M84" i="12"/>
  <c r="M68" i="12"/>
  <c r="M28" i="12"/>
  <c r="M125" i="12"/>
  <c r="M112" i="12"/>
  <c r="M118" i="12"/>
  <c r="M89" i="12"/>
  <c r="M114" i="12"/>
  <c r="M34" i="12"/>
  <c r="M45" i="12"/>
  <c r="M19" i="12"/>
  <c r="M131" i="12"/>
  <c r="M149" i="12"/>
  <c r="M150" i="12"/>
  <c r="M151" i="12"/>
  <c r="P31" i="12"/>
  <c r="M159" i="12"/>
  <c r="M210" i="12"/>
  <c r="M212" i="12"/>
  <c r="M169" i="12"/>
  <c r="M122" i="12"/>
  <c r="M35" i="12"/>
  <c r="M15" i="12"/>
  <c r="M22" i="12"/>
  <c r="M111" i="12"/>
  <c r="M82" i="12"/>
  <c r="M37" i="12"/>
  <c r="M137" i="12"/>
  <c r="M27" i="12"/>
  <c r="M97" i="12"/>
  <c r="M40" i="12"/>
  <c r="M42" i="12"/>
  <c r="M201" i="12"/>
  <c r="M86" i="12"/>
  <c r="M47" i="12"/>
  <c r="M12" i="12"/>
  <c r="M91" i="12"/>
  <c r="M209" i="12"/>
  <c r="M17" i="12"/>
  <c r="M48" i="12"/>
  <c r="M109" i="12"/>
  <c r="M140" i="12"/>
  <c r="M32" i="12"/>
  <c r="M128" i="12"/>
  <c r="M220" i="12"/>
  <c r="M44" i="12"/>
  <c r="M142" i="12"/>
  <c r="M53" i="12"/>
  <c r="M16" i="12"/>
  <c r="M46" i="12"/>
  <c r="M189" i="12"/>
  <c r="M116" i="12"/>
  <c r="M117" i="12"/>
  <c r="M146" i="12"/>
  <c r="M77" i="12"/>
  <c r="M38" i="12"/>
  <c r="M63" i="12"/>
  <c r="M26" i="12"/>
  <c r="M41" i="12"/>
  <c r="M147" i="12"/>
  <c r="M99" i="12"/>
  <c r="M145" i="12"/>
  <c r="M64" i="12"/>
  <c r="M87" i="12"/>
  <c r="M124" i="12"/>
  <c r="M23" i="12"/>
  <c r="M66" i="12"/>
  <c r="M57" i="12"/>
  <c r="M120" i="12"/>
  <c r="M101" i="12"/>
  <c r="M29" i="12"/>
  <c r="M74" i="12"/>
  <c r="M105" i="12"/>
  <c r="M65" i="12"/>
  <c r="M36" i="12"/>
  <c r="M173" i="12"/>
  <c r="M155" i="12"/>
  <c r="M178" i="12"/>
  <c r="M123" i="12"/>
  <c r="M43" i="12"/>
  <c r="M67" i="12"/>
  <c r="M71" i="12"/>
  <c r="M102" i="12"/>
  <c r="M58" i="12"/>
  <c r="M106" i="12"/>
  <c r="M20" i="12"/>
  <c r="M39" i="12"/>
  <c r="M60" i="12"/>
  <c r="M205" i="12"/>
  <c r="M100" i="12"/>
  <c r="M55" i="12"/>
  <c r="M110" i="12"/>
  <c r="M219" i="12"/>
  <c r="M88" i="12"/>
  <c r="M119" i="12"/>
  <c r="M69" i="12"/>
  <c r="M194" i="12"/>
  <c r="M195" i="12"/>
  <c r="M98" i="12"/>
  <c r="M30" i="12"/>
  <c r="M170" i="12"/>
  <c r="M56" i="12"/>
  <c r="M49" i="12"/>
  <c r="M218" i="12"/>
  <c r="M104" i="12"/>
  <c r="M172" i="12"/>
  <c r="M186" i="12"/>
  <c r="M214" i="12"/>
  <c r="M148" i="12"/>
  <c r="M72" i="12"/>
  <c r="M83" i="12"/>
  <c r="M70" i="12"/>
  <c r="M107" i="12"/>
  <c r="M51" i="12"/>
  <c r="M166" i="12"/>
  <c r="M132" i="12"/>
  <c r="M75" i="12"/>
  <c r="M144" i="12"/>
  <c r="M126" i="12"/>
  <c r="M181" i="12"/>
  <c r="M134" i="12"/>
  <c r="M24" i="12"/>
  <c r="M94" i="12"/>
  <c r="M133" i="12"/>
  <c r="M92" i="12"/>
  <c r="M115" i="12"/>
  <c r="M136" i="12"/>
  <c r="M135" i="12"/>
  <c r="M121" i="12"/>
  <c r="M141" i="12"/>
  <c r="M21" i="12"/>
  <c r="M78" i="12"/>
  <c r="M199" i="12"/>
  <c r="M62" i="12"/>
  <c r="M13" i="12"/>
  <c r="M95" i="12"/>
  <c r="M50" i="12"/>
  <c r="M14" i="12"/>
  <c r="M25" i="12"/>
  <c r="M33" i="12"/>
  <c r="M52" i="12"/>
  <c r="M54" i="12"/>
  <c r="M176" i="12"/>
  <c r="M163" i="12"/>
  <c r="M179" i="12"/>
  <c r="M193" i="12"/>
  <c r="M187" i="12"/>
  <c r="M198" i="12"/>
  <c r="M177" i="12"/>
  <c r="M202" i="12"/>
  <c r="M211" i="12"/>
  <c r="M183" i="12"/>
  <c r="M171" i="12"/>
  <c r="M215" i="12"/>
  <c r="M197" i="12"/>
  <c r="M158" i="12"/>
  <c r="M161" i="12"/>
  <c r="M154" i="12"/>
  <c r="M217" i="12"/>
  <c r="M156" i="12"/>
  <c r="M180" i="12"/>
  <c r="M200" i="12"/>
  <c r="P1" i="12"/>
  <c r="M184" i="12"/>
  <c r="M204" i="12"/>
  <c r="M213" i="12"/>
  <c r="M165" i="12"/>
  <c r="M153" i="12"/>
  <c r="M160" i="12"/>
  <c r="M196" i="12"/>
  <c r="M157" i="12"/>
  <c r="O1" i="12"/>
  <c r="M164" i="12"/>
  <c r="M206" i="12"/>
  <c r="M203" i="12"/>
  <c r="M162" i="12"/>
  <c r="M188" i="12"/>
  <c r="M190" i="12"/>
  <c r="M192" i="12"/>
  <c r="M208" i="12"/>
  <c r="M175" i="12"/>
  <c r="M168" i="12"/>
  <c r="M191" i="12"/>
  <c r="M185" i="12"/>
  <c r="M167" i="12"/>
  <c r="M152" i="12"/>
  <c r="M216" i="12"/>
  <c r="M207" i="12"/>
  <c r="M174" i="12"/>
  <c r="M182" i="12"/>
  <c r="HT80" i="12"/>
  <c r="HO81" i="12"/>
  <c r="DB1230" i="12"/>
  <c r="DA1230" i="12"/>
  <c r="DD1230" i="12"/>
  <c r="DC1230" i="12"/>
  <c r="DE1230" i="12"/>
  <c r="DD1177" i="12"/>
  <c r="DE1177" i="12"/>
  <c r="DA1177" i="12"/>
  <c r="DC1177" i="12"/>
  <c r="DB1177" i="12"/>
  <c r="DA1023" i="12"/>
  <c r="DE1023" i="12"/>
  <c r="DD1023" i="12"/>
  <c r="DC1023" i="12"/>
  <c r="DB1023" i="12"/>
  <c r="DB1006" i="12"/>
  <c r="DA1006" i="12"/>
  <c r="DD1006" i="12"/>
  <c r="DE1006" i="12"/>
  <c r="DC1006" i="12"/>
  <c r="DB1057" i="12"/>
  <c r="DC1057" i="12"/>
  <c r="DA1057" i="12"/>
  <c r="DE1057" i="12"/>
  <c r="DD1057" i="12"/>
  <c r="DC1074" i="12"/>
  <c r="DD1074" i="12"/>
  <c r="DB1074" i="12"/>
  <c r="DE1074" i="12"/>
  <c r="DA1074" i="12"/>
  <c r="DD1091" i="12"/>
  <c r="DB1091" i="12"/>
  <c r="DA1091" i="12"/>
  <c r="DE1091" i="12"/>
  <c r="DC1091" i="12"/>
  <c r="DD989" i="12"/>
  <c r="DC989" i="12"/>
  <c r="DB989" i="12"/>
  <c r="DA989" i="12"/>
  <c r="DE989" i="12"/>
  <c r="DE973" i="12"/>
  <c r="DC973" i="12"/>
  <c r="DD973" i="12"/>
  <c r="DA973" i="12"/>
  <c r="DB973" i="12"/>
  <c r="DD1161" i="12"/>
  <c r="DC1161" i="12"/>
  <c r="DE1161" i="12"/>
  <c r="DA1161" i="12"/>
  <c r="DB1161" i="12"/>
  <c r="DC1194" i="12"/>
  <c r="DA1194" i="12"/>
  <c r="DE1194" i="12"/>
  <c r="DB1194" i="12"/>
  <c r="DD1194" i="12"/>
  <c r="DD1040" i="12"/>
  <c r="DC1040" i="12"/>
  <c r="DB1040" i="12"/>
  <c r="DE1040" i="12"/>
  <c r="DA1040" i="12"/>
  <c r="DE1213" i="12"/>
  <c r="DC1213" i="12"/>
  <c r="DD1213" i="12"/>
  <c r="DB1213" i="12"/>
  <c r="DA1213" i="12"/>
  <c r="DE1125" i="12"/>
  <c r="DA1125" i="12"/>
  <c r="DC1125" i="12"/>
  <c r="DB1125" i="12"/>
  <c r="DD1125" i="12"/>
  <c r="DE1109" i="12"/>
  <c r="DC1109" i="12"/>
  <c r="DB1109" i="12"/>
  <c r="DD1109" i="12"/>
  <c r="DA1109" i="12"/>
  <c r="DD1142" i="12"/>
  <c r="DA1142" i="12"/>
  <c r="DE1142" i="12"/>
  <c r="DB1142" i="12"/>
  <c r="DC1142" i="12"/>
  <c r="DC937" i="12"/>
  <c r="DA937" i="12"/>
  <c r="DB937" i="12"/>
  <c r="DE937" i="12"/>
  <c r="DD937" i="12"/>
  <c r="CX1261" i="12"/>
  <c r="CY1261" i="12" s="1"/>
  <c r="CX1254" i="12"/>
  <c r="CY1254" i="12" s="1"/>
  <c r="CX1260" i="12"/>
  <c r="CY1260" i="12" s="1"/>
  <c r="CX1259" i="12"/>
  <c r="CY1259" i="12" s="1"/>
  <c r="CX1256" i="12"/>
  <c r="CY1256" i="12" s="1"/>
  <c r="CX1248" i="12"/>
  <c r="CY1248" i="12" s="1"/>
  <c r="CX1252" i="12"/>
  <c r="CY1252" i="12" s="1"/>
  <c r="CX1257" i="12"/>
  <c r="CY1257" i="12" s="1"/>
  <c r="CX1255" i="12"/>
  <c r="CY1255" i="12" s="1"/>
  <c r="CX1245" i="12"/>
  <c r="CY1245" i="12" s="1"/>
  <c r="CX1247" i="12"/>
  <c r="CY1247" i="12" s="1"/>
  <c r="CX1258" i="12"/>
  <c r="CY1258" i="12" s="1"/>
  <c r="CX1249" i="12"/>
  <c r="CY1249" i="12" s="1"/>
  <c r="CX1253" i="12"/>
  <c r="CY1253" i="12" s="1"/>
  <c r="CX1246" i="12"/>
  <c r="CY1246" i="12" s="1"/>
  <c r="CX1250" i="12"/>
  <c r="CY1250" i="12" s="1"/>
  <c r="CX1251" i="12"/>
  <c r="CY1251" i="12" s="1"/>
  <c r="JK73" i="12"/>
  <c r="JL73" i="12" s="1"/>
  <c r="EA73" i="12" s="1"/>
  <c r="JH74" i="12"/>
  <c r="DE1191" i="12"/>
  <c r="DD1191" i="12"/>
  <c r="DA1192" i="12"/>
  <c r="DE1192" i="12"/>
  <c r="DB1192" i="12"/>
  <c r="DD1192" i="12"/>
  <c r="DC1192" i="12"/>
  <c r="FU175" i="12"/>
  <c r="GR175" i="12" s="1"/>
  <c r="FR176" i="12"/>
  <c r="FS80" i="12"/>
  <c r="CX2271" i="12"/>
  <c r="CY2270" i="12"/>
  <c r="CZ1162" i="12"/>
  <c r="CZ1024" i="12"/>
  <c r="CZ1058" i="12"/>
  <c r="CZ1195" i="12"/>
  <c r="CZ1247" i="12"/>
  <c r="CZ1110" i="12"/>
  <c r="CZ1041" i="12"/>
  <c r="CZ1178" i="12"/>
  <c r="CZ990" i="12"/>
  <c r="CZ1143" i="12"/>
  <c r="CZ2192" i="12"/>
  <c r="CZ1231" i="12"/>
  <c r="CZ1092" i="12"/>
  <c r="CZ1126" i="12"/>
  <c r="CZ1007" i="12"/>
  <c r="CZ1214" i="12"/>
  <c r="CZ1075" i="12"/>
  <c r="DA2192" i="12" l="1"/>
  <c r="DC2192" i="12"/>
  <c r="DE2192" i="12"/>
  <c r="DD2192" i="12"/>
  <c r="DB2192" i="12"/>
  <c r="DF2191" i="12" s="1"/>
  <c r="P32" i="12"/>
  <c r="Q13" i="12"/>
  <c r="HT81" i="12"/>
  <c r="HO82" i="12"/>
  <c r="FR177" i="12"/>
  <c r="DC1231" i="12"/>
  <c r="DE1231" i="12"/>
  <c r="DD1231" i="12"/>
  <c r="DB1231" i="12"/>
  <c r="DA1231" i="12"/>
  <c r="DA1075" i="12"/>
  <c r="DE1075" i="12"/>
  <c r="DC1075" i="12"/>
  <c r="DD1075" i="12"/>
  <c r="DB1075" i="12"/>
  <c r="DE1007" i="12"/>
  <c r="DA1007" i="12"/>
  <c r="DC1007" i="12"/>
  <c r="DD1007" i="12"/>
  <c r="DB1007" i="12"/>
  <c r="DA1178" i="12"/>
  <c r="DD1178" i="12"/>
  <c r="DC1178" i="12"/>
  <c r="DE1178" i="12"/>
  <c r="DB1178" i="12"/>
  <c r="DD1143" i="12"/>
  <c r="DA1143" i="12"/>
  <c r="DC1143" i="12"/>
  <c r="DE1143" i="12"/>
  <c r="DB1143" i="12"/>
  <c r="DB1126" i="12"/>
  <c r="DE1126" i="12"/>
  <c r="DC1126" i="12"/>
  <c r="DA1126" i="12"/>
  <c r="DD1126" i="12"/>
  <c r="DD1041" i="12"/>
  <c r="DB1041" i="12"/>
  <c r="DC1041" i="12"/>
  <c r="DE1041" i="12"/>
  <c r="DA1041" i="12"/>
  <c r="DB1162" i="12"/>
  <c r="DA1162" i="12"/>
  <c r="DD1162" i="12"/>
  <c r="DE1162" i="12"/>
  <c r="DC1162" i="12"/>
  <c r="DA990" i="12"/>
  <c r="DC990" i="12"/>
  <c r="DD990" i="12"/>
  <c r="DB990" i="12"/>
  <c r="DE990" i="12"/>
  <c r="DB1092" i="12"/>
  <c r="DA1092" i="12"/>
  <c r="DC1092" i="12"/>
  <c r="DE1092" i="12"/>
  <c r="DD1092" i="12"/>
  <c r="DA1058" i="12"/>
  <c r="DD1058" i="12"/>
  <c r="DE1058" i="12"/>
  <c r="DC1058" i="12"/>
  <c r="DB1058" i="12"/>
  <c r="DD1024" i="12"/>
  <c r="DA1024" i="12"/>
  <c r="DE1024" i="12"/>
  <c r="DC1024" i="12"/>
  <c r="DB1024" i="12"/>
  <c r="DE1110" i="12"/>
  <c r="DD1110" i="12"/>
  <c r="DC1110" i="12"/>
  <c r="DB1110" i="12"/>
  <c r="DA1110" i="12"/>
  <c r="DA1214" i="12"/>
  <c r="DB1214" i="12"/>
  <c r="DE1214" i="12"/>
  <c r="DC1214" i="12"/>
  <c r="DD1214" i="12"/>
  <c r="DE1195" i="12"/>
  <c r="DD1195" i="12"/>
  <c r="DC1195" i="12"/>
  <c r="DA1195" i="12"/>
  <c r="DB1195" i="12"/>
  <c r="DC1247" i="12"/>
  <c r="DD1247" i="12"/>
  <c r="DA1247" i="12"/>
  <c r="DB1247" i="12"/>
  <c r="DE1247" i="12"/>
  <c r="CX1265" i="12"/>
  <c r="CY1265" i="12" s="1"/>
  <c r="CX1273" i="12"/>
  <c r="CY1273" i="12" s="1"/>
  <c r="CX1271" i="12"/>
  <c r="CY1271" i="12" s="1"/>
  <c r="CX1266" i="12"/>
  <c r="CY1266" i="12" s="1"/>
  <c r="CX1276" i="12"/>
  <c r="CY1276" i="12" s="1"/>
  <c r="CX1264" i="12"/>
  <c r="CY1264" i="12" s="1"/>
  <c r="CX1277" i="12"/>
  <c r="CY1277" i="12" s="1"/>
  <c r="CX1267" i="12"/>
  <c r="CY1267" i="12" s="1"/>
  <c r="CX1270" i="12"/>
  <c r="CY1270" i="12" s="1"/>
  <c r="CX1263" i="12"/>
  <c r="CY1263" i="12" s="1"/>
  <c r="DC1263" i="12" s="1"/>
  <c r="DB1263" i="12" s="1"/>
  <c r="DE1264" i="12" s="1"/>
  <c r="CX1278" i="12"/>
  <c r="CY1278" i="12" s="1"/>
  <c r="CX1268" i="12"/>
  <c r="CY1268" i="12" s="1"/>
  <c r="CX1279" i="12"/>
  <c r="CY1279" i="12" s="1"/>
  <c r="CX1275" i="12"/>
  <c r="CY1275" i="12" s="1"/>
  <c r="CX1272" i="12"/>
  <c r="CY1272" i="12" s="1"/>
  <c r="CX1269" i="12"/>
  <c r="CY1269" i="12" s="1"/>
  <c r="CX1274" i="12"/>
  <c r="CY1274" i="12" s="1"/>
  <c r="DC1245" i="12"/>
  <c r="DB1245" i="12" s="1"/>
  <c r="JK74" i="12"/>
  <c r="JL74" i="12" s="1"/>
  <c r="EA74" i="12" s="1"/>
  <c r="JH75" i="12"/>
  <c r="JK75" i="12" s="1"/>
  <c r="JL75" i="12" s="1"/>
  <c r="EA75" i="12" s="1"/>
  <c r="CX1313" i="12" s="1"/>
  <c r="CY1313" i="12" s="1"/>
  <c r="FU176" i="12"/>
  <c r="GR176" i="12" s="1"/>
  <c r="FR181" i="12"/>
  <c r="CX2272" i="12"/>
  <c r="CY2271" i="12"/>
  <c r="CZ1215" i="12"/>
  <c r="CZ1059" i="12"/>
  <c r="CZ1265" i="12"/>
  <c r="CZ1248" i="12"/>
  <c r="CZ1196" i="12"/>
  <c r="CZ1025" i="12"/>
  <c r="CZ1127" i="12"/>
  <c r="CZ1042" i="12"/>
  <c r="CZ1144" i="12"/>
  <c r="CZ1232" i="12"/>
  <c r="CZ2193" i="12"/>
  <c r="CZ991" i="12"/>
  <c r="CZ1111" i="12"/>
  <c r="CZ1179" i="12"/>
  <c r="CZ1008" i="12"/>
  <c r="CZ1093" i="12"/>
  <c r="CZ1076" i="12"/>
  <c r="CZ1163" i="12"/>
  <c r="DB2193" i="12" l="1"/>
  <c r="DF2192" i="12" s="1"/>
  <c r="DE2193" i="12"/>
  <c r="DA2193" i="12"/>
  <c r="DD2193" i="12"/>
  <c r="DC2193" i="12"/>
  <c r="P33" i="12"/>
  <c r="Q14" i="12"/>
  <c r="HT82" i="12"/>
  <c r="HO83" i="12"/>
  <c r="FU177" i="12"/>
  <c r="GR177" i="12" s="1"/>
  <c r="FR178" i="12"/>
  <c r="DD1232" i="12"/>
  <c r="DE1232" i="12"/>
  <c r="DA1232" i="12"/>
  <c r="DC1232" i="12"/>
  <c r="DB1232" i="12"/>
  <c r="DD1263" i="12"/>
  <c r="DC991" i="12"/>
  <c r="DA991" i="12"/>
  <c r="DD991" i="12"/>
  <c r="DB991" i="12"/>
  <c r="DE991" i="12"/>
  <c r="DE1248" i="12"/>
  <c r="DC1248" i="12"/>
  <c r="DB1248" i="12"/>
  <c r="DD1248" i="12"/>
  <c r="DA1248" i="12"/>
  <c r="DC1215" i="12"/>
  <c r="DA1215" i="12"/>
  <c r="DE1215" i="12"/>
  <c r="DD1215" i="12"/>
  <c r="DB1215" i="12"/>
  <c r="DE1025" i="12"/>
  <c r="DD1025" i="12"/>
  <c r="DA1025" i="12"/>
  <c r="DC1025" i="12"/>
  <c r="DB1025" i="12"/>
  <c r="DD1093" i="12"/>
  <c r="DB1093" i="12"/>
  <c r="DC1093" i="12"/>
  <c r="DE1093" i="12"/>
  <c r="DA1093" i="12"/>
  <c r="DB1042" i="12"/>
  <c r="DE1042" i="12"/>
  <c r="DA1042" i="12"/>
  <c r="DC1042" i="12"/>
  <c r="DD1042" i="12"/>
  <c r="DA1144" i="12"/>
  <c r="DB1144" i="12"/>
  <c r="DC1144" i="12"/>
  <c r="DD1144" i="12"/>
  <c r="DE1144" i="12"/>
  <c r="DA1008" i="12"/>
  <c r="DD1008" i="12"/>
  <c r="DC1008" i="12"/>
  <c r="DE1008" i="12"/>
  <c r="DB1008" i="12"/>
  <c r="DC1196" i="12"/>
  <c r="DD1196" i="12"/>
  <c r="DB1196" i="12"/>
  <c r="DA1196" i="12"/>
  <c r="DE1196" i="12"/>
  <c r="DE1111" i="12"/>
  <c r="DD1111" i="12"/>
  <c r="DC1111" i="12"/>
  <c r="DB1111" i="12"/>
  <c r="DA1111" i="12"/>
  <c r="DA1059" i="12"/>
  <c r="DB1059" i="12"/>
  <c r="DD1059" i="12"/>
  <c r="DC1059" i="12"/>
  <c r="DE1059" i="12"/>
  <c r="DE1163" i="12"/>
  <c r="DB1163" i="12"/>
  <c r="DD1163" i="12"/>
  <c r="DC1163" i="12"/>
  <c r="DA1163" i="12"/>
  <c r="DC1127" i="12"/>
  <c r="DA1127" i="12"/>
  <c r="DD1127" i="12"/>
  <c r="DB1127" i="12"/>
  <c r="DE1127" i="12"/>
  <c r="DE1179" i="12"/>
  <c r="DA1179" i="12"/>
  <c r="DD1179" i="12"/>
  <c r="DB1179" i="12"/>
  <c r="DC1179" i="12"/>
  <c r="DC1076" i="12"/>
  <c r="DE1076" i="12"/>
  <c r="DA1076" i="12"/>
  <c r="DB1076" i="12"/>
  <c r="DD1076" i="12"/>
  <c r="CX1300" i="12"/>
  <c r="CY1300" i="12" s="1"/>
  <c r="CX1301" i="12"/>
  <c r="CY1301" i="12" s="1"/>
  <c r="DE1263" i="12"/>
  <c r="CX1310" i="12"/>
  <c r="CY1310" i="12" s="1"/>
  <c r="DD1264" i="12"/>
  <c r="DA1264" i="12"/>
  <c r="DC1264" i="12"/>
  <c r="CX1312" i="12"/>
  <c r="CY1312" i="12" s="1"/>
  <c r="DB1264" i="12"/>
  <c r="DE1265" i="12"/>
  <c r="DC1265" i="12"/>
  <c r="DB1265" i="12"/>
  <c r="DD1265" i="12"/>
  <c r="DA1265" i="12"/>
  <c r="DB1246" i="12"/>
  <c r="DD1246" i="12"/>
  <c r="DC1246" i="12"/>
  <c r="DE1246" i="12"/>
  <c r="DA1246" i="12"/>
  <c r="CX1309" i="12"/>
  <c r="CY1309" i="12" s="1"/>
  <c r="CX1315" i="12"/>
  <c r="CY1315" i="12" s="1"/>
  <c r="CX1306" i="12"/>
  <c r="CY1306" i="12" s="1"/>
  <c r="CX1307" i="12"/>
  <c r="CY1307" i="12" s="1"/>
  <c r="DD1245" i="12"/>
  <c r="DE1245" i="12"/>
  <c r="CX1311" i="12"/>
  <c r="CY1311" i="12" s="1"/>
  <c r="CX1304" i="12"/>
  <c r="CY1304" i="12" s="1"/>
  <c r="CX1303" i="12"/>
  <c r="CY1303" i="12" s="1"/>
  <c r="CX1314" i="12"/>
  <c r="CY1314" i="12" s="1"/>
  <c r="CX1299" i="12"/>
  <c r="CY1299" i="12" s="1"/>
  <c r="DC1299" i="12" s="1"/>
  <c r="DB1299" i="12" s="1"/>
  <c r="CX1302" i="12"/>
  <c r="CY1302" i="12" s="1"/>
  <c r="CX1308" i="12"/>
  <c r="CY1308" i="12" s="1"/>
  <c r="CX1305" i="12"/>
  <c r="CY1305" i="12" s="1"/>
  <c r="JH76" i="12"/>
  <c r="JK76" i="12" s="1"/>
  <c r="JL76" i="12" s="1"/>
  <c r="EA76" i="12" s="1"/>
  <c r="CX1321" i="12" s="1"/>
  <c r="CY1321" i="12" s="1"/>
  <c r="CX1286" i="12"/>
  <c r="CY1286" i="12" s="1"/>
  <c r="CX1289" i="12"/>
  <c r="CY1289" i="12" s="1"/>
  <c r="CX1290" i="12"/>
  <c r="CY1290" i="12" s="1"/>
  <c r="CX1282" i="12"/>
  <c r="CY1282" i="12" s="1"/>
  <c r="CX1296" i="12"/>
  <c r="CY1296" i="12" s="1"/>
  <c r="CX1297" i="12"/>
  <c r="CY1297" i="12" s="1"/>
  <c r="CX1294" i="12"/>
  <c r="CY1294" i="12" s="1"/>
  <c r="CX1293" i="12"/>
  <c r="CY1293" i="12" s="1"/>
  <c r="CX1283" i="12"/>
  <c r="CY1283" i="12" s="1"/>
  <c r="CX1285" i="12"/>
  <c r="CY1285" i="12" s="1"/>
  <c r="CX1291" i="12"/>
  <c r="CY1291" i="12" s="1"/>
  <c r="CX1284" i="12"/>
  <c r="CY1284" i="12" s="1"/>
  <c r="CX1288" i="12"/>
  <c r="CY1288" i="12" s="1"/>
  <c r="CX1281" i="12"/>
  <c r="CY1281" i="12" s="1"/>
  <c r="DC1281" i="12" s="1"/>
  <c r="DD1281" i="12" s="1"/>
  <c r="CX1287" i="12"/>
  <c r="CY1287" i="12" s="1"/>
  <c r="CX1295" i="12"/>
  <c r="CY1295" i="12" s="1"/>
  <c r="CX1292" i="12"/>
  <c r="CY1292" i="12" s="1"/>
  <c r="FU181" i="12"/>
  <c r="GR181" i="12" s="1"/>
  <c r="FT5" i="12"/>
  <c r="CX2273" i="12"/>
  <c r="CY2272" i="12"/>
  <c r="CZ1266" i="12"/>
  <c r="CZ1216" i="12"/>
  <c r="CZ1077" i="12"/>
  <c r="CZ1112" i="12"/>
  <c r="CZ1043" i="12"/>
  <c r="CZ1301" i="12"/>
  <c r="CZ2194" i="12"/>
  <c r="CZ1233" i="12"/>
  <c r="CZ1249" i="12"/>
  <c r="CZ1164" i="12"/>
  <c r="CZ1026" i="12"/>
  <c r="CZ1197" i="12"/>
  <c r="CZ1060" i="12"/>
  <c r="CZ1180" i="12"/>
  <c r="CZ1094" i="12"/>
  <c r="CZ1128" i="12"/>
  <c r="CZ1009" i="12"/>
  <c r="CZ1145" i="12"/>
  <c r="CZ1283" i="12"/>
  <c r="DE2194" i="12" l="1"/>
  <c r="DA2194" i="12"/>
  <c r="DD2194" i="12"/>
  <c r="DC2194" i="12"/>
  <c r="DB2194" i="12"/>
  <c r="DF2193" i="12" s="1"/>
  <c r="P34" i="12"/>
  <c r="HT83" i="12"/>
  <c r="HO84" i="12"/>
  <c r="FU178" i="12"/>
  <c r="GR178" i="12" s="1"/>
  <c r="FR179" i="12"/>
  <c r="FR180" i="12" s="1"/>
  <c r="DD1233" i="12"/>
  <c r="DA1233" i="12"/>
  <c r="DE1233" i="12"/>
  <c r="DC1233" i="12"/>
  <c r="DB1233" i="12"/>
  <c r="DD1077" i="12"/>
  <c r="DA1077" i="12"/>
  <c r="DB1077" i="12"/>
  <c r="DC1077" i="12"/>
  <c r="DE1077" i="12"/>
  <c r="DA1128" i="12"/>
  <c r="DB1128" i="12"/>
  <c r="DE1128" i="12"/>
  <c r="DC1128" i="12"/>
  <c r="DD1128" i="12"/>
  <c r="DB1112" i="12"/>
  <c r="DA1112" i="12"/>
  <c r="DE1112" i="12"/>
  <c r="DC1112" i="12"/>
  <c r="DD1112" i="12"/>
  <c r="DA1009" i="12"/>
  <c r="DB1009" i="12"/>
  <c r="DE1009" i="12"/>
  <c r="DD1009" i="12"/>
  <c r="DC1009" i="12"/>
  <c r="DD1043" i="12"/>
  <c r="DC1043" i="12"/>
  <c r="DA1043" i="12"/>
  <c r="DB1043" i="12"/>
  <c r="DE1043" i="12"/>
  <c r="DE1026" i="12"/>
  <c r="DD1026" i="12"/>
  <c r="DB1026" i="12"/>
  <c r="DA1026" i="12"/>
  <c r="DC1026" i="12"/>
  <c r="DB1249" i="12"/>
  <c r="DA1249" i="12"/>
  <c r="DE1249" i="12"/>
  <c r="DD1249" i="12"/>
  <c r="DC1249" i="12"/>
  <c r="DB1180" i="12"/>
  <c r="DA1180" i="12"/>
  <c r="DE1180" i="12"/>
  <c r="DD1180" i="12"/>
  <c r="DC1180" i="12"/>
  <c r="DA1164" i="12"/>
  <c r="DB1164" i="12"/>
  <c r="DD1164" i="12"/>
  <c r="DC1164" i="12"/>
  <c r="DE1164" i="12"/>
  <c r="DE1060" i="12"/>
  <c r="DC1060" i="12"/>
  <c r="DD1060" i="12"/>
  <c r="DA1060" i="12"/>
  <c r="DB1060" i="12"/>
  <c r="DA1197" i="12"/>
  <c r="DE1197" i="12"/>
  <c r="DB1197" i="12"/>
  <c r="DC1197" i="12"/>
  <c r="DD1197" i="12"/>
  <c r="DA1266" i="12"/>
  <c r="DC1266" i="12"/>
  <c r="DB1266" i="12"/>
  <c r="DE1266" i="12"/>
  <c r="DD1266" i="12"/>
  <c r="DB1145" i="12"/>
  <c r="DC1145" i="12"/>
  <c r="DD1145" i="12"/>
  <c r="DE1145" i="12"/>
  <c r="DA1145" i="12"/>
  <c r="DE1094" i="12"/>
  <c r="DD1094" i="12"/>
  <c r="DC1094" i="12"/>
  <c r="DB1094" i="12"/>
  <c r="DA1094" i="12"/>
  <c r="DA1216" i="12"/>
  <c r="DB1216" i="12"/>
  <c r="DD1216" i="12"/>
  <c r="DC1216" i="12"/>
  <c r="DE1216" i="12"/>
  <c r="CX1328" i="12"/>
  <c r="CY1328" i="12" s="1"/>
  <c r="CX1331" i="12"/>
  <c r="CY1331" i="12" s="1"/>
  <c r="CX1332" i="12"/>
  <c r="CY1332" i="12" s="1"/>
  <c r="DB1281" i="12"/>
  <c r="DA1282" i="12" s="1"/>
  <c r="CX1323" i="12"/>
  <c r="CY1323" i="12" s="1"/>
  <c r="CX1322" i="12"/>
  <c r="CY1322" i="12" s="1"/>
  <c r="CX1333" i="12"/>
  <c r="CY1333" i="12" s="1"/>
  <c r="CX1324" i="12"/>
  <c r="CY1324" i="12" s="1"/>
  <c r="CX1326" i="12"/>
  <c r="CY1326" i="12" s="1"/>
  <c r="CX1318" i="12"/>
  <c r="CY1318" i="12" s="1"/>
  <c r="CX1325" i="12"/>
  <c r="CY1325" i="12" s="1"/>
  <c r="CX1330" i="12"/>
  <c r="CY1330" i="12" s="1"/>
  <c r="CX1329" i="12"/>
  <c r="CY1329" i="12" s="1"/>
  <c r="CX1317" i="12"/>
  <c r="CY1317" i="12" s="1"/>
  <c r="DC1317" i="12" s="1"/>
  <c r="CX1319" i="12"/>
  <c r="CY1319" i="12" s="1"/>
  <c r="CX1327" i="12"/>
  <c r="CY1327" i="12" s="1"/>
  <c r="CX1320" i="12"/>
  <c r="CY1320" i="12" s="1"/>
  <c r="DE1281" i="12"/>
  <c r="DE1301" i="12"/>
  <c r="DC1301" i="12"/>
  <c r="DD1301" i="12"/>
  <c r="DB1301" i="12"/>
  <c r="DA1301" i="12"/>
  <c r="DD1283" i="12"/>
  <c r="DB1283" i="12"/>
  <c r="DA1283" i="12"/>
  <c r="DC1283" i="12"/>
  <c r="DE1283" i="12"/>
  <c r="JH77" i="12"/>
  <c r="JK77" i="12" s="1"/>
  <c r="JL77" i="12" s="1"/>
  <c r="EA77" i="12" s="1"/>
  <c r="CX1351" i="12" s="1"/>
  <c r="CY1351" i="12" s="1"/>
  <c r="DD1299" i="12"/>
  <c r="DE1299" i="12"/>
  <c r="DC1300" i="12"/>
  <c r="DD1300" i="12"/>
  <c r="DE1300" i="12"/>
  <c r="DB1300" i="12"/>
  <c r="DA1300" i="12"/>
  <c r="CX2274" i="12"/>
  <c r="CY2273" i="12"/>
  <c r="CZ1217" i="12"/>
  <c r="CZ1129" i="12"/>
  <c r="CZ1027" i="12"/>
  <c r="CZ1198" i="12"/>
  <c r="CZ1146" i="12"/>
  <c r="CZ1319" i="12"/>
  <c r="CZ1061" i="12"/>
  <c r="CZ1267" i="12"/>
  <c r="CZ1302" i="12"/>
  <c r="CZ1284" i="12"/>
  <c r="CZ1113" i="12"/>
  <c r="CZ1181" i="12"/>
  <c r="CZ1234" i="12"/>
  <c r="CZ1078" i="12"/>
  <c r="CZ1250" i="12"/>
  <c r="CZ2195" i="12"/>
  <c r="CZ1095" i="12"/>
  <c r="CZ1044" i="12"/>
  <c r="CZ1165" i="12"/>
  <c r="DA2195" i="12" l="1"/>
  <c r="DD2195" i="12"/>
  <c r="DE2195" i="12"/>
  <c r="DB2195" i="12"/>
  <c r="DF2194" i="12" s="1"/>
  <c r="DC2195" i="12"/>
  <c r="P35" i="12"/>
  <c r="Q15" i="12"/>
  <c r="HT84" i="12"/>
  <c r="HO85" i="12"/>
  <c r="FU180" i="12"/>
  <c r="GR180" i="12" s="1"/>
  <c r="FU179" i="12"/>
  <c r="GR179" i="12" s="1"/>
  <c r="FR182" i="12"/>
  <c r="FU182" i="12" s="1"/>
  <c r="GR182" i="12" s="1"/>
  <c r="DA1234" i="12"/>
  <c r="DB1234" i="12"/>
  <c r="DC1234" i="12"/>
  <c r="DD1234" i="12"/>
  <c r="DE1234" i="12"/>
  <c r="DC1282" i="12"/>
  <c r="DB1282" i="12"/>
  <c r="DE1282" i="12"/>
  <c r="DD1282" i="12"/>
  <c r="DB1027" i="12"/>
  <c r="DD1027" i="12"/>
  <c r="DC1027" i="12"/>
  <c r="DE1027" i="12"/>
  <c r="DA1027" i="12"/>
  <c r="DA1113" i="12"/>
  <c r="DE1113" i="12"/>
  <c r="DC1113" i="12"/>
  <c r="DB1113" i="12"/>
  <c r="DD1113" i="12"/>
  <c r="DC1129" i="12"/>
  <c r="DE1129" i="12"/>
  <c r="DA1129" i="12"/>
  <c r="DD1129" i="12"/>
  <c r="DB1129" i="12"/>
  <c r="DD1284" i="12"/>
  <c r="DA1284" i="12"/>
  <c r="DC1284" i="12"/>
  <c r="DB1284" i="12"/>
  <c r="DE1284" i="12"/>
  <c r="DA1217" i="12"/>
  <c r="DD1217" i="12"/>
  <c r="DE1217" i="12"/>
  <c r="DB1217" i="12"/>
  <c r="DC1217" i="12"/>
  <c r="DE1146" i="12"/>
  <c r="DD1146" i="12"/>
  <c r="DA1146" i="12"/>
  <c r="DC1146" i="12"/>
  <c r="DB1146" i="12"/>
  <c r="DE1198" i="12"/>
  <c r="DB1198" i="12"/>
  <c r="DC1198" i="12"/>
  <c r="DA1198" i="12"/>
  <c r="DD1198" i="12"/>
  <c r="DE1165" i="12"/>
  <c r="DB1165" i="12"/>
  <c r="DA1165" i="12"/>
  <c r="DC1165" i="12"/>
  <c r="DD1165" i="12"/>
  <c r="DE1302" i="12"/>
  <c r="DA1302" i="12"/>
  <c r="DB1302" i="12"/>
  <c r="DD1302" i="12"/>
  <c r="DC1302" i="12"/>
  <c r="DD1044" i="12"/>
  <c r="DC1044" i="12"/>
  <c r="DE1044" i="12"/>
  <c r="DA1044" i="12"/>
  <c r="DB1044" i="12"/>
  <c r="DE1078" i="12"/>
  <c r="DA1078" i="12"/>
  <c r="DC1078" i="12"/>
  <c r="DB1078" i="12"/>
  <c r="DD1078" i="12"/>
  <c r="DE1095" i="12"/>
  <c r="DD1095" i="12"/>
  <c r="DA1095" i="12"/>
  <c r="DC1095" i="12"/>
  <c r="DB1095" i="12"/>
  <c r="DD1267" i="12"/>
  <c r="DA1267" i="12"/>
  <c r="DE1267" i="12"/>
  <c r="DB1267" i="12"/>
  <c r="DC1267" i="12"/>
  <c r="DA1061" i="12"/>
  <c r="DC1061" i="12"/>
  <c r="DE1061" i="12"/>
  <c r="DB1061" i="12"/>
  <c r="DD1061" i="12"/>
  <c r="DC1181" i="12"/>
  <c r="DE1181" i="12"/>
  <c r="DB1181" i="12"/>
  <c r="DD1181" i="12"/>
  <c r="DA1181" i="12"/>
  <c r="DC1250" i="12"/>
  <c r="DB1250" i="12"/>
  <c r="DA1250" i="12"/>
  <c r="DD1250" i="12"/>
  <c r="DE1250" i="12"/>
  <c r="JH78" i="12"/>
  <c r="JK78" i="12" s="1"/>
  <c r="JL78" i="12" s="1"/>
  <c r="EA78" i="12" s="1"/>
  <c r="CX1354" i="12" s="1"/>
  <c r="CY1354" i="12" s="1"/>
  <c r="DD1319" i="12"/>
  <c r="DA1319" i="12"/>
  <c r="DC1319" i="12"/>
  <c r="DE1319" i="12"/>
  <c r="DB1319" i="12"/>
  <c r="CX1349" i="12"/>
  <c r="CY1349" i="12" s="1"/>
  <c r="CX1350" i="12"/>
  <c r="CY1350" i="12" s="1"/>
  <c r="CX1338" i="12"/>
  <c r="CY1338" i="12" s="1"/>
  <c r="CX1343" i="12"/>
  <c r="CY1343" i="12" s="1"/>
  <c r="CX1337" i="12"/>
  <c r="CY1337" i="12" s="1"/>
  <c r="CX1347" i="12"/>
  <c r="CY1347" i="12" s="1"/>
  <c r="CX1344" i="12"/>
  <c r="CY1344" i="12" s="1"/>
  <c r="CX1340" i="12"/>
  <c r="CY1340" i="12" s="1"/>
  <c r="CX1346" i="12"/>
  <c r="CY1346" i="12" s="1"/>
  <c r="CX1345" i="12"/>
  <c r="CY1345" i="12" s="1"/>
  <c r="CX1341" i="12"/>
  <c r="CY1341" i="12" s="1"/>
  <c r="CX1348" i="12"/>
  <c r="CY1348" i="12" s="1"/>
  <c r="CX1342" i="12"/>
  <c r="CY1342" i="12" s="1"/>
  <c r="CX1336" i="12"/>
  <c r="CY1336" i="12" s="1"/>
  <c r="CX1335" i="12"/>
  <c r="CY1335" i="12" s="1"/>
  <c r="DC1335" i="12" s="1"/>
  <c r="DD1335" i="12" s="1"/>
  <c r="CX1339" i="12"/>
  <c r="CY1339" i="12" s="1"/>
  <c r="DE1317" i="12"/>
  <c r="DD1317" i="12"/>
  <c r="DB1317" i="12"/>
  <c r="FT13" i="12"/>
  <c r="FT14" i="12" s="1"/>
  <c r="CX2275" i="12"/>
  <c r="CY2274" i="12"/>
  <c r="CZ1130" i="12"/>
  <c r="CZ1235" i="12"/>
  <c r="CZ1096" i="12"/>
  <c r="CZ1303" i="12"/>
  <c r="CZ1045" i="12"/>
  <c r="CZ1218" i="12"/>
  <c r="CZ1147" i="12"/>
  <c r="CZ1062" i="12"/>
  <c r="CZ1166" i="12"/>
  <c r="CZ1182" i="12"/>
  <c r="CZ1337" i="12"/>
  <c r="CZ1199" i="12"/>
  <c r="CZ1268" i="12"/>
  <c r="CZ1079" i="12"/>
  <c r="CZ1251" i="12"/>
  <c r="CZ1320" i="12"/>
  <c r="CZ2196" i="12"/>
  <c r="CZ1285" i="12"/>
  <c r="CZ1114" i="12"/>
  <c r="DD2196" i="12" l="1"/>
  <c r="DA2196" i="12"/>
  <c r="DE2196" i="12"/>
  <c r="DC2196" i="12"/>
  <c r="DB2196" i="12"/>
  <c r="DF2195" i="12" s="1"/>
  <c r="P36" i="12"/>
  <c r="CX1368" i="12"/>
  <c r="CY1368" i="12" s="1"/>
  <c r="HT85" i="12"/>
  <c r="HO86" i="12"/>
  <c r="FR183" i="12"/>
  <c r="DA1235" i="12"/>
  <c r="DB1235" i="12"/>
  <c r="DD1235" i="12"/>
  <c r="DC1235" i="12"/>
  <c r="DE1235" i="12"/>
  <c r="CX1360" i="12"/>
  <c r="CY1360" i="12" s="1"/>
  <c r="CX1367" i="12"/>
  <c r="CY1367" i="12" s="1"/>
  <c r="CX1353" i="12"/>
  <c r="CY1353" i="12" s="1"/>
  <c r="DC1353" i="12" s="1"/>
  <c r="DE1353" i="12" s="1"/>
  <c r="DE1335" i="12"/>
  <c r="CX1364" i="12"/>
  <c r="CY1364" i="12" s="1"/>
  <c r="CX1355" i="12"/>
  <c r="CY1355" i="12" s="1"/>
  <c r="CX1359" i="12"/>
  <c r="CY1359" i="12" s="1"/>
  <c r="CX1365" i="12"/>
  <c r="CY1365" i="12" s="1"/>
  <c r="CX1361" i="12"/>
  <c r="CY1361" i="12" s="1"/>
  <c r="CX1366" i="12"/>
  <c r="CY1366" i="12" s="1"/>
  <c r="CX1357" i="12"/>
  <c r="CY1357" i="12" s="1"/>
  <c r="CX1358" i="12"/>
  <c r="CY1358" i="12" s="1"/>
  <c r="DB1335" i="12"/>
  <c r="DB1336" i="12" s="1"/>
  <c r="JH79" i="12"/>
  <c r="JH80" i="12" s="1"/>
  <c r="JK80" i="12" s="1"/>
  <c r="JL80" i="12" s="1"/>
  <c r="EA80" i="12" s="1"/>
  <c r="CX1390" i="12" s="1"/>
  <c r="CY1390" i="12" s="1"/>
  <c r="DC1251" i="12"/>
  <c r="DB1251" i="12"/>
  <c r="DD1251" i="12"/>
  <c r="DA1251" i="12"/>
  <c r="DE1251" i="12"/>
  <c r="DD1062" i="12"/>
  <c r="DC1062" i="12"/>
  <c r="DB1062" i="12"/>
  <c r="DA1062" i="12"/>
  <c r="DE1062" i="12"/>
  <c r="DC1096" i="12"/>
  <c r="DE1096" i="12"/>
  <c r="DA1096" i="12"/>
  <c r="DD1096" i="12"/>
  <c r="DB1096" i="12"/>
  <c r="DB1199" i="12"/>
  <c r="DD1199" i="12"/>
  <c r="DE1199" i="12"/>
  <c r="DC1199" i="12"/>
  <c r="DA1199" i="12"/>
  <c r="DB1147" i="12"/>
  <c r="DC1147" i="12"/>
  <c r="DA1147" i="12"/>
  <c r="DD1147" i="12"/>
  <c r="DE1147" i="12"/>
  <c r="DB1320" i="12"/>
  <c r="DA1320" i="12"/>
  <c r="DE1320" i="12"/>
  <c r="DD1320" i="12"/>
  <c r="DC1320" i="12"/>
  <c r="DC1130" i="12"/>
  <c r="DE1130" i="12"/>
  <c r="DB1130" i="12"/>
  <c r="DA1130" i="12"/>
  <c r="DD1130" i="12"/>
  <c r="DE1182" i="12"/>
  <c r="DD1182" i="12"/>
  <c r="DC1182" i="12"/>
  <c r="DA1182" i="12"/>
  <c r="DB1182" i="12"/>
  <c r="DE1268" i="12"/>
  <c r="DC1268" i="12"/>
  <c r="DD1268" i="12"/>
  <c r="DB1268" i="12"/>
  <c r="DA1268" i="12"/>
  <c r="DC1079" i="12"/>
  <c r="DD1079" i="12"/>
  <c r="DA1079" i="12"/>
  <c r="DB1079" i="12"/>
  <c r="DE1079" i="12"/>
  <c r="DB1045" i="12"/>
  <c r="DE1045" i="12"/>
  <c r="DD1045" i="12"/>
  <c r="DA1045" i="12"/>
  <c r="DC1045" i="12"/>
  <c r="DD1303" i="12"/>
  <c r="DC1303" i="12"/>
  <c r="DE1303" i="12"/>
  <c r="DB1303" i="12"/>
  <c r="DA1303" i="12"/>
  <c r="DC1166" i="12"/>
  <c r="DD1166" i="12"/>
  <c r="DB1166" i="12"/>
  <c r="DE1166" i="12"/>
  <c r="DA1166" i="12"/>
  <c r="DA1218" i="12"/>
  <c r="DB1218" i="12"/>
  <c r="DD1218" i="12"/>
  <c r="DE1218" i="12"/>
  <c r="DC1218" i="12"/>
  <c r="DB1114" i="12"/>
  <c r="DA1114" i="12"/>
  <c r="DD1114" i="12"/>
  <c r="DE1114" i="12"/>
  <c r="DC1114" i="12"/>
  <c r="DB1285" i="12"/>
  <c r="DD1285" i="12"/>
  <c r="DC1285" i="12"/>
  <c r="DA1285" i="12"/>
  <c r="DE1285" i="12"/>
  <c r="CX1363" i="12"/>
  <c r="CY1363" i="12" s="1"/>
  <c r="CX1356" i="12"/>
  <c r="CY1356" i="12" s="1"/>
  <c r="CX1362" i="12"/>
  <c r="CY1362" i="12" s="1"/>
  <c r="CX1369" i="12"/>
  <c r="CY1369" i="12" s="1"/>
  <c r="DA1337" i="12"/>
  <c r="DD1337" i="12"/>
  <c r="DE1337" i="12"/>
  <c r="DB1337" i="12"/>
  <c r="DC1337" i="12"/>
  <c r="DC1318" i="12"/>
  <c r="DD1318" i="12"/>
  <c r="DA1318" i="12"/>
  <c r="DE1318" i="12"/>
  <c r="DB1318" i="12"/>
  <c r="FT15" i="12"/>
  <c r="CY2275" i="12"/>
  <c r="CX2276" i="12"/>
  <c r="CZ2197" i="12"/>
  <c r="CZ1080" i="12"/>
  <c r="CZ1321" i="12"/>
  <c r="CZ1167" i="12"/>
  <c r="CZ1252" i="12"/>
  <c r="CZ1219" i="12"/>
  <c r="CZ1097" i="12"/>
  <c r="CZ1115" i="12"/>
  <c r="CZ1183" i="12"/>
  <c r="CZ1355" i="12"/>
  <c r="CZ1236" i="12"/>
  <c r="CZ1063" i="12"/>
  <c r="CZ1338" i="12"/>
  <c r="CZ1131" i="12"/>
  <c r="CZ1304" i="12"/>
  <c r="CZ1286" i="12"/>
  <c r="CZ1200" i="12"/>
  <c r="CZ1269" i="12"/>
  <c r="CZ1148" i="12"/>
  <c r="DC2197" i="12" l="1"/>
  <c r="DA2197" i="12"/>
  <c r="DD2197" i="12"/>
  <c r="DB2197" i="12"/>
  <c r="DF2196" i="12" s="1"/>
  <c r="DE2197" i="12"/>
  <c r="Q16" i="12"/>
  <c r="P37" i="12"/>
  <c r="HT86" i="12"/>
  <c r="HO87" i="12"/>
  <c r="FR184" i="12"/>
  <c r="FU183" i="12"/>
  <c r="GR183" i="12" s="1"/>
  <c r="DB1353" i="12"/>
  <c r="DA1354" i="12" s="1"/>
  <c r="DD1236" i="12"/>
  <c r="DB1236" i="12"/>
  <c r="DE1236" i="12"/>
  <c r="DA1236" i="12"/>
  <c r="DC1236" i="12"/>
  <c r="DD1353" i="12"/>
  <c r="CX1401" i="12"/>
  <c r="CY1401" i="12" s="1"/>
  <c r="JH81" i="12"/>
  <c r="JH82" i="12" s="1"/>
  <c r="JK82" i="12" s="1"/>
  <c r="JL82" i="12" s="1"/>
  <c r="EA82" i="12" s="1"/>
  <c r="CX1436" i="12" s="1"/>
  <c r="CY1436" i="12" s="1"/>
  <c r="CX1392" i="12"/>
  <c r="CY1392" i="12" s="1"/>
  <c r="DC1355" i="12"/>
  <c r="DA1355" i="12"/>
  <c r="DB1355" i="12"/>
  <c r="DD1355" i="12"/>
  <c r="DE1355" i="12"/>
  <c r="CX1405" i="12"/>
  <c r="CY1405" i="12" s="1"/>
  <c r="CX1402" i="12"/>
  <c r="CY1402" i="12" s="1"/>
  <c r="CX1394" i="12"/>
  <c r="CY1394" i="12" s="1"/>
  <c r="JK79" i="12"/>
  <c r="JL79" i="12" s="1"/>
  <c r="EA79" i="12" s="1"/>
  <c r="CX1376" i="12" s="1"/>
  <c r="CY1376" i="12" s="1"/>
  <c r="CX1393" i="12"/>
  <c r="CY1393" i="12" s="1"/>
  <c r="CX1399" i="12"/>
  <c r="CY1399" i="12" s="1"/>
  <c r="CX1398" i="12"/>
  <c r="CY1398" i="12" s="1"/>
  <c r="CX1396" i="12"/>
  <c r="CY1396" i="12" s="1"/>
  <c r="CX1395" i="12"/>
  <c r="CY1395" i="12" s="1"/>
  <c r="CX1400" i="12"/>
  <c r="CY1400" i="12" s="1"/>
  <c r="CX1391" i="12"/>
  <c r="CY1391" i="12" s="1"/>
  <c r="CX1389" i="12"/>
  <c r="CY1389" i="12" s="1"/>
  <c r="DC1389" i="12" s="1"/>
  <c r="DB1389" i="12" s="1"/>
  <c r="DA1390" i="12" s="1"/>
  <c r="CX1403" i="12"/>
  <c r="CY1403" i="12" s="1"/>
  <c r="DC1336" i="12"/>
  <c r="DE1336" i="12"/>
  <c r="DD1336" i="12"/>
  <c r="DA1336" i="12"/>
  <c r="CX1404" i="12"/>
  <c r="CY1404" i="12" s="1"/>
  <c r="CX1397" i="12"/>
  <c r="CY1397" i="12" s="1"/>
  <c r="DA1286" i="12"/>
  <c r="DD1286" i="12"/>
  <c r="DC1286" i="12"/>
  <c r="DE1286" i="12"/>
  <c r="DB1286" i="12"/>
  <c r="DA1219" i="12"/>
  <c r="DD1219" i="12"/>
  <c r="DE1219" i="12"/>
  <c r="DB1219" i="12"/>
  <c r="DC1219" i="12"/>
  <c r="DE1304" i="12"/>
  <c r="DD1304" i="12"/>
  <c r="DB1304" i="12"/>
  <c r="DA1304" i="12"/>
  <c r="DC1304" i="12"/>
  <c r="DE1338" i="12"/>
  <c r="DA1338" i="12"/>
  <c r="DD1338" i="12"/>
  <c r="DB1338" i="12"/>
  <c r="DC1338" i="12"/>
  <c r="DC1321" i="12"/>
  <c r="DD1321" i="12"/>
  <c r="DB1321" i="12"/>
  <c r="DE1321" i="12"/>
  <c r="DA1321" i="12"/>
  <c r="DE1200" i="12"/>
  <c r="DB1200" i="12"/>
  <c r="DA1200" i="12"/>
  <c r="DC1200" i="12"/>
  <c r="DD1200" i="12"/>
  <c r="DD1063" i="12"/>
  <c r="DB1063" i="12"/>
  <c r="DC1063" i="12"/>
  <c r="DE1063" i="12"/>
  <c r="DA1063" i="12"/>
  <c r="DB1080" i="12"/>
  <c r="DA1080" i="12"/>
  <c r="DE1080" i="12"/>
  <c r="DC1080" i="12"/>
  <c r="DD1080" i="12"/>
  <c r="DC1183" i="12"/>
  <c r="DB1183" i="12"/>
  <c r="DE1183" i="12"/>
  <c r="DA1183" i="12"/>
  <c r="DD1183" i="12"/>
  <c r="DE1115" i="12"/>
  <c r="DC1115" i="12"/>
  <c r="DB1115" i="12"/>
  <c r="DA1115" i="12"/>
  <c r="DD1115" i="12"/>
  <c r="DD1167" i="12"/>
  <c r="DB1167" i="12"/>
  <c r="DA1167" i="12"/>
  <c r="DC1167" i="12"/>
  <c r="DE1167" i="12"/>
  <c r="DB1131" i="12"/>
  <c r="DE1131" i="12"/>
  <c r="DD1131" i="12"/>
  <c r="DA1131" i="12"/>
  <c r="DC1131" i="12"/>
  <c r="DD1148" i="12"/>
  <c r="DC1148" i="12"/>
  <c r="DE1148" i="12"/>
  <c r="DA1148" i="12"/>
  <c r="DB1148" i="12"/>
  <c r="DD1097" i="12"/>
  <c r="DC1097" i="12"/>
  <c r="DA1097" i="12"/>
  <c r="DB1097" i="12"/>
  <c r="DE1097" i="12"/>
  <c r="DD1252" i="12"/>
  <c r="DB1252" i="12"/>
  <c r="DE1252" i="12"/>
  <c r="DC1252" i="12"/>
  <c r="DA1252" i="12"/>
  <c r="DB1269" i="12"/>
  <c r="DC1269" i="12"/>
  <c r="DE1269" i="12"/>
  <c r="DA1269" i="12"/>
  <c r="DD1269" i="12"/>
  <c r="FR186" i="12"/>
  <c r="FT16" i="12"/>
  <c r="CX2277" i="12"/>
  <c r="CY2276" i="12"/>
  <c r="CZ1149" i="12"/>
  <c r="CZ1322" i="12"/>
  <c r="CZ1270" i="12"/>
  <c r="CZ1116" i="12"/>
  <c r="CZ1220" i="12"/>
  <c r="CZ1098" i="12"/>
  <c r="CZ1168" i="12"/>
  <c r="CZ1201" i="12"/>
  <c r="CZ1305" i="12"/>
  <c r="CZ1391" i="12"/>
  <c r="CZ2198" i="12"/>
  <c r="CZ1339" i="12"/>
  <c r="CZ1356" i="12"/>
  <c r="CZ1132" i="12"/>
  <c r="CZ1287" i="12"/>
  <c r="CZ1237" i="12"/>
  <c r="CZ1184" i="12"/>
  <c r="CZ1253" i="12"/>
  <c r="CZ1081" i="12"/>
  <c r="DC2198" i="12" l="1"/>
  <c r="DA2198" i="12"/>
  <c r="DB2198" i="12"/>
  <c r="DF2197" i="12" s="1"/>
  <c r="DD2198" i="12"/>
  <c r="DE2198" i="12"/>
  <c r="P38" i="12"/>
  <c r="Q17" i="12"/>
  <c r="HT87" i="12"/>
  <c r="HO88" i="12"/>
  <c r="FR185" i="12"/>
  <c r="FU185" i="12" s="1"/>
  <c r="GR185" i="12" s="1"/>
  <c r="FU184" i="12"/>
  <c r="GR184" i="12" s="1"/>
  <c r="DE1354" i="12"/>
  <c r="DD1354" i="12"/>
  <c r="DB1354" i="12"/>
  <c r="DC1354" i="12"/>
  <c r="CX1373" i="12"/>
  <c r="CY1373" i="12" s="1"/>
  <c r="CX1433" i="12"/>
  <c r="CY1433" i="12" s="1"/>
  <c r="CX1428" i="12"/>
  <c r="CY1428" i="12" s="1"/>
  <c r="CX1425" i="12"/>
  <c r="CY1425" i="12" s="1"/>
  <c r="DC1425" i="12" s="1"/>
  <c r="DD1425" i="12" s="1"/>
  <c r="CX1429" i="12"/>
  <c r="CY1429" i="12" s="1"/>
  <c r="CX1440" i="12"/>
  <c r="CY1440" i="12" s="1"/>
  <c r="CX1438" i="12"/>
  <c r="CY1438" i="12" s="1"/>
  <c r="DB1237" i="12"/>
  <c r="DE1237" i="12"/>
  <c r="DC1237" i="12"/>
  <c r="DA1237" i="12"/>
  <c r="DD1237" i="12"/>
  <c r="DA1356" i="12"/>
  <c r="DC1356" i="12"/>
  <c r="DD1356" i="12"/>
  <c r="DE1356" i="12"/>
  <c r="DB1356" i="12"/>
  <c r="CX1380" i="12"/>
  <c r="CY1380" i="12" s="1"/>
  <c r="CX1383" i="12"/>
  <c r="CY1383" i="12" s="1"/>
  <c r="DD1390" i="12"/>
  <c r="DD1389" i="12"/>
  <c r="DC1390" i="12"/>
  <c r="DE1389" i="12"/>
  <c r="DB1390" i="12"/>
  <c r="DE1390" i="12"/>
  <c r="CX1372" i="12"/>
  <c r="CY1372" i="12" s="1"/>
  <c r="CX1385" i="12"/>
  <c r="CY1385" i="12" s="1"/>
  <c r="CX1386" i="12"/>
  <c r="CY1386" i="12" s="1"/>
  <c r="CX1378" i="12"/>
  <c r="CY1378" i="12" s="1"/>
  <c r="CX1384" i="12"/>
  <c r="CY1384" i="12" s="1"/>
  <c r="CX1382" i="12"/>
  <c r="CY1382" i="12" s="1"/>
  <c r="CX1381" i="12"/>
  <c r="CY1381" i="12" s="1"/>
  <c r="CX1377" i="12"/>
  <c r="CY1377" i="12" s="1"/>
  <c r="CX1371" i="12"/>
  <c r="CY1371" i="12" s="1"/>
  <c r="DC1371" i="12" s="1"/>
  <c r="DE1371" i="12" s="1"/>
  <c r="CX1387" i="12"/>
  <c r="CY1387" i="12" s="1"/>
  <c r="CX1374" i="12"/>
  <c r="CY1374" i="12" s="1"/>
  <c r="CX1379" i="12"/>
  <c r="CY1379" i="12" s="1"/>
  <c r="CX1375" i="12"/>
  <c r="CY1375" i="12" s="1"/>
  <c r="CX1430" i="12"/>
  <c r="CY1430" i="12" s="1"/>
  <c r="CX1435" i="12"/>
  <c r="CY1435" i="12" s="1"/>
  <c r="CX1439" i="12"/>
  <c r="CY1439" i="12" s="1"/>
  <c r="CX1434" i="12"/>
  <c r="CY1434" i="12" s="1"/>
  <c r="CX1431" i="12"/>
  <c r="CY1431" i="12" s="1"/>
  <c r="CX1437" i="12"/>
  <c r="CY1437" i="12" s="1"/>
  <c r="CX1426" i="12"/>
  <c r="CY1426" i="12" s="1"/>
  <c r="JH83" i="12"/>
  <c r="CX1441" i="12"/>
  <c r="CY1441" i="12" s="1"/>
  <c r="CX1432" i="12"/>
  <c r="CY1432" i="12" s="1"/>
  <c r="CX1427" i="12"/>
  <c r="CY1427" i="12" s="1"/>
  <c r="JK81" i="12"/>
  <c r="JL81" i="12" s="1"/>
  <c r="EA81" i="12" s="1"/>
  <c r="DC1391" i="12"/>
  <c r="DB1391" i="12"/>
  <c r="DA1391" i="12"/>
  <c r="DD1391" i="12"/>
  <c r="DE1391" i="12"/>
  <c r="DA1322" i="12"/>
  <c r="DB1322" i="12"/>
  <c r="DD1322" i="12"/>
  <c r="DE1322" i="12"/>
  <c r="DC1322" i="12"/>
  <c r="DA1305" i="12"/>
  <c r="DB1305" i="12"/>
  <c r="DD1305" i="12"/>
  <c r="DC1305" i="12"/>
  <c r="DE1305" i="12"/>
  <c r="DC1253" i="12"/>
  <c r="DB1253" i="12"/>
  <c r="DD1253" i="12"/>
  <c r="DE1253" i="12"/>
  <c r="DA1253" i="12"/>
  <c r="DE1149" i="12"/>
  <c r="DD1149" i="12"/>
  <c r="DA1149" i="12"/>
  <c r="DB1149" i="12"/>
  <c r="DC1149" i="12"/>
  <c r="DC1168" i="12"/>
  <c r="DD1168" i="12"/>
  <c r="DB1168" i="12"/>
  <c r="DA1168" i="12"/>
  <c r="DE1168" i="12"/>
  <c r="DB1081" i="12"/>
  <c r="DA1081" i="12"/>
  <c r="DE1081" i="12"/>
  <c r="DC1081" i="12"/>
  <c r="DD1081" i="12"/>
  <c r="DB1201" i="12"/>
  <c r="DC1201" i="12"/>
  <c r="DA1201" i="12"/>
  <c r="DD1201" i="12"/>
  <c r="DE1201" i="12"/>
  <c r="DC1339" i="12"/>
  <c r="DB1339" i="12"/>
  <c r="DD1339" i="12"/>
  <c r="DE1339" i="12"/>
  <c r="DA1339" i="12"/>
  <c r="DE1220" i="12"/>
  <c r="DC1220" i="12"/>
  <c r="DD1220" i="12"/>
  <c r="DA1220" i="12"/>
  <c r="DB1220" i="12"/>
  <c r="DB1270" i="12"/>
  <c r="DA1270" i="12"/>
  <c r="DC1270" i="12"/>
  <c r="DD1270" i="12"/>
  <c r="DE1270" i="12"/>
  <c r="DD1098" i="12"/>
  <c r="DB1098" i="12"/>
  <c r="DA1098" i="12"/>
  <c r="DE1098" i="12"/>
  <c r="DC1098" i="12"/>
  <c r="DB1132" i="12"/>
  <c r="DA1132" i="12"/>
  <c r="DD1132" i="12"/>
  <c r="DC1132" i="12"/>
  <c r="DE1132" i="12"/>
  <c r="DC1116" i="12"/>
  <c r="DD1116" i="12"/>
  <c r="DE1116" i="12"/>
  <c r="DB1116" i="12"/>
  <c r="DA1116" i="12"/>
  <c r="DD1184" i="12"/>
  <c r="DC1184" i="12"/>
  <c r="DB1184" i="12"/>
  <c r="DE1184" i="12"/>
  <c r="DA1184" i="12"/>
  <c r="DE1287" i="12"/>
  <c r="DA1287" i="12"/>
  <c r="DC1287" i="12"/>
  <c r="DD1287" i="12"/>
  <c r="DB1287" i="12"/>
  <c r="FU186" i="12"/>
  <c r="GR186" i="12" s="1"/>
  <c r="FS2" i="12"/>
  <c r="GD1" i="12"/>
  <c r="CX2278" i="12"/>
  <c r="CY2277" i="12"/>
  <c r="CZ1254" i="12"/>
  <c r="CZ1357" i="12"/>
  <c r="CZ1373" i="12"/>
  <c r="CZ1238" i="12"/>
  <c r="CZ1185" i="12"/>
  <c r="CZ1150" i="12"/>
  <c r="CZ1169" i="12"/>
  <c r="CZ1133" i="12"/>
  <c r="CZ1271" i="12"/>
  <c r="CZ1323" i="12"/>
  <c r="CZ1117" i="12"/>
  <c r="CZ1202" i="12"/>
  <c r="CZ2199" i="12"/>
  <c r="CZ1392" i="12"/>
  <c r="CZ1288" i="12"/>
  <c r="CZ1306" i="12"/>
  <c r="CZ1221" i="12"/>
  <c r="CZ1427" i="12"/>
  <c r="CZ1340" i="12"/>
  <c r="CZ1099" i="12"/>
  <c r="DA2199" i="12" l="1"/>
  <c r="DB2199" i="12"/>
  <c r="DF2198" i="12" s="1"/>
  <c r="DE2199" i="12"/>
  <c r="DD2199" i="12"/>
  <c r="DC2199" i="12"/>
  <c r="P39" i="12"/>
  <c r="Q18" i="12"/>
  <c r="DE1425" i="12"/>
  <c r="HT88" i="12"/>
  <c r="HO89" i="12"/>
  <c r="GL1" i="12"/>
  <c r="DB1425" i="12"/>
  <c r="DD1426" i="12" s="1"/>
  <c r="DE1373" i="12"/>
  <c r="DD1373" i="12"/>
  <c r="DC1373" i="12"/>
  <c r="DB1373" i="12"/>
  <c r="DA1373" i="12"/>
  <c r="DC1357" i="12"/>
  <c r="DE1357" i="12"/>
  <c r="DD1357" i="12"/>
  <c r="DA1357" i="12"/>
  <c r="DB1357" i="12"/>
  <c r="DE1392" i="12"/>
  <c r="DD1392" i="12"/>
  <c r="DA1392" i="12"/>
  <c r="DB1392" i="12"/>
  <c r="DC1392" i="12"/>
  <c r="DD1238" i="12"/>
  <c r="DB1238" i="12"/>
  <c r="DE1238" i="12"/>
  <c r="DC1238" i="12"/>
  <c r="DA1238" i="12"/>
  <c r="DB1371" i="12"/>
  <c r="DA1372" i="12" s="1"/>
  <c r="DD1371" i="12"/>
  <c r="DB1427" i="12"/>
  <c r="DD1427" i="12"/>
  <c r="DE1427" i="12"/>
  <c r="DC1427" i="12"/>
  <c r="DA1427" i="12"/>
  <c r="CX1423" i="12"/>
  <c r="CY1423" i="12" s="1"/>
  <c r="CX1407" i="12"/>
  <c r="CY1407" i="12" s="1"/>
  <c r="DC1407" i="12" s="1"/>
  <c r="DB1407" i="12" s="1"/>
  <c r="DB1408" i="12" s="1"/>
  <c r="CX1418" i="12"/>
  <c r="CY1418" i="12" s="1"/>
  <c r="CX1410" i="12"/>
  <c r="CY1410" i="12" s="1"/>
  <c r="CX1408" i="12"/>
  <c r="CY1408" i="12" s="1"/>
  <c r="CX1411" i="12"/>
  <c r="CY1411" i="12" s="1"/>
  <c r="CX1416" i="12"/>
  <c r="CY1416" i="12" s="1"/>
  <c r="CX1419" i="12"/>
  <c r="CY1419" i="12" s="1"/>
  <c r="CX1415" i="12"/>
  <c r="CY1415" i="12" s="1"/>
  <c r="CX1412" i="12"/>
  <c r="CY1412" i="12" s="1"/>
  <c r="CX1421" i="12"/>
  <c r="CY1421" i="12" s="1"/>
  <c r="CX1420" i="12"/>
  <c r="CY1420" i="12" s="1"/>
  <c r="CX1422" i="12"/>
  <c r="CY1422" i="12" s="1"/>
  <c r="CX1413" i="12"/>
  <c r="CY1413" i="12" s="1"/>
  <c r="CX1417" i="12"/>
  <c r="CY1417" i="12" s="1"/>
  <c r="CX1409" i="12"/>
  <c r="CY1409" i="12" s="1"/>
  <c r="CX1414" i="12"/>
  <c r="CY1414" i="12" s="1"/>
  <c r="JK83" i="12"/>
  <c r="JL83" i="12" s="1"/>
  <c r="EA83" i="12" s="1"/>
  <c r="JH84" i="12"/>
  <c r="DC1221" i="12"/>
  <c r="DE1221" i="12"/>
  <c r="DD1221" i="12"/>
  <c r="DB1221" i="12"/>
  <c r="DA1221" i="12"/>
  <c r="DB1202" i="12"/>
  <c r="DE1202" i="12"/>
  <c r="DD1202" i="12"/>
  <c r="DA1202" i="12"/>
  <c r="DC1202" i="12"/>
  <c r="DE1306" i="12"/>
  <c r="DC1306" i="12"/>
  <c r="DB1306" i="12"/>
  <c r="DA1306" i="12"/>
  <c r="DD1306" i="12"/>
  <c r="DD1288" i="12"/>
  <c r="DB1288" i="12"/>
  <c r="DE1288" i="12"/>
  <c r="DA1288" i="12"/>
  <c r="DC1288" i="12"/>
  <c r="DD1117" i="12"/>
  <c r="DE1117" i="12"/>
  <c r="DC1117" i="12"/>
  <c r="DB1117" i="12"/>
  <c r="DA1117" i="12"/>
  <c r="DE1099" i="12"/>
  <c r="DB1099" i="12"/>
  <c r="DD1099" i="12"/>
  <c r="DC1099" i="12"/>
  <c r="DA1099" i="12"/>
  <c r="DE1150" i="12"/>
  <c r="DA1150" i="12"/>
  <c r="DC1150" i="12"/>
  <c r="DB1150" i="12"/>
  <c r="DD1150" i="12"/>
  <c r="DE1340" i="12"/>
  <c r="DC1340" i="12"/>
  <c r="DB1340" i="12"/>
  <c r="DD1340" i="12"/>
  <c r="DA1340" i="12"/>
  <c r="DB1323" i="12"/>
  <c r="DD1323" i="12"/>
  <c r="DC1323" i="12"/>
  <c r="DE1323" i="12"/>
  <c r="DA1323" i="12"/>
  <c r="DC1185" i="12"/>
  <c r="DD1185" i="12"/>
  <c r="DE1185" i="12"/>
  <c r="DA1185" i="12"/>
  <c r="DB1185" i="12"/>
  <c r="DD1133" i="12"/>
  <c r="DE1133" i="12"/>
  <c r="DB1133" i="12"/>
  <c r="DC1133" i="12"/>
  <c r="DA1133" i="12"/>
  <c r="DC1271" i="12"/>
  <c r="DB1271" i="12"/>
  <c r="DE1271" i="12"/>
  <c r="DD1271" i="12"/>
  <c r="DA1271" i="12"/>
  <c r="DA1169" i="12"/>
  <c r="DC1169" i="12"/>
  <c r="DD1169" i="12"/>
  <c r="DB1169" i="12"/>
  <c r="DE1169" i="12"/>
  <c r="DE1254" i="12"/>
  <c r="DA1254" i="12"/>
  <c r="DB1254" i="12"/>
  <c r="DD1254" i="12"/>
  <c r="DC1254" i="12"/>
  <c r="FS3" i="12"/>
  <c r="FT30" i="12"/>
  <c r="FT49" i="12" s="1"/>
  <c r="CX2279" i="12"/>
  <c r="CY2278" i="12"/>
  <c r="CZ1307" i="12"/>
  <c r="CZ1341" i="12"/>
  <c r="CZ1134" i="12"/>
  <c r="CZ1222" i="12"/>
  <c r="CZ1186" i="12"/>
  <c r="CZ1324" i="12"/>
  <c r="CZ1409" i="12"/>
  <c r="CZ1203" i="12"/>
  <c r="CZ1255" i="12"/>
  <c r="CZ2200" i="12"/>
  <c r="CZ1239" i="12"/>
  <c r="CZ1289" i="12"/>
  <c r="CZ1374" i="12"/>
  <c r="CZ1358" i="12"/>
  <c r="CZ1151" i="12"/>
  <c r="CZ1272" i="12"/>
  <c r="CZ1428" i="12"/>
  <c r="CZ1393" i="12"/>
  <c r="CZ1170" i="12"/>
  <c r="DD2200" i="12" l="1"/>
  <c r="DE2200" i="12"/>
  <c r="DC2200" i="12"/>
  <c r="DB2200" i="12"/>
  <c r="DF2199" i="12" s="1"/>
  <c r="DA2200" i="12"/>
  <c r="P40" i="12"/>
  <c r="HT89" i="12"/>
  <c r="HO90" i="12"/>
  <c r="DA1426" i="12"/>
  <c r="DB1426" i="12"/>
  <c r="DC1426" i="12"/>
  <c r="DE1426" i="12"/>
  <c r="DE1374" i="12"/>
  <c r="DA1374" i="12"/>
  <c r="DC1374" i="12"/>
  <c r="DB1374" i="12"/>
  <c r="DD1374" i="12"/>
  <c r="DE1407" i="12"/>
  <c r="DB1358" i="12"/>
  <c r="DA1358" i="12"/>
  <c r="DD1358" i="12"/>
  <c r="DC1358" i="12"/>
  <c r="DE1358" i="12"/>
  <c r="DC1428" i="12"/>
  <c r="DD1428" i="12"/>
  <c r="DB1428" i="12"/>
  <c r="DE1428" i="12"/>
  <c r="DA1428" i="12"/>
  <c r="DC1393" i="12"/>
  <c r="DA1393" i="12"/>
  <c r="DD1393" i="12"/>
  <c r="DE1393" i="12"/>
  <c r="DB1393" i="12"/>
  <c r="DD1239" i="12"/>
  <c r="DC1239" i="12"/>
  <c r="DB1239" i="12"/>
  <c r="DA1239" i="12"/>
  <c r="DE1239" i="12"/>
  <c r="DB1372" i="12"/>
  <c r="DE1372" i="12"/>
  <c r="DC1372" i="12"/>
  <c r="DD1372" i="12"/>
  <c r="DA1408" i="12"/>
  <c r="DD1408" i="12"/>
  <c r="DE1408" i="12"/>
  <c r="DC1408" i="12"/>
  <c r="DD1407" i="12"/>
  <c r="DB1409" i="12"/>
  <c r="DD1409" i="12"/>
  <c r="DC1409" i="12"/>
  <c r="DA1409" i="12"/>
  <c r="DE1409" i="12"/>
  <c r="CX1455" i="12"/>
  <c r="CY1455" i="12" s="1"/>
  <c r="CX1447" i="12"/>
  <c r="CY1447" i="12" s="1"/>
  <c r="CX1444" i="12"/>
  <c r="CY1444" i="12" s="1"/>
  <c r="CX1443" i="12"/>
  <c r="CY1443" i="12" s="1"/>
  <c r="DC1443" i="12" s="1"/>
  <c r="DB1443" i="12" s="1"/>
  <c r="DE1444" i="12" s="1"/>
  <c r="CX1458" i="12"/>
  <c r="CY1458" i="12" s="1"/>
  <c r="CX1445" i="12"/>
  <c r="CY1445" i="12" s="1"/>
  <c r="CX1450" i="12"/>
  <c r="CY1450" i="12" s="1"/>
  <c r="CX1456" i="12"/>
  <c r="CY1456" i="12" s="1"/>
  <c r="CX1459" i="12"/>
  <c r="CY1459" i="12" s="1"/>
  <c r="CX1453" i="12"/>
  <c r="CY1453" i="12" s="1"/>
  <c r="CX1457" i="12"/>
  <c r="CY1457" i="12" s="1"/>
  <c r="CX1448" i="12"/>
  <c r="CY1448" i="12" s="1"/>
  <c r="CX1454" i="12"/>
  <c r="CY1454" i="12" s="1"/>
  <c r="CX1452" i="12"/>
  <c r="CY1452" i="12" s="1"/>
  <c r="CX1446" i="12"/>
  <c r="CY1446" i="12" s="1"/>
  <c r="CX1449" i="12"/>
  <c r="CY1449" i="12" s="1"/>
  <c r="CX1451" i="12"/>
  <c r="CY1451" i="12" s="1"/>
  <c r="JH85" i="12"/>
  <c r="JK84" i="12"/>
  <c r="JL84" i="12" s="1"/>
  <c r="EA84" i="12" s="1"/>
  <c r="DA1170" i="12"/>
  <c r="DB1170" i="12"/>
  <c r="DC1170" i="12"/>
  <c r="DD1170" i="12"/>
  <c r="DE1170" i="12"/>
  <c r="DB1134" i="12"/>
  <c r="DA1134" i="12"/>
  <c r="DC1134" i="12"/>
  <c r="DD1134" i="12"/>
  <c r="DE1134" i="12"/>
  <c r="DA1186" i="12"/>
  <c r="DE1186" i="12"/>
  <c r="DC1186" i="12"/>
  <c r="DD1186" i="12"/>
  <c r="DB1186" i="12"/>
  <c r="DB1324" i="12"/>
  <c r="DA1324" i="12"/>
  <c r="DD1324" i="12"/>
  <c r="DC1324" i="12"/>
  <c r="DE1324" i="12"/>
  <c r="DC1341" i="12"/>
  <c r="DA1341" i="12"/>
  <c r="DE1341" i="12"/>
  <c r="DB1341" i="12"/>
  <c r="DD1341" i="12"/>
  <c r="DC1151" i="12"/>
  <c r="DE1151" i="12"/>
  <c r="DD1151" i="12"/>
  <c r="DB1151" i="12"/>
  <c r="DA1151" i="12"/>
  <c r="DA1203" i="12"/>
  <c r="DD1203" i="12"/>
  <c r="DE1203" i="12"/>
  <c r="DC1203" i="12"/>
  <c r="DB1203" i="12"/>
  <c r="DA1255" i="12"/>
  <c r="DD1255" i="12"/>
  <c r="DB1255" i="12"/>
  <c r="DC1255" i="12"/>
  <c r="DE1255" i="12"/>
  <c r="DA1272" i="12"/>
  <c r="DE1272" i="12"/>
  <c r="DC1272" i="12"/>
  <c r="DB1272" i="12"/>
  <c r="DD1272" i="12"/>
  <c r="DA1289" i="12"/>
  <c r="DE1289" i="12"/>
  <c r="DD1289" i="12"/>
  <c r="DC1289" i="12"/>
  <c r="DB1289" i="12"/>
  <c r="DC1307" i="12"/>
  <c r="DD1307" i="12"/>
  <c r="DA1307" i="12"/>
  <c r="DB1307" i="12"/>
  <c r="DE1307" i="12"/>
  <c r="DD1222" i="12"/>
  <c r="DB1222" i="12"/>
  <c r="DC1222" i="12"/>
  <c r="DA1222" i="12"/>
  <c r="DE1222" i="12"/>
  <c r="FS4" i="12"/>
  <c r="FU3" i="12"/>
  <c r="FT51" i="12"/>
  <c r="CX2280" i="12"/>
  <c r="CY2279" i="12"/>
  <c r="CZ1325" i="12"/>
  <c r="CZ1359" i="12"/>
  <c r="CZ1256" i="12"/>
  <c r="CZ1308" i="12"/>
  <c r="CZ1152" i="12"/>
  <c r="CZ1223" i="12"/>
  <c r="CZ1135" i="12"/>
  <c r="CZ1204" i="12"/>
  <c r="CZ1240" i="12"/>
  <c r="CZ1187" i="12"/>
  <c r="CZ1290" i="12"/>
  <c r="CZ1273" i="12"/>
  <c r="CZ1394" i="12"/>
  <c r="CZ1171" i="12"/>
  <c r="CZ1375" i="12"/>
  <c r="CZ1410" i="12"/>
  <c r="CZ1342" i="12"/>
  <c r="CZ2201" i="12"/>
  <c r="CZ1429" i="12"/>
  <c r="CZ1445" i="12"/>
  <c r="DE2201" i="12" l="1"/>
  <c r="DB2201" i="12"/>
  <c r="DF2200" i="12" s="1"/>
  <c r="DC2201" i="12"/>
  <c r="DD2201" i="12"/>
  <c r="DA2201" i="12"/>
  <c r="P41" i="12"/>
  <c r="HT90" i="12"/>
  <c r="HO91" i="12"/>
  <c r="DD1375" i="12"/>
  <c r="DA1375" i="12"/>
  <c r="DC1375" i="12"/>
  <c r="DB1375" i="12"/>
  <c r="DE1375" i="12"/>
  <c r="DA1410" i="12"/>
  <c r="DC1410" i="12"/>
  <c r="DE1410" i="12"/>
  <c r="DB1410" i="12"/>
  <c r="DD1410" i="12"/>
  <c r="DD1429" i="12"/>
  <c r="DA1429" i="12"/>
  <c r="DE1429" i="12"/>
  <c r="DC1429" i="12"/>
  <c r="DB1429" i="12"/>
  <c r="DD1394" i="12"/>
  <c r="DE1394" i="12"/>
  <c r="DC1394" i="12"/>
  <c r="DA1394" i="12"/>
  <c r="DB1394" i="12"/>
  <c r="DE1240" i="12"/>
  <c r="DC1240" i="12"/>
  <c r="DA1240" i="12"/>
  <c r="DD1240" i="12"/>
  <c r="DB1240" i="12"/>
  <c r="DE1359" i="12"/>
  <c r="DD1359" i="12"/>
  <c r="DC1359" i="12"/>
  <c r="DB1359" i="12"/>
  <c r="DA1359" i="12"/>
  <c r="DA1444" i="12"/>
  <c r="DB1444" i="12"/>
  <c r="DE1443" i="12"/>
  <c r="DD1444" i="12"/>
  <c r="DC1444" i="12"/>
  <c r="DD1443" i="12"/>
  <c r="DD1445" i="12"/>
  <c r="DA1445" i="12"/>
  <c r="DB1445" i="12"/>
  <c r="DE1445" i="12"/>
  <c r="DC1445" i="12"/>
  <c r="CX1461" i="12"/>
  <c r="CY1461" i="12" s="1"/>
  <c r="CX1477" i="12"/>
  <c r="CY1477" i="12" s="1"/>
  <c r="CX1474" i="12"/>
  <c r="CY1474" i="12" s="1"/>
  <c r="CX1468" i="12"/>
  <c r="CY1468" i="12" s="1"/>
  <c r="CX1464" i="12"/>
  <c r="CY1464" i="12" s="1"/>
  <c r="CX1466" i="12"/>
  <c r="CY1466" i="12" s="1"/>
  <c r="CX1462" i="12"/>
  <c r="CY1462" i="12" s="1"/>
  <c r="CX1470" i="12"/>
  <c r="CY1470" i="12" s="1"/>
  <c r="CX1473" i="12"/>
  <c r="CY1473" i="12" s="1"/>
  <c r="CX1471" i="12"/>
  <c r="CY1471" i="12" s="1"/>
  <c r="CX1467" i="12"/>
  <c r="CY1467" i="12" s="1"/>
  <c r="CX1463" i="12"/>
  <c r="CY1463" i="12" s="1"/>
  <c r="CX1465" i="12"/>
  <c r="CY1465" i="12" s="1"/>
  <c r="CX1469" i="12"/>
  <c r="CY1469" i="12" s="1"/>
  <c r="CX1472" i="12"/>
  <c r="CY1472" i="12" s="1"/>
  <c r="CX1475" i="12"/>
  <c r="CY1475" i="12" s="1"/>
  <c r="CX1476" i="12"/>
  <c r="CY1476" i="12" s="1"/>
  <c r="JH86" i="12"/>
  <c r="JK85" i="12"/>
  <c r="JL85" i="12" s="1"/>
  <c r="EA85" i="12" s="1"/>
  <c r="DD1256" i="12"/>
  <c r="DB1256" i="12"/>
  <c r="DA1256" i="12"/>
  <c r="DE1256" i="12"/>
  <c r="DC1256" i="12"/>
  <c r="DA1204" i="12"/>
  <c r="DC1204" i="12"/>
  <c r="DE1204" i="12"/>
  <c r="DB1204" i="12"/>
  <c r="DD1204" i="12"/>
  <c r="DB1152" i="12"/>
  <c r="DD1152" i="12"/>
  <c r="DC1152" i="12"/>
  <c r="DA1152" i="12"/>
  <c r="DE1152" i="12"/>
  <c r="DC1325" i="12"/>
  <c r="DD1325" i="12"/>
  <c r="DA1325" i="12"/>
  <c r="DB1325" i="12"/>
  <c r="DE1325" i="12"/>
  <c r="DE1135" i="12"/>
  <c r="DD1135" i="12"/>
  <c r="DA1135" i="12"/>
  <c r="DC1135" i="12"/>
  <c r="DB1135" i="12"/>
  <c r="DA1308" i="12"/>
  <c r="DB1308" i="12"/>
  <c r="DD1308" i="12"/>
  <c r="DE1308" i="12"/>
  <c r="DC1308" i="12"/>
  <c r="DD1223" i="12"/>
  <c r="DC1223" i="12"/>
  <c r="DA1223" i="12"/>
  <c r="DB1223" i="12"/>
  <c r="DE1223" i="12"/>
  <c r="DB1290" i="12"/>
  <c r="DA1290" i="12"/>
  <c r="DD1290" i="12"/>
  <c r="DC1290" i="12"/>
  <c r="DE1290" i="12"/>
  <c r="DA1273" i="12"/>
  <c r="DE1273" i="12"/>
  <c r="DC1273" i="12"/>
  <c r="DD1273" i="12"/>
  <c r="DB1273" i="12"/>
  <c r="DD1342" i="12"/>
  <c r="DE1342" i="12"/>
  <c r="DB1342" i="12"/>
  <c r="DC1342" i="12"/>
  <c r="DA1342" i="12"/>
  <c r="DE1187" i="12"/>
  <c r="DA1187" i="12"/>
  <c r="DD1187" i="12"/>
  <c r="DB1187" i="12"/>
  <c r="DC1187" i="12"/>
  <c r="DB1171" i="12"/>
  <c r="DC1171" i="12"/>
  <c r="DA1171" i="12"/>
  <c r="DD1171" i="12"/>
  <c r="DE1171" i="12"/>
  <c r="FU4" i="12"/>
  <c r="FS5" i="12"/>
  <c r="FS9" i="12" s="1"/>
  <c r="GR3" i="12"/>
  <c r="FT52" i="12"/>
  <c r="CX2281" i="12"/>
  <c r="CY2280" i="12"/>
  <c r="CZ2202" i="12"/>
  <c r="CZ1224" i="12"/>
  <c r="CZ1309" i="12"/>
  <c r="CZ1274" i="12"/>
  <c r="CZ1411" i="12"/>
  <c r="CZ1188" i="12"/>
  <c r="CZ1463" i="12"/>
  <c r="CZ1241" i="12"/>
  <c r="CZ1205" i="12"/>
  <c r="CZ1360" i="12"/>
  <c r="CZ1153" i="12"/>
  <c r="CZ1430" i="12"/>
  <c r="CZ1257" i="12"/>
  <c r="CZ1291" i="12"/>
  <c r="CZ1343" i="12"/>
  <c r="CZ1326" i="12"/>
  <c r="CZ1395" i="12"/>
  <c r="CZ1446" i="12"/>
  <c r="CZ1376" i="12"/>
  <c r="DD2202" i="12" l="1"/>
  <c r="DA2202" i="12"/>
  <c r="DB2202" i="12"/>
  <c r="DF2201" i="12" s="1"/>
  <c r="DC2202" i="12"/>
  <c r="DE2202" i="12"/>
  <c r="P42" i="12"/>
  <c r="P43" i="12" s="1"/>
  <c r="P44" i="12" s="1"/>
  <c r="P45" i="12" s="1"/>
  <c r="HT91" i="12"/>
  <c r="HO92" i="12"/>
  <c r="FS6" i="12"/>
  <c r="DE1376" i="12"/>
  <c r="DA1376" i="12"/>
  <c r="DC1376" i="12"/>
  <c r="DB1376" i="12"/>
  <c r="DD1376" i="12"/>
  <c r="DD1241" i="12"/>
  <c r="DA1241" i="12"/>
  <c r="DE1241" i="12"/>
  <c r="DB1241" i="12"/>
  <c r="DC1241" i="12"/>
  <c r="DD1446" i="12"/>
  <c r="DE1446" i="12"/>
  <c r="DA1446" i="12"/>
  <c r="DC1446" i="12"/>
  <c r="DB1446" i="12"/>
  <c r="DC1411" i="12"/>
  <c r="DB1411" i="12"/>
  <c r="DE1411" i="12"/>
  <c r="DD1411" i="12"/>
  <c r="DA1411" i="12"/>
  <c r="DD1360" i="12"/>
  <c r="DA1360" i="12"/>
  <c r="DC1360" i="12"/>
  <c r="DB1360" i="12"/>
  <c r="DE1360" i="12"/>
  <c r="DE1395" i="12"/>
  <c r="DD1395" i="12"/>
  <c r="DB1395" i="12"/>
  <c r="DA1395" i="12"/>
  <c r="DC1395" i="12"/>
  <c r="DA1430" i="12"/>
  <c r="DE1430" i="12"/>
  <c r="DC1430" i="12"/>
  <c r="DD1430" i="12"/>
  <c r="DB1430" i="12"/>
  <c r="DE1463" i="12"/>
  <c r="DC1463" i="12"/>
  <c r="DA1463" i="12"/>
  <c r="DD1463" i="12"/>
  <c r="DB1463" i="12"/>
  <c r="CX1488" i="12"/>
  <c r="CY1488" i="12" s="1"/>
  <c r="CX1486" i="12"/>
  <c r="CY1486" i="12" s="1"/>
  <c r="CX1489" i="12"/>
  <c r="CY1489" i="12" s="1"/>
  <c r="CX1487" i="12"/>
  <c r="CY1487" i="12" s="1"/>
  <c r="CX1484" i="12"/>
  <c r="CY1484" i="12" s="1"/>
  <c r="CX1480" i="12"/>
  <c r="CY1480" i="12" s="1"/>
  <c r="CX1495" i="12"/>
  <c r="CY1495" i="12" s="1"/>
  <c r="CX1490" i="12"/>
  <c r="CY1490" i="12" s="1"/>
  <c r="CX1493" i="12"/>
  <c r="CY1493" i="12" s="1"/>
  <c r="CX1481" i="12"/>
  <c r="CY1481" i="12" s="1"/>
  <c r="CX1494" i="12"/>
  <c r="CY1494" i="12" s="1"/>
  <c r="CX1491" i="12"/>
  <c r="CY1491" i="12" s="1"/>
  <c r="CX1483" i="12"/>
  <c r="CY1483" i="12" s="1"/>
  <c r="CX1485" i="12"/>
  <c r="CY1485" i="12" s="1"/>
  <c r="CX1492" i="12"/>
  <c r="CY1492" i="12" s="1"/>
  <c r="CX1479" i="12"/>
  <c r="CY1479" i="12" s="1"/>
  <c r="DC1479" i="12" s="1"/>
  <c r="DE1479" i="12" s="1"/>
  <c r="CX1482" i="12"/>
  <c r="CY1482" i="12" s="1"/>
  <c r="DC1461" i="12"/>
  <c r="DB1461" i="12" s="1"/>
  <c r="JK86" i="12"/>
  <c r="JL86" i="12" s="1"/>
  <c r="EA86" i="12" s="1"/>
  <c r="JH87" i="12"/>
  <c r="DD1343" i="12"/>
  <c r="DB1343" i="12"/>
  <c r="DC1343" i="12"/>
  <c r="DE1343" i="12"/>
  <c r="DA1343" i="12"/>
  <c r="DC1224" i="12"/>
  <c r="DA1224" i="12"/>
  <c r="DB1224" i="12"/>
  <c r="DE1224" i="12"/>
  <c r="DD1224" i="12"/>
  <c r="DC1326" i="12"/>
  <c r="DD1326" i="12"/>
  <c r="DB1326" i="12"/>
  <c r="DA1326" i="12"/>
  <c r="DE1326" i="12"/>
  <c r="DD1205" i="12"/>
  <c r="DE1205" i="12"/>
  <c r="DA1205" i="12"/>
  <c r="DC1205" i="12"/>
  <c r="DB1205" i="12"/>
  <c r="DB1309" i="12"/>
  <c r="DA1309" i="12"/>
  <c r="DD1309" i="12"/>
  <c r="DE1309" i="12"/>
  <c r="DC1309" i="12"/>
  <c r="DD1188" i="12"/>
  <c r="DA1188" i="12"/>
  <c r="DE1188" i="12"/>
  <c r="DC1188" i="12"/>
  <c r="DB1188" i="12"/>
  <c r="DB1274" i="12"/>
  <c r="DA1274" i="12"/>
  <c r="DD1274" i="12"/>
  <c r="DE1274" i="12"/>
  <c r="DC1274" i="12"/>
  <c r="DB1291" i="12"/>
  <c r="DE1291" i="12"/>
  <c r="DD1291" i="12"/>
  <c r="DA1291" i="12"/>
  <c r="DC1291" i="12"/>
  <c r="DE1153" i="12"/>
  <c r="DC1153" i="12"/>
  <c r="DB1153" i="12"/>
  <c r="DD1153" i="12"/>
  <c r="DA1153" i="12"/>
  <c r="DB1257" i="12"/>
  <c r="DC1257" i="12"/>
  <c r="DE1257" i="12"/>
  <c r="DA1257" i="12"/>
  <c r="DD1257" i="12"/>
  <c r="GR4" i="12"/>
  <c r="FS10" i="12"/>
  <c r="FU5" i="12"/>
  <c r="FT53" i="12"/>
  <c r="CX2282" i="12"/>
  <c r="CY2281" i="12"/>
  <c r="CZ1431" i="12"/>
  <c r="CZ1412" i="12"/>
  <c r="CZ1189" i="12"/>
  <c r="CZ1258" i="12"/>
  <c r="CZ1206" i="12"/>
  <c r="CZ2203" i="12"/>
  <c r="CZ1242" i="12"/>
  <c r="CZ1275" i="12"/>
  <c r="CZ1377" i="12"/>
  <c r="CZ1447" i="12"/>
  <c r="CZ1292" i="12"/>
  <c r="CZ1310" i="12"/>
  <c r="CZ1327" i="12"/>
  <c r="CZ1344" i="12"/>
  <c r="CZ1225" i="12"/>
  <c r="CZ1464" i="12"/>
  <c r="CZ1481" i="12"/>
  <c r="CZ1361" i="12"/>
  <c r="CZ1396" i="12"/>
  <c r="DB2203" i="12" l="1"/>
  <c r="DF2202" i="12" s="1"/>
  <c r="DC2203" i="12"/>
  <c r="DE2203" i="12"/>
  <c r="DA2203" i="12"/>
  <c r="DD2203" i="12"/>
  <c r="P46" i="12"/>
  <c r="HT92" i="12"/>
  <c r="HO93" i="12"/>
  <c r="DB1377" i="12"/>
  <c r="DA1377" i="12"/>
  <c r="DC1377" i="12"/>
  <c r="DD1377" i="12"/>
  <c r="DE1377" i="12"/>
  <c r="DC1431" i="12"/>
  <c r="DA1431" i="12"/>
  <c r="DE1431" i="12"/>
  <c r="DB1431" i="12"/>
  <c r="DD1431" i="12"/>
  <c r="DD1464" i="12"/>
  <c r="DE1464" i="12"/>
  <c r="DA1464" i="12"/>
  <c r="DB1464" i="12"/>
  <c r="DC1464" i="12"/>
  <c r="DA1361" i="12"/>
  <c r="DB1361" i="12"/>
  <c r="DC1361" i="12"/>
  <c r="DD1361" i="12"/>
  <c r="DE1361" i="12"/>
  <c r="DC1412" i="12"/>
  <c r="DB1412" i="12"/>
  <c r="DD1412" i="12"/>
  <c r="DE1412" i="12"/>
  <c r="DA1412" i="12"/>
  <c r="DA1242" i="12"/>
  <c r="DB1242" i="12"/>
  <c r="DE1242" i="12"/>
  <c r="DD1242" i="12"/>
  <c r="DC1242" i="12"/>
  <c r="DE1396" i="12"/>
  <c r="DD1396" i="12"/>
  <c r="DA1396" i="12"/>
  <c r="DC1396" i="12"/>
  <c r="DB1396" i="12"/>
  <c r="DB1447" i="12"/>
  <c r="DA1447" i="12"/>
  <c r="DD1447" i="12"/>
  <c r="DE1447" i="12"/>
  <c r="DC1447" i="12"/>
  <c r="DD1479" i="12"/>
  <c r="DB1479" i="12"/>
  <c r="DB1480" i="12" s="1"/>
  <c r="DB1481" i="12"/>
  <c r="DA1481" i="12"/>
  <c r="DD1481" i="12"/>
  <c r="DC1481" i="12"/>
  <c r="DE1481" i="12"/>
  <c r="DD1462" i="12"/>
  <c r="DE1462" i="12"/>
  <c r="DA1462" i="12"/>
  <c r="DC1462" i="12"/>
  <c r="DB1462" i="12"/>
  <c r="CX1501" i="12"/>
  <c r="CY1501" i="12" s="1"/>
  <c r="CX1508" i="12"/>
  <c r="CY1508" i="12" s="1"/>
  <c r="CX1500" i="12"/>
  <c r="CY1500" i="12" s="1"/>
  <c r="CX1509" i="12"/>
  <c r="CY1509" i="12" s="1"/>
  <c r="CX1497" i="12"/>
  <c r="CY1497" i="12" s="1"/>
  <c r="CX1510" i="12"/>
  <c r="CY1510" i="12" s="1"/>
  <c r="CX1511" i="12"/>
  <c r="CY1511" i="12" s="1"/>
  <c r="CX1503" i="12"/>
  <c r="CY1503" i="12" s="1"/>
  <c r="CX1504" i="12"/>
  <c r="CY1504" i="12" s="1"/>
  <c r="CX1507" i="12"/>
  <c r="CY1507" i="12" s="1"/>
  <c r="CX1506" i="12"/>
  <c r="CY1506" i="12" s="1"/>
  <c r="CX1499" i="12"/>
  <c r="CY1499" i="12" s="1"/>
  <c r="CX1505" i="12"/>
  <c r="CY1505" i="12" s="1"/>
  <c r="CX1512" i="12"/>
  <c r="CY1512" i="12" s="1"/>
  <c r="CX1498" i="12"/>
  <c r="CY1498" i="12" s="1"/>
  <c r="CX1502" i="12"/>
  <c r="CY1502" i="12" s="1"/>
  <c r="CX1513" i="12"/>
  <c r="CY1513" i="12" s="1"/>
  <c r="JH88" i="12"/>
  <c r="JK87" i="12"/>
  <c r="JL87" i="12" s="1"/>
  <c r="EA87" i="12" s="1"/>
  <c r="DD1461" i="12"/>
  <c r="DE1461" i="12"/>
  <c r="DA1258" i="12"/>
  <c r="DD1258" i="12"/>
  <c r="DB1258" i="12"/>
  <c r="DC1258" i="12"/>
  <c r="DE1258" i="12"/>
  <c r="DD1292" i="12"/>
  <c r="DE1292" i="12"/>
  <c r="DB1292" i="12"/>
  <c r="DA1292" i="12"/>
  <c r="DC1292" i="12"/>
  <c r="DE1275" i="12"/>
  <c r="DA1275" i="12"/>
  <c r="DD1275" i="12"/>
  <c r="DB1275" i="12"/>
  <c r="DC1275" i="12"/>
  <c r="DB1189" i="12"/>
  <c r="DE1189" i="12"/>
  <c r="DA1189" i="12"/>
  <c r="DD1189" i="12"/>
  <c r="DC1189" i="12"/>
  <c r="DB1206" i="12"/>
  <c r="DD1206" i="12"/>
  <c r="DA1206" i="12"/>
  <c r="DE1206" i="12"/>
  <c r="DC1206" i="12"/>
  <c r="DA1344" i="12"/>
  <c r="DB1344" i="12"/>
  <c r="DE1344" i="12"/>
  <c r="DC1344" i="12"/>
  <c r="DD1344" i="12"/>
  <c r="DB1225" i="12"/>
  <c r="DE1225" i="12"/>
  <c r="DA1225" i="12"/>
  <c r="DC1225" i="12"/>
  <c r="DD1225" i="12"/>
  <c r="DE1310" i="12"/>
  <c r="DD1310" i="12"/>
  <c r="DC1310" i="12"/>
  <c r="DA1310" i="12"/>
  <c r="DB1310" i="12"/>
  <c r="DC1327" i="12"/>
  <c r="DE1327" i="12"/>
  <c r="DD1327" i="12"/>
  <c r="DA1327" i="12"/>
  <c r="DB1327" i="12"/>
  <c r="GR5" i="12"/>
  <c r="FS11" i="12"/>
  <c r="FT54" i="12"/>
  <c r="CX2283" i="12"/>
  <c r="CY2282" i="12"/>
  <c r="CZ1243" i="12"/>
  <c r="CZ1276" i="12"/>
  <c r="CZ1482" i="12"/>
  <c r="CZ1293" i="12"/>
  <c r="CZ1207" i="12"/>
  <c r="CZ2204" i="12"/>
  <c r="CZ1432" i="12"/>
  <c r="CZ1378" i="12"/>
  <c r="CZ1397" i="12"/>
  <c r="CZ1362" i="12"/>
  <c r="CZ1413" i="12"/>
  <c r="CZ1259" i="12"/>
  <c r="CZ1448" i="12"/>
  <c r="CZ1311" i="12"/>
  <c r="CZ1328" i="12"/>
  <c r="CZ1465" i="12"/>
  <c r="CZ1345" i="12"/>
  <c r="CZ1499" i="12"/>
  <c r="DE2204" i="12" l="1"/>
  <c r="DD2204" i="12"/>
  <c r="DB2204" i="12"/>
  <c r="DF2203" i="12" s="1"/>
  <c r="DC2204" i="12"/>
  <c r="DA2204" i="12"/>
  <c r="P47" i="12"/>
  <c r="P48" i="12" s="1"/>
  <c r="Q118" i="12" s="1"/>
  <c r="DE1480" i="12"/>
  <c r="HT93" i="12"/>
  <c r="HO94" i="12"/>
  <c r="DC1480" i="12"/>
  <c r="DA1480" i="12"/>
  <c r="DD1480" i="12"/>
  <c r="DE1378" i="12"/>
  <c r="DD1378" i="12"/>
  <c r="DB1378" i="12"/>
  <c r="DA1378" i="12"/>
  <c r="DC1378" i="12"/>
  <c r="DB1397" i="12"/>
  <c r="DE1397" i="12"/>
  <c r="DD1397" i="12"/>
  <c r="DC1397" i="12"/>
  <c r="DA1397" i="12"/>
  <c r="DC1482" i="12"/>
  <c r="DD1482" i="12"/>
  <c r="DA1482" i="12"/>
  <c r="DE1482" i="12"/>
  <c r="DB1482" i="12"/>
  <c r="DE1448" i="12"/>
  <c r="DD1448" i="12"/>
  <c r="DA1448" i="12"/>
  <c r="DC1448" i="12"/>
  <c r="DB1448" i="12"/>
  <c r="DC1432" i="12"/>
  <c r="DA1432" i="12"/>
  <c r="DB1432" i="12"/>
  <c r="DE1432" i="12"/>
  <c r="DD1432" i="12"/>
  <c r="DE1243" i="12"/>
  <c r="DC1243" i="12"/>
  <c r="DA1243" i="12"/>
  <c r="DB1243" i="12"/>
  <c r="DD1243" i="12"/>
  <c r="DE1465" i="12"/>
  <c r="DC1465" i="12"/>
  <c r="DB1465" i="12"/>
  <c r="DD1465" i="12"/>
  <c r="DA1465" i="12"/>
  <c r="DA1413" i="12"/>
  <c r="DB1413" i="12"/>
  <c r="DC1413" i="12"/>
  <c r="DD1413" i="12"/>
  <c r="DE1413" i="12"/>
  <c r="DB1362" i="12"/>
  <c r="DE1362" i="12"/>
  <c r="DD1362" i="12"/>
  <c r="DC1362" i="12"/>
  <c r="DA1362" i="12"/>
  <c r="DD1499" i="12"/>
  <c r="DC1499" i="12"/>
  <c r="DA1499" i="12"/>
  <c r="DB1499" i="12"/>
  <c r="DE1499" i="12"/>
  <c r="CX1526" i="12"/>
  <c r="CY1526" i="12" s="1"/>
  <c r="CX1515" i="12"/>
  <c r="CY1515" i="12" s="1"/>
  <c r="CX1520" i="12"/>
  <c r="CY1520" i="12" s="1"/>
  <c r="CX1531" i="12"/>
  <c r="CY1531" i="12" s="1"/>
  <c r="CX1516" i="12"/>
  <c r="CY1516" i="12" s="1"/>
  <c r="CX1530" i="12"/>
  <c r="CY1530" i="12" s="1"/>
  <c r="CX1527" i="12"/>
  <c r="CY1527" i="12" s="1"/>
  <c r="CX1519" i="12"/>
  <c r="CY1519" i="12" s="1"/>
  <c r="CX1523" i="12"/>
  <c r="CY1523" i="12" s="1"/>
  <c r="CX1518" i="12"/>
  <c r="CY1518" i="12" s="1"/>
  <c r="CX1524" i="12"/>
  <c r="CY1524" i="12" s="1"/>
  <c r="CX1529" i="12"/>
  <c r="CY1529" i="12" s="1"/>
  <c r="CX1517" i="12"/>
  <c r="CY1517" i="12" s="1"/>
  <c r="CX1522" i="12"/>
  <c r="CY1522" i="12" s="1"/>
  <c r="CX1525" i="12"/>
  <c r="CY1525" i="12" s="1"/>
  <c r="CX1521" i="12"/>
  <c r="CY1521" i="12" s="1"/>
  <c r="CX1528" i="12"/>
  <c r="CY1528" i="12" s="1"/>
  <c r="JH89" i="12"/>
  <c r="JK88" i="12"/>
  <c r="JL88" i="12" s="1"/>
  <c r="EA88" i="12" s="1"/>
  <c r="DC1497" i="12"/>
  <c r="DD1345" i="12"/>
  <c r="DB1345" i="12"/>
  <c r="DE1345" i="12"/>
  <c r="DA1345" i="12"/>
  <c r="DC1345" i="12"/>
  <c r="DC1293" i="12"/>
  <c r="DD1293" i="12"/>
  <c r="DE1293" i="12"/>
  <c r="DA1293" i="12"/>
  <c r="DB1293" i="12"/>
  <c r="DC1328" i="12"/>
  <c r="DA1328" i="12"/>
  <c r="DD1328" i="12"/>
  <c r="DE1328" i="12"/>
  <c r="DB1328" i="12"/>
  <c r="DD1311" i="12"/>
  <c r="DE1311" i="12"/>
  <c r="DC1311" i="12"/>
  <c r="DA1311" i="12"/>
  <c r="DB1311" i="12"/>
  <c r="DE1207" i="12"/>
  <c r="DB1207" i="12"/>
  <c r="DC1207" i="12"/>
  <c r="DA1207" i="12"/>
  <c r="DD1207" i="12"/>
  <c r="DA1276" i="12"/>
  <c r="DE1276" i="12"/>
  <c r="DC1276" i="12"/>
  <c r="DB1276" i="12"/>
  <c r="DD1276" i="12"/>
  <c r="DD1259" i="12"/>
  <c r="DE1259" i="12"/>
  <c r="DC1259" i="12"/>
  <c r="DA1259" i="12"/>
  <c r="DB1259" i="12"/>
  <c r="FU11" i="12"/>
  <c r="GR11" i="12" s="1"/>
  <c r="FS12" i="12"/>
  <c r="FT55" i="12"/>
  <c r="CY2283" i="12"/>
  <c r="CX2284" i="12"/>
  <c r="CZ1500" i="12"/>
  <c r="CZ1312" i="12"/>
  <c r="CZ1449" i="12"/>
  <c r="CZ1379" i="12"/>
  <c r="CZ2205" i="12"/>
  <c r="CZ1294" i="12"/>
  <c r="CZ1363" i="12"/>
  <c r="CZ1414" i="12"/>
  <c r="CZ1329" i="12"/>
  <c r="CZ1277" i="12"/>
  <c r="CZ1260" i="12"/>
  <c r="CZ1483" i="12"/>
  <c r="CZ1346" i="12"/>
  <c r="CZ1398" i="12"/>
  <c r="CZ1433" i="12"/>
  <c r="CZ1466" i="12"/>
  <c r="CZ1517" i="12"/>
  <c r="DB2205" i="12" l="1"/>
  <c r="DF2204" i="12" s="1"/>
  <c r="DE2205" i="12"/>
  <c r="DA2205" i="12"/>
  <c r="DD2205" i="12"/>
  <c r="DC2205" i="12"/>
  <c r="Q32" i="12"/>
  <c r="Q50" i="12"/>
  <c r="Q53" i="12"/>
  <c r="Q41" i="12"/>
  <c r="Q42" i="12"/>
  <c r="Q77" i="12"/>
  <c r="Q19" i="12"/>
  <c r="Q56" i="12"/>
  <c r="Q122" i="12"/>
  <c r="Q94" i="12"/>
  <c r="Q102" i="12"/>
  <c r="Q114" i="12"/>
  <c r="Q112" i="12"/>
  <c r="Q106" i="12"/>
  <c r="Q95" i="12"/>
  <c r="Q138" i="12"/>
  <c r="Q139" i="12"/>
  <c r="Q89" i="12"/>
  <c r="Q111" i="12"/>
  <c r="Q150" i="12"/>
  <c r="Q25" i="12"/>
  <c r="Q144" i="12"/>
  <c r="Q20" i="12"/>
  <c r="Q27" i="12"/>
  <c r="Q98" i="12"/>
  <c r="Q22" i="12"/>
  <c r="Q23" i="12"/>
  <c r="Q83" i="12"/>
  <c r="Q92" i="12"/>
  <c r="Q84" i="12"/>
  <c r="Q149" i="12"/>
  <c r="Q70" i="12"/>
  <c r="Q80" i="12"/>
  <c r="Q30" i="12"/>
  <c r="Q132" i="12"/>
  <c r="Q58" i="12"/>
  <c r="Q81" i="12"/>
  <c r="Q75" i="12"/>
  <c r="Q121" i="12"/>
  <c r="Q129" i="12"/>
  <c r="Q148" i="12"/>
  <c r="Q115" i="12"/>
  <c r="Q79" i="12"/>
  <c r="Q85" i="12"/>
  <c r="Q65" i="12"/>
  <c r="Q26" i="12"/>
  <c r="Q52" i="12"/>
  <c r="Q24" i="12"/>
  <c r="Q21" i="12"/>
  <c r="Q63" i="12"/>
  <c r="Q140" i="12"/>
  <c r="Q117" i="12"/>
  <c r="Q51" i="12"/>
  <c r="Q113" i="12"/>
  <c r="Q62" i="12"/>
  <c r="Q78" i="12"/>
  <c r="Q71" i="12"/>
  <c r="Q33" i="12"/>
  <c r="Q128" i="12"/>
  <c r="Q61" i="12"/>
  <c r="Q133" i="12"/>
  <c r="Q130" i="12"/>
  <c r="Q110" i="12"/>
  <c r="Q31" i="12"/>
  <c r="Q76" i="12"/>
  <c r="Q109" i="12"/>
  <c r="Q44" i="12"/>
  <c r="Q59" i="12"/>
  <c r="Q145" i="12"/>
  <c r="Q119" i="12"/>
  <c r="Q60" i="12"/>
  <c r="Q108" i="12"/>
  <c r="Q74" i="12"/>
  <c r="Q131" i="12"/>
  <c r="Q99" i="12"/>
  <c r="Q143" i="12"/>
  <c r="Q97" i="12"/>
  <c r="Q103" i="12"/>
  <c r="Q68" i="12"/>
  <c r="Q36" i="12"/>
  <c r="Q38" i="12"/>
  <c r="Q88" i="12"/>
  <c r="Q57" i="12"/>
  <c r="Q82" i="12"/>
  <c r="Q37" i="12"/>
  <c r="Q137" i="12"/>
  <c r="Q105" i="12"/>
  <c r="Q126" i="12"/>
  <c r="Q136" i="12"/>
  <c r="Q127" i="12"/>
  <c r="Q46" i="12"/>
  <c r="Q35" i="12"/>
  <c r="Q55" i="12"/>
  <c r="Q107" i="12"/>
  <c r="Q90" i="12"/>
  <c r="Q116" i="12"/>
  <c r="Q29" i="12"/>
  <c r="Q54" i="12"/>
  <c r="Q28" i="12"/>
  <c r="Q124" i="12"/>
  <c r="Q40" i="12"/>
  <c r="Q72" i="12"/>
  <c r="Q101" i="12"/>
  <c r="Q87" i="12"/>
  <c r="Q86" i="12"/>
  <c r="Q73" i="12"/>
  <c r="Q67" i="12"/>
  <c r="Q34" i="12"/>
  <c r="Q43" i="12"/>
  <c r="Q64" i="12"/>
  <c r="Q125" i="12"/>
  <c r="Q69" i="12"/>
  <c r="Q135" i="12"/>
  <c r="Q146" i="12"/>
  <c r="Q120" i="12"/>
  <c r="Q39" i="12"/>
  <c r="Q96" i="12"/>
  <c r="Q100" i="12"/>
  <c r="Q93" i="12"/>
  <c r="Q147" i="12"/>
  <c r="Q49" i="12"/>
  <c r="Q91" i="12"/>
  <c r="Q142" i="12"/>
  <c r="Q123" i="12"/>
  <c r="Q104" i="12"/>
  <c r="Q48" i="12"/>
  <c r="Q45" i="12"/>
  <c r="R2" i="12"/>
  <c r="Q141" i="12"/>
  <c r="Q66" i="12"/>
  <c r="Q134" i="12"/>
  <c r="Q47" i="12"/>
  <c r="HT94" i="12"/>
  <c r="HO95" i="12"/>
  <c r="DE1379" i="12"/>
  <c r="DA1379" i="12"/>
  <c r="DD1379" i="12"/>
  <c r="DB1379" i="12"/>
  <c r="DC1379" i="12"/>
  <c r="DE1500" i="12"/>
  <c r="DC1500" i="12"/>
  <c r="DB1500" i="12"/>
  <c r="DD1500" i="12"/>
  <c r="DA1500" i="12"/>
  <c r="DB1449" i="12"/>
  <c r="DC1449" i="12"/>
  <c r="DD1449" i="12"/>
  <c r="DA1449" i="12"/>
  <c r="DE1449" i="12"/>
  <c r="DB1363" i="12"/>
  <c r="DE1363" i="12"/>
  <c r="DC1363" i="12"/>
  <c r="DD1363" i="12"/>
  <c r="DA1363" i="12"/>
  <c r="DC1414" i="12"/>
  <c r="DD1414" i="12"/>
  <c r="DA1414" i="12"/>
  <c r="DB1414" i="12"/>
  <c r="DE1414" i="12"/>
  <c r="DB1398" i="12"/>
  <c r="DA1398" i="12"/>
  <c r="DE1398" i="12"/>
  <c r="DD1398" i="12"/>
  <c r="DC1398" i="12"/>
  <c r="DC1483" i="12"/>
  <c r="DD1483" i="12"/>
  <c r="DE1483" i="12"/>
  <c r="DB1483" i="12"/>
  <c r="DA1483" i="12"/>
  <c r="DA1466" i="12"/>
  <c r="DB1466" i="12"/>
  <c r="DE1466" i="12"/>
  <c r="DC1466" i="12"/>
  <c r="DD1466" i="12"/>
  <c r="DD1433" i="12"/>
  <c r="DE1433" i="12"/>
  <c r="DC1433" i="12"/>
  <c r="DA1433" i="12"/>
  <c r="DB1433" i="12"/>
  <c r="DE1517" i="12"/>
  <c r="DC1517" i="12"/>
  <c r="DD1517" i="12"/>
  <c r="DA1517" i="12"/>
  <c r="DB1517" i="12"/>
  <c r="DD1497" i="12"/>
  <c r="DE1497" i="12"/>
  <c r="CX1543" i="12"/>
  <c r="CY1543" i="12" s="1"/>
  <c r="CX1536" i="12"/>
  <c r="CY1536" i="12" s="1"/>
  <c r="CX1535" i="12"/>
  <c r="CY1535" i="12" s="1"/>
  <c r="CX1540" i="12"/>
  <c r="CY1540" i="12" s="1"/>
  <c r="CX1549" i="12"/>
  <c r="CY1549" i="12" s="1"/>
  <c r="CX1537" i="12"/>
  <c r="CY1537" i="12" s="1"/>
  <c r="CX1541" i="12"/>
  <c r="CY1541" i="12" s="1"/>
  <c r="CX1544" i="12"/>
  <c r="CY1544" i="12" s="1"/>
  <c r="CX1546" i="12"/>
  <c r="CY1546" i="12" s="1"/>
  <c r="CX1539" i="12"/>
  <c r="CY1539" i="12" s="1"/>
  <c r="CX1534" i="12"/>
  <c r="CY1534" i="12" s="1"/>
  <c r="CX1547" i="12"/>
  <c r="CY1547" i="12" s="1"/>
  <c r="CX1542" i="12"/>
  <c r="CY1542" i="12" s="1"/>
  <c r="CX1548" i="12"/>
  <c r="CY1548" i="12" s="1"/>
  <c r="CX1545" i="12"/>
  <c r="CY1545" i="12" s="1"/>
  <c r="CX1538" i="12"/>
  <c r="CY1538" i="12" s="1"/>
  <c r="CX1533" i="12"/>
  <c r="CY1533" i="12" s="1"/>
  <c r="JK89" i="12"/>
  <c r="JL89" i="12" s="1"/>
  <c r="EA89" i="12" s="1"/>
  <c r="JH90" i="12"/>
  <c r="DC1515" i="12"/>
  <c r="DB1515" i="12" s="1"/>
  <c r="DB1497" i="12"/>
  <c r="DB1329" i="12"/>
  <c r="DE1329" i="12"/>
  <c r="DA1329" i="12"/>
  <c r="DD1329" i="12"/>
  <c r="DC1329" i="12"/>
  <c r="DD1346" i="12"/>
  <c r="DB1346" i="12"/>
  <c r="DE1346" i="12"/>
  <c r="DA1346" i="12"/>
  <c r="DC1346" i="12"/>
  <c r="DE1260" i="12"/>
  <c r="DA1260" i="12"/>
  <c r="DC1260" i="12"/>
  <c r="DB1260" i="12"/>
  <c r="DD1260" i="12"/>
  <c r="DD1312" i="12"/>
  <c r="DA1312" i="12"/>
  <c r="DE1312" i="12"/>
  <c r="DC1312" i="12"/>
  <c r="DB1312" i="12"/>
  <c r="DB1294" i="12"/>
  <c r="DE1294" i="12"/>
  <c r="DA1294" i="12"/>
  <c r="DD1294" i="12"/>
  <c r="DC1294" i="12"/>
  <c r="DC1277" i="12"/>
  <c r="DD1277" i="12"/>
  <c r="DE1277" i="12"/>
  <c r="DA1277" i="12"/>
  <c r="DB1277" i="12"/>
  <c r="FU12" i="12"/>
  <c r="GR12" i="12" s="1"/>
  <c r="FS13" i="12"/>
  <c r="FS14" i="12" s="1"/>
  <c r="FT56" i="12"/>
  <c r="CX2285" i="12"/>
  <c r="CY2284" i="12"/>
  <c r="CZ2206" i="12"/>
  <c r="CZ1518" i="12"/>
  <c r="CZ1467" i="12"/>
  <c r="CZ1295" i="12"/>
  <c r="CZ1330" i="12"/>
  <c r="CZ1347" i="12"/>
  <c r="CZ1313" i="12"/>
  <c r="CZ1535" i="12"/>
  <c r="CZ1278" i="12"/>
  <c r="CZ1364" i="12"/>
  <c r="CZ1399" i="12"/>
  <c r="CZ1434" i="12"/>
  <c r="CZ1380" i="12"/>
  <c r="CZ1415" i="12"/>
  <c r="CZ1484" i="12"/>
  <c r="CZ1450" i="12"/>
  <c r="CZ1261" i="12"/>
  <c r="CZ1501" i="12"/>
  <c r="DA2206" i="12" l="1"/>
  <c r="DE2206" i="12"/>
  <c r="DC2206" i="12"/>
  <c r="DB2206" i="12"/>
  <c r="DF2205" i="12" s="1"/>
  <c r="DD2206" i="12"/>
  <c r="HT95" i="12"/>
  <c r="HO96" i="12"/>
  <c r="DA1380" i="12"/>
  <c r="DE1380" i="12"/>
  <c r="DC1380" i="12"/>
  <c r="DB1380" i="12"/>
  <c r="DD1380" i="12"/>
  <c r="DC1434" i="12"/>
  <c r="DE1434" i="12"/>
  <c r="DB1434" i="12"/>
  <c r="DD1434" i="12"/>
  <c r="DA1434" i="12"/>
  <c r="DB1518" i="12"/>
  <c r="DE1518" i="12"/>
  <c r="DA1518" i="12"/>
  <c r="DD1518" i="12"/>
  <c r="DC1518" i="12"/>
  <c r="DC1484" i="12"/>
  <c r="DE1484" i="12"/>
  <c r="DA1484" i="12"/>
  <c r="DB1484" i="12"/>
  <c r="DD1484" i="12"/>
  <c r="DD1399" i="12"/>
  <c r="DA1399" i="12"/>
  <c r="DC1399" i="12"/>
  <c r="DB1399" i="12"/>
  <c r="DE1399" i="12"/>
  <c r="DD1450" i="12"/>
  <c r="DB1450" i="12"/>
  <c r="DA1450" i="12"/>
  <c r="DC1450" i="12"/>
  <c r="DE1450" i="12"/>
  <c r="DC1501" i="12"/>
  <c r="DA1501" i="12"/>
  <c r="DB1501" i="12"/>
  <c r="DE1501" i="12"/>
  <c r="DD1501" i="12"/>
  <c r="DC1364" i="12"/>
  <c r="DD1364" i="12"/>
  <c r="DB1364" i="12"/>
  <c r="DA1364" i="12"/>
  <c r="DE1364" i="12"/>
  <c r="DD1467" i="12"/>
  <c r="DA1467" i="12"/>
  <c r="DE1467" i="12"/>
  <c r="DC1467" i="12"/>
  <c r="DB1467" i="12"/>
  <c r="DA1415" i="12"/>
  <c r="DC1415" i="12"/>
  <c r="DD1415" i="12"/>
  <c r="DE1415" i="12"/>
  <c r="DB1415" i="12"/>
  <c r="DC1535" i="12"/>
  <c r="DB1535" i="12"/>
  <c r="DE1535" i="12"/>
  <c r="DD1535" i="12"/>
  <c r="DA1535" i="12"/>
  <c r="DD1516" i="12"/>
  <c r="DC1516" i="12"/>
  <c r="DB1516" i="12"/>
  <c r="DA1516" i="12"/>
  <c r="DE1516" i="12"/>
  <c r="CX1551" i="12"/>
  <c r="CY1551" i="12" s="1"/>
  <c r="DC1551" i="12" s="1"/>
  <c r="DD1551" i="12" s="1"/>
  <c r="CX1552" i="12"/>
  <c r="CY1552" i="12" s="1"/>
  <c r="CX1565" i="12"/>
  <c r="CY1565" i="12" s="1"/>
  <c r="CX1560" i="12"/>
  <c r="CY1560" i="12" s="1"/>
  <c r="CX1559" i="12"/>
  <c r="CY1559" i="12" s="1"/>
  <c r="CX1567" i="12"/>
  <c r="CY1567" i="12" s="1"/>
  <c r="CX1563" i="12"/>
  <c r="CY1563" i="12" s="1"/>
  <c r="CX1561" i="12"/>
  <c r="CY1561" i="12" s="1"/>
  <c r="CX1564" i="12"/>
  <c r="CY1564" i="12" s="1"/>
  <c r="CX1557" i="12"/>
  <c r="CY1557" i="12" s="1"/>
  <c r="CX1558" i="12"/>
  <c r="CY1558" i="12" s="1"/>
  <c r="CX1566" i="12"/>
  <c r="CY1566" i="12" s="1"/>
  <c r="CX1554" i="12"/>
  <c r="CY1554" i="12" s="1"/>
  <c r="CX1562" i="12"/>
  <c r="CY1562" i="12" s="1"/>
  <c r="CX1556" i="12"/>
  <c r="CY1556" i="12" s="1"/>
  <c r="CX1553" i="12"/>
  <c r="CY1553" i="12" s="1"/>
  <c r="CX1555" i="12"/>
  <c r="CY1555" i="12" s="1"/>
  <c r="DC1533" i="12"/>
  <c r="DB1533" i="12" s="1"/>
  <c r="DB1498" i="12"/>
  <c r="DC1498" i="12"/>
  <c r="DE1498" i="12"/>
  <c r="DD1498" i="12"/>
  <c r="DA1498" i="12"/>
  <c r="JH91" i="12"/>
  <c r="JK91" i="12" s="1"/>
  <c r="JL91" i="12" s="1"/>
  <c r="EA91" i="12" s="1"/>
  <c r="JK90" i="12"/>
  <c r="JL90" i="12" s="1"/>
  <c r="EA90" i="12" s="1"/>
  <c r="DE1515" i="12"/>
  <c r="DD1515" i="12"/>
  <c r="DB1261" i="12"/>
  <c r="DA1261" i="12"/>
  <c r="DD1261" i="12"/>
  <c r="DC1261" i="12"/>
  <c r="DE1261" i="12"/>
  <c r="DB1330" i="12"/>
  <c r="DE1330" i="12"/>
  <c r="DA1330" i="12"/>
  <c r="DC1330" i="12"/>
  <c r="DD1330" i="12"/>
  <c r="DC1278" i="12"/>
  <c r="DE1278" i="12"/>
  <c r="DB1278" i="12"/>
  <c r="DA1278" i="12"/>
  <c r="DD1278" i="12"/>
  <c r="DD1295" i="12"/>
  <c r="DB1295" i="12"/>
  <c r="DA1295" i="12"/>
  <c r="DE1295" i="12"/>
  <c r="DC1295" i="12"/>
  <c r="DA1313" i="12"/>
  <c r="DB1313" i="12"/>
  <c r="DD1313" i="12"/>
  <c r="DC1313" i="12"/>
  <c r="DE1313" i="12"/>
  <c r="DA1347" i="12"/>
  <c r="DB1347" i="12"/>
  <c r="DE1347" i="12"/>
  <c r="DD1347" i="12"/>
  <c r="DC1347" i="12"/>
  <c r="FU13" i="12"/>
  <c r="GR13" i="12" s="1"/>
  <c r="FU14" i="12"/>
  <c r="GR14" i="12" s="1"/>
  <c r="FS15" i="12"/>
  <c r="FT57" i="12"/>
  <c r="CX2286" i="12"/>
  <c r="CY2285" i="12"/>
  <c r="CZ1279" i="12"/>
  <c r="CZ1381" i="12"/>
  <c r="CZ1502" i="12"/>
  <c r="CZ1553" i="12"/>
  <c r="CZ1348" i="12"/>
  <c r="CZ1451" i="12"/>
  <c r="CZ1296" i="12"/>
  <c r="CZ1416" i="12"/>
  <c r="CZ1331" i="12"/>
  <c r="CZ2207" i="12"/>
  <c r="CZ1519" i="12"/>
  <c r="CZ1314" i="12"/>
  <c r="CZ1536" i="12"/>
  <c r="CZ1485" i="12"/>
  <c r="CZ1400" i="12"/>
  <c r="CZ1435" i="12"/>
  <c r="CZ1365" i="12"/>
  <c r="CZ1468" i="12"/>
  <c r="DE2207" i="12" l="1"/>
  <c r="DD2207" i="12"/>
  <c r="DA2207" i="12"/>
  <c r="DC2207" i="12"/>
  <c r="DB2207" i="12"/>
  <c r="DF2206" i="12" s="1"/>
  <c r="HT96" i="12"/>
  <c r="HO97" i="12"/>
  <c r="DE1551" i="12"/>
  <c r="DB1381" i="12"/>
  <c r="DA1381" i="12"/>
  <c r="DC1381" i="12"/>
  <c r="DE1381" i="12"/>
  <c r="DD1381" i="12"/>
  <c r="DB1551" i="12"/>
  <c r="DD1552" i="12" s="1"/>
  <c r="DC1536" i="12"/>
  <c r="DD1536" i="12"/>
  <c r="DA1536" i="12"/>
  <c r="DB1536" i="12"/>
  <c r="DE1536" i="12"/>
  <c r="DE1502" i="12"/>
  <c r="DC1502" i="12"/>
  <c r="DA1502" i="12"/>
  <c r="DB1502" i="12"/>
  <c r="DD1502" i="12"/>
  <c r="DC1485" i="12"/>
  <c r="DE1485" i="12"/>
  <c r="DA1485" i="12"/>
  <c r="DB1485" i="12"/>
  <c r="DD1485" i="12"/>
  <c r="DB1400" i="12"/>
  <c r="DE1400" i="12"/>
  <c r="DD1400" i="12"/>
  <c r="DC1400" i="12"/>
  <c r="DA1400" i="12"/>
  <c r="DD1416" i="12"/>
  <c r="DB1416" i="12"/>
  <c r="DC1416" i="12"/>
  <c r="DE1416" i="12"/>
  <c r="DA1416" i="12"/>
  <c r="DC1468" i="12"/>
  <c r="DE1468" i="12"/>
  <c r="DB1468" i="12"/>
  <c r="DD1468" i="12"/>
  <c r="DA1468" i="12"/>
  <c r="DD1365" i="12"/>
  <c r="DA1365" i="12"/>
  <c r="DC1365" i="12"/>
  <c r="DB1365" i="12"/>
  <c r="DE1365" i="12"/>
  <c r="DE1451" i="12"/>
  <c r="DB1451" i="12"/>
  <c r="DC1451" i="12"/>
  <c r="DD1451" i="12"/>
  <c r="DA1451" i="12"/>
  <c r="DD1519" i="12"/>
  <c r="DC1519" i="12"/>
  <c r="DA1519" i="12"/>
  <c r="DE1519" i="12"/>
  <c r="DB1519" i="12"/>
  <c r="DA1435" i="12"/>
  <c r="DE1435" i="12"/>
  <c r="DB1435" i="12"/>
  <c r="DC1435" i="12"/>
  <c r="DD1435" i="12"/>
  <c r="DE1553" i="12"/>
  <c r="DD1553" i="12"/>
  <c r="DB1553" i="12"/>
  <c r="DA1553" i="12"/>
  <c r="DC1553" i="12"/>
  <c r="CX1600" i="12"/>
  <c r="CY1600" i="12" s="1"/>
  <c r="CX1601" i="12"/>
  <c r="CY1601" i="12" s="1"/>
  <c r="CX1592" i="12"/>
  <c r="CY1592" i="12" s="1"/>
  <c r="CX1596" i="12"/>
  <c r="CY1596" i="12" s="1"/>
  <c r="CX1603" i="12"/>
  <c r="CY1603" i="12" s="1"/>
  <c r="CX1599" i="12"/>
  <c r="CY1599" i="12" s="1"/>
  <c r="CX1587" i="12"/>
  <c r="CY1587" i="12" s="1"/>
  <c r="DC1587" i="12" s="1"/>
  <c r="DD1587" i="12" s="1"/>
  <c r="CX1594" i="12"/>
  <c r="CY1594" i="12" s="1"/>
  <c r="CX1593" i="12"/>
  <c r="CY1593" i="12" s="1"/>
  <c r="CX1590" i="12"/>
  <c r="CY1590" i="12" s="1"/>
  <c r="CX1598" i="12"/>
  <c r="CY1598" i="12" s="1"/>
  <c r="CX1588" i="12"/>
  <c r="CY1588" i="12" s="1"/>
  <c r="CX1595" i="12"/>
  <c r="CY1595" i="12" s="1"/>
  <c r="CX1591" i="12"/>
  <c r="CY1591" i="12" s="1"/>
  <c r="CX1589" i="12"/>
  <c r="CY1589" i="12" s="1"/>
  <c r="CX1597" i="12"/>
  <c r="CY1597" i="12" s="1"/>
  <c r="CX1602" i="12"/>
  <c r="CY1602" i="12" s="1"/>
  <c r="CX1572" i="12"/>
  <c r="CY1572" i="12" s="1"/>
  <c r="CX1571" i="12"/>
  <c r="CY1571" i="12" s="1"/>
  <c r="CX1575" i="12"/>
  <c r="CY1575" i="12" s="1"/>
  <c r="CX1573" i="12"/>
  <c r="CY1573" i="12" s="1"/>
  <c r="CX1579" i="12"/>
  <c r="CY1579" i="12" s="1"/>
  <c r="CX1585" i="12"/>
  <c r="CY1585" i="12" s="1"/>
  <c r="CX1582" i="12"/>
  <c r="CY1582" i="12" s="1"/>
  <c r="CX1569" i="12"/>
  <c r="CY1569" i="12" s="1"/>
  <c r="DC1569" i="12" s="1"/>
  <c r="DE1569" i="12" s="1"/>
  <c r="CX1574" i="12"/>
  <c r="CY1574" i="12" s="1"/>
  <c r="CX1570" i="12"/>
  <c r="CY1570" i="12" s="1"/>
  <c r="CX1577" i="12"/>
  <c r="CY1577" i="12" s="1"/>
  <c r="CX1583" i="12"/>
  <c r="CY1583" i="12" s="1"/>
  <c r="CX1581" i="12"/>
  <c r="CY1581" i="12" s="1"/>
  <c r="CX1584" i="12"/>
  <c r="CY1584" i="12" s="1"/>
  <c r="CX1580" i="12"/>
  <c r="CY1580" i="12" s="1"/>
  <c r="CX1578" i="12"/>
  <c r="CY1578" i="12" s="1"/>
  <c r="CX1576" i="12"/>
  <c r="CY1576" i="12" s="1"/>
  <c r="DD1533" i="12"/>
  <c r="DE1533" i="12"/>
  <c r="DD1534" i="12"/>
  <c r="DE1534" i="12"/>
  <c r="DC1534" i="12"/>
  <c r="DB1534" i="12"/>
  <c r="DA1534" i="12"/>
  <c r="JH92" i="12"/>
  <c r="DA1348" i="12"/>
  <c r="DB1348" i="12"/>
  <c r="DC1348" i="12"/>
  <c r="DE1348" i="12"/>
  <c r="DD1348" i="12"/>
  <c r="DE1331" i="12"/>
  <c r="DB1331" i="12"/>
  <c r="DD1331" i="12"/>
  <c r="DA1331" i="12"/>
  <c r="DC1331" i="12"/>
  <c r="DD1314" i="12"/>
  <c r="DB1314" i="12"/>
  <c r="DA1314" i="12"/>
  <c r="DC1314" i="12"/>
  <c r="DE1314" i="12"/>
  <c r="DB1296" i="12"/>
  <c r="DD1296" i="12"/>
  <c r="DA1296" i="12"/>
  <c r="DC1296" i="12"/>
  <c r="DE1296" i="12"/>
  <c r="DB1279" i="12"/>
  <c r="DD1279" i="12"/>
  <c r="DE1279" i="12"/>
  <c r="DC1279" i="12"/>
  <c r="DA1279" i="12"/>
  <c r="FU15" i="12"/>
  <c r="GR15" i="12" s="1"/>
  <c r="FS16" i="12"/>
  <c r="FS17" i="12" s="1"/>
  <c r="FS18" i="12" s="1"/>
  <c r="FT58" i="12"/>
  <c r="CX2287" i="12"/>
  <c r="CY2286" i="12"/>
  <c r="CZ1537" i="12"/>
  <c r="CZ1520" i="12"/>
  <c r="CZ1436" i="12"/>
  <c r="CZ1349" i="12"/>
  <c r="CZ1401" i="12"/>
  <c r="CZ1554" i="12"/>
  <c r="CZ1469" i="12"/>
  <c r="CZ1315" i="12"/>
  <c r="CZ1486" i="12"/>
  <c r="CZ2208" i="12"/>
  <c r="CZ1417" i="12"/>
  <c r="CZ1297" i="12"/>
  <c r="CZ1503" i="12"/>
  <c r="CZ1332" i="12"/>
  <c r="CZ1382" i="12"/>
  <c r="CZ1452" i="12"/>
  <c r="CZ1589" i="12"/>
  <c r="CZ1366" i="12"/>
  <c r="CZ1571" i="12"/>
  <c r="DC2208" i="12" l="1"/>
  <c r="DD2208" i="12"/>
  <c r="DE2208" i="12"/>
  <c r="DB2208" i="12"/>
  <c r="DF2207" i="12" s="1"/>
  <c r="DA2208" i="12"/>
  <c r="DE1552" i="12"/>
  <c r="DB1552" i="12"/>
  <c r="DA1552" i="12"/>
  <c r="DC1552" i="12"/>
  <c r="HT97" i="12"/>
  <c r="HO98" i="12"/>
  <c r="DC1382" i="12"/>
  <c r="DB1382" i="12"/>
  <c r="DE1382" i="12"/>
  <c r="DA1382" i="12"/>
  <c r="DD1382" i="12"/>
  <c r="DD1569" i="12"/>
  <c r="DB1569" i="12"/>
  <c r="DB1570" i="12" s="1"/>
  <c r="DC1486" i="12"/>
  <c r="DA1486" i="12"/>
  <c r="DE1486" i="12"/>
  <c r="DB1486" i="12"/>
  <c r="DD1486" i="12"/>
  <c r="DE1537" i="12"/>
  <c r="DA1537" i="12"/>
  <c r="DB1537" i="12"/>
  <c r="DD1537" i="12"/>
  <c r="DC1537" i="12"/>
  <c r="DE1520" i="12"/>
  <c r="DD1520" i="12"/>
  <c r="DB1520" i="12"/>
  <c r="DC1520" i="12"/>
  <c r="DA1520" i="12"/>
  <c r="DD1366" i="12"/>
  <c r="DB1366" i="12"/>
  <c r="DE1366" i="12"/>
  <c r="DA1366" i="12"/>
  <c r="DC1366" i="12"/>
  <c r="DD1452" i="12"/>
  <c r="DC1452" i="12"/>
  <c r="DA1452" i="12"/>
  <c r="DB1452" i="12"/>
  <c r="DE1452" i="12"/>
  <c r="DB1417" i="12"/>
  <c r="DC1417" i="12"/>
  <c r="DE1417" i="12"/>
  <c r="DA1417" i="12"/>
  <c r="DD1417" i="12"/>
  <c r="DC1554" i="12"/>
  <c r="DE1554" i="12"/>
  <c r="DA1554" i="12"/>
  <c r="DB1554" i="12"/>
  <c r="DD1554" i="12"/>
  <c r="DB1436" i="12"/>
  <c r="DA1436" i="12"/>
  <c r="DC1436" i="12"/>
  <c r="DD1436" i="12"/>
  <c r="DE1436" i="12"/>
  <c r="DB1469" i="12"/>
  <c r="DC1469" i="12"/>
  <c r="DE1469" i="12"/>
  <c r="DD1469" i="12"/>
  <c r="DA1469" i="12"/>
  <c r="DB1401" i="12"/>
  <c r="DC1401" i="12"/>
  <c r="DE1401" i="12"/>
  <c r="DD1401" i="12"/>
  <c r="DA1401" i="12"/>
  <c r="DD1503" i="12"/>
  <c r="DB1503" i="12"/>
  <c r="DA1503" i="12"/>
  <c r="DC1503" i="12"/>
  <c r="DE1503" i="12"/>
  <c r="DE1587" i="12"/>
  <c r="DB1587" i="12"/>
  <c r="DA1588" i="12" s="1"/>
  <c r="DE1571" i="12"/>
  <c r="DC1571" i="12"/>
  <c r="DA1571" i="12"/>
  <c r="DB1571" i="12"/>
  <c r="DD1571" i="12"/>
  <c r="DB1589" i="12"/>
  <c r="DD1589" i="12"/>
  <c r="DE1589" i="12"/>
  <c r="DA1589" i="12"/>
  <c r="DC1589" i="12"/>
  <c r="JH93" i="12"/>
  <c r="JH94" i="12" s="1"/>
  <c r="JK94" i="12" s="1"/>
  <c r="JL94" i="12" s="1"/>
  <c r="EA94" i="12" s="1"/>
  <c r="JK92" i="12"/>
  <c r="JL92" i="12" s="1"/>
  <c r="EA92" i="12" s="1"/>
  <c r="DE1332" i="12"/>
  <c r="DC1332" i="12"/>
  <c r="DD1332" i="12"/>
  <c r="DB1332" i="12"/>
  <c r="DA1332" i="12"/>
  <c r="DB1349" i="12"/>
  <c r="DC1349" i="12"/>
  <c r="DD1349" i="12"/>
  <c r="DE1349" i="12"/>
  <c r="DA1349" i="12"/>
  <c r="DD1297" i="12"/>
  <c r="DE1297" i="12"/>
  <c r="DA1297" i="12"/>
  <c r="DC1297" i="12"/>
  <c r="DB1297" i="12"/>
  <c r="DB1315" i="12"/>
  <c r="DA1315" i="12"/>
  <c r="DD1315" i="12"/>
  <c r="DC1315" i="12"/>
  <c r="DE1315" i="12"/>
  <c r="FU16" i="12"/>
  <c r="GR16" i="12" s="1"/>
  <c r="FS24" i="12"/>
  <c r="FU58" i="12"/>
  <c r="FT59" i="12"/>
  <c r="CX2288" i="12"/>
  <c r="CY2287" i="12"/>
  <c r="CZ2209" i="12"/>
  <c r="CZ1418" i="12"/>
  <c r="CZ1572" i="12"/>
  <c r="CZ1470" i="12"/>
  <c r="CZ1538" i="12"/>
  <c r="CZ1367" i="12"/>
  <c r="CZ1487" i="12"/>
  <c r="CZ1590" i="12"/>
  <c r="CZ1453" i="12"/>
  <c r="CZ1350" i="12"/>
  <c r="CZ1521" i="12"/>
  <c r="CZ1437" i="12"/>
  <c r="CZ1383" i="12"/>
  <c r="CZ1402" i="12"/>
  <c r="CZ1504" i="12"/>
  <c r="CZ1333" i="12"/>
  <c r="CZ1555" i="12"/>
  <c r="DB2209" i="12" l="1"/>
  <c r="DF2208" i="12" s="1"/>
  <c r="DA2209" i="12"/>
  <c r="DD2209" i="12"/>
  <c r="DC2209" i="12"/>
  <c r="DE2209" i="12"/>
  <c r="HT98" i="12"/>
  <c r="HO99" i="12"/>
  <c r="DC1383" i="12"/>
  <c r="DA1383" i="12"/>
  <c r="DD1383" i="12"/>
  <c r="DB1383" i="12"/>
  <c r="DE1383" i="12"/>
  <c r="DE1570" i="12"/>
  <c r="DD1570" i="12"/>
  <c r="DA1570" i="12"/>
  <c r="DC1570" i="12"/>
  <c r="DA1402" i="12"/>
  <c r="DC1402" i="12"/>
  <c r="DB1402" i="12"/>
  <c r="DE1402" i="12"/>
  <c r="DD1402" i="12"/>
  <c r="DC1437" i="12"/>
  <c r="DA1437" i="12"/>
  <c r="DD1437" i="12"/>
  <c r="DE1437" i="12"/>
  <c r="DB1437" i="12"/>
  <c r="DB1590" i="12"/>
  <c r="DE1590" i="12"/>
  <c r="DD1590" i="12"/>
  <c r="DC1590" i="12"/>
  <c r="DA1590" i="12"/>
  <c r="DD1572" i="12"/>
  <c r="DA1572" i="12"/>
  <c r="DC1572" i="12"/>
  <c r="DB1572" i="12"/>
  <c r="DE1572" i="12"/>
  <c r="DB1504" i="12"/>
  <c r="DA1504" i="12"/>
  <c r="DC1504" i="12"/>
  <c r="DD1504" i="12"/>
  <c r="DE1504" i="12"/>
  <c r="DD1555" i="12"/>
  <c r="DA1555" i="12"/>
  <c r="DB1555" i="12"/>
  <c r="DE1555" i="12"/>
  <c r="DC1555" i="12"/>
  <c r="DC1418" i="12"/>
  <c r="DE1418" i="12"/>
  <c r="DA1418" i="12"/>
  <c r="DD1418" i="12"/>
  <c r="DB1418" i="12"/>
  <c r="DB1453" i="12"/>
  <c r="DE1453" i="12"/>
  <c r="DC1453" i="12"/>
  <c r="DD1453" i="12"/>
  <c r="DA1453" i="12"/>
  <c r="DD1521" i="12"/>
  <c r="DE1521" i="12"/>
  <c r="DC1521" i="12"/>
  <c r="DB1521" i="12"/>
  <c r="DA1521" i="12"/>
  <c r="DC1470" i="12"/>
  <c r="DA1470" i="12"/>
  <c r="DD1470" i="12"/>
  <c r="DE1470" i="12"/>
  <c r="DB1470" i="12"/>
  <c r="DE1367" i="12"/>
  <c r="DD1367" i="12"/>
  <c r="DA1367" i="12"/>
  <c r="DB1367" i="12"/>
  <c r="DC1367" i="12"/>
  <c r="DD1538" i="12"/>
  <c r="DE1538" i="12"/>
  <c r="DA1538" i="12"/>
  <c r="DB1538" i="12"/>
  <c r="DC1538" i="12"/>
  <c r="DE1487" i="12"/>
  <c r="DB1487" i="12"/>
  <c r="DC1487" i="12"/>
  <c r="DA1487" i="12"/>
  <c r="DD1487" i="12"/>
  <c r="DE1588" i="12"/>
  <c r="DB1588" i="12"/>
  <c r="DD1588" i="12"/>
  <c r="DC1588" i="12"/>
  <c r="CX1650" i="12"/>
  <c r="CY1650" i="12" s="1"/>
  <c r="CX1649" i="12"/>
  <c r="CY1649" i="12" s="1"/>
  <c r="CX1647" i="12"/>
  <c r="CY1647" i="12" s="1"/>
  <c r="CX1656" i="12"/>
  <c r="CY1656" i="12" s="1"/>
  <c r="CX1653" i="12"/>
  <c r="CY1653" i="12" s="1"/>
  <c r="CX1643" i="12"/>
  <c r="CY1643" i="12" s="1"/>
  <c r="CX1651" i="12"/>
  <c r="CY1651" i="12" s="1"/>
  <c r="CX1646" i="12"/>
  <c r="CY1646" i="12" s="1"/>
  <c r="CX1655" i="12"/>
  <c r="CY1655" i="12" s="1"/>
  <c r="JK93" i="12"/>
  <c r="JL93" i="12" s="1"/>
  <c r="EA93" i="12" s="1"/>
  <c r="JH95" i="12"/>
  <c r="CX1648" i="12"/>
  <c r="CY1648" i="12" s="1"/>
  <c r="CX1657" i="12"/>
  <c r="CY1657" i="12" s="1"/>
  <c r="CX1642" i="12"/>
  <c r="CY1642" i="12" s="1"/>
  <c r="CX1645" i="12"/>
  <c r="CY1645" i="12" s="1"/>
  <c r="CX1654" i="12"/>
  <c r="CY1654" i="12" s="1"/>
  <c r="CX1610" i="12"/>
  <c r="CY1610" i="12" s="1"/>
  <c r="CX1618" i="12"/>
  <c r="CY1618" i="12" s="1"/>
  <c r="CX1612" i="12"/>
  <c r="CY1612" i="12" s="1"/>
  <c r="CX1620" i="12"/>
  <c r="CY1620" i="12" s="1"/>
  <c r="CX1606" i="12"/>
  <c r="CY1606" i="12" s="1"/>
  <c r="CX1617" i="12"/>
  <c r="CY1617" i="12" s="1"/>
  <c r="CX1607" i="12"/>
  <c r="CY1607" i="12" s="1"/>
  <c r="CX1611" i="12"/>
  <c r="CY1611" i="12" s="1"/>
  <c r="CX1609" i="12"/>
  <c r="CY1609" i="12" s="1"/>
  <c r="CX1616" i="12"/>
  <c r="CY1616" i="12" s="1"/>
  <c r="CX1605" i="12"/>
  <c r="CY1605" i="12" s="1"/>
  <c r="DC1605" i="12" s="1"/>
  <c r="CX1621" i="12"/>
  <c r="CY1621" i="12" s="1"/>
  <c r="CX1619" i="12"/>
  <c r="CY1619" i="12" s="1"/>
  <c r="CX1615" i="12"/>
  <c r="CY1615" i="12" s="1"/>
  <c r="CX1613" i="12"/>
  <c r="CY1613" i="12" s="1"/>
  <c r="CX1614" i="12"/>
  <c r="CY1614" i="12" s="1"/>
  <c r="CX1608" i="12"/>
  <c r="CY1608" i="12" s="1"/>
  <c r="CX1644" i="12"/>
  <c r="CY1644" i="12" s="1"/>
  <c r="CX1641" i="12"/>
  <c r="CY1641" i="12" s="1"/>
  <c r="DC1641" i="12" s="1"/>
  <c r="DB1641" i="12" s="1"/>
  <c r="CX1652" i="12"/>
  <c r="CY1652" i="12" s="1"/>
  <c r="DC1350" i="12"/>
  <c r="DD1350" i="12"/>
  <c r="DB1350" i="12"/>
  <c r="DE1350" i="12"/>
  <c r="DA1350" i="12"/>
  <c r="DB1333" i="12"/>
  <c r="DD1333" i="12"/>
  <c r="DA1333" i="12"/>
  <c r="DC1333" i="12"/>
  <c r="DE1333" i="12"/>
  <c r="FS25" i="12"/>
  <c r="GR58" i="12"/>
  <c r="FU59" i="12"/>
  <c r="FT60" i="12"/>
  <c r="CY2288" i="12"/>
  <c r="CX2289" i="12"/>
  <c r="CZ1539" i="12"/>
  <c r="CZ1384" i="12"/>
  <c r="CZ2210" i="12"/>
  <c r="CZ1591" i="12"/>
  <c r="CZ1454" i="12"/>
  <c r="CZ1505" i="12"/>
  <c r="CZ1488" i="12"/>
  <c r="CZ1471" i="12"/>
  <c r="CZ1403" i="12"/>
  <c r="CZ1573" i="12"/>
  <c r="CZ1351" i="12"/>
  <c r="CZ1556" i="12"/>
  <c r="CZ1522" i="12"/>
  <c r="CZ1419" i="12"/>
  <c r="CZ1368" i="12"/>
  <c r="CZ1438" i="12"/>
  <c r="CZ1607" i="12"/>
  <c r="CZ1643" i="12"/>
  <c r="DE2210" i="12" l="1"/>
  <c r="DA2210" i="12"/>
  <c r="DB2210" i="12"/>
  <c r="DF2209" i="12" s="1"/>
  <c r="DC2210" i="12"/>
  <c r="DD2210" i="12"/>
  <c r="HT99" i="12"/>
  <c r="HO100" i="12"/>
  <c r="DE1384" i="12"/>
  <c r="DD1384" i="12"/>
  <c r="DA1384" i="12"/>
  <c r="DC1384" i="12"/>
  <c r="DB1384" i="12"/>
  <c r="DC1539" i="12"/>
  <c r="DE1539" i="12"/>
  <c r="DD1539" i="12"/>
  <c r="DB1539" i="12"/>
  <c r="DA1539" i="12"/>
  <c r="DC1522" i="12"/>
  <c r="DD1522" i="12"/>
  <c r="DB1522" i="12"/>
  <c r="DE1522" i="12"/>
  <c r="DA1522" i="12"/>
  <c r="DC1505" i="12"/>
  <c r="DE1505" i="12"/>
  <c r="DB1505" i="12"/>
  <c r="DD1505" i="12"/>
  <c r="DA1505" i="12"/>
  <c r="DD1591" i="12"/>
  <c r="DC1591" i="12"/>
  <c r="DA1591" i="12"/>
  <c r="DE1591" i="12"/>
  <c r="DB1591" i="12"/>
  <c r="DE1419" i="12"/>
  <c r="DD1419" i="12"/>
  <c r="DB1419" i="12"/>
  <c r="DA1419" i="12"/>
  <c r="DC1419" i="12"/>
  <c r="DB1368" i="12"/>
  <c r="DD1368" i="12"/>
  <c r="DE1368" i="12"/>
  <c r="DA1368" i="12"/>
  <c r="DC1368" i="12"/>
  <c r="DA1454" i="12"/>
  <c r="DC1454" i="12"/>
  <c r="DB1454" i="12"/>
  <c r="DE1454" i="12"/>
  <c r="DD1454" i="12"/>
  <c r="DE1573" i="12"/>
  <c r="DB1573" i="12"/>
  <c r="DD1573" i="12"/>
  <c r="DA1573" i="12"/>
  <c r="DC1573" i="12"/>
  <c r="DD1438" i="12"/>
  <c r="DE1438" i="12"/>
  <c r="DB1438" i="12"/>
  <c r="DC1438" i="12"/>
  <c r="DA1438" i="12"/>
  <c r="DC1403" i="12"/>
  <c r="DA1403" i="12"/>
  <c r="DE1403" i="12"/>
  <c r="DB1403" i="12"/>
  <c r="DD1403" i="12"/>
  <c r="DE1488" i="12"/>
  <c r="DD1488" i="12"/>
  <c r="DC1488" i="12"/>
  <c r="DB1488" i="12"/>
  <c r="DA1488" i="12"/>
  <c r="DA1471" i="12"/>
  <c r="DB1471" i="12"/>
  <c r="DE1471" i="12"/>
  <c r="DC1471" i="12"/>
  <c r="DD1471" i="12"/>
  <c r="DB1556" i="12"/>
  <c r="DC1556" i="12"/>
  <c r="DE1556" i="12"/>
  <c r="DA1556" i="12"/>
  <c r="DD1556" i="12"/>
  <c r="DD1643" i="12"/>
  <c r="DC1643" i="12"/>
  <c r="DE1643" i="12"/>
  <c r="DB1643" i="12"/>
  <c r="DA1643" i="12"/>
  <c r="DA1607" i="12"/>
  <c r="DE1607" i="12"/>
  <c r="DD1607" i="12"/>
  <c r="DB1607" i="12"/>
  <c r="DC1607" i="12"/>
  <c r="CX1634" i="12"/>
  <c r="CY1634" i="12" s="1"/>
  <c r="CX1631" i="12"/>
  <c r="CY1631" i="12" s="1"/>
  <c r="CX1626" i="12"/>
  <c r="CY1626" i="12" s="1"/>
  <c r="CX1637" i="12"/>
  <c r="CY1637" i="12" s="1"/>
  <c r="CX1635" i="12"/>
  <c r="CY1635" i="12" s="1"/>
  <c r="CX1625" i="12"/>
  <c r="CY1625" i="12" s="1"/>
  <c r="CX1624" i="12"/>
  <c r="CY1624" i="12" s="1"/>
  <c r="CX1636" i="12"/>
  <c r="CY1636" i="12" s="1"/>
  <c r="CX1632" i="12"/>
  <c r="CY1632" i="12" s="1"/>
  <c r="CX1630" i="12"/>
  <c r="CY1630" i="12" s="1"/>
  <c r="CX1627" i="12"/>
  <c r="CY1627" i="12" s="1"/>
  <c r="CX1633" i="12"/>
  <c r="CY1633" i="12" s="1"/>
  <c r="CX1628" i="12"/>
  <c r="CY1628" i="12" s="1"/>
  <c r="CX1639" i="12"/>
  <c r="CY1639" i="12" s="1"/>
  <c r="CX1638" i="12"/>
  <c r="CY1638" i="12" s="1"/>
  <c r="CX1623" i="12"/>
  <c r="CY1623" i="12" s="1"/>
  <c r="DC1623" i="12" s="1"/>
  <c r="CX1629" i="12"/>
  <c r="CY1629" i="12" s="1"/>
  <c r="DB1605" i="12"/>
  <c r="DD1605" i="12"/>
  <c r="DE1605" i="12"/>
  <c r="JH96" i="12"/>
  <c r="JH97" i="12" s="1"/>
  <c r="JK97" i="12" s="1"/>
  <c r="JL97" i="12" s="1"/>
  <c r="EA97" i="12" s="1"/>
  <c r="JK95" i="12"/>
  <c r="JL95" i="12" s="1"/>
  <c r="EA95" i="12" s="1"/>
  <c r="DB1351" i="12"/>
  <c r="DC1351" i="12"/>
  <c r="DA1351" i="12"/>
  <c r="DE1351" i="12"/>
  <c r="DD1351" i="12"/>
  <c r="DE1642" i="12"/>
  <c r="DC1642" i="12"/>
  <c r="DB1642" i="12"/>
  <c r="DA1642" i="12"/>
  <c r="DD1642" i="12"/>
  <c r="DE1641" i="12"/>
  <c r="DD1641" i="12"/>
  <c r="FS26" i="12"/>
  <c r="GR59" i="12"/>
  <c r="FU60" i="12"/>
  <c r="FT61" i="12"/>
  <c r="CY2289" i="12"/>
  <c r="CX2290" i="12"/>
  <c r="CZ1385" i="12"/>
  <c r="CZ1439" i="12"/>
  <c r="CZ1574" i="12"/>
  <c r="CZ2211" i="12"/>
  <c r="CZ1369" i="12"/>
  <c r="CZ1523" i="12"/>
  <c r="CZ1455" i="12"/>
  <c r="CZ1540" i="12"/>
  <c r="CZ1489" i="12"/>
  <c r="CZ1592" i="12"/>
  <c r="CZ1420" i="12"/>
  <c r="CZ1506" i="12"/>
  <c r="CZ1608" i="12"/>
  <c r="CZ1472" i="12"/>
  <c r="CZ1644" i="12"/>
  <c r="CZ1557" i="12"/>
  <c r="CZ1404" i="12"/>
  <c r="CZ1625" i="12"/>
  <c r="DC2211" i="12" l="1"/>
  <c r="DE2211" i="12"/>
  <c r="DB2211" i="12"/>
  <c r="DF2210" i="12" s="1"/>
  <c r="DD2211" i="12"/>
  <c r="DA2211" i="12"/>
  <c r="HT100" i="12"/>
  <c r="HO101" i="12"/>
  <c r="DC1385" i="12"/>
  <c r="DB1385" i="12"/>
  <c r="DA1385" i="12"/>
  <c r="DE1385" i="12"/>
  <c r="DD1385" i="12"/>
  <c r="DB1404" i="12"/>
  <c r="DD1404" i="12"/>
  <c r="DA1404" i="12"/>
  <c r="DE1404" i="12"/>
  <c r="DC1404" i="12"/>
  <c r="DC1439" i="12"/>
  <c r="DE1439" i="12"/>
  <c r="DB1439" i="12"/>
  <c r="DA1439" i="12"/>
  <c r="DD1439" i="12"/>
  <c r="DB1369" i="12"/>
  <c r="DC1369" i="12"/>
  <c r="DE1369" i="12"/>
  <c r="DA1369" i="12"/>
  <c r="DD1369" i="12"/>
  <c r="DA1523" i="12"/>
  <c r="DE1523" i="12"/>
  <c r="DB1523" i="12"/>
  <c r="DC1523" i="12"/>
  <c r="DD1523" i="12"/>
  <c r="DE1472" i="12"/>
  <c r="DD1472" i="12"/>
  <c r="DC1472" i="12"/>
  <c r="DA1472" i="12"/>
  <c r="DB1472" i="12"/>
  <c r="DC1608" i="12"/>
  <c r="DA1608" i="12"/>
  <c r="DD1608" i="12"/>
  <c r="DB1608" i="12"/>
  <c r="DE1608" i="12"/>
  <c r="DD1574" i="12"/>
  <c r="DC1574" i="12"/>
  <c r="DA1574" i="12"/>
  <c r="DB1574" i="12"/>
  <c r="DE1574" i="12"/>
  <c r="DE1455" i="12"/>
  <c r="DC1455" i="12"/>
  <c r="DD1455" i="12"/>
  <c r="DB1455" i="12"/>
  <c r="DA1455" i="12"/>
  <c r="DB1644" i="12"/>
  <c r="DD1644" i="12"/>
  <c r="DA1644" i="12"/>
  <c r="DC1644" i="12"/>
  <c r="DE1644" i="12"/>
  <c r="DD1506" i="12"/>
  <c r="DB1506" i="12"/>
  <c r="DA1506" i="12"/>
  <c r="DE1506" i="12"/>
  <c r="DC1506" i="12"/>
  <c r="DD1557" i="12"/>
  <c r="DC1557" i="12"/>
  <c r="DE1557" i="12"/>
  <c r="DB1557" i="12"/>
  <c r="DA1557" i="12"/>
  <c r="DE1489" i="12"/>
  <c r="DA1489" i="12"/>
  <c r="DB1489" i="12"/>
  <c r="DD1489" i="12"/>
  <c r="DC1489" i="12"/>
  <c r="DA1420" i="12"/>
  <c r="DD1420" i="12"/>
  <c r="DE1420" i="12"/>
  <c r="DC1420" i="12"/>
  <c r="DB1420" i="12"/>
  <c r="DD1592" i="12"/>
  <c r="DE1592" i="12"/>
  <c r="DB1592" i="12"/>
  <c r="DC1592" i="12"/>
  <c r="DA1592" i="12"/>
  <c r="DE1540" i="12"/>
  <c r="DD1540" i="12"/>
  <c r="DA1540" i="12"/>
  <c r="DB1540" i="12"/>
  <c r="DC1540" i="12"/>
  <c r="DB1625" i="12"/>
  <c r="DD1625" i="12"/>
  <c r="DE1625" i="12"/>
  <c r="DC1625" i="12"/>
  <c r="DA1625" i="12"/>
  <c r="CX1704" i="12"/>
  <c r="CY1704" i="12" s="1"/>
  <c r="CX1700" i="12"/>
  <c r="CY1700" i="12" s="1"/>
  <c r="CX1705" i="12"/>
  <c r="CY1705" i="12" s="1"/>
  <c r="CX1697" i="12"/>
  <c r="CY1697" i="12" s="1"/>
  <c r="CX1695" i="12"/>
  <c r="CY1695" i="12" s="1"/>
  <c r="DC1695" i="12" s="1"/>
  <c r="DB1695" i="12" s="1"/>
  <c r="DD1696" i="12" s="1"/>
  <c r="CX1706" i="12"/>
  <c r="CY1706" i="12" s="1"/>
  <c r="CX1696" i="12"/>
  <c r="CY1696" i="12" s="1"/>
  <c r="CX1710" i="12"/>
  <c r="CY1710" i="12" s="1"/>
  <c r="CX1699" i="12"/>
  <c r="CY1699" i="12" s="1"/>
  <c r="CX1701" i="12"/>
  <c r="CY1701" i="12" s="1"/>
  <c r="CX1709" i="12"/>
  <c r="CY1709" i="12" s="1"/>
  <c r="CX1703" i="12"/>
  <c r="CY1703" i="12" s="1"/>
  <c r="CX1708" i="12"/>
  <c r="CY1708" i="12" s="1"/>
  <c r="CX1711" i="12"/>
  <c r="CY1711" i="12" s="1"/>
  <c r="CX1707" i="12"/>
  <c r="CY1707" i="12" s="1"/>
  <c r="CX1698" i="12"/>
  <c r="CY1698" i="12" s="1"/>
  <c r="CX1702" i="12"/>
  <c r="CY1702" i="12" s="1"/>
  <c r="DB1623" i="12"/>
  <c r="DD1623" i="12"/>
  <c r="DE1623" i="12"/>
  <c r="JK96" i="12"/>
  <c r="JL96" i="12" s="1"/>
  <c r="EA96" i="12" s="1"/>
  <c r="JH98" i="12"/>
  <c r="JK98" i="12" s="1"/>
  <c r="JL98" i="12" s="1"/>
  <c r="EA98" i="12" s="1"/>
  <c r="CX1668" i="12"/>
  <c r="CY1668" i="12" s="1"/>
  <c r="CX1675" i="12"/>
  <c r="CY1675" i="12" s="1"/>
  <c r="CX1663" i="12"/>
  <c r="CY1663" i="12" s="1"/>
  <c r="CX1660" i="12"/>
  <c r="CY1660" i="12" s="1"/>
  <c r="CX1669" i="12"/>
  <c r="CY1669" i="12" s="1"/>
  <c r="CX1661" i="12"/>
  <c r="CY1661" i="12" s="1"/>
  <c r="CX1665" i="12"/>
  <c r="CY1665" i="12" s="1"/>
  <c r="CX1672" i="12"/>
  <c r="CY1672" i="12" s="1"/>
  <c r="CX1670" i="12"/>
  <c r="CY1670" i="12" s="1"/>
  <c r="CX1671" i="12"/>
  <c r="CY1671" i="12" s="1"/>
  <c r="CX1664" i="12"/>
  <c r="CY1664" i="12" s="1"/>
  <c r="CX1659" i="12"/>
  <c r="CY1659" i="12" s="1"/>
  <c r="DC1659" i="12" s="1"/>
  <c r="DD1659" i="12" s="1"/>
  <c r="CX1666" i="12"/>
  <c r="CY1666" i="12" s="1"/>
  <c r="CX1674" i="12"/>
  <c r="CY1674" i="12" s="1"/>
  <c r="CX1673" i="12"/>
  <c r="CY1673" i="12" s="1"/>
  <c r="CX1662" i="12"/>
  <c r="CY1662" i="12" s="1"/>
  <c r="CX1667" i="12"/>
  <c r="CY1667" i="12" s="1"/>
  <c r="DA1606" i="12"/>
  <c r="DC1606" i="12"/>
  <c r="DE1606" i="12"/>
  <c r="DD1606" i="12"/>
  <c r="DB1606" i="12"/>
  <c r="FU26" i="12"/>
  <c r="GR26" i="12" s="1"/>
  <c r="FS27" i="12"/>
  <c r="GR60" i="12"/>
  <c r="FU61" i="12"/>
  <c r="GR61" i="12" s="1"/>
  <c r="CX2291" i="12"/>
  <c r="CY2290" i="12"/>
  <c r="CZ1405" i="12"/>
  <c r="CZ1507" i="12"/>
  <c r="CZ1626" i="12"/>
  <c r="CZ1558" i="12"/>
  <c r="CZ1490" i="12"/>
  <c r="CZ1575" i="12"/>
  <c r="CZ1541" i="12"/>
  <c r="CZ1524" i="12"/>
  <c r="CZ2212" i="12"/>
  <c r="CZ1593" i="12"/>
  <c r="CZ1473" i="12"/>
  <c r="CZ1386" i="12"/>
  <c r="CZ1645" i="12"/>
  <c r="CZ1697" i="12"/>
  <c r="CZ1421" i="12"/>
  <c r="CZ1456" i="12"/>
  <c r="CZ1440" i="12"/>
  <c r="CZ1609" i="12"/>
  <c r="CZ1661" i="12"/>
  <c r="DE2212" i="12" l="1"/>
  <c r="DB2212" i="12"/>
  <c r="DF2211" i="12" s="1"/>
  <c r="DD2212" i="12"/>
  <c r="DA2212" i="12"/>
  <c r="DC2212" i="12"/>
  <c r="HT101" i="12"/>
  <c r="HO102" i="12"/>
  <c r="HT102" i="12" s="1"/>
  <c r="DA1386" i="12"/>
  <c r="DD1386" i="12"/>
  <c r="DB1386" i="12"/>
  <c r="DE1386" i="12"/>
  <c r="DC1386" i="12"/>
  <c r="DE1507" i="12"/>
  <c r="DC1507" i="12"/>
  <c r="DA1507" i="12"/>
  <c r="DB1507" i="12"/>
  <c r="DD1507" i="12"/>
  <c r="DB1456" i="12"/>
  <c r="DE1456" i="12"/>
  <c r="DC1456" i="12"/>
  <c r="DD1456" i="12"/>
  <c r="DA1456" i="12"/>
  <c r="DD1626" i="12"/>
  <c r="DA1626" i="12"/>
  <c r="DE1626" i="12"/>
  <c r="DC1626" i="12"/>
  <c r="DB1626" i="12"/>
  <c r="DE1541" i="12"/>
  <c r="DC1541" i="12"/>
  <c r="DD1541" i="12"/>
  <c r="DB1541" i="12"/>
  <c r="DA1541" i="12"/>
  <c r="DA1558" i="12"/>
  <c r="DE1558" i="12"/>
  <c r="DB1558" i="12"/>
  <c r="DC1558" i="12"/>
  <c r="DD1558" i="12"/>
  <c r="DC1645" i="12"/>
  <c r="DA1645" i="12"/>
  <c r="DB1645" i="12"/>
  <c r="DE1645" i="12"/>
  <c r="DD1645" i="12"/>
  <c r="DD1440" i="12"/>
  <c r="DB1440" i="12"/>
  <c r="DE1440" i="12"/>
  <c r="DC1440" i="12"/>
  <c r="DA1440" i="12"/>
  <c r="DA1421" i="12"/>
  <c r="DE1421" i="12"/>
  <c r="DC1421" i="12"/>
  <c r="DB1421" i="12"/>
  <c r="DD1421" i="12"/>
  <c r="DA1575" i="12"/>
  <c r="DB1575" i="12"/>
  <c r="DE1575" i="12"/>
  <c r="DD1575" i="12"/>
  <c r="DC1575" i="12"/>
  <c r="DE1609" i="12"/>
  <c r="DD1609" i="12"/>
  <c r="DC1609" i="12"/>
  <c r="DA1609" i="12"/>
  <c r="DB1609" i="12"/>
  <c r="DC1405" i="12"/>
  <c r="DE1405" i="12"/>
  <c r="DB1405" i="12"/>
  <c r="DD1405" i="12"/>
  <c r="DA1405" i="12"/>
  <c r="DD1593" i="12"/>
  <c r="DC1593" i="12"/>
  <c r="DB1593" i="12"/>
  <c r="DA1593" i="12"/>
  <c r="DE1593" i="12"/>
  <c r="DB1490" i="12"/>
  <c r="DC1490" i="12"/>
  <c r="DD1490" i="12"/>
  <c r="DE1490" i="12"/>
  <c r="DA1490" i="12"/>
  <c r="DC1473" i="12"/>
  <c r="DA1473" i="12"/>
  <c r="DB1473" i="12"/>
  <c r="DE1473" i="12"/>
  <c r="DD1473" i="12"/>
  <c r="DE1524" i="12"/>
  <c r="DC1524" i="12"/>
  <c r="DB1524" i="12"/>
  <c r="DA1524" i="12"/>
  <c r="DD1524" i="12"/>
  <c r="DE1696" i="12"/>
  <c r="DB1696" i="12"/>
  <c r="DC1696" i="12"/>
  <c r="DD1695" i="12"/>
  <c r="DA1696" i="12"/>
  <c r="DE1695" i="12"/>
  <c r="DB1659" i="12"/>
  <c r="DE1660" i="12" s="1"/>
  <c r="JH99" i="12"/>
  <c r="JH100" i="12" s="1"/>
  <c r="JK100" i="12" s="1"/>
  <c r="JL100" i="12" s="1"/>
  <c r="EA100" i="12" s="1"/>
  <c r="CX1750" i="12" s="1"/>
  <c r="CY1750" i="12" s="1"/>
  <c r="DE1659" i="12"/>
  <c r="DA1697" i="12"/>
  <c r="DE1697" i="12"/>
  <c r="DB1697" i="12"/>
  <c r="DC1697" i="12"/>
  <c r="DD1697" i="12"/>
  <c r="DE1661" i="12"/>
  <c r="DA1661" i="12"/>
  <c r="DB1661" i="12"/>
  <c r="DD1661" i="12"/>
  <c r="DC1661" i="12"/>
  <c r="CX1724" i="12"/>
  <c r="CY1724" i="12" s="1"/>
  <c r="CX1726" i="12"/>
  <c r="CY1726" i="12" s="1"/>
  <c r="CX1716" i="12"/>
  <c r="CY1716" i="12" s="1"/>
  <c r="CX1720" i="12"/>
  <c r="CY1720" i="12" s="1"/>
  <c r="CX1715" i="12"/>
  <c r="CY1715" i="12" s="1"/>
  <c r="CX1725" i="12"/>
  <c r="CY1725" i="12" s="1"/>
  <c r="CX1713" i="12"/>
  <c r="CY1713" i="12" s="1"/>
  <c r="DC1713" i="12" s="1"/>
  <c r="CX1717" i="12"/>
  <c r="CY1717" i="12" s="1"/>
  <c r="CX1728" i="12"/>
  <c r="CY1728" i="12" s="1"/>
  <c r="CX1729" i="12"/>
  <c r="CY1729" i="12" s="1"/>
  <c r="CX1714" i="12"/>
  <c r="CY1714" i="12" s="1"/>
  <c r="CX1721" i="12"/>
  <c r="CY1721" i="12" s="1"/>
  <c r="CX1723" i="12"/>
  <c r="CY1723" i="12" s="1"/>
  <c r="CX1718" i="12"/>
  <c r="CY1718" i="12" s="1"/>
  <c r="CX1727" i="12"/>
  <c r="CY1727" i="12" s="1"/>
  <c r="CX1722" i="12"/>
  <c r="CY1722" i="12" s="1"/>
  <c r="CX1719" i="12"/>
  <c r="CY1719" i="12" s="1"/>
  <c r="DE1624" i="12"/>
  <c r="DB1624" i="12"/>
  <c r="DA1624" i="12"/>
  <c r="DD1624" i="12"/>
  <c r="DC1624" i="12"/>
  <c r="CX1689" i="12"/>
  <c r="CY1689" i="12" s="1"/>
  <c r="CX1682" i="12"/>
  <c r="CY1682" i="12" s="1"/>
  <c r="CX1680" i="12"/>
  <c r="CY1680" i="12" s="1"/>
  <c r="CX1686" i="12"/>
  <c r="CY1686" i="12" s="1"/>
  <c r="CX1678" i="12"/>
  <c r="CY1678" i="12" s="1"/>
  <c r="CX1691" i="12"/>
  <c r="CY1691" i="12" s="1"/>
  <c r="CX1690" i="12"/>
  <c r="CY1690" i="12" s="1"/>
  <c r="CX1688" i="12"/>
  <c r="CY1688" i="12" s="1"/>
  <c r="CX1692" i="12"/>
  <c r="CY1692" i="12" s="1"/>
  <c r="CX1679" i="12"/>
  <c r="CY1679" i="12" s="1"/>
  <c r="CX1681" i="12"/>
  <c r="CY1681" i="12" s="1"/>
  <c r="CX1687" i="12"/>
  <c r="CY1687" i="12" s="1"/>
  <c r="CX1683" i="12"/>
  <c r="CY1683" i="12" s="1"/>
  <c r="CX1685" i="12"/>
  <c r="CY1685" i="12" s="1"/>
  <c r="CX1684" i="12"/>
  <c r="CY1684" i="12" s="1"/>
  <c r="CX1677" i="12"/>
  <c r="CY1677" i="12" s="1"/>
  <c r="CX1693" i="12"/>
  <c r="CY1693" i="12" s="1"/>
  <c r="FU27" i="12"/>
  <c r="GR27" i="12" s="1"/>
  <c r="FS28" i="12"/>
  <c r="CX2292" i="12"/>
  <c r="CY2291" i="12"/>
  <c r="CZ1576" i="12"/>
  <c r="CZ1525" i="12"/>
  <c r="CZ1508" i="12"/>
  <c r="CZ1474" i="12"/>
  <c r="CZ2213" i="12"/>
  <c r="CZ1610" i="12"/>
  <c r="CZ1422" i="12"/>
  <c r="CZ1441" i="12"/>
  <c r="CZ1457" i="12"/>
  <c r="CZ1387" i="12"/>
  <c r="CZ1594" i="12"/>
  <c r="CZ1646" i="12"/>
  <c r="CZ1491" i="12"/>
  <c r="CZ1542" i="12"/>
  <c r="CZ1698" i="12"/>
  <c r="CZ1662" i="12"/>
  <c r="CZ1627" i="12"/>
  <c r="CZ1559" i="12"/>
  <c r="CZ1679" i="12"/>
  <c r="CZ1715" i="12"/>
  <c r="DA2213" i="12" l="1"/>
  <c r="DD2213" i="12"/>
  <c r="DC2213" i="12"/>
  <c r="DB2213" i="12"/>
  <c r="DF2212" i="12" s="1"/>
  <c r="DE2213" i="12"/>
  <c r="HV12" i="12"/>
  <c r="HV9" i="12"/>
  <c r="HV7" i="12"/>
  <c r="HV5" i="12"/>
  <c r="HV11" i="12"/>
  <c r="HV10" i="12"/>
  <c r="HV3" i="12"/>
  <c r="HV8" i="12"/>
  <c r="HV6" i="12"/>
  <c r="HV4" i="12"/>
  <c r="HV13" i="12"/>
  <c r="HV14" i="12"/>
  <c r="HV15" i="12"/>
  <c r="HV17" i="12"/>
  <c r="HV16" i="12"/>
  <c r="HV18" i="12"/>
  <c r="HV73" i="12"/>
  <c r="HV28" i="12"/>
  <c r="HV99" i="12"/>
  <c r="HV120" i="12"/>
  <c r="HV21" i="12"/>
  <c r="HV220" i="12"/>
  <c r="HV58" i="12"/>
  <c r="HV183" i="12"/>
  <c r="HV185" i="12"/>
  <c r="HV218" i="12"/>
  <c r="HV107" i="12"/>
  <c r="HV196" i="12"/>
  <c r="HV227" i="12"/>
  <c r="HV77" i="12"/>
  <c r="HV212" i="12"/>
  <c r="HV96" i="12"/>
  <c r="HV69" i="12"/>
  <c r="HV40" i="12"/>
  <c r="HV103" i="12"/>
  <c r="HV22" i="12"/>
  <c r="HV131" i="12"/>
  <c r="HV219" i="12"/>
  <c r="HV112" i="12"/>
  <c r="HV141" i="12"/>
  <c r="HV216" i="12"/>
  <c r="HV224" i="12"/>
  <c r="HV55" i="12"/>
  <c r="HV129" i="12"/>
  <c r="HV176" i="12"/>
  <c r="HV92" i="12"/>
  <c r="HV211" i="12"/>
  <c r="HV109" i="12"/>
  <c r="HV223" i="12"/>
  <c r="HV165" i="12"/>
  <c r="HV197" i="12"/>
  <c r="HV132" i="12"/>
  <c r="HV124" i="12"/>
  <c r="HV200" i="12"/>
  <c r="HV148" i="12"/>
  <c r="HV48" i="12"/>
  <c r="HV207" i="12"/>
  <c r="HV63" i="12"/>
  <c r="HV78" i="12"/>
  <c r="HV110" i="12"/>
  <c r="HV194" i="12"/>
  <c r="HV182" i="12"/>
  <c r="HV205" i="12"/>
  <c r="HV101" i="12"/>
  <c r="HV186" i="12"/>
  <c r="HV188" i="12"/>
  <c r="HV202" i="12"/>
  <c r="HV178" i="12"/>
  <c r="HV37" i="12"/>
  <c r="HV142" i="12"/>
  <c r="HV104" i="12"/>
  <c r="HV36" i="12"/>
  <c r="HV38" i="12"/>
  <c r="HV27" i="12"/>
  <c r="HV19" i="12"/>
  <c r="HV75" i="12"/>
  <c r="HV195" i="12"/>
  <c r="HV226" i="12"/>
  <c r="HV125" i="12"/>
  <c r="HV47" i="12"/>
  <c r="HV180" i="12"/>
  <c r="HV122" i="12"/>
  <c r="HV171" i="12"/>
  <c r="HV222" i="12"/>
  <c r="HV54" i="12"/>
  <c r="HV33" i="12"/>
  <c r="HV201" i="12"/>
  <c r="HV42" i="12"/>
  <c r="HV127" i="12"/>
  <c r="HV203" i="12"/>
  <c r="HV140" i="12"/>
  <c r="HV181" i="12"/>
  <c r="HV189" i="12"/>
  <c r="HV113" i="12"/>
  <c r="HV76" i="12"/>
  <c r="HV52" i="12"/>
  <c r="HV162" i="12"/>
  <c r="HV20" i="12"/>
  <c r="HV190" i="12"/>
  <c r="HV89" i="12"/>
  <c r="HV51" i="12"/>
  <c r="HV160" i="12"/>
  <c r="HV121" i="12"/>
  <c r="HV137" i="12"/>
  <c r="HV138" i="12"/>
  <c r="HV23" i="12"/>
  <c r="HV164" i="12"/>
  <c r="HV65" i="12"/>
  <c r="HV198" i="12"/>
  <c r="HV228" i="12"/>
  <c r="HV144" i="12"/>
  <c r="HV60" i="12"/>
  <c r="HV193" i="12"/>
  <c r="HV30" i="12"/>
  <c r="HV50" i="12"/>
  <c r="HV88" i="12"/>
  <c r="HV59" i="12"/>
  <c r="HV119" i="12"/>
  <c r="HV192" i="12"/>
  <c r="HV86" i="12"/>
  <c r="HV102" i="12"/>
  <c r="HV145" i="12"/>
  <c r="HV191" i="12"/>
  <c r="HV97" i="12"/>
  <c r="HV70" i="12"/>
  <c r="HV123" i="12"/>
  <c r="HV154" i="12"/>
  <c r="HV61" i="12"/>
  <c r="HV95" i="12"/>
  <c r="HV81" i="12"/>
  <c r="HV74" i="12"/>
  <c r="HV229" i="12"/>
  <c r="HV90" i="12"/>
  <c r="HV71" i="12"/>
  <c r="HV143" i="12"/>
  <c r="HV199" i="12"/>
  <c r="HV32" i="12"/>
  <c r="HV79" i="12"/>
  <c r="HV39" i="12"/>
  <c r="HV72" i="12"/>
  <c r="HV225" i="12"/>
  <c r="HV117" i="12"/>
  <c r="HV43" i="12"/>
  <c r="HV46" i="12"/>
  <c r="HV41" i="12"/>
  <c r="HV26" i="12"/>
  <c r="HV179" i="12"/>
  <c r="HV57" i="12"/>
  <c r="HV213" i="12"/>
  <c r="HV126" i="12"/>
  <c r="HV108" i="12"/>
  <c r="HV105" i="12"/>
  <c r="HV98" i="12"/>
  <c r="HV64" i="12"/>
  <c r="HV210" i="12"/>
  <c r="HV100" i="12"/>
  <c r="HV217" i="12"/>
  <c r="HV184" i="12"/>
  <c r="HV29" i="12"/>
  <c r="HV114" i="12"/>
  <c r="HV49" i="12"/>
  <c r="HV136" i="12"/>
  <c r="HV56" i="12"/>
  <c r="HV139" i="12"/>
  <c r="HV68" i="12"/>
  <c r="HV177" i="12"/>
  <c r="HV45" i="12"/>
  <c r="HV206" i="12"/>
  <c r="HV172" i="12"/>
  <c r="HV106" i="12"/>
  <c r="HV168" i="12"/>
  <c r="HV91" i="12"/>
  <c r="HV167" i="12"/>
  <c r="HV53" i="12"/>
  <c r="HV80" i="12"/>
  <c r="HV159" i="12"/>
  <c r="HV85" i="12"/>
  <c r="HV67" i="12"/>
  <c r="HV163" i="12"/>
  <c r="HV83" i="12"/>
  <c r="HV25" i="12"/>
  <c r="HV24" i="12"/>
  <c r="HV221" i="12"/>
  <c r="HV62" i="12"/>
  <c r="HV87" i="12"/>
  <c r="HV35" i="12"/>
  <c r="HV94" i="12"/>
  <c r="HV128" i="12"/>
  <c r="HV169" i="12"/>
  <c r="HV130" i="12"/>
  <c r="HV152" i="12"/>
  <c r="HV134" i="12"/>
  <c r="HV146" i="12"/>
  <c r="HV93" i="12"/>
  <c r="HV166" i="12"/>
  <c r="HV82" i="12"/>
  <c r="HV173" i="12"/>
  <c r="HV44" i="12"/>
  <c r="HV230" i="12"/>
  <c r="HV153" i="12"/>
  <c r="HV149" i="12"/>
  <c r="HV158" i="12"/>
  <c r="HV155" i="12"/>
  <c r="HV147" i="12"/>
  <c r="HV111" i="12"/>
  <c r="HV187" i="12"/>
  <c r="HV215" i="12"/>
  <c r="HV115" i="12"/>
  <c r="HV156" i="12"/>
  <c r="HV66" i="12"/>
  <c r="HV118" i="12"/>
  <c r="HV151" i="12"/>
  <c r="HV135" i="12"/>
  <c r="HV174" i="12"/>
  <c r="HV175" i="12"/>
  <c r="HV161" i="12"/>
  <c r="HV34" i="12"/>
  <c r="HV157" i="12"/>
  <c r="HV133" i="12"/>
  <c r="HV116" i="12"/>
  <c r="HV209" i="12"/>
  <c r="HV214" i="12"/>
  <c r="HV204" i="12"/>
  <c r="HV170" i="12"/>
  <c r="HV208" i="12"/>
  <c r="HV150" i="12"/>
  <c r="HV84" i="12"/>
  <c r="HV31" i="12"/>
  <c r="DC1387" i="12"/>
  <c r="DB1387" i="12"/>
  <c r="DE1387" i="12"/>
  <c r="DA1387" i="12"/>
  <c r="DD1387" i="12"/>
  <c r="CX1753" i="12"/>
  <c r="CY1753" i="12" s="1"/>
  <c r="DA1422" i="12"/>
  <c r="DD1422" i="12"/>
  <c r="DB1422" i="12"/>
  <c r="DE1422" i="12"/>
  <c r="DC1422" i="12"/>
  <c r="DA1646" i="12"/>
  <c r="DC1646" i="12"/>
  <c r="DD1646" i="12"/>
  <c r="DB1646" i="12"/>
  <c r="DE1646" i="12"/>
  <c r="DB1627" i="12"/>
  <c r="DD1627" i="12"/>
  <c r="DA1627" i="12"/>
  <c r="DE1627" i="12"/>
  <c r="DC1627" i="12"/>
  <c r="DB1525" i="12"/>
  <c r="DD1525" i="12"/>
  <c r="DA1525" i="12"/>
  <c r="DE1525" i="12"/>
  <c r="DC1525" i="12"/>
  <c r="DC1474" i="12"/>
  <c r="DA1474" i="12"/>
  <c r="DB1474" i="12"/>
  <c r="DD1474" i="12"/>
  <c r="DE1474" i="12"/>
  <c r="DE1491" i="12"/>
  <c r="DA1491" i="12"/>
  <c r="DB1491" i="12"/>
  <c r="DD1491" i="12"/>
  <c r="DC1491" i="12"/>
  <c r="DB1542" i="12"/>
  <c r="DD1542" i="12"/>
  <c r="DC1542" i="12"/>
  <c r="DE1542" i="12"/>
  <c r="DA1542" i="12"/>
  <c r="DA1508" i="12"/>
  <c r="DD1508" i="12"/>
  <c r="DB1508" i="12"/>
  <c r="DC1508" i="12"/>
  <c r="DE1508" i="12"/>
  <c r="DE1662" i="12"/>
  <c r="DD1662" i="12"/>
  <c r="DB1662" i="12"/>
  <c r="DA1662" i="12"/>
  <c r="DC1662" i="12"/>
  <c r="DA1610" i="12"/>
  <c r="DC1610" i="12"/>
  <c r="DB1610" i="12"/>
  <c r="DE1610" i="12"/>
  <c r="DD1610" i="12"/>
  <c r="DB1576" i="12"/>
  <c r="DA1576" i="12"/>
  <c r="DD1576" i="12"/>
  <c r="DE1576" i="12"/>
  <c r="DC1576" i="12"/>
  <c r="DE1441" i="12"/>
  <c r="DA1441" i="12"/>
  <c r="DB1441" i="12"/>
  <c r="DC1441" i="12"/>
  <c r="DD1441" i="12"/>
  <c r="DB1559" i="12"/>
  <c r="DC1559" i="12"/>
  <c r="DA1559" i="12"/>
  <c r="DE1559" i="12"/>
  <c r="DD1559" i="12"/>
  <c r="DB1698" i="12"/>
  <c r="DE1698" i="12"/>
  <c r="DD1698" i="12"/>
  <c r="DA1698" i="12"/>
  <c r="DC1698" i="12"/>
  <c r="DC1594" i="12"/>
  <c r="DE1594" i="12"/>
  <c r="DB1594" i="12"/>
  <c r="DA1594" i="12"/>
  <c r="DD1594" i="12"/>
  <c r="DB1457" i="12"/>
  <c r="DD1457" i="12"/>
  <c r="DE1457" i="12"/>
  <c r="DA1457" i="12"/>
  <c r="DC1457" i="12"/>
  <c r="DC1660" i="12"/>
  <c r="DA1660" i="12"/>
  <c r="CX1761" i="12"/>
  <c r="CY1761" i="12" s="1"/>
  <c r="CX1756" i="12"/>
  <c r="CY1756" i="12" s="1"/>
  <c r="JK99" i="12"/>
  <c r="JL99" i="12" s="1"/>
  <c r="EA99" i="12" s="1"/>
  <c r="CX1739" i="12" s="1"/>
  <c r="CY1739" i="12" s="1"/>
  <c r="DB1660" i="12"/>
  <c r="DD1660" i="12"/>
  <c r="CX1752" i="12"/>
  <c r="CY1752" i="12" s="1"/>
  <c r="CX1751" i="12"/>
  <c r="CY1751" i="12" s="1"/>
  <c r="CX1760" i="12"/>
  <c r="CY1760" i="12" s="1"/>
  <c r="CX1764" i="12"/>
  <c r="CY1764" i="12" s="1"/>
  <c r="CX1765" i="12"/>
  <c r="CY1765" i="12" s="1"/>
  <c r="JH101" i="12"/>
  <c r="CX1758" i="12"/>
  <c r="CY1758" i="12" s="1"/>
  <c r="CX1762" i="12"/>
  <c r="CY1762" i="12" s="1"/>
  <c r="CX1757" i="12"/>
  <c r="CY1757" i="12" s="1"/>
  <c r="CX1763" i="12"/>
  <c r="CY1763" i="12" s="1"/>
  <c r="CX1754" i="12"/>
  <c r="CY1754" i="12" s="1"/>
  <c r="CX1749" i="12"/>
  <c r="CY1749" i="12" s="1"/>
  <c r="DC1749" i="12" s="1"/>
  <c r="CX1759" i="12"/>
  <c r="CY1759" i="12" s="1"/>
  <c r="CX1755" i="12"/>
  <c r="CY1755" i="12" s="1"/>
  <c r="DB1715" i="12"/>
  <c r="DD1715" i="12"/>
  <c r="DA1715" i="12"/>
  <c r="DE1715" i="12"/>
  <c r="DC1715" i="12"/>
  <c r="DD1679" i="12"/>
  <c r="DE1679" i="12"/>
  <c r="DC1679" i="12"/>
  <c r="DA1679" i="12"/>
  <c r="DB1679" i="12"/>
  <c r="DB1713" i="12"/>
  <c r="DD1713" i="12"/>
  <c r="DE1713" i="12"/>
  <c r="DC1677" i="12"/>
  <c r="DB1677" i="12" s="1"/>
  <c r="FU28" i="12"/>
  <c r="GR28" i="12" s="1"/>
  <c r="FS29" i="12"/>
  <c r="CX2293" i="12"/>
  <c r="CY2292" i="12"/>
  <c r="CZ1647" i="12"/>
  <c r="CZ1423" i="12"/>
  <c r="CZ1628" i="12"/>
  <c r="CZ1560" i="12"/>
  <c r="CZ1543" i="12"/>
  <c r="CZ1716" i="12"/>
  <c r="CZ1680" i="12"/>
  <c r="CZ2214" i="12"/>
  <c r="CZ1611" i="12"/>
  <c r="CZ1458" i="12"/>
  <c r="CZ1509" i="12"/>
  <c r="CZ1492" i="12"/>
  <c r="CZ1751" i="12"/>
  <c r="CZ1699" i="12"/>
  <c r="CZ1663" i="12"/>
  <c r="CZ1526" i="12"/>
  <c r="CZ1595" i="12"/>
  <c r="CZ1577" i="12"/>
  <c r="CZ1475" i="12"/>
  <c r="DD2214" i="12" l="1"/>
  <c r="DC2214" i="12"/>
  <c r="DB2214" i="12"/>
  <c r="DF2213" i="12" s="1"/>
  <c r="DE2214" i="12"/>
  <c r="DA2214" i="12"/>
  <c r="IW18" i="12"/>
  <c r="IY18" i="12" s="1"/>
  <c r="IV18" i="12"/>
  <c r="IX18" i="12" s="1"/>
  <c r="IW14" i="12"/>
  <c r="IY14" i="12" s="1"/>
  <c r="IV14" i="12"/>
  <c r="IX14" i="12" s="1"/>
  <c r="IW8" i="12"/>
  <c r="IY8" i="12" s="1"/>
  <c r="IV8" i="12"/>
  <c r="IX8" i="12" s="1"/>
  <c r="IV5" i="12"/>
  <c r="IX5" i="12" s="1"/>
  <c r="IW5" i="12"/>
  <c r="IY5" i="12" s="1"/>
  <c r="IW16" i="12"/>
  <c r="IY16" i="12" s="1"/>
  <c r="IV16" i="12"/>
  <c r="IX16" i="12" s="1"/>
  <c r="IV13" i="12"/>
  <c r="IX13" i="12" s="1"/>
  <c r="IW13" i="12"/>
  <c r="IY13" i="12" s="1"/>
  <c r="IW3" i="12"/>
  <c r="IY3" i="12" s="1"/>
  <c r="IV3" i="12"/>
  <c r="IX3" i="12" s="1"/>
  <c r="IW7" i="12"/>
  <c r="IY7" i="12" s="1"/>
  <c r="IV7" i="12"/>
  <c r="IX7" i="12" s="1"/>
  <c r="IW17" i="12"/>
  <c r="IY17" i="12" s="1"/>
  <c r="IV17" i="12"/>
  <c r="IX17" i="12" s="1"/>
  <c r="IV4" i="12"/>
  <c r="IX4" i="12" s="1"/>
  <c r="IW4" i="12"/>
  <c r="IY4" i="12" s="1"/>
  <c r="IW10" i="12"/>
  <c r="IY10" i="12" s="1"/>
  <c r="IV10" i="12"/>
  <c r="IX10" i="12" s="1"/>
  <c r="IW9" i="12"/>
  <c r="IY9" i="12" s="1"/>
  <c r="IV9" i="12"/>
  <c r="IX9" i="12" s="1"/>
  <c r="IV15" i="12"/>
  <c r="IX15" i="12" s="1"/>
  <c r="IW15" i="12"/>
  <c r="IY15" i="12" s="1"/>
  <c r="IW6" i="12"/>
  <c r="IY6" i="12" s="1"/>
  <c r="IV6" i="12"/>
  <c r="IX6" i="12" s="1"/>
  <c r="IW11" i="12"/>
  <c r="IY11" i="12" s="1"/>
  <c r="IV11" i="12"/>
  <c r="IX11" i="12" s="1"/>
  <c r="IV12" i="12"/>
  <c r="IX12" i="12" s="1"/>
  <c r="IW12" i="12"/>
  <c r="IY12" i="12" s="1"/>
  <c r="IW31" i="12"/>
  <c r="IY31" i="12" s="1"/>
  <c r="IV31" i="12"/>
  <c r="IX31" i="12" s="1"/>
  <c r="IV170" i="12"/>
  <c r="IX170" i="12" s="1"/>
  <c r="IW170" i="12"/>
  <c r="IY170" i="12" s="1"/>
  <c r="IV116" i="12"/>
  <c r="IX116" i="12" s="1"/>
  <c r="IW116" i="12"/>
  <c r="IY116" i="12" s="1"/>
  <c r="IV161" i="12"/>
  <c r="IX161" i="12" s="1"/>
  <c r="IW161" i="12"/>
  <c r="IY161" i="12" s="1"/>
  <c r="IW151" i="12"/>
  <c r="IY151" i="12" s="1"/>
  <c r="IV151" i="12"/>
  <c r="IX151" i="12" s="1"/>
  <c r="IW115" i="12"/>
  <c r="IY115" i="12" s="1"/>
  <c r="IV115" i="12"/>
  <c r="IX115" i="12" s="1"/>
  <c r="IV147" i="12"/>
  <c r="IX147" i="12" s="1"/>
  <c r="IW147" i="12"/>
  <c r="IY147" i="12" s="1"/>
  <c r="IW153" i="12"/>
  <c r="IY153" i="12" s="1"/>
  <c r="IV153" i="12"/>
  <c r="IX153" i="12" s="1"/>
  <c r="IV82" i="12"/>
  <c r="IX82" i="12" s="1"/>
  <c r="IW82" i="12"/>
  <c r="IY82" i="12" s="1"/>
  <c r="IV134" i="12"/>
  <c r="IX134" i="12" s="1"/>
  <c r="IW134" i="12"/>
  <c r="IY134" i="12" s="1"/>
  <c r="IW128" i="12"/>
  <c r="IY128" i="12" s="1"/>
  <c r="IV128" i="12"/>
  <c r="IX128" i="12" s="1"/>
  <c r="IV62" i="12"/>
  <c r="IX62" i="12" s="1"/>
  <c r="IW62" i="12"/>
  <c r="IY62" i="12" s="1"/>
  <c r="IW83" i="12"/>
  <c r="IY83" i="12" s="1"/>
  <c r="IV83" i="12"/>
  <c r="IX83" i="12" s="1"/>
  <c r="IW159" i="12"/>
  <c r="IY159" i="12" s="1"/>
  <c r="IV159" i="12"/>
  <c r="IX159" i="12" s="1"/>
  <c r="IW91" i="12"/>
  <c r="IY91" i="12" s="1"/>
  <c r="IV91" i="12"/>
  <c r="IX91" i="12" s="1"/>
  <c r="IW139" i="12"/>
  <c r="IY139" i="12" s="1"/>
  <c r="IV139" i="12"/>
  <c r="IX139" i="12" s="1"/>
  <c r="IW114" i="12"/>
  <c r="IY114" i="12" s="1"/>
  <c r="IV114" i="12"/>
  <c r="IX114" i="12" s="1"/>
  <c r="IV100" i="12"/>
  <c r="IX100" i="12" s="1"/>
  <c r="IW100" i="12"/>
  <c r="IY100" i="12" s="1"/>
  <c r="IV105" i="12"/>
  <c r="IX105" i="12" s="1"/>
  <c r="IW105" i="12"/>
  <c r="IY105" i="12" s="1"/>
  <c r="IW57" i="12"/>
  <c r="IY57" i="12" s="1"/>
  <c r="IV57" i="12"/>
  <c r="IX57" i="12" s="1"/>
  <c r="IV46" i="12"/>
  <c r="IX46" i="12" s="1"/>
  <c r="IW46" i="12"/>
  <c r="IY46" i="12" s="1"/>
  <c r="IW72" i="12"/>
  <c r="IY72" i="12" s="1"/>
  <c r="IV72" i="12"/>
  <c r="IX72" i="12" s="1"/>
  <c r="IV199" i="12"/>
  <c r="IX199" i="12" s="1"/>
  <c r="IW199" i="12"/>
  <c r="IY199" i="12" s="1"/>
  <c r="IV61" i="12"/>
  <c r="IX61" i="12" s="1"/>
  <c r="IW61" i="12"/>
  <c r="IY61" i="12" s="1"/>
  <c r="IW97" i="12"/>
  <c r="IY97" i="12" s="1"/>
  <c r="IV97" i="12"/>
  <c r="IX97" i="12" s="1"/>
  <c r="IV86" i="12"/>
  <c r="IX86" i="12" s="1"/>
  <c r="IW86" i="12"/>
  <c r="IY86" i="12" s="1"/>
  <c r="IV88" i="12"/>
  <c r="IX88" i="12" s="1"/>
  <c r="IW88" i="12"/>
  <c r="IY88" i="12" s="1"/>
  <c r="IV60" i="12"/>
  <c r="IX60" i="12" s="1"/>
  <c r="IW60" i="12"/>
  <c r="IY60" i="12" s="1"/>
  <c r="IV65" i="12"/>
  <c r="IX65" i="12" s="1"/>
  <c r="IW65" i="12"/>
  <c r="IY65" i="12" s="1"/>
  <c r="IV137" i="12"/>
  <c r="IX137" i="12" s="1"/>
  <c r="IW137" i="12"/>
  <c r="IY137" i="12" s="1"/>
  <c r="IV89" i="12"/>
  <c r="IX89" i="12" s="1"/>
  <c r="IW89" i="12"/>
  <c r="IY89" i="12" s="1"/>
  <c r="IV52" i="12"/>
  <c r="IX52" i="12" s="1"/>
  <c r="IW52" i="12"/>
  <c r="IY52" i="12" s="1"/>
  <c r="IW181" i="12"/>
  <c r="IY181" i="12" s="1"/>
  <c r="IV181" i="12"/>
  <c r="IX181" i="12" s="1"/>
  <c r="IW42" i="12"/>
  <c r="IY42" i="12" s="1"/>
  <c r="IV42" i="12"/>
  <c r="IX42" i="12" s="1"/>
  <c r="IW47" i="12"/>
  <c r="IY47" i="12" s="1"/>
  <c r="IV47" i="12"/>
  <c r="IX47" i="12" s="1"/>
  <c r="IW75" i="12"/>
  <c r="IY75" i="12" s="1"/>
  <c r="IV75" i="12"/>
  <c r="IX75" i="12" s="1"/>
  <c r="IW36" i="12"/>
  <c r="IY36" i="12" s="1"/>
  <c r="IV36" i="12"/>
  <c r="IX36" i="12" s="1"/>
  <c r="IV178" i="12"/>
  <c r="IX178" i="12" s="1"/>
  <c r="IW178" i="12"/>
  <c r="IY178" i="12" s="1"/>
  <c r="IW101" i="12"/>
  <c r="IY101" i="12" s="1"/>
  <c r="IV101" i="12"/>
  <c r="IX101" i="12" s="1"/>
  <c r="IV110" i="12"/>
  <c r="IX110" i="12" s="1"/>
  <c r="IW110" i="12"/>
  <c r="IY110" i="12" s="1"/>
  <c r="IV48" i="12"/>
  <c r="IX48" i="12" s="1"/>
  <c r="IW48" i="12"/>
  <c r="IY48" i="12" s="1"/>
  <c r="IV132" i="12"/>
  <c r="IX132" i="12" s="1"/>
  <c r="IW132" i="12"/>
  <c r="IY132" i="12" s="1"/>
  <c r="IV109" i="12"/>
  <c r="IX109" i="12" s="1"/>
  <c r="IW109" i="12"/>
  <c r="IY109" i="12" s="1"/>
  <c r="IW129" i="12"/>
  <c r="IY129" i="12" s="1"/>
  <c r="IV129" i="12"/>
  <c r="IX129" i="12" s="1"/>
  <c r="IV141" i="12"/>
  <c r="IX141" i="12" s="1"/>
  <c r="IW141" i="12"/>
  <c r="IY141" i="12" s="1"/>
  <c r="IW22" i="12"/>
  <c r="IY22" i="12" s="1"/>
  <c r="IV22" i="12"/>
  <c r="IX22" i="12" s="1"/>
  <c r="IV96" i="12"/>
  <c r="IX96" i="12" s="1"/>
  <c r="IW96" i="12"/>
  <c r="IY96" i="12" s="1"/>
  <c r="IW196" i="12"/>
  <c r="IY196" i="12" s="1"/>
  <c r="IV196" i="12"/>
  <c r="IX196" i="12" s="1"/>
  <c r="IW183" i="12"/>
  <c r="IY183" i="12" s="1"/>
  <c r="IV183" i="12"/>
  <c r="IX183" i="12" s="1"/>
  <c r="IV120" i="12"/>
  <c r="IX120" i="12" s="1"/>
  <c r="IW120" i="12"/>
  <c r="IY120" i="12" s="1"/>
  <c r="IV84" i="12"/>
  <c r="IX84" i="12" s="1"/>
  <c r="IW84" i="12"/>
  <c r="IY84" i="12" s="1"/>
  <c r="IV133" i="12"/>
  <c r="IX133" i="12" s="1"/>
  <c r="IW133" i="12"/>
  <c r="IY133" i="12" s="1"/>
  <c r="IV175" i="12"/>
  <c r="IX175" i="12" s="1"/>
  <c r="IW175" i="12"/>
  <c r="IY175" i="12" s="1"/>
  <c r="IV118" i="12"/>
  <c r="IX118" i="12" s="1"/>
  <c r="IW118" i="12"/>
  <c r="IY118" i="12" s="1"/>
  <c r="IW155" i="12"/>
  <c r="IY155" i="12" s="1"/>
  <c r="IV155" i="12"/>
  <c r="IX155" i="12" s="1"/>
  <c r="IW166" i="12"/>
  <c r="IY166" i="12" s="1"/>
  <c r="IV166" i="12"/>
  <c r="IX166" i="12" s="1"/>
  <c r="IW152" i="12"/>
  <c r="IY152" i="12" s="1"/>
  <c r="IV152" i="12"/>
  <c r="IX152" i="12" s="1"/>
  <c r="IW94" i="12"/>
  <c r="IY94" i="12" s="1"/>
  <c r="IV94" i="12"/>
  <c r="IX94" i="12" s="1"/>
  <c r="IW163" i="12"/>
  <c r="IY163" i="12" s="1"/>
  <c r="IV163" i="12"/>
  <c r="IX163" i="12" s="1"/>
  <c r="IV80" i="12"/>
  <c r="IX80" i="12" s="1"/>
  <c r="IW80" i="12"/>
  <c r="IY80" i="12" s="1"/>
  <c r="IW168" i="12"/>
  <c r="IY168" i="12" s="1"/>
  <c r="IV168" i="12"/>
  <c r="IX168" i="12" s="1"/>
  <c r="IV45" i="12"/>
  <c r="IX45" i="12" s="1"/>
  <c r="IW45" i="12"/>
  <c r="IY45" i="12" s="1"/>
  <c r="IW56" i="12"/>
  <c r="IY56" i="12" s="1"/>
  <c r="IV56" i="12"/>
  <c r="IX56" i="12" s="1"/>
  <c r="IV29" i="12"/>
  <c r="IX29" i="12" s="1"/>
  <c r="IW29" i="12"/>
  <c r="IY29" i="12" s="1"/>
  <c r="IW108" i="12"/>
  <c r="IY108" i="12" s="1"/>
  <c r="IV108" i="12"/>
  <c r="IX108" i="12" s="1"/>
  <c r="IW179" i="12"/>
  <c r="IY179" i="12" s="1"/>
  <c r="IV179" i="12"/>
  <c r="IX179" i="12" s="1"/>
  <c r="IW43" i="12"/>
  <c r="IY43" i="12" s="1"/>
  <c r="IV43" i="12"/>
  <c r="IX43" i="12" s="1"/>
  <c r="IV39" i="12"/>
  <c r="IX39" i="12" s="1"/>
  <c r="IW39" i="12"/>
  <c r="IY39" i="12" s="1"/>
  <c r="IW143" i="12"/>
  <c r="IY143" i="12" s="1"/>
  <c r="IV143" i="12"/>
  <c r="IX143" i="12" s="1"/>
  <c r="IW74" i="12"/>
  <c r="IY74" i="12" s="1"/>
  <c r="IV74" i="12"/>
  <c r="IX74" i="12" s="1"/>
  <c r="IW154" i="12"/>
  <c r="IY154" i="12" s="1"/>
  <c r="IV154" i="12"/>
  <c r="IX154" i="12" s="1"/>
  <c r="IV191" i="12"/>
  <c r="IX191" i="12" s="1"/>
  <c r="IW191" i="12"/>
  <c r="IY191" i="12" s="1"/>
  <c r="IV192" i="12"/>
  <c r="IX192" i="12" s="1"/>
  <c r="IW192" i="12"/>
  <c r="IY192" i="12" s="1"/>
  <c r="IW50" i="12"/>
  <c r="IY50" i="12" s="1"/>
  <c r="IV50" i="12"/>
  <c r="IX50" i="12" s="1"/>
  <c r="IV144" i="12"/>
  <c r="IX144" i="12" s="1"/>
  <c r="IW144" i="12"/>
  <c r="IY144" i="12" s="1"/>
  <c r="IV164" i="12"/>
  <c r="IX164" i="12" s="1"/>
  <c r="IW164" i="12"/>
  <c r="IY164" i="12" s="1"/>
  <c r="IW121" i="12"/>
  <c r="IY121" i="12" s="1"/>
  <c r="IV121" i="12"/>
  <c r="IX121" i="12" s="1"/>
  <c r="IW190" i="12"/>
  <c r="IY190" i="12" s="1"/>
  <c r="IV190" i="12"/>
  <c r="IX190" i="12" s="1"/>
  <c r="IV76" i="12"/>
  <c r="IX76" i="12" s="1"/>
  <c r="IW76" i="12"/>
  <c r="IY76" i="12" s="1"/>
  <c r="IV140" i="12"/>
  <c r="IX140" i="12" s="1"/>
  <c r="IW140" i="12"/>
  <c r="IY140" i="12" s="1"/>
  <c r="IV171" i="12"/>
  <c r="IX171" i="12" s="1"/>
  <c r="IW171" i="12"/>
  <c r="IY171" i="12" s="1"/>
  <c r="IV125" i="12"/>
  <c r="IX125" i="12" s="1"/>
  <c r="IW125" i="12"/>
  <c r="IY125" i="12" s="1"/>
  <c r="IW19" i="12"/>
  <c r="IY19" i="12" s="1"/>
  <c r="IV19" i="12"/>
  <c r="IX19" i="12" s="1"/>
  <c r="IW104" i="12"/>
  <c r="IY104" i="12" s="1"/>
  <c r="IV104" i="12"/>
  <c r="IX104" i="12" s="1"/>
  <c r="IV78" i="12"/>
  <c r="IX78" i="12" s="1"/>
  <c r="IW78" i="12"/>
  <c r="IY78" i="12" s="1"/>
  <c r="IW148" i="12"/>
  <c r="IY148" i="12" s="1"/>
  <c r="IV148" i="12"/>
  <c r="IX148" i="12" s="1"/>
  <c r="IV197" i="12"/>
  <c r="IX197" i="12" s="1"/>
  <c r="IW197" i="12"/>
  <c r="IY197" i="12" s="1"/>
  <c r="IW55" i="12"/>
  <c r="IY55" i="12" s="1"/>
  <c r="IV55" i="12"/>
  <c r="IX55" i="12" s="1"/>
  <c r="IW112" i="12"/>
  <c r="IY112" i="12" s="1"/>
  <c r="IV112" i="12"/>
  <c r="IX112" i="12" s="1"/>
  <c r="IV103" i="12"/>
  <c r="IX103" i="12" s="1"/>
  <c r="IW103" i="12"/>
  <c r="IY103" i="12" s="1"/>
  <c r="IW107" i="12"/>
  <c r="IY107" i="12" s="1"/>
  <c r="IV107" i="12"/>
  <c r="IX107" i="12" s="1"/>
  <c r="IV58" i="12"/>
  <c r="IX58" i="12" s="1"/>
  <c r="IW58" i="12"/>
  <c r="IY58" i="12" s="1"/>
  <c r="IV99" i="12"/>
  <c r="IX99" i="12" s="1"/>
  <c r="IW99" i="12"/>
  <c r="IY99" i="12" s="1"/>
  <c r="IW150" i="12"/>
  <c r="IY150" i="12" s="1"/>
  <c r="IV150" i="12"/>
  <c r="IX150" i="12" s="1"/>
  <c r="IV157" i="12"/>
  <c r="IX157" i="12" s="1"/>
  <c r="IW157" i="12"/>
  <c r="IY157" i="12" s="1"/>
  <c r="IV174" i="12"/>
  <c r="IX174" i="12" s="1"/>
  <c r="IW174" i="12"/>
  <c r="IY174" i="12" s="1"/>
  <c r="IW66" i="12"/>
  <c r="IY66" i="12" s="1"/>
  <c r="IV66" i="12"/>
  <c r="IX66" i="12" s="1"/>
  <c r="IW187" i="12"/>
  <c r="IY187" i="12" s="1"/>
  <c r="IV187" i="12"/>
  <c r="IX187" i="12" s="1"/>
  <c r="IW158" i="12"/>
  <c r="IY158" i="12" s="1"/>
  <c r="IV158" i="12"/>
  <c r="IX158" i="12" s="1"/>
  <c r="IW44" i="12"/>
  <c r="IY44" i="12" s="1"/>
  <c r="IV44" i="12"/>
  <c r="IX44" i="12" s="1"/>
  <c r="IV93" i="12"/>
  <c r="IX93" i="12" s="1"/>
  <c r="IW93" i="12"/>
  <c r="IY93" i="12" s="1"/>
  <c r="IV130" i="12"/>
  <c r="IX130" i="12" s="1"/>
  <c r="IW130" i="12"/>
  <c r="IY130" i="12" s="1"/>
  <c r="IW35" i="12"/>
  <c r="IY35" i="12" s="1"/>
  <c r="IV35" i="12"/>
  <c r="IX35" i="12" s="1"/>
  <c r="IW24" i="12"/>
  <c r="IY24" i="12" s="1"/>
  <c r="IV24" i="12"/>
  <c r="IX24" i="12" s="1"/>
  <c r="IV67" i="12"/>
  <c r="IX67" i="12" s="1"/>
  <c r="IW67" i="12"/>
  <c r="IY67" i="12" s="1"/>
  <c r="IV53" i="12"/>
  <c r="IX53" i="12" s="1"/>
  <c r="IW53" i="12"/>
  <c r="IY53" i="12" s="1"/>
  <c r="IV106" i="12"/>
  <c r="IX106" i="12" s="1"/>
  <c r="IW106" i="12"/>
  <c r="IY106" i="12" s="1"/>
  <c r="IW177" i="12"/>
  <c r="IY177" i="12" s="1"/>
  <c r="IV177" i="12"/>
  <c r="IX177" i="12" s="1"/>
  <c r="IV136" i="12"/>
  <c r="IX136" i="12" s="1"/>
  <c r="IW136" i="12"/>
  <c r="IY136" i="12" s="1"/>
  <c r="IW184" i="12"/>
  <c r="IY184" i="12" s="1"/>
  <c r="IV184" i="12"/>
  <c r="IX184" i="12" s="1"/>
  <c r="IW64" i="12"/>
  <c r="IY64" i="12" s="1"/>
  <c r="IV64" i="12"/>
  <c r="IX64" i="12" s="1"/>
  <c r="IW126" i="12"/>
  <c r="IY126" i="12" s="1"/>
  <c r="IV126" i="12"/>
  <c r="IX126" i="12" s="1"/>
  <c r="IW26" i="12"/>
  <c r="IY26" i="12" s="1"/>
  <c r="IV26" i="12"/>
  <c r="IX26" i="12" s="1"/>
  <c r="IW117" i="12"/>
  <c r="IY117" i="12" s="1"/>
  <c r="IV117" i="12"/>
  <c r="IX117" i="12" s="1"/>
  <c r="IV79" i="12"/>
  <c r="IX79" i="12" s="1"/>
  <c r="IW79" i="12"/>
  <c r="IY79" i="12" s="1"/>
  <c r="IW71" i="12"/>
  <c r="IY71" i="12" s="1"/>
  <c r="IV71" i="12"/>
  <c r="IX71" i="12" s="1"/>
  <c r="IV81" i="12"/>
  <c r="IX81" i="12" s="1"/>
  <c r="IW81" i="12"/>
  <c r="IY81" i="12" s="1"/>
  <c r="IV123" i="12"/>
  <c r="IX123" i="12" s="1"/>
  <c r="IW123" i="12"/>
  <c r="IY123" i="12" s="1"/>
  <c r="IV145" i="12"/>
  <c r="IX145" i="12" s="1"/>
  <c r="IW145" i="12"/>
  <c r="IY145" i="12" s="1"/>
  <c r="IW119" i="12"/>
  <c r="IY119" i="12" s="1"/>
  <c r="IV119" i="12"/>
  <c r="IX119" i="12" s="1"/>
  <c r="IV30" i="12"/>
  <c r="IX30" i="12" s="1"/>
  <c r="IW30" i="12"/>
  <c r="IY30" i="12" s="1"/>
  <c r="IV23" i="12"/>
  <c r="IX23" i="12" s="1"/>
  <c r="IW23" i="12"/>
  <c r="IY23" i="12" s="1"/>
  <c r="IW160" i="12"/>
  <c r="IY160" i="12" s="1"/>
  <c r="IV160" i="12"/>
  <c r="IX160" i="12" s="1"/>
  <c r="IV20" i="12"/>
  <c r="IX20" i="12" s="1"/>
  <c r="IW20" i="12"/>
  <c r="IY20" i="12" s="1"/>
  <c r="IW113" i="12"/>
  <c r="IY113" i="12" s="1"/>
  <c r="IV113" i="12"/>
  <c r="IX113" i="12" s="1"/>
  <c r="IW33" i="12"/>
  <c r="IY33" i="12" s="1"/>
  <c r="IV33" i="12"/>
  <c r="IX33" i="12" s="1"/>
  <c r="IW122" i="12"/>
  <c r="IY122" i="12" s="1"/>
  <c r="IV122" i="12"/>
  <c r="IX122" i="12" s="1"/>
  <c r="IV27" i="12"/>
  <c r="IX27" i="12" s="1"/>
  <c r="IW27" i="12"/>
  <c r="IY27" i="12" s="1"/>
  <c r="IV142" i="12"/>
  <c r="IX142" i="12" s="1"/>
  <c r="IW142" i="12"/>
  <c r="IY142" i="12" s="1"/>
  <c r="IW188" i="12"/>
  <c r="IY188" i="12" s="1"/>
  <c r="IV188" i="12"/>
  <c r="IX188" i="12" s="1"/>
  <c r="IW182" i="12"/>
  <c r="IY182" i="12" s="1"/>
  <c r="IV182" i="12"/>
  <c r="IX182" i="12" s="1"/>
  <c r="IV63" i="12"/>
  <c r="IX63" i="12" s="1"/>
  <c r="IW63" i="12"/>
  <c r="IY63" i="12" s="1"/>
  <c r="IW200" i="12"/>
  <c r="IY200" i="12" s="1"/>
  <c r="IV200" i="12"/>
  <c r="IX200" i="12" s="1"/>
  <c r="IV165" i="12"/>
  <c r="IX165" i="12" s="1"/>
  <c r="IW165" i="12"/>
  <c r="IY165" i="12" s="1"/>
  <c r="IV92" i="12"/>
  <c r="IX92" i="12" s="1"/>
  <c r="IW92" i="12"/>
  <c r="IY92" i="12" s="1"/>
  <c r="IW40" i="12"/>
  <c r="IY40" i="12" s="1"/>
  <c r="IV40" i="12"/>
  <c r="IX40" i="12" s="1"/>
  <c r="IV77" i="12"/>
  <c r="IX77" i="12" s="1"/>
  <c r="IW77" i="12"/>
  <c r="IY77" i="12" s="1"/>
  <c r="IW28" i="12"/>
  <c r="IY28" i="12" s="1"/>
  <c r="IV28" i="12"/>
  <c r="IX28" i="12" s="1"/>
  <c r="IW34" i="12"/>
  <c r="IY34" i="12" s="1"/>
  <c r="IV34" i="12"/>
  <c r="IX34" i="12" s="1"/>
  <c r="IV135" i="12"/>
  <c r="IX135" i="12" s="1"/>
  <c r="IW135" i="12"/>
  <c r="IY135" i="12" s="1"/>
  <c r="IV156" i="12"/>
  <c r="IX156" i="12" s="1"/>
  <c r="IW156" i="12"/>
  <c r="IY156" i="12" s="1"/>
  <c r="IW111" i="12"/>
  <c r="IY111" i="12" s="1"/>
  <c r="IV111" i="12"/>
  <c r="IX111" i="12" s="1"/>
  <c r="IV149" i="12"/>
  <c r="IX149" i="12" s="1"/>
  <c r="IW149" i="12"/>
  <c r="IY149" i="12" s="1"/>
  <c r="IV173" i="12"/>
  <c r="IX173" i="12" s="1"/>
  <c r="IW173" i="12"/>
  <c r="IY173" i="12" s="1"/>
  <c r="IW146" i="12"/>
  <c r="IY146" i="12" s="1"/>
  <c r="IV146" i="12"/>
  <c r="IX146" i="12" s="1"/>
  <c r="IV169" i="12"/>
  <c r="IX169" i="12" s="1"/>
  <c r="IW169" i="12"/>
  <c r="IY169" i="12" s="1"/>
  <c r="IW87" i="12"/>
  <c r="IY87" i="12" s="1"/>
  <c r="IV87" i="12"/>
  <c r="IX87" i="12" s="1"/>
  <c r="IW25" i="12"/>
  <c r="IY25" i="12" s="1"/>
  <c r="IV25" i="12"/>
  <c r="IX25" i="12" s="1"/>
  <c r="IV85" i="12"/>
  <c r="IX85" i="12" s="1"/>
  <c r="IW85" i="12"/>
  <c r="IY85" i="12" s="1"/>
  <c r="IW167" i="12"/>
  <c r="IY167" i="12" s="1"/>
  <c r="IV167" i="12"/>
  <c r="IX167" i="12" s="1"/>
  <c r="IV172" i="12"/>
  <c r="IX172" i="12" s="1"/>
  <c r="IW172" i="12"/>
  <c r="IY172" i="12" s="1"/>
  <c r="IW68" i="12"/>
  <c r="IY68" i="12" s="1"/>
  <c r="IV68" i="12"/>
  <c r="IX68" i="12" s="1"/>
  <c r="IV49" i="12"/>
  <c r="IX49" i="12" s="1"/>
  <c r="IW49" i="12"/>
  <c r="IY49" i="12" s="1"/>
  <c r="IW98" i="12"/>
  <c r="IY98" i="12" s="1"/>
  <c r="IV98" i="12"/>
  <c r="IX98" i="12" s="1"/>
  <c r="IW41" i="12"/>
  <c r="IY41" i="12" s="1"/>
  <c r="IV41" i="12"/>
  <c r="IX41" i="12" s="1"/>
  <c r="IW32" i="12"/>
  <c r="IY32" i="12" s="1"/>
  <c r="IV32" i="12"/>
  <c r="IX32" i="12" s="1"/>
  <c r="IW90" i="12"/>
  <c r="IY90" i="12" s="1"/>
  <c r="IV90" i="12"/>
  <c r="IX90" i="12" s="1"/>
  <c r="IW95" i="12"/>
  <c r="IY95" i="12" s="1"/>
  <c r="IV95" i="12"/>
  <c r="IX95" i="12" s="1"/>
  <c r="IV70" i="12"/>
  <c r="IX70" i="12" s="1"/>
  <c r="IW70" i="12"/>
  <c r="IY70" i="12" s="1"/>
  <c r="IW102" i="12"/>
  <c r="IY102" i="12" s="1"/>
  <c r="IV102" i="12"/>
  <c r="IX102" i="12" s="1"/>
  <c r="IW59" i="12"/>
  <c r="IY59" i="12" s="1"/>
  <c r="IV59" i="12"/>
  <c r="IX59" i="12" s="1"/>
  <c r="IW193" i="12"/>
  <c r="IY193" i="12" s="1"/>
  <c r="IV193" i="12"/>
  <c r="IX193" i="12" s="1"/>
  <c r="IV198" i="12"/>
  <c r="IX198" i="12" s="1"/>
  <c r="IW198" i="12"/>
  <c r="IY198" i="12" s="1"/>
  <c r="IV138" i="12"/>
  <c r="IX138" i="12" s="1"/>
  <c r="IW138" i="12"/>
  <c r="IY138" i="12" s="1"/>
  <c r="IW51" i="12"/>
  <c r="IY51" i="12" s="1"/>
  <c r="IV51" i="12"/>
  <c r="IX51" i="12" s="1"/>
  <c r="IV162" i="12"/>
  <c r="IX162" i="12" s="1"/>
  <c r="IW162" i="12"/>
  <c r="IY162" i="12" s="1"/>
  <c r="IW189" i="12"/>
  <c r="IY189" i="12" s="1"/>
  <c r="IV189" i="12"/>
  <c r="IX189" i="12" s="1"/>
  <c r="IV127" i="12"/>
  <c r="IX127" i="12" s="1"/>
  <c r="IW127" i="12"/>
  <c r="IY127" i="12" s="1"/>
  <c r="IW54" i="12"/>
  <c r="IY54" i="12" s="1"/>
  <c r="IV54" i="12"/>
  <c r="IX54" i="12" s="1"/>
  <c r="IW180" i="12"/>
  <c r="IY180" i="12" s="1"/>
  <c r="IV180" i="12"/>
  <c r="IX180" i="12" s="1"/>
  <c r="IV195" i="12"/>
  <c r="IX195" i="12" s="1"/>
  <c r="IW195" i="12"/>
  <c r="IY195" i="12" s="1"/>
  <c r="IW38" i="12"/>
  <c r="IY38" i="12" s="1"/>
  <c r="IV38" i="12"/>
  <c r="IX38" i="12" s="1"/>
  <c r="IW37" i="12"/>
  <c r="IY37" i="12" s="1"/>
  <c r="IV37" i="12"/>
  <c r="IX37" i="12" s="1"/>
  <c r="IW186" i="12"/>
  <c r="IY186" i="12" s="1"/>
  <c r="IV186" i="12"/>
  <c r="IX186" i="12" s="1"/>
  <c r="IW194" i="12"/>
  <c r="IY194" i="12" s="1"/>
  <c r="IV194" i="12"/>
  <c r="IX194" i="12" s="1"/>
  <c r="IW124" i="12"/>
  <c r="IY124" i="12" s="1"/>
  <c r="IV124" i="12"/>
  <c r="IX124" i="12" s="1"/>
  <c r="IV176" i="12"/>
  <c r="IX176" i="12" s="1"/>
  <c r="IW176" i="12"/>
  <c r="IY176" i="12" s="1"/>
  <c r="IW131" i="12"/>
  <c r="IY131" i="12" s="1"/>
  <c r="IV131" i="12"/>
  <c r="IX131" i="12" s="1"/>
  <c r="IV69" i="12"/>
  <c r="IX69" i="12" s="1"/>
  <c r="IW69" i="12"/>
  <c r="IY69" i="12" s="1"/>
  <c r="IV185" i="12"/>
  <c r="IX185" i="12" s="1"/>
  <c r="IW185" i="12"/>
  <c r="IY185" i="12" s="1"/>
  <c r="IV21" i="12"/>
  <c r="IX21" i="12" s="1"/>
  <c r="IW21" i="12"/>
  <c r="IY21" i="12" s="1"/>
  <c r="IV73" i="12"/>
  <c r="IX73" i="12" s="1"/>
  <c r="IW73" i="12"/>
  <c r="IY73" i="12" s="1"/>
  <c r="DB1716" i="12"/>
  <c r="DA1716" i="12"/>
  <c r="DE1716" i="12"/>
  <c r="DD1716" i="12"/>
  <c r="DC1716" i="12"/>
  <c r="DE1680" i="12"/>
  <c r="DB1680" i="12"/>
  <c r="DC1680" i="12"/>
  <c r="DD1680" i="12"/>
  <c r="DA1680" i="12"/>
  <c r="DD1492" i="12"/>
  <c r="DC1492" i="12"/>
  <c r="DB1492" i="12"/>
  <c r="DA1492" i="12"/>
  <c r="DE1492" i="12"/>
  <c r="DA1628" i="12"/>
  <c r="DC1628" i="12"/>
  <c r="DE1628" i="12"/>
  <c r="DD1628" i="12"/>
  <c r="DB1628" i="12"/>
  <c r="DA1458" i="12"/>
  <c r="DE1458" i="12"/>
  <c r="DC1458" i="12"/>
  <c r="DB1458" i="12"/>
  <c r="DD1458" i="12"/>
  <c r="DE1560" i="12"/>
  <c r="DD1560" i="12"/>
  <c r="DB1560" i="12"/>
  <c r="DC1560" i="12"/>
  <c r="DA1560" i="12"/>
  <c r="DB1663" i="12"/>
  <c r="DA1663" i="12"/>
  <c r="DD1663" i="12"/>
  <c r="DC1663" i="12"/>
  <c r="DE1663" i="12"/>
  <c r="DB1543" i="12"/>
  <c r="DE1543" i="12"/>
  <c r="DA1543" i="12"/>
  <c r="DD1543" i="12"/>
  <c r="DC1543" i="12"/>
  <c r="DB1595" i="12"/>
  <c r="DA1595" i="12"/>
  <c r="DC1595" i="12"/>
  <c r="DD1595" i="12"/>
  <c r="DE1595" i="12"/>
  <c r="DD1699" i="12"/>
  <c r="DC1699" i="12"/>
  <c r="DB1699" i="12"/>
  <c r="DA1699" i="12"/>
  <c r="DE1699" i="12"/>
  <c r="DA1577" i="12"/>
  <c r="DB1577" i="12"/>
  <c r="DC1577" i="12"/>
  <c r="DE1577" i="12"/>
  <c r="DD1577" i="12"/>
  <c r="DE1475" i="12"/>
  <c r="DD1475" i="12"/>
  <c r="DB1475" i="12"/>
  <c r="DC1475" i="12"/>
  <c r="DA1475" i="12"/>
  <c r="DC1423" i="12"/>
  <c r="DA1423" i="12"/>
  <c r="DB1423" i="12"/>
  <c r="DE1423" i="12"/>
  <c r="DD1423" i="12"/>
  <c r="DA1611" i="12"/>
  <c r="DD1611" i="12"/>
  <c r="DE1611" i="12"/>
  <c r="DB1611" i="12"/>
  <c r="DC1611" i="12"/>
  <c r="DB1509" i="12"/>
  <c r="DE1509" i="12"/>
  <c r="DD1509" i="12"/>
  <c r="DA1509" i="12"/>
  <c r="DC1509" i="12"/>
  <c r="DC1526" i="12"/>
  <c r="DD1526" i="12"/>
  <c r="DA1526" i="12"/>
  <c r="DE1526" i="12"/>
  <c r="DB1526" i="12"/>
  <c r="DB1647" i="12"/>
  <c r="DE1647" i="12"/>
  <c r="DA1647" i="12"/>
  <c r="DC1647" i="12"/>
  <c r="DD1647" i="12"/>
  <c r="CX1734" i="12"/>
  <c r="CY1734" i="12" s="1"/>
  <c r="CX1731" i="12"/>
  <c r="CY1731" i="12" s="1"/>
  <c r="DC1731" i="12" s="1"/>
  <c r="CX1736" i="12"/>
  <c r="CY1736" i="12" s="1"/>
  <c r="CX1735" i="12"/>
  <c r="CY1735" i="12" s="1"/>
  <c r="CX1741" i="12"/>
  <c r="CY1741" i="12" s="1"/>
  <c r="CX1740" i="12"/>
  <c r="CY1740" i="12" s="1"/>
  <c r="CX1746" i="12"/>
  <c r="CY1746" i="12" s="1"/>
  <c r="CX1744" i="12"/>
  <c r="CY1744" i="12" s="1"/>
  <c r="CX1745" i="12"/>
  <c r="CY1745" i="12" s="1"/>
  <c r="CX1742" i="12"/>
  <c r="CY1742" i="12" s="1"/>
  <c r="CX1733" i="12"/>
  <c r="CY1733" i="12" s="1"/>
  <c r="CX1732" i="12"/>
  <c r="CY1732" i="12" s="1"/>
  <c r="CX1743" i="12"/>
  <c r="CY1743" i="12" s="1"/>
  <c r="CX1737" i="12"/>
  <c r="CY1737" i="12" s="1"/>
  <c r="CX1738" i="12"/>
  <c r="CY1738" i="12" s="1"/>
  <c r="CX1747" i="12"/>
  <c r="CY1747" i="12" s="1"/>
  <c r="DE1751" i="12"/>
  <c r="DA1751" i="12"/>
  <c r="DB1751" i="12"/>
  <c r="DC1751" i="12"/>
  <c r="DD1751" i="12"/>
  <c r="JK101" i="12"/>
  <c r="JL101" i="12" s="1"/>
  <c r="EA101" i="12" s="1"/>
  <c r="JH102" i="12"/>
  <c r="DB1749" i="12"/>
  <c r="DE1749" i="12"/>
  <c r="DD1749" i="12"/>
  <c r="DD1677" i="12"/>
  <c r="DE1677" i="12"/>
  <c r="DB1678" i="12"/>
  <c r="DE1678" i="12"/>
  <c r="DA1678" i="12"/>
  <c r="DD1678" i="12"/>
  <c r="DC1678" i="12"/>
  <c r="DA1714" i="12"/>
  <c r="DE1714" i="12"/>
  <c r="DC1714" i="12"/>
  <c r="DB1714" i="12"/>
  <c r="DD1714" i="12"/>
  <c r="FU29" i="12"/>
  <c r="GR29" i="12" s="1"/>
  <c r="FS30" i="12"/>
  <c r="CX2294" i="12"/>
  <c r="CY2293" i="12"/>
  <c r="CZ1476" i="12"/>
  <c r="CZ1578" i="12"/>
  <c r="CZ1561" i="12"/>
  <c r="CZ2215" i="12"/>
  <c r="CZ1544" i="12"/>
  <c r="CZ1493" i="12"/>
  <c r="CZ1664" i="12"/>
  <c r="CZ1527" i="12"/>
  <c r="CZ1648" i="12"/>
  <c r="CZ1752" i="12"/>
  <c r="CZ1459" i="12"/>
  <c r="CZ1629" i="12"/>
  <c r="CZ1717" i="12"/>
  <c r="CZ1700" i="12"/>
  <c r="CZ1510" i="12"/>
  <c r="CZ1612" i="12"/>
  <c r="CZ1681" i="12"/>
  <c r="CZ1596" i="12"/>
  <c r="CZ1733" i="12"/>
  <c r="DB2215" i="12" l="1"/>
  <c r="DF2214" i="12" s="1"/>
  <c r="DD2215" i="12"/>
  <c r="DA2215" i="12"/>
  <c r="DE2215" i="12"/>
  <c r="DC2215" i="12"/>
  <c r="IZ10" i="12"/>
  <c r="IZ17" i="12"/>
  <c r="IZ3" i="12"/>
  <c r="IZ16" i="12"/>
  <c r="IZ8" i="12"/>
  <c r="IZ18" i="12"/>
  <c r="IZ170" i="12"/>
  <c r="IZ73" i="12"/>
  <c r="IZ131" i="12"/>
  <c r="IZ124" i="12"/>
  <c r="IZ186" i="12"/>
  <c r="IZ38" i="12"/>
  <c r="IZ180" i="12"/>
  <c r="IZ162" i="12"/>
  <c r="IZ193" i="12"/>
  <c r="IZ102" i="12"/>
  <c r="IZ95" i="12"/>
  <c r="IZ32" i="12"/>
  <c r="IZ98" i="12"/>
  <c r="IZ68" i="12"/>
  <c r="IZ167" i="12"/>
  <c r="IZ25" i="12"/>
  <c r="IZ173" i="12"/>
  <c r="IZ111" i="12"/>
  <c r="IZ135" i="12"/>
  <c r="IZ28" i="12"/>
  <c r="IZ40" i="12"/>
  <c r="IZ63" i="12"/>
  <c r="IZ188" i="12"/>
  <c r="IZ33" i="12"/>
  <c r="IZ20" i="12"/>
  <c r="IZ119" i="12"/>
  <c r="IZ123" i="12"/>
  <c r="IZ71" i="12"/>
  <c r="IZ117" i="12"/>
  <c r="IZ126" i="12"/>
  <c r="IZ184" i="12"/>
  <c r="IZ177" i="12"/>
  <c r="IZ24" i="12"/>
  <c r="IZ130" i="12"/>
  <c r="IZ44" i="12"/>
  <c r="IZ187" i="12"/>
  <c r="IZ150" i="12"/>
  <c r="IZ55" i="12"/>
  <c r="IZ148" i="12"/>
  <c r="IZ104" i="12"/>
  <c r="IZ140" i="12"/>
  <c r="IZ190" i="12"/>
  <c r="IZ164" i="12"/>
  <c r="IZ50" i="12"/>
  <c r="IZ74" i="12"/>
  <c r="IZ45" i="12"/>
  <c r="IZ196" i="12"/>
  <c r="IZ178" i="12"/>
  <c r="IZ60" i="12"/>
  <c r="IZ61" i="12"/>
  <c r="IZ72" i="12"/>
  <c r="IZ57" i="12"/>
  <c r="IZ139" i="12"/>
  <c r="IZ159" i="12"/>
  <c r="IZ153" i="12"/>
  <c r="IZ6" i="12"/>
  <c r="IZ9" i="12"/>
  <c r="IZ4" i="12"/>
  <c r="IZ7" i="12"/>
  <c r="IZ5" i="12"/>
  <c r="IZ14" i="12"/>
  <c r="IZ195" i="12"/>
  <c r="IZ49" i="12"/>
  <c r="IZ149" i="12"/>
  <c r="IZ156" i="12"/>
  <c r="IZ142" i="12"/>
  <c r="IZ67" i="12"/>
  <c r="IZ99" i="12"/>
  <c r="IZ171" i="12"/>
  <c r="IZ76" i="12"/>
  <c r="IZ192" i="12"/>
  <c r="IZ175" i="12"/>
  <c r="IZ84" i="12"/>
  <c r="IZ96" i="12"/>
  <c r="IZ141" i="12"/>
  <c r="IZ109" i="12"/>
  <c r="IZ89" i="12"/>
  <c r="IZ199" i="12"/>
  <c r="IZ105" i="12"/>
  <c r="IZ82" i="12"/>
  <c r="IZ147" i="12"/>
  <c r="IZ127" i="12"/>
  <c r="IZ179" i="12"/>
  <c r="IZ62" i="12"/>
  <c r="IZ12" i="12"/>
  <c r="IZ13" i="12"/>
  <c r="IZ11" i="12"/>
  <c r="IZ15" i="12"/>
  <c r="IZ94" i="12"/>
  <c r="IZ166" i="12"/>
  <c r="IZ22" i="12"/>
  <c r="IZ129" i="12"/>
  <c r="IZ110" i="12"/>
  <c r="IZ75" i="12"/>
  <c r="IZ42" i="12"/>
  <c r="IZ52" i="12"/>
  <c r="IZ115" i="12"/>
  <c r="IZ161" i="12"/>
  <c r="IZ185" i="12"/>
  <c r="IZ138" i="12"/>
  <c r="IZ169" i="12"/>
  <c r="IZ165" i="12"/>
  <c r="IZ27" i="12"/>
  <c r="IZ23" i="12"/>
  <c r="IZ53" i="12"/>
  <c r="IZ174" i="12"/>
  <c r="IZ58" i="12"/>
  <c r="IZ103" i="12"/>
  <c r="IZ125" i="12"/>
  <c r="IZ191" i="12"/>
  <c r="IZ39" i="12"/>
  <c r="IZ29" i="12"/>
  <c r="IZ80" i="12"/>
  <c r="IZ118" i="12"/>
  <c r="IZ133" i="12"/>
  <c r="IZ120" i="12"/>
  <c r="IZ132" i="12"/>
  <c r="IZ137" i="12"/>
  <c r="IZ86" i="12"/>
  <c r="IZ100" i="12"/>
  <c r="IZ134" i="12"/>
  <c r="IZ21" i="12"/>
  <c r="IZ69" i="12"/>
  <c r="IZ176" i="12"/>
  <c r="IZ194" i="12"/>
  <c r="IZ37" i="12"/>
  <c r="IZ54" i="12"/>
  <c r="IZ189" i="12"/>
  <c r="IZ51" i="12"/>
  <c r="IZ198" i="12"/>
  <c r="IZ59" i="12"/>
  <c r="IZ70" i="12"/>
  <c r="IZ90" i="12"/>
  <c r="IZ41" i="12"/>
  <c r="IZ172" i="12"/>
  <c r="IZ85" i="12"/>
  <c r="IZ87" i="12"/>
  <c r="IZ146" i="12"/>
  <c r="IZ34" i="12"/>
  <c r="IZ77" i="12"/>
  <c r="IZ92" i="12"/>
  <c r="IZ200" i="12"/>
  <c r="IX1" i="12"/>
  <c r="IZ182" i="12"/>
  <c r="IZ122" i="12"/>
  <c r="IZ113" i="12"/>
  <c r="IZ160" i="12"/>
  <c r="IZ30" i="12"/>
  <c r="IZ145" i="12"/>
  <c r="IZ81" i="12"/>
  <c r="IZ79" i="12"/>
  <c r="IZ26" i="12"/>
  <c r="IZ64" i="12"/>
  <c r="IZ136" i="12"/>
  <c r="IZ106" i="12"/>
  <c r="IZ35" i="12"/>
  <c r="IZ93" i="12"/>
  <c r="IZ158" i="12"/>
  <c r="IZ66" i="12"/>
  <c r="IZ157" i="12"/>
  <c r="IZ107" i="12"/>
  <c r="IZ112" i="12"/>
  <c r="IZ197" i="12"/>
  <c r="IZ78" i="12"/>
  <c r="IZ19" i="12"/>
  <c r="IZ121" i="12"/>
  <c r="IZ144" i="12"/>
  <c r="IZ154" i="12"/>
  <c r="IZ143" i="12"/>
  <c r="IZ43" i="12"/>
  <c r="IZ108" i="12"/>
  <c r="IZ56" i="12"/>
  <c r="IZ168" i="12"/>
  <c r="IZ163" i="12"/>
  <c r="IZ152" i="12"/>
  <c r="IZ155" i="12"/>
  <c r="IZ183" i="12"/>
  <c r="IZ48" i="12"/>
  <c r="IZ101" i="12"/>
  <c r="IZ36" i="12"/>
  <c r="IZ47" i="12"/>
  <c r="IZ181" i="12"/>
  <c r="IZ65" i="12"/>
  <c r="IZ88" i="12"/>
  <c r="IZ97" i="12"/>
  <c r="IZ46" i="12"/>
  <c r="IZ114" i="12"/>
  <c r="IZ91" i="12"/>
  <c r="IZ83" i="12"/>
  <c r="IZ128" i="12"/>
  <c r="IZ151" i="12"/>
  <c r="IZ116" i="12"/>
  <c r="IZ31" i="12"/>
  <c r="IY1" i="12"/>
  <c r="DA1476" i="12"/>
  <c r="DC1476" i="12"/>
  <c r="DE1476" i="12"/>
  <c r="DD1476" i="12"/>
  <c r="DB1476" i="12"/>
  <c r="DB1596" i="12"/>
  <c r="DA1596" i="12"/>
  <c r="DD1596" i="12"/>
  <c r="DE1596" i="12"/>
  <c r="DC1596" i="12"/>
  <c r="DC1629" i="12"/>
  <c r="DA1629" i="12"/>
  <c r="DD1629" i="12"/>
  <c r="DB1629" i="12"/>
  <c r="DE1629" i="12"/>
  <c r="DE1752" i="12"/>
  <c r="DB1752" i="12"/>
  <c r="DC1752" i="12"/>
  <c r="DD1752" i="12"/>
  <c r="DA1752" i="12"/>
  <c r="DD1648" i="12"/>
  <c r="DA1648" i="12"/>
  <c r="DC1648" i="12"/>
  <c r="DB1648" i="12"/>
  <c r="DE1648" i="12"/>
  <c r="DE1612" i="12"/>
  <c r="DC1612" i="12"/>
  <c r="DD1612" i="12"/>
  <c r="DB1612" i="12"/>
  <c r="DA1612" i="12"/>
  <c r="DC1493" i="12"/>
  <c r="DE1493" i="12"/>
  <c r="DA1493" i="12"/>
  <c r="DB1493" i="12"/>
  <c r="DD1493" i="12"/>
  <c r="DC1717" i="12"/>
  <c r="DA1717" i="12"/>
  <c r="DD1717" i="12"/>
  <c r="DE1717" i="12"/>
  <c r="DB1717" i="12"/>
  <c r="DA1527" i="12"/>
  <c r="DB1527" i="12"/>
  <c r="DD1527" i="12"/>
  <c r="DE1527" i="12"/>
  <c r="DC1527" i="12"/>
  <c r="DA1510" i="12"/>
  <c r="DE1510" i="12"/>
  <c r="DC1510" i="12"/>
  <c r="DD1510" i="12"/>
  <c r="DB1510" i="12"/>
  <c r="DE1578" i="12"/>
  <c r="DA1578" i="12"/>
  <c r="DD1578" i="12"/>
  <c r="DC1578" i="12"/>
  <c r="DB1578" i="12"/>
  <c r="DD1700" i="12"/>
  <c r="DA1700" i="12"/>
  <c r="DB1700" i="12"/>
  <c r="DE1700" i="12"/>
  <c r="DC1700" i="12"/>
  <c r="DD1664" i="12"/>
  <c r="DB1664" i="12"/>
  <c r="DA1664" i="12"/>
  <c r="DE1664" i="12"/>
  <c r="DC1664" i="12"/>
  <c r="DC1561" i="12"/>
  <c r="DA1561" i="12"/>
  <c r="DD1561" i="12"/>
  <c r="DE1561" i="12"/>
  <c r="DB1561" i="12"/>
  <c r="DC1459" i="12"/>
  <c r="DE1459" i="12"/>
  <c r="DB1459" i="12"/>
  <c r="DA1459" i="12"/>
  <c r="DD1459" i="12"/>
  <c r="DC1544" i="12"/>
  <c r="DE1544" i="12"/>
  <c r="DD1544" i="12"/>
  <c r="DB1544" i="12"/>
  <c r="DA1544" i="12"/>
  <c r="DC1681" i="12"/>
  <c r="DE1681" i="12"/>
  <c r="DD1681" i="12"/>
  <c r="DB1681" i="12"/>
  <c r="DA1681" i="12"/>
  <c r="DB1731" i="12"/>
  <c r="DE1731" i="12"/>
  <c r="DD1731" i="12"/>
  <c r="DC1733" i="12"/>
  <c r="DE1733" i="12"/>
  <c r="DD1733" i="12"/>
  <c r="DA1733" i="12"/>
  <c r="DB1733" i="12"/>
  <c r="CX1770" i="12"/>
  <c r="CY1770" i="12" s="1"/>
  <c r="CX1769" i="12"/>
  <c r="CY1769" i="12" s="1"/>
  <c r="CX1774" i="12"/>
  <c r="CY1774" i="12" s="1"/>
  <c r="CX1783" i="12"/>
  <c r="CY1783" i="12" s="1"/>
  <c r="CX1776" i="12"/>
  <c r="CY1776" i="12" s="1"/>
  <c r="CX1773" i="12"/>
  <c r="CY1773" i="12" s="1"/>
  <c r="CX1777" i="12"/>
  <c r="CY1777" i="12" s="1"/>
  <c r="CX1767" i="12"/>
  <c r="CY1767" i="12" s="1"/>
  <c r="DC1767" i="12" s="1"/>
  <c r="CX1772" i="12"/>
  <c r="CY1772" i="12" s="1"/>
  <c r="CX1782" i="12"/>
  <c r="CY1782" i="12" s="1"/>
  <c r="CX1771" i="12"/>
  <c r="CY1771" i="12" s="1"/>
  <c r="CX1781" i="12"/>
  <c r="CY1781" i="12" s="1"/>
  <c r="CX1775" i="12"/>
  <c r="CY1775" i="12" s="1"/>
  <c r="CX1780" i="12"/>
  <c r="CY1780" i="12" s="1"/>
  <c r="CX1778" i="12"/>
  <c r="CY1778" i="12" s="1"/>
  <c r="CX1768" i="12"/>
  <c r="CY1768" i="12" s="1"/>
  <c r="CX1779" i="12"/>
  <c r="CY1779" i="12" s="1"/>
  <c r="JH103" i="12"/>
  <c r="JK102" i="12"/>
  <c r="JL102" i="12" s="1"/>
  <c r="EA102" i="12" s="1"/>
  <c r="DB1750" i="12"/>
  <c r="DE1750" i="12"/>
  <c r="DD1750" i="12"/>
  <c r="DA1750" i="12"/>
  <c r="DC1750" i="12"/>
  <c r="FU30" i="12"/>
  <c r="FS31" i="12"/>
  <c r="CX2295" i="12"/>
  <c r="CY2294" i="12"/>
  <c r="CZ2216" i="12"/>
  <c r="CZ1562" i="12"/>
  <c r="CZ1649" i="12"/>
  <c r="CZ1701" i="12"/>
  <c r="CZ1682" i="12"/>
  <c r="CZ1579" i="12"/>
  <c r="CZ1718" i="12"/>
  <c r="CZ1753" i="12"/>
  <c r="CZ1494" i="12"/>
  <c r="CZ1630" i="12"/>
  <c r="CZ1613" i="12"/>
  <c r="CZ1545" i="12"/>
  <c r="CZ1528" i="12"/>
  <c r="CZ1511" i="12"/>
  <c r="CZ1597" i="12"/>
  <c r="CZ1477" i="12"/>
  <c r="CZ1734" i="12"/>
  <c r="CZ1665" i="12"/>
  <c r="CZ1769" i="12"/>
  <c r="DB2216" i="12" l="1"/>
  <c r="DF2215" i="12" s="1"/>
  <c r="DD2216" i="12"/>
  <c r="DE2216" i="12"/>
  <c r="DA2216" i="12"/>
  <c r="DC2216" i="12"/>
  <c r="IW1" i="12"/>
  <c r="DC1682" i="12"/>
  <c r="DA1682" i="12"/>
  <c r="DB1682" i="12"/>
  <c r="DE1682" i="12"/>
  <c r="DD1682" i="12"/>
  <c r="DC1630" i="12"/>
  <c r="DD1630" i="12"/>
  <c r="DE1630" i="12"/>
  <c r="DB1630" i="12"/>
  <c r="DA1630" i="12"/>
  <c r="DC1545" i="12"/>
  <c r="DA1545" i="12"/>
  <c r="DB1545" i="12"/>
  <c r="DD1545" i="12"/>
  <c r="DE1545" i="12"/>
  <c r="DA1734" i="12"/>
  <c r="DD1734" i="12"/>
  <c r="DB1734" i="12"/>
  <c r="DC1734" i="12"/>
  <c r="DE1734" i="12"/>
  <c r="DB1562" i="12"/>
  <c r="DC1562" i="12"/>
  <c r="DE1562" i="12"/>
  <c r="DA1562" i="12"/>
  <c r="DD1562" i="12"/>
  <c r="DE1665" i="12"/>
  <c r="DA1665" i="12"/>
  <c r="DB1665" i="12"/>
  <c r="DD1665" i="12"/>
  <c r="DC1665" i="12"/>
  <c r="DE1528" i="12"/>
  <c r="DA1528" i="12"/>
  <c r="DC1528" i="12"/>
  <c r="DB1528" i="12"/>
  <c r="DD1528" i="12"/>
  <c r="DD1494" i="12"/>
  <c r="DE1494" i="12"/>
  <c r="DB1494" i="12"/>
  <c r="DC1494" i="12"/>
  <c r="DA1494" i="12"/>
  <c r="DE1649" i="12"/>
  <c r="DD1649" i="12"/>
  <c r="DA1649" i="12"/>
  <c r="DB1649" i="12"/>
  <c r="DC1649" i="12"/>
  <c r="DD1753" i="12"/>
  <c r="DE1753" i="12"/>
  <c r="DB1753" i="12"/>
  <c r="DC1753" i="12"/>
  <c r="DA1753" i="12"/>
  <c r="DD1597" i="12"/>
  <c r="DC1597" i="12"/>
  <c r="DB1597" i="12"/>
  <c r="DE1597" i="12"/>
  <c r="DA1597" i="12"/>
  <c r="DA1701" i="12"/>
  <c r="DD1701" i="12"/>
  <c r="DB1701" i="12"/>
  <c r="DC1701" i="12"/>
  <c r="DE1701" i="12"/>
  <c r="DE1579" i="12"/>
  <c r="DA1579" i="12"/>
  <c r="DB1579" i="12"/>
  <c r="DC1579" i="12"/>
  <c r="DD1579" i="12"/>
  <c r="DA1511" i="12"/>
  <c r="DE1511" i="12"/>
  <c r="DB1511" i="12"/>
  <c r="DD1511" i="12"/>
  <c r="DC1511" i="12"/>
  <c r="DB1718" i="12"/>
  <c r="DE1718" i="12"/>
  <c r="DC1718" i="12"/>
  <c r="DA1718" i="12"/>
  <c r="DD1718" i="12"/>
  <c r="DC1613" i="12"/>
  <c r="DD1613" i="12"/>
  <c r="DA1613" i="12"/>
  <c r="DE1613" i="12"/>
  <c r="DB1613" i="12"/>
  <c r="DC1477" i="12"/>
  <c r="DD1477" i="12"/>
  <c r="DE1477" i="12"/>
  <c r="DA1477" i="12"/>
  <c r="DB1477" i="12"/>
  <c r="DA1732" i="12"/>
  <c r="DB1732" i="12"/>
  <c r="DE1732" i="12"/>
  <c r="DD1732" i="12"/>
  <c r="DC1732" i="12"/>
  <c r="DE1769" i="12"/>
  <c r="DA1769" i="12"/>
  <c r="DB1769" i="12"/>
  <c r="DD1769" i="12"/>
  <c r="DC1769" i="12"/>
  <c r="JH104" i="12"/>
  <c r="JK103" i="12"/>
  <c r="JL103" i="12" s="1"/>
  <c r="EA103" i="12" s="1"/>
  <c r="CX1790" i="12"/>
  <c r="CY1790" i="12" s="1"/>
  <c r="CX1797" i="12"/>
  <c r="CY1797" i="12" s="1"/>
  <c r="CX1789" i="12"/>
  <c r="CY1789" i="12" s="1"/>
  <c r="CX1786" i="12"/>
  <c r="CY1786" i="12" s="1"/>
  <c r="CX1791" i="12"/>
  <c r="CY1791" i="12" s="1"/>
  <c r="CX1787" i="12"/>
  <c r="CY1787" i="12" s="1"/>
  <c r="CX1785" i="12"/>
  <c r="CY1785" i="12" s="1"/>
  <c r="CX1792" i="12"/>
  <c r="CY1792" i="12" s="1"/>
  <c r="CX1795" i="12"/>
  <c r="CY1795" i="12" s="1"/>
  <c r="CX1800" i="12"/>
  <c r="CY1800" i="12" s="1"/>
  <c r="CX1788" i="12"/>
  <c r="CY1788" i="12" s="1"/>
  <c r="CX1798" i="12"/>
  <c r="CY1798" i="12" s="1"/>
  <c r="CX1801" i="12"/>
  <c r="CY1801" i="12" s="1"/>
  <c r="CX1796" i="12"/>
  <c r="CY1796" i="12" s="1"/>
  <c r="CX1799" i="12"/>
  <c r="CY1799" i="12" s="1"/>
  <c r="CX1794" i="12"/>
  <c r="CY1794" i="12" s="1"/>
  <c r="CX1793" i="12"/>
  <c r="CY1793" i="12" s="1"/>
  <c r="DB1767" i="12"/>
  <c r="DE1767" i="12"/>
  <c r="DD1767" i="12"/>
  <c r="GR30" i="12"/>
  <c r="FS32" i="12"/>
  <c r="FU31" i="12"/>
  <c r="GR31" i="12" s="1"/>
  <c r="CX2296" i="12"/>
  <c r="CY2295" i="12"/>
  <c r="CZ1770" i="12"/>
  <c r="CZ1598" i="12"/>
  <c r="CZ1563" i="12"/>
  <c r="CZ1666" i="12"/>
  <c r="CZ1650" i="12"/>
  <c r="CZ1546" i="12"/>
  <c r="CZ1702" i="12"/>
  <c r="CZ1683" i="12"/>
  <c r="CZ1735" i="12"/>
  <c r="CZ1495" i="12"/>
  <c r="CZ1754" i="12"/>
  <c r="CZ1580" i="12"/>
  <c r="CZ1719" i="12"/>
  <c r="CZ2217" i="12"/>
  <c r="CZ1787" i="12"/>
  <c r="CZ1614" i="12"/>
  <c r="CZ1512" i="12"/>
  <c r="CZ1529" i="12"/>
  <c r="CZ1631" i="12"/>
  <c r="DC2217" i="12" l="1"/>
  <c r="DB2217" i="12"/>
  <c r="DF2216" i="12" s="1"/>
  <c r="DE2217" i="12"/>
  <c r="DD2217" i="12"/>
  <c r="DA2217" i="12"/>
  <c r="DD1702" i="12"/>
  <c r="DB1702" i="12"/>
  <c r="DE1702" i="12"/>
  <c r="DA1702" i="12"/>
  <c r="DC1702" i="12"/>
  <c r="DB1598" i="12"/>
  <c r="DA1598" i="12"/>
  <c r="DE1598" i="12"/>
  <c r="DD1598" i="12"/>
  <c r="DC1598" i="12"/>
  <c r="DE1495" i="12"/>
  <c r="DD1495" i="12"/>
  <c r="DA1495" i="12"/>
  <c r="DB1495" i="12"/>
  <c r="DC1495" i="12"/>
  <c r="DA1529" i="12"/>
  <c r="DE1529" i="12"/>
  <c r="DB1529" i="12"/>
  <c r="DC1529" i="12"/>
  <c r="DD1529" i="12"/>
  <c r="DC1770" i="12"/>
  <c r="DD1770" i="12"/>
  <c r="DA1770" i="12"/>
  <c r="DB1770" i="12"/>
  <c r="DE1770" i="12"/>
  <c r="DD1683" i="12"/>
  <c r="DE1683" i="12"/>
  <c r="DA1683" i="12"/>
  <c r="DB1683" i="12"/>
  <c r="DC1683" i="12"/>
  <c r="DE1614" i="12"/>
  <c r="DB1614" i="12"/>
  <c r="DD1614" i="12"/>
  <c r="DA1614" i="12"/>
  <c r="DC1614" i="12"/>
  <c r="DB1719" i="12"/>
  <c r="DE1719" i="12"/>
  <c r="DC1719" i="12"/>
  <c r="DD1719" i="12"/>
  <c r="DA1719" i="12"/>
  <c r="DD1650" i="12"/>
  <c r="DE1650" i="12"/>
  <c r="DC1650" i="12"/>
  <c r="DA1650" i="12"/>
  <c r="DB1650" i="12"/>
  <c r="DE1666" i="12"/>
  <c r="DD1666" i="12"/>
  <c r="DC1666" i="12"/>
  <c r="DA1666" i="12"/>
  <c r="DB1666" i="12"/>
  <c r="DB1512" i="12"/>
  <c r="DD1512" i="12"/>
  <c r="DC1512" i="12"/>
  <c r="DA1512" i="12"/>
  <c r="DE1512" i="12"/>
  <c r="DE1580" i="12"/>
  <c r="DD1580" i="12"/>
  <c r="DB1580" i="12"/>
  <c r="DA1580" i="12"/>
  <c r="DC1580" i="12"/>
  <c r="DC1546" i="12"/>
  <c r="DE1546" i="12"/>
  <c r="DD1546" i="12"/>
  <c r="DB1546" i="12"/>
  <c r="DA1546" i="12"/>
  <c r="DA1631" i="12"/>
  <c r="DB1631" i="12"/>
  <c r="DC1631" i="12"/>
  <c r="DD1631" i="12"/>
  <c r="DE1631" i="12"/>
  <c r="DB1754" i="12"/>
  <c r="DA1754" i="12"/>
  <c r="DE1754" i="12"/>
  <c r="DD1754" i="12"/>
  <c r="DC1754" i="12"/>
  <c r="DD1563" i="12"/>
  <c r="DC1563" i="12"/>
  <c r="DA1563" i="12"/>
  <c r="DB1563" i="12"/>
  <c r="DE1563" i="12"/>
  <c r="DC1735" i="12"/>
  <c r="DD1735" i="12"/>
  <c r="DA1735" i="12"/>
  <c r="DB1735" i="12"/>
  <c r="DE1735" i="12"/>
  <c r="DE1787" i="12"/>
  <c r="DD1787" i="12"/>
  <c r="DB1787" i="12"/>
  <c r="DA1787" i="12"/>
  <c r="DC1787" i="12"/>
  <c r="DC1785" i="12"/>
  <c r="DB1785" i="12" s="1"/>
  <c r="CX1815" i="12"/>
  <c r="CY1815" i="12" s="1"/>
  <c r="CX1809" i="12"/>
  <c r="CY1809" i="12" s="1"/>
  <c r="CX1818" i="12"/>
  <c r="CY1818" i="12" s="1"/>
  <c r="CX1807" i="12"/>
  <c r="CY1807" i="12" s="1"/>
  <c r="CX1803" i="12"/>
  <c r="CY1803" i="12" s="1"/>
  <c r="CX1817" i="12"/>
  <c r="CY1817" i="12" s="1"/>
  <c r="CX1805" i="12"/>
  <c r="CY1805" i="12" s="1"/>
  <c r="CX1819" i="12"/>
  <c r="CY1819" i="12" s="1"/>
  <c r="CX1806" i="12"/>
  <c r="CY1806" i="12" s="1"/>
  <c r="CX1813" i="12"/>
  <c r="CY1813" i="12" s="1"/>
  <c r="CX1814" i="12"/>
  <c r="CY1814" i="12" s="1"/>
  <c r="CX1808" i="12"/>
  <c r="CY1808" i="12" s="1"/>
  <c r="CX1804" i="12"/>
  <c r="CY1804" i="12" s="1"/>
  <c r="CX1811" i="12"/>
  <c r="CY1811" i="12" s="1"/>
  <c r="CX1810" i="12"/>
  <c r="CY1810" i="12" s="1"/>
  <c r="CX1816" i="12"/>
  <c r="CY1816" i="12" s="1"/>
  <c r="CX1812" i="12"/>
  <c r="CY1812" i="12" s="1"/>
  <c r="DD1768" i="12"/>
  <c r="DC1768" i="12"/>
  <c r="DA1768" i="12"/>
  <c r="DE1768" i="12"/>
  <c r="DB1768" i="12"/>
  <c r="JK104" i="12"/>
  <c r="JL104" i="12" s="1"/>
  <c r="EA104" i="12" s="1"/>
  <c r="JH105" i="12"/>
  <c r="FU32" i="12"/>
  <c r="GR32" i="12" s="1"/>
  <c r="FS33" i="12"/>
  <c r="CX2297" i="12"/>
  <c r="CY2296" i="12"/>
  <c r="CZ1632" i="12"/>
  <c r="CZ1615" i="12"/>
  <c r="CZ1530" i="12"/>
  <c r="CZ1736" i="12"/>
  <c r="CZ1684" i="12"/>
  <c r="CZ1805" i="12"/>
  <c r="CZ1581" i="12"/>
  <c r="CZ1667" i="12"/>
  <c r="CZ1788" i="12"/>
  <c r="CZ1755" i="12"/>
  <c r="CZ1771" i="12"/>
  <c r="CZ1599" i="12"/>
  <c r="CZ1703" i="12"/>
  <c r="CZ1513" i="12"/>
  <c r="CZ1547" i="12"/>
  <c r="CZ1720" i="12"/>
  <c r="CZ1651" i="12"/>
  <c r="CZ2218" i="12"/>
  <c r="CZ1564" i="12"/>
  <c r="DA2218" i="12" l="1"/>
  <c r="DE2218" i="12"/>
  <c r="DD2218" i="12"/>
  <c r="DB2218" i="12"/>
  <c r="DF2217" i="12" s="1"/>
  <c r="DC2218" i="12"/>
  <c r="DE1736" i="12"/>
  <c r="DB1736" i="12"/>
  <c r="DA1736" i="12"/>
  <c r="DC1736" i="12"/>
  <c r="DD1736" i="12"/>
  <c r="DE1755" i="12"/>
  <c r="DD1755" i="12"/>
  <c r="DC1755" i="12"/>
  <c r="DB1755" i="12"/>
  <c r="DA1755" i="12"/>
  <c r="DA1547" i="12"/>
  <c r="DB1547" i="12"/>
  <c r="DC1547" i="12"/>
  <c r="DE1547" i="12"/>
  <c r="DD1547" i="12"/>
  <c r="DB1581" i="12"/>
  <c r="DC1581" i="12"/>
  <c r="DA1581" i="12"/>
  <c r="DD1581" i="12"/>
  <c r="DE1581" i="12"/>
  <c r="DD1703" i="12"/>
  <c r="DB1703" i="12"/>
  <c r="DC1703" i="12"/>
  <c r="DA1703" i="12"/>
  <c r="DE1703" i="12"/>
  <c r="DD1632" i="12"/>
  <c r="DE1632" i="12"/>
  <c r="DB1632" i="12"/>
  <c r="DC1632" i="12"/>
  <c r="DA1632" i="12"/>
  <c r="DB1513" i="12"/>
  <c r="DA1513" i="12"/>
  <c r="DC1513" i="12"/>
  <c r="DD1513" i="12"/>
  <c r="DE1513" i="12"/>
  <c r="DC1684" i="12"/>
  <c r="DE1684" i="12"/>
  <c r="DA1684" i="12"/>
  <c r="DB1684" i="12"/>
  <c r="DD1684" i="12"/>
  <c r="DC1667" i="12"/>
  <c r="DE1667" i="12"/>
  <c r="DB1667" i="12"/>
  <c r="DD1667" i="12"/>
  <c r="DA1667" i="12"/>
  <c r="DC1651" i="12"/>
  <c r="DB1651" i="12"/>
  <c r="DD1651" i="12"/>
  <c r="DA1651" i="12"/>
  <c r="DE1651" i="12"/>
  <c r="DA1720" i="12"/>
  <c r="DE1720" i="12"/>
  <c r="DC1720" i="12"/>
  <c r="DB1720" i="12"/>
  <c r="DD1720" i="12"/>
  <c r="DD1530" i="12"/>
  <c r="DB1530" i="12"/>
  <c r="DE1530" i="12"/>
  <c r="DC1530" i="12"/>
  <c r="DA1530" i="12"/>
  <c r="DE1564" i="12"/>
  <c r="DA1564" i="12"/>
  <c r="DD1564" i="12"/>
  <c r="DC1564" i="12"/>
  <c r="DB1564" i="12"/>
  <c r="DB1788" i="12"/>
  <c r="DD1788" i="12"/>
  <c r="DC1788" i="12"/>
  <c r="DE1788" i="12"/>
  <c r="DA1788" i="12"/>
  <c r="DC1615" i="12"/>
  <c r="DB1615" i="12"/>
  <c r="DE1615" i="12"/>
  <c r="DD1615" i="12"/>
  <c r="DA1615" i="12"/>
  <c r="DA1771" i="12"/>
  <c r="DC1771" i="12"/>
  <c r="DE1771" i="12"/>
  <c r="DD1771" i="12"/>
  <c r="DB1771" i="12"/>
  <c r="DE1599" i="12"/>
  <c r="DC1599" i="12"/>
  <c r="DD1599" i="12"/>
  <c r="DB1599" i="12"/>
  <c r="DA1599" i="12"/>
  <c r="DB1805" i="12"/>
  <c r="DC1805" i="12"/>
  <c r="DD1805" i="12"/>
  <c r="DA1805" i="12"/>
  <c r="DE1805" i="12"/>
  <c r="DA1786" i="12"/>
  <c r="DC1786" i="12"/>
  <c r="DB1786" i="12"/>
  <c r="DD1786" i="12"/>
  <c r="DE1786" i="12"/>
  <c r="JK105" i="12"/>
  <c r="JL105" i="12" s="1"/>
  <c r="EA105" i="12" s="1"/>
  <c r="JH106" i="12"/>
  <c r="JH107" i="12" s="1"/>
  <c r="DC1803" i="12"/>
  <c r="DB1803" i="12" s="1"/>
  <c r="CX1831" i="12"/>
  <c r="CY1831" i="12" s="1"/>
  <c r="CX1836" i="12"/>
  <c r="CY1836" i="12" s="1"/>
  <c r="CX1828" i="12"/>
  <c r="CY1828" i="12" s="1"/>
  <c r="CX1832" i="12"/>
  <c r="CY1832" i="12" s="1"/>
  <c r="CX1821" i="12"/>
  <c r="CY1821" i="12" s="1"/>
  <c r="DC1821" i="12" s="1"/>
  <c r="CX1825" i="12"/>
  <c r="CY1825" i="12" s="1"/>
  <c r="CX1835" i="12"/>
  <c r="CY1835" i="12" s="1"/>
  <c r="CX1837" i="12"/>
  <c r="CY1837" i="12" s="1"/>
  <c r="CX1829" i="12"/>
  <c r="CY1829" i="12" s="1"/>
  <c r="CX1830" i="12"/>
  <c r="CY1830" i="12" s="1"/>
  <c r="CX1833" i="12"/>
  <c r="CY1833" i="12" s="1"/>
  <c r="CX1823" i="12"/>
  <c r="CY1823" i="12" s="1"/>
  <c r="CX1834" i="12"/>
  <c r="CY1834" i="12" s="1"/>
  <c r="CX1827" i="12"/>
  <c r="CY1827" i="12" s="1"/>
  <c r="CX1822" i="12"/>
  <c r="CY1822" i="12" s="1"/>
  <c r="CX1826" i="12"/>
  <c r="CY1826" i="12" s="1"/>
  <c r="CX1824" i="12"/>
  <c r="CY1824" i="12" s="1"/>
  <c r="DE1785" i="12"/>
  <c r="DD1785" i="12"/>
  <c r="FS34" i="12"/>
  <c r="FU33" i="12"/>
  <c r="GR33" i="12" s="1"/>
  <c r="CX2298" i="12"/>
  <c r="CY2297" i="12"/>
  <c r="CZ1789" i="12"/>
  <c r="CZ1704" i="12"/>
  <c r="CZ1531" i="12"/>
  <c r="CZ1772" i="12"/>
  <c r="CZ1668" i="12"/>
  <c r="CZ1685" i="12"/>
  <c r="CZ2219" i="12"/>
  <c r="CZ1756" i="12"/>
  <c r="CZ1582" i="12"/>
  <c r="CZ1565" i="12"/>
  <c r="CZ1616" i="12"/>
  <c r="CZ1548" i="12"/>
  <c r="CZ1806" i="12"/>
  <c r="CZ1737" i="12"/>
  <c r="CZ1633" i="12"/>
  <c r="CZ1600" i="12"/>
  <c r="CZ1721" i="12"/>
  <c r="CZ1652" i="12"/>
  <c r="CZ1823" i="12"/>
  <c r="DB2219" i="12" l="1"/>
  <c r="DF2218" i="12" s="1"/>
  <c r="DC2219" i="12"/>
  <c r="DD2219" i="12"/>
  <c r="DE2219" i="12"/>
  <c r="DA2219" i="12"/>
  <c r="DE1721" i="12"/>
  <c r="DC1721" i="12"/>
  <c r="DB1721" i="12"/>
  <c r="DA1721" i="12"/>
  <c r="DD1721" i="12"/>
  <c r="DD1668" i="12"/>
  <c r="DA1668" i="12"/>
  <c r="DB1668" i="12"/>
  <c r="DE1668" i="12"/>
  <c r="DC1668" i="12"/>
  <c r="DA1685" i="12"/>
  <c r="DC1685" i="12"/>
  <c r="DB1685" i="12"/>
  <c r="DE1685" i="12"/>
  <c r="DD1685" i="12"/>
  <c r="DC1600" i="12"/>
  <c r="DB1600" i="12"/>
  <c r="DD1600" i="12"/>
  <c r="DE1600" i="12"/>
  <c r="DA1600" i="12"/>
  <c r="DE1565" i="12"/>
  <c r="DC1565" i="12"/>
  <c r="DB1565" i="12"/>
  <c r="DA1565" i="12"/>
  <c r="DD1565" i="12"/>
  <c r="DB1531" i="12"/>
  <c r="DA1531" i="12"/>
  <c r="DD1531" i="12"/>
  <c r="DC1531" i="12"/>
  <c r="DE1531" i="12"/>
  <c r="DB1652" i="12"/>
  <c r="DD1652" i="12"/>
  <c r="DE1652" i="12"/>
  <c r="DA1652" i="12"/>
  <c r="DC1652" i="12"/>
  <c r="DB1548" i="12"/>
  <c r="DD1548" i="12"/>
  <c r="DA1548" i="12"/>
  <c r="DE1548" i="12"/>
  <c r="DC1548" i="12"/>
  <c r="DA1772" i="12"/>
  <c r="DC1772" i="12"/>
  <c r="DB1772" i="12"/>
  <c r="DE1772" i="12"/>
  <c r="DD1772" i="12"/>
  <c r="DE1616" i="12"/>
  <c r="DC1616" i="12"/>
  <c r="DA1616" i="12"/>
  <c r="DB1616" i="12"/>
  <c r="DD1616" i="12"/>
  <c r="DA1789" i="12"/>
  <c r="DE1789" i="12"/>
  <c r="DD1789" i="12"/>
  <c r="DB1789" i="12"/>
  <c r="DC1789" i="12"/>
  <c r="DC1582" i="12"/>
  <c r="DE1582" i="12"/>
  <c r="DB1582" i="12"/>
  <c r="DD1582" i="12"/>
  <c r="DA1582" i="12"/>
  <c r="DA1737" i="12"/>
  <c r="DD1737" i="12"/>
  <c r="DE1737" i="12"/>
  <c r="DC1737" i="12"/>
  <c r="DB1737" i="12"/>
  <c r="DC1806" i="12"/>
  <c r="DD1806" i="12"/>
  <c r="DA1806" i="12"/>
  <c r="DE1806" i="12"/>
  <c r="DB1806" i="12"/>
  <c r="DD1633" i="12"/>
  <c r="DA1633" i="12"/>
  <c r="DC1633" i="12"/>
  <c r="DB1633" i="12"/>
  <c r="DE1633" i="12"/>
  <c r="DC1704" i="12"/>
  <c r="DA1704" i="12"/>
  <c r="DD1704" i="12"/>
  <c r="DB1704" i="12"/>
  <c r="DE1704" i="12"/>
  <c r="DE1756" i="12"/>
  <c r="DC1756" i="12"/>
  <c r="DA1756" i="12"/>
  <c r="DB1756" i="12"/>
  <c r="DD1756" i="12"/>
  <c r="DB1823" i="12"/>
  <c r="DC1823" i="12"/>
  <c r="DD1823" i="12"/>
  <c r="DA1823" i="12"/>
  <c r="DE1823" i="12"/>
  <c r="DD1803" i="12"/>
  <c r="DE1803" i="12"/>
  <c r="CX1846" i="12"/>
  <c r="CY1846" i="12" s="1"/>
  <c r="CX1855" i="12"/>
  <c r="CY1855" i="12" s="1"/>
  <c r="CX1849" i="12"/>
  <c r="CY1849" i="12" s="1"/>
  <c r="CX1843" i="12"/>
  <c r="CY1843" i="12" s="1"/>
  <c r="CX1844" i="12"/>
  <c r="CY1844" i="12" s="1"/>
  <c r="CX1851" i="12"/>
  <c r="CY1851" i="12" s="1"/>
  <c r="CX1852" i="12"/>
  <c r="CY1852" i="12" s="1"/>
  <c r="CX1845" i="12"/>
  <c r="CY1845" i="12" s="1"/>
  <c r="CX1847" i="12"/>
  <c r="CY1847" i="12" s="1"/>
  <c r="CX1842" i="12"/>
  <c r="CY1842" i="12" s="1"/>
  <c r="CX1848" i="12"/>
  <c r="CY1848" i="12" s="1"/>
  <c r="CX1850" i="12"/>
  <c r="CY1850" i="12" s="1"/>
  <c r="CX1840" i="12"/>
  <c r="CY1840" i="12" s="1"/>
  <c r="CX1853" i="12"/>
  <c r="CY1853" i="12" s="1"/>
  <c r="CX1839" i="12"/>
  <c r="CY1839" i="12" s="1"/>
  <c r="CX1841" i="12"/>
  <c r="CY1841" i="12" s="1"/>
  <c r="CX1854" i="12"/>
  <c r="CY1854" i="12" s="1"/>
  <c r="DB1804" i="12"/>
  <c r="DC1804" i="12"/>
  <c r="DA1804" i="12"/>
  <c r="DD1804" i="12"/>
  <c r="DE1804" i="12"/>
  <c r="JK106" i="12"/>
  <c r="JL106" i="12" s="1"/>
  <c r="EA106" i="12" s="1"/>
  <c r="JH108" i="12"/>
  <c r="JK107" i="12"/>
  <c r="JL107" i="12" s="1"/>
  <c r="EA107" i="12" s="1"/>
  <c r="DB1821" i="12"/>
  <c r="DD1821" i="12"/>
  <c r="DE1821" i="12"/>
  <c r="FU34" i="12"/>
  <c r="GR34" i="12" s="1"/>
  <c r="FS35" i="12"/>
  <c r="CX2299" i="12"/>
  <c r="CY2298" i="12"/>
  <c r="CZ1705" i="12"/>
  <c r="CZ2220" i="12"/>
  <c r="CZ1583" i="12"/>
  <c r="CZ1634" i="12"/>
  <c r="CZ1824" i="12"/>
  <c r="CZ1686" i="12"/>
  <c r="CZ1757" i="12"/>
  <c r="CZ1738" i="12"/>
  <c r="CZ1773" i="12"/>
  <c r="CZ1807" i="12"/>
  <c r="CZ1601" i="12"/>
  <c r="CZ1790" i="12"/>
  <c r="CZ1722" i="12"/>
  <c r="CZ1653" i="12"/>
  <c r="CZ1669" i="12"/>
  <c r="CZ1549" i="12"/>
  <c r="CZ1566" i="12"/>
  <c r="CZ1617" i="12"/>
  <c r="CZ1841" i="12"/>
  <c r="DD2220" i="12" l="1"/>
  <c r="DC2220" i="12"/>
  <c r="DB2220" i="12"/>
  <c r="DF2219" i="12" s="1"/>
  <c r="DA2220" i="12"/>
  <c r="DE2220" i="12"/>
  <c r="DA1705" i="12"/>
  <c r="DC1705" i="12"/>
  <c r="DB1705" i="12"/>
  <c r="DE1705" i="12"/>
  <c r="DD1705" i="12"/>
  <c r="DC1790" i="12"/>
  <c r="DD1790" i="12"/>
  <c r="DB1790" i="12"/>
  <c r="DA1790" i="12"/>
  <c r="DE1790" i="12"/>
  <c r="DA1773" i="12"/>
  <c r="DE1773" i="12"/>
  <c r="DD1773" i="12"/>
  <c r="DB1773" i="12"/>
  <c r="DC1773" i="12"/>
  <c r="DC1669" i="12"/>
  <c r="DE1669" i="12"/>
  <c r="DD1669" i="12"/>
  <c r="DA1669" i="12"/>
  <c r="DB1669" i="12"/>
  <c r="DE1634" i="12"/>
  <c r="DA1634" i="12"/>
  <c r="DB1634" i="12"/>
  <c r="DD1634" i="12"/>
  <c r="DC1634" i="12"/>
  <c r="DD1738" i="12"/>
  <c r="DA1738" i="12"/>
  <c r="DE1738" i="12"/>
  <c r="DC1738" i="12"/>
  <c r="DB1738" i="12"/>
  <c r="DA1583" i="12"/>
  <c r="DE1583" i="12"/>
  <c r="DD1583" i="12"/>
  <c r="DC1583" i="12"/>
  <c r="DB1583" i="12"/>
  <c r="DB1566" i="12"/>
  <c r="DE1566" i="12"/>
  <c r="DA1566" i="12"/>
  <c r="DC1566" i="12"/>
  <c r="DD1566" i="12"/>
  <c r="DB1686" i="12"/>
  <c r="DE1686" i="12"/>
  <c r="DC1686" i="12"/>
  <c r="DA1686" i="12"/>
  <c r="DD1686" i="12"/>
  <c r="DA1722" i="12"/>
  <c r="DE1722" i="12"/>
  <c r="DC1722" i="12"/>
  <c r="DD1722" i="12"/>
  <c r="DB1722" i="12"/>
  <c r="DA1757" i="12"/>
  <c r="DD1757" i="12"/>
  <c r="DB1757" i="12"/>
  <c r="DC1757" i="12"/>
  <c r="DE1757" i="12"/>
  <c r="DD1807" i="12"/>
  <c r="DE1807" i="12"/>
  <c r="DA1807" i="12"/>
  <c r="DB1807" i="12"/>
  <c r="DC1807" i="12"/>
  <c r="DD1617" i="12"/>
  <c r="DB1617" i="12"/>
  <c r="DA1617" i="12"/>
  <c r="DE1617" i="12"/>
  <c r="DC1617" i="12"/>
  <c r="DA1549" i="12"/>
  <c r="DC1549" i="12"/>
  <c r="DD1549" i="12"/>
  <c r="DB1549" i="12"/>
  <c r="DE1549" i="12"/>
  <c r="DD1653" i="12"/>
  <c r="DE1653" i="12"/>
  <c r="DC1653" i="12"/>
  <c r="DA1653" i="12"/>
  <c r="DB1653" i="12"/>
  <c r="DC1601" i="12"/>
  <c r="DE1601" i="12"/>
  <c r="DD1601" i="12"/>
  <c r="DA1601" i="12"/>
  <c r="DB1601" i="12"/>
  <c r="DD1824" i="12"/>
  <c r="DE1824" i="12"/>
  <c r="DC1824" i="12"/>
  <c r="DB1824" i="12"/>
  <c r="DA1824" i="12"/>
  <c r="DD1841" i="12"/>
  <c r="DE1841" i="12"/>
  <c r="DA1841" i="12"/>
  <c r="DB1841" i="12"/>
  <c r="DC1841" i="12"/>
  <c r="CX1888" i="12"/>
  <c r="CY1888" i="12" s="1"/>
  <c r="CX1875" i="12"/>
  <c r="CY1875" i="12" s="1"/>
  <c r="DC1875" i="12" s="1"/>
  <c r="CX1880" i="12"/>
  <c r="CY1880" i="12" s="1"/>
  <c r="CX1881" i="12"/>
  <c r="CY1881" i="12" s="1"/>
  <c r="CX1877" i="12"/>
  <c r="CY1877" i="12" s="1"/>
  <c r="CX1886" i="12"/>
  <c r="CY1886" i="12" s="1"/>
  <c r="CX1879" i="12"/>
  <c r="CY1879" i="12" s="1"/>
  <c r="CX1878" i="12"/>
  <c r="CY1878" i="12" s="1"/>
  <c r="CX1885" i="12"/>
  <c r="CY1885" i="12" s="1"/>
  <c r="CX1887" i="12"/>
  <c r="CY1887" i="12" s="1"/>
  <c r="CX1889" i="12"/>
  <c r="CY1889" i="12" s="1"/>
  <c r="CX1884" i="12"/>
  <c r="CY1884" i="12" s="1"/>
  <c r="CX1876" i="12"/>
  <c r="CY1876" i="12" s="1"/>
  <c r="CX1883" i="12"/>
  <c r="CY1883" i="12" s="1"/>
  <c r="CX1890" i="12"/>
  <c r="CY1890" i="12" s="1"/>
  <c r="CX1891" i="12"/>
  <c r="CY1891" i="12" s="1"/>
  <c r="CX1882" i="12"/>
  <c r="CY1882" i="12" s="1"/>
  <c r="CX1857" i="12"/>
  <c r="CY1857" i="12" s="1"/>
  <c r="DC1857" i="12" s="1"/>
  <c r="CX1859" i="12"/>
  <c r="CY1859" i="12" s="1"/>
  <c r="CX1868" i="12"/>
  <c r="CY1868" i="12" s="1"/>
  <c r="CX1871" i="12"/>
  <c r="CY1871" i="12" s="1"/>
  <c r="CX1866" i="12"/>
  <c r="CY1866" i="12" s="1"/>
  <c r="CX1867" i="12"/>
  <c r="CY1867" i="12" s="1"/>
  <c r="CX1869" i="12"/>
  <c r="CY1869" i="12" s="1"/>
  <c r="CX1873" i="12"/>
  <c r="CY1873" i="12" s="1"/>
  <c r="CX1872" i="12"/>
  <c r="CY1872" i="12" s="1"/>
  <c r="CX1864" i="12"/>
  <c r="CY1864" i="12" s="1"/>
  <c r="CX1858" i="12"/>
  <c r="CY1858" i="12" s="1"/>
  <c r="CX1862" i="12"/>
  <c r="CY1862" i="12" s="1"/>
  <c r="CX1870" i="12"/>
  <c r="CY1870" i="12" s="1"/>
  <c r="CX1865" i="12"/>
  <c r="CY1865" i="12" s="1"/>
  <c r="CX1863" i="12"/>
  <c r="CY1863" i="12" s="1"/>
  <c r="CX1861" i="12"/>
  <c r="CY1861" i="12" s="1"/>
  <c r="CX1860" i="12"/>
  <c r="CY1860" i="12" s="1"/>
  <c r="DC1839" i="12"/>
  <c r="DB1839" i="12" s="1"/>
  <c r="JH109" i="12"/>
  <c r="JK109" i="12" s="1"/>
  <c r="JL109" i="12" s="1"/>
  <c r="EA109" i="12" s="1"/>
  <c r="DE1822" i="12"/>
  <c r="DB1822" i="12"/>
  <c r="DA1822" i="12"/>
  <c r="DD1822" i="12"/>
  <c r="DC1822" i="12"/>
  <c r="JK108" i="12"/>
  <c r="JL108" i="12" s="1"/>
  <c r="EA108" i="12" s="1"/>
  <c r="FU35" i="12"/>
  <c r="GR35" i="12" s="1"/>
  <c r="FS36" i="12"/>
  <c r="CX2300" i="12"/>
  <c r="CY2300" i="12" s="1"/>
  <c r="CY2299" i="12"/>
  <c r="CZ1825" i="12"/>
  <c r="CZ1670" i="12"/>
  <c r="CZ1567" i="12"/>
  <c r="CZ1758" i="12"/>
  <c r="CZ1706" i="12"/>
  <c r="CZ1739" i="12"/>
  <c r="CZ2221" i="12"/>
  <c r="CZ1654" i="12"/>
  <c r="CZ1808" i="12"/>
  <c r="CZ1602" i="12"/>
  <c r="CZ1584" i="12"/>
  <c r="CZ1687" i="12"/>
  <c r="CZ1791" i="12"/>
  <c r="CZ1723" i="12"/>
  <c r="CZ1859" i="12"/>
  <c r="CZ1635" i="12"/>
  <c r="CZ1618" i="12"/>
  <c r="CZ1842" i="12"/>
  <c r="CZ1774" i="12"/>
  <c r="CZ1877" i="12"/>
  <c r="DE2221" i="12" l="1"/>
  <c r="DB2221" i="12"/>
  <c r="DF2220" i="12" s="1"/>
  <c r="DD2221" i="12"/>
  <c r="DC2221" i="12"/>
  <c r="DA2221" i="12"/>
  <c r="DD1825" i="12"/>
  <c r="DA1825" i="12"/>
  <c r="DC1825" i="12"/>
  <c r="DB1825" i="12"/>
  <c r="DE1825" i="12"/>
  <c r="DE1654" i="12"/>
  <c r="DB1654" i="12"/>
  <c r="DA1654" i="12"/>
  <c r="DD1654" i="12"/>
  <c r="DC1654" i="12"/>
  <c r="DB1758" i="12"/>
  <c r="DC1758" i="12"/>
  <c r="DE1758" i="12"/>
  <c r="DA1758" i="12"/>
  <c r="DD1758" i="12"/>
  <c r="DE1687" i="12"/>
  <c r="DB1687" i="12"/>
  <c r="DD1687" i="12"/>
  <c r="DA1687" i="12"/>
  <c r="DC1687" i="12"/>
  <c r="DE1842" i="12"/>
  <c r="DA1842" i="12"/>
  <c r="DC1842" i="12"/>
  <c r="DD1842" i="12"/>
  <c r="DB1842" i="12"/>
  <c r="DE1808" i="12"/>
  <c r="DA1808" i="12"/>
  <c r="DD1808" i="12"/>
  <c r="DC1808" i="12"/>
  <c r="DB1808" i="12"/>
  <c r="DB1723" i="12"/>
  <c r="DD1723" i="12"/>
  <c r="DA1723" i="12"/>
  <c r="DC1723" i="12"/>
  <c r="DE1723" i="12"/>
  <c r="DE1584" i="12"/>
  <c r="DC1584" i="12"/>
  <c r="DB1584" i="12"/>
  <c r="DD1584" i="12"/>
  <c r="DA1584" i="12"/>
  <c r="DD1739" i="12"/>
  <c r="DA1739" i="12"/>
  <c r="DC1739" i="12"/>
  <c r="DE1739" i="12"/>
  <c r="DB1739" i="12"/>
  <c r="DB1670" i="12"/>
  <c r="DC1670" i="12"/>
  <c r="DD1670" i="12"/>
  <c r="DE1670" i="12"/>
  <c r="DA1670" i="12"/>
  <c r="DC1706" i="12"/>
  <c r="DA1706" i="12"/>
  <c r="DB1706" i="12"/>
  <c r="DD1706" i="12"/>
  <c r="DE1706" i="12"/>
  <c r="DD1791" i="12"/>
  <c r="DA1791" i="12"/>
  <c r="DC1791" i="12"/>
  <c r="DB1791" i="12"/>
  <c r="DE1791" i="12"/>
  <c r="DB1602" i="12"/>
  <c r="DA1602" i="12"/>
  <c r="DE1602" i="12"/>
  <c r="DC1602" i="12"/>
  <c r="DD1602" i="12"/>
  <c r="DD1618" i="12"/>
  <c r="DC1618" i="12"/>
  <c r="DA1618" i="12"/>
  <c r="DE1618" i="12"/>
  <c r="DB1618" i="12"/>
  <c r="DB1567" i="12"/>
  <c r="DE1567" i="12"/>
  <c r="DD1567" i="12"/>
  <c r="DC1567" i="12"/>
  <c r="DA1567" i="12"/>
  <c r="DB1635" i="12"/>
  <c r="DD1635" i="12"/>
  <c r="DC1635" i="12"/>
  <c r="DA1635" i="12"/>
  <c r="DE1635" i="12"/>
  <c r="DC1774" i="12"/>
  <c r="DA1774" i="12"/>
  <c r="DD1774" i="12"/>
  <c r="DB1774" i="12"/>
  <c r="DE1774" i="12"/>
  <c r="JH110" i="12"/>
  <c r="JK110" i="12" s="1"/>
  <c r="JL110" i="12" s="1"/>
  <c r="EA110" i="12" s="1"/>
  <c r="CX1931" i="12" s="1"/>
  <c r="CY1931" i="12" s="1"/>
  <c r="DD1859" i="12"/>
  <c r="DB1859" i="12"/>
  <c r="DE1859" i="12"/>
  <c r="DC1859" i="12"/>
  <c r="DA1859" i="12"/>
  <c r="DB1877" i="12"/>
  <c r="DC1877" i="12"/>
  <c r="DE1877" i="12"/>
  <c r="DD1877" i="12"/>
  <c r="DA1877" i="12"/>
  <c r="CX1911" i="12"/>
  <c r="CY1911" i="12" s="1"/>
  <c r="CX1917" i="12"/>
  <c r="CY1917" i="12" s="1"/>
  <c r="CX1921" i="12"/>
  <c r="CY1921" i="12" s="1"/>
  <c r="CX1925" i="12"/>
  <c r="CY1925" i="12" s="1"/>
  <c r="CX1926" i="12"/>
  <c r="CY1926" i="12" s="1"/>
  <c r="CX1913" i="12"/>
  <c r="CY1913" i="12" s="1"/>
  <c r="CX1918" i="12"/>
  <c r="CY1918" i="12" s="1"/>
  <c r="CX1919" i="12"/>
  <c r="CY1919" i="12" s="1"/>
  <c r="CX1916" i="12"/>
  <c r="CY1916" i="12" s="1"/>
  <c r="CX1924" i="12"/>
  <c r="CY1924" i="12" s="1"/>
  <c r="CX1927" i="12"/>
  <c r="CY1927" i="12" s="1"/>
  <c r="CX1915" i="12"/>
  <c r="CY1915" i="12" s="1"/>
  <c r="CX1922" i="12"/>
  <c r="CY1922" i="12" s="1"/>
  <c r="CX1914" i="12"/>
  <c r="CY1914" i="12" s="1"/>
  <c r="CX1923" i="12"/>
  <c r="CY1923" i="12" s="1"/>
  <c r="CX1920" i="12"/>
  <c r="CY1920" i="12" s="1"/>
  <c r="CX1912" i="12"/>
  <c r="CY1912" i="12" s="1"/>
  <c r="DD1839" i="12"/>
  <c r="DE1839" i="12"/>
  <c r="DC1840" i="12"/>
  <c r="DD1840" i="12"/>
  <c r="DE1840" i="12"/>
  <c r="DA1840" i="12"/>
  <c r="DB1840" i="12"/>
  <c r="CX1901" i="12"/>
  <c r="CY1901" i="12" s="1"/>
  <c r="CX1899" i="12"/>
  <c r="CY1899" i="12" s="1"/>
  <c r="CX1893" i="12"/>
  <c r="CY1893" i="12" s="1"/>
  <c r="DC1893" i="12" s="1"/>
  <c r="CX1900" i="12"/>
  <c r="CY1900" i="12" s="1"/>
  <c r="CX1903" i="12"/>
  <c r="CY1903" i="12" s="1"/>
  <c r="CX1897" i="12"/>
  <c r="CY1897" i="12" s="1"/>
  <c r="CX1907" i="12"/>
  <c r="CY1907" i="12" s="1"/>
  <c r="CX1904" i="12"/>
  <c r="CY1904" i="12" s="1"/>
  <c r="CX1896" i="12"/>
  <c r="CY1896" i="12" s="1"/>
  <c r="CX1902" i="12"/>
  <c r="CY1902" i="12" s="1"/>
  <c r="CX1909" i="12"/>
  <c r="CY1909" i="12" s="1"/>
  <c r="CX1898" i="12"/>
  <c r="CY1898" i="12" s="1"/>
  <c r="CX1905" i="12"/>
  <c r="CY1905" i="12" s="1"/>
  <c r="CX1908" i="12"/>
  <c r="CY1908" i="12" s="1"/>
  <c r="CX1894" i="12"/>
  <c r="CY1894" i="12" s="1"/>
  <c r="CX1906" i="12"/>
  <c r="CY1906" i="12" s="1"/>
  <c r="CX1895" i="12"/>
  <c r="CY1895" i="12" s="1"/>
  <c r="DB1857" i="12"/>
  <c r="DD1857" i="12"/>
  <c r="DE1857" i="12"/>
  <c r="DB1875" i="12"/>
  <c r="DE1875" i="12"/>
  <c r="DD1875" i="12"/>
  <c r="FS37" i="12"/>
  <c r="FU36" i="12"/>
  <c r="GR36" i="12" s="1"/>
  <c r="CZ1860" i="12"/>
  <c r="CZ1619" i="12"/>
  <c r="CZ1740" i="12"/>
  <c r="CZ1843" i="12"/>
  <c r="CZ1636" i="12"/>
  <c r="CZ1931" i="12"/>
  <c r="CZ1724" i="12"/>
  <c r="CZ1792" i="12"/>
  <c r="CZ1585" i="12"/>
  <c r="CZ1655" i="12"/>
  <c r="CZ1775" i="12"/>
  <c r="CZ1759" i="12"/>
  <c r="CZ1895" i="12"/>
  <c r="CZ1826" i="12"/>
  <c r="CZ1671" i="12"/>
  <c r="CZ1688" i="12"/>
  <c r="CZ1809" i="12"/>
  <c r="CZ1603" i="12"/>
  <c r="CZ1707" i="12"/>
  <c r="CZ2222" i="12"/>
  <c r="CZ1878" i="12"/>
  <c r="CZ1913" i="12"/>
  <c r="DA2222" i="12" l="1"/>
  <c r="DC2222" i="12"/>
  <c r="DE2222" i="12"/>
  <c r="DB2222" i="12"/>
  <c r="DF2221" i="12" s="1"/>
  <c r="DD2222" i="12"/>
  <c r="JH111" i="12"/>
  <c r="JK111" i="12" s="1"/>
  <c r="JL111" i="12" s="1"/>
  <c r="EA111" i="12" s="1"/>
  <c r="DA1619" i="12"/>
  <c r="DB1619" i="12"/>
  <c r="DC1619" i="12"/>
  <c r="DD1619" i="12"/>
  <c r="DE1619" i="12"/>
  <c r="DC1878" i="12"/>
  <c r="DB1878" i="12"/>
  <c r="DA1878" i="12"/>
  <c r="DD1878" i="12"/>
  <c r="DE1878" i="12"/>
  <c r="DD1792" i="12"/>
  <c r="DC1792" i="12"/>
  <c r="DA1792" i="12"/>
  <c r="DE1792" i="12"/>
  <c r="DB1792" i="12"/>
  <c r="DC1843" i="12"/>
  <c r="DA1843" i="12"/>
  <c r="DE1843" i="12"/>
  <c r="DD1843" i="12"/>
  <c r="DB1843" i="12"/>
  <c r="DB1688" i="12"/>
  <c r="DA1688" i="12"/>
  <c r="DD1688" i="12"/>
  <c r="DE1688" i="12"/>
  <c r="DC1688" i="12"/>
  <c r="DD1826" i="12"/>
  <c r="DE1826" i="12"/>
  <c r="DA1826" i="12"/>
  <c r="DC1826" i="12"/>
  <c r="DB1826" i="12"/>
  <c r="DC1636" i="12"/>
  <c r="DE1636" i="12"/>
  <c r="DB1636" i="12"/>
  <c r="DD1636" i="12"/>
  <c r="DA1636" i="12"/>
  <c r="DD1707" i="12"/>
  <c r="DB1707" i="12"/>
  <c r="DA1707" i="12"/>
  <c r="DC1707" i="12"/>
  <c r="DE1707" i="12"/>
  <c r="DA1585" i="12"/>
  <c r="DB1585" i="12"/>
  <c r="DE1585" i="12"/>
  <c r="DD1585" i="12"/>
  <c r="DC1585" i="12"/>
  <c r="DB1724" i="12"/>
  <c r="DC1724" i="12"/>
  <c r="DE1724" i="12"/>
  <c r="DA1724" i="12"/>
  <c r="DD1724" i="12"/>
  <c r="DC1860" i="12"/>
  <c r="DB1860" i="12"/>
  <c r="DD1860" i="12"/>
  <c r="DE1860" i="12"/>
  <c r="DA1860" i="12"/>
  <c r="DC1775" i="12"/>
  <c r="DE1775" i="12"/>
  <c r="DA1775" i="12"/>
  <c r="DB1775" i="12"/>
  <c r="DD1775" i="12"/>
  <c r="DB1740" i="12"/>
  <c r="DD1740" i="12"/>
  <c r="DE1740" i="12"/>
  <c r="DC1740" i="12"/>
  <c r="DA1740" i="12"/>
  <c r="DE1655" i="12"/>
  <c r="DB1655" i="12"/>
  <c r="DA1655" i="12"/>
  <c r="DD1655" i="12"/>
  <c r="DC1655" i="12"/>
  <c r="DD1603" i="12"/>
  <c r="DA1603" i="12"/>
  <c r="DE1603" i="12"/>
  <c r="DB1603" i="12"/>
  <c r="DC1603" i="12"/>
  <c r="DD1671" i="12"/>
  <c r="DB1671" i="12"/>
  <c r="DC1671" i="12"/>
  <c r="DA1671" i="12"/>
  <c r="DE1671" i="12"/>
  <c r="DB1809" i="12"/>
  <c r="DC1809" i="12"/>
  <c r="DD1809" i="12"/>
  <c r="DE1809" i="12"/>
  <c r="DA1809" i="12"/>
  <c r="DE1759" i="12"/>
  <c r="DC1759" i="12"/>
  <c r="DB1759" i="12"/>
  <c r="DA1759" i="12"/>
  <c r="DD1759" i="12"/>
  <c r="CX1929" i="12"/>
  <c r="CY1929" i="12" s="1"/>
  <c r="DC1929" i="12" s="1"/>
  <c r="DB1929" i="12" s="1"/>
  <c r="CX1930" i="12"/>
  <c r="CY1930" i="12" s="1"/>
  <c r="CX1938" i="12"/>
  <c r="CY1938" i="12" s="1"/>
  <c r="CX1934" i="12"/>
  <c r="CY1934" i="12" s="1"/>
  <c r="CX1944" i="12"/>
  <c r="CY1944" i="12" s="1"/>
  <c r="CX1939" i="12"/>
  <c r="CY1939" i="12" s="1"/>
  <c r="CX1937" i="12"/>
  <c r="CY1937" i="12" s="1"/>
  <c r="CX1945" i="12"/>
  <c r="CY1945" i="12" s="1"/>
  <c r="CX1933" i="12"/>
  <c r="CY1933" i="12" s="1"/>
  <c r="CX1935" i="12"/>
  <c r="CY1935" i="12" s="1"/>
  <c r="CX1942" i="12"/>
  <c r="CY1942" i="12" s="1"/>
  <c r="CX1932" i="12"/>
  <c r="CY1932" i="12" s="1"/>
  <c r="CX1936" i="12"/>
  <c r="CY1936" i="12" s="1"/>
  <c r="CX1940" i="12"/>
  <c r="CY1940" i="12" s="1"/>
  <c r="CX1941" i="12"/>
  <c r="CY1941" i="12" s="1"/>
  <c r="CX1943" i="12"/>
  <c r="CY1943" i="12" s="1"/>
  <c r="DD1895" i="12"/>
  <c r="DB1895" i="12"/>
  <c r="DA1895" i="12"/>
  <c r="DE1895" i="12"/>
  <c r="DC1895" i="12"/>
  <c r="DE1913" i="12"/>
  <c r="DD1913" i="12"/>
  <c r="DC1913" i="12"/>
  <c r="DB1913" i="12"/>
  <c r="DA1913" i="12"/>
  <c r="DC1931" i="12"/>
  <c r="DA1931" i="12"/>
  <c r="DD1931" i="12"/>
  <c r="DB1931" i="12"/>
  <c r="DE1931" i="12"/>
  <c r="DA1876" i="12"/>
  <c r="DE1876" i="12"/>
  <c r="DB1876" i="12"/>
  <c r="DC1876" i="12"/>
  <c r="DD1876" i="12"/>
  <c r="DE1858" i="12"/>
  <c r="DD1858" i="12"/>
  <c r="DB1858" i="12"/>
  <c r="DA1858" i="12"/>
  <c r="DC1858" i="12"/>
  <c r="DB1893" i="12"/>
  <c r="DD1893" i="12"/>
  <c r="DE1893" i="12"/>
  <c r="DC1911" i="12"/>
  <c r="FU37" i="12"/>
  <c r="GR37" i="12" s="1"/>
  <c r="FS38" i="12"/>
  <c r="CZ1776" i="12"/>
  <c r="CZ1760" i="12"/>
  <c r="CZ1896" i="12"/>
  <c r="CZ1637" i="12"/>
  <c r="CZ1879" i="12"/>
  <c r="CZ2223" i="12"/>
  <c r="CZ1708" i="12"/>
  <c r="CZ1827" i="12"/>
  <c r="CZ1656" i="12"/>
  <c r="CZ1620" i="12"/>
  <c r="CZ1689" i="12"/>
  <c r="CZ1810" i="12"/>
  <c r="CZ1672" i="12"/>
  <c r="CZ1844" i="12"/>
  <c r="CZ1861" i="12"/>
  <c r="CZ1741" i="12"/>
  <c r="CZ1932" i="12"/>
  <c r="CZ1793" i="12"/>
  <c r="CZ1725" i="12"/>
  <c r="CZ1914" i="12"/>
  <c r="DC2223" i="12" l="1"/>
  <c r="DB2223" i="12"/>
  <c r="DF2222" i="12" s="1"/>
  <c r="DD2223" i="12"/>
  <c r="DA2223" i="12"/>
  <c r="DE2223" i="12"/>
  <c r="JH112" i="12"/>
  <c r="JK112" i="12" s="1"/>
  <c r="JL112" i="12" s="1"/>
  <c r="EA112" i="12" s="1"/>
  <c r="DB1810" i="12"/>
  <c r="DE1810" i="12"/>
  <c r="DD1810" i="12"/>
  <c r="DA1810" i="12"/>
  <c r="DC1810" i="12"/>
  <c r="DE1914" i="12"/>
  <c r="DA1914" i="12"/>
  <c r="DB1914" i="12"/>
  <c r="DC1914" i="12"/>
  <c r="DD1914" i="12"/>
  <c r="DB1656" i="12"/>
  <c r="DC1656" i="12"/>
  <c r="DD1656" i="12"/>
  <c r="DA1656" i="12"/>
  <c r="DE1656" i="12"/>
  <c r="DE1861" i="12"/>
  <c r="DA1861" i="12"/>
  <c r="DC1861" i="12"/>
  <c r="DD1861" i="12"/>
  <c r="DB1861" i="12"/>
  <c r="DB1896" i="12"/>
  <c r="DA1896" i="12"/>
  <c r="DE1896" i="12"/>
  <c r="DC1896" i="12"/>
  <c r="DD1896" i="12"/>
  <c r="DB1689" i="12"/>
  <c r="DC1689" i="12"/>
  <c r="DD1689" i="12"/>
  <c r="DE1689" i="12"/>
  <c r="DA1689" i="12"/>
  <c r="DA1760" i="12"/>
  <c r="DC1760" i="12"/>
  <c r="DE1760" i="12"/>
  <c r="DD1760" i="12"/>
  <c r="DB1760" i="12"/>
  <c r="DB1741" i="12"/>
  <c r="DD1741" i="12"/>
  <c r="DC1741" i="12"/>
  <c r="DA1741" i="12"/>
  <c r="DE1741" i="12"/>
  <c r="DD1725" i="12"/>
  <c r="DE1725" i="12"/>
  <c r="DB1725" i="12"/>
  <c r="DC1725" i="12"/>
  <c r="DA1725" i="12"/>
  <c r="DB1708" i="12"/>
  <c r="DC1708" i="12"/>
  <c r="DA1708" i="12"/>
  <c r="DD1708" i="12"/>
  <c r="DE1708" i="12"/>
  <c r="DD1637" i="12"/>
  <c r="DB1637" i="12"/>
  <c r="DC1637" i="12"/>
  <c r="DA1637" i="12"/>
  <c r="DE1637" i="12"/>
  <c r="DE1844" i="12"/>
  <c r="DB1844" i="12"/>
  <c r="DC1844" i="12"/>
  <c r="DA1844" i="12"/>
  <c r="DD1844" i="12"/>
  <c r="DD1793" i="12"/>
  <c r="DB1793" i="12"/>
  <c r="DC1793" i="12"/>
  <c r="DA1793" i="12"/>
  <c r="DE1793" i="12"/>
  <c r="DE1879" i="12"/>
  <c r="DD1879" i="12"/>
  <c r="DA1879" i="12"/>
  <c r="DB1879" i="12"/>
  <c r="DC1879" i="12"/>
  <c r="DC1672" i="12"/>
  <c r="DB1672" i="12"/>
  <c r="DD1672" i="12"/>
  <c r="DE1672" i="12"/>
  <c r="DA1672" i="12"/>
  <c r="DD1776" i="12"/>
  <c r="DE1776" i="12"/>
  <c r="DC1776" i="12"/>
  <c r="DB1776" i="12"/>
  <c r="DA1776" i="12"/>
  <c r="DD1827" i="12"/>
  <c r="DC1827" i="12"/>
  <c r="DA1827" i="12"/>
  <c r="DB1827" i="12"/>
  <c r="DE1827" i="12"/>
  <c r="DB1620" i="12"/>
  <c r="DD1620" i="12"/>
  <c r="DA1620" i="12"/>
  <c r="DC1620" i="12"/>
  <c r="DE1620" i="12"/>
  <c r="DE1932" i="12"/>
  <c r="DB1932" i="12"/>
  <c r="DA1932" i="12"/>
  <c r="DC1932" i="12"/>
  <c r="DD1932" i="12"/>
  <c r="DE1929" i="12"/>
  <c r="DD1929" i="12"/>
  <c r="DD1930" i="12"/>
  <c r="DE1930" i="12"/>
  <c r="DA1930" i="12"/>
  <c r="DB1930" i="12"/>
  <c r="DC1930" i="12"/>
  <c r="CX1952" i="12"/>
  <c r="CY1952" i="12" s="1"/>
  <c r="CX1962" i="12"/>
  <c r="CY1962" i="12" s="1"/>
  <c r="CX1953" i="12"/>
  <c r="CY1953" i="12" s="1"/>
  <c r="CX1959" i="12"/>
  <c r="CY1959" i="12" s="1"/>
  <c r="CX1960" i="12"/>
  <c r="CY1960" i="12" s="1"/>
  <c r="CX1949" i="12"/>
  <c r="CY1949" i="12" s="1"/>
  <c r="CX1950" i="12"/>
  <c r="CY1950" i="12" s="1"/>
  <c r="CX1948" i="12"/>
  <c r="CY1948" i="12" s="1"/>
  <c r="CX1957" i="12"/>
  <c r="CY1957" i="12" s="1"/>
  <c r="CX1951" i="12"/>
  <c r="CY1951" i="12" s="1"/>
  <c r="CX1955" i="12"/>
  <c r="CY1955" i="12" s="1"/>
  <c r="CX1956" i="12"/>
  <c r="CY1956" i="12" s="1"/>
  <c r="CX1958" i="12"/>
  <c r="CY1958" i="12" s="1"/>
  <c r="CX1947" i="12"/>
  <c r="CY1947" i="12" s="1"/>
  <c r="CX1954" i="12"/>
  <c r="CY1954" i="12" s="1"/>
  <c r="CX1961" i="12"/>
  <c r="CY1961" i="12" s="1"/>
  <c r="CX1963" i="12"/>
  <c r="CY1963" i="12" s="1"/>
  <c r="DE1911" i="12"/>
  <c r="DD1911" i="12"/>
  <c r="DA1894" i="12"/>
  <c r="DE1894" i="12"/>
  <c r="DB1894" i="12"/>
  <c r="DD1894" i="12"/>
  <c r="DC1894" i="12"/>
  <c r="DB1911" i="12"/>
  <c r="FU38" i="12"/>
  <c r="GR38" i="12" s="1"/>
  <c r="FS39" i="12"/>
  <c r="CZ1638" i="12"/>
  <c r="CZ1742" i="12"/>
  <c r="CZ1657" i="12"/>
  <c r="CZ1761" i="12"/>
  <c r="CZ1794" i="12"/>
  <c r="CZ1673" i="12"/>
  <c r="CZ1621" i="12"/>
  <c r="CZ1915" i="12"/>
  <c r="CZ1933" i="12"/>
  <c r="CZ1726" i="12"/>
  <c r="CZ1777" i="12"/>
  <c r="CZ1709" i="12"/>
  <c r="CZ2224" i="12"/>
  <c r="CZ1811" i="12"/>
  <c r="CZ1880" i="12"/>
  <c r="CZ1897" i="12"/>
  <c r="CZ1828" i="12"/>
  <c r="CZ1690" i="12"/>
  <c r="CZ1845" i="12"/>
  <c r="CZ1949" i="12"/>
  <c r="CZ1862" i="12"/>
  <c r="DC2224" i="12" l="1"/>
  <c r="DE2224" i="12"/>
  <c r="DB2224" i="12"/>
  <c r="DF2223" i="12" s="1"/>
  <c r="DD2224" i="12"/>
  <c r="DA2224" i="12"/>
  <c r="FS40" i="12"/>
  <c r="FS41" i="12" s="1"/>
  <c r="JH113" i="12"/>
  <c r="JK113" i="12" s="1"/>
  <c r="JL113" i="12" s="1"/>
  <c r="EA113" i="12" s="1"/>
  <c r="DC1933" i="12"/>
  <c r="DD1933" i="12"/>
  <c r="DA1933" i="12"/>
  <c r="DB1933" i="12"/>
  <c r="DE1933" i="12"/>
  <c r="DA1828" i="12"/>
  <c r="DD1828" i="12"/>
  <c r="DB1828" i="12"/>
  <c r="DE1828" i="12"/>
  <c r="DC1828" i="12"/>
  <c r="DE1777" i="12"/>
  <c r="DB1777" i="12"/>
  <c r="DD1777" i="12"/>
  <c r="DC1777" i="12"/>
  <c r="DA1777" i="12"/>
  <c r="DC1638" i="12"/>
  <c r="DA1638" i="12"/>
  <c r="DB1638" i="12"/>
  <c r="DE1638" i="12"/>
  <c r="DD1638" i="12"/>
  <c r="DA1673" i="12"/>
  <c r="DB1673" i="12"/>
  <c r="DD1673" i="12"/>
  <c r="DE1673" i="12"/>
  <c r="DC1673" i="12"/>
  <c r="DA1880" i="12"/>
  <c r="DE1880" i="12"/>
  <c r="DB1880" i="12"/>
  <c r="DD1880" i="12"/>
  <c r="DC1880" i="12"/>
  <c r="DE1742" i="12"/>
  <c r="DA1742" i="12"/>
  <c r="DC1742" i="12"/>
  <c r="DD1742" i="12"/>
  <c r="DB1742" i="12"/>
  <c r="DD1862" i="12"/>
  <c r="DC1862" i="12"/>
  <c r="DB1862" i="12"/>
  <c r="DA1862" i="12"/>
  <c r="DE1862" i="12"/>
  <c r="DB1915" i="12"/>
  <c r="DA1915" i="12"/>
  <c r="DE1915" i="12"/>
  <c r="DC1915" i="12"/>
  <c r="DD1915" i="12"/>
  <c r="DA1811" i="12"/>
  <c r="DB1811" i="12"/>
  <c r="DE1811" i="12"/>
  <c r="DD1811" i="12"/>
  <c r="DC1811" i="12"/>
  <c r="DC1621" i="12"/>
  <c r="DB1621" i="12"/>
  <c r="DA1621" i="12"/>
  <c r="DE1621" i="12"/>
  <c r="DD1621" i="12"/>
  <c r="DC1794" i="12"/>
  <c r="DD1794" i="12"/>
  <c r="DE1794" i="12"/>
  <c r="DA1794" i="12"/>
  <c r="DB1794" i="12"/>
  <c r="DE1845" i="12"/>
  <c r="DB1845" i="12"/>
  <c r="DA1845" i="12"/>
  <c r="DD1845" i="12"/>
  <c r="DC1845" i="12"/>
  <c r="DA1709" i="12"/>
  <c r="DB1709" i="12"/>
  <c r="DE1709" i="12"/>
  <c r="DC1709" i="12"/>
  <c r="DD1709" i="12"/>
  <c r="DB1726" i="12"/>
  <c r="DE1726" i="12"/>
  <c r="DC1726" i="12"/>
  <c r="DD1726" i="12"/>
  <c r="DA1726" i="12"/>
  <c r="DB1761" i="12"/>
  <c r="DE1761" i="12"/>
  <c r="DA1761" i="12"/>
  <c r="DD1761" i="12"/>
  <c r="DC1761" i="12"/>
  <c r="DE1690" i="12"/>
  <c r="DB1690" i="12"/>
  <c r="DA1690" i="12"/>
  <c r="DC1690" i="12"/>
  <c r="DD1690" i="12"/>
  <c r="DC1897" i="12"/>
  <c r="DB1897" i="12"/>
  <c r="DD1897" i="12"/>
  <c r="DA1897" i="12"/>
  <c r="DE1897" i="12"/>
  <c r="DB1657" i="12"/>
  <c r="DE1657" i="12"/>
  <c r="DD1657" i="12"/>
  <c r="DA1657" i="12"/>
  <c r="DC1657" i="12"/>
  <c r="DC1949" i="12"/>
  <c r="DA1949" i="12"/>
  <c r="DD1949" i="12"/>
  <c r="DB1949" i="12"/>
  <c r="DE1949" i="12"/>
  <c r="DC1947" i="12"/>
  <c r="DB1947" i="12" s="1"/>
  <c r="DC1912" i="12"/>
  <c r="DA1912" i="12"/>
  <c r="DE1912" i="12"/>
  <c r="DB1912" i="12"/>
  <c r="DD1912" i="12"/>
  <c r="CX1970" i="12"/>
  <c r="CY1970" i="12" s="1"/>
  <c r="CX1967" i="12"/>
  <c r="CY1967" i="12" s="1"/>
  <c r="CX1968" i="12"/>
  <c r="CY1968" i="12" s="1"/>
  <c r="CX1980" i="12"/>
  <c r="CY1980" i="12" s="1"/>
  <c r="CX1969" i="12"/>
  <c r="CY1969" i="12" s="1"/>
  <c r="CX1977" i="12"/>
  <c r="CY1977" i="12" s="1"/>
  <c r="CX1973" i="12"/>
  <c r="CY1973" i="12" s="1"/>
  <c r="CX1974" i="12"/>
  <c r="CY1974" i="12" s="1"/>
  <c r="CX1981" i="12"/>
  <c r="CY1981" i="12" s="1"/>
  <c r="CX1975" i="12"/>
  <c r="CY1975" i="12" s="1"/>
  <c r="CX1978" i="12"/>
  <c r="CY1978" i="12" s="1"/>
  <c r="CX1965" i="12"/>
  <c r="CY1965" i="12" s="1"/>
  <c r="CX1979" i="12"/>
  <c r="CY1979" i="12" s="1"/>
  <c r="CX1971" i="12"/>
  <c r="CY1971" i="12" s="1"/>
  <c r="CX1976" i="12"/>
  <c r="CY1976" i="12" s="1"/>
  <c r="CX1972" i="12"/>
  <c r="CY1972" i="12" s="1"/>
  <c r="CX1966" i="12"/>
  <c r="CY1966" i="12" s="1"/>
  <c r="FU39" i="12"/>
  <c r="GR39" i="12" s="1"/>
  <c r="FS42" i="12"/>
  <c r="CZ1727" i="12"/>
  <c r="CZ1639" i="12"/>
  <c r="CZ1812" i="12"/>
  <c r="CZ1795" i="12"/>
  <c r="CZ1846" i="12"/>
  <c r="CZ1743" i="12"/>
  <c r="CZ1691" i="12"/>
  <c r="CZ1898" i="12"/>
  <c r="CZ1916" i="12"/>
  <c r="CZ1881" i="12"/>
  <c r="CZ1674" i="12"/>
  <c r="CZ1950" i="12"/>
  <c r="CZ1762" i="12"/>
  <c r="CZ1778" i="12"/>
  <c r="CZ1710" i="12"/>
  <c r="CZ1934" i="12"/>
  <c r="CZ2225" i="12"/>
  <c r="CZ1863" i="12"/>
  <c r="CZ1829" i="12"/>
  <c r="CZ1967" i="12"/>
  <c r="DE2225" i="12" l="1"/>
  <c r="DB2225" i="12"/>
  <c r="DF2224" i="12" s="1"/>
  <c r="DD2225" i="12"/>
  <c r="DC2225" i="12"/>
  <c r="DA2225" i="12"/>
  <c r="JH114" i="12"/>
  <c r="JK114" i="12" s="1"/>
  <c r="JL114" i="12" s="1"/>
  <c r="EA114" i="12" s="1"/>
  <c r="DD1950" i="12"/>
  <c r="DB1950" i="12"/>
  <c r="DA1950" i="12"/>
  <c r="DE1950" i="12"/>
  <c r="DC1950" i="12"/>
  <c r="DD1762" i="12"/>
  <c r="DA1762" i="12"/>
  <c r="DB1762" i="12"/>
  <c r="DE1762" i="12"/>
  <c r="DC1762" i="12"/>
  <c r="DC1727" i="12"/>
  <c r="DB1727" i="12"/>
  <c r="DD1727" i="12"/>
  <c r="DA1727" i="12"/>
  <c r="DE1727" i="12"/>
  <c r="DE1916" i="12"/>
  <c r="DD1916" i="12"/>
  <c r="DB1916" i="12"/>
  <c r="DC1916" i="12"/>
  <c r="DA1916" i="12"/>
  <c r="DA1934" i="12"/>
  <c r="DC1934" i="12"/>
  <c r="DD1934" i="12"/>
  <c r="DE1934" i="12"/>
  <c r="DB1934" i="12"/>
  <c r="DB1898" i="12"/>
  <c r="DD1898" i="12"/>
  <c r="DC1898" i="12"/>
  <c r="DE1898" i="12"/>
  <c r="DA1898" i="12"/>
  <c r="DA1812" i="12"/>
  <c r="DC1812" i="12"/>
  <c r="DD1812" i="12"/>
  <c r="DB1812" i="12"/>
  <c r="DE1812" i="12"/>
  <c r="DE1743" i="12"/>
  <c r="DB1743" i="12"/>
  <c r="DA1743" i="12"/>
  <c r="DC1743" i="12"/>
  <c r="DD1743" i="12"/>
  <c r="DE1639" i="12"/>
  <c r="DD1639" i="12"/>
  <c r="DA1639" i="12"/>
  <c r="DB1639" i="12"/>
  <c r="DC1639" i="12"/>
  <c r="DC1778" i="12"/>
  <c r="DD1778" i="12"/>
  <c r="DE1778" i="12"/>
  <c r="DB1778" i="12"/>
  <c r="DA1778" i="12"/>
  <c r="DB1710" i="12"/>
  <c r="DA1710" i="12"/>
  <c r="DE1710" i="12"/>
  <c r="DD1710" i="12"/>
  <c r="DC1710" i="12"/>
  <c r="DE1863" i="12"/>
  <c r="DD1863" i="12"/>
  <c r="DB1863" i="12"/>
  <c r="DC1863" i="12"/>
  <c r="DA1863" i="12"/>
  <c r="DA1881" i="12"/>
  <c r="DB1881" i="12"/>
  <c r="DC1881" i="12"/>
  <c r="DD1881" i="12"/>
  <c r="DE1881" i="12"/>
  <c r="DC1674" i="12"/>
  <c r="DA1674" i="12"/>
  <c r="DB1674" i="12"/>
  <c r="DD1674" i="12"/>
  <c r="DE1674" i="12"/>
  <c r="DC1691" i="12"/>
  <c r="DA1691" i="12"/>
  <c r="DD1691" i="12"/>
  <c r="DB1691" i="12"/>
  <c r="DE1691" i="12"/>
  <c r="DB1846" i="12"/>
  <c r="DA1846" i="12"/>
  <c r="DD1846" i="12"/>
  <c r="DC1846" i="12"/>
  <c r="DE1846" i="12"/>
  <c r="DA1795" i="12"/>
  <c r="DE1795" i="12"/>
  <c r="DC1795" i="12"/>
  <c r="DD1795" i="12"/>
  <c r="DB1795" i="12"/>
  <c r="DE1829" i="12"/>
  <c r="DA1829" i="12"/>
  <c r="DB1829" i="12"/>
  <c r="DD1829" i="12"/>
  <c r="DC1829" i="12"/>
  <c r="DD1967" i="12"/>
  <c r="DA1967" i="12"/>
  <c r="DB1967" i="12"/>
  <c r="DC1967" i="12"/>
  <c r="DE1967" i="12"/>
  <c r="DE1947" i="12"/>
  <c r="DD1947" i="12"/>
  <c r="DA1948" i="12"/>
  <c r="DE1948" i="12"/>
  <c r="DC1948" i="12"/>
  <c r="DD1948" i="12"/>
  <c r="DB1948" i="12"/>
  <c r="DC1965" i="12"/>
  <c r="CX1989" i="12"/>
  <c r="CY1989" i="12" s="1"/>
  <c r="CX1992" i="12"/>
  <c r="CY1992" i="12" s="1"/>
  <c r="CX1993" i="12"/>
  <c r="CY1993" i="12" s="1"/>
  <c r="CX1991" i="12"/>
  <c r="CY1991" i="12" s="1"/>
  <c r="CX1986" i="12"/>
  <c r="CY1986" i="12" s="1"/>
  <c r="CX1997" i="12"/>
  <c r="CY1997" i="12" s="1"/>
  <c r="CX1998" i="12"/>
  <c r="CY1998" i="12" s="1"/>
  <c r="CX1994" i="12"/>
  <c r="CY1994" i="12" s="1"/>
  <c r="CX1987" i="12"/>
  <c r="CY1987" i="12" s="1"/>
  <c r="CX1984" i="12"/>
  <c r="CY1984" i="12" s="1"/>
  <c r="CX1990" i="12"/>
  <c r="CY1990" i="12" s="1"/>
  <c r="CX1996" i="12"/>
  <c r="CY1996" i="12" s="1"/>
  <c r="CX1995" i="12"/>
  <c r="CY1995" i="12" s="1"/>
  <c r="CX1999" i="12"/>
  <c r="CY1999" i="12" s="1"/>
  <c r="CX1983" i="12"/>
  <c r="CY1983" i="12" s="1"/>
  <c r="CX1988" i="12"/>
  <c r="CY1988" i="12" s="1"/>
  <c r="CX1985" i="12"/>
  <c r="CY1985" i="12" s="1"/>
  <c r="FS43" i="12"/>
  <c r="CZ1711" i="12"/>
  <c r="CZ1899" i="12"/>
  <c r="CZ1882" i="12"/>
  <c r="CZ1728" i="12"/>
  <c r="CZ1985" i="12"/>
  <c r="CZ1692" i="12"/>
  <c r="CZ1813" i="12"/>
  <c r="CZ1864" i="12"/>
  <c r="CZ1779" i="12"/>
  <c r="CZ1917" i="12"/>
  <c r="CZ1951" i="12"/>
  <c r="CZ1763" i="12"/>
  <c r="CZ1847" i="12"/>
  <c r="CZ2226" i="12"/>
  <c r="CZ1675" i="12"/>
  <c r="CZ1830" i="12"/>
  <c r="CZ1796" i="12"/>
  <c r="CZ1968" i="12"/>
  <c r="CZ1744" i="12"/>
  <c r="CZ1935" i="12"/>
  <c r="DC2226" i="12" l="1"/>
  <c r="DA2226" i="12"/>
  <c r="DB2226" i="12"/>
  <c r="DF2225" i="12" s="1"/>
  <c r="DD2226" i="12"/>
  <c r="DE2226" i="12"/>
  <c r="JH115" i="12"/>
  <c r="JH116" i="12" s="1"/>
  <c r="JK116" i="12" s="1"/>
  <c r="JL116" i="12" s="1"/>
  <c r="EA116" i="12" s="1"/>
  <c r="DE1882" i="12"/>
  <c r="DD1882" i="12"/>
  <c r="DB1882" i="12"/>
  <c r="DC1882" i="12"/>
  <c r="DA1882" i="12"/>
  <c r="DB1864" i="12"/>
  <c r="DC1864" i="12"/>
  <c r="DA1864" i="12"/>
  <c r="DD1864" i="12"/>
  <c r="DE1864" i="12"/>
  <c r="DD1813" i="12"/>
  <c r="DC1813" i="12"/>
  <c r="DB1813" i="12"/>
  <c r="DE1813" i="12"/>
  <c r="DA1813" i="12"/>
  <c r="DC1728" i="12"/>
  <c r="DE1728" i="12"/>
  <c r="DD1728" i="12"/>
  <c r="DA1728" i="12"/>
  <c r="DB1728" i="12"/>
  <c r="DE1763" i="12"/>
  <c r="DB1763" i="12"/>
  <c r="DD1763" i="12"/>
  <c r="DC1763" i="12"/>
  <c r="DA1763" i="12"/>
  <c r="DE1968" i="12"/>
  <c r="DC1968" i="12"/>
  <c r="DB1968" i="12"/>
  <c r="DA1968" i="12"/>
  <c r="DD1968" i="12"/>
  <c r="DB1796" i="12"/>
  <c r="DA1796" i="12"/>
  <c r="DD1796" i="12"/>
  <c r="DC1796" i="12"/>
  <c r="DE1796" i="12"/>
  <c r="DD1692" i="12"/>
  <c r="DA1692" i="12"/>
  <c r="DE1692" i="12"/>
  <c r="DB1692" i="12"/>
  <c r="DC1692" i="12"/>
  <c r="DC1779" i="12"/>
  <c r="DD1779" i="12"/>
  <c r="DB1779" i="12"/>
  <c r="DE1779" i="12"/>
  <c r="DA1779" i="12"/>
  <c r="DA1935" i="12"/>
  <c r="DB1935" i="12"/>
  <c r="DD1935" i="12"/>
  <c r="DE1935" i="12"/>
  <c r="DC1935" i="12"/>
  <c r="DD1951" i="12"/>
  <c r="DC1951" i="12"/>
  <c r="DE1951" i="12"/>
  <c r="DA1951" i="12"/>
  <c r="DB1951" i="12"/>
  <c r="DD1830" i="12"/>
  <c r="DE1830" i="12"/>
  <c r="DB1830" i="12"/>
  <c r="DC1830" i="12"/>
  <c r="DA1830" i="12"/>
  <c r="DB1711" i="12"/>
  <c r="DA1711" i="12"/>
  <c r="DC1711" i="12"/>
  <c r="DE1711" i="12"/>
  <c r="DD1711" i="12"/>
  <c r="DD1847" i="12"/>
  <c r="DC1847" i="12"/>
  <c r="DB1847" i="12"/>
  <c r="DA1847" i="12"/>
  <c r="DE1847" i="12"/>
  <c r="DA1675" i="12"/>
  <c r="DB1675" i="12"/>
  <c r="DC1675" i="12"/>
  <c r="DD1675" i="12"/>
  <c r="DE1675" i="12"/>
  <c r="DD1744" i="12"/>
  <c r="DB1744" i="12"/>
  <c r="DE1744" i="12"/>
  <c r="DA1744" i="12"/>
  <c r="DC1744" i="12"/>
  <c r="DD1899" i="12"/>
  <c r="DB1899" i="12"/>
  <c r="DC1899" i="12"/>
  <c r="DA1899" i="12"/>
  <c r="DE1899" i="12"/>
  <c r="DE1917" i="12"/>
  <c r="DD1917" i="12"/>
  <c r="DA1917" i="12"/>
  <c r="DB1917" i="12"/>
  <c r="DC1917" i="12"/>
  <c r="DA1985" i="12"/>
  <c r="DC1985" i="12"/>
  <c r="DB1985" i="12"/>
  <c r="DD1985" i="12"/>
  <c r="DE1985" i="12"/>
  <c r="DC1983" i="12"/>
  <c r="DB1983" i="12" s="1"/>
  <c r="CX2016" i="12"/>
  <c r="CY2016" i="12" s="1"/>
  <c r="CX2013" i="12"/>
  <c r="CY2013" i="12" s="1"/>
  <c r="CX2008" i="12"/>
  <c r="CY2008" i="12" s="1"/>
  <c r="CX2011" i="12"/>
  <c r="CY2011" i="12" s="1"/>
  <c r="CX2010" i="12"/>
  <c r="CY2010" i="12" s="1"/>
  <c r="CX2004" i="12"/>
  <c r="CY2004" i="12" s="1"/>
  <c r="CX2007" i="12"/>
  <c r="CY2007" i="12" s="1"/>
  <c r="CX2001" i="12"/>
  <c r="CY2001" i="12" s="1"/>
  <c r="DC2001" i="12" s="1"/>
  <c r="CX2009" i="12"/>
  <c r="CY2009" i="12" s="1"/>
  <c r="CX2015" i="12"/>
  <c r="CY2015" i="12" s="1"/>
  <c r="CX2014" i="12"/>
  <c r="CY2014" i="12" s="1"/>
  <c r="CX2012" i="12"/>
  <c r="CY2012" i="12" s="1"/>
  <c r="CX2005" i="12"/>
  <c r="CY2005" i="12" s="1"/>
  <c r="CX2002" i="12"/>
  <c r="CY2002" i="12" s="1"/>
  <c r="CX2017" i="12"/>
  <c r="CY2017" i="12" s="1"/>
  <c r="CX2006" i="12"/>
  <c r="CY2006" i="12" s="1"/>
  <c r="CX2003" i="12"/>
  <c r="CY2003" i="12" s="1"/>
  <c r="DE1965" i="12"/>
  <c r="DD1965" i="12"/>
  <c r="DB1965" i="12"/>
  <c r="FU43" i="12"/>
  <c r="GR43" i="12" s="1"/>
  <c r="FS44" i="12"/>
  <c r="CZ1900" i="12"/>
  <c r="CZ1693" i="12"/>
  <c r="CZ1986" i="12"/>
  <c r="CZ1831" i="12"/>
  <c r="CZ1797" i="12"/>
  <c r="CZ1780" i="12"/>
  <c r="CZ1848" i="12"/>
  <c r="CZ1969" i="12"/>
  <c r="CZ1814" i="12"/>
  <c r="CZ1764" i="12"/>
  <c r="CZ1745" i="12"/>
  <c r="CZ1936" i="12"/>
  <c r="CZ1865" i="12"/>
  <c r="CZ2227" i="12"/>
  <c r="CZ1883" i="12"/>
  <c r="CZ1952" i="12"/>
  <c r="CZ1729" i="12"/>
  <c r="CZ2003" i="12"/>
  <c r="CZ1918" i="12"/>
  <c r="DB2227" i="12" l="1"/>
  <c r="DF2226" i="12" s="1"/>
  <c r="DC2227" i="12"/>
  <c r="DD2227" i="12"/>
  <c r="DE2227" i="12"/>
  <c r="DA2227" i="12"/>
  <c r="JK115" i="12"/>
  <c r="JL115" i="12" s="1"/>
  <c r="EA115" i="12" s="1"/>
  <c r="CX2034" i="12" s="1"/>
  <c r="CY2034" i="12" s="1"/>
  <c r="JH117" i="12"/>
  <c r="JK117" i="12" s="1"/>
  <c r="JL117" i="12" s="1"/>
  <c r="EA117" i="12" s="1"/>
  <c r="CX2061" i="12" s="1"/>
  <c r="CY2061" i="12" s="1"/>
  <c r="DB1848" i="12"/>
  <c r="DD1848" i="12"/>
  <c r="DA1848" i="12"/>
  <c r="DE1848" i="12"/>
  <c r="DC1848" i="12"/>
  <c r="DC1831" i="12"/>
  <c r="DA1831" i="12"/>
  <c r="DD1831" i="12"/>
  <c r="DE1831" i="12"/>
  <c r="DB1831" i="12"/>
  <c r="DA1952" i="12"/>
  <c r="DD1952" i="12"/>
  <c r="DB1952" i="12"/>
  <c r="DE1952" i="12"/>
  <c r="DC1952" i="12"/>
  <c r="DA1729" i="12"/>
  <c r="DC1729" i="12"/>
  <c r="DD1729" i="12"/>
  <c r="DE1729" i="12"/>
  <c r="DB1729" i="12"/>
  <c r="DC1814" i="12"/>
  <c r="DD1814" i="12"/>
  <c r="DB1814" i="12"/>
  <c r="DE1814" i="12"/>
  <c r="DA1814" i="12"/>
  <c r="DD1900" i="12"/>
  <c r="DE1900" i="12"/>
  <c r="DB1900" i="12"/>
  <c r="DA1900" i="12"/>
  <c r="DC1900" i="12"/>
  <c r="DC1745" i="12"/>
  <c r="DA1745" i="12"/>
  <c r="DD1745" i="12"/>
  <c r="DB1745" i="12"/>
  <c r="DE1745" i="12"/>
  <c r="DA1986" i="12"/>
  <c r="DB1986" i="12"/>
  <c r="DC1986" i="12"/>
  <c r="DD1986" i="12"/>
  <c r="DE1986" i="12"/>
  <c r="DA1797" i="12"/>
  <c r="DC1797" i="12"/>
  <c r="DB1797" i="12"/>
  <c r="DD1797" i="12"/>
  <c r="DE1797" i="12"/>
  <c r="DC1764" i="12"/>
  <c r="DE1764" i="12"/>
  <c r="DB1764" i="12"/>
  <c r="DD1764" i="12"/>
  <c r="DA1764" i="12"/>
  <c r="DD1918" i="12"/>
  <c r="DB1918" i="12"/>
  <c r="DE1918" i="12"/>
  <c r="DC1918" i="12"/>
  <c r="DA1918" i="12"/>
  <c r="DC1693" i="12"/>
  <c r="DE1693" i="12"/>
  <c r="DD1693" i="12"/>
  <c r="DB1693" i="12"/>
  <c r="DA1693" i="12"/>
  <c r="DB1969" i="12"/>
  <c r="DC1969" i="12"/>
  <c r="DE1969" i="12"/>
  <c r="DA1969" i="12"/>
  <c r="DD1969" i="12"/>
  <c r="DE1865" i="12"/>
  <c r="DC1865" i="12"/>
  <c r="DA1865" i="12"/>
  <c r="DB1865" i="12"/>
  <c r="DD1865" i="12"/>
  <c r="DC1936" i="12"/>
  <c r="DB1936" i="12"/>
  <c r="DD1936" i="12"/>
  <c r="DE1936" i="12"/>
  <c r="DA1936" i="12"/>
  <c r="DC1780" i="12"/>
  <c r="DB1780" i="12"/>
  <c r="DE1780" i="12"/>
  <c r="DA1780" i="12"/>
  <c r="DD1780" i="12"/>
  <c r="DC1883" i="12"/>
  <c r="DD1883" i="12"/>
  <c r="DA1883" i="12"/>
  <c r="DE1883" i="12"/>
  <c r="DB1883" i="12"/>
  <c r="DE2003" i="12"/>
  <c r="DC2003" i="12"/>
  <c r="DD2003" i="12"/>
  <c r="DA2003" i="12"/>
  <c r="DB2003" i="12"/>
  <c r="DE1983" i="12"/>
  <c r="DD1983" i="12"/>
  <c r="DB2001" i="12"/>
  <c r="DD2001" i="12"/>
  <c r="DE2001" i="12"/>
  <c r="DB1984" i="12"/>
  <c r="DD1984" i="12"/>
  <c r="DC1984" i="12"/>
  <c r="DA1984" i="12"/>
  <c r="DE1984" i="12"/>
  <c r="CX2049" i="12"/>
  <c r="CY2049" i="12" s="1"/>
  <c r="CX2043" i="12"/>
  <c r="CY2043" i="12" s="1"/>
  <c r="CX2045" i="12"/>
  <c r="CY2045" i="12" s="1"/>
  <c r="CX2039" i="12"/>
  <c r="CY2039" i="12" s="1"/>
  <c r="CX2042" i="12"/>
  <c r="CY2042" i="12" s="1"/>
  <c r="CX2050" i="12"/>
  <c r="CY2050" i="12" s="1"/>
  <c r="CX2037" i="12"/>
  <c r="CY2037" i="12" s="1"/>
  <c r="DC2037" i="12" s="1"/>
  <c r="CX2040" i="12"/>
  <c r="CY2040" i="12" s="1"/>
  <c r="CX2046" i="12"/>
  <c r="CY2046" i="12" s="1"/>
  <c r="CX2051" i="12"/>
  <c r="CY2051" i="12" s="1"/>
  <c r="CX2044" i="12"/>
  <c r="CY2044" i="12" s="1"/>
  <c r="CX2047" i="12"/>
  <c r="CY2047" i="12" s="1"/>
  <c r="CX2041" i="12"/>
  <c r="CY2041" i="12" s="1"/>
  <c r="CX2053" i="12"/>
  <c r="CY2053" i="12" s="1"/>
  <c r="CX2052" i="12"/>
  <c r="CY2052" i="12" s="1"/>
  <c r="CX2038" i="12"/>
  <c r="CY2038" i="12" s="1"/>
  <c r="CX2048" i="12"/>
  <c r="CY2048" i="12" s="1"/>
  <c r="DE1966" i="12"/>
  <c r="DC1966" i="12"/>
  <c r="DB1966" i="12"/>
  <c r="DA1966" i="12"/>
  <c r="DD1966" i="12"/>
  <c r="FU44" i="12"/>
  <c r="GR44" i="12" s="1"/>
  <c r="FS45" i="12"/>
  <c r="CZ1866" i="12"/>
  <c r="CZ1919" i="12"/>
  <c r="CZ1849" i="12"/>
  <c r="CZ2039" i="12"/>
  <c r="CZ1798" i="12"/>
  <c r="CZ1987" i="12"/>
  <c r="CZ1901" i="12"/>
  <c r="CZ1937" i="12"/>
  <c r="CZ1884" i="12"/>
  <c r="CZ1953" i="12"/>
  <c r="CZ1832" i="12"/>
  <c r="CZ1815" i="12"/>
  <c r="CZ1781" i="12"/>
  <c r="CZ1970" i="12"/>
  <c r="CZ1746" i="12"/>
  <c r="CZ2004" i="12"/>
  <c r="CZ2228" i="12"/>
  <c r="CZ1765" i="12"/>
  <c r="DB2228" i="12" l="1"/>
  <c r="DF2227" i="12" s="1"/>
  <c r="DD2228" i="12"/>
  <c r="DE2228" i="12"/>
  <c r="DA2228" i="12"/>
  <c r="DC2228" i="12"/>
  <c r="CX2071" i="12"/>
  <c r="CY2071" i="12" s="1"/>
  <c r="CX2060" i="12"/>
  <c r="CY2060" i="12" s="1"/>
  <c r="CX2064" i="12"/>
  <c r="CY2064" i="12" s="1"/>
  <c r="CX2059" i="12"/>
  <c r="CY2059" i="12" s="1"/>
  <c r="CX2068" i="12"/>
  <c r="CY2068" i="12" s="1"/>
  <c r="CX2056" i="12"/>
  <c r="CY2056" i="12" s="1"/>
  <c r="CX2058" i="12"/>
  <c r="CY2058" i="12" s="1"/>
  <c r="CX2066" i="12"/>
  <c r="CY2066" i="12" s="1"/>
  <c r="CX2062" i="12"/>
  <c r="CY2062" i="12" s="1"/>
  <c r="CX2065" i="12"/>
  <c r="CY2065" i="12" s="1"/>
  <c r="CX2067" i="12"/>
  <c r="CY2067" i="12" s="1"/>
  <c r="CX2057" i="12"/>
  <c r="CY2057" i="12" s="1"/>
  <c r="CX2070" i="12"/>
  <c r="CY2070" i="12" s="1"/>
  <c r="CX2020" i="12"/>
  <c r="CY2020" i="12" s="1"/>
  <c r="CX2024" i="12"/>
  <c r="CY2024" i="12" s="1"/>
  <c r="CX2026" i="12"/>
  <c r="CY2026" i="12" s="1"/>
  <c r="CX2030" i="12"/>
  <c r="CY2030" i="12" s="1"/>
  <c r="CX2055" i="12"/>
  <c r="CY2055" i="12" s="1"/>
  <c r="DC2055" i="12" s="1"/>
  <c r="CX2063" i="12"/>
  <c r="CY2063" i="12" s="1"/>
  <c r="CX2069" i="12"/>
  <c r="CY2069" i="12" s="1"/>
  <c r="CX2033" i="12"/>
  <c r="CY2033" i="12" s="1"/>
  <c r="CX2032" i="12"/>
  <c r="CY2032" i="12" s="1"/>
  <c r="CX2019" i="12"/>
  <c r="CY2019" i="12" s="1"/>
  <c r="CX2021" i="12"/>
  <c r="CY2021" i="12" s="1"/>
  <c r="CX2022" i="12"/>
  <c r="CY2022" i="12" s="1"/>
  <c r="CX2027" i="12"/>
  <c r="CY2027" i="12" s="1"/>
  <c r="CX2035" i="12"/>
  <c r="CY2035" i="12" s="1"/>
  <c r="CX2025" i="12"/>
  <c r="CY2025" i="12" s="1"/>
  <c r="CX2028" i="12"/>
  <c r="CY2028" i="12" s="1"/>
  <c r="CX2029" i="12"/>
  <c r="CY2029" i="12" s="1"/>
  <c r="CX2023" i="12"/>
  <c r="CY2023" i="12" s="1"/>
  <c r="CX2031" i="12"/>
  <c r="CY2031" i="12" s="1"/>
  <c r="JH118" i="12"/>
  <c r="JK118" i="12" s="1"/>
  <c r="JL118" i="12" s="1"/>
  <c r="EA118" i="12" s="1"/>
  <c r="CX2078" i="12" s="1"/>
  <c r="CY2078" i="12" s="1"/>
  <c r="DB1884" i="12"/>
  <c r="DE1884" i="12"/>
  <c r="DC1884" i="12"/>
  <c r="DD1884" i="12"/>
  <c r="DA1884" i="12"/>
  <c r="DB1866" i="12"/>
  <c r="DA1866" i="12"/>
  <c r="DD1866" i="12"/>
  <c r="DE1866" i="12"/>
  <c r="DC1866" i="12"/>
  <c r="DC1901" i="12"/>
  <c r="DE1901" i="12"/>
  <c r="DD1901" i="12"/>
  <c r="DA1901" i="12"/>
  <c r="DB1901" i="12"/>
  <c r="DA1953" i="12"/>
  <c r="DC1953" i="12"/>
  <c r="DB1953" i="12"/>
  <c r="DD1953" i="12"/>
  <c r="DE1953" i="12"/>
  <c r="DD2004" i="12"/>
  <c r="DC2004" i="12"/>
  <c r="DE2004" i="12"/>
  <c r="DB2004" i="12"/>
  <c r="DA2004" i="12"/>
  <c r="DA1781" i="12"/>
  <c r="DC1781" i="12"/>
  <c r="DD1781" i="12"/>
  <c r="DE1781" i="12"/>
  <c r="DB1781" i="12"/>
  <c r="DC1919" i="12"/>
  <c r="DD1919" i="12"/>
  <c r="DA1919" i="12"/>
  <c r="DB1919" i="12"/>
  <c r="DE1919" i="12"/>
  <c r="DB1765" i="12"/>
  <c r="DC1765" i="12"/>
  <c r="DA1765" i="12"/>
  <c r="DE1765" i="12"/>
  <c r="DD1765" i="12"/>
  <c r="DE1815" i="12"/>
  <c r="DC1815" i="12"/>
  <c r="DD1815" i="12"/>
  <c r="DB1815" i="12"/>
  <c r="DA1815" i="12"/>
  <c r="DC1937" i="12"/>
  <c r="DE1937" i="12"/>
  <c r="DA1937" i="12"/>
  <c r="DB1937" i="12"/>
  <c r="DD1937" i="12"/>
  <c r="DE1798" i="12"/>
  <c r="DD1798" i="12"/>
  <c r="DB1798" i="12"/>
  <c r="DC1798" i="12"/>
  <c r="DA1798" i="12"/>
  <c r="DA1987" i="12"/>
  <c r="DB1987" i="12"/>
  <c r="DE1987" i="12"/>
  <c r="DD1987" i="12"/>
  <c r="DC1987" i="12"/>
  <c r="DD1746" i="12"/>
  <c r="DC1746" i="12"/>
  <c r="DE1746" i="12"/>
  <c r="DA1746" i="12"/>
  <c r="DB1746" i="12"/>
  <c r="DA1832" i="12"/>
  <c r="DC1832" i="12"/>
  <c r="DD1832" i="12"/>
  <c r="DE1832" i="12"/>
  <c r="DB1832" i="12"/>
  <c r="DE1970" i="12"/>
  <c r="DA1970" i="12"/>
  <c r="DD1970" i="12"/>
  <c r="DB1970" i="12"/>
  <c r="DC1970" i="12"/>
  <c r="DD1849" i="12"/>
  <c r="DB1849" i="12"/>
  <c r="DC1849" i="12"/>
  <c r="DA1849" i="12"/>
  <c r="DE1849" i="12"/>
  <c r="DB2039" i="12"/>
  <c r="DD2039" i="12"/>
  <c r="DA2039" i="12"/>
  <c r="DC2039" i="12"/>
  <c r="DE2039" i="12"/>
  <c r="DC2019" i="12"/>
  <c r="DB2019" i="12" s="1"/>
  <c r="DB2037" i="12"/>
  <c r="DD2037" i="12"/>
  <c r="DE2037" i="12"/>
  <c r="DE2002" i="12"/>
  <c r="DB2002" i="12"/>
  <c r="DA2002" i="12"/>
  <c r="DD2002" i="12"/>
  <c r="DC2002" i="12"/>
  <c r="FU45" i="12"/>
  <c r="GR45" i="12" s="1"/>
  <c r="FS46" i="12"/>
  <c r="CZ1954" i="12"/>
  <c r="CZ2005" i="12"/>
  <c r="CZ1782" i="12"/>
  <c r="CZ1833" i="12"/>
  <c r="CZ1867" i="12"/>
  <c r="CZ1938" i="12"/>
  <c r="CZ2229" i="12"/>
  <c r="CZ1850" i="12"/>
  <c r="CZ1988" i="12"/>
  <c r="CZ1885" i="12"/>
  <c r="CZ1816" i="12"/>
  <c r="CZ2040" i="12"/>
  <c r="CZ1920" i="12"/>
  <c r="CZ1902" i="12"/>
  <c r="CZ1747" i="12"/>
  <c r="CZ1799" i="12"/>
  <c r="CZ2057" i="12"/>
  <c r="CZ1971" i="12"/>
  <c r="CZ2021" i="12"/>
  <c r="DC2229" i="12" l="1"/>
  <c r="DE2229" i="12"/>
  <c r="DA2229" i="12"/>
  <c r="DD2229" i="12"/>
  <c r="DB2229" i="12"/>
  <c r="DF2228" i="12" s="1"/>
  <c r="DD2057" i="12"/>
  <c r="DA2057" i="12"/>
  <c r="DC2057" i="12"/>
  <c r="DB2057" i="12"/>
  <c r="DE2057" i="12"/>
  <c r="DD2021" i="12"/>
  <c r="DE2021" i="12"/>
  <c r="DA2021" i="12"/>
  <c r="DB2021" i="12"/>
  <c r="DC2021" i="12"/>
  <c r="CX2081" i="12"/>
  <c r="CY2081" i="12" s="1"/>
  <c r="CX2074" i="12"/>
  <c r="CY2074" i="12" s="1"/>
  <c r="CX2080" i="12"/>
  <c r="CY2080" i="12" s="1"/>
  <c r="JH119" i="12"/>
  <c r="JK119" i="12" s="1"/>
  <c r="JL119" i="12" s="1"/>
  <c r="EA119" i="12" s="1"/>
  <c r="CX2107" i="12" s="1"/>
  <c r="CY2107" i="12" s="1"/>
  <c r="CX2089" i="12"/>
  <c r="CY2089" i="12" s="1"/>
  <c r="CX2073" i="12"/>
  <c r="CY2073" i="12" s="1"/>
  <c r="DC2073" i="12" s="1"/>
  <c r="DE2073" i="12" s="1"/>
  <c r="CX2087" i="12"/>
  <c r="CY2087" i="12" s="1"/>
  <c r="CX2075" i="12"/>
  <c r="CY2075" i="12" s="1"/>
  <c r="CX2082" i="12"/>
  <c r="CY2082" i="12" s="1"/>
  <c r="CX2086" i="12"/>
  <c r="CY2086" i="12" s="1"/>
  <c r="CX2085" i="12"/>
  <c r="CY2085" i="12" s="1"/>
  <c r="CX2076" i="12"/>
  <c r="CY2076" i="12" s="1"/>
  <c r="CX2088" i="12"/>
  <c r="CY2088" i="12" s="1"/>
  <c r="CX2077" i="12"/>
  <c r="CY2077" i="12" s="1"/>
  <c r="CX2084" i="12"/>
  <c r="CY2084" i="12" s="1"/>
  <c r="CX2083" i="12"/>
  <c r="CY2083" i="12" s="1"/>
  <c r="CX2079" i="12"/>
  <c r="CY2079" i="12" s="1"/>
  <c r="DC1833" i="12"/>
  <c r="DB1833" i="12"/>
  <c r="DE1833" i="12"/>
  <c r="DA1833" i="12"/>
  <c r="DD1833" i="12"/>
  <c r="DA1747" i="12"/>
  <c r="DB1747" i="12"/>
  <c r="DC1747" i="12"/>
  <c r="DD1747" i="12"/>
  <c r="DE1747" i="12"/>
  <c r="DA1799" i="12"/>
  <c r="DD1799" i="12"/>
  <c r="DC1799" i="12"/>
  <c r="DB1799" i="12"/>
  <c r="DE1799" i="12"/>
  <c r="DD1938" i="12"/>
  <c r="DB1938" i="12"/>
  <c r="DC1938" i="12"/>
  <c r="DE1938" i="12"/>
  <c r="DA1938" i="12"/>
  <c r="DB1816" i="12"/>
  <c r="DE1816" i="12"/>
  <c r="DC1816" i="12"/>
  <c r="DD1816" i="12"/>
  <c r="DA1816" i="12"/>
  <c r="DE1920" i="12"/>
  <c r="DD1920" i="12"/>
  <c r="DA1920" i="12"/>
  <c r="DC1920" i="12"/>
  <c r="DB1920" i="12"/>
  <c r="DA1782" i="12"/>
  <c r="DE1782" i="12"/>
  <c r="DB1782" i="12"/>
  <c r="DC1782" i="12"/>
  <c r="DD1782" i="12"/>
  <c r="DD1850" i="12"/>
  <c r="DE1850" i="12"/>
  <c r="DC1850" i="12"/>
  <c r="DB1850" i="12"/>
  <c r="DA1850" i="12"/>
  <c r="DB2040" i="12"/>
  <c r="DD2040" i="12"/>
  <c r="DE2040" i="12"/>
  <c r="DA2040" i="12"/>
  <c r="DC2040" i="12"/>
  <c r="DE2005" i="12"/>
  <c r="DD2005" i="12"/>
  <c r="DB2005" i="12"/>
  <c r="DC2005" i="12"/>
  <c r="DA2005" i="12"/>
  <c r="DC1954" i="12"/>
  <c r="DB1954" i="12"/>
  <c r="DA1954" i="12"/>
  <c r="DE1954" i="12"/>
  <c r="DD1954" i="12"/>
  <c r="DA1867" i="12"/>
  <c r="DE1867" i="12"/>
  <c r="DC1867" i="12"/>
  <c r="DD1867" i="12"/>
  <c r="DB1867" i="12"/>
  <c r="DC1885" i="12"/>
  <c r="DB1885" i="12"/>
  <c r="DD1885" i="12"/>
  <c r="DA1885" i="12"/>
  <c r="DE1885" i="12"/>
  <c r="DB1971" i="12"/>
  <c r="DE1971" i="12"/>
  <c r="DA1971" i="12"/>
  <c r="DD1971" i="12"/>
  <c r="DC1971" i="12"/>
  <c r="DC1988" i="12"/>
  <c r="DE1988" i="12"/>
  <c r="DD1988" i="12"/>
  <c r="DB1988" i="12"/>
  <c r="DA1988" i="12"/>
  <c r="DC1902" i="12"/>
  <c r="DE1902" i="12"/>
  <c r="DB1902" i="12"/>
  <c r="DD1902" i="12"/>
  <c r="DA1902" i="12"/>
  <c r="DD2019" i="12"/>
  <c r="DE2019" i="12"/>
  <c r="DE2055" i="12"/>
  <c r="DD2055" i="12"/>
  <c r="DD2020" i="12"/>
  <c r="DA2020" i="12"/>
  <c r="DC2020" i="12"/>
  <c r="DE2020" i="12"/>
  <c r="DB2020" i="12"/>
  <c r="DB2055" i="12"/>
  <c r="DB2038" i="12"/>
  <c r="DA2038" i="12"/>
  <c r="DD2038" i="12"/>
  <c r="DE2038" i="12"/>
  <c r="DC2038" i="12"/>
  <c r="FU46" i="12"/>
  <c r="GR46" i="12" s="1"/>
  <c r="FS47" i="12"/>
  <c r="CZ1903" i="12"/>
  <c r="CZ1921" i="12"/>
  <c r="CZ1955" i="12"/>
  <c r="CZ1783" i="12"/>
  <c r="CZ2006" i="12"/>
  <c r="CZ1989" i="12"/>
  <c r="CZ1800" i="12"/>
  <c r="CZ2075" i="12"/>
  <c r="CZ1851" i="12"/>
  <c r="CZ1972" i="12"/>
  <c r="CZ1939" i="12"/>
  <c r="CZ2058" i="12"/>
  <c r="CZ1868" i="12"/>
  <c r="CZ1886" i="12"/>
  <c r="CZ2022" i="12"/>
  <c r="CZ2041" i="12"/>
  <c r="CZ1817" i="12"/>
  <c r="CZ1834" i="12"/>
  <c r="CZ2230" i="12"/>
  <c r="DD2230" i="12" l="1"/>
  <c r="DE2230" i="12"/>
  <c r="DB2230" i="12"/>
  <c r="DF2229" i="12" s="1"/>
  <c r="DC2230" i="12"/>
  <c r="DA2230" i="12"/>
  <c r="DD2073" i="12"/>
  <c r="CX2099" i="12"/>
  <c r="CY2099" i="12" s="1"/>
  <c r="CX2092" i="12"/>
  <c r="CY2092" i="12" s="1"/>
  <c r="DA2022" i="12"/>
  <c r="DE2022" i="12"/>
  <c r="DD2022" i="12"/>
  <c r="DC2022" i="12"/>
  <c r="DB2022" i="12"/>
  <c r="DA2058" i="12"/>
  <c r="DB2058" i="12"/>
  <c r="DD2058" i="12"/>
  <c r="DC2058" i="12"/>
  <c r="DE2058" i="12"/>
  <c r="CX2106" i="12"/>
  <c r="CY2106" i="12" s="1"/>
  <c r="CX2091" i="12"/>
  <c r="CY2091" i="12" s="1"/>
  <c r="DC2091" i="12" s="1"/>
  <c r="DD2091" i="12" s="1"/>
  <c r="CX2104" i="12"/>
  <c r="CY2104" i="12" s="1"/>
  <c r="CX2097" i="12"/>
  <c r="CY2097" i="12" s="1"/>
  <c r="CX2093" i="12"/>
  <c r="CY2093" i="12" s="1"/>
  <c r="CX2094" i="12"/>
  <c r="CY2094" i="12" s="1"/>
  <c r="CX2095" i="12"/>
  <c r="CY2095" i="12" s="1"/>
  <c r="CX2096" i="12"/>
  <c r="CY2096" i="12" s="1"/>
  <c r="CX2101" i="12"/>
  <c r="CY2101" i="12" s="1"/>
  <c r="CX2098" i="12"/>
  <c r="CY2098" i="12" s="1"/>
  <c r="CX2105" i="12"/>
  <c r="CY2105" i="12" s="1"/>
  <c r="CX2100" i="12"/>
  <c r="CY2100" i="12" s="1"/>
  <c r="CX2102" i="12"/>
  <c r="CY2102" i="12" s="1"/>
  <c r="CX2103" i="12"/>
  <c r="CY2103" i="12" s="1"/>
  <c r="DD2075" i="12"/>
  <c r="DE2075" i="12"/>
  <c r="DB2075" i="12"/>
  <c r="DC2075" i="12"/>
  <c r="DA2075" i="12"/>
  <c r="JH120" i="12"/>
  <c r="DB2073" i="12"/>
  <c r="DB2006" i="12"/>
  <c r="DA2006" i="12"/>
  <c r="DC2006" i="12"/>
  <c r="DD2006" i="12"/>
  <c r="DE2006" i="12"/>
  <c r="DB1817" i="12"/>
  <c r="DE1817" i="12"/>
  <c r="DC1817" i="12"/>
  <c r="DD1817" i="12"/>
  <c r="DA1817" i="12"/>
  <c r="DB1972" i="12"/>
  <c r="DE1972" i="12"/>
  <c r="DA1972" i="12"/>
  <c r="DD1972" i="12"/>
  <c r="DC1972" i="12"/>
  <c r="DE1851" i="12"/>
  <c r="DA1851" i="12"/>
  <c r="DB1851" i="12"/>
  <c r="DC1851" i="12"/>
  <c r="DD1851" i="12"/>
  <c r="DE1783" i="12"/>
  <c r="DB1783" i="12"/>
  <c r="DA1783" i="12"/>
  <c r="DC1783" i="12"/>
  <c r="DD1783" i="12"/>
  <c r="DC1800" i="12"/>
  <c r="DE1800" i="12"/>
  <c r="DA1800" i="12"/>
  <c r="DD1800" i="12"/>
  <c r="DB1800" i="12"/>
  <c r="DB1834" i="12"/>
  <c r="DC1834" i="12"/>
  <c r="DA1834" i="12"/>
  <c r="DE1834" i="12"/>
  <c r="DD1834" i="12"/>
  <c r="DE1989" i="12"/>
  <c r="DC1989" i="12"/>
  <c r="DB1989" i="12"/>
  <c r="DD1989" i="12"/>
  <c r="DA1989" i="12"/>
  <c r="DE1868" i="12"/>
  <c r="DD1868" i="12"/>
  <c r="DB1868" i="12"/>
  <c r="DC1868" i="12"/>
  <c r="DA1868" i="12"/>
  <c r="DB1955" i="12"/>
  <c r="DE1955" i="12"/>
  <c r="DA1955" i="12"/>
  <c r="DC1955" i="12"/>
  <c r="DD1955" i="12"/>
  <c r="DA2041" i="12"/>
  <c r="DE2041" i="12"/>
  <c r="DD2041" i="12"/>
  <c r="DC2041" i="12"/>
  <c r="DB2041" i="12"/>
  <c r="DE1903" i="12"/>
  <c r="DA1903" i="12"/>
  <c r="DC1903" i="12"/>
  <c r="DD1903" i="12"/>
  <c r="DB1903" i="12"/>
  <c r="DC1886" i="12"/>
  <c r="DB1886" i="12"/>
  <c r="DE1886" i="12"/>
  <c r="DD1886" i="12"/>
  <c r="DA1886" i="12"/>
  <c r="DA1921" i="12"/>
  <c r="DB1921" i="12"/>
  <c r="DD1921" i="12"/>
  <c r="DC1921" i="12"/>
  <c r="DE1921" i="12"/>
  <c r="DE1939" i="12"/>
  <c r="DB1939" i="12"/>
  <c r="DA1939" i="12"/>
  <c r="DD1939" i="12"/>
  <c r="DC1939" i="12"/>
  <c r="DE2056" i="12"/>
  <c r="DB2056" i="12"/>
  <c r="DD2056" i="12"/>
  <c r="DA2056" i="12"/>
  <c r="DC2056" i="12"/>
  <c r="FU47" i="12"/>
  <c r="GR47" i="12" s="1"/>
  <c r="FS48" i="12"/>
  <c r="CZ1887" i="12"/>
  <c r="CZ1801" i="12"/>
  <c r="CZ1956" i="12"/>
  <c r="CZ1852" i="12"/>
  <c r="CZ1990" i="12"/>
  <c r="CZ2093" i="12"/>
  <c r="CZ2076" i="12"/>
  <c r="CZ1835" i="12"/>
  <c r="CZ2007" i="12"/>
  <c r="CZ1818" i="12"/>
  <c r="CZ1973" i="12"/>
  <c r="CZ2059" i="12"/>
  <c r="CZ2023" i="12"/>
  <c r="CZ2042" i="12"/>
  <c r="CZ2231" i="12"/>
  <c r="CZ1940" i="12"/>
  <c r="CZ1904" i="12"/>
  <c r="CZ1922" i="12"/>
  <c r="CZ1869" i="12"/>
  <c r="DB2091" i="12" l="1"/>
  <c r="DD2092" i="12" s="1"/>
  <c r="DE2231" i="12"/>
  <c r="DC2231" i="12"/>
  <c r="DB2231" i="12"/>
  <c r="DF2230" i="12" s="1"/>
  <c r="DD2231" i="12"/>
  <c r="DA2231" i="12"/>
  <c r="DE2076" i="12"/>
  <c r="DC2076" i="12"/>
  <c r="DD2076" i="12"/>
  <c r="DB2076" i="12"/>
  <c r="DA2076" i="12"/>
  <c r="DB2059" i="12"/>
  <c r="DC2059" i="12"/>
  <c r="DA2059" i="12"/>
  <c r="DE2059" i="12"/>
  <c r="DD2059" i="12"/>
  <c r="DC2023" i="12"/>
  <c r="DB2023" i="12"/>
  <c r="DD2023" i="12"/>
  <c r="DE2023" i="12"/>
  <c r="DA2023" i="12"/>
  <c r="DE2091" i="12"/>
  <c r="DD2093" i="12"/>
  <c r="DB2093" i="12"/>
  <c r="DC2093" i="12"/>
  <c r="DE2093" i="12"/>
  <c r="DA2093" i="12"/>
  <c r="JK120" i="12"/>
  <c r="JL120" i="12" s="1"/>
  <c r="EA120" i="12" s="1"/>
  <c r="JH121" i="12"/>
  <c r="DD2074" i="12"/>
  <c r="DE2074" i="12"/>
  <c r="DC2074" i="12"/>
  <c r="DB2074" i="12"/>
  <c r="DA2074" i="12"/>
  <c r="DE2042" i="12"/>
  <c r="DA2042" i="12"/>
  <c r="DD2042" i="12"/>
  <c r="DB2042" i="12"/>
  <c r="DC2042" i="12"/>
  <c r="DD1956" i="12"/>
  <c r="DA1956" i="12"/>
  <c r="DB1956" i="12"/>
  <c r="DE1956" i="12"/>
  <c r="DC1956" i="12"/>
  <c r="DA1973" i="12"/>
  <c r="DB1973" i="12"/>
  <c r="DC1973" i="12"/>
  <c r="DE1973" i="12"/>
  <c r="DD1973" i="12"/>
  <c r="DA1818" i="12"/>
  <c r="DD1818" i="12"/>
  <c r="DC1818" i="12"/>
  <c r="DB1818" i="12"/>
  <c r="DE1818" i="12"/>
  <c r="DB1940" i="12"/>
  <c r="DA1940" i="12"/>
  <c r="DE1940" i="12"/>
  <c r="DC1940" i="12"/>
  <c r="DD1940" i="12"/>
  <c r="DC1887" i="12"/>
  <c r="DE1887" i="12"/>
  <c r="DA1887" i="12"/>
  <c r="DD1887" i="12"/>
  <c r="DB1887" i="12"/>
  <c r="DA1835" i="12"/>
  <c r="DD1835" i="12"/>
  <c r="DE1835" i="12"/>
  <c r="DC1835" i="12"/>
  <c r="DB1835" i="12"/>
  <c r="DA1852" i="12"/>
  <c r="DD1852" i="12"/>
  <c r="DE1852" i="12"/>
  <c r="DC1852" i="12"/>
  <c r="DB1852" i="12"/>
  <c r="DE2007" i="12"/>
  <c r="DD2007" i="12"/>
  <c r="DB2007" i="12"/>
  <c r="DC2007" i="12"/>
  <c r="DA2007" i="12"/>
  <c r="DC1922" i="12"/>
  <c r="DE1922" i="12"/>
  <c r="DB1922" i="12"/>
  <c r="DD1922" i="12"/>
  <c r="DA1922" i="12"/>
  <c r="DC1990" i="12"/>
  <c r="DB1990" i="12"/>
  <c r="DD1990" i="12"/>
  <c r="DA1990" i="12"/>
  <c r="DE1990" i="12"/>
  <c r="DC1801" i="12"/>
  <c r="DD1801" i="12"/>
  <c r="DE1801" i="12"/>
  <c r="DB1801" i="12"/>
  <c r="DA1801" i="12"/>
  <c r="DC1904" i="12"/>
  <c r="DE1904" i="12"/>
  <c r="DB1904" i="12"/>
  <c r="DA1904" i="12"/>
  <c r="DD1904" i="12"/>
  <c r="DC1869" i="12"/>
  <c r="DA1869" i="12"/>
  <c r="DE1869" i="12"/>
  <c r="DD1869" i="12"/>
  <c r="DB1869" i="12"/>
  <c r="FU48" i="12"/>
  <c r="GR48" i="12" s="1"/>
  <c r="FS49" i="12"/>
  <c r="CZ1941" i="12"/>
  <c r="CZ1870" i="12"/>
  <c r="CZ2077" i="12"/>
  <c r="CZ1905" i="12"/>
  <c r="CZ1836" i="12"/>
  <c r="CZ2232" i="12"/>
  <c r="CZ1819" i="12"/>
  <c r="CZ1888" i="12"/>
  <c r="CZ1957" i="12"/>
  <c r="CZ2008" i="12"/>
  <c r="CZ1853" i="12"/>
  <c r="CZ2024" i="12"/>
  <c r="CZ1974" i="12"/>
  <c r="CZ2043" i="12"/>
  <c r="CZ1991" i="12"/>
  <c r="CZ2094" i="12"/>
  <c r="CZ1923" i="12"/>
  <c r="CZ2060" i="12"/>
  <c r="DC2092" i="12" l="1"/>
  <c r="DA2092" i="12"/>
  <c r="DE2092" i="12"/>
  <c r="DB2092" i="12"/>
  <c r="DA2232" i="12"/>
  <c r="DE2232" i="12"/>
  <c r="DB2232" i="12"/>
  <c r="DF2231" i="12" s="1"/>
  <c r="DC2232" i="12"/>
  <c r="DD2232" i="12"/>
  <c r="DC2077" i="12"/>
  <c r="DA2077" i="12"/>
  <c r="DE2077" i="12"/>
  <c r="DD2077" i="12"/>
  <c r="DB2077" i="12"/>
  <c r="DB2024" i="12"/>
  <c r="DC2024" i="12"/>
  <c r="DA2024" i="12"/>
  <c r="DD2024" i="12"/>
  <c r="DE2024" i="12"/>
  <c r="DA2094" i="12"/>
  <c r="DB2094" i="12"/>
  <c r="DE2094" i="12"/>
  <c r="DC2094" i="12"/>
  <c r="DD2094" i="12"/>
  <c r="DA2060" i="12"/>
  <c r="DD2060" i="12"/>
  <c r="DC2060" i="12"/>
  <c r="DE2060" i="12"/>
  <c r="DB2060" i="12"/>
  <c r="JK121" i="12"/>
  <c r="JL121" i="12" s="1"/>
  <c r="EA121" i="12" s="1"/>
  <c r="JH122" i="12"/>
  <c r="CX2115" i="12"/>
  <c r="CY2115" i="12" s="1"/>
  <c r="CX2110" i="12"/>
  <c r="CY2110" i="12" s="1"/>
  <c r="CX2109" i="12"/>
  <c r="CY2109" i="12" s="1"/>
  <c r="DC2109" i="12" s="1"/>
  <c r="CX2125" i="12"/>
  <c r="CY2125" i="12" s="1"/>
  <c r="CX2113" i="12"/>
  <c r="CY2113" i="12" s="1"/>
  <c r="CX2117" i="12"/>
  <c r="CY2117" i="12" s="1"/>
  <c r="CX2111" i="12"/>
  <c r="CY2111" i="12" s="1"/>
  <c r="CX2124" i="12"/>
  <c r="CY2124" i="12" s="1"/>
  <c r="CX2121" i="12"/>
  <c r="CY2121" i="12" s="1"/>
  <c r="CX2123" i="12"/>
  <c r="CY2123" i="12" s="1"/>
  <c r="CX2114" i="12"/>
  <c r="CY2114" i="12" s="1"/>
  <c r="CX2116" i="12"/>
  <c r="CY2116" i="12" s="1"/>
  <c r="CX2112" i="12"/>
  <c r="CY2112" i="12" s="1"/>
  <c r="CX2122" i="12"/>
  <c r="CY2122" i="12" s="1"/>
  <c r="CX2120" i="12"/>
  <c r="CY2120" i="12" s="1"/>
  <c r="CX2118" i="12"/>
  <c r="CY2118" i="12" s="1"/>
  <c r="CX2119" i="12"/>
  <c r="CY2119" i="12" s="1"/>
  <c r="DD1991" i="12"/>
  <c r="DA1991" i="12"/>
  <c r="DE1991" i="12"/>
  <c r="DC1991" i="12"/>
  <c r="DB1991" i="12"/>
  <c r="DD1923" i="12"/>
  <c r="DE1923" i="12"/>
  <c r="DB1923" i="12"/>
  <c r="DC1923" i="12"/>
  <c r="DA1923" i="12"/>
  <c r="DB1853" i="12"/>
  <c r="DA1853" i="12"/>
  <c r="DE1853" i="12"/>
  <c r="DD1853" i="12"/>
  <c r="DC1853" i="12"/>
  <c r="DA1819" i="12"/>
  <c r="DC1819" i="12"/>
  <c r="DD1819" i="12"/>
  <c r="DE1819" i="12"/>
  <c r="DB1819" i="12"/>
  <c r="DD1836" i="12"/>
  <c r="DE1836" i="12"/>
  <c r="DB1836" i="12"/>
  <c r="DA1836" i="12"/>
  <c r="DC1836" i="12"/>
  <c r="DA1870" i="12"/>
  <c r="DE1870" i="12"/>
  <c r="DB1870" i="12"/>
  <c r="DC1870" i="12"/>
  <c r="DD1870" i="12"/>
  <c r="DE2008" i="12"/>
  <c r="DD2008" i="12"/>
  <c r="DB2008" i="12"/>
  <c r="DA2008" i="12"/>
  <c r="DC2008" i="12"/>
  <c r="DD1888" i="12"/>
  <c r="DB1888" i="12"/>
  <c r="DE1888" i="12"/>
  <c r="DC1888" i="12"/>
  <c r="DA1888" i="12"/>
  <c r="DD1957" i="12"/>
  <c r="DB1957" i="12"/>
  <c r="DA1957" i="12"/>
  <c r="DC1957" i="12"/>
  <c r="DE1957" i="12"/>
  <c r="DB2043" i="12"/>
  <c r="DD2043" i="12"/>
  <c r="DE2043" i="12"/>
  <c r="DA2043" i="12"/>
  <c r="DC2043" i="12"/>
  <c r="DB1905" i="12"/>
  <c r="DC1905" i="12"/>
  <c r="DE1905" i="12"/>
  <c r="DD1905" i="12"/>
  <c r="DA1905" i="12"/>
  <c r="DB1941" i="12"/>
  <c r="DA1941" i="12"/>
  <c r="DD1941" i="12"/>
  <c r="DE1941" i="12"/>
  <c r="DC1941" i="12"/>
  <c r="DB1974" i="12"/>
  <c r="DE1974" i="12"/>
  <c r="DD1974" i="12"/>
  <c r="DC1974" i="12"/>
  <c r="DA1974" i="12"/>
  <c r="FU49" i="12"/>
  <c r="GR49" i="12" s="1"/>
  <c r="FS50" i="12"/>
  <c r="CZ1924" i="12"/>
  <c r="CZ2233" i="12"/>
  <c r="CZ2095" i="12"/>
  <c r="CZ1889" i="12"/>
  <c r="CZ2111" i="12"/>
  <c r="CZ1958" i="12"/>
  <c r="CZ2078" i="12"/>
  <c r="CZ1942" i="12"/>
  <c r="CZ1854" i="12"/>
  <c r="CZ1871" i="12"/>
  <c r="CZ2044" i="12"/>
  <c r="CZ2061" i="12"/>
  <c r="CZ1992" i="12"/>
  <c r="CZ1975" i="12"/>
  <c r="CZ1837" i="12"/>
  <c r="CZ2025" i="12"/>
  <c r="CZ2009" i="12"/>
  <c r="CZ1906" i="12"/>
  <c r="DD2233" i="12" l="1"/>
  <c r="DC2233" i="12"/>
  <c r="DA2233" i="12"/>
  <c r="DB2233" i="12"/>
  <c r="DF2232" i="12" s="1"/>
  <c r="DE2233" i="12"/>
  <c r="DA2025" i="12"/>
  <c r="DD2025" i="12"/>
  <c r="DC2025" i="12"/>
  <c r="DB2025" i="12"/>
  <c r="DE2025" i="12"/>
  <c r="DB2095" i="12"/>
  <c r="DE2095" i="12"/>
  <c r="DA2095" i="12"/>
  <c r="DD2095" i="12"/>
  <c r="DC2095" i="12"/>
  <c r="DA2078" i="12"/>
  <c r="DE2078" i="12"/>
  <c r="DD2078" i="12"/>
  <c r="DB2078" i="12"/>
  <c r="DC2078" i="12"/>
  <c r="DA2061" i="12"/>
  <c r="DC2061" i="12"/>
  <c r="DE2061" i="12"/>
  <c r="DD2061" i="12"/>
  <c r="DB2061" i="12"/>
  <c r="DD2111" i="12"/>
  <c r="DA2111" i="12"/>
  <c r="DE2111" i="12"/>
  <c r="DC2111" i="12"/>
  <c r="DB2111" i="12"/>
  <c r="CX2138" i="12"/>
  <c r="CY2138" i="12" s="1"/>
  <c r="CX2132" i="12"/>
  <c r="CY2132" i="12" s="1"/>
  <c r="CX2143" i="12"/>
  <c r="CY2143" i="12" s="1"/>
  <c r="CX2141" i="12"/>
  <c r="CY2141" i="12" s="1"/>
  <c r="CX2133" i="12"/>
  <c r="CY2133" i="12" s="1"/>
  <c r="CX2130" i="12"/>
  <c r="CY2130" i="12" s="1"/>
  <c r="CX2128" i="12"/>
  <c r="CY2128" i="12" s="1"/>
  <c r="CX2136" i="12"/>
  <c r="CY2136" i="12" s="1"/>
  <c r="CX2135" i="12"/>
  <c r="CY2135" i="12" s="1"/>
  <c r="CX2127" i="12"/>
  <c r="CY2127" i="12" s="1"/>
  <c r="DC2127" i="12" s="1"/>
  <c r="DE2127" i="12" s="1"/>
  <c r="CX2139" i="12"/>
  <c r="CY2139" i="12" s="1"/>
  <c r="CX2137" i="12"/>
  <c r="CY2137" i="12" s="1"/>
  <c r="CX2134" i="12"/>
  <c r="CY2134" i="12" s="1"/>
  <c r="CX2131" i="12"/>
  <c r="CY2131" i="12" s="1"/>
  <c r="CX2140" i="12"/>
  <c r="CY2140" i="12" s="1"/>
  <c r="CX2129" i="12"/>
  <c r="CY2129" i="12" s="1"/>
  <c r="CX2142" i="12"/>
  <c r="CY2142" i="12" s="1"/>
  <c r="JK122" i="12"/>
  <c r="JL122" i="12" s="1"/>
  <c r="EA122" i="12" s="1"/>
  <c r="JH123" i="12"/>
  <c r="DB2109" i="12"/>
  <c r="DE2109" i="12"/>
  <c r="DD2109" i="12"/>
  <c r="DE1871" i="12"/>
  <c r="DD1871" i="12"/>
  <c r="DC1871" i="12"/>
  <c r="DA1871" i="12"/>
  <c r="DB1871" i="12"/>
  <c r="DE2044" i="12"/>
  <c r="DD2044" i="12"/>
  <c r="DC2044" i="12"/>
  <c r="DB2044" i="12"/>
  <c r="DA2044" i="12"/>
  <c r="DB2009" i="12"/>
  <c r="DC2009" i="12"/>
  <c r="DE2009" i="12"/>
  <c r="DD2009" i="12"/>
  <c r="DA2009" i="12"/>
  <c r="DE1992" i="12"/>
  <c r="DD1992" i="12"/>
  <c r="DA1992" i="12"/>
  <c r="DC1992" i="12"/>
  <c r="DB1992" i="12"/>
  <c r="DD1975" i="12"/>
  <c r="DB1975" i="12"/>
  <c r="DC1975" i="12"/>
  <c r="DA1975" i="12"/>
  <c r="DE1975" i="12"/>
  <c r="DB1942" i="12"/>
  <c r="DC1942" i="12"/>
  <c r="DA1942" i="12"/>
  <c r="DE1942" i="12"/>
  <c r="DD1942" i="12"/>
  <c r="DA1837" i="12"/>
  <c r="DD1837" i="12"/>
  <c r="DB1837" i="12"/>
  <c r="DE1837" i="12"/>
  <c r="DC1837" i="12"/>
  <c r="DE1906" i="12"/>
  <c r="DC1906" i="12"/>
  <c r="DA1906" i="12"/>
  <c r="DB1906" i="12"/>
  <c r="DD1906" i="12"/>
  <c r="DA1958" i="12"/>
  <c r="DD1958" i="12"/>
  <c r="DC1958" i="12"/>
  <c r="DB1958" i="12"/>
  <c r="DE1958" i="12"/>
  <c r="DA1889" i="12"/>
  <c r="DB1889" i="12"/>
  <c r="DE1889" i="12"/>
  <c r="DD1889" i="12"/>
  <c r="DC1889" i="12"/>
  <c r="DA1854" i="12"/>
  <c r="DE1854" i="12"/>
  <c r="DC1854" i="12"/>
  <c r="DD1854" i="12"/>
  <c r="DB1854" i="12"/>
  <c r="DC1924" i="12"/>
  <c r="DA1924" i="12"/>
  <c r="DE1924" i="12"/>
  <c r="DD1924" i="12"/>
  <c r="DB1924" i="12"/>
  <c r="FU50" i="12"/>
  <c r="GR50" i="12" s="1"/>
  <c r="FS51" i="12"/>
  <c r="CZ2112" i="12"/>
  <c r="CZ1890" i="12"/>
  <c r="CZ2045" i="12"/>
  <c r="CZ1943" i="12"/>
  <c r="CZ1872" i="12"/>
  <c r="CZ2010" i="12"/>
  <c r="CZ1976" i="12"/>
  <c r="CZ2079" i="12"/>
  <c r="CZ2234" i="12"/>
  <c r="CZ2026" i="12"/>
  <c r="CZ1925" i="12"/>
  <c r="CZ2062" i="12"/>
  <c r="CZ1993" i="12"/>
  <c r="CZ1959" i="12"/>
  <c r="CZ1855" i="12"/>
  <c r="CZ1907" i="12"/>
  <c r="CZ2096" i="12"/>
  <c r="CZ2129" i="12"/>
  <c r="DD2234" i="12" l="1"/>
  <c r="DE2234" i="12"/>
  <c r="DB2234" i="12"/>
  <c r="DF2233" i="12" s="1"/>
  <c r="DC2234" i="12"/>
  <c r="DA2234" i="12"/>
  <c r="DB2062" i="12"/>
  <c r="DA2062" i="12"/>
  <c r="DE2062" i="12"/>
  <c r="DC2062" i="12"/>
  <c r="DD2062" i="12"/>
  <c r="DA2026" i="12"/>
  <c r="DB2026" i="12"/>
  <c r="DE2026" i="12"/>
  <c r="DD2026" i="12"/>
  <c r="DC2026" i="12"/>
  <c r="DE2112" i="12"/>
  <c r="DC2112" i="12"/>
  <c r="DD2112" i="12"/>
  <c r="DB2112" i="12"/>
  <c r="DA2112" i="12"/>
  <c r="DE2079" i="12"/>
  <c r="DA2079" i="12"/>
  <c r="DB2079" i="12"/>
  <c r="DC2079" i="12"/>
  <c r="DD2079" i="12"/>
  <c r="DE2096" i="12"/>
  <c r="DA2096" i="12"/>
  <c r="DC2096" i="12"/>
  <c r="DD2096" i="12"/>
  <c r="DB2096" i="12"/>
  <c r="DD2127" i="12"/>
  <c r="DC2129" i="12"/>
  <c r="DB2129" i="12"/>
  <c r="DE2129" i="12"/>
  <c r="DA2129" i="12"/>
  <c r="DD2129" i="12"/>
  <c r="CX2159" i="12"/>
  <c r="CY2159" i="12" s="1"/>
  <c r="CX2156" i="12"/>
  <c r="CY2156" i="12" s="1"/>
  <c r="CX2154" i="12"/>
  <c r="CY2154" i="12" s="1"/>
  <c r="CX2149" i="12"/>
  <c r="CY2149" i="12" s="1"/>
  <c r="CX2161" i="12"/>
  <c r="CY2161" i="12" s="1"/>
  <c r="CX2147" i="12"/>
  <c r="CY2147" i="12" s="1"/>
  <c r="CX2145" i="12"/>
  <c r="CY2145" i="12" s="1"/>
  <c r="CX2151" i="12"/>
  <c r="CY2151" i="12" s="1"/>
  <c r="CX2160" i="12"/>
  <c r="CY2160" i="12" s="1"/>
  <c r="CX2157" i="12"/>
  <c r="CY2157" i="12" s="1"/>
  <c r="CX2158" i="12"/>
  <c r="CY2158" i="12" s="1"/>
  <c r="CX2155" i="12"/>
  <c r="CY2155" i="12" s="1"/>
  <c r="CX2146" i="12"/>
  <c r="CY2146" i="12" s="1"/>
  <c r="CX2148" i="12"/>
  <c r="CY2148" i="12" s="1"/>
  <c r="CX2150" i="12"/>
  <c r="CY2150" i="12" s="1"/>
  <c r="CX2153" i="12"/>
  <c r="CY2153" i="12" s="1"/>
  <c r="CX2152" i="12"/>
  <c r="CY2152" i="12" s="1"/>
  <c r="JK123" i="12"/>
  <c r="JL123" i="12" s="1"/>
  <c r="EA123" i="12" s="1"/>
  <c r="JH124" i="12"/>
  <c r="JK124" i="12" s="1"/>
  <c r="JL124" i="12" s="1"/>
  <c r="EA124" i="12" s="1"/>
  <c r="DE2110" i="12"/>
  <c r="DA2110" i="12"/>
  <c r="DD2110" i="12"/>
  <c r="DB2110" i="12"/>
  <c r="DC2110" i="12"/>
  <c r="DB2127" i="12"/>
  <c r="DB2128" i="12" s="1"/>
  <c r="DD1855" i="12"/>
  <c r="DB1855" i="12"/>
  <c r="DE1855" i="12"/>
  <c r="DA1855" i="12"/>
  <c r="DC1855" i="12"/>
  <c r="DA1959" i="12"/>
  <c r="DB1959" i="12"/>
  <c r="DC1959" i="12"/>
  <c r="DE1959" i="12"/>
  <c r="DD1959" i="12"/>
  <c r="DC1943" i="12"/>
  <c r="DB1943" i="12"/>
  <c r="DE1943" i="12"/>
  <c r="DA1943" i="12"/>
  <c r="DD1943" i="12"/>
  <c r="DD1872" i="12"/>
  <c r="DE1872" i="12"/>
  <c r="DC1872" i="12"/>
  <c r="DA1872" i="12"/>
  <c r="DB1872" i="12"/>
  <c r="DC1890" i="12"/>
  <c r="DD1890" i="12"/>
  <c r="DE1890" i="12"/>
  <c r="DB1890" i="12"/>
  <c r="DA1890" i="12"/>
  <c r="DE1925" i="12"/>
  <c r="DC1925" i="12"/>
  <c r="DB1925" i="12"/>
  <c r="DA1925" i="12"/>
  <c r="DD1925" i="12"/>
  <c r="DC1907" i="12"/>
  <c r="DB1907" i="12"/>
  <c r="DE1907" i="12"/>
  <c r="DD1907" i="12"/>
  <c r="DA1907" i="12"/>
  <c r="DA1976" i="12"/>
  <c r="DC1976" i="12"/>
  <c r="DD1976" i="12"/>
  <c r="DE1976" i="12"/>
  <c r="DB1976" i="12"/>
  <c r="DA2010" i="12"/>
  <c r="DD2010" i="12"/>
  <c r="DE2010" i="12"/>
  <c r="DC2010" i="12"/>
  <c r="DB2010" i="12"/>
  <c r="DA2045" i="12"/>
  <c r="DB2045" i="12"/>
  <c r="DD2045" i="12"/>
  <c r="DE2045" i="12"/>
  <c r="DC2045" i="12"/>
  <c r="DD1993" i="12"/>
  <c r="DC1993" i="12"/>
  <c r="DE1993" i="12"/>
  <c r="DA1993" i="12"/>
  <c r="DB1993" i="12"/>
  <c r="FU51" i="12"/>
  <c r="FS52" i="12"/>
  <c r="CZ1977" i="12"/>
  <c r="CZ2235" i="12"/>
  <c r="CZ2130" i="12"/>
  <c r="CZ1960" i="12"/>
  <c r="CZ2097" i="12"/>
  <c r="CZ2011" i="12"/>
  <c r="CZ1944" i="12"/>
  <c r="CZ2147" i="12"/>
  <c r="CZ1891" i="12"/>
  <c r="CZ2027" i="12"/>
  <c r="CZ1926" i="12"/>
  <c r="CZ2080" i="12"/>
  <c r="CZ1908" i="12"/>
  <c r="CZ2113" i="12"/>
  <c r="CZ1994" i="12"/>
  <c r="CZ2063" i="12"/>
  <c r="CZ1873" i="12"/>
  <c r="CZ2046" i="12"/>
  <c r="DD2235" i="12" l="1"/>
  <c r="DA2235" i="12"/>
  <c r="DC2235" i="12"/>
  <c r="DB2235" i="12"/>
  <c r="DF2234" i="12" s="1"/>
  <c r="DE2235" i="12"/>
  <c r="DE2130" i="12"/>
  <c r="DD2130" i="12"/>
  <c r="DA2130" i="12"/>
  <c r="DB2130" i="12"/>
  <c r="DC2130" i="12"/>
  <c r="DE2113" i="12"/>
  <c r="DD2113" i="12"/>
  <c r="DA2113" i="12"/>
  <c r="DB2113" i="12"/>
  <c r="DC2113" i="12"/>
  <c r="DB2097" i="12"/>
  <c r="DE2097" i="12"/>
  <c r="DA2097" i="12"/>
  <c r="DD2097" i="12"/>
  <c r="DC2097" i="12"/>
  <c r="DE2080" i="12"/>
  <c r="DB2080" i="12"/>
  <c r="DD2080" i="12"/>
  <c r="DA2080" i="12"/>
  <c r="DC2080" i="12"/>
  <c r="DC2027" i="12"/>
  <c r="DB2027" i="12"/>
  <c r="DE2027" i="12"/>
  <c r="DD2027" i="12"/>
  <c r="DA2027" i="12"/>
  <c r="DB2063" i="12"/>
  <c r="DA2063" i="12"/>
  <c r="DE2063" i="12"/>
  <c r="DD2063" i="12"/>
  <c r="DC2063" i="12"/>
  <c r="DE2128" i="12"/>
  <c r="DD2128" i="12"/>
  <c r="DD2147" i="12"/>
  <c r="DC2147" i="12"/>
  <c r="DE2147" i="12"/>
  <c r="DA2147" i="12"/>
  <c r="DB2147" i="12"/>
  <c r="DC2145" i="12"/>
  <c r="DB2145" i="12" s="1"/>
  <c r="DA2128" i="12"/>
  <c r="DC2128" i="12"/>
  <c r="DA1994" i="12"/>
  <c r="DB1994" i="12"/>
  <c r="DD1994" i="12"/>
  <c r="DE1994" i="12"/>
  <c r="DC1994" i="12"/>
  <c r="DA2011" i="12"/>
  <c r="DE2011" i="12"/>
  <c r="DB2011" i="12"/>
  <c r="DC2011" i="12"/>
  <c r="DD2011" i="12"/>
  <c r="DB1926" i="12"/>
  <c r="DD1926" i="12"/>
  <c r="DA1926" i="12"/>
  <c r="DE1926" i="12"/>
  <c r="DC1926" i="12"/>
  <c r="DB1873" i="12"/>
  <c r="DA1873" i="12"/>
  <c r="DC1873" i="12"/>
  <c r="DE1873" i="12"/>
  <c r="DD1873" i="12"/>
  <c r="DA2046" i="12"/>
  <c r="DB2046" i="12"/>
  <c r="DC2046" i="12"/>
  <c r="DE2046" i="12"/>
  <c r="DD2046" i="12"/>
  <c r="DC1891" i="12"/>
  <c r="DE1891" i="12"/>
  <c r="DD1891" i="12"/>
  <c r="DB1891" i="12"/>
  <c r="DA1891" i="12"/>
  <c r="DD1960" i="12"/>
  <c r="DA1960" i="12"/>
  <c r="DB1960" i="12"/>
  <c r="DE1960" i="12"/>
  <c r="DC1960" i="12"/>
  <c r="DB1977" i="12"/>
  <c r="DE1977" i="12"/>
  <c r="DC1977" i="12"/>
  <c r="DD1977" i="12"/>
  <c r="DA1977" i="12"/>
  <c r="DB1908" i="12"/>
  <c r="DE1908" i="12"/>
  <c r="DC1908" i="12"/>
  <c r="DD1908" i="12"/>
  <c r="DA1908" i="12"/>
  <c r="DA1944" i="12"/>
  <c r="DD1944" i="12"/>
  <c r="DB1944" i="12"/>
  <c r="DE1944" i="12"/>
  <c r="DC1944" i="12"/>
  <c r="GR51" i="12"/>
  <c r="FU52" i="12"/>
  <c r="GR52" i="12" s="1"/>
  <c r="FS53" i="12"/>
  <c r="CZ2098" i="12"/>
  <c r="CZ1927" i="12"/>
  <c r="CZ2028" i="12"/>
  <c r="CZ1945" i="12"/>
  <c r="CZ1961" i="12"/>
  <c r="CZ2012" i="12"/>
  <c r="CZ1995" i="12"/>
  <c r="CZ2114" i="12"/>
  <c r="CZ2064" i="12"/>
  <c r="CZ2131" i="12"/>
  <c r="CZ2081" i="12"/>
  <c r="CZ2236" i="12"/>
  <c r="CZ2148" i="12"/>
  <c r="CZ1978" i="12"/>
  <c r="CZ2047" i="12"/>
  <c r="CZ1909" i="12"/>
  <c r="DE2236" i="12" l="1"/>
  <c r="DD2236" i="12"/>
  <c r="DC2236" i="12"/>
  <c r="DA2236" i="12"/>
  <c r="DB2236" i="12"/>
  <c r="DF2235" i="12" s="1"/>
  <c r="DD2131" i="12"/>
  <c r="DA2131" i="12"/>
  <c r="DE2131" i="12"/>
  <c r="DB2131" i="12"/>
  <c r="DC2131" i="12"/>
  <c r="DB2081" i="12"/>
  <c r="DC2081" i="12"/>
  <c r="DD2081" i="12"/>
  <c r="DA2081" i="12"/>
  <c r="DE2081" i="12"/>
  <c r="DD2148" i="12"/>
  <c r="DB2148" i="12"/>
  <c r="DA2148" i="12"/>
  <c r="DC2148" i="12"/>
  <c r="DE2148" i="12"/>
  <c r="DC2028" i="12"/>
  <c r="DD2028" i="12"/>
  <c r="DE2028" i="12"/>
  <c r="DA2028" i="12"/>
  <c r="DB2028" i="12"/>
  <c r="DD2098" i="12"/>
  <c r="DA2098" i="12"/>
  <c r="DE2098" i="12"/>
  <c r="DC2098" i="12"/>
  <c r="DB2098" i="12"/>
  <c r="DD2114" i="12"/>
  <c r="DA2114" i="12"/>
  <c r="DC2114" i="12"/>
  <c r="DE2114" i="12"/>
  <c r="DB2114" i="12"/>
  <c r="DE2064" i="12"/>
  <c r="DD2064" i="12"/>
  <c r="DC2064" i="12"/>
  <c r="DB2064" i="12"/>
  <c r="DA2064" i="12"/>
  <c r="DD2146" i="12"/>
  <c r="DC2146" i="12"/>
  <c r="DA2146" i="12"/>
  <c r="DE2146" i="12"/>
  <c r="DB2146" i="12"/>
  <c r="DD2145" i="12"/>
  <c r="DE2145" i="12"/>
  <c r="DB2012" i="12"/>
  <c r="DD2012" i="12"/>
  <c r="DA2012" i="12"/>
  <c r="DE2012" i="12"/>
  <c r="DC2012" i="12"/>
  <c r="DD1995" i="12"/>
  <c r="DE1995" i="12"/>
  <c r="DA1995" i="12"/>
  <c r="DB1995" i="12"/>
  <c r="DC1995" i="12"/>
  <c r="DD1978" i="12"/>
  <c r="DC1978" i="12"/>
  <c r="DB1978" i="12"/>
  <c r="DA1978" i="12"/>
  <c r="DE1978" i="12"/>
  <c r="DA2047" i="12"/>
  <c r="DE2047" i="12"/>
  <c r="DC2047" i="12"/>
  <c r="DB2047" i="12"/>
  <c r="DD2047" i="12"/>
  <c r="DB1927" i="12"/>
  <c r="DA1927" i="12"/>
  <c r="DD1927" i="12"/>
  <c r="DE1927" i="12"/>
  <c r="DC1927" i="12"/>
  <c r="DC1961" i="12"/>
  <c r="DA1961" i="12"/>
  <c r="DD1961" i="12"/>
  <c r="DE1961" i="12"/>
  <c r="DB1961" i="12"/>
  <c r="DD1909" i="12"/>
  <c r="DB1909" i="12"/>
  <c r="DA1909" i="12"/>
  <c r="DC1909" i="12"/>
  <c r="DE1909" i="12"/>
  <c r="DC1945" i="12"/>
  <c r="DD1945" i="12"/>
  <c r="DA1945" i="12"/>
  <c r="DB1945" i="12"/>
  <c r="DE1945" i="12"/>
  <c r="FU53" i="12"/>
  <c r="FS54" i="12"/>
  <c r="CZ2082" i="12"/>
  <c r="CZ2048" i="12"/>
  <c r="CZ2065" i="12"/>
  <c r="CZ2237" i="12"/>
  <c r="CZ2149" i="12"/>
  <c r="CZ1996" i="12"/>
  <c r="CZ2029" i="12"/>
  <c r="CZ1962" i="12"/>
  <c r="CZ2115" i="12"/>
  <c r="CZ1979" i="12"/>
  <c r="CZ2099" i="12"/>
  <c r="CZ2013" i="12"/>
  <c r="CZ2132" i="12"/>
  <c r="DB2237" i="12" l="1"/>
  <c r="DF2236" i="12" s="1"/>
  <c r="DA2237" i="12"/>
  <c r="DD2237" i="12"/>
  <c r="DE2237" i="12"/>
  <c r="DC2237" i="12"/>
  <c r="DC2149" i="12"/>
  <c r="DE2149" i="12"/>
  <c r="DB2149" i="12"/>
  <c r="DD2149" i="12"/>
  <c r="DA2149" i="12"/>
  <c r="DC2082" i="12"/>
  <c r="DA2082" i="12"/>
  <c r="DE2082" i="12"/>
  <c r="DD2082" i="12"/>
  <c r="DB2082" i="12"/>
  <c r="DA2065" i="12"/>
  <c r="DC2065" i="12"/>
  <c r="DB2065" i="12"/>
  <c r="DD2065" i="12"/>
  <c r="DE2065" i="12"/>
  <c r="DD2029" i="12"/>
  <c r="DE2029" i="12"/>
  <c r="DB2029" i="12"/>
  <c r="DA2029" i="12"/>
  <c r="DC2029" i="12"/>
  <c r="DC2115" i="12"/>
  <c r="DD2115" i="12"/>
  <c r="DB2115" i="12"/>
  <c r="DE2115" i="12"/>
  <c r="DA2115" i="12"/>
  <c r="DE2099" i="12"/>
  <c r="DB2099" i="12"/>
  <c r="DC2099" i="12"/>
  <c r="DA2099" i="12"/>
  <c r="DD2099" i="12"/>
  <c r="DE2132" i="12"/>
  <c r="DA2132" i="12"/>
  <c r="DC2132" i="12"/>
  <c r="DB2132" i="12"/>
  <c r="DD2132" i="12"/>
  <c r="DE2048" i="12"/>
  <c r="DB2048" i="12"/>
  <c r="DC2048" i="12"/>
  <c r="DD2048" i="12"/>
  <c r="DA2048" i="12"/>
  <c r="DB1979" i="12"/>
  <c r="DA1979" i="12"/>
  <c r="DE1979" i="12"/>
  <c r="DC1979" i="12"/>
  <c r="DD1979" i="12"/>
  <c r="DB1996" i="12"/>
  <c r="DA1996" i="12"/>
  <c r="DD1996" i="12"/>
  <c r="DC1996" i="12"/>
  <c r="DE1996" i="12"/>
  <c r="DC2013" i="12"/>
  <c r="DE2013" i="12"/>
  <c r="DD2013" i="12"/>
  <c r="DA2013" i="12"/>
  <c r="DB2013" i="12"/>
  <c r="DA1962" i="12"/>
  <c r="DD1962" i="12"/>
  <c r="DC1962" i="12"/>
  <c r="DB1962" i="12"/>
  <c r="DE1962" i="12"/>
  <c r="FU54" i="12"/>
  <c r="GR54" i="12" s="1"/>
  <c r="FS55" i="12"/>
  <c r="GR53" i="12"/>
  <c r="CZ2066" i="12"/>
  <c r="CZ1997" i="12"/>
  <c r="CZ2049" i="12"/>
  <c r="CZ2150" i="12"/>
  <c r="CZ2116" i="12"/>
  <c r="CZ2133" i="12"/>
  <c r="CZ1980" i="12"/>
  <c r="CZ2100" i="12"/>
  <c r="CZ1963" i="12"/>
  <c r="CZ2014" i="12"/>
  <c r="CZ2238" i="12"/>
  <c r="CZ2083" i="12"/>
  <c r="CZ2030" i="12"/>
  <c r="DE2238" i="12" l="1"/>
  <c r="DB2238" i="12"/>
  <c r="DF2237" i="12" s="1"/>
  <c r="DC2238" i="12"/>
  <c r="DA2238" i="12"/>
  <c r="DD2238" i="12"/>
  <c r="DD2100" i="12"/>
  <c r="DB2100" i="12"/>
  <c r="DC2100" i="12"/>
  <c r="DA2100" i="12"/>
  <c r="DE2100" i="12"/>
  <c r="DE2116" i="12"/>
  <c r="DC2116" i="12"/>
  <c r="DD2116" i="12"/>
  <c r="DA2116" i="12"/>
  <c r="DB2116" i="12"/>
  <c r="DD2066" i="12"/>
  <c r="DE2066" i="12"/>
  <c r="DB2066" i="12"/>
  <c r="DC2066" i="12"/>
  <c r="DA2066" i="12"/>
  <c r="DE2133" i="12"/>
  <c r="DA2133" i="12"/>
  <c r="DD2133" i="12"/>
  <c r="DC2133" i="12"/>
  <c r="DB2133" i="12"/>
  <c r="DB2030" i="12"/>
  <c r="DC2030" i="12"/>
  <c r="DA2030" i="12"/>
  <c r="DD2030" i="12"/>
  <c r="DE2030" i="12"/>
  <c r="DD2083" i="12"/>
  <c r="DB2083" i="12"/>
  <c r="DC2083" i="12"/>
  <c r="DE2083" i="12"/>
  <c r="DA2083" i="12"/>
  <c r="DB2150" i="12"/>
  <c r="DC2150" i="12"/>
  <c r="DE2150" i="12"/>
  <c r="DD2150" i="12"/>
  <c r="DA2150" i="12"/>
  <c r="DE1963" i="12"/>
  <c r="DA1963" i="12"/>
  <c r="DD1963" i="12"/>
  <c r="DB1963" i="12"/>
  <c r="DC1963" i="12"/>
  <c r="DA1980" i="12"/>
  <c r="DB1980" i="12"/>
  <c r="DD1980" i="12"/>
  <c r="DE1980" i="12"/>
  <c r="DC1980" i="12"/>
  <c r="DB2014" i="12"/>
  <c r="DD2014" i="12"/>
  <c r="DC2014" i="12"/>
  <c r="DE2014" i="12"/>
  <c r="DA2014" i="12"/>
  <c r="DC1997" i="12"/>
  <c r="DB1997" i="12"/>
  <c r="DA1997" i="12"/>
  <c r="DD1997" i="12"/>
  <c r="DE1997" i="12"/>
  <c r="DA2049" i="12"/>
  <c r="DC2049" i="12"/>
  <c r="DE2049" i="12"/>
  <c r="DD2049" i="12"/>
  <c r="DB2049" i="12"/>
  <c r="FS56" i="12"/>
  <c r="FU55" i="12"/>
  <c r="GR55" i="12" s="1"/>
  <c r="CZ2101" i="12"/>
  <c r="CZ2134" i="12"/>
  <c r="CZ2151" i="12"/>
  <c r="CZ1981" i="12"/>
  <c r="CZ2015" i="12"/>
  <c r="CZ2031" i="12"/>
  <c r="CZ2117" i="12"/>
  <c r="CZ2050" i="12"/>
  <c r="CZ2084" i="12"/>
  <c r="CZ1998" i="12"/>
  <c r="CZ2239" i="12"/>
  <c r="CZ2067" i="12"/>
  <c r="DE2239" i="12" l="1"/>
  <c r="DD2239" i="12"/>
  <c r="DB2239" i="12"/>
  <c r="DF2238" i="12" s="1"/>
  <c r="DC2239" i="12"/>
  <c r="DA2239" i="12"/>
  <c r="DB2031" i="12"/>
  <c r="DA2031" i="12"/>
  <c r="DD2031" i="12"/>
  <c r="DE2031" i="12"/>
  <c r="DC2031" i="12"/>
  <c r="DD2101" i="12"/>
  <c r="DA2101" i="12"/>
  <c r="DC2101" i="12"/>
  <c r="DB2101" i="12"/>
  <c r="DE2101" i="12"/>
  <c r="DE2067" i="12"/>
  <c r="DD2067" i="12"/>
  <c r="DB2067" i="12"/>
  <c r="DC2067" i="12"/>
  <c r="DA2067" i="12"/>
  <c r="DD2151" i="12"/>
  <c r="DC2151" i="12"/>
  <c r="DB2151" i="12"/>
  <c r="DE2151" i="12"/>
  <c r="DA2151" i="12"/>
  <c r="DD2117" i="12"/>
  <c r="DE2117" i="12"/>
  <c r="DA2117" i="12"/>
  <c r="DC2117" i="12"/>
  <c r="DB2117" i="12"/>
  <c r="DD2084" i="12"/>
  <c r="DB2084" i="12"/>
  <c r="DE2084" i="12"/>
  <c r="DA2084" i="12"/>
  <c r="DC2084" i="12"/>
  <c r="DD2134" i="12"/>
  <c r="DA2134" i="12"/>
  <c r="DE2134" i="12"/>
  <c r="DC2134" i="12"/>
  <c r="DB2134" i="12"/>
  <c r="DC2050" i="12"/>
  <c r="DB2050" i="12"/>
  <c r="DD2050" i="12"/>
  <c r="DA2050" i="12"/>
  <c r="DE2050" i="12"/>
  <c r="DB1981" i="12"/>
  <c r="DE1981" i="12"/>
  <c r="DA1981" i="12"/>
  <c r="DC1981" i="12"/>
  <c r="DD1981" i="12"/>
  <c r="DE1998" i="12"/>
  <c r="DC1998" i="12"/>
  <c r="DB1998" i="12"/>
  <c r="DA1998" i="12"/>
  <c r="DD1998" i="12"/>
  <c r="DB2015" i="12"/>
  <c r="DC2015" i="12"/>
  <c r="DA2015" i="12"/>
  <c r="DD2015" i="12"/>
  <c r="DE2015" i="12"/>
  <c r="FS57" i="12"/>
  <c r="FS96" i="12" s="1"/>
  <c r="FU96" i="12" s="1"/>
  <c r="GR96" i="12" s="1"/>
  <c r="FU56" i="12"/>
  <c r="GR56" i="12" s="1"/>
  <c r="CZ2085" i="12"/>
  <c r="CZ2240" i="12"/>
  <c r="CZ2118" i="12"/>
  <c r="CZ2102" i="12"/>
  <c r="CZ2135" i="12"/>
  <c r="CZ1999" i="12"/>
  <c r="CZ2152" i="12"/>
  <c r="CZ2032" i="12"/>
  <c r="CZ2068" i="12"/>
  <c r="CZ2051" i="12"/>
  <c r="CZ2016" i="12"/>
  <c r="DD2240" i="12" l="1"/>
  <c r="DB2240" i="12"/>
  <c r="DF2239" i="12" s="1"/>
  <c r="DE2240" i="12"/>
  <c r="DA2240" i="12"/>
  <c r="DC2240" i="12"/>
  <c r="DE2135" i="12"/>
  <c r="DD2135" i="12"/>
  <c r="DC2135" i="12"/>
  <c r="DA2135" i="12"/>
  <c r="DB2135" i="12"/>
  <c r="DB2085" i="12"/>
  <c r="DA2085" i="12"/>
  <c r="DE2085" i="12"/>
  <c r="DC2085" i="12"/>
  <c r="DD2085" i="12"/>
  <c r="DE2118" i="12"/>
  <c r="DC2118" i="12"/>
  <c r="DB2118" i="12"/>
  <c r="DA2118" i="12"/>
  <c r="DD2118" i="12"/>
  <c r="DC2032" i="12"/>
  <c r="DD2032" i="12"/>
  <c r="DB2032" i="12"/>
  <c r="DA2032" i="12"/>
  <c r="DE2032" i="12"/>
  <c r="DB2152" i="12"/>
  <c r="DD2152" i="12"/>
  <c r="DC2152" i="12"/>
  <c r="DE2152" i="12"/>
  <c r="DA2152" i="12"/>
  <c r="DA2068" i="12"/>
  <c r="DE2068" i="12"/>
  <c r="DD2068" i="12"/>
  <c r="DC2068" i="12"/>
  <c r="DB2068" i="12"/>
  <c r="DB2102" i="12"/>
  <c r="DD2102" i="12"/>
  <c r="DA2102" i="12"/>
  <c r="DC2102" i="12"/>
  <c r="DE2102" i="12"/>
  <c r="DB2016" i="12"/>
  <c r="DD2016" i="12"/>
  <c r="DC2016" i="12"/>
  <c r="DE2016" i="12"/>
  <c r="DA2016" i="12"/>
  <c r="DA1999" i="12"/>
  <c r="DD1999" i="12"/>
  <c r="DB1999" i="12"/>
  <c r="DE1999" i="12"/>
  <c r="DC1999" i="12"/>
  <c r="DB2051" i="12"/>
  <c r="DE2051" i="12"/>
  <c r="DD2051" i="12"/>
  <c r="DA2051" i="12"/>
  <c r="DC2051" i="12"/>
  <c r="FT2" i="12"/>
  <c r="FU57" i="12"/>
  <c r="GR57" i="12" s="1"/>
  <c r="GE1" i="12"/>
  <c r="GM1" i="12"/>
  <c r="CZ2119" i="12"/>
  <c r="CZ2033" i="12"/>
  <c r="CZ2153" i="12"/>
  <c r="CZ2136" i="12"/>
  <c r="CZ2241" i="12"/>
  <c r="CZ2017" i="12"/>
  <c r="CZ2086" i="12"/>
  <c r="CZ2103" i="12"/>
  <c r="CZ2052" i="12"/>
  <c r="CZ2069" i="12"/>
  <c r="DC2241" i="12" l="1"/>
  <c r="DA2241" i="12"/>
  <c r="DE2241" i="12"/>
  <c r="DD2241" i="12"/>
  <c r="DB2241" i="12"/>
  <c r="DF2240" i="12" s="1"/>
  <c r="DA2033" i="12"/>
  <c r="DC2033" i="12"/>
  <c r="DE2033" i="12"/>
  <c r="DD2033" i="12"/>
  <c r="DB2033" i="12"/>
  <c r="DE2086" i="12"/>
  <c r="DB2086" i="12"/>
  <c r="DA2086" i="12"/>
  <c r="DD2086" i="12"/>
  <c r="DC2086" i="12"/>
  <c r="DE2103" i="12"/>
  <c r="DD2103" i="12"/>
  <c r="DA2103" i="12"/>
  <c r="DB2103" i="12"/>
  <c r="DC2103" i="12"/>
  <c r="DE2153" i="12"/>
  <c r="DC2153" i="12"/>
  <c r="DD2153" i="12"/>
  <c r="DA2153" i="12"/>
  <c r="DB2153" i="12"/>
  <c r="DA2136" i="12"/>
  <c r="DB2136" i="12"/>
  <c r="DE2136" i="12"/>
  <c r="DD2136" i="12"/>
  <c r="DC2136" i="12"/>
  <c r="DE2069" i="12"/>
  <c r="DB2069" i="12"/>
  <c r="DC2069" i="12"/>
  <c r="DA2069" i="12"/>
  <c r="DD2069" i="12"/>
  <c r="DA2119" i="12"/>
  <c r="DE2119" i="12"/>
  <c r="DD2119" i="12"/>
  <c r="DB2119" i="12"/>
  <c r="DC2119" i="12"/>
  <c r="DC2017" i="12"/>
  <c r="DE2017" i="12"/>
  <c r="DA2017" i="12"/>
  <c r="DB2017" i="12"/>
  <c r="DD2017" i="12"/>
  <c r="DE2052" i="12"/>
  <c r="DD2052" i="12"/>
  <c r="DA2052" i="12"/>
  <c r="DB2052" i="12"/>
  <c r="DC2052" i="12"/>
  <c r="FT6" i="12"/>
  <c r="CZ2120" i="12"/>
  <c r="CZ2070" i="12"/>
  <c r="CZ2087" i="12"/>
  <c r="CZ2154" i="12"/>
  <c r="CZ2242" i="12"/>
  <c r="CZ2034" i="12"/>
  <c r="CZ2137" i="12"/>
  <c r="CZ2104" i="12"/>
  <c r="CZ2053" i="12"/>
  <c r="DD2242" i="12" l="1"/>
  <c r="DE2242" i="12"/>
  <c r="DB2242" i="12"/>
  <c r="DF2241" i="12" s="1"/>
  <c r="DC2242" i="12"/>
  <c r="DA2242" i="12"/>
  <c r="DC2120" i="12"/>
  <c r="DD2120" i="12"/>
  <c r="DA2120" i="12"/>
  <c r="DE2120" i="12"/>
  <c r="DB2120" i="12"/>
  <c r="DE2070" i="12"/>
  <c r="DB2070" i="12"/>
  <c r="DD2070" i="12"/>
  <c r="DC2070" i="12"/>
  <c r="DA2070" i="12"/>
  <c r="DA2087" i="12"/>
  <c r="DB2087" i="12"/>
  <c r="DD2087" i="12"/>
  <c r="DC2087" i="12"/>
  <c r="DE2087" i="12"/>
  <c r="DB2137" i="12"/>
  <c r="DE2137" i="12"/>
  <c r="DA2137" i="12"/>
  <c r="DD2137" i="12"/>
  <c r="DC2137" i="12"/>
  <c r="DC2154" i="12"/>
  <c r="DD2154" i="12"/>
  <c r="DE2154" i="12"/>
  <c r="DA2154" i="12"/>
  <c r="DB2154" i="12"/>
  <c r="DD2104" i="12"/>
  <c r="DC2104" i="12"/>
  <c r="DB2104" i="12"/>
  <c r="DA2104" i="12"/>
  <c r="DE2104" i="12"/>
  <c r="DE2034" i="12"/>
  <c r="DC2034" i="12"/>
  <c r="DB2034" i="12"/>
  <c r="DA2034" i="12"/>
  <c r="DD2034" i="12"/>
  <c r="DE2053" i="12"/>
  <c r="DB2053" i="12"/>
  <c r="DC2053" i="12"/>
  <c r="DA2053" i="12"/>
  <c r="DD2053" i="12"/>
  <c r="FT7" i="12"/>
  <c r="FU6" i="12"/>
  <c r="CZ2138" i="12"/>
  <c r="CZ2071" i="12"/>
  <c r="CZ2088" i="12"/>
  <c r="CZ2155" i="12"/>
  <c r="CZ2243" i="12"/>
  <c r="CZ2035" i="12"/>
  <c r="CZ2105" i="12"/>
  <c r="CZ2121" i="12"/>
  <c r="DE2243" i="12" l="1"/>
  <c r="DB2243" i="12"/>
  <c r="DF2242" i="12" s="1"/>
  <c r="DD2243" i="12"/>
  <c r="DA2243" i="12"/>
  <c r="DC2243" i="12"/>
  <c r="DA2138" i="12"/>
  <c r="DC2138" i="12"/>
  <c r="DB2138" i="12"/>
  <c r="DE2138" i="12"/>
  <c r="DD2138" i="12"/>
  <c r="DD2071" i="12"/>
  <c r="DE2071" i="12"/>
  <c r="DB2071" i="12"/>
  <c r="DA2071" i="12"/>
  <c r="DC2071" i="12"/>
  <c r="DC2155" i="12"/>
  <c r="DA2155" i="12"/>
  <c r="DE2155" i="12"/>
  <c r="DB2155" i="12"/>
  <c r="DD2155" i="12"/>
  <c r="DE2088" i="12"/>
  <c r="DB2088" i="12"/>
  <c r="DD2088" i="12"/>
  <c r="DA2088" i="12"/>
  <c r="DC2088" i="12"/>
  <c r="DA2121" i="12"/>
  <c r="DB2121" i="12"/>
  <c r="DE2121" i="12"/>
  <c r="DC2121" i="12"/>
  <c r="DD2121" i="12"/>
  <c r="DD2035" i="12"/>
  <c r="DA2035" i="12"/>
  <c r="DE2035" i="12"/>
  <c r="DC2035" i="12"/>
  <c r="DB2035" i="12"/>
  <c r="DB2105" i="12"/>
  <c r="DA2105" i="12"/>
  <c r="DC2105" i="12"/>
  <c r="DE2105" i="12"/>
  <c r="DD2105" i="12"/>
  <c r="GR6" i="12"/>
  <c r="FU7" i="12"/>
  <c r="GR7" i="12" s="1"/>
  <c r="FT8" i="12"/>
  <c r="CZ2089" i="12"/>
  <c r="CZ2122" i="12"/>
  <c r="CZ2106" i="12"/>
  <c r="CZ2139" i="12"/>
  <c r="CZ2156" i="12"/>
  <c r="CZ2244" i="12"/>
  <c r="DC2244" i="12" l="1"/>
  <c r="DB2244" i="12"/>
  <c r="DF2243" i="12" s="1"/>
  <c r="DE2244" i="12"/>
  <c r="DD2244" i="12"/>
  <c r="DA2244" i="12"/>
  <c r="DC2106" i="12"/>
  <c r="DD2106" i="12"/>
  <c r="DA2106" i="12"/>
  <c r="DE2106" i="12"/>
  <c r="DB2106" i="12"/>
  <c r="DE2122" i="12"/>
  <c r="DA2122" i="12"/>
  <c r="DB2122" i="12"/>
  <c r="DC2122" i="12"/>
  <c r="DD2122" i="12"/>
  <c r="DD2089" i="12"/>
  <c r="DC2089" i="12"/>
  <c r="DB2089" i="12"/>
  <c r="DE2089" i="12"/>
  <c r="DA2089" i="12"/>
  <c r="DE2156" i="12"/>
  <c r="DB2156" i="12"/>
  <c r="DA2156" i="12"/>
  <c r="DC2156" i="12"/>
  <c r="DD2156" i="12"/>
  <c r="DA2139" i="12"/>
  <c r="DC2139" i="12"/>
  <c r="DD2139" i="12"/>
  <c r="DB2139" i="12"/>
  <c r="DE2139" i="12"/>
  <c r="FT9" i="12"/>
  <c r="FU9" i="12" s="1"/>
  <c r="GR9" i="12" s="1"/>
  <c r="FT17" i="12"/>
  <c r="FT18" i="12" s="1"/>
  <c r="FU8" i="12"/>
  <c r="CZ2123" i="12"/>
  <c r="CZ2157" i="12"/>
  <c r="CZ2107" i="12"/>
  <c r="CZ2245" i="12"/>
  <c r="CZ2140" i="12"/>
  <c r="DA2245" i="12" l="1"/>
  <c r="DE2245" i="12"/>
  <c r="DC2245" i="12"/>
  <c r="DB2245" i="12"/>
  <c r="DF2244" i="12" s="1"/>
  <c r="DD2245" i="12"/>
  <c r="DA2123" i="12"/>
  <c r="DE2123" i="12"/>
  <c r="DC2123" i="12"/>
  <c r="DD2123" i="12"/>
  <c r="DB2123" i="12"/>
  <c r="DA2107" i="12"/>
  <c r="DD2107" i="12"/>
  <c r="DC2107" i="12"/>
  <c r="DE2107" i="12"/>
  <c r="DB2107" i="12"/>
  <c r="DC2140" i="12"/>
  <c r="DE2140" i="12"/>
  <c r="DA2140" i="12"/>
  <c r="DB2140" i="12"/>
  <c r="DD2140" i="12"/>
  <c r="DC2157" i="12"/>
  <c r="DE2157" i="12"/>
  <c r="DA2157" i="12"/>
  <c r="DD2157" i="12"/>
  <c r="DB2157" i="12"/>
  <c r="FT10" i="12"/>
  <c r="FT19" i="12" s="1"/>
  <c r="FU17" i="12"/>
  <c r="GR17" i="12" s="1"/>
  <c r="GR8" i="12"/>
  <c r="FU18" i="12"/>
  <c r="CZ2158" i="12"/>
  <c r="CZ2124" i="12"/>
  <c r="CZ2246" i="12"/>
  <c r="CZ2141" i="12"/>
  <c r="DD2246" i="12" l="1"/>
  <c r="DC2246" i="12"/>
  <c r="DA2246" i="12"/>
  <c r="DB2246" i="12"/>
  <c r="DF2245" i="12" s="1"/>
  <c r="DE2246" i="12"/>
  <c r="DE2141" i="12"/>
  <c r="DB2141" i="12"/>
  <c r="DC2141" i="12"/>
  <c r="DD2141" i="12"/>
  <c r="DA2141" i="12"/>
  <c r="DA2124" i="12"/>
  <c r="DC2124" i="12"/>
  <c r="DB2124" i="12"/>
  <c r="DE2124" i="12"/>
  <c r="DD2124" i="12"/>
  <c r="DB2158" i="12"/>
  <c r="DA2158" i="12"/>
  <c r="DC2158" i="12"/>
  <c r="DD2158" i="12"/>
  <c r="DE2158" i="12"/>
  <c r="FU10" i="12"/>
  <c r="GR10" i="12" s="1"/>
  <c r="FU19" i="12"/>
  <c r="FT20" i="12"/>
  <c r="GR18" i="12"/>
  <c r="CZ2247" i="12"/>
  <c r="CZ2125" i="12"/>
  <c r="CZ2159" i="12"/>
  <c r="CZ2142" i="12"/>
  <c r="DE2247" i="12" l="1"/>
  <c r="DB2247" i="12"/>
  <c r="DF2246" i="12" s="1"/>
  <c r="DC2247" i="12"/>
  <c r="DD2247" i="12"/>
  <c r="DA2247" i="12"/>
  <c r="DD2159" i="12"/>
  <c r="DE2159" i="12"/>
  <c r="DB2159" i="12"/>
  <c r="DA2159" i="12"/>
  <c r="DC2159" i="12"/>
  <c r="DC2125" i="12"/>
  <c r="DD2125" i="12"/>
  <c r="DB2125" i="12"/>
  <c r="DA2125" i="12"/>
  <c r="DE2125" i="12"/>
  <c r="DB2142" i="12"/>
  <c r="DD2142" i="12"/>
  <c r="DE2142" i="12"/>
  <c r="DC2142" i="12"/>
  <c r="DA2142" i="12"/>
  <c r="FU20" i="12"/>
  <c r="FT21" i="12"/>
  <c r="GR19" i="12"/>
  <c r="CZ2248" i="12"/>
  <c r="CZ2160" i="12"/>
  <c r="CZ2143" i="12"/>
  <c r="DA2248" i="12" l="1"/>
  <c r="DE2248" i="12"/>
  <c r="DD2248" i="12"/>
  <c r="DB2248" i="12"/>
  <c r="DF2247" i="12" s="1"/>
  <c r="DC2248" i="12"/>
  <c r="DC2143" i="12"/>
  <c r="DA2143" i="12"/>
  <c r="DD2143" i="12"/>
  <c r="DE2143" i="12"/>
  <c r="DB2143" i="12"/>
  <c r="DD2160" i="12"/>
  <c r="DB2160" i="12"/>
  <c r="DC2160" i="12"/>
  <c r="DA2160" i="12"/>
  <c r="DE2160" i="12"/>
  <c r="GR20" i="12"/>
  <c r="FU21" i="12"/>
  <c r="FT22" i="12"/>
  <c r="CZ2161" i="12"/>
  <c r="CZ2249" i="12"/>
  <c r="DE2249" i="12" l="1"/>
  <c r="DB2249" i="12"/>
  <c r="DF2248" i="12" s="1"/>
  <c r="DD2249" i="12"/>
  <c r="DC2249" i="12"/>
  <c r="DA2249" i="12"/>
  <c r="DA2161" i="12"/>
  <c r="DD2161" i="12"/>
  <c r="DE2161" i="12"/>
  <c r="DB2161" i="12"/>
  <c r="DC2161" i="12"/>
  <c r="GR21" i="12"/>
  <c r="FU22" i="12"/>
  <c r="FT23" i="12"/>
  <c r="FT24" i="12" s="1"/>
  <c r="CZ2250" i="12"/>
  <c r="DC2250" i="12" l="1"/>
  <c r="DA2250" i="12"/>
  <c r="DE2250" i="12"/>
  <c r="DB2250" i="12"/>
  <c r="DF2249" i="12" s="1"/>
  <c r="DD2250" i="12"/>
  <c r="FU24" i="12"/>
  <c r="GR24" i="12" s="1"/>
  <c r="FT25" i="12"/>
  <c r="FU25" i="12" s="1"/>
  <c r="GR25" i="12" s="1"/>
  <c r="GR22" i="12"/>
  <c r="FU23" i="12"/>
  <c r="FT40" i="12"/>
  <c r="CZ2251" i="12"/>
  <c r="DB2251" i="12" l="1"/>
  <c r="DF2250" i="12" s="1"/>
  <c r="DA2251" i="12"/>
  <c r="DC2251" i="12"/>
  <c r="DE2251" i="12"/>
  <c r="DD2251" i="12"/>
  <c r="GR23" i="12"/>
  <c r="FU40" i="12"/>
  <c r="FT41" i="12"/>
  <c r="CZ2252" i="12"/>
  <c r="DB2252" i="12" l="1"/>
  <c r="DF2251" i="12" s="1"/>
  <c r="DA2252" i="12"/>
  <c r="DE2252" i="12"/>
  <c r="DD2252" i="12"/>
  <c r="DC2252" i="12"/>
  <c r="FT42" i="12"/>
  <c r="FU42" i="12" s="1"/>
  <c r="GR42" i="12" s="1"/>
  <c r="GR40" i="12"/>
  <c r="FU41" i="12"/>
  <c r="CZ2253" i="12"/>
  <c r="DA2253" i="12" l="1"/>
  <c r="DD2253" i="12"/>
  <c r="DE2253" i="12"/>
  <c r="DC2253" i="12"/>
  <c r="DB2253" i="12"/>
  <c r="DF2252" i="12" s="1"/>
  <c r="FT62" i="12"/>
  <c r="FU62" i="12" s="1"/>
  <c r="GR62" i="12" s="1"/>
  <c r="GR41" i="12"/>
  <c r="CZ2254" i="12"/>
  <c r="DC2254" i="12" l="1"/>
  <c r="DD2254" i="12"/>
  <c r="DE2254" i="12"/>
  <c r="DB2254" i="12"/>
  <c r="DF2253" i="12" s="1"/>
  <c r="DA2254" i="12"/>
  <c r="FT63" i="12"/>
  <c r="FU63" i="12" s="1"/>
  <c r="GR63" i="12" s="1"/>
  <c r="CZ2255" i="12"/>
  <c r="DC2255" i="12" l="1"/>
  <c r="DD2255" i="12"/>
  <c r="DE2255" i="12"/>
  <c r="DA2255" i="12"/>
  <c r="DB2255" i="12"/>
  <c r="DF2254" i="12" s="1"/>
  <c r="FT64" i="12"/>
  <c r="FT65" i="12" s="1"/>
  <c r="FU65" i="12" s="1"/>
  <c r="CZ2256" i="12"/>
  <c r="DE2256" i="12" l="1"/>
  <c r="DC2256" i="12"/>
  <c r="DA2256" i="12"/>
  <c r="DB2256" i="12"/>
  <c r="DF2255" i="12" s="1"/>
  <c r="DD2256" i="12"/>
  <c r="FT66" i="12"/>
  <c r="FT67" i="12" s="1"/>
  <c r="FU64" i="12"/>
  <c r="GR64" i="12" s="1"/>
  <c r="GR65" i="12"/>
  <c r="CZ2257" i="12"/>
  <c r="DA2257" i="12" l="1"/>
  <c r="DC2257" i="12"/>
  <c r="DE2257" i="12"/>
  <c r="DD2257" i="12"/>
  <c r="DB2257" i="12"/>
  <c r="DF2256" i="12" s="1"/>
  <c r="FU66" i="12"/>
  <c r="GR66" i="12" s="1"/>
  <c r="FU67" i="12"/>
  <c r="FT68" i="12"/>
  <c r="CZ2258" i="12"/>
  <c r="DC2258" i="12" l="1"/>
  <c r="DA2258" i="12"/>
  <c r="DD2258" i="12"/>
  <c r="DB2258" i="12"/>
  <c r="DF2257" i="12" s="1"/>
  <c r="DE2258" i="12"/>
  <c r="GR67" i="12"/>
  <c r="FU68" i="12"/>
  <c r="FT69" i="12"/>
  <c r="CZ2259" i="12"/>
  <c r="DA2259" i="12" l="1"/>
  <c r="DC2259" i="12"/>
  <c r="DD2259" i="12"/>
  <c r="DB2259" i="12"/>
  <c r="DF2258" i="12" s="1"/>
  <c r="DE2259" i="12"/>
  <c r="GR68" i="12"/>
  <c r="FU69" i="12"/>
  <c r="FT70" i="12"/>
  <c r="CZ2260" i="12"/>
  <c r="DC2260" i="12" l="1"/>
  <c r="DA2260" i="12"/>
  <c r="DE2260" i="12"/>
  <c r="DB2260" i="12"/>
  <c r="DF2259" i="12" s="1"/>
  <c r="DD2260" i="12"/>
  <c r="GR69" i="12"/>
  <c r="FU70" i="12"/>
  <c r="FT71" i="12"/>
  <c r="CZ2261" i="12"/>
  <c r="DE2261" i="12" l="1"/>
  <c r="DA2261" i="12"/>
  <c r="DB2261" i="12"/>
  <c r="DF2260" i="12" s="1"/>
  <c r="DD2261" i="12"/>
  <c r="DC2261" i="12"/>
  <c r="GR70" i="12"/>
  <c r="FU71" i="12"/>
  <c r="FT72" i="12"/>
  <c r="CZ2262" i="12"/>
  <c r="DE2262" i="12" l="1"/>
  <c r="DD2262" i="12"/>
  <c r="DA2262" i="12"/>
  <c r="DC2262" i="12"/>
  <c r="DB2262" i="12"/>
  <c r="DF2261" i="12" s="1"/>
  <c r="GR71" i="12"/>
  <c r="FU72" i="12"/>
  <c r="FT73" i="12"/>
  <c r="CZ2263" i="12"/>
  <c r="DD2263" i="12" l="1"/>
  <c r="DC2263" i="12"/>
  <c r="DA2263" i="12"/>
  <c r="DE2263" i="12"/>
  <c r="DB2263" i="12"/>
  <c r="DF2262" i="12" s="1"/>
  <c r="FU73" i="12"/>
  <c r="FT74" i="12"/>
  <c r="GR72" i="12"/>
  <c r="CZ2264" i="12"/>
  <c r="DA2264" i="12" l="1"/>
  <c r="DB2264" i="12"/>
  <c r="DF2263" i="12" s="1"/>
  <c r="DE2264" i="12"/>
  <c r="DC2264" i="12"/>
  <c r="DD2264" i="12"/>
  <c r="FU74" i="12"/>
  <c r="FT75" i="12"/>
  <c r="GR73" i="12"/>
  <c r="CZ2265" i="12"/>
  <c r="DC2265" i="12" l="1"/>
  <c r="DA2265" i="12"/>
  <c r="DD2265" i="12"/>
  <c r="DB2265" i="12"/>
  <c r="DF2264" i="12" s="1"/>
  <c r="DE2265" i="12"/>
  <c r="GR74" i="12"/>
  <c r="FU75" i="12"/>
  <c r="FT76" i="12"/>
  <c r="CZ2266" i="12"/>
  <c r="DD2266" i="12" l="1"/>
  <c r="DC2266" i="12"/>
  <c r="DB2266" i="12"/>
  <c r="DF2265" i="12" s="1"/>
  <c r="DA2266" i="12"/>
  <c r="DE2266" i="12"/>
  <c r="GR75" i="12"/>
  <c r="FU76" i="12"/>
  <c r="FT77" i="12"/>
  <c r="CZ2267" i="12"/>
  <c r="DC2267" i="12" l="1"/>
  <c r="DE2267" i="12"/>
  <c r="DA2267" i="12"/>
  <c r="DB2267" i="12"/>
  <c r="DF2266" i="12" s="1"/>
  <c r="DD2267" i="12"/>
  <c r="GR76" i="12"/>
  <c r="FU77" i="12"/>
  <c r="FT78" i="12"/>
  <c r="CZ2268" i="12"/>
  <c r="DE2268" i="12" l="1"/>
  <c r="DC2268" i="12"/>
  <c r="DA2268" i="12"/>
  <c r="DD2268" i="12"/>
  <c r="DB2268" i="12"/>
  <c r="DF2267" i="12" s="1"/>
  <c r="GR77" i="12"/>
  <c r="FU78" i="12"/>
  <c r="GR78" i="12" s="1"/>
  <c r="FT79" i="12"/>
  <c r="CZ2269" i="12"/>
  <c r="DA2269" i="12" l="1"/>
  <c r="DD2269" i="12"/>
  <c r="DE2269" i="12"/>
  <c r="DB2269" i="12"/>
  <c r="DF2268" i="12" s="1"/>
  <c r="DC2269" i="12"/>
  <c r="FU79" i="12"/>
  <c r="FT80" i="12"/>
  <c r="CZ2270" i="12"/>
  <c r="DC2270" i="12" l="1"/>
  <c r="DB2270" i="12"/>
  <c r="DF2269" i="12" s="1"/>
  <c r="DE2270" i="12"/>
  <c r="DD2270" i="12"/>
  <c r="DA2270" i="12"/>
  <c r="GR79" i="12"/>
  <c r="FU80" i="12"/>
  <c r="GR80" i="12" s="1"/>
  <c r="FT81" i="12"/>
  <c r="CZ2271" i="12"/>
  <c r="DC2271" i="12" l="1"/>
  <c r="DA2271" i="12"/>
  <c r="DD2271" i="12"/>
  <c r="DB2271" i="12"/>
  <c r="DF2270" i="12" s="1"/>
  <c r="DE2271" i="12"/>
  <c r="FU81" i="12"/>
  <c r="GR81" i="12" s="1"/>
  <c r="FT82" i="12"/>
  <c r="CZ2272" i="12"/>
  <c r="DD2272" i="12" l="1"/>
  <c r="DB2272" i="12"/>
  <c r="DF2271" i="12" s="1"/>
  <c r="DA2272" i="12"/>
  <c r="DE2272" i="12"/>
  <c r="DC2272" i="12"/>
  <c r="FU82" i="12"/>
  <c r="FT83" i="12"/>
  <c r="CZ2273" i="12"/>
  <c r="DC2273" i="12" l="1"/>
  <c r="DE2273" i="12"/>
  <c r="DA2273" i="12"/>
  <c r="DB2273" i="12"/>
  <c r="DF2272" i="12" s="1"/>
  <c r="DD2273" i="12"/>
  <c r="GR82" i="12"/>
  <c r="FU83" i="12"/>
  <c r="GR83" i="12" s="1"/>
  <c r="FT84" i="12"/>
  <c r="CZ2274" i="12"/>
  <c r="DD2274" i="12" l="1"/>
  <c r="DA2274" i="12"/>
  <c r="DE2274" i="12"/>
  <c r="DC2274" i="12"/>
  <c r="DB2274" i="12"/>
  <c r="DF2273" i="12" s="1"/>
  <c r="FU84" i="12"/>
  <c r="FT85" i="12"/>
  <c r="CZ2275" i="12"/>
  <c r="DB2275" i="12" l="1"/>
  <c r="DF2274" i="12" s="1"/>
  <c r="DC2275" i="12"/>
  <c r="DD2275" i="12"/>
  <c r="DA2275" i="12"/>
  <c r="DE2275" i="12"/>
  <c r="GR84" i="12"/>
  <c r="FU85" i="12"/>
  <c r="GR85" i="12" s="1"/>
  <c r="FT86" i="12"/>
  <c r="CZ2276" i="12"/>
  <c r="DB2276" i="12" l="1"/>
  <c r="DF2275" i="12" s="1"/>
  <c r="DD2276" i="12"/>
  <c r="DA2276" i="12"/>
  <c r="DE2276" i="12"/>
  <c r="DC2276" i="12"/>
  <c r="FU86" i="12"/>
  <c r="FT87" i="12"/>
  <c r="CZ2277" i="12"/>
  <c r="DD2277" i="12" l="1"/>
  <c r="DE2277" i="12"/>
  <c r="DA2277" i="12"/>
  <c r="DC2277" i="12"/>
  <c r="DB2277" i="12"/>
  <c r="DF2276" i="12" s="1"/>
  <c r="GR86" i="12"/>
  <c r="FU87" i="12"/>
  <c r="GR87" i="12" s="1"/>
  <c r="FT88" i="12"/>
  <c r="CZ2278" i="12"/>
  <c r="DB2278" i="12" l="1"/>
  <c r="DF2277" i="12" s="1"/>
  <c r="DD2278" i="12"/>
  <c r="DC2278" i="12"/>
  <c r="DE2278" i="12"/>
  <c r="DA2278" i="12"/>
  <c r="FU88" i="12"/>
  <c r="GR88" i="12" s="1"/>
  <c r="FT89" i="12"/>
  <c r="CZ2279" i="12"/>
  <c r="DA2279" i="12" l="1"/>
  <c r="DD2279" i="12"/>
  <c r="DB2279" i="12"/>
  <c r="DF2278" i="12" s="1"/>
  <c r="DE2279" i="12"/>
  <c r="DC2279" i="12"/>
  <c r="FU89" i="12"/>
  <c r="GR89" i="12" s="1"/>
  <c r="FT90" i="12"/>
  <c r="CZ2280" i="12"/>
  <c r="DE2280" i="12" l="1"/>
  <c r="DB2280" i="12"/>
  <c r="DF2279" i="12" s="1"/>
  <c r="DA2280" i="12"/>
  <c r="DC2280" i="12"/>
  <c r="DD2280" i="12"/>
  <c r="FU90" i="12"/>
  <c r="GR90" i="12" s="1"/>
  <c r="FT91" i="12"/>
  <c r="CZ2281" i="12"/>
  <c r="DD2281" i="12" l="1"/>
  <c r="DB2281" i="12"/>
  <c r="DF2280" i="12" s="1"/>
  <c r="DC2281" i="12"/>
  <c r="DE2281" i="12"/>
  <c r="DA2281" i="12"/>
  <c r="FU91" i="12"/>
  <c r="GR91" i="12" s="1"/>
  <c r="FT92" i="12"/>
  <c r="CZ2282" i="12"/>
  <c r="DB2282" i="12" l="1"/>
  <c r="DF2281" i="12" s="1"/>
  <c r="DC2282" i="12"/>
  <c r="DA2282" i="12"/>
  <c r="DD2282" i="12"/>
  <c r="DE2282" i="12"/>
  <c r="FU92" i="12"/>
  <c r="GN1" i="12"/>
  <c r="GF1" i="12"/>
  <c r="CZ2283" i="12"/>
  <c r="DC2283" i="12" l="1"/>
  <c r="DB2283" i="12"/>
  <c r="DF2282" i="12" s="1"/>
  <c r="DE2283" i="12"/>
  <c r="DA2283" i="12"/>
  <c r="DD2283" i="12"/>
  <c r="FW96" i="12"/>
  <c r="FW95" i="12"/>
  <c r="FW97" i="12"/>
  <c r="FW92" i="12"/>
  <c r="FW93" i="12"/>
  <c r="FW94" i="12"/>
  <c r="FW135" i="12"/>
  <c r="FW101" i="12"/>
  <c r="FW98" i="12"/>
  <c r="FW102" i="12"/>
  <c r="FW137" i="12"/>
  <c r="FW99" i="12"/>
  <c r="FW100" i="12"/>
  <c r="FW138" i="12"/>
  <c r="FW136" i="12"/>
  <c r="FW139" i="12"/>
  <c r="FW140" i="12"/>
  <c r="FW141" i="12"/>
  <c r="FW147" i="12"/>
  <c r="FW148" i="12"/>
  <c r="FW150" i="12"/>
  <c r="FW149" i="12"/>
  <c r="FW151" i="12"/>
  <c r="FW152" i="12"/>
  <c r="FW153" i="12"/>
  <c r="FW157" i="12"/>
  <c r="GR92" i="12"/>
  <c r="FW124" i="12"/>
  <c r="FW89" i="12"/>
  <c r="FW127" i="12"/>
  <c r="FW121" i="12"/>
  <c r="FW85" i="12"/>
  <c r="FW91" i="12"/>
  <c r="FW125" i="12"/>
  <c r="FW118" i="12"/>
  <c r="FW86" i="12"/>
  <c r="FW119" i="12"/>
  <c r="FW117" i="12"/>
  <c r="FW109" i="12"/>
  <c r="FW113" i="12"/>
  <c r="FW128" i="12"/>
  <c r="FW123" i="12"/>
  <c r="FW90" i="12"/>
  <c r="FW108" i="12"/>
  <c r="FW79" i="12"/>
  <c r="FW110" i="12"/>
  <c r="FW111" i="12"/>
  <c r="FW104" i="12"/>
  <c r="FW103" i="12"/>
  <c r="FW88" i="12"/>
  <c r="FW105" i="12"/>
  <c r="FW310" i="12"/>
  <c r="FW41" i="12"/>
  <c r="FW312" i="12"/>
  <c r="FW190" i="12"/>
  <c r="FW383" i="12"/>
  <c r="FW251" i="12"/>
  <c r="FW195" i="12"/>
  <c r="FW252" i="12"/>
  <c r="FW20" i="12"/>
  <c r="FW50" i="12"/>
  <c r="FW202" i="12"/>
  <c r="FW180" i="12"/>
  <c r="FW116" i="12"/>
  <c r="FW114" i="12"/>
  <c r="FW299" i="12"/>
  <c r="FW30" i="12"/>
  <c r="FW204" i="12"/>
  <c r="FW9" i="12"/>
  <c r="FW318" i="12"/>
  <c r="FW336" i="12"/>
  <c r="FW65" i="12"/>
  <c r="FW303" i="12"/>
  <c r="FW366" i="12"/>
  <c r="FW38" i="12"/>
  <c r="FW307" i="12"/>
  <c r="FW301" i="12"/>
  <c r="FW360" i="12"/>
  <c r="FW304" i="12"/>
  <c r="FW61" i="12"/>
  <c r="FW316" i="12"/>
  <c r="FW369" i="12"/>
  <c r="FW290" i="12"/>
  <c r="FW368" i="12"/>
  <c r="FW326" i="12"/>
  <c r="FW274" i="12"/>
  <c r="FW72" i="12"/>
  <c r="FW175" i="12"/>
  <c r="FW226" i="12"/>
  <c r="FW385" i="12"/>
  <c r="FW313" i="12"/>
  <c r="FW325" i="12"/>
  <c r="FW242" i="12"/>
  <c r="FW66" i="12"/>
  <c r="FW315" i="12"/>
  <c r="FW142" i="12"/>
  <c r="FW387" i="12"/>
  <c r="FW81" i="12"/>
  <c r="FW346" i="12"/>
  <c r="FW333" i="12"/>
  <c r="FW250" i="12"/>
  <c r="FW19" i="12"/>
  <c r="FW54" i="12"/>
  <c r="FW179" i="12"/>
  <c r="FW334" i="12"/>
  <c r="FW181" i="12"/>
  <c r="FW199" i="12"/>
  <c r="FW227" i="12"/>
  <c r="FW248" i="12"/>
  <c r="FW10" i="12"/>
  <c r="FW171" i="12"/>
  <c r="FW83" i="12"/>
  <c r="FW342" i="12"/>
  <c r="FW29" i="12"/>
  <c r="FW73" i="12"/>
  <c r="FW398" i="12"/>
  <c r="FW282" i="12"/>
  <c r="FW258" i="12"/>
  <c r="FW144" i="12"/>
  <c r="FW314" i="12"/>
  <c r="FW240" i="12"/>
  <c r="FW130" i="12"/>
  <c r="FW166" i="12"/>
  <c r="FW44" i="12"/>
  <c r="FW262" i="12"/>
  <c r="FW394" i="12"/>
  <c r="FW6" i="12"/>
  <c r="FW129" i="12"/>
  <c r="FW107" i="12"/>
  <c r="FW356" i="12"/>
  <c r="FW12" i="12"/>
  <c r="FW296" i="12"/>
  <c r="FW340" i="12"/>
  <c r="FW371" i="12"/>
  <c r="FW205" i="12"/>
  <c r="FW341" i="12"/>
  <c r="FW34" i="12"/>
  <c r="FW210" i="12"/>
  <c r="FW270" i="12"/>
  <c r="FW112" i="12"/>
  <c r="FW214" i="12"/>
  <c r="FW52" i="12"/>
  <c r="FW154" i="12"/>
  <c r="FW11" i="12"/>
  <c r="FW162" i="12"/>
  <c r="FW68" i="12"/>
  <c r="FW220" i="12"/>
  <c r="FW42" i="12"/>
  <c r="FW357" i="12"/>
  <c r="FW247" i="12"/>
  <c r="FW321" i="12"/>
  <c r="FW353" i="12"/>
  <c r="FW14" i="12"/>
  <c r="FW47" i="12"/>
  <c r="FW58" i="12"/>
  <c r="FW186" i="12"/>
  <c r="FW53" i="12"/>
  <c r="FW273" i="12"/>
  <c r="FW146" i="12"/>
  <c r="FW207" i="12"/>
  <c r="FW388" i="12"/>
  <c r="FW323" i="12"/>
  <c r="FW381" i="12"/>
  <c r="FW196" i="12"/>
  <c r="FW51" i="12"/>
  <c r="FW241" i="12"/>
  <c r="FW350" i="12"/>
  <c r="FW69" i="12"/>
  <c r="FW106" i="12"/>
  <c r="FW372" i="12"/>
  <c r="FW84" i="12"/>
  <c r="FW120" i="12"/>
  <c r="FW235" i="12"/>
  <c r="FW359" i="12"/>
  <c r="FW28" i="12"/>
  <c r="FW384" i="12"/>
  <c r="FW349" i="12"/>
  <c r="FW165" i="12"/>
  <c r="FW271" i="12"/>
  <c r="FW269" i="12"/>
  <c r="FW176" i="12"/>
  <c r="FW370" i="12"/>
  <c r="FW82" i="12"/>
  <c r="FW16" i="12"/>
  <c r="FW335" i="12"/>
  <c r="FW78" i="12"/>
  <c r="FW391" i="12"/>
  <c r="FW361" i="12"/>
  <c r="FW286" i="12"/>
  <c r="FW216" i="12"/>
  <c r="FW7" i="12"/>
  <c r="FW39" i="12"/>
  <c r="FW322" i="12"/>
  <c r="FW143" i="12"/>
  <c r="FW71" i="12"/>
  <c r="FW155" i="12"/>
  <c r="FW75" i="12"/>
  <c r="FW115" i="12"/>
  <c r="FW213" i="12"/>
  <c r="FW320" i="12"/>
  <c r="FW232" i="12"/>
  <c r="FW347" i="12"/>
  <c r="FW367" i="12"/>
  <c r="FW355" i="12"/>
  <c r="FW277" i="12"/>
  <c r="FW300" i="12"/>
  <c r="FW225" i="12"/>
  <c r="FW265" i="12"/>
  <c r="FW285" i="12"/>
  <c r="FW194" i="12"/>
  <c r="FW231" i="12"/>
  <c r="FW32" i="12"/>
  <c r="FW163" i="12"/>
  <c r="FW259" i="12"/>
  <c r="FW292" i="12"/>
  <c r="FW379" i="12"/>
  <c r="FW337" i="12"/>
  <c r="FW392" i="12"/>
  <c r="FW266" i="12"/>
  <c r="FW393" i="12"/>
  <c r="FW200" i="12"/>
  <c r="FW298" i="12"/>
  <c r="FW122" i="12"/>
  <c r="FW365" i="12"/>
  <c r="FW255" i="12"/>
  <c r="FW218" i="12"/>
  <c r="FW191" i="12"/>
  <c r="FW13" i="12"/>
  <c r="FW291" i="12"/>
  <c r="FW36" i="12"/>
  <c r="FW345" i="12"/>
  <c r="FW364" i="12"/>
  <c r="FW132" i="12"/>
  <c r="FW376" i="12"/>
  <c r="FW167" i="12"/>
  <c r="FW206" i="12"/>
  <c r="FW389" i="12"/>
  <c r="FW37" i="12"/>
  <c r="FW305" i="12"/>
  <c r="FW246" i="12"/>
  <c r="FW288" i="12"/>
  <c r="FW374" i="12"/>
  <c r="FW260" i="12"/>
  <c r="FW308" i="12"/>
  <c r="FW169" i="12"/>
  <c r="FW254" i="12"/>
  <c r="FW233" i="12"/>
  <c r="FW145" i="12"/>
  <c r="FW26" i="12"/>
  <c r="FW332" i="12"/>
  <c r="FW159" i="12"/>
  <c r="FW70" i="12"/>
  <c r="FW5" i="12"/>
  <c r="FW249" i="12"/>
  <c r="FW306" i="12"/>
  <c r="FW87" i="12"/>
  <c r="FW45" i="12"/>
  <c r="FW173" i="12"/>
  <c r="FW4" i="12"/>
  <c r="FW351" i="12"/>
  <c r="FW352" i="12"/>
  <c r="FW197" i="12"/>
  <c r="FW46" i="12"/>
  <c r="FW174" i="12"/>
  <c r="FW278" i="12"/>
  <c r="FW294" i="12"/>
  <c r="FW311" i="12"/>
  <c r="FW211" i="12"/>
  <c r="FW160" i="12"/>
  <c r="FW253" i="12"/>
  <c r="FW208" i="12"/>
  <c r="FW187" i="12"/>
  <c r="FW178" i="12"/>
  <c r="FW236" i="12"/>
  <c r="FW238" i="12"/>
  <c r="FW161" i="12"/>
  <c r="FW295" i="12"/>
  <c r="FW158" i="12"/>
  <c r="FW257" i="12"/>
  <c r="FW264" i="12"/>
  <c r="FW198" i="12"/>
  <c r="FW133" i="12"/>
  <c r="FW283" i="12"/>
  <c r="FW382" i="12"/>
  <c r="FW55" i="12"/>
  <c r="FW193" i="12"/>
  <c r="FW31" i="12"/>
  <c r="FW170" i="12"/>
  <c r="FW397" i="12"/>
  <c r="FW234" i="12"/>
  <c r="FW43" i="12"/>
  <c r="FW302" i="12"/>
  <c r="FW338" i="12"/>
  <c r="FW287" i="12"/>
  <c r="FW344" i="12"/>
  <c r="FW339" i="12"/>
  <c r="FW280" i="12"/>
  <c r="FW243" i="12"/>
  <c r="FW156" i="12"/>
  <c r="FW184" i="12"/>
  <c r="FW48" i="12"/>
  <c r="FW185" i="12"/>
  <c r="FW219" i="12"/>
  <c r="FW22" i="12"/>
  <c r="FW327" i="12"/>
  <c r="FW182" i="12"/>
  <c r="FW237" i="12"/>
  <c r="FW261" i="12"/>
  <c r="FW228" i="12"/>
  <c r="FW377" i="12"/>
  <c r="FW309" i="12"/>
  <c r="FW74" i="12"/>
  <c r="FW215" i="12"/>
  <c r="FW3" i="12"/>
  <c r="FW276" i="12"/>
  <c r="FW275" i="12"/>
  <c r="FW60" i="12"/>
  <c r="FW223" i="12"/>
  <c r="FW358" i="12"/>
  <c r="FW56" i="12"/>
  <c r="FW373" i="12"/>
  <c r="FW281" i="12"/>
  <c r="FW399" i="12"/>
  <c r="FW15" i="12"/>
  <c r="FW230" i="12"/>
  <c r="FW134" i="12"/>
  <c r="FW27" i="12"/>
  <c r="FW324" i="12"/>
  <c r="FW386" i="12"/>
  <c r="FW203" i="12"/>
  <c r="FW172" i="12"/>
  <c r="FW212" i="12"/>
  <c r="FW279" i="12"/>
  <c r="FW33" i="12"/>
  <c r="FW49" i="12"/>
  <c r="FW268" i="12"/>
  <c r="FW23" i="12"/>
  <c r="FW188" i="12"/>
  <c r="FW40" i="12"/>
  <c r="FW331" i="12"/>
  <c r="FW348" i="12"/>
  <c r="FW76" i="12"/>
  <c r="FW245" i="12"/>
  <c r="FW25" i="12"/>
  <c r="FW390" i="12"/>
  <c r="FW201" i="12"/>
  <c r="FW8" i="12"/>
  <c r="FW183" i="12"/>
  <c r="FW62" i="12"/>
  <c r="FW284" i="12"/>
  <c r="FW400" i="12"/>
  <c r="FW380" i="12"/>
  <c r="FW319" i="12"/>
  <c r="FW80" i="12"/>
  <c r="FW263" i="12"/>
  <c r="FW317" i="12"/>
  <c r="FW177" i="12"/>
  <c r="FW67" i="12"/>
  <c r="FW272" i="12"/>
  <c r="FW224" i="12"/>
  <c r="FW362" i="12"/>
  <c r="FW244" i="12"/>
  <c r="FW189" i="12"/>
  <c r="FW354" i="12"/>
  <c r="FW192" i="12"/>
  <c r="FW293" i="12"/>
  <c r="FW217" i="12"/>
  <c r="FW59" i="12"/>
  <c r="FW297" i="12"/>
  <c r="FW209" i="12"/>
  <c r="FW329" i="12"/>
  <c r="FW57" i="12"/>
  <c r="FW343" i="12"/>
  <c r="FW24" i="12"/>
  <c r="FW330" i="12"/>
  <c r="FW363" i="12"/>
  <c r="FW164" i="12"/>
  <c r="FW168" i="12"/>
  <c r="FW395" i="12"/>
  <c r="FW267" i="12"/>
  <c r="FW17" i="12"/>
  <c r="FW229" i="12"/>
  <c r="FW35" i="12"/>
  <c r="FW221" i="12"/>
  <c r="FW328" i="12"/>
  <c r="FW396" i="12"/>
  <c r="FW289" i="12"/>
  <c r="FW131" i="12"/>
  <c r="FW64" i="12"/>
  <c r="FW239" i="12"/>
  <c r="FW375" i="12"/>
  <c r="FW256" i="12"/>
  <c r="FW18" i="12"/>
  <c r="FW21" i="12"/>
  <c r="FW222" i="12"/>
  <c r="FW378" i="12"/>
  <c r="FW63" i="12"/>
  <c r="FW77" i="12"/>
  <c r="FW126" i="12"/>
  <c r="CZ2284" i="12"/>
  <c r="DC2284" i="12" l="1"/>
  <c r="DD2284" i="12"/>
  <c r="DE2284" i="12"/>
  <c r="DB2284" i="12"/>
  <c r="DF2283" i="12" s="1"/>
  <c r="DA2284" i="12"/>
  <c r="FX96" i="12"/>
  <c r="GI96" i="12"/>
  <c r="GJ96" i="12"/>
  <c r="FX95" i="12"/>
  <c r="GJ95" i="12"/>
  <c r="GI95" i="12"/>
  <c r="GI97" i="12"/>
  <c r="FX97" i="12"/>
  <c r="GJ97" i="12"/>
  <c r="GJ152" i="12"/>
  <c r="FX152" i="12"/>
  <c r="GI152" i="12"/>
  <c r="FX148" i="12"/>
  <c r="GJ148" i="12"/>
  <c r="GI148" i="12"/>
  <c r="GJ139" i="12"/>
  <c r="FX139" i="12"/>
  <c r="GI139" i="12"/>
  <c r="GI99" i="12"/>
  <c r="FX99" i="12"/>
  <c r="GJ99" i="12"/>
  <c r="FX101" i="12"/>
  <c r="GJ101" i="12"/>
  <c r="GI101" i="12"/>
  <c r="FX92" i="12"/>
  <c r="GJ92" i="12"/>
  <c r="GI92" i="12"/>
  <c r="GJ153" i="12"/>
  <c r="FX153" i="12"/>
  <c r="GI153" i="12"/>
  <c r="GI150" i="12"/>
  <c r="FX150" i="12"/>
  <c r="GJ150" i="12"/>
  <c r="GI140" i="12"/>
  <c r="FX140" i="12"/>
  <c r="GJ140" i="12"/>
  <c r="GJ100" i="12"/>
  <c r="GI100" i="12"/>
  <c r="FX100" i="12"/>
  <c r="GI98" i="12"/>
  <c r="GJ98" i="12"/>
  <c r="FX98" i="12"/>
  <c r="FX93" i="12"/>
  <c r="GI93" i="12"/>
  <c r="GJ93" i="12"/>
  <c r="FX157" i="12"/>
  <c r="GI157" i="12"/>
  <c r="GJ157" i="12"/>
  <c r="GI149" i="12"/>
  <c r="GJ149" i="12"/>
  <c r="FX149" i="12"/>
  <c r="GI141" i="12"/>
  <c r="GJ141" i="12"/>
  <c r="FX141" i="12"/>
  <c r="FX138" i="12"/>
  <c r="GI138" i="12"/>
  <c r="GJ138" i="12"/>
  <c r="FX102" i="12"/>
  <c r="GI102" i="12"/>
  <c r="GJ102" i="12"/>
  <c r="GJ94" i="12"/>
  <c r="FX94" i="12"/>
  <c r="GI94" i="12"/>
  <c r="GJ151" i="12"/>
  <c r="GI151" i="12"/>
  <c r="FX151" i="12"/>
  <c r="FX147" i="12"/>
  <c r="GI147" i="12"/>
  <c r="GJ147" i="12"/>
  <c r="GI136" i="12"/>
  <c r="GJ136" i="12"/>
  <c r="FX136" i="12"/>
  <c r="GI137" i="12"/>
  <c r="FX137" i="12"/>
  <c r="GJ137" i="12"/>
  <c r="GI135" i="12"/>
  <c r="FX135" i="12"/>
  <c r="GJ135" i="12"/>
  <c r="GJ126" i="12"/>
  <c r="GI126" i="12"/>
  <c r="FX126" i="12"/>
  <c r="GJ222" i="12"/>
  <c r="FX222" i="12"/>
  <c r="GI222" i="12"/>
  <c r="GJ375" i="12"/>
  <c r="GI375" i="12"/>
  <c r="FX375" i="12"/>
  <c r="GJ289" i="12"/>
  <c r="FX289" i="12"/>
  <c r="GI289" i="12"/>
  <c r="GI35" i="12"/>
  <c r="GJ35" i="12"/>
  <c r="FX35" i="12"/>
  <c r="FX395" i="12"/>
  <c r="GI395" i="12"/>
  <c r="GJ395" i="12"/>
  <c r="GI330" i="12"/>
  <c r="FX330" i="12"/>
  <c r="GJ330" i="12"/>
  <c r="GJ329" i="12"/>
  <c r="GI329" i="12"/>
  <c r="FX329" i="12"/>
  <c r="GI217" i="12"/>
  <c r="GJ217" i="12"/>
  <c r="FX217" i="12"/>
  <c r="FX189" i="12"/>
  <c r="GJ189" i="12"/>
  <c r="GI189" i="12"/>
  <c r="GI272" i="12"/>
  <c r="GJ272" i="12"/>
  <c r="FX272" i="12"/>
  <c r="GJ263" i="12"/>
  <c r="FX263" i="12"/>
  <c r="GI263" i="12"/>
  <c r="GI400" i="12"/>
  <c r="GJ400" i="12"/>
  <c r="FX400" i="12"/>
  <c r="FX8" i="12"/>
  <c r="GI8" i="12"/>
  <c r="GJ8" i="12"/>
  <c r="GI245" i="12"/>
  <c r="FX245" i="12"/>
  <c r="GJ245" i="12"/>
  <c r="GI40" i="12"/>
  <c r="GJ40" i="12"/>
  <c r="FX40" i="12"/>
  <c r="GI49" i="12"/>
  <c r="FX49" i="12"/>
  <c r="GJ49" i="12"/>
  <c r="GJ172" i="12"/>
  <c r="FX172" i="12"/>
  <c r="GI172" i="12"/>
  <c r="GI27" i="12"/>
  <c r="GJ27" i="12"/>
  <c r="FX27" i="12"/>
  <c r="GI399" i="12"/>
  <c r="GJ399" i="12"/>
  <c r="FX399" i="12"/>
  <c r="FX358" i="12"/>
  <c r="GJ358" i="12"/>
  <c r="GI358" i="12"/>
  <c r="GJ276" i="12"/>
  <c r="GI276" i="12"/>
  <c r="FX276" i="12"/>
  <c r="GI309" i="12"/>
  <c r="FX309" i="12"/>
  <c r="GJ309" i="12"/>
  <c r="GI237" i="12"/>
  <c r="GJ237" i="12"/>
  <c r="FX237" i="12"/>
  <c r="GJ219" i="12"/>
  <c r="FX219" i="12"/>
  <c r="GI219" i="12"/>
  <c r="FX156" i="12"/>
  <c r="GJ156" i="12"/>
  <c r="GI156" i="12"/>
  <c r="GI344" i="12"/>
  <c r="FX344" i="12"/>
  <c r="GJ344" i="12"/>
  <c r="GI43" i="12"/>
  <c r="GJ43" i="12"/>
  <c r="FX43" i="12"/>
  <c r="GJ31" i="12"/>
  <c r="FX31" i="12"/>
  <c r="GI31" i="12"/>
  <c r="GJ283" i="12"/>
  <c r="GI283" i="12"/>
  <c r="FX283" i="12"/>
  <c r="GI257" i="12"/>
  <c r="GJ257" i="12"/>
  <c r="FX257" i="12"/>
  <c r="GJ238" i="12"/>
  <c r="FX238" i="12"/>
  <c r="GI238" i="12"/>
  <c r="GJ208" i="12"/>
  <c r="GI208" i="12"/>
  <c r="FX208" i="12"/>
  <c r="FX311" i="12"/>
  <c r="GJ311" i="12"/>
  <c r="GI311" i="12"/>
  <c r="GI46" i="12"/>
  <c r="GJ46" i="12"/>
  <c r="FX46" i="12"/>
  <c r="GI4" i="12"/>
  <c r="FX4" i="12"/>
  <c r="GJ4" i="12"/>
  <c r="GJ306" i="12"/>
  <c r="GI306" i="12"/>
  <c r="FX306" i="12"/>
  <c r="GI159" i="12"/>
  <c r="FX159" i="12"/>
  <c r="GJ159" i="12"/>
  <c r="GI233" i="12"/>
  <c r="GJ233" i="12"/>
  <c r="FX233" i="12"/>
  <c r="GJ260" i="12"/>
  <c r="FX260" i="12"/>
  <c r="GI260" i="12"/>
  <c r="FX305" i="12"/>
  <c r="GJ305" i="12"/>
  <c r="GI305" i="12"/>
  <c r="FX167" i="12"/>
  <c r="GJ167" i="12"/>
  <c r="GI167" i="12"/>
  <c r="GI345" i="12"/>
  <c r="GJ345" i="12"/>
  <c r="FX345" i="12"/>
  <c r="GI191" i="12"/>
  <c r="FX191" i="12"/>
  <c r="GJ191" i="12"/>
  <c r="GI122" i="12"/>
  <c r="GJ122" i="12"/>
  <c r="FX122" i="12"/>
  <c r="GI266" i="12"/>
  <c r="GJ266" i="12"/>
  <c r="FX266" i="12"/>
  <c r="FX292" i="12"/>
  <c r="GI292" i="12"/>
  <c r="GJ292" i="12"/>
  <c r="GJ231" i="12"/>
  <c r="GI231" i="12"/>
  <c r="FX231" i="12"/>
  <c r="GJ225" i="12"/>
  <c r="GI225" i="12"/>
  <c r="FX225" i="12"/>
  <c r="GJ367" i="12"/>
  <c r="FX367" i="12"/>
  <c r="GI367" i="12"/>
  <c r="GJ213" i="12"/>
  <c r="GI213" i="12"/>
  <c r="FX213" i="12"/>
  <c r="FX71" i="12"/>
  <c r="GJ71" i="12"/>
  <c r="GI71" i="12"/>
  <c r="GJ7" i="12"/>
  <c r="GI7" i="12"/>
  <c r="FX7" i="12"/>
  <c r="FX391" i="12"/>
  <c r="GI391" i="12"/>
  <c r="GJ391" i="12"/>
  <c r="FX82" i="12"/>
  <c r="GI82" i="12"/>
  <c r="GJ82" i="12"/>
  <c r="GI271" i="12"/>
  <c r="FX271" i="12"/>
  <c r="GJ271" i="12"/>
  <c r="FX28" i="12"/>
  <c r="GI28" i="12"/>
  <c r="GJ28" i="12"/>
  <c r="FX84" i="12"/>
  <c r="GJ84" i="12"/>
  <c r="GI84" i="12"/>
  <c r="GI350" i="12"/>
  <c r="GJ350" i="12"/>
  <c r="FX350" i="12"/>
  <c r="GJ381" i="12"/>
  <c r="FX381" i="12"/>
  <c r="GI381" i="12"/>
  <c r="FX146" i="12"/>
  <c r="GJ146" i="12"/>
  <c r="GI146" i="12"/>
  <c r="GJ58" i="12"/>
  <c r="FX58" i="12"/>
  <c r="GI58" i="12"/>
  <c r="FX321" i="12"/>
  <c r="GI321" i="12"/>
  <c r="GJ321" i="12"/>
  <c r="FX220" i="12"/>
  <c r="GJ220" i="12"/>
  <c r="GI220" i="12"/>
  <c r="GJ154" i="12"/>
  <c r="GI154" i="12"/>
  <c r="FX154" i="12"/>
  <c r="FX270" i="12"/>
  <c r="GJ270" i="12"/>
  <c r="GI270" i="12"/>
  <c r="FX205" i="12"/>
  <c r="GI205" i="12"/>
  <c r="GJ205" i="12"/>
  <c r="GJ12" i="12"/>
  <c r="GI12" i="12"/>
  <c r="FX12" i="12"/>
  <c r="GJ6" i="12"/>
  <c r="FX6" i="12"/>
  <c r="GI6" i="12"/>
  <c r="FX166" i="12"/>
  <c r="GJ166" i="12"/>
  <c r="GI166" i="12"/>
  <c r="GJ144" i="12"/>
  <c r="FX144" i="12"/>
  <c r="GI144" i="12"/>
  <c r="GJ73" i="12"/>
  <c r="FX73" i="12"/>
  <c r="GI73" i="12"/>
  <c r="GJ171" i="12"/>
  <c r="GI171" i="12"/>
  <c r="FX171" i="12"/>
  <c r="FX199" i="12"/>
  <c r="GI199" i="12"/>
  <c r="GJ199" i="12"/>
  <c r="FX54" i="12"/>
  <c r="GJ54" i="12"/>
  <c r="GI54" i="12"/>
  <c r="FX346" i="12"/>
  <c r="GI346" i="12"/>
  <c r="GJ346" i="12"/>
  <c r="FX315" i="12"/>
  <c r="GJ315" i="12"/>
  <c r="GI315" i="12"/>
  <c r="FX313" i="12"/>
  <c r="GI313" i="12"/>
  <c r="GJ313" i="12"/>
  <c r="FX72" i="12"/>
  <c r="GJ72" i="12"/>
  <c r="GI72" i="12"/>
  <c r="GI290" i="12"/>
  <c r="GJ290" i="12"/>
  <c r="FX290" i="12"/>
  <c r="FX304" i="12"/>
  <c r="GJ304" i="12"/>
  <c r="GI304" i="12"/>
  <c r="FX38" i="12"/>
  <c r="GJ38" i="12"/>
  <c r="GI38" i="12"/>
  <c r="GI336" i="12"/>
  <c r="GJ336" i="12"/>
  <c r="FX336" i="12"/>
  <c r="FX30" i="12"/>
  <c r="GI30" i="12"/>
  <c r="GJ30" i="12"/>
  <c r="GJ180" i="12"/>
  <c r="FX180" i="12"/>
  <c r="GI180" i="12"/>
  <c r="GJ252" i="12"/>
  <c r="FX252" i="12"/>
  <c r="GI252" i="12"/>
  <c r="GJ190" i="12"/>
  <c r="FX190" i="12"/>
  <c r="GI190" i="12"/>
  <c r="GJ105" i="12"/>
  <c r="GI105" i="12"/>
  <c r="FX105" i="12"/>
  <c r="GI111" i="12"/>
  <c r="GJ111" i="12"/>
  <c r="FX111" i="12"/>
  <c r="GJ90" i="12"/>
  <c r="GI90" i="12"/>
  <c r="FX90" i="12"/>
  <c r="GI109" i="12"/>
  <c r="GJ109" i="12"/>
  <c r="FX109" i="12"/>
  <c r="FX118" i="12"/>
  <c r="GJ118" i="12"/>
  <c r="GI118" i="12"/>
  <c r="GJ121" i="12"/>
  <c r="GI121" i="12"/>
  <c r="FX121" i="12"/>
  <c r="FX378" i="12"/>
  <c r="GI378" i="12"/>
  <c r="GJ378" i="12"/>
  <c r="FX256" i="12"/>
  <c r="GJ256" i="12"/>
  <c r="GI256" i="12"/>
  <c r="FX131" i="12"/>
  <c r="GI131" i="12"/>
  <c r="GJ131" i="12"/>
  <c r="FX221" i="12"/>
  <c r="GJ221" i="12"/>
  <c r="GI221" i="12"/>
  <c r="FX267" i="12"/>
  <c r="GI267" i="12"/>
  <c r="GJ267" i="12"/>
  <c r="FX363" i="12"/>
  <c r="GJ363" i="12"/>
  <c r="GI363" i="12"/>
  <c r="GJ57" i="12"/>
  <c r="FX57" i="12"/>
  <c r="GI57" i="12"/>
  <c r="GI59" i="12"/>
  <c r="GJ59" i="12"/>
  <c r="FX59" i="12"/>
  <c r="FX354" i="12"/>
  <c r="GI354" i="12"/>
  <c r="GJ354" i="12"/>
  <c r="GI224" i="12"/>
  <c r="GJ224" i="12"/>
  <c r="FX224" i="12"/>
  <c r="GI317" i="12"/>
  <c r="GJ317" i="12"/>
  <c r="FX317" i="12"/>
  <c r="GJ380" i="12"/>
  <c r="FX380" i="12"/>
  <c r="GI380" i="12"/>
  <c r="GI183" i="12"/>
  <c r="GJ183" i="12"/>
  <c r="FX183" i="12"/>
  <c r="GJ25" i="12"/>
  <c r="GI25" i="12"/>
  <c r="FX25" i="12"/>
  <c r="GI331" i="12"/>
  <c r="GJ331" i="12"/>
  <c r="FX331" i="12"/>
  <c r="FX268" i="12"/>
  <c r="GI268" i="12"/>
  <c r="GJ268" i="12"/>
  <c r="FX212" i="12"/>
  <c r="GJ212" i="12"/>
  <c r="GI212" i="12"/>
  <c r="GJ324" i="12"/>
  <c r="FX324" i="12"/>
  <c r="GI324" i="12"/>
  <c r="GJ15" i="12"/>
  <c r="FX15" i="12"/>
  <c r="GI15" i="12"/>
  <c r="GJ56" i="12"/>
  <c r="GI56" i="12"/>
  <c r="FX56" i="12"/>
  <c r="FX275" i="12"/>
  <c r="GJ275" i="12"/>
  <c r="GI275" i="12"/>
  <c r="GJ74" i="12"/>
  <c r="GI74" i="12"/>
  <c r="FX74" i="12"/>
  <c r="GJ261" i="12"/>
  <c r="GI261" i="12"/>
  <c r="FX261" i="12"/>
  <c r="GJ22" i="12"/>
  <c r="FX22" i="12"/>
  <c r="GI22" i="12"/>
  <c r="FX184" i="12"/>
  <c r="GJ184" i="12"/>
  <c r="GI184" i="12"/>
  <c r="GI339" i="12"/>
  <c r="GJ339" i="12"/>
  <c r="FX339" i="12"/>
  <c r="FX302" i="12"/>
  <c r="GI302" i="12"/>
  <c r="GJ302" i="12"/>
  <c r="FX170" i="12"/>
  <c r="GI170" i="12"/>
  <c r="GJ170" i="12"/>
  <c r="FX382" i="12"/>
  <c r="GJ382" i="12"/>
  <c r="GI382" i="12"/>
  <c r="GI264" i="12"/>
  <c r="FX264" i="12"/>
  <c r="GJ264" i="12"/>
  <c r="GI161" i="12"/>
  <c r="GJ161" i="12"/>
  <c r="FX161" i="12"/>
  <c r="GI187" i="12"/>
  <c r="GJ187" i="12"/>
  <c r="FX187" i="12"/>
  <c r="GJ211" i="12"/>
  <c r="FX211" i="12"/>
  <c r="GI211" i="12"/>
  <c r="GJ174" i="12"/>
  <c r="FX174" i="12"/>
  <c r="GI174" i="12"/>
  <c r="FX351" i="12"/>
  <c r="GJ351" i="12"/>
  <c r="GI351" i="12"/>
  <c r="FX87" i="12"/>
  <c r="GI87" i="12"/>
  <c r="GJ87" i="12"/>
  <c r="GJ70" i="12"/>
  <c r="FX70" i="12"/>
  <c r="GI70" i="12"/>
  <c r="GJ145" i="12"/>
  <c r="GI145" i="12"/>
  <c r="FX145" i="12"/>
  <c r="GJ308" i="12"/>
  <c r="FX308" i="12"/>
  <c r="GI308" i="12"/>
  <c r="FX246" i="12"/>
  <c r="GI246" i="12"/>
  <c r="GJ246" i="12"/>
  <c r="GI206" i="12"/>
  <c r="GJ206" i="12"/>
  <c r="FX206" i="12"/>
  <c r="GJ364" i="12"/>
  <c r="FX364" i="12"/>
  <c r="GI364" i="12"/>
  <c r="GJ13" i="12"/>
  <c r="GI13" i="12"/>
  <c r="FX13" i="12"/>
  <c r="GI365" i="12"/>
  <c r="FX365" i="12"/>
  <c r="GJ365" i="12"/>
  <c r="GI393" i="12"/>
  <c r="FX393" i="12"/>
  <c r="GJ393" i="12"/>
  <c r="GI379" i="12"/>
  <c r="GJ379" i="12"/>
  <c r="FX379" i="12"/>
  <c r="GI32" i="12"/>
  <c r="GJ32" i="12"/>
  <c r="FX32" i="12"/>
  <c r="FX265" i="12"/>
  <c r="GI265" i="12"/>
  <c r="GJ265" i="12"/>
  <c r="FX355" i="12"/>
  <c r="GI355" i="12"/>
  <c r="GJ355" i="12"/>
  <c r="FX320" i="12"/>
  <c r="GI320" i="12"/>
  <c r="GJ320" i="12"/>
  <c r="FX155" i="12"/>
  <c r="GJ155" i="12"/>
  <c r="GI155" i="12"/>
  <c r="GJ39" i="12"/>
  <c r="GI39" i="12"/>
  <c r="FX39" i="12"/>
  <c r="GI361" i="12"/>
  <c r="FX361" i="12"/>
  <c r="GJ361" i="12"/>
  <c r="FX16" i="12"/>
  <c r="GI16" i="12"/>
  <c r="GJ16" i="12"/>
  <c r="GJ269" i="12"/>
  <c r="GI269" i="12"/>
  <c r="FX269" i="12"/>
  <c r="FX384" i="12"/>
  <c r="GJ384" i="12"/>
  <c r="GI384" i="12"/>
  <c r="GJ120" i="12"/>
  <c r="GI120" i="12"/>
  <c r="FX120" i="12"/>
  <c r="FX69" i="12"/>
  <c r="GI69" i="12"/>
  <c r="GJ69" i="12"/>
  <c r="GI196" i="12"/>
  <c r="GJ196" i="12"/>
  <c r="FX196" i="12"/>
  <c r="GJ207" i="12"/>
  <c r="GI207" i="12"/>
  <c r="FX207" i="12"/>
  <c r="FX186" i="12"/>
  <c r="GI186" i="12"/>
  <c r="GJ186" i="12"/>
  <c r="FX353" i="12"/>
  <c r="GJ353" i="12"/>
  <c r="GI353" i="12"/>
  <c r="GJ42" i="12"/>
  <c r="GI42" i="12"/>
  <c r="FX42" i="12"/>
  <c r="GI11" i="12"/>
  <c r="GJ11" i="12"/>
  <c r="FX11" i="12"/>
  <c r="FX112" i="12"/>
  <c r="GI112" i="12"/>
  <c r="GJ112" i="12"/>
  <c r="GJ341" i="12"/>
  <c r="GI341" i="12"/>
  <c r="FX341" i="12"/>
  <c r="GJ296" i="12"/>
  <c r="FX296" i="12"/>
  <c r="GI296" i="12"/>
  <c r="GJ129" i="12"/>
  <c r="GI129" i="12"/>
  <c r="FX129" i="12"/>
  <c r="FX44" i="12"/>
  <c r="GI44" i="12"/>
  <c r="GJ44" i="12"/>
  <c r="GI314" i="12"/>
  <c r="GJ314" i="12"/>
  <c r="FX314" i="12"/>
  <c r="FX398" i="12"/>
  <c r="GI398" i="12"/>
  <c r="GJ398" i="12"/>
  <c r="GI83" i="12"/>
  <c r="FX83" i="12"/>
  <c r="GJ83" i="12"/>
  <c r="GJ227" i="12"/>
  <c r="FX227" i="12"/>
  <c r="GI227" i="12"/>
  <c r="FX179" i="12"/>
  <c r="GJ179" i="12"/>
  <c r="GI179" i="12"/>
  <c r="GJ333" i="12"/>
  <c r="FX333" i="12"/>
  <c r="GI333" i="12"/>
  <c r="GI142" i="12"/>
  <c r="GJ142" i="12"/>
  <c r="FX142" i="12"/>
  <c r="GJ325" i="12"/>
  <c r="GI325" i="12"/>
  <c r="FX325" i="12"/>
  <c r="FX175" i="12"/>
  <c r="GJ175" i="12"/>
  <c r="GI175" i="12"/>
  <c r="GI368" i="12"/>
  <c r="GJ368" i="12"/>
  <c r="FX368" i="12"/>
  <c r="FX61" i="12"/>
  <c r="GJ61" i="12"/>
  <c r="GI61" i="12"/>
  <c r="FX307" i="12"/>
  <c r="GJ307" i="12"/>
  <c r="GI307" i="12"/>
  <c r="GI65" i="12"/>
  <c r="FX65" i="12"/>
  <c r="GJ65" i="12"/>
  <c r="FX204" i="12"/>
  <c r="GI204" i="12"/>
  <c r="GJ204" i="12"/>
  <c r="GJ116" i="12"/>
  <c r="FX116" i="12"/>
  <c r="GI116" i="12"/>
  <c r="GJ20" i="12"/>
  <c r="GI20" i="12"/>
  <c r="FX20" i="12"/>
  <c r="FX383" i="12"/>
  <c r="GJ383" i="12"/>
  <c r="GI383" i="12"/>
  <c r="GI310" i="12"/>
  <c r="FX310" i="12"/>
  <c r="GJ310" i="12"/>
  <c r="GJ104" i="12"/>
  <c r="GI104" i="12"/>
  <c r="FX104" i="12"/>
  <c r="FX108" i="12"/>
  <c r="GJ108" i="12"/>
  <c r="GI108" i="12"/>
  <c r="GJ113" i="12"/>
  <c r="GI113" i="12"/>
  <c r="FX113" i="12"/>
  <c r="GJ86" i="12"/>
  <c r="GI86" i="12"/>
  <c r="FX86" i="12"/>
  <c r="FX85" i="12"/>
  <c r="GI85" i="12"/>
  <c r="GJ85" i="12"/>
  <c r="FX124" i="12"/>
  <c r="GJ124" i="12"/>
  <c r="GI124" i="12"/>
  <c r="GJ63" i="12"/>
  <c r="FX63" i="12"/>
  <c r="GI63" i="12"/>
  <c r="GI18" i="12"/>
  <c r="GJ18" i="12"/>
  <c r="FX18" i="12"/>
  <c r="GJ64" i="12"/>
  <c r="GI64" i="12"/>
  <c r="FX64" i="12"/>
  <c r="GI328" i="12"/>
  <c r="GJ328" i="12"/>
  <c r="FX328" i="12"/>
  <c r="FX17" i="12"/>
  <c r="GI17" i="12"/>
  <c r="GJ17" i="12"/>
  <c r="GJ164" i="12"/>
  <c r="GI164" i="12"/>
  <c r="FX164" i="12"/>
  <c r="GJ343" i="12"/>
  <c r="FX343" i="12"/>
  <c r="GI343" i="12"/>
  <c r="GJ297" i="12"/>
  <c r="FX297" i="12"/>
  <c r="GI297" i="12"/>
  <c r="FX192" i="12"/>
  <c r="GI192" i="12"/>
  <c r="GJ192" i="12"/>
  <c r="GI362" i="12"/>
  <c r="FX362" i="12"/>
  <c r="GJ362" i="12"/>
  <c r="GI177" i="12"/>
  <c r="GJ177" i="12"/>
  <c r="FX177" i="12"/>
  <c r="GI319" i="12"/>
  <c r="GJ319" i="12"/>
  <c r="FX319" i="12"/>
  <c r="FX62" i="12"/>
  <c r="GJ62" i="12"/>
  <c r="GI62" i="12"/>
  <c r="GJ390" i="12"/>
  <c r="FX390" i="12"/>
  <c r="GI390" i="12"/>
  <c r="FX348" i="12"/>
  <c r="GJ348" i="12"/>
  <c r="GI348" i="12"/>
  <c r="FX23" i="12"/>
  <c r="GI23" i="12"/>
  <c r="GJ23" i="12"/>
  <c r="GJ279" i="12"/>
  <c r="GI279" i="12"/>
  <c r="FX279" i="12"/>
  <c r="GJ386" i="12"/>
  <c r="GI386" i="12"/>
  <c r="FX386" i="12"/>
  <c r="GJ230" i="12"/>
  <c r="GI230" i="12"/>
  <c r="FX230" i="12"/>
  <c r="GJ373" i="12"/>
  <c r="FX373" i="12"/>
  <c r="GI373" i="12"/>
  <c r="GI60" i="12"/>
  <c r="FX60" i="12"/>
  <c r="GJ60" i="12"/>
  <c r="FX215" i="12"/>
  <c r="GI215" i="12"/>
  <c r="GJ215" i="12"/>
  <c r="GI228" i="12"/>
  <c r="FX228" i="12"/>
  <c r="GJ228" i="12"/>
  <c r="FX327" i="12"/>
  <c r="GJ327" i="12"/>
  <c r="GI327" i="12"/>
  <c r="GJ48" i="12"/>
  <c r="GI48" i="12"/>
  <c r="FX48" i="12"/>
  <c r="GJ280" i="12"/>
  <c r="FX280" i="12"/>
  <c r="GI280" i="12"/>
  <c r="GI338" i="12"/>
  <c r="GJ338" i="12"/>
  <c r="FX338" i="12"/>
  <c r="FX397" i="12"/>
  <c r="GJ397" i="12"/>
  <c r="GI397" i="12"/>
  <c r="GI55" i="12"/>
  <c r="GJ55" i="12"/>
  <c r="FX55" i="12"/>
  <c r="GJ198" i="12"/>
  <c r="FX198" i="12"/>
  <c r="GI198" i="12"/>
  <c r="FX295" i="12"/>
  <c r="GJ295" i="12"/>
  <c r="GI295" i="12"/>
  <c r="GJ178" i="12"/>
  <c r="FX178" i="12"/>
  <c r="GI178" i="12"/>
  <c r="GI160" i="12"/>
  <c r="FX160" i="12"/>
  <c r="GJ160" i="12"/>
  <c r="GJ278" i="12"/>
  <c r="FX278" i="12"/>
  <c r="GI278" i="12"/>
  <c r="GI352" i="12"/>
  <c r="FX352" i="12"/>
  <c r="GJ352" i="12"/>
  <c r="GI45" i="12"/>
  <c r="GJ45" i="12"/>
  <c r="FX45" i="12"/>
  <c r="GI5" i="12"/>
  <c r="FX5" i="12"/>
  <c r="GJ5" i="12"/>
  <c r="GI26" i="12"/>
  <c r="FX26" i="12"/>
  <c r="GJ26" i="12"/>
  <c r="FX169" i="12"/>
  <c r="GI169" i="12"/>
  <c r="GJ169" i="12"/>
  <c r="GJ288" i="12"/>
  <c r="GI288" i="12"/>
  <c r="FX288" i="12"/>
  <c r="FX389" i="12"/>
  <c r="GJ389" i="12"/>
  <c r="GI389" i="12"/>
  <c r="GI132" i="12"/>
  <c r="GJ132" i="12"/>
  <c r="FX132" i="12"/>
  <c r="GJ291" i="12"/>
  <c r="GI291" i="12"/>
  <c r="FX291" i="12"/>
  <c r="GI255" i="12"/>
  <c r="FX255" i="12"/>
  <c r="GJ255" i="12"/>
  <c r="GJ200" i="12"/>
  <c r="GI200" i="12"/>
  <c r="FX200" i="12"/>
  <c r="GI337" i="12"/>
  <c r="FX337" i="12"/>
  <c r="GJ337" i="12"/>
  <c r="GJ163" i="12"/>
  <c r="GI163" i="12"/>
  <c r="FX163" i="12"/>
  <c r="GJ285" i="12"/>
  <c r="FX285" i="12"/>
  <c r="GI285" i="12"/>
  <c r="FX277" i="12"/>
  <c r="GJ277" i="12"/>
  <c r="GI277" i="12"/>
  <c r="GI232" i="12"/>
  <c r="GJ232" i="12"/>
  <c r="FX232" i="12"/>
  <c r="FX75" i="12"/>
  <c r="GJ75" i="12"/>
  <c r="GI75" i="12"/>
  <c r="FX322" i="12"/>
  <c r="GJ322" i="12"/>
  <c r="GI322" i="12"/>
  <c r="GJ286" i="12"/>
  <c r="GI286" i="12"/>
  <c r="FX286" i="12"/>
  <c r="GI335" i="12"/>
  <c r="FX335" i="12"/>
  <c r="GJ335" i="12"/>
  <c r="FX176" i="12"/>
  <c r="GJ176" i="12"/>
  <c r="GI176" i="12"/>
  <c r="GJ349" i="12"/>
  <c r="FX349" i="12"/>
  <c r="GI349" i="12"/>
  <c r="GI235" i="12"/>
  <c r="FX235" i="12"/>
  <c r="GJ235" i="12"/>
  <c r="GJ106" i="12"/>
  <c r="GI106" i="12"/>
  <c r="FX106" i="12"/>
  <c r="GJ51" i="12"/>
  <c r="FX51" i="12"/>
  <c r="GI51" i="12"/>
  <c r="FX388" i="12"/>
  <c r="GJ388" i="12"/>
  <c r="GI388" i="12"/>
  <c r="GJ53" i="12"/>
  <c r="GI53" i="12"/>
  <c r="FX53" i="12"/>
  <c r="FX14" i="12"/>
  <c r="GJ14" i="12"/>
  <c r="GI14" i="12"/>
  <c r="GJ357" i="12"/>
  <c r="FX357" i="12"/>
  <c r="GI357" i="12"/>
  <c r="GI162" i="12"/>
  <c r="GJ162" i="12"/>
  <c r="FX162" i="12"/>
  <c r="FX214" i="12"/>
  <c r="GI214" i="12"/>
  <c r="GJ214" i="12"/>
  <c r="FX34" i="12"/>
  <c r="GJ34" i="12"/>
  <c r="GI34" i="12"/>
  <c r="FX340" i="12"/>
  <c r="GJ340" i="12"/>
  <c r="GI340" i="12"/>
  <c r="GI107" i="12"/>
  <c r="GJ107" i="12"/>
  <c r="FX107" i="12"/>
  <c r="GI262" i="12"/>
  <c r="GJ262" i="12"/>
  <c r="FX262" i="12"/>
  <c r="GJ240" i="12"/>
  <c r="GI240" i="12"/>
  <c r="FX240" i="12"/>
  <c r="FX282" i="12"/>
  <c r="GJ282" i="12"/>
  <c r="GI282" i="12"/>
  <c r="GJ342" i="12"/>
  <c r="FX342" i="12"/>
  <c r="GI342" i="12"/>
  <c r="GJ248" i="12"/>
  <c r="GI248" i="12"/>
  <c r="FX248" i="12"/>
  <c r="FX334" i="12"/>
  <c r="GI334" i="12"/>
  <c r="GJ334" i="12"/>
  <c r="FX250" i="12"/>
  <c r="GI250" i="12"/>
  <c r="GJ250" i="12"/>
  <c r="FX387" i="12"/>
  <c r="GI387" i="12"/>
  <c r="GJ387" i="12"/>
  <c r="GJ242" i="12"/>
  <c r="FX242" i="12"/>
  <c r="GI242" i="12"/>
  <c r="FX226" i="12"/>
  <c r="GJ226" i="12"/>
  <c r="GI226" i="12"/>
  <c r="FX326" i="12"/>
  <c r="GJ326" i="12"/>
  <c r="GI326" i="12"/>
  <c r="FX316" i="12"/>
  <c r="GJ316" i="12"/>
  <c r="GI316" i="12"/>
  <c r="GJ301" i="12"/>
  <c r="FX301" i="12"/>
  <c r="GI301" i="12"/>
  <c r="FX303" i="12"/>
  <c r="GI303" i="12"/>
  <c r="GJ303" i="12"/>
  <c r="GI9" i="12"/>
  <c r="FX9" i="12"/>
  <c r="GJ9" i="12"/>
  <c r="GJ114" i="12"/>
  <c r="GI114" i="12"/>
  <c r="FX114" i="12"/>
  <c r="GI50" i="12"/>
  <c r="FX50" i="12"/>
  <c r="GJ50" i="12"/>
  <c r="GI251" i="12"/>
  <c r="FX251" i="12"/>
  <c r="GJ251" i="12"/>
  <c r="FX41" i="12"/>
  <c r="GI41" i="12"/>
  <c r="GJ41" i="12"/>
  <c r="GI103" i="12"/>
  <c r="FX103" i="12"/>
  <c r="GJ103" i="12"/>
  <c r="FX79" i="12"/>
  <c r="GI79" i="12"/>
  <c r="GJ79" i="12"/>
  <c r="GJ128" i="12"/>
  <c r="GI128" i="12"/>
  <c r="FX128" i="12"/>
  <c r="FX119" i="12"/>
  <c r="GJ119" i="12"/>
  <c r="GI119" i="12"/>
  <c r="GJ91" i="12"/>
  <c r="FX91" i="12"/>
  <c r="GI91" i="12"/>
  <c r="FX89" i="12"/>
  <c r="GI89" i="12"/>
  <c r="GJ89" i="12"/>
  <c r="GI77" i="12"/>
  <c r="GJ77" i="12"/>
  <c r="FX77" i="12"/>
  <c r="GJ21" i="12"/>
  <c r="GI21" i="12"/>
  <c r="FX21" i="12"/>
  <c r="GI239" i="12"/>
  <c r="FX239" i="12"/>
  <c r="GJ239" i="12"/>
  <c r="GJ396" i="12"/>
  <c r="FX396" i="12"/>
  <c r="GI396" i="12"/>
  <c r="GJ229" i="12"/>
  <c r="FX229" i="12"/>
  <c r="GI229" i="12"/>
  <c r="FX168" i="12"/>
  <c r="GJ168" i="12"/>
  <c r="GI168" i="12"/>
  <c r="GJ24" i="12"/>
  <c r="GI24" i="12"/>
  <c r="FX24" i="12"/>
  <c r="FX209" i="12"/>
  <c r="GJ209" i="12"/>
  <c r="GI209" i="12"/>
  <c r="FX293" i="12"/>
  <c r="GI293" i="12"/>
  <c r="GJ293" i="12"/>
  <c r="GJ244" i="12"/>
  <c r="GI244" i="12"/>
  <c r="FX244" i="12"/>
  <c r="FX67" i="12"/>
  <c r="GI67" i="12"/>
  <c r="GJ67" i="12"/>
  <c r="GJ80" i="12"/>
  <c r="GI80" i="12"/>
  <c r="FX80" i="12"/>
  <c r="GI284" i="12"/>
  <c r="FX284" i="12"/>
  <c r="GJ284" i="12"/>
  <c r="GI201" i="12"/>
  <c r="GJ201" i="12"/>
  <c r="FX201" i="12"/>
  <c r="FX76" i="12"/>
  <c r="GJ76" i="12"/>
  <c r="GI76" i="12"/>
  <c r="GI188" i="12"/>
  <c r="FX188" i="12"/>
  <c r="GJ188" i="12"/>
  <c r="GI33" i="12"/>
  <c r="GJ33" i="12"/>
  <c r="FX33" i="12"/>
  <c r="GI203" i="12"/>
  <c r="GJ203" i="12"/>
  <c r="FX203" i="12"/>
  <c r="GJ134" i="12"/>
  <c r="FX134" i="12"/>
  <c r="GI134" i="12"/>
  <c r="GI281" i="12"/>
  <c r="FX281" i="12"/>
  <c r="GJ281" i="12"/>
  <c r="GJ223" i="12"/>
  <c r="GI223" i="12"/>
  <c r="FX223" i="12"/>
  <c r="GJ3" i="12"/>
  <c r="GI3" i="12"/>
  <c r="FX3" i="12"/>
  <c r="FX377" i="12"/>
  <c r="GJ377" i="12"/>
  <c r="GI377" i="12"/>
  <c r="GJ182" i="12"/>
  <c r="GI182" i="12"/>
  <c r="FX182" i="12"/>
  <c r="FX185" i="12"/>
  <c r="GJ185" i="12"/>
  <c r="GI185" i="12"/>
  <c r="GJ243" i="12"/>
  <c r="FX243" i="12"/>
  <c r="GI243" i="12"/>
  <c r="GI287" i="12"/>
  <c r="GJ287" i="12"/>
  <c r="FX287" i="12"/>
  <c r="GI234" i="12"/>
  <c r="FX234" i="12"/>
  <c r="GJ234" i="12"/>
  <c r="FX193" i="12"/>
  <c r="GI193" i="12"/>
  <c r="GJ193" i="12"/>
  <c r="GJ133" i="12"/>
  <c r="FX133" i="12"/>
  <c r="GI133" i="12"/>
  <c r="GJ158" i="12"/>
  <c r="GI158" i="12"/>
  <c r="FX158" i="12"/>
  <c r="FX236" i="12"/>
  <c r="GI236" i="12"/>
  <c r="GJ236" i="12"/>
  <c r="GJ253" i="12"/>
  <c r="GI253" i="12"/>
  <c r="FX253" i="12"/>
  <c r="GI294" i="12"/>
  <c r="FX294" i="12"/>
  <c r="GJ294" i="12"/>
  <c r="GI197" i="12"/>
  <c r="FX197" i="12"/>
  <c r="GJ197" i="12"/>
  <c r="FX173" i="12"/>
  <c r="GJ173" i="12"/>
  <c r="GI173" i="12"/>
  <c r="GI249" i="12"/>
  <c r="GJ249" i="12"/>
  <c r="FX249" i="12"/>
  <c r="GJ332" i="12"/>
  <c r="FX332" i="12"/>
  <c r="GI332" i="12"/>
  <c r="GJ254" i="12"/>
  <c r="GI254" i="12"/>
  <c r="FX254" i="12"/>
  <c r="GI374" i="12"/>
  <c r="FX374" i="12"/>
  <c r="GJ374" i="12"/>
  <c r="GJ37" i="12"/>
  <c r="GI37" i="12"/>
  <c r="FX37" i="12"/>
  <c r="GI376" i="12"/>
  <c r="FX376" i="12"/>
  <c r="GJ376" i="12"/>
  <c r="GJ36" i="12"/>
  <c r="FX36" i="12"/>
  <c r="GI36" i="12"/>
  <c r="GI218" i="12"/>
  <c r="FX218" i="12"/>
  <c r="GJ218" i="12"/>
  <c r="GI298" i="12"/>
  <c r="GJ298" i="12"/>
  <c r="FX298" i="12"/>
  <c r="FX392" i="12"/>
  <c r="GI392" i="12"/>
  <c r="GJ392" i="12"/>
  <c r="GI259" i="12"/>
  <c r="FX259" i="12"/>
  <c r="GJ259" i="12"/>
  <c r="FX194" i="12"/>
  <c r="GI194" i="12"/>
  <c r="GJ194" i="12"/>
  <c r="GJ300" i="12"/>
  <c r="GI300" i="12"/>
  <c r="FX300" i="12"/>
  <c r="GI347" i="12"/>
  <c r="FX347" i="12"/>
  <c r="GJ347" i="12"/>
  <c r="FX115" i="12"/>
  <c r="GI115" i="12"/>
  <c r="GJ115" i="12"/>
  <c r="FX143" i="12"/>
  <c r="GJ143" i="12"/>
  <c r="GI143" i="12"/>
  <c r="FX216" i="12"/>
  <c r="GI216" i="12"/>
  <c r="GJ216" i="12"/>
  <c r="FX78" i="12"/>
  <c r="GI78" i="12"/>
  <c r="GJ78" i="12"/>
  <c r="GJ370" i="12"/>
  <c r="GI370" i="12"/>
  <c r="FX370" i="12"/>
  <c r="GI165" i="12"/>
  <c r="FX165" i="12"/>
  <c r="GJ165" i="12"/>
  <c r="GI359" i="12"/>
  <c r="GJ359" i="12"/>
  <c r="FX359" i="12"/>
  <c r="FX372" i="12"/>
  <c r="GI372" i="12"/>
  <c r="GJ372" i="12"/>
  <c r="GI241" i="12"/>
  <c r="GJ241" i="12"/>
  <c r="FX241" i="12"/>
  <c r="GJ323" i="12"/>
  <c r="GI323" i="12"/>
  <c r="FX323" i="12"/>
  <c r="GJ273" i="12"/>
  <c r="FX273" i="12"/>
  <c r="GI273" i="12"/>
  <c r="GI47" i="12"/>
  <c r="FX47" i="12"/>
  <c r="GJ47" i="12"/>
  <c r="GJ247" i="12"/>
  <c r="FX247" i="12"/>
  <c r="GI247" i="12"/>
  <c r="GJ68" i="12"/>
  <c r="GI68" i="12"/>
  <c r="FX68" i="12"/>
  <c r="GJ52" i="12"/>
  <c r="FX52" i="12"/>
  <c r="GI52" i="12"/>
  <c r="GJ210" i="12"/>
  <c r="GI210" i="12"/>
  <c r="FX210" i="12"/>
  <c r="GI371" i="12"/>
  <c r="FX371" i="12"/>
  <c r="GJ371" i="12"/>
  <c r="GJ356" i="12"/>
  <c r="FX356" i="12"/>
  <c r="GI356" i="12"/>
  <c r="FX394" i="12"/>
  <c r="GI394" i="12"/>
  <c r="GJ394" i="12"/>
  <c r="GJ130" i="12"/>
  <c r="FX130" i="12"/>
  <c r="GI130" i="12"/>
  <c r="FX258" i="12"/>
  <c r="GI258" i="12"/>
  <c r="GJ258" i="12"/>
  <c r="FX29" i="12"/>
  <c r="GI29" i="12"/>
  <c r="GJ29" i="12"/>
  <c r="FX10" i="12"/>
  <c r="GI10" i="12"/>
  <c r="GJ10" i="12"/>
  <c r="GI181" i="12"/>
  <c r="FX181" i="12"/>
  <c r="GJ181" i="12"/>
  <c r="GJ19" i="12"/>
  <c r="GI19" i="12"/>
  <c r="FX19" i="12"/>
  <c r="GJ81" i="12"/>
  <c r="FX81" i="12"/>
  <c r="GI81" i="12"/>
  <c r="GI66" i="12"/>
  <c r="FX66" i="12"/>
  <c r="GJ66" i="12"/>
  <c r="GI385" i="12"/>
  <c r="GJ385" i="12"/>
  <c r="FX385" i="12"/>
  <c r="FX274" i="12"/>
  <c r="GI274" i="12"/>
  <c r="GJ274" i="12"/>
  <c r="FX369" i="12"/>
  <c r="GI369" i="12"/>
  <c r="GJ369" i="12"/>
  <c r="GJ360" i="12"/>
  <c r="GI360" i="12"/>
  <c r="FX360" i="12"/>
  <c r="FX366" i="12"/>
  <c r="GJ366" i="12"/>
  <c r="GI366" i="12"/>
  <c r="GI318" i="12"/>
  <c r="FX318" i="12"/>
  <c r="GJ318" i="12"/>
  <c r="GI299" i="12"/>
  <c r="GJ299" i="12"/>
  <c r="FX299" i="12"/>
  <c r="GJ202" i="12"/>
  <c r="FX202" i="12"/>
  <c r="GI202" i="12"/>
  <c r="GI195" i="12"/>
  <c r="GJ195" i="12"/>
  <c r="FX195" i="12"/>
  <c r="GI312" i="12"/>
  <c r="FX312" i="12"/>
  <c r="GJ312" i="12"/>
  <c r="GJ88" i="12"/>
  <c r="GI88" i="12"/>
  <c r="FX88" i="12"/>
  <c r="GI110" i="12"/>
  <c r="GJ110" i="12"/>
  <c r="FX110" i="12"/>
  <c r="GI123" i="12"/>
  <c r="FX123" i="12"/>
  <c r="GJ123" i="12"/>
  <c r="GJ117" i="12"/>
  <c r="GI117" i="12"/>
  <c r="FX117" i="12"/>
  <c r="GJ125" i="12"/>
  <c r="GI125" i="12"/>
  <c r="FX125" i="12"/>
  <c r="FX127" i="12"/>
  <c r="GI127" i="12"/>
  <c r="GJ127" i="12"/>
  <c r="CZ2285" i="12"/>
  <c r="DC2285" i="12" l="1"/>
  <c r="DB2285" i="12"/>
  <c r="DF2284" i="12" s="1"/>
  <c r="DD2285" i="12"/>
  <c r="DE2285" i="12"/>
  <c r="DA2285" i="12"/>
  <c r="FX1" i="12"/>
  <c r="CZ2286" i="12"/>
  <c r="DE2286" i="12" l="1"/>
  <c r="DB2286" i="12"/>
  <c r="DF2285" i="12" s="1"/>
  <c r="DA2286" i="12"/>
  <c r="DC2286" i="12"/>
  <c r="DD2286" i="12"/>
  <c r="FY141" i="12"/>
  <c r="FY279" i="12"/>
  <c r="FY38" i="12"/>
  <c r="FY148" i="12"/>
  <c r="FY100" i="12"/>
  <c r="FY385" i="12"/>
  <c r="FY169" i="12"/>
  <c r="FY45" i="12"/>
  <c r="FY198" i="12"/>
  <c r="FY374" i="12"/>
  <c r="FY264" i="12"/>
  <c r="FY227" i="12"/>
  <c r="FY184" i="12"/>
  <c r="FY183" i="12"/>
  <c r="FY315" i="12"/>
  <c r="FY245" i="12"/>
  <c r="FY174" i="12"/>
  <c r="FY200" i="12"/>
  <c r="FY393" i="12"/>
  <c r="FY92" i="12"/>
  <c r="FY186" i="12"/>
  <c r="FY237" i="12"/>
  <c r="FY9" i="12"/>
  <c r="FY277" i="12"/>
  <c r="FY327" i="12"/>
  <c r="FY88" i="12"/>
  <c r="FY138" i="12"/>
  <c r="FY241" i="12"/>
  <c r="FY150" i="12"/>
  <c r="FY156" i="12"/>
  <c r="GC156" i="12" s="1"/>
  <c r="FY270" i="12"/>
  <c r="FY388" i="12"/>
  <c r="FY105" i="12"/>
  <c r="FY168" i="12"/>
  <c r="FY160" i="12"/>
  <c r="FY60" i="12"/>
  <c r="FY273" i="12"/>
  <c r="FY216" i="12"/>
  <c r="FY137" i="12"/>
  <c r="FY351" i="12"/>
  <c r="FY123" i="12"/>
  <c r="FY87" i="12"/>
  <c r="FY357" i="12"/>
  <c r="FY262" i="12"/>
  <c r="FY384" i="12"/>
  <c r="FY346" i="12"/>
  <c r="FY153" i="12"/>
  <c r="FY209" i="12"/>
  <c r="FY263" i="12"/>
  <c r="FY260" i="12"/>
  <c r="FY354" i="12"/>
  <c r="FY151" i="12"/>
  <c r="FY5" i="12"/>
  <c r="FY214" i="12"/>
  <c r="FY373" i="12"/>
  <c r="FY106" i="12"/>
  <c r="FY337" i="12"/>
  <c r="FY371" i="12"/>
  <c r="FY116" i="12"/>
  <c r="GC116" i="12" s="1"/>
  <c r="FY157" i="12"/>
  <c r="FY77" i="12"/>
  <c r="FY58" i="12"/>
  <c r="FY120" i="12"/>
  <c r="FY257" i="12"/>
  <c r="FY246" i="12"/>
  <c r="FY118" i="12"/>
  <c r="GC118" i="12" s="1"/>
  <c r="FY390" i="12"/>
  <c r="FY62" i="12"/>
  <c r="FY392" i="12"/>
  <c r="FY294" i="12"/>
  <c r="FY34" i="12"/>
  <c r="FY314" i="12"/>
  <c r="FY142" i="12"/>
  <c r="FY331" i="12"/>
  <c r="FY99" i="12"/>
  <c r="FY313" i="12"/>
  <c r="FY193" i="12"/>
  <c r="FY89" i="12"/>
  <c r="GC89" i="12" s="1"/>
  <c r="FY187" i="12"/>
  <c r="FY145" i="12"/>
  <c r="GC145" i="12" s="1"/>
  <c r="FY166" i="12"/>
  <c r="FY364" i="12"/>
  <c r="FY47" i="12"/>
  <c r="FY378" i="12"/>
  <c r="FY223" i="12"/>
  <c r="FY67" i="12"/>
  <c r="FY285" i="12"/>
  <c r="FY54" i="12"/>
  <c r="FY322" i="12"/>
  <c r="FY361" i="12"/>
  <c r="FY253" i="12"/>
  <c r="FY197" i="12"/>
  <c r="FY375" i="12"/>
  <c r="FY267" i="12"/>
  <c r="FY80" i="12"/>
  <c r="GC80" i="12" s="1"/>
  <c r="FY248" i="12"/>
  <c r="FY224" i="12"/>
  <c r="FY328" i="12"/>
  <c r="FY308" i="12"/>
  <c r="FY325" i="12"/>
  <c r="FY164" i="12"/>
  <c r="FY305" i="12"/>
  <c r="FY35" i="12"/>
  <c r="FY398" i="12"/>
  <c r="FY149" i="12"/>
  <c r="FY244" i="12"/>
  <c r="FY6" i="12"/>
  <c r="FY234" i="12"/>
  <c r="FY355" i="12"/>
  <c r="FY289" i="12"/>
  <c r="FY379" i="12"/>
  <c r="FY360" i="12"/>
  <c r="FY334" i="12"/>
  <c r="FY133" i="12"/>
  <c r="FY265" i="12"/>
  <c r="FY283" i="12"/>
  <c r="FY107" i="12"/>
  <c r="FY132" i="12"/>
  <c r="FY29" i="12"/>
  <c r="FY352" i="12"/>
  <c r="FY298" i="12"/>
  <c r="FY301" i="12"/>
  <c r="FY188" i="12"/>
  <c r="FY69" i="12"/>
  <c r="GC69" i="12" s="1"/>
  <c r="FY101" i="12"/>
  <c r="FY8" i="12"/>
  <c r="FY286" i="12"/>
  <c r="FY318" i="12"/>
  <c r="FY20" i="12"/>
  <c r="FY172" i="12"/>
  <c r="FY102" i="12"/>
  <c r="FY242" i="12"/>
  <c r="FY13" i="12"/>
  <c r="FY233" i="12"/>
  <c r="FY104" i="12"/>
  <c r="FY126" i="12"/>
  <c r="FY68" i="12"/>
  <c r="FY185" i="12"/>
  <c r="GC185" i="12" s="1"/>
  <c r="FY363" i="12"/>
  <c r="FY136" i="12"/>
  <c r="FY326" i="12"/>
  <c r="FY268" i="12"/>
  <c r="FY356" i="12"/>
  <c r="FY333" i="12"/>
  <c r="FY32" i="12"/>
  <c r="FY238" i="12"/>
  <c r="FY122" i="12"/>
  <c r="FY182" i="12"/>
  <c r="FY195" i="12"/>
  <c r="FY154" i="12"/>
  <c r="FY181" i="12"/>
  <c r="FY330" i="12"/>
  <c r="FY22" i="12"/>
  <c r="FY399" i="12"/>
  <c r="FY317" i="12"/>
  <c r="FY93" i="12"/>
  <c r="FY255" i="12"/>
  <c r="FY61" i="12"/>
  <c r="FY365" i="12"/>
  <c r="FY247" i="12"/>
  <c r="FY210" i="12"/>
  <c r="FY339" i="12"/>
  <c r="FY130" i="12"/>
  <c r="FY217" i="12"/>
  <c r="FY369" i="12"/>
  <c r="FY179" i="12"/>
  <c r="FY252" i="12"/>
  <c r="FY389" i="12"/>
  <c r="FY173" i="12"/>
  <c r="FY221" i="12"/>
  <c r="FY266" i="12"/>
  <c r="FY222" i="12"/>
  <c r="FY293" i="12"/>
  <c r="FY372" i="12"/>
  <c r="FY17" i="12"/>
  <c r="FY284" i="12"/>
  <c r="FY110" i="12"/>
  <c r="FY347" i="12"/>
  <c r="FY71" i="12"/>
  <c r="GC71" i="12" s="1"/>
  <c r="FY309" i="12"/>
  <c r="FY228" i="12"/>
  <c r="FY202" i="12"/>
  <c r="FY66" i="12"/>
  <c r="FY344" i="12"/>
  <c r="FY220" i="12"/>
  <c r="FY291" i="12"/>
  <c r="FY271" i="12"/>
  <c r="FY152" i="12"/>
  <c r="FY201" i="12"/>
  <c r="FY143" i="12"/>
  <c r="FY275" i="12"/>
  <c r="FY82" i="12"/>
  <c r="GC82" i="12" s="1"/>
  <c r="FY180" i="12"/>
  <c r="FY387" i="12"/>
  <c r="FY27" i="12"/>
  <c r="FY111" i="12"/>
  <c r="GC111" i="12" s="1"/>
  <c r="FY21" i="12"/>
  <c r="FY73" i="12"/>
  <c r="FY381" i="12"/>
  <c r="FY332" i="12"/>
  <c r="FY342" i="12"/>
  <c r="FY10" i="12"/>
  <c r="FY343" i="12"/>
  <c r="FY311" i="12"/>
  <c r="FY353" i="12"/>
  <c r="FY44" i="12"/>
  <c r="FY48" i="12"/>
  <c r="FY302" i="12"/>
  <c r="FY243" i="12"/>
  <c r="FY295" i="12"/>
  <c r="FY81" i="12"/>
  <c r="GC81" i="12" s="1"/>
  <c r="FY42" i="12"/>
  <c r="FY90" i="12"/>
  <c r="GC90" i="12" s="1"/>
  <c r="FY40" i="12"/>
  <c r="FY37" i="12"/>
  <c r="FY64" i="12"/>
  <c r="FY341" i="12"/>
  <c r="FY383" i="12"/>
  <c r="FY134" i="12"/>
  <c r="FY65" i="12"/>
  <c r="FY323" i="12"/>
  <c r="FY18" i="12"/>
  <c r="FY226" i="12"/>
  <c r="FY75" i="12"/>
  <c r="FY135" i="12"/>
  <c r="FY16" i="12"/>
  <c r="FY121" i="12"/>
  <c r="GC121" i="12" s="1"/>
  <c r="FY57" i="12"/>
  <c r="FY128" i="12"/>
  <c r="FY147" i="12"/>
  <c r="FY55" i="12"/>
  <c r="FY49" i="12"/>
  <c r="FY269" i="12"/>
  <c r="FY194" i="12"/>
  <c r="FY25" i="12"/>
  <c r="FY348" i="12"/>
  <c r="FY23" i="12"/>
  <c r="FY63" i="12"/>
  <c r="FY281" i="12"/>
  <c r="FY178" i="12"/>
  <c r="FY79" i="12"/>
  <c r="GC79" i="12" s="1"/>
  <c r="FY84" i="12"/>
  <c r="GC84" i="12" s="1"/>
  <c r="FY108" i="12"/>
  <c r="FY56" i="12"/>
  <c r="FY304" i="12"/>
  <c r="FY51" i="12"/>
  <c r="FY338" i="12"/>
  <c r="FY250" i="12"/>
  <c r="FY177" i="12"/>
  <c r="FY349" i="12"/>
  <c r="FY213" i="12"/>
  <c r="FY249" i="12"/>
  <c r="FY359" i="12"/>
  <c r="FY215" i="12"/>
  <c r="FY335" i="12"/>
  <c r="FY218" i="12"/>
  <c r="FY52" i="12"/>
  <c r="FY114" i="12"/>
  <c r="GC114" i="12" s="1"/>
  <c r="FY83" i="12"/>
  <c r="FY208" i="12"/>
  <c r="FY78" i="12"/>
  <c r="FY278" i="12"/>
  <c r="FY158" i="12"/>
  <c r="FY24" i="12"/>
  <c r="FY320" i="12"/>
  <c r="FY33" i="12"/>
  <c r="FY400" i="12"/>
  <c r="FY362" i="12"/>
  <c r="FY97" i="12"/>
  <c r="FY229" i="12"/>
  <c r="FY211" i="12"/>
  <c r="FY366" i="12"/>
  <c r="FY397" i="12"/>
  <c r="FY43" i="12"/>
  <c r="FY310" i="12"/>
  <c r="FY41" i="12"/>
  <c r="FY125" i="12"/>
  <c r="FY3" i="12"/>
  <c r="FY163" i="12"/>
  <c r="FY206" i="12"/>
  <c r="FY12" i="12"/>
  <c r="FY240" i="12"/>
  <c r="FY19" i="12"/>
  <c r="FY191" i="12"/>
  <c r="FY59" i="12"/>
  <c r="FY171" i="12"/>
  <c r="FY129" i="12"/>
  <c r="FY124" i="12"/>
  <c r="FY162" i="12"/>
  <c r="FY192" i="12"/>
  <c r="FY321" i="12"/>
  <c r="FY300" i="12"/>
  <c r="FY287" i="12"/>
  <c r="FY28" i="12"/>
  <c r="FY74" i="12"/>
  <c r="FY336" i="12"/>
  <c r="FY161" i="12"/>
  <c r="FY76" i="12"/>
  <c r="FY282" i="12"/>
  <c r="FY396" i="12"/>
  <c r="FY231" i="12"/>
  <c r="FY72" i="12"/>
  <c r="FY203" i="12"/>
  <c r="FY127" i="12"/>
  <c r="FY358" i="12"/>
  <c r="FY103" i="12"/>
  <c r="FY11" i="12"/>
  <c r="FY235" i="12"/>
  <c r="FY144" i="12"/>
  <c r="FY113" i="12"/>
  <c r="GC113" i="12" s="1"/>
  <c r="FY307" i="12"/>
  <c r="FY296" i="12"/>
  <c r="FY236" i="12"/>
  <c r="FY31" i="12"/>
  <c r="FY376" i="12"/>
  <c r="FY303" i="12"/>
  <c r="FY377" i="12"/>
  <c r="FY119" i="12"/>
  <c r="FY306" i="12"/>
  <c r="FY219" i="12"/>
  <c r="FY50" i="12"/>
  <c r="FY386" i="12"/>
  <c r="FY4" i="12"/>
  <c r="FY190" i="12"/>
  <c r="FY109" i="12"/>
  <c r="GC109" i="12" s="1"/>
  <c r="FY367" i="12"/>
  <c r="FY316" i="12"/>
  <c r="FY207" i="12"/>
  <c r="FY340" i="12"/>
  <c r="FY117" i="12"/>
  <c r="GC117" i="12" s="1"/>
  <c r="FY85" i="12"/>
  <c r="FY370" i="12"/>
  <c r="FY94" i="12"/>
  <c r="FY274" i="12"/>
  <c r="FY391" i="12"/>
  <c r="FY254" i="12"/>
  <c r="FY165" i="12"/>
  <c r="FY380" i="12"/>
  <c r="FY46" i="12"/>
  <c r="FY239" i="12"/>
  <c r="FY225" i="12"/>
  <c r="FY14" i="12"/>
  <c r="GC14" i="12" s="1"/>
  <c r="FY15" i="12"/>
  <c r="FY394" i="12"/>
  <c r="FY251" i="12"/>
  <c r="FY345" i="12"/>
  <c r="FY140" i="12"/>
  <c r="FY368" i="12"/>
  <c r="FY139" i="12"/>
  <c r="FY159" i="12"/>
  <c r="FY280" i="12"/>
  <c r="FY329" i="12"/>
  <c r="FY196" i="12"/>
  <c r="FY292" i="12"/>
  <c r="FY272" i="12"/>
  <c r="FY288" i="12"/>
  <c r="FY199" i="12"/>
  <c r="FY39" i="12"/>
  <c r="FY212" i="12"/>
  <c r="FY324" i="12"/>
  <c r="FY204" i="12"/>
  <c r="FY155" i="12"/>
  <c r="FY131" i="12"/>
  <c r="FY232" i="12"/>
  <c r="FY95" i="12"/>
  <c r="FY256" i="12"/>
  <c r="FY189" i="12"/>
  <c r="FY176" i="12"/>
  <c r="FY382" i="12"/>
  <c r="FY170" i="12"/>
  <c r="FY319" i="12"/>
  <c r="FY146" i="12"/>
  <c r="GC146" i="12" s="1"/>
  <c r="FY7" i="12"/>
  <c r="FY26" i="12"/>
  <c r="FY276" i="12"/>
  <c r="FY36" i="12"/>
  <c r="FY53" i="12"/>
  <c r="FY175" i="12"/>
  <c r="FY350" i="12"/>
  <c r="FY91" i="12"/>
  <c r="FY312" i="12"/>
  <c r="FY395" i="12"/>
  <c r="FY205" i="12"/>
  <c r="FY297" i="12"/>
  <c r="FY30" i="12"/>
  <c r="FY96" i="12"/>
  <c r="FY112" i="12"/>
  <c r="GC112" i="12" s="1"/>
  <c r="FY167" i="12"/>
  <c r="FY98" i="12"/>
  <c r="FY115" i="12"/>
  <c r="GC115" i="12" s="1"/>
  <c r="FY290" i="12"/>
  <c r="FY259" i="12"/>
  <c r="FY299" i="12"/>
  <c r="FY230" i="12"/>
  <c r="FY86" i="12"/>
  <c r="FY258" i="12"/>
  <c r="FY70" i="12"/>
  <c r="FY261" i="12"/>
  <c r="CZ2287" i="12"/>
  <c r="DA2287" i="12" l="1"/>
  <c r="DB2287" i="12"/>
  <c r="DF2286" i="12" s="1"/>
  <c r="DD2287" i="12"/>
  <c r="DE2287" i="12"/>
  <c r="DC2287" i="12"/>
  <c r="FZ299" i="12"/>
  <c r="GC299" i="12"/>
  <c r="GC95" i="12"/>
  <c r="FZ196" i="12"/>
  <c r="GC196" i="12"/>
  <c r="FZ139" i="12"/>
  <c r="GC139" i="12"/>
  <c r="FZ251" i="12"/>
  <c r="GC251" i="12"/>
  <c r="FZ225" i="12"/>
  <c r="GC225" i="12"/>
  <c r="FZ165" i="12"/>
  <c r="GC165" i="12"/>
  <c r="GC94" i="12"/>
  <c r="FZ340" i="12"/>
  <c r="GC340" i="12"/>
  <c r="FZ50" i="12"/>
  <c r="GC50" i="12"/>
  <c r="FZ377" i="12"/>
  <c r="GC377" i="12"/>
  <c r="FZ236" i="12"/>
  <c r="GC236" i="12"/>
  <c r="FZ144" i="12"/>
  <c r="FZ145" i="12" s="1"/>
  <c r="FZ146" i="12" s="1"/>
  <c r="GC144" i="12"/>
  <c r="FZ358" i="12"/>
  <c r="GC358" i="12"/>
  <c r="FZ231" i="12"/>
  <c r="GC231" i="12"/>
  <c r="GC161" i="12"/>
  <c r="FZ161" i="12"/>
  <c r="FZ287" i="12"/>
  <c r="GC287" i="12"/>
  <c r="FZ162" i="12"/>
  <c r="GC162" i="12"/>
  <c r="FZ59" i="12"/>
  <c r="GC59" i="12"/>
  <c r="FZ12" i="12"/>
  <c r="GC12" i="12"/>
  <c r="FZ125" i="12"/>
  <c r="GC125" i="12"/>
  <c r="FZ397" i="12"/>
  <c r="GC397" i="12"/>
  <c r="GC97" i="12"/>
  <c r="FZ320" i="12"/>
  <c r="GC320" i="12"/>
  <c r="GC78" i="12"/>
  <c r="FZ78" i="12"/>
  <c r="FZ52" i="12"/>
  <c r="GC52" i="12"/>
  <c r="FZ359" i="12"/>
  <c r="GC359" i="12"/>
  <c r="GC177" i="12"/>
  <c r="FZ304" i="12"/>
  <c r="GC304" i="12"/>
  <c r="GC23" i="12"/>
  <c r="FZ269" i="12"/>
  <c r="GC269" i="12"/>
  <c r="FZ128" i="12"/>
  <c r="GC128" i="12"/>
  <c r="FZ135" i="12"/>
  <c r="GC135" i="12"/>
  <c r="FZ323" i="12"/>
  <c r="GC323" i="12"/>
  <c r="FZ341" i="12"/>
  <c r="GC341" i="12"/>
  <c r="FZ243" i="12"/>
  <c r="GC243" i="12"/>
  <c r="FZ353" i="12"/>
  <c r="GC353" i="12"/>
  <c r="FZ342" i="12"/>
  <c r="GC342" i="12"/>
  <c r="GC21" i="12"/>
  <c r="GC180" i="12"/>
  <c r="FZ201" i="12"/>
  <c r="GC201" i="12"/>
  <c r="FZ220" i="12"/>
  <c r="GC220" i="12"/>
  <c r="FZ228" i="12"/>
  <c r="GC228" i="12"/>
  <c r="FZ110" i="12"/>
  <c r="FZ111" i="12" s="1"/>
  <c r="FZ112" i="12" s="1"/>
  <c r="FZ113" i="12" s="1"/>
  <c r="FZ114" i="12" s="1"/>
  <c r="FZ115" i="12" s="1"/>
  <c r="FZ116" i="12" s="1"/>
  <c r="FZ117" i="12" s="1"/>
  <c r="FZ118" i="12" s="1"/>
  <c r="GC110" i="12"/>
  <c r="FZ293" i="12"/>
  <c r="GC293" i="12"/>
  <c r="FZ173" i="12"/>
  <c r="GC173" i="12"/>
  <c r="FZ369" i="12"/>
  <c r="GC369" i="12"/>
  <c r="FZ210" i="12"/>
  <c r="GC210" i="12"/>
  <c r="FZ255" i="12"/>
  <c r="GC255" i="12"/>
  <c r="GC22" i="12"/>
  <c r="FZ195" i="12"/>
  <c r="GC195" i="12"/>
  <c r="FZ32" i="12"/>
  <c r="GC32" i="12"/>
  <c r="FZ326" i="12"/>
  <c r="GC326" i="12"/>
  <c r="GC68" i="12"/>
  <c r="FZ13" i="12"/>
  <c r="FZ14" i="12" s="1"/>
  <c r="GC13" i="12"/>
  <c r="GC20" i="12"/>
  <c r="FZ20" i="12"/>
  <c r="FZ101" i="12"/>
  <c r="GC101" i="12"/>
  <c r="FZ298" i="12"/>
  <c r="GC298" i="12"/>
  <c r="FZ107" i="12"/>
  <c r="GC107" i="12"/>
  <c r="FZ334" i="12"/>
  <c r="GC334" i="12"/>
  <c r="FZ355" i="12"/>
  <c r="GC355" i="12"/>
  <c r="FZ149" i="12"/>
  <c r="GC149" i="12"/>
  <c r="FZ164" i="12"/>
  <c r="GC164" i="12"/>
  <c r="FZ224" i="12"/>
  <c r="GC224" i="12"/>
  <c r="FZ375" i="12"/>
  <c r="GC375" i="12"/>
  <c r="FZ322" i="12"/>
  <c r="GC322" i="12"/>
  <c r="FZ223" i="12"/>
  <c r="GC223" i="12"/>
  <c r="FZ166" i="12"/>
  <c r="GC166" i="12"/>
  <c r="FZ193" i="12"/>
  <c r="GC193" i="12"/>
  <c r="FZ142" i="12"/>
  <c r="GC142" i="12"/>
  <c r="FZ392" i="12"/>
  <c r="GC392" i="12"/>
  <c r="FZ246" i="12"/>
  <c r="GC246" i="12"/>
  <c r="FZ77" i="12"/>
  <c r="GC77" i="12"/>
  <c r="FZ337" i="12"/>
  <c r="GC337" i="12"/>
  <c r="GC5" i="12"/>
  <c r="FZ263" i="12"/>
  <c r="GC263" i="12"/>
  <c r="FZ384" i="12"/>
  <c r="GC384" i="12"/>
  <c r="FZ123" i="12"/>
  <c r="GC123" i="12"/>
  <c r="FZ273" i="12"/>
  <c r="GC273" i="12"/>
  <c r="FZ105" i="12"/>
  <c r="GC105" i="12"/>
  <c r="FZ150" i="12"/>
  <c r="GC150" i="12"/>
  <c r="FZ327" i="12"/>
  <c r="GC327" i="12"/>
  <c r="FZ186" i="12"/>
  <c r="GC186" i="12"/>
  <c r="FZ174" i="12"/>
  <c r="GC174" i="12"/>
  <c r="GC184" i="12"/>
  <c r="FZ198" i="12"/>
  <c r="GC198" i="12"/>
  <c r="FZ100" i="12"/>
  <c r="GC100" i="12"/>
  <c r="FZ141" i="12"/>
  <c r="GC141" i="12"/>
  <c r="FZ39" i="12"/>
  <c r="GC39" i="12"/>
  <c r="FZ274" i="12"/>
  <c r="GC274" i="12"/>
  <c r="FZ386" i="12"/>
  <c r="GC386" i="12"/>
  <c r="FZ119" i="12"/>
  <c r="GC119" i="12"/>
  <c r="FZ31" i="12"/>
  <c r="GC31" i="12"/>
  <c r="FZ103" i="12"/>
  <c r="GC103" i="12"/>
  <c r="GC72" i="12"/>
  <c r="GC76" i="12"/>
  <c r="FZ28" i="12"/>
  <c r="GC28" i="12"/>
  <c r="FZ192" i="12"/>
  <c r="GC192" i="12"/>
  <c r="FZ171" i="12"/>
  <c r="GC171" i="12"/>
  <c r="FZ240" i="12"/>
  <c r="GC240" i="12"/>
  <c r="FZ3" i="12"/>
  <c r="FZ4" i="12" s="1"/>
  <c r="FZ5" i="12" s="1"/>
  <c r="GC3" i="12"/>
  <c r="FZ43" i="12"/>
  <c r="GC43" i="12"/>
  <c r="FZ229" i="12"/>
  <c r="GC229" i="12"/>
  <c r="FZ33" i="12"/>
  <c r="GC33" i="12"/>
  <c r="FZ278" i="12"/>
  <c r="GC278" i="12"/>
  <c r="FZ215" i="12"/>
  <c r="GC215" i="12"/>
  <c r="FZ349" i="12"/>
  <c r="GC349" i="12"/>
  <c r="FZ51" i="12"/>
  <c r="GC51" i="12"/>
  <c r="FZ63" i="12"/>
  <c r="GC63" i="12"/>
  <c r="FZ194" i="12"/>
  <c r="GC194" i="12"/>
  <c r="FZ147" i="12"/>
  <c r="GC147" i="12"/>
  <c r="FZ16" i="12"/>
  <c r="GC16" i="12"/>
  <c r="GC18" i="12"/>
  <c r="FZ383" i="12"/>
  <c r="GC383" i="12"/>
  <c r="FZ40" i="12"/>
  <c r="GC40" i="12"/>
  <c r="FZ295" i="12"/>
  <c r="GC295" i="12"/>
  <c r="FZ44" i="12"/>
  <c r="GC44" i="12"/>
  <c r="FZ10" i="12"/>
  <c r="GC10" i="12"/>
  <c r="GC73" i="12"/>
  <c r="FZ387" i="12"/>
  <c r="GC387" i="12"/>
  <c r="FZ143" i="12"/>
  <c r="GC143" i="12"/>
  <c r="FZ291" i="12"/>
  <c r="GC291" i="12"/>
  <c r="FZ202" i="12"/>
  <c r="GC202" i="12"/>
  <c r="FZ347" i="12"/>
  <c r="GC347" i="12"/>
  <c r="FZ372" i="12"/>
  <c r="GC372" i="12"/>
  <c r="FZ221" i="12"/>
  <c r="GC221" i="12"/>
  <c r="GC179" i="12"/>
  <c r="FZ339" i="12"/>
  <c r="GC339" i="12"/>
  <c r="FZ61" i="12"/>
  <c r="GC61" i="12"/>
  <c r="FZ399" i="12"/>
  <c r="GC399" i="12"/>
  <c r="GC154" i="12"/>
  <c r="FZ238" i="12"/>
  <c r="GC238" i="12"/>
  <c r="FZ268" i="12"/>
  <c r="GC268" i="12"/>
  <c r="FZ233" i="12"/>
  <c r="GC233" i="12"/>
  <c r="FZ172" i="12"/>
  <c r="GC172" i="12"/>
  <c r="FZ8" i="12"/>
  <c r="GC8" i="12"/>
  <c r="FZ301" i="12"/>
  <c r="GC301" i="12"/>
  <c r="FZ132" i="12"/>
  <c r="GC132" i="12"/>
  <c r="FZ133" i="12"/>
  <c r="GC133" i="12"/>
  <c r="FZ289" i="12"/>
  <c r="GC289" i="12"/>
  <c r="FZ244" i="12"/>
  <c r="GC244" i="12"/>
  <c r="FZ305" i="12"/>
  <c r="GC305" i="12"/>
  <c r="FZ328" i="12"/>
  <c r="GC328" i="12"/>
  <c r="FZ267" i="12"/>
  <c r="GC267" i="12"/>
  <c r="FZ361" i="12"/>
  <c r="GC361" i="12"/>
  <c r="GC67" i="12"/>
  <c r="FZ364" i="12"/>
  <c r="GC364" i="12"/>
  <c r="FZ331" i="12"/>
  <c r="GC331" i="12"/>
  <c r="FZ294" i="12"/>
  <c r="GC294" i="12"/>
  <c r="FZ58" i="12"/>
  <c r="GC58" i="12"/>
  <c r="FZ371" i="12"/>
  <c r="GC371" i="12"/>
  <c r="FZ214" i="12"/>
  <c r="GC214" i="12"/>
  <c r="FZ260" i="12"/>
  <c r="GC260" i="12"/>
  <c r="FZ346" i="12"/>
  <c r="GC346" i="12"/>
  <c r="GC87" i="12"/>
  <c r="FZ216" i="12"/>
  <c r="GC216" i="12"/>
  <c r="FZ168" i="12"/>
  <c r="GC168" i="12"/>
  <c r="GC88" i="12"/>
  <c r="FZ237" i="12"/>
  <c r="GC237" i="12"/>
  <c r="FZ200" i="12"/>
  <c r="GC200" i="12"/>
  <c r="GC183" i="12"/>
  <c r="FZ374" i="12"/>
  <c r="GC374" i="12"/>
  <c r="FZ385" i="12"/>
  <c r="GC385" i="12"/>
  <c r="FZ279" i="12"/>
  <c r="GC279" i="12"/>
  <c r="FZ98" i="12"/>
  <c r="GC98" i="12"/>
  <c r="FZ53" i="12"/>
  <c r="GC53" i="12"/>
  <c r="FZ382" i="12"/>
  <c r="GC382" i="12"/>
  <c r="FZ199" i="12"/>
  <c r="GC199" i="12"/>
  <c r="FZ230" i="12"/>
  <c r="GC230" i="12"/>
  <c r="GC96" i="12"/>
  <c r="FZ175" i="12"/>
  <c r="GC175" i="12"/>
  <c r="FZ170" i="12"/>
  <c r="GC170" i="12"/>
  <c r="FZ155" i="12"/>
  <c r="GC155" i="12"/>
  <c r="GC159" i="12"/>
  <c r="FZ159" i="12"/>
  <c r="GC86" i="12"/>
  <c r="FZ290" i="12"/>
  <c r="GC290" i="12"/>
  <c r="FZ205" i="12"/>
  <c r="GC205" i="12"/>
  <c r="FZ350" i="12"/>
  <c r="GC350" i="12"/>
  <c r="FZ276" i="12"/>
  <c r="GC276" i="12"/>
  <c r="FZ319" i="12"/>
  <c r="GC319" i="12"/>
  <c r="FZ189" i="12"/>
  <c r="GC189" i="12"/>
  <c r="FZ131" i="12"/>
  <c r="GC131" i="12"/>
  <c r="FZ212" i="12"/>
  <c r="GC212" i="12"/>
  <c r="FZ272" i="12"/>
  <c r="GC272" i="12"/>
  <c r="FZ280" i="12"/>
  <c r="GC280" i="12"/>
  <c r="FZ140" i="12"/>
  <c r="GC140" i="12"/>
  <c r="FZ15" i="12"/>
  <c r="GC15" i="12"/>
  <c r="FZ46" i="12"/>
  <c r="GC46" i="12"/>
  <c r="FZ391" i="12"/>
  <c r="GC391" i="12"/>
  <c r="GC85" i="12"/>
  <c r="FZ316" i="12"/>
  <c r="GC316" i="12"/>
  <c r="GC4" i="12"/>
  <c r="FZ306" i="12"/>
  <c r="GC306" i="12"/>
  <c r="FZ376" i="12"/>
  <c r="GC376" i="12"/>
  <c r="FZ307" i="12"/>
  <c r="GC307" i="12"/>
  <c r="FZ11" i="12"/>
  <c r="GC11" i="12"/>
  <c r="FZ203" i="12"/>
  <c r="GC203" i="12"/>
  <c r="FZ282" i="12"/>
  <c r="GC282" i="12"/>
  <c r="GC74" i="12"/>
  <c r="FZ321" i="12"/>
  <c r="GC321" i="12"/>
  <c r="FZ129" i="12"/>
  <c r="GC129" i="12"/>
  <c r="GC19" i="12"/>
  <c r="FZ163" i="12"/>
  <c r="GC163" i="12"/>
  <c r="FZ310" i="12"/>
  <c r="GC310" i="12"/>
  <c r="FZ211" i="12"/>
  <c r="GC211" i="12"/>
  <c r="FZ400" i="12"/>
  <c r="GC400" i="12"/>
  <c r="GC158" i="12"/>
  <c r="FZ158" i="12"/>
  <c r="GC83" i="12"/>
  <c r="FZ335" i="12"/>
  <c r="GC335" i="12"/>
  <c r="FZ213" i="12"/>
  <c r="GC213" i="12"/>
  <c r="FZ338" i="12"/>
  <c r="GC338" i="12"/>
  <c r="FZ108" i="12"/>
  <c r="FZ109" i="12" s="1"/>
  <c r="GC108" i="12"/>
  <c r="FZ281" i="12"/>
  <c r="GC281" i="12"/>
  <c r="FZ25" i="12"/>
  <c r="GC25" i="12"/>
  <c r="FZ55" i="12"/>
  <c r="GC55" i="12"/>
  <c r="FZ226" i="12"/>
  <c r="GC226" i="12"/>
  <c r="FZ134" i="12"/>
  <c r="GC134" i="12"/>
  <c r="FZ37" i="12"/>
  <c r="GC37" i="12"/>
  <c r="FZ48" i="12"/>
  <c r="GC48" i="12"/>
  <c r="FZ343" i="12"/>
  <c r="GC343" i="12"/>
  <c r="FZ381" i="12"/>
  <c r="GC381" i="12"/>
  <c r="FZ27" i="12"/>
  <c r="GC27" i="12"/>
  <c r="FZ275" i="12"/>
  <c r="GC275" i="12"/>
  <c r="FZ271" i="12"/>
  <c r="GC271" i="12"/>
  <c r="GC66" i="12"/>
  <c r="FZ17" i="12"/>
  <c r="GC17" i="12"/>
  <c r="FZ266" i="12"/>
  <c r="GC266" i="12"/>
  <c r="FZ252" i="12"/>
  <c r="GC252" i="12"/>
  <c r="FZ130" i="12"/>
  <c r="GC130" i="12"/>
  <c r="FZ365" i="12"/>
  <c r="GC365" i="12"/>
  <c r="FZ317" i="12"/>
  <c r="GC317" i="12"/>
  <c r="GC181" i="12"/>
  <c r="FZ122" i="12"/>
  <c r="GC122" i="12"/>
  <c r="FZ356" i="12"/>
  <c r="GC356" i="12"/>
  <c r="FZ363" i="12"/>
  <c r="GC363" i="12"/>
  <c r="FZ104" i="12"/>
  <c r="GC104" i="12"/>
  <c r="FZ102" i="12"/>
  <c r="GC102" i="12"/>
  <c r="FZ286" i="12"/>
  <c r="GC286" i="12"/>
  <c r="FZ188" i="12"/>
  <c r="GC188" i="12"/>
  <c r="FZ29" i="12"/>
  <c r="GC29" i="12"/>
  <c r="FZ265" i="12"/>
  <c r="GC265" i="12"/>
  <c r="FZ379" i="12"/>
  <c r="GC379" i="12"/>
  <c r="FZ6" i="12"/>
  <c r="GC6" i="12"/>
  <c r="FZ35" i="12"/>
  <c r="GC35" i="12"/>
  <c r="FZ308" i="12"/>
  <c r="GC308" i="12"/>
  <c r="FZ253" i="12"/>
  <c r="GC253" i="12"/>
  <c r="FZ285" i="12"/>
  <c r="GC285" i="12"/>
  <c r="FZ47" i="12"/>
  <c r="GC47" i="12"/>
  <c r="FZ187" i="12"/>
  <c r="GC187" i="12"/>
  <c r="FZ99" i="12"/>
  <c r="GC99" i="12"/>
  <c r="FZ34" i="12"/>
  <c r="GC34" i="12"/>
  <c r="FZ390" i="12"/>
  <c r="GC390" i="12"/>
  <c r="FZ120" i="12"/>
  <c r="FZ121" i="12" s="1"/>
  <c r="GC120" i="12"/>
  <c r="FZ373" i="12"/>
  <c r="GC373" i="12"/>
  <c r="FZ354" i="12"/>
  <c r="GC354" i="12"/>
  <c r="GC153" i="12"/>
  <c r="FZ357" i="12"/>
  <c r="GC357" i="12"/>
  <c r="FZ137" i="12"/>
  <c r="GC137" i="12"/>
  <c r="GC160" i="12"/>
  <c r="FZ160" i="12"/>
  <c r="FZ270" i="12"/>
  <c r="GC270" i="12"/>
  <c r="FZ138" i="12"/>
  <c r="GC138" i="12"/>
  <c r="FZ9" i="12"/>
  <c r="GC9" i="12"/>
  <c r="FZ393" i="12"/>
  <c r="GC393" i="12"/>
  <c r="FZ315" i="12"/>
  <c r="GC315" i="12"/>
  <c r="FZ264" i="12"/>
  <c r="GC264" i="12"/>
  <c r="FZ169" i="12"/>
  <c r="GC169" i="12"/>
  <c r="FZ38" i="12"/>
  <c r="GC38" i="12"/>
  <c r="GC70" i="12"/>
  <c r="FZ30" i="12"/>
  <c r="GC30" i="12"/>
  <c r="FZ312" i="12"/>
  <c r="GC312" i="12"/>
  <c r="FZ7" i="12"/>
  <c r="GC7" i="12"/>
  <c r="FZ204" i="12"/>
  <c r="GC204" i="12"/>
  <c r="FZ261" i="12"/>
  <c r="GC261" i="12"/>
  <c r="FZ395" i="12"/>
  <c r="GC395" i="12"/>
  <c r="FZ26" i="12"/>
  <c r="GC26" i="12"/>
  <c r="FZ256" i="12"/>
  <c r="GC256" i="12"/>
  <c r="FZ292" i="12"/>
  <c r="GC292" i="12"/>
  <c r="FZ345" i="12"/>
  <c r="GC345" i="12"/>
  <c r="FZ380" i="12"/>
  <c r="GC380" i="12"/>
  <c r="FZ367" i="12"/>
  <c r="GC367" i="12"/>
  <c r="FZ258" i="12"/>
  <c r="GC258" i="12"/>
  <c r="FZ259" i="12"/>
  <c r="GC259" i="12"/>
  <c r="FZ167" i="12"/>
  <c r="GC167" i="12"/>
  <c r="FZ297" i="12"/>
  <c r="GC297" i="12"/>
  <c r="GC91" i="12"/>
  <c r="FZ36" i="12"/>
  <c r="GC36" i="12"/>
  <c r="GC176" i="12"/>
  <c r="FZ232" i="12"/>
  <c r="GC232" i="12"/>
  <c r="FZ324" i="12"/>
  <c r="GC324" i="12"/>
  <c r="FZ288" i="12"/>
  <c r="GC288" i="12"/>
  <c r="FZ329" i="12"/>
  <c r="GC329" i="12"/>
  <c r="FZ368" i="12"/>
  <c r="GC368" i="12"/>
  <c r="FZ394" i="12"/>
  <c r="GC394" i="12"/>
  <c r="FZ239" i="12"/>
  <c r="GC239" i="12"/>
  <c r="FZ254" i="12"/>
  <c r="GC254" i="12"/>
  <c r="FZ370" i="12"/>
  <c r="GC370" i="12"/>
  <c r="FZ207" i="12"/>
  <c r="GC207" i="12"/>
  <c r="FZ190" i="12"/>
  <c r="GC190" i="12"/>
  <c r="FZ219" i="12"/>
  <c r="GC219" i="12"/>
  <c r="FZ303" i="12"/>
  <c r="GC303" i="12"/>
  <c r="FZ296" i="12"/>
  <c r="GC296" i="12"/>
  <c r="FZ235" i="12"/>
  <c r="GC235" i="12"/>
  <c r="FZ127" i="12"/>
  <c r="GC127" i="12"/>
  <c r="FZ396" i="12"/>
  <c r="GC396" i="12"/>
  <c r="FZ336" i="12"/>
  <c r="GC336" i="12"/>
  <c r="FZ300" i="12"/>
  <c r="GC300" i="12"/>
  <c r="FZ124" i="12"/>
  <c r="GC124" i="12"/>
  <c r="FZ191" i="12"/>
  <c r="GC191" i="12"/>
  <c r="FZ206" i="12"/>
  <c r="GC206" i="12"/>
  <c r="FZ41" i="12"/>
  <c r="GC41" i="12"/>
  <c r="FZ366" i="12"/>
  <c r="GC366" i="12"/>
  <c r="FZ362" i="12"/>
  <c r="GC362" i="12"/>
  <c r="GC24" i="12"/>
  <c r="FZ208" i="12"/>
  <c r="GC208" i="12"/>
  <c r="FZ218" i="12"/>
  <c r="GC218" i="12"/>
  <c r="FZ249" i="12"/>
  <c r="GC249" i="12"/>
  <c r="FZ250" i="12"/>
  <c r="GC250" i="12"/>
  <c r="FZ56" i="12"/>
  <c r="GC56" i="12"/>
  <c r="GC178" i="12"/>
  <c r="FZ348" i="12"/>
  <c r="GC348" i="12"/>
  <c r="FZ49" i="12"/>
  <c r="GC49" i="12"/>
  <c r="FZ57" i="12"/>
  <c r="GC57" i="12"/>
  <c r="GC75" i="12"/>
  <c r="GC65" i="12"/>
  <c r="GC64" i="12"/>
  <c r="FZ42" i="12"/>
  <c r="GC42" i="12"/>
  <c r="FZ302" i="12"/>
  <c r="GC302" i="12"/>
  <c r="FZ311" i="12"/>
  <c r="GC311" i="12"/>
  <c r="FZ332" i="12"/>
  <c r="GC332" i="12"/>
  <c r="GC152" i="12"/>
  <c r="FZ344" i="12"/>
  <c r="GC344" i="12"/>
  <c r="FZ309" i="12"/>
  <c r="GC309" i="12"/>
  <c r="FZ284" i="12"/>
  <c r="GC284" i="12"/>
  <c r="FZ222" i="12"/>
  <c r="GC222" i="12"/>
  <c r="FZ389" i="12"/>
  <c r="GC389" i="12"/>
  <c r="FZ217" i="12"/>
  <c r="GC217" i="12"/>
  <c r="FZ247" i="12"/>
  <c r="GC247" i="12"/>
  <c r="GC93" i="12"/>
  <c r="FZ330" i="12"/>
  <c r="GC330" i="12"/>
  <c r="FZ182" i="12"/>
  <c r="GC182" i="12"/>
  <c r="FZ333" i="12"/>
  <c r="GC333" i="12"/>
  <c r="FZ136" i="12"/>
  <c r="GC136" i="12"/>
  <c r="GC126" i="12"/>
  <c r="FZ242" i="12"/>
  <c r="GC242" i="12"/>
  <c r="FZ318" i="12"/>
  <c r="GC318" i="12"/>
  <c r="FZ352" i="12"/>
  <c r="GC352" i="12"/>
  <c r="FZ283" i="12"/>
  <c r="GC283" i="12"/>
  <c r="FZ360" i="12"/>
  <c r="GC360" i="12"/>
  <c r="FZ234" i="12"/>
  <c r="GC234" i="12"/>
  <c r="FZ398" i="12"/>
  <c r="GC398" i="12"/>
  <c r="FZ325" i="12"/>
  <c r="GC325" i="12"/>
  <c r="FZ248" i="12"/>
  <c r="GC248" i="12"/>
  <c r="FZ197" i="12"/>
  <c r="GC197" i="12"/>
  <c r="FZ54" i="12"/>
  <c r="GC54" i="12"/>
  <c r="FZ378" i="12"/>
  <c r="GC378" i="12"/>
  <c r="FZ313" i="12"/>
  <c r="GC313" i="12"/>
  <c r="FZ314" i="12"/>
  <c r="GC314" i="12"/>
  <c r="FZ62" i="12"/>
  <c r="GC62" i="12"/>
  <c r="FZ257" i="12"/>
  <c r="GC257" i="12"/>
  <c r="FZ157" i="12"/>
  <c r="GC157" i="12"/>
  <c r="FZ106" i="12"/>
  <c r="GC106" i="12"/>
  <c r="FZ151" i="12"/>
  <c r="GC151" i="12"/>
  <c r="FZ209" i="12"/>
  <c r="GC209" i="12"/>
  <c r="FZ262" i="12"/>
  <c r="GC262" i="12"/>
  <c r="FZ351" i="12"/>
  <c r="GC351" i="12"/>
  <c r="FZ60" i="12"/>
  <c r="GC60" i="12"/>
  <c r="FZ388" i="12"/>
  <c r="GC388" i="12"/>
  <c r="FZ241" i="12"/>
  <c r="GC241" i="12"/>
  <c r="FZ277" i="12"/>
  <c r="GC277" i="12"/>
  <c r="GC92" i="12"/>
  <c r="FZ245" i="12"/>
  <c r="GC245" i="12"/>
  <c r="FZ227" i="12"/>
  <c r="GC227" i="12"/>
  <c r="FZ45" i="12"/>
  <c r="GC45" i="12"/>
  <c r="FZ148" i="12"/>
  <c r="GC148" i="12"/>
  <c r="CZ2288" i="12"/>
  <c r="DC2288" i="12" l="1"/>
  <c r="DB2288" i="12"/>
  <c r="DF2287" i="12" s="1"/>
  <c r="DE2288" i="12"/>
  <c r="DD2288" i="12"/>
  <c r="DA2288" i="12"/>
  <c r="FZ18" i="12"/>
  <c r="CZ2289" i="12"/>
  <c r="DA2289" i="12" l="1"/>
  <c r="DE2289" i="12"/>
  <c r="DC2289" i="12"/>
  <c r="DB2289" i="12"/>
  <c r="DF2288" i="12" s="1"/>
  <c r="DD2289" i="12"/>
  <c r="FZ19" i="12"/>
  <c r="CZ2290" i="12"/>
  <c r="DB2290" i="12" l="1"/>
  <c r="DF2289" i="12" s="1"/>
  <c r="DA2290" i="12"/>
  <c r="DC2290" i="12"/>
  <c r="DE2290" i="12"/>
  <c r="DD2290" i="12"/>
  <c r="FZ21" i="12"/>
  <c r="FZ22" i="12" s="1"/>
  <c r="FZ64" i="12" s="1"/>
  <c r="GS3" i="12"/>
  <c r="GD3" i="12"/>
  <c r="FZ65" i="12"/>
  <c r="CZ2291" i="12"/>
  <c r="DA2291" i="12" l="1"/>
  <c r="DB2291" i="12"/>
  <c r="DF2290" i="12" s="1"/>
  <c r="DC2291" i="12"/>
  <c r="DE2291" i="12"/>
  <c r="DD2291" i="12"/>
  <c r="FZ23" i="12"/>
  <c r="FZ66" i="12"/>
  <c r="CZ2292" i="12"/>
  <c r="DB2292" i="12" l="1"/>
  <c r="DF2291" i="12" s="1"/>
  <c r="DA2292" i="12"/>
  <c r="DC2292" i="12"/>
  <c r="DE2292" i="12"/>
  <c r="DD2292" i="12"/>
  <c r="GA3" i="12"/>
  <c r="FZ24" i="12"/>
  <c r="GS4" i="12"/>
  <c r="GD4" i="12"/>
  <c r="FZ67" i="12"/>
  <c r="FZ70" i="12"/>
  <c r="CZ2293" i="12"/>
  <c r="DE2293" i="12" l="1"/>
  <c r="DA2293" i="12"/>
  <c r="DD2293" i="12"/>
  <c r="DB2293" i="12"/>
  <c r="DC2293" i="12"/>
  <c r="GA4" i="12"/>
  <c r="FZ68" i="12"/>
  <c r="FZ71" i="12"/>
  <c r="FZ72" i="12" s="1"/>
  <c r="FZ73" i="12" s="1"/>
  <c r="FZ74" i="12" s="1"/>
  <c r="FZ75" i="12" s="1"/>
  <c r="FZ76" i="12" s="1"/>
  <c r="CZ2294" i="12"/>
  <c r="DE2294" i="12" l="1"/>
  <c r="DA2294" i="12"/>
  <c r="DB2294" i="12"/>
  <c r="DF2293" i="12" s="1"/>
  <c r="DD2294" i="12"/>
  <c r="DC2294" i="12"/>
  <c r="DF2292" i="12"/>
  <c r="FZ69" i="12"/>
  <c r="CZ2295" i="12"/>
  <c r="DD2295" i="12" l="1"/>
  <c r="DC2295" i="12"/>
  <c r="DE2295" i="12"/>
  <c r="DA2295" i="12"/>
  <c r="DB2295" i="12"/>
  <c r="FZ79" i="12"/>
  <c r="FZ80" i="12" s="1"/>
  <c r="CZ2296" i="12"/>
  <c r="DB2296" i="12" l="1"/>
  <c r="DF2295" i="12" s="1"/>
  <c r="DD2296" i="12"/>
  <c r="DE2296" i="12"/>
  <c r="DA2296" i="12"/>
  <c r="DC2296" i="12"/>
  <c r="DF2294" i="12"/>
  <c r="FZ81" i="12"/>
  <c r="FZ156" i="12"/>
  <c r="CZ2297" i="12"/>
  <c r="DD2297" i="12" l="1"/>
  <c r="DA2297" i="12"/>
  <c r="DC2297" i="12"/>
  <c r="DB2297" i="12"/>
  <c r="DE2297" i="12"/>
  <c r="GD5" i="12"/>
  <c r="FZ82" i="12"/>
  <c r="CZ2298" i="12"/>
  <c r="DB2298" i="12" l="1"/>
  <c r="DF2297" i="12" s="1"/>
  <c r="DD2298" i="12"/>
  <c r="DC2298" i="12"/>
  <c r="DE2298" i="12"/>
  <c r="DA2298" i="12"/>
  <c r="DF2296" i="12"/>
  <c r="FZ83" i="12"/>
  <c r="CZ2299" i="12"/>
  <c r="DA2299" i="12" l="1"/>
  <c r="DB2299" i="12"/>
  <c r="DC2299" i="12"/>
  <c r="DD2299" i="12"/>
  <c r="DE2299" i="12"/>
  <c r="FZ84" i="12"/>
  <c r="CZ2300" i="12"/>
  <c r="DB2300" i="12" l="1"/>
  <c r="DF2300" i="12" s="1"/>
  <c r="DD2300" i="12"/>
  <c r="DC2300" i="12"/>
  <c r="DE2300" i="12"/>
  <c r="DI1" i="12" s="1"/>
  <c r="DA2300" i="12"/>
  <c r="DF2298" i="12"/>
  <c r="GA5" i="12"/>
  <c r="FZ85" i="12"/>
  <c r="FZ86" i="12" s="1"/>
  <c r="FZ87" i="12" s="1"/>
  <c r="FZ88" i="12" s="1"/>
  <c r="FZ89" i="12" s="1"/>
  <c r="FZ90" i="12" s="1"/>
  <c r="FZ91" i="12" s="1"/>
  <c r="DF2299" i="12" l="1"/>
  <c r="DF2" i="12" s="1"/>
  <c r="DF128" i="12" s="1"/>
  <c r="DF129" i="12" s="1"/>
  <c r="FZ152" i="12"/>
  <c r="FZ153" i="12" s="1"/>
  <c r="FZ154" i="12" s="1"/>
  <c r="FZ92" i="12"/>
  <c r="DF223" i="12"/>
  <c r="DF224" i="12" s="1"/>
  <c r="DF225" i="12" s="1"/>
  <c r="DF226" i="12" s="1"/>
  <c r="GA11" i="12"/>
  <c r="GA12" i="12"/>
  <c r="GA9" i="12"/>
  <c r="GA8" i="12"/>
  <c r="GA6" i="12"/>
  <c r="GA10" i="12"/>
  <c r="GA7" i="12"/>
  <c r="DF1812" i="12" l="1"/>
  <c r="DF1910" i="12"/>
  <c r="DF823" i="12"/>
  <c r="DF1345" i="12"/>
  <c r="DF2078" i="12"/>
  <c r="DF332" i="12"/>
  <c r="DF1519" i="12"/>
  <c r="DF963" i="12"/>
  <c r="DF1787" i="12"/>
  <c r="DF615" i="12"/>
  <c r="DF2020" i="12"/>
  <c r="DF1251" i="12"/>
  <c r="DF1536" i="12"/>
  <c r="DF1820" i="12"/>
  <c r="DF69" i="12"/>
  <c r="DF1662" i="12"/>
  <c r="DF379" i="12"/>
  <c r="DF969" i="12"/>
  <c r="DF960" i="12"/>
  <c r="DF306" i="12"/>
  <c r="DF307" i="12" s="1"/>
  <c r="DF477" i="12"/>
  <c r="DF1187" i="12"/>
  <c r="DF1722" i="12"/>
  <c r="DF1388" i="12"/>
  <c r="DF1339" i="12"/>
  <c r="DF1987" i="12"/>
  <c r="DF752" i="12"/>
  <c r="DF1535" i="12"/>
  <c r="DF2057" i="12"/>
  <c r="DF572" i="12"/>
  <c r="DF1327" i="12"/>
  <c r="DF1909" i="12"/>
  <c r="DF1581" i="12"/>
  <c r="DF779" i="12"/>
  <c r="DF1998" i="12"/>
  <c r="DF1999" i="12" s="1"/>
  <c r="DF1154" i="12"/>
  <c r="DF1482" i="12"/>
  <c r="DF1928" i="12"/>
  <c r="DF718" i="12"/>
  <c r="DF358" i="12"/>
  <c r="DF716" i="12"/>
  <c r="DF994" i="12"/>
  <c r="DF481" i="12"/>
  <c r="DF448" i="12"/>
  <c r="DF1927" i="12"/>
  <c r="DF249" i="12"/>
  <c r="DF123" i="12"/>
  <c r="DF1922" i="12"/>
  <c r="DF1443" i="12"/>
  <c r="DF625" i="12"/>
  <c r="DF1805" i="12"/>
  <c r="DF459" i="12"/>
  <c r="DF339" i="12"/>
  <c r="DF1257" i="12"/>
  <c r="DF841" i="12"/>
  <c r="DF1000" i="12"/>
  <c r="DF1823" i="12"/>
  <c r="DF2063" i="12"/>
  <c r="DF864" i="12"/>
  <c r="DF865" i="12" s="1"/>
  <c r="DF1364" i="12"/>
  <c r="DF1719" i="12"/>
  <c r="DF670" i="12"/>
  <c r="DF690" i="12"/>
  <c r="DF2042" i="12"/>
  <c r="DF1407" i="12"/>
  <c r="DF476" i="12"/>
  <c r="DF2008" i="12"/>
  <c r="DF987" i="12"/>
  <c r="DF2015" i="12"/>
  <c r="DF940" i="12"/>
  <c r="DF109" i="12"/>
  <c r="DF1058" i="12"/>
  <c r="DF30" i="12"/>
  <c r="DF1623" i="12"/>
  <c r="DF1379" i="12"/>
  <c r="DF53" i="12"/>
  <c r="DF723" i="12"/>
  <c r="DF724" i="12" s="1"/>
  <c r="DF1013" i="12"/>
  <c r="DF1047" i="12"/>
  <c r="DF1228" i="12"/>
  <c r="DF664" i="12"/>
  <c r="DF1113" i="12"/>
  <c r="DF1427" i="12"/>
  <c r="DF377" i="12"/>
  <c r="DF397" i="12"/>
  <c r="DF875" i="12"/>
  <c r="DF1629" i="12"/>
  <c r="DF961" i="12"/>
  <c r="DF977" i="12"/>
  <c r="DF1780" i="12"/>
  <c r="DF569" i="12"/>
  <c r="DF1316" i="12"/>
  <c r="DF764" i="12"/>
  <c r="DF1260" i="12"/>
  <c r="DF1261" i="12" s="1"/>
  <c r="DF1473" i="12"/>
  <c r="DF1269" i="12"/>
  <c r="DF1422" i="12"/>
  <c r="DF1423" i="12" s="1"/>
  <c r="DF441" i="12"/>
  <c r="DF438" i="12"/>
  <c r="DF1743" i="12"/>
  <c r="DF1363" i="12"/>
  <c r="DF1954" i="12"/>
  <c r="DF1356" i="12"/>
  <c r="DF1064" i="12"/>
  <c r="DF849" i="12"/>
  <c r="DF1450" i="12"/>
  <c r="DF252" i="12"/>
  <c r="DF253" i="12" s="1"/>
  <c r="DF1696" i="12"/>
  <c r="DF411" i="12"/>
  <c r="DF323" i="12"/>
  <c r="DF932" i="12"/>
  <c r="DF654" i="12"/>
  <c r="DF1421" i="12"/>
  <c r="DF444" i="12"/>
  <c r="DF1866" i="12"/>
  <c r="DF1655" i="12"/>
  <c r="DF1966" i="12"/>
  <c r="DF584" i="12"/>
  <c r="DF386" i="12"/>
  <c r="DF1131" i="12"/>
  <c r="DF1758" i="12"/>
  <c r="DF1106" i="12"/>
  <c r="DF1203" i="12"/>
  <c r="DF1737" i="12"/>
  <c r="DF234" i="12"/>
  <c r="DF235" i="12" s="1"/>
  <c r="DF1458" i="12"/>
  <c r="DF1459" i="12" s="1"/>
  <c r="DF890" i="12"/>
  <c r="DF1815" i="12"/>
  <c r="DF732" i="12"/>
  <c r="DF162" i="12"/>
  <c r="DF1687" i="12"/>
  <c r="DF321" i="12"/>
  <c r="DF1918" i="12"/>
  <c r="DF443" i="12"/>
  <c r="DF738" i="12"/>
  <c r="DF739" i="12" s="1"/>
  <c r="DF1077" i="12"/>
  <c r="DF785" i="12"/>
  <c r="DF999" i="12"/>
  <c r="DF1080" i="12"/>
  <c r="DF1081" i="12" s="1"/>
  <c r="DF2150" i="12"/>
  <c r="DF1976" i="12"/>
  <c r="DF1672" i="12"/>
  <c r="DF640" i="12"/>
  <c r="DF479" i="12"/>
  <c r="DF1782" i="12"/>
  <c r="DF1783" i="12" s="1"/>
  <c r="DF1601" i="12"/>
  <c r="DF1502" i="12"/>
  <c r="DF887" i="12"/>
  <c r="DF888" i="12" s="1"/>
  <c r="DF1066" i="12"/>
  <c r="DF1067" i="12" s="1"/>
  <c r="DF1418" i="12"/>
  <c r="DF944" i="12"/>
  <c r="DF946" i="12"/>
  <c r="DF1800" i="12"/>
  <c r="DF320" i="12"/>
  <c r="DF2093" i="12"/>
  <c r="DF1073" i="12"/>
  <c r="DF305" i="12"/>
  <c r="DF1648" i="12"/>
  <c r="DF54" i="12"/>
  <c r="DF446" i="12"/>
  <c r="DF1854" i="12"/>
  <c r="DF1855" i="12" s="1"/>
  <c r="DF2047" i="12"/>
  <c r="DF858" i="12"/>
  <c r="DF1232" i="12"/>
  <c r="DF1588" i="12"/>
  <c r="DF1857" i="12"/>
  <c r="DF1200" i="12"/>
  <c r="DF1055" i="12"/>
  <c r="DF820" i="12"/>
  <c r="DF2129" i="12"/>
  <c r="DF1794" i="12"/>
  <c r="DF611" i="12"/>
  <c r="DF215" i="12"/>
  <c r="DF571" i="12"/>
  <c r="DF2149" i="12"/>
  <c r="DF1062" i="12"/>
  <c r="DF1063" i="12" s="1"/>
  <c r="DF442" i="12"/>
  <c r="DF1019" i="12"/>
  <c r="DF1505" i="12"/>
  <c r="DF1989" i="12"/>
  <c r="DF1702" i="12"/>
  <c r="DF1898" i="12"/>
  <c r="DF1466" i="12"/>
  <c r="DF213" i="12"/>
  <c r="DF1822" i="12"/>
  <c r="DF1781" i="12"/>
  <c r="DF1978" i="12"/>
  <c r="DF1804" i="12"/>
  <c r="DF1362" i="12"/>
  <c r="DF1658" i="12"/>
  <c r="DF1768" i="12"/>
  <c r="DF710" i="12"/>
  <c r="DF665" i="12"/>
  <c r="DF1960" i="12"/>
  <c r="DF753" i="12"/>
  <c r="DF1241" i="12"/>
  <c r="DF299" i="12"/>
  <c r="DF900" i="12"/>
  <c r="DF901" i="12" s="1"/>
  <c r="DF866" i="12"/>
  <c r="DF1304" i="12"/>
  <c r="DF857" i="12"/>
  <c r="DF1440" i="12"/>
  <c r="DF1441" i="12" s="1"/>
  <c r="DF1124" i="12"/>
  <c r="DF717" i="12"/>
  <c r="DF1756" i="12"/>
  <c r="DF103" i="12"/>
  <c r="DF1029" i="12"/>
  <c r="DF1958" i="12"/>
  <c r="DF1707" i="12"/>
  <c r="DF1952" i="12"/>
  <c r="DF1968" i="12"/>
  <c r="DF50" i="12"/>
  <c r="DF1955" i="12"/>
  <c r="DF603" i="12"/>
  <c r="DF1981" i="12"/>
  <c r="DF2132" i="12"/>
  <c r="DF622" i="12"/>
  <c r="DF2147" i="12"/>
  <c r="DF2012" i="12"/>
  <c r="DF1983" i="12"/>
  <c r="DF921" i="12"/>
  <c r="DF575" i="12"/>
  <c r="DF1485" i="12"/>
  <c r="DF1476" i="12"/>
  <c r="DF1477" i="12" s="1"/>
  <c r="DF333" i="12"/>
  <c r="DF2097" i="12"/>
  <c r="DF1961" i="12"/>
  <c r="DF1191" i="12"/>
  <c r="DF1143" i="12"/>
  <c r="DF1943" i="12"/>
  <c r="DF735" i="12"/>
  <c r="DF1043" i="12"/>
  <c r="DF1923" i="12"/>
  <c r="DF314" i="12"/>
  <c r="DF1486" i="12"/>
  <c r="DF897" i="12"/>
  <c r="DF624" i="12"/>
  <c r="DF3" i="12"/>
  <c r="DF4" i="12" s="1"/>
  <c r="DF1991" i="12"/>
  <c r="DF1518" i="12"/>
  <c r="DF374" i="12"/>
  <c r="DF90" i="12"/>
  <c r="DF1957" i="12"/>
  <c r="DF616" i="12"/>
  <c r="DF617" i="12" s="1"/>
  <c r="DF618" i="12" s="1"/>
  <c r="DF16" i="12"/>
  <c r="DF1053" i="12"/>
  <c r="DF2094" i="12"/>
  <c r="DF997" i="12"/>
  <c r="DF1692" i="12"/>
  <c r="DF1693" i="12" s="1"/>
  <c r="DF1716" i="12"/>
  <c r="DF1238" i="12"/>
  <c r="DF1034" i="12"/>
  <c r="DF2109" i="12"/>
  <c r="DF1661" i="12"/>
  <c r="DF581" i="12"/>
  <c r="DF2014" i="12"/>
  <c r="DF936" i="12"/>
  <c r="DF937" i="12" s="1"/>
  <c r="DF1523" i="12"/>
  <c r="DF1624" i="12"/>
  <c r="DF1835" i="12"/>
  <c r="DF1455" i="12"/>
  <c r="DF1287" i="12"/>
  <c r="DF376" i="12"/>
  <c r="DF338" i="12"/>
  <c r="DF1584" i="12"/>
  <c r="DF1585" i="12" s="1"/>
  <c r="DF1682" i="12"/>
  <c r="DF531" i="12"/>
  <c r="DF1394" i="12"/>
  <c r="DF525" i="12"/>
  <c r="DF1615" i="12"/>
  <c r="DF839" i="12"/>
  <c r="DF1979" i="12"/>
  <c r="DF1680" i="12"/>
  <c r="DF1654" i="12"/>
  <c r="DF1107" i="12"/>
  <c r="DF988" i="12"/>
  <c r="DF621" i="12"/>
  <c r="DF1118" i="12"/>
  <c r="DF378" i="12"/>
  <c r="DF1613" i="12"/>
  <c r="DF1403" i="12"/>
  <c r="DF1620" i="12"/>
  <c r="DF1621" i="12" s="1"/>
  <c r="DF270" i="12"/>
  <c r="DF271" i="12" s="1"/>
  <c r="DF1544" i="12"/>
  <c r="DF1845" i="12"/>
  <c r="DF650" i="12"/>
  <c r="DF1375" i="12"/>
  <c r="DF692" i="12"/>
  <c r="DF912" i="12"/>
  <c r="DF909" i="12"/>
  <c r="DF884" i="12"/>
  <c r="DF928" i="12"/>
  <c r="DF1699" i="12"/>
  <c r="DF232" i="12"/>
  <c r="DF1462" i="12"/>
  <c r="DF2037" i="12"/>
  <c r="DF216" i="12"/>
  <c r="DF1005" i="12"/>
  <c r="DF1869" i="12"/>
  <c r="DF450" i="12"/>
  <c r="DF451" i="12" s="1"/>
  <c r="DF1344" i="12"/>
  <c r="DF73" i="12"/>
  <c r="DF1856" i="12"/>
  <c r="DF1741" i="12"/>
  <c r="DF701" i="12"/>
  <c r="DF1849" i="12"/>
  <c r="DF1616" i="12"/>
  <c r="DF1638" i="12"/>
  <c r="DF1639" i="12" s="1"/>
  <c r="DF628" i="12"/>
  <c r="DF1881" i="12"/>
  <c r="DF491" i="12"/>
  <c r="DF967" i="12"/>
  <c r="DF1563" i="12"/>
  <c r="DF1412" i="12"/>
  <c r="DF568" i="12"/>
  <c r="DF750" i="12"/>
  <c r="DF869" i="12"/>
  <c r="DF2130" i="12"/>
  <c r="DF180" i="12"/>
  <c r="DF181" i="12" s="1"/>
  <c r="DF1086" i="12"/>
  <c r="DF1324" i="12"/>
  <c r="DF424" i="12"/>
  <c r="DF840" i="12"/>
  <c r="DF922" i="12"/>
  <c r="DF1089" i="12"/>
  <c r="DF713" i="12"/>
  <c r="DF1596" i="12"/>
  <c r="DF1763" i="12"/>
  <c r="DF1558" i="12"/>
  <c r="DF1313" i="12"/>
  <c r="DF546" i="12"/>
  <c r="DF773" i="12"/>
  <c r="DF762" i="12"/>
  <c r="DF1799" i="12"/>
  <c r="DF375" i="12"/>
  <c r="DF104" i="12"/>
  <c r="DF1637" i="12"/>
  <c r="DF1752" i="12"/>
  <c r="DF968" i="12"/>
  <c r="DF1001" i="12"/>
  <c r="DF990" i="12"/>
  <c r="DF991" i="12" s="1"/>
  <c r="DF1627" i="12"/>
  <c r="DF1786" i="12"/>
  <c r="DF1208" i="12"/>
  <c r="DF828" i="12"/>
  <c r="DF829" i="12" s="1"/>
  <c r="DF1032" i="12"/>
  <c r="DF1023" i="12"/>
  <c r="DF1312" i="12"/>
  <c r="DF1446" i="12"/>
  <c r="DF1175" i="12"/>
  <c r="DF992" i="12"/>
  <c r="DF683" i="12"/>
  <c r="DF589" i="12"/>
  <c r="DF1940" i="12"/>
  <c r="DF1346" i="12"/>
  <c r="DF1512" i="12"/>
  <c r="DF1513" i="12" s="1"/>
  <c r="DF1977" i="12"/>
  <c r="DF1165" i="12"/>
  <c r="DF2003" i="12"/>
  <c r="DF461" i="12"/>
  <c r="DF825" i="12"/>
  <c r="DF1352" i="12"/>
  <c r="DF722" i="12"/>
  <c r="DF89" i="12"/>
  <c r="DF1226" i="12"/>
  <c r="DF1170" i="12"/>
  <c r="DF1171" i="12" s="1"/>
  <c r="DF1042" i="12"/>
  <c r="DF1273" i="12"/>
  <c r="DF324" i="12"/>
  <c r="DF859" i="12"/>
  <c r="DF1632" i="12"/>
  <c r="DF727" i="12"/>
  <c r="DF1775" i="12"/>
  <c r="DF885" i="12"/>
  <c r="DF1950" i="12"/>
  <c r="DF653" i="12"/>
  <c r="DF1691" i="12"/>
  <c r="DF639" i="12"/>
  <c r="DF137" i="12"/>
  <c r="DF1831" i="12"/>
  <c r="DF1674" i="12"/>
  <c r="DF1675" i="12" s="1"/>
  <c r="DF1128" i="12"/>
  <c r="DF706" i="12"/>
  <c r="DF707" i="12" s="1"/>
  <c r="DF508" i="12"/>
  <c r="DF1216" i="12"/>
  <c r="DF1920" i="12"/>
  <c r="DF1156" i="12"/>
  <c r="DF1157" i="12" s="1"/>
  <c r="DF659" i="12"/>
  <c r="DF1896" i="12"/>
  <c r="DF1994" i="12"/>
  <c r="DF1428" i="12"/>
  <c r="DF1825" i="12"/>
  <c r="DF1660" i="12"/>
  <c r="DF1580" i="12"/>
  <c r="DF1569" i="12"/>
  <c r="DF1570" i="12" s="1"/>
  <c r="DF1762" i="12"/>
  <c r="DF1152" i="12"/>
  <c r="DF1153" i="12" s="1"/>
  <c r="DF1320" i="12"/>
  <c r="DF1398" i="12"/>
  <c r="DF957" i="12"/>
  <c r="DF891" i="12"/>
  <c r="DF1742" i="12"/>
  <c r="DF870" i="12"/>
  <c r="DF926" i="12"/>
  <c r="DF662" i="12"/>
  <c r="DF250" i="12"/>
  <c r="DF1214" i="12"/>
  <c r="DF86" i="12"/>
  <c r="DF1754" i="12"/>
  <c r="DF680" i="12"/>
  <c r="DF1004" i="12"/>
  <c r="DF1578" i="12"/>
  <c r="DF1061" i="12"/>
  <c r="DF892" i="12"/>
  <c r="DF2038" i="12"/>
  <c r="DF1112" i="12"/>
  <c r="DF1272" i="12"/>
  <c r="DF596" i="12"/>
  <c r="DF1127" i="12"/>
  <c r="DF1915" i="12"/>
  <c r="DF414" i="12"/>
  <c r="DF415" i="12" s="1"/>
  <c r="DF1085" i="12"/>
  <c r="DF598" i="12"/>
  <c r="DF1384" i="12"/>
  <c r="DF1534" i="12"/>
  <c r="DF754" i="12"/>
  <c r="DF1373" i="12"/>
  <c r="DF1837" i="12"/>
  <c r="DF1688" i="12"/>
  <c r="DF106" i="12"/>
  <c r="DF1499" i="12"/>
  <c r="DF1715" i="12"/>
  <c r="DF1848" i="12"/>
  <c r="DF731" i="12"/>
  <c r="DF583" i="12"/>
  <c r="DF1921" i="12"/>
  <c r="DF927" i="12"/>
  <c r="DF1201" i="12"/>
  <c r="DF964" i="12"/>
  <c r="DF1604" i="12"/>
  <c r="DF1817" i="12"/>
  <c r="DF1334" i="12"/>
  <c r="DF1415" i="12"/>
  <c r="DF1102" i="12"/>
  <c r="DF1274" i="12"/>
  <c r="DF2111" i="12"/>
  <c r="DF1213" i="12"/>
  <c r="DF1374" i="12"/>
  <c r="DF600" i="12"/>
  <c r="DF807" i="12"/>
  <c r="DF2025" i="12"/>
  <c r="DF1108" i="12"/>
  <c r="DF1541" i="12"/>
  <c r="DF1717" i="12"/>
  <c r="DF427" i="12"/>
  <c r="DF335" i="12"/>
  <c r="DF1030" i="12"/>
  <c r="DF1774" i="12"/>
  <c r="DF2092" i="12"/>
  <c r="DF719" i="12"/>
  <c r="DF594" i="12"/>
  <c r="DF595" i="12" s="1"/>
  <c r="DF1291" i="12"/>
  <c r="DF2029" i="12"/>
  <c r="DF941" i="12"/>
  <c r="DF1137" i="12"/>
  <c r="DF536" i="12"/>
  <c r="DF1942" i="12"/>
  <c r="DF1460" i="12"/>
  <c r="DF1231" i="12"/>
  <c r="DF515" i="12"/>
  <c r="DF2010" i="12"/>
  <c r="DF1267" i="12"/>
  <c r="DF356" i="12"/>
  <c r="DF1381" i="12"/>
  <c r="DF1295" i="12"/>
  <c r="DF1109" i="12"/>
  <c r="DF1893" i="12"/>
  <c r="DF529" i="12"/>
  <c r="DF958" i="12"/>
  <c r="DF1161" i="12"/>
  <c r="DF142" i="12"/>
  <c r="DF645" i="12"/>
  <c r="DF439" i="12"/>
  <c r="DF1589" i="12"/>
  <c r="DF715" i="12"/>
  <c r="DF2039" i="12"/>
  <c r="DF678" i="12"/>
  <c r="DF2060" i="12"/>
  <c r="DF1377" i="12"/>
  <c r="DF28" i="12"/>
  <c r="DF1162" i="12"/>
  <c r="DF1292" i="12"/>
  <c r="DF1992" i="12"/>
  <c r="DF554" i="12"/>
  <c r="DF778" i="12"/>
  <c r="DF1150" i="12"/>
  <c r="DF429" i="12"/>
  <c r="DF1671" i="12"/>
  <c r="DF1795" i="12"/>
  <c r="DF1490" i="12"/>
  <c r="DF1967" i="12"/>
  <c r="DF1130" i="12"/>
  <c r="DF1340" i="12"/>
  <c r="DF1003" i="12"/>
  <c r="DF601" i="12"/>
  <c r="DF1876" i="12"/>
  <c r="DF862" i="12"/>
  <c r="DF2065" i="12"/>
  <c r="DF1548" i="12"/>
  <c r="DF1549" i="12" s="1"/>
  <c r="DF1411" i="12"/>
  <c r="DF2112" i="12"/>
  <c r="DF229" i="12"/>
  <c r="DF873" i="12"/>
  <c r="DF108" i="12"/>
  <c r="DF1406" i="12"/>
  <c r="DF1577" i="12"/>
  <c r="DF1116" i="12"/>
  <c r="DF1117" i="12" s="1"/>
  <c r="DF1348" i="12"/>
  <c r="DF359" i="12"/>
  <c r="DF2022" i="12"/>
  <c r="DF1733" i="12"/>
  <c r="DF141" i="12"/>
  <c r="DF686" i="12"/>
  <c r="DF1802" i="12"/>
  <c r="DF821" i="12"/>
  <c r="DF560" i="12"/>
  <c r="DF1731" i="12"/>
  <c r="DF1256" i="12"/>
  <c r="DF1017" i="12"/>
  <c r="DF848" i="12"/>
  <c r="DF1372" i="12"/>
  <c r="DF544" i="12"/>
  <c r="DF661" i="12"/>
  <c r="DF1046" i="12"/>
  <c r="DF644" i="12"/>
  <c r="DF745" i="12"/>
  <c r="DF396" i="12"/>
  <c r="DF1652" i="12"/>
  <c r="DF576" i="12"/>
  <c r="DF577" i="12" s="1"/>
  <c r="DF1481" i="12"/>
  <c r="DF1145" i="12"/>
  <c r="DF880" i="12"/>
  <c r="DF196" i="12"/>
  <c r="DF1631" i="12"/>
  <c r="DF1236" i="12"/>
  <c r="DF911" i="12"/>
  <c r="DF1338" i="12"/>
  <c r="DF930" i="12"/>
  <c r="DF1851" i="12"/>
  <c r="DF460" i="12"/>
  <c r="DF1343" i="12"/>
  <c r="DF1985" i="12"/>
  <c r="DF1868" i="12"/>
  <c r="DF1039" i="12"/>
  <c r="DF1507" i="12"/>
  <c r="DF816" i="12"/>
  <c r="DF590" i="12"/>
  <c r="DF143" i="12"/>
  <c r="DF1501" i="12"/>
  <c r="DF1725" i="12"/>
  <c r="DF1993" i="12"/>
  <c r="DF705" i="12"/>
  <c r="DF1810" i="12"/>
  <c r="DF1892" i="12"/>
  <c r="DF1640" i="12"/>
  <c r="DF445" i="12"/>
  <c r="DF637" i="12"/>
  <c r="DF1038" i="12"/>
  <c r="DF585" i="12"/>
  <c r="DF197" i="12"/>
  <c r="DF1598" i="12"/>
  <c r="DF986" i="12"/>
  <c r="DF1576" i="12"/>
  <c r="DF2128" i="12"/>
  <c r="DF159" i="12"/>
  <c r="DF1622" i="12"/>
  <c r="DF19" i="12"/>
  <c r="DF1579" i="12"/>
  <c r="DF555" i="12"/>
  <c r="DF682" i="12"/>
  <c r="DF1222" i="12"/>
  <c r="DF1227" i="12"/>
  <c r="DF1302" i="12"/>
  <c r="DF498" i="12"/>
  <c r="DF1930" i="12"/>
  <c r="DF372" i="12"/>
  <c r="DF1044" i="12"/>
  <c r="DF1045" i="12" s="1"/>
  <c r="DF1110" i="12"/>
  <c r="DF410" i="12"/>
  <c r="DF2040" i="12"/>
  <c r="DF1463" i="12"/>
  <c r="DF1592" i="12"/>
  <c r="DF2021" i="12"/>
  <c r="DF972" i="12"/>
  <c r="DF973" i="12" s="1"/>
  <c r="DF489" i="12"/>
  <c r="DF1126" i="12"/>
  <c r="DF1646" i="12"/>
  <c r="DF983" i="12"/>
  <c r="DF1359" i="12"/>
  <c r="DF467" i="12"/>
  <c r="DF122" i="12"/>
  <c r="DF1852" i="12"/>
  <c r="DF465" i="12"/>
  <c r="DF138" i="12"/>
  <c r="DF794" i="12"/>
  <c r="DF518" i="12"/>
  <c r="DF522" i="12"/>
  <c r="DF523" i="12" s="1"/>
  <c r="DF699" i="12"/>
  <c r="DF1530" i="12"/>
  <c r="DF1531" i="12" s="1"/>
  <c r="DF1695" i="12"/>
  <c r="DF2075" i="12"/>
  <c r="DF1101" i="12"/>
  <c r="DF1703" i="12"/>
  <c r="DF1442" i="12"/>
  <c r="DF1937" i="12"/>
  <c r="DF638" i="12"/>
  <c r="DF1912" i="12"/>
  <c r="DF803" i="12"/>
  <c r="DF1354" i="12"/>
  <c r="DF1788" i="12"/>
  <c r="DF2049" i="12"/>
  <c r="DF1331" i="12"/>
  <c r="DF1445" i="12"/>
  <c r="DF1543" i="12"/>
  <c r="DF1706" i="12"/>
  <c r="DF1797" i="12"/>
  <c r="DF605" i="12"/>
  <c r="DF1350" i="12"/>
  <c r="DF1351" i="12" s="1"/>
  <c r="DF533" i="12"/>
  <c r="DF861" i="12"/>
  <c r="DF368" i="12"/>
  <c r="DF1076" i="12"/>
  <c r="DF1134" i="12"/>
  <c r="DF1135" i="12" s="1"/>
  <c r="DF726" i="12"/>
  <c r="DF1641" i="12"/>
  <c r="DF1314" i="12"/>
  <c r="DF1315" i="12" s="1"/>
  <c r="DF658" i="12"/>
  <c r="DF810" i="12"/>
  <c r="DF811" i="12" s="1"/>
  <c r="DF872" i="12"/>
  <c r="DF982" i="12"/>
  <c r="DF17" i="12"/>
  <c r="DF72" i="12"/>
  <c r="DF447" i="12"/>
  <c r="DF939" i="12"/>
  <c r="DF1969" i="12"/>
  <c r="DF268" i="12"/>
  <c r="DF373" i="12"/>
  <c r="DF648" i="12"/>
  <c r="DF649" i="12" s="1"/>
  <c r="DF1679" i="12"/>
  <c r="DF1759" i="12"/>
  <c r="DF1439" i="12"/>
  <c r="DF976" i="12"/>
  <c r="DF832" i="12"/>
  <c r="DF1867" i="12"/>
  <c r="DF520" i="12"/>
  <c r="DF702" i="12"/>
  <c r="DF703" i="12" s="1"/>
  <c r="DF1626" i="12"/>
  <c r="DF567" i="12"/>
  <c r="DF1186" i="12"/>
  <c r="DF929" i="12"/>
  <c r="DF1192" i="12"/>
  <c r="DF393" i="12"/>
  <c r="DF2011" i="12"/>
  <c r="DF1965" i="12"/>
  <c r="DF485" i="12"/>
  <c r="DF64" i="12"/>
  <c r="DF1122" i="12"/>
  <c r="DF1326" i="12"/>
  <c r="DF388" i="12"/>
  <c r="DF1301" i="12"/>
  <c r="DF1720" i="12"/>
  <c r="DF2137" i="12"/>
  <c r="DF2140" i="12"/>
  <c r="DF1744" i="12"/>
  <c r="DF879" i="12"/>
  <c r="DF996" i="12"/>
  <c r="DF1141" i="12"/>
  <c r="DF565" i="12"/>
  <c r="DF1385" i="12"/>
  <c r="DF802" i="12"/>
  <c r="DF2028" i="12"/>
  <c r="DF1368" i="12"/>
  <c r="DF1369" i="12" s="1"/>
  <c r="DF1746" i="12"/>
  <c r="DF1747" i="12" s="1"/>
  <c r="DF1839" i="12"/>
  <c r="DF1121" i="12"/>
  <c r="DF1784" i="12"/>
  <c r="DF395" i="12"/>
  <c r="DF426" i="12"/>
  <c r="DF1633" i="12"/>
  <c r="DF959" i="12"/>
  <c r="DF1300" i="12"/>
  <c r="DF850" i="12"/>
  <c r="DF851" i="12" s="1"/>
  <c r="DF852" i="12" s="1"/>
  <c r="DF1229" i="12"/>
  <c r="DF1734" i="12"/>
  <c r="DF1323" i="12"/>
  <c r="DF1947" i="12"/>
  <c r="DF1380" i="12"/>
  <c r="DF1178" i="12"/>
  <c r="DF783" i="12"/>
  <c r="DF1932" i="12"/>
  <c r="DF1882" i="12"/>
  <c r="DF470" i="12"/>
  <c r="DF801" i="12"/>
  <c r="DF2083" i="12"/>
  <c r="DF1185" i="12"/>
  <c r="DF1074" i="12"/>
  <c r="DF1432" i="12"/>
  <c r="DF1617" i="12"/>
  <c r="DF163" i="12"/>
  <c r="DF1484" i="12"/>
  <c r="DF535" i="12"/>
  <c r="DF1803" i="12"/>
  <c r="DF1522" i="12"/>
  <c r="DF564" i="12"/>
  <c r="DF1790" i="12"/>
  <c r="DF871" i="12"/>
  <c r="DF687" i="12"/>
  <c r="DF1873" i="12"/>
  <c r="DF1813" i="12"/>
  <c r="DF1798" i="12"/>
  <c r="DF464" i="12"/>
  <c r="DF669" i="12"/>
  <c r="DF161" i="12"/>
  <c r="DF1147" i="12"/>
  <c r="DF421" i="12"/>
  <c r="DF1872" i="12"/>
  <c r="DF767" i="12"/>
  <c r="DF1555" i="12"/>
  <c r="DF1634" i="12"/>
  <c r="DF1492" i="12"/>
  <c r="DF1885" i="12"/>
  <c r="DF1877" i="12"/>
  <c r="DF1082" i="12"/>
  <c r="DF759" i="12"/>
  <c r="DF1111" i="12"/>
  <c r="DF1607" i="12"/>
  <c r="DF1514" i="12"/>
  <c r="DF1163" i="12"/>
  <c r="DF684" i="12"/>
  <c r="DF685" i="12" s="1"/>
  <c r="DF1908" i="12"/>
  <c r="DF876" i="12"/>
  <c r="DF1318" i="12"/>
  <c r="DF2064" i="12"/>
  <c r="DF532" i="12"/>
  <c r="DF1988" i="12"/>
  <c r="DF965" i="12"/>
  <c r="DF1483" i="12"/>
  <c r="DF1904" i="12"/>
  <c r="DF1033" i="12"/>
  <c r="DF1424" i="12"/>
  <c r="DF100" i="12"/>
  <c r="DF1683" i="12"/>
  <c r="DF1493" i="12"/>
  <c r="DF1464" i="12"/>
  <c r="DF367" i="12"/>
  <c r="DF351" i="12"/>
  <c r="DF1098" i="12"/>
  <c r="DF1099" i="12" s="1"/>
  <c r="DF25" i="12"/>
  <c r="DF2123" i="12"/>
  <c r="DF506" i="12"/>
  <c r="DF570" i="12"/>
  <c r="DF1824" i="12"/>
  <c r="DF1337" i="12"/>
  <c r="DF2045" i="12"/>
  <c r="DF1676" i="12"/>
  <c r="DF587" i="12"/>
  <c r="DF1833" i="12"/>
  <c r="DF251" i="12"/>
  <c r="DF1436" i="12"/>
  <c r="DF695" i="12"/>
  <c r="DF1516" i="12"/>
  <c r="DF528" i="12"/>
  <c r="DF782" i="12"/>
  <c r="DF1146" i="12"/>
  <c r="DF1847" i="12"/>
  <c r="DF1020" i="12"/>
  <c r="DF867" i="12"/>
  <c r="DF868" i="12" s="1"/>
  <c r="DF805" i="12"/>
  <c r="DF198" i="12"/>
  <c r="DF199" i="12" s="1"/>
  <c r="DF657" i="12"/>
  <c r="DF1078" i="12"/>
  <c r="DF1322" i="12"/>
  <c r="DF144" i="12"/>
  <c r="DF1821" i="12"/>
  <c r="DF1545" i="12"/>
  <c r="DF2145" i="12"/>
  <c r="DF838" i="12"/>
  <c r="DF2048" i="12"/>
  <c r="DF336" i="12"/>
  <c r="DF527" i="12"/>
  <c r="DF48" i="12"/>
  <c r="DF1105" i="12"/>
  <c r="DF1059" i="12"/>
  <c r="DF971" i="12"/>
  <c r="DF1564" i="12"/>
  <c r="DF833" i="12"/>
  <c r="DF1713" i="12"/>
  <c r="DF651" i="12"/>
  <c r="DF1181" i="12"/>
  <c r="DF1195" i="12"/>
  <c r="DF966" i="12"/>
  <c r="DF1056" i="12"/>
  <c r="DF466" i="12"/>
  <c r="DF1628" i="12"/>
  <c r="DF1151" i="12"/>
  <c r="DF1305" i="12"/>
  <c r="DF1282" i="12"/>
  <c r="DF431" i="12"/>
  <c r="DF672" i="12"/>
  <c r="DF1239" i="12"/>
  <c r="DF1766" i="12"/>
  <c r="DF953" i="12"/>
  <c r="DF1408" i="12"/>
  <c r="DF413" i="12"/>
  <c r="DF679" i="12"/>
  <c r="DF1949" i="12"/>
  <c r="DF895" i="12"/>
  <c r="DF591" i="12"/>
  <c r="DF139" i="12"/>
  <c r="DF1289" i="12"/>
  <c r="DF1757" i="12"/>
  <c r="DF1088" i="12"/>
  <c r="DF1996" i="12"/>
  <c r="DF673" i="12"/>
  <c r="DF83" i="12"/>
  <c r="DF540" i="12"/>
  <c r="DF541" i="12" s="1"/>
  <c r="DF1410" i="12"/>
  <c r="DF1075" i="12"/>
  <c r="DF1471" i="12"/>
  <c r="DF792" i="12"/>
  <c r="DF793" i="12" s="1"/>
  <c r="DF561" i="12"/>
  <c r="DF1778" i="12"/>
  <c r="DF1667" i="12"/>
  <c r="DF1016" i="12"/>
  <c r="DF1583" i="12"/>
  <c r="DF740" i="12"/>
  <c r="DF769" i="12"/>
  <c r="DF1777" i="12"/>
  <c r="DF878" i="12"/>
  <c r="DF1188" i="12"/>
  <c r="DF1189" i="12" s="1"/>
  <c r="DF214" i="12"/>
  <c r="DF1538" i="12"/>
  <c r="DF2052" i="12"/>
  <c r="DF2053" i="12" s="1"/>
  <c r="DF2141" i="12"/>
  <c r="DF107" i="12"/>
  <c r="DF504" i="12"/>
  <c r="DF505" i="12" s="1"/>
  <c r="DF145" i="12"/>
  <c r="DF898" i="12"/>
  <c r="DF906" i="12"/>
  <c r="DF1280" i="12"/>
  <c r="DF777" i="12"/>
  <c r="DF1237" i="12"/>
  <c r="DF1393" i="12"/>
  <c r="DF500" i="12"/>
  <c r="DF1263" i="12"/>
  <c r="DF1935" i="12"/>
  <c r="DF1270" i="12"/>
  <c r="DF1303" i="12"/>
  <c r="DF105" i="12"/>
  <c r="DF1355" i="12"/>
  <c r="DF854" i="12"/>
  <c r="DF1278" i="12"/>
  <c r="DF1279" i="12" s="1"/>
  <c r="DF1174" i="12"/>
  <c r="DF342" i="12"/>
  <c r="DF343" i="12" s="1"/>
  <c r="DF1565" i="12"/>
  <c r="DF1878" i="12"/>
  <c r="DF1614" i="12"/>
  <c r="DF1586" i="12"/>
  <c r="DF408" i="12"/>
  <c r="DF1653" i="12"/>
  <c r="DF2000" i="12"/>
  <c r="DF1853" i="12"/>
  <c r="DF1645" i="12"/>
  <c r="DF124" i="12"/>
  <c r="DF610" i="12"/>
  <c r="DF1801" i="12"/>
  <c r="DF1209" i="12"/>
  <c r="DF1336" i="12"/>
  <c r="DF1219" i="12"/>
  <c r="DF331" i="12"/>
  <c r="DF1973" i="12"/>
  <c r="DF1120" i="12"/>
  <c r="DF1129" i="12"/>
  <c r="DF1844" i="12"/>
  <c r="DF1806" i="12"/>
  <c r="DF593" i="12"/>
  <c r="DF2077" i="12"/>
  <c r="DF2001" i="12"/>
  <c r="DF894" i="12"/>
  <c r="DF1761" i="12"/>
  <c r="DF1916" i="12"/>
  <c r="DF547" i="12"/>
  <c r="DF1681" i="12"/>
  <c r="DF737" i="12"/>
  <c r="DF886" i="12"/>
  <c r="DF1902" i="12"/>
  <c r="DF1090" i="12"/>
  <c r="DF830" i="12"/>
  <c r="DF925" i="12"/>
  <c r="DF633" i="12"/>
  <c r="DF755" i="12"/>
  <c r="DF765" i="12"/>
  <c r="DF1054" i="12"/>
  <c r="DF675" i="12"/>
  <c r="DF1014" i="12"/>
  <c r="DF2100" i="12"/>
  <c r="DF1832" i="12"/>
  <c r="DF776" i="12"/>
  <c r="DF824" i="12"/>
  <c r="DF1587" i="12"/>
  <c r="DF1568" i="12"/>
  <c r="DF1650" i="12"/>
  <c r="DF1255" i="12"/>
  <c r="DF2082" i="12"/>
  <c r="DF799" i="12"/>
  <c r="DF1158" i="12"/>
  <c r="DF1159" i="12" s="1"/>
  <c r="DF586" i="12"/>
  <c r="DF1906" i="12"/>
  <c r="DF394" i="12"/>
  <c r="DF1697" i="12"/>
  <c r="DF1155" i="12"/>
  <c r="DF1933" i="12"/>
  <c r="DF1290" i="12"/>
  <c r="DF1164" i="12"/>
  <c r="DF1528" i="12"/>
  <c r="DF1271" i="12"/>
  <c r="DF1771" i="12"/>
  <c r="DF2086" i="12"/>
  <c r="DF2159" i="12"/>
  <c r="DF1665" i="12"/>
  <c r="DF896" i="12"/>
  <c r="DF1656" i="12"/>
  <c r="DF1657" i="12" s="1"/>
  <c r="DF1557" i="12"/>
  <c r="DF82" i="12"/>
  <c r="DF2031" i="12"/>
  <c r="DF1934" i="12"/>
  <c r="DF1425" i="12"/>
  <c r="DF1252" i="12"/>
  <c r="DF430" i="12"/>
  <c r="DF2076" i="12"/>
  <c r="DF521" i="12"/>
  <c r="DF517" i="12"/>
  <c r="DF482" i="12"/>
  <c r="DF920" i="12"/>
  <c r="DF1396" i="12"/>
  <c r="DF91" i="12"/>
  <c r="DF1024" i="12"/>
  <c r="DF457" i="12"/>
  <c r="DF194" i="12"/>
  <c r="DF874" i="12"/>
  <c r="DF1474" i="12"/>
  <c r="DF902" i="12"/>
  <c r="DF566" i="12"/>
  <c r="DF1689" i="12"/>
  <c r="DF2074" i="12"/>
  <c r="DF787" i="12"/>
  <c r="DF736" i="12"/>
  <c r="DF1749" i="12"/>
  <c r="DF1750" i="12" s="1"/>
  <c r="DF1542" i="12"/>
  <c r="DF1517" i="12"/>
  <c r="DF511" i="12"/>
  <c r="DF1048" i="12"/>
  <c r="DF1049" i="12" s="1"/>
  <c r="DF1886" i="12"/>
  <c r="DF1726" i="12"/>
  <c r="DF1366" i="12"/>
  <c r="DF1605" i="12"/>
  <c r="DF806" i="12"/>
  <c r="DF227" i="12"/>
  <c r="DF2005" i="12"/>
  <c r="DF2066" i="12"/>
  <c r="DF1367" i="12"/>
  <c r="DF812" i="12"/>
  <c r="DF1669" i="12"/>
  <c r="DF1527" i="12"/>
  <c r="DF503" i="12"/>
  <c r="DF1901" i="12"/>
  <c r="DF1217" i="12"/>
  <c r="DF158" i="12"/>
  <c r="DF1330" i="12"/>
  <c r="DF1767" i="12"/>
  <c r="DF1100" i="12"/>
  <c r="DF1760" i="12"/>
  <c r="DF2151" i="12"/>
  <c r="DF1321" i="12"/>
  <c r="DF1284" i="12"/>
  <c r="DF1268" i="12"/>
  <c r="DF1478" i="12"/>
  <c r="DF387" i="12"/>
  <c r="DF1179" i="12"/>
  <c r="DF1895" i="12"/>
  <c r="DF1963" i="12"/>
  <c r="DF797" i="12"/>
  <c r="DF981" i="12"/>
  <c r="DF405" i="12"/>
  <c r="DF1456" i="12"/>
  <c r="DF1414" i="12"/>
  <c r="DF357" i="12"/>
  <c r="DF1035" i="12"/>
  <c r="DF962" i="12"/>
  <c r="DF562" i="12"/>
  <c r="DF1119" i="12"/>
  <c r="DF1276" i="12"/>
  <c r="DF87" i="12"/>
  <c r="DF1353" i="12"/>
  <c r="DF579" i="12"/>
  <c r="DF471" i="12"/>
  <c r="DF556" i="12"/>
  <c r="DF1865" i="12"/>
  <c r="DF1554" i="12"/>
  <c r="DF970" i="12"/>
  <c r="DF35" i="12"/>
  <c r="DF2135" i="12"/>
  <c r="DF2072" i="12"/>
  <c r="DF45" i="12"/>
  <c r="DF46" i="12" s="1"/>
  <c r="DF47" i="12" s="1"/>
  <c r="DF1911" i="12"/>
  <c r="DF1997" i="12"/>
  <c r="DF933" i="12"/>
  <c r="DF943" i="12"/>
  <c r="DF1594" i="12"/>
  <c r="DF1497" i="12"/>
  <c r="DF652" i="12"/>
  <c r="DF714" i="12"/>
  <c r="DF497" i="12"/>
  <c r="DF720" i="12"/>
  <c r="DF721" i="12" s="1"/>
  <c r="DF472" i="12"/>
  <c r="DF473" i="12" s="1"/>
  <c r="DF474" i="12" s="1"/>
  <c r="DF1900" i="12"/>
  <c r="DF1830" i="12"/>
  <c r="DF979" i="12"/>
  <c r="DF1540" i="12"/>
  <c r="DF1006" i="12"/>
  <c r="DF406" i="12"/>
  <c r="DF725" i="12"/>
  <c r="DF2013" i="12"/>
  <c r="DF711" i="12"/>
  <c r="DF1745" i="12"/>
  <c r="DF2002" i="12"/>
  <c r="DF1249" i="12"/>
  <c r="DF1948" i="12"/>
  <c r="DF607" i="12"/>
  <c r="DF1079" i="12"/>
  <c r="DF526" i="12"/>
  <c r="DF709" i="12"/>
  <c r="DF938" i="12"/>
  <c r="DF694" i="12"/>
  <c r="DF1748" i="12"/>
  <c r="DF1103" i="12"/>
  <c r="DF882" i="12"/>
  <c r="DF883" i="12" s="1"/>
  <c r="DF1714" i="12"/>
  <c r="DF412" i="12"/>
  <c r="DF1889" i="12"/>
  <c r="DF935" i="12"/>
  <c r="DF974" i="12"/>
  <c r="DF756" i="12"/>
  <c r="DF757" i="12" s="1"/>
  <c r="DF627" i="12"/>
  <c r="DF2073" i="12"/>
  <c r="DF620" i="12"/>
  <c r="DF947" i="12"/>
  <c r="DF63" i="12"/>
  <c r="DF2023" i="12"/>
  <c r="DF826" i="12"/>
  <c r="DF1172" i="12"/>
  <c r="DF905" i="12"/>
  <c r="DF1489" i="12"/>
  <c r="DF915" i="12"/>
  <c r="DF81" i="12"/>
  <c r="DF1773" i="12"/>
  <c r="DF626" i="12"/>
  <c r="DF1123" i="12"/>
  <c r="DF1069" i="12"/>
  <c r="DF1884" i="12"/>
  <c r="DF1871" i="12"/>
  <c r="DF1533" i="12"/>
  <c r="DF993" i="12"/>
  <c r="DF1984" i="12"/>
  <c r="DF1050" i="12"/>
  <c r="DF350" i="12"/>
  <c r="DF910" i="12"/>
  <c r="DF2146" i="12"/>
  <c r="DF32" i="12"/>
  <c r="DF538" i="12"/>
  <c r="DF1125" i="12"/>
  <c r="DF1453" i="12"/>
  <c r="DF1371" i="12"/>
  <c r="DF1307" i="12"/>
  <c r="DF1011" i="12"/>
  <c r="DF1826" i="12"/>
  <c r="DF1590" i="12"/>
  <c r="DF1890" i="12"/>
  <c r="DF1891" i="12" s="1"/>
  <c r="DF1708" i="12"/>
  <c r="DF1293" i="12"/>
  <c r="DF1498" i="12"/>
  <c r="DF1926" i="12"/>
  <c r="DF492" i="12"/>
  <c r="DF918" i="12"/>
  <c r="DF919" i="12" s="1"/>
  <c r="DF1841" i="12"/>
  <c r="DF614" i="12"/>
  <c r="DF88" i="12"/>
  <c r="DF2051" i="12"/>
  <c r="DF2139" i="12"/>
  <c r="DF43" i="12"/>
  <c r="DF772" i="12"/>
  <c r="DF1007" i="12"/>
  <c r="DF1858" i="12"/>
  <c r="DF548" i="12"/>
  <c r="DF951" i="12"/>
  <c r="DF1317" i="12"/>
  <c r="DF998" i="12"/>
  <c r="DF304" i="12"/>
  <c r="DF1028" i="12"/>
  <c r="DF914" i="12"/>
  <c r="DF1753" i="12"/>
  <c r="DF1429" i="12"/>
  <c r="DF462" i="12"/>
  <c r="DF15" i="12"/>
  <c r="DF1026" i="12"/>
  <c r="DF1027" i="12" s="1"/>
  <c r="DF1041" i="12"/>
  <c r="DF1925" i="12"/>
  <c r="DF316" i="12"/>
  <c r="DF1694" i="12"/>
  <c r="DF1561" i="12"/>
  <c r="DF774" i="12"/>
  <c r="DF775" i="12" s="1"/>
  <c r="DF510" i="12"/>
  <c r="DF519" i="12"/>
  <c r="DF2044" i="12"/>
  <c r="DF1818" i="12"/>
  <c r="DF1819" i="12" s="1"/>
  <c r="DF449" i="12"/>
  <c r="DF71" i="12"/>
  <c r="DF390" i="12"/>
  <c r="DF1133" i="12"/>
  <c r="DF1644" i="12"/>
  <c r="DF1397" i="12"/>
  <c r="DF629" i="12"/>
  <c r="DF1212" i="12"/>
  <c r="DF945" i="12"/>
  <c r="DF84" i="12"/>
  <c r="DF956" i="12"/>
  <c r="DF1193" i="12"/>
  <c r="DF597" i="12"/>
  <c r="DF1461" i="12"/>
  <c r="DF2096" i="12"/>
  <c r="DF230" i="12"/>
  <c r="DF34" i="12"/>
  <c r="DF317" i="12"/>
  <c r="DF557" i="12"/>
  <c r="DF495" i="12"/>
  <c r="DF795" i="12"/>
  <c r="DF1899" i="12"/>
  <c r="DF798" i="12"/>
  <c r="DF513" i="12"/>
  <c r="DF660" i="12"/>
  <c r="DF1433" i="12"/>
  <c r="DF1475" i="12"/>
  <c r="DF302" i="12"/>
  <c r="DF31" i="12"/>
  <c r="DF771" i="12"/>
  <c r="DF818" i="12"/>
  <c r="DF1792" i="12"/>
  <c r="DF1888" i="12"/>
  <c r="DF1182" i="12"/>
  <c r="DF539" i="12"/>
  <c r="DF1704" i="12"/>
  <c r="DF1224" i="12"/>
  <c r="DF1225" i="12" s="1"/>
  <c r="DF1068" i="12"/>
  <c r="DF2030" i="12"/>
  <c r="DF1529" i="12"/>
  <c r="DF1842" i="12"/>
  <c r="DF1180" i="12"/>
  <c r="DF1764" i="12"/>
  <c r="DF1765" i="12" s="1"/>
  <c r="DF409" i="12"/>
  <c r="DF1438" i="12"/>
  <c r="DF1230" i="12"/>
  <c r="DF1897" i="12"/>
  <c r="DF1553" i="12"/>
  <c r="DF322" i="12"/>
  <c r="DF1084" i="12"/>
  <c r="DF1710" i="12"/>
  <c r="DF1711" i="12" s="1"/>
  <c r="DF1071" i="12"/>
  <c r="DF452" i="12"/>
  <c r="DF1887" i="12"/>
  <c r="DF746" i="12"/>
  <c r="DF952" i="12"/>
  <c r="DF984" i="12"/>
  <c r="DF1365" i="12"/>
  <c r="DF2101" i="12"/>
  <c r="DF2156" i="12"/>
  <c r="DF2125" i="12"/>
  <c r="DF288" i="12"/>
  <c r="DF289" i="12" s="1"/>
  <c r="DF1785" i="12"/>
  <c r="DF2026" i="12"/>
  <c r="DF1399" i="12"/>
  <c r="DF550" i="12"/>
  <c r="DF407" i="12"/>
  <c r="DF1595" i="12"/>
  <c r="DF1560" i="12"/>
  <c r="DF1417" i="12"/>
  <c r="DF558" i="12"/>
  <c r="DF559" i="12" s="1"/>
  <c r="DF1664" i="12"/>
  <c r="DF2110" i="12"/>
  <c r="DF1980" i="12"/>
  <c r="DF2116" i="12"/>
  <c r="DF1288" i="12"/>
  <c r="DF2056" i="12"/>
  <c r="DF1299" i="12"/>
  <c r="DF1370" i="12"/>
  <c r="DF2071" i="12"/>
  <c r="DF949" i="12"/>
  <c r="DF340" i="12"/>
  <c r="DF1437" i="12"/>
  <c r="DF655" i="12"/>
  <c r="DF1591" i="12"/>
  <c r="DF1924" i="12"/>
  <c r="DF1447" i="12"/>
  <c r="DF1789" i="12"/>
  <c r="DF1816" i="12"/>
  <c r="DF1582" i="12"/>
  <c r="DF688" i="12"/>
  <c r="DF1723" i="12"/>
  <c r="DF1018" i="12"/>
  <c r="DF1677" i="12"/>
  <c r="DF1550" i="12"/>
  <c r="DF1395" i="12"/>
  <c r="DF2016" i="12"/>
  <c r="DF2090" i="12"/>
  <c r="DF2160" i="12"/>
  <c r="DF1684" i="12"/>
  <c r="DF1400" i="12"/>
  <c r="DF893" i="12"/>
  <c r="DF632" i="12"/>
  <c r="DF599" i="12"/>
  <c r="DF1132" i="12"/>
  <c r="DF646" i="12"/>
  <c r="DF1939" i="12"/>
  <c r="DF1931" i="12"/>
  <c r="DF269" i="12"/>
  <c r="DF2007" i="12"/>
  <c r="DF578" i="12"/>
  <c r="DF353" i="12"/>
  <c r="DF1096" i="12"/>
  <c r="DF1383" i="12"/>
  <c r="DF1245" i="12"/>
  <c r="DF1246" i="12" s="1"/>
  <c r="DF1247" i="12" s="1"/>
  <c r="DF1277" i="12"/>
  <c r="DF1526" i="12"/>
  <c r="DF856" i="12"/>
  <c r="DF1283" i="12"/>
  <c r="DF1114" i="12"/>
  <c r="DF1721" i="12"/>
  <c r="DF1144" i="12"/>
  <c r="DF1951" i="12"/>
  <c r="DF2050" i="12"/>
  <c r="DF2105" i="12"/>
  <c r="DF768" i="12"/>
  <c r="DF2081" i="12"/>
  <c r="DF1070" i="12"/>
  <c r="DF160" i="12"/>
  <c r="DF1946" i="12"/>
  <c r="DF1668" i="12"/>
  <c r="DF1709" i="12"/>
  <c r="DF1494" i="12"/>
  <c r="DF1495" i="12" s="1"/>
  <c r="DF1600" i="12"/>
  <c r="DF1012" i="12"/>
  <c r="DF1015" i="12"/>
  <c r="DF588" i="12"/>
  <c r="DF819" i="12"/>
  <c r="DF354" i="12"/>
  <c r="DF67" i="12"/>
  <c r="DF545" i="12"/>
  <c r="DF942" i="12"/>
  <c r="DF1509" i="12"/>
  <c r="DF761" i="12"/>
  <c r="DF2079" i="12"/>
  <c r="DF1083" i="12"/>
  <c r="DF1008" i="12"/>
  <c r="DF1009" i="12" s="1"/>
  <c r="DF1808" i="12"/>
  <c r="DF749" i="12"/>
  <c r="DF2118" i="12"/>
  <c r="DF27" i="12"/>
  <c r="DF8" i="12"/>
  <c r="DF1010" i="12"/>
  <c r="DF195" i="12"/>
  <c r="DF514" i="12"/>
  <c r="DF1259" i="12"/>
  <c r="DF1503" i="12"/>
  <c r="DF1286" i="12"/>
  <c r="DF52" i="12"/>
  <c r="DF1903" i="12"/>
  <c r="DF563" i="12"/>
  <c r="DF2161" i="12"/>
  <c r="DF1197" i="12"/>
  <c r="DF553" i="12"/>
  <c r="DF604" i="12"/>
  <c r="DF1609" i="12"/>
  <c r="DF1426" i="12"/>
  <c r="DF501" i="12"/>
  <c r="DF623" i="12"/>
  <c r="DF475" i="12"/>
  <c r="DF1025" i="12"/>
  <c r="DF371" i="12"/>
  <c r="DF136" i="12"/>
  <c r="DF1319" i="12"/>
  <c r="DF1444" i="12"/>
  <c r="DF478" i="12"/>
  <c r="DF1285" i="12"/>
  <c r="DF484" i="12"/>
  <c r="DF2036" i="12"/>
  <c r="DF2107" i="12"/>
  <c r="DF385" i="12"/>
  <c r="DF1547" i="12"/>
  <c r="DF666" i="12"/>
  <c r="DF667" i="12" s="1"/>
  <c r="DF580" i="12"/>
  <c r="DF1751" i="12"/>
  <c r="DF1974" i="12"/>
  <c r="DF1730" i="12"/>
  <c r="DF1772" i="12"/>
  <c r="DF2055" i="12"/>
  <c r="DF881" i="12"/>
  <c r="DF978" i="12"/>
  <c r="DF228" i="12"/>
  <c r="DF1298" i="12"/>
  <c r="DF1941" i="12"/>
  <c r="DF530" i="12"/>
  <c r="DF1223" i="12"/>
  <c r="DF1506" i="12"/>
  <c r="DF488" i="12"/>
  <c r="DF1040" i="12"/>
  <c r="DF1386" i="12"/>
  <c r="DF1387" i="12" s="1"/>
  <c r="DF934" i="12"/>
  <c r="DF1342" i="12"/>
  <c r="DF1218" i="12"/>
  <c r="DF889" i="12"/>
  <c r="DF1728" i="12"/>
  <c r="DF1729" i="12" s="1"/>
  <c r="DF2084" i="12"/>
  <c r="DF2122" i="12"/>
  <c r="DF2099" i="12"/>
  <c r="DF330" i="12"/>
  <c r="DF1309" i="12"/>
  <c r="DF698" i="12"/>
  <c r="DF1907" i="12"/>
  <c r="DF1944" i="12"/>
  <c r="DF1945" i="12" s="1"/>
  <c r="DF1986" i="12"/>
  <c r="DF1686" i="12"/>
  <c r="DF2091" i="12"/>
  <c r="DF784" i="12"/>
  <c r="DF360" i="12"/>
  <c r="DF908" i="12"/>
  <c r="DF1467" i="12"/>
  <c r="DF708" i="12"/>
  <c r="DF1521" i="12"/>
  <c r="DF1149" i="12"/>
  <c r="DF781" i="12"/>
  <c r="DF285" i="12"/>
  <c r="DF1264" i="12"/>
  <c r="DF789" i="12"/>
  <c r="DF855" i="12"/>
  <c r="DF1597" i="12"/>
  <c r="DF2114" i="12"/>
  <c r="DF524" i="12"/>
  <c r="DF2152" i="12"/>
  <c r="DF2088" i="12"/>
  <c r="DF9" i="12"/>
  <c r="DF1515" i="12"/>
  <c r="DF284" i="12"/>
  <c r="DF1971" i="12"/>
  <c r="DF836" i="12"/>
  <c r="DF315" i="12"/>
  <c r="DF1325" i="12"/>
  <c r="DF231" i="12"/>
  <c r="DF834" i="12"/>
  <c r="DF1995" i="12"/>
  <c r="DF1659" i="12"/>
  <c r="DF1647" i="12"/>
  <c r="DF1357" i="12"/>
  <c r="DF37" i="12"/>
  <c r="DF1451" i="12"/>
  <c r="DF1416" i="12"/>
  <c r="DF1454" i="12"/>
  <c r="DF1678" i="12"/>
  <c r="DF1142" i="12"/>
  <c r="DF704" i="12"/>
  <c r="DF1840" i="12"/>
  <c r="DF480" i="12"/>
  <c r="DF392" i="12"/>
  <c r="DF1504" i="12"/>
  <c r="DF68" i="12"/>
  <c r="DF233" i="12"/>
  <c r="DF1206" i="12"/>
  <c r="DF1207" i="12" s="1"/>
  <c r="DF948" i="12"/>
  <c r="DF1382" i="12"/>
  <c r="DF1524" i="12"/>
  <c r="DF2034" i="12"/>
  <c r="DF2035" i="12" s="1"/>
  <c r="DF2108" i="12"/>
  <c r="DF751" i="12"/>
  <c r="DF301" i="12"/>
  <c r="DF1859" i="12"/>
  <c r="DF1864" i="12"/>
  <c r="DF1546" i="12"/>
  <c r="DF1306" i="12"/>
  <c r="DF1389" i="12"/>
  <c r="DF1091" i="12"/>
  <c r="DF831" i="12"/>
  <c r="DF1862" i="12"/>
  <c r="DF1491" i="12"/>
  <c r="DF2019" i="12"/>
  <c r="DF1468" i="12"/>
  <c r="DF1701" i="12"/>
  <c r="DF846" i="12"/>
  <c r="DF847" i="12" s="1"/>
  <c r="DF1642" i="12"/>
  <c r="DF534" i="12"/>
  <c r="DF1732" i="12"/>
  <c r="DF1635" i="12"/>
  <c r="DF318" i="12"/>
  <c r="DF1975" i="12"/>
  <c r="DF712" i="12"/>
  <c r="DF582" i="12"/>
  <c r="DF1612" i="12"/>
  <c r="DF1434" i="12"/>
  <c r="DF2153" i="12"/>
  <c r="DF2157" i="12"/>
  <c r="DF463" i="12"/>
  <c r="DF1618" i="12"/>
  <c r="DF1358" i="12"/>
  <c r="DF1809" i="12"/>
  <c r="DF18" i="12"/>
  <c r="DF2080" i="12"/>
  <c r="DF212" i="12"/>
  <c r="DF1625" i="12"/>
  <c r="DF1972" i="12"/>
  <c r="DF267" i="12"/>
  <c r="DF1169" i="12"/>
  <c r="DF1520" i="12"/>
  <c r="DF349" i="12"/>
  <c r="DF300" i="12"/>
  <c r="DF1104" i="12"/>
  <c r="DF428" i="12"/>
  <c r="DF1575" i="12"/>
  <c r="DF1850" i="12"/>
  <c r="DF1036" i="12"/>
  <c r="DF1571" i="12"/>
  <c r="DF1807" i="12"/>
  <c r="DF391" i="12"/>
  <c r="DF1183" i="12"/>
  <c r="DF808" i="12"/>
  <c r="DF2102" i="12"/>
  <c r="DF2089" i="12"/>
  <c r="DF10" i="12"/>
  <c r="DF1776" i="12"/>
  <c r="DF950" i="12"/>
  <c r="DF1870" i="12"/>
  <c r="DF1335" i="12"/>
  <c r="DF1420" i="12"/>
  <c r="DF1879" i="12"/>
  <c r="DF1449" i="12"/>
  <c r="DF1220" i="12"/>
  <c r="DF853" i="12"/>
  <c r="DF1173" i="12"/>
  <c r="DF1235" i="12"/>
  <c r="DF1551" i="12"/>
  <c r="DF791" i="12"/>
  <c r="DF1663" i="12"/>
  <c r="DF486" i="12"/>
  <c r="DF487" i="12" s="1"/>
  <c r="DF1057" i="12"/>
  <c r="DF904" i="12"/>
  <c r="DF1094" i="12"/>
  <c r="DF1240" i="12"/>
  <c r="DF1811" i="12"/>
  <c r="DF643" i="12"/>
  <c r="DF2027" i="12"/>
  <c r="DF490" i="12"/>
  <c r="DF1294" i="12"/>
  <c r="DF2059" i="12"/>
  <c r="DF1310" i="12"/>
  <c r="DF1755" i="12"/>
  <c r="DF1860" i="12"/>
  <c r="DF1465" i="12"/>
  <c r="DF2120" i="12"/>
  <c r="DF2124" i="12"/>
  <c r="DF1296" i="12"/>
  <c r="DF1297" i="12" s="1"/>
  <c r="DF1168" i="12"/>
  <c r="DF923" i="12"/>
  <c r="DF1266" i="12"/>
  <c r="DF1002" i="12"/>
  <c r="DF843" i="12"/>
  <c r="DF1894" i="12"/>
  <c r="DF733" i="12"/>
  <c r="DF1198" i="12"/>
  <c r="DF837" i="12"/>
  <c r="DF125" i="12"/>
  <c r="DF1205" i="12"/>
  <c r="DF1861" i="12"/>
  <c r="DF606" i="12"/>
  <c r="DF1233" i="12"/>
  <c r="DF1599" i="12"/>
  <c r="DF2024" i="12"/>
  <c r="DF827" i="12"/>
  <c r="DF744" i="12"/>
  <c r="DF573" i="12"/>
  <c r="DF693" i="12"/>
  <c r="DF1705" i="12"/>
  <c r="DF1341" i="12"/>
  <c r="DF748" i="12"/>
  <c r="DF1843" i="12"/>
  <c r="DF2136" i="12"/>
  <c r="DF2158" i="12"/>
  <c r="DF1964" i="12"/>
  <c r="DF1735" i="12"/>
  <c r="DF537" i="12"/>
  <c r="DF760" i="12"/>
  <c r="DF1281" i="12"/>
  <c r="DF931" i="12"/>
  <c r="DF549" i="12"/>
  <c r="DF815" i="12"/>
  <c r="DF1215" i="12"/>
  <c r="DF1834" i="12"/>
  <c r="DF1060" i="12"/>
  <c r="DF432" i="12"/>
  <c r="DF433" i="12" s="1"/>
  <c r="DF1401" i="12"/>
  <c r="DF1496" i="12"/>
  <c r="DF780" i="12"/>
  <c r="DF1874" i="12"/>
  <c r="DF2117" i="12"/>
  <c r="DF1167" i="12"/>
  <c r="DF1430" i="12"/>
  <c r="DF1488" i="12"/>
  <c r="DF1739" i="12"/>
  <c r="DF1619" i="12"/>
  <c r="DF2113" i="12"/>
  <c r="DF355" i="12"/>
  <c r="DF2068" i="12"/>
  <c r="DF2106" i="12"/>
  <c r="DF11" i="12"/>
  <c r="DF743" i="12"/>
  <c r="DF1718" i="12"/>
  <c r="DF55" i="12"/>
  <c r="DF612" i="12"/>
  <c r="DF613" i="12" s="1"/>
  <c r="DF989" i="12"/>
  <c r="DF509" i="12"/>
  <c r="DF1409" i="12"/>
  <c r="DF1917" i="12"/>
  <c r="DF352" i="12"/>
  <c r="DF1919" i="12"/>
  <c r="DF1311" i="12"/>
  <c r="DF907" i="12"/>
  <c r="DF1770" i="12"/>
  <c r="DF494" i="12"/>
  <c r="DF924" i="12"/>
  <c r="DF1248" i="12"/>
  <c r="DF1184" i="12"/>
  <c r="DF1828" i="12"/>
  <c r="DF619" i="12"/>
  <c r="DF1738" i="12"/>
  <c r="DF634" i="12"/>
  <c r="DF635" i="12" s="1"/>
  <c r="DF636" i="12" s="1"/>
  <c r="DF1791" i="12"/>
  <c r="DF155" i="12"/>
  <c r="DF1724" i="12"/>
  <c r="DF85" i="12"/>
  <c r="DF985" i="12"/>
  <c r="DF2095" i="12"/>
  <c r="DF1138" i="12"/>
  <c r="DF26" i="12"/>
  <c r="DF2144" i="12"/>
  <c r="DF809" i="12"/>
  <c r="DF2115" i="12"/>
  <c r="DF1308" i="12"/>
  <c r="DF1479" i="12"/>
  <c r="DF1480" i="12" s="1"/>
  <c r="DF1095" i="12"/>
  <c r="DF1956" i="12"/>
  <c r="DF458" i="12"/>
  <c r="DF1572" i="12"/>
  <c r="DF552" i="12"/>
  <c r="DF1210" i="12"/>
  <c r="DF647" i="12"/>
  <c r="DF1643" i="12"/>
  <c r="DF1093" i="12"/>
  <c r="DF1361" i="12"/>
  <c r="DF1051" i="12"/>
  <c r="DF1234" i="12"/>
  <c r="DF1510" i="12"/>
  <c r="DF1836" i="12"/>
  <c r="DF1115" i="12"/>
  <c r="DF1959" i="12"/>
  <c r="DF1508" i="12"/>
  <c r="DF1470" i="12"/>
  <c r="DF156" i="12"/>
  <c r="DF1435" i="12"/>
  <c r="DF1608" i="12"/>
  <c r="DF2069" i="12"/>
  <c r="DF154" i="12"/>
  <c r="DF602" i="12"/>
  <c r="DF697" i="12"/>
  <c r="DF2041" i="12"/>
  <c r="DF691" i="12"/>
  <c r="DF2062" i="12"/>
  <c r="DF609" i="12"/>
  <c r="DF1021" i="12"/>
  <c r="DF1883" i="12"/>
  <c r="DF1914" i="12"/>
  <c r="DF1022" i="12"/>
  <c r="DF1413" i="12"/>
  <c r="DF1136" i="12"/>
  <c r="DF1097" i="12"/>
  <c r="DF389" i="12"/>
  <c r="DF33" i="12"/>
  <c r="DF370" i="12"/>
  <c r="DF1559" i="12"/>
  <c r="DF1402" i="12"/>
  <c r="DF516" i="12"/>
  <c r="DF671" i="12"/>
  <c r="DF1204" i="12"/>
  <c r="DF786" i="12"/>
  <c r="DF674" i="12"/>
  <c r="DF1793" i="12"/>
  <c r="DF2085" i="12"/>
  <c r="DF2126" i="12"/>
  <c r="DF12" i="12"/>
  <c r="DF1253" i="12"/>
  <c r="DF822" i="12"/>
  <c r="DF313" i="12"/>
  <c r="DF2148" i="12"/>
  <c r="DF1392" i="12"/>
  <c r="DF1779" i="12"/>
  <c r="DF689" i="12"/>
  <c r="DF1525" i="12"/>
  <c r="DF730" i="12"/>
  <c r="DF766" i="12"/>
  <c r="DF1265" i="12"/>
  <c r="DF1140" i="12"/>
  <c r="DF542" i="12"/>
  <c r="DF1769" i="12"/>
  <c r="DF1556" i="12"/>
  <c r="DF1472" i="12"/>
  <c r="DF404" i="12"/>
  <c r="DF551" i="12"/>
  <c r="DF14" i="12"/>
  <c r="DF1990" i="12"/>
  <c r="DF1190" i="12"/>
  <c r="DF1829" i="12"/>
  <c r="DF101" i="12"/>
  <c r="DF1052" i="12"/>
  <c r="DF916" i="12"/>
  <c r="DF2043" i="12"/>
  <c r="DF2058" i="12"/>
  <c r="DF1740" i="12"/>
  <c r="DF496" i="12"/>
  <c r="DF1177" i="12"/>
  <c r="DF2104" i="12"/>
  <c r="DF2142" i="12"/>
  <c r="DF1875" i="12"/>
  <c r="DF1349" i="12"/>
  <c r="DF1390" i="12"/>
  <c r="DF1511" i="12"/>
  <c r="DF630" i="12"/>
  <c r="DF631" i="12" s="1"/>
  <c r="DF121" i="12"/>
  <c r="DF1391" i="12"/>
  <c r="DF1566" i="12"/>
  <c r="DF1567" i="12" s="1"/>
  <c r="DF1913" i="12"/>
  <c r="DF758" i="12"/>
  <c r="DF1727" i="12"/>
  <c r="DF403" i="12"/>
  <c r="DF2032" i="12"/>
  <c r="DF1262" i="12"/>
  <c r="DF1630" i="12"/>
  <c r="DF1636" i="12"/>
  <c r="DF1562" i="12"/>
  <c r="DF817" i="12"/>
  <c r="DF1796" i="12"/>
  <c r="DF2046" i="12"/>
  <c r="DF1221" i="12"/>
  <c r="DF1736" i="12"/>
  <c r="DF860" i="12"/>
  <c r="DF677" i="12"/>
  <c r="DF1611" i="12"/>
  <c r="DF2103" i="12"/>
  <c r="DF502" i="12"/>
  <c r="DF1593" i="12"/>
  <c r="DF1602" i="12"/>
  <c r="DF1603" i="12" s="1"/>
  <c r="DF120" i="12"/>
  <c r="DF65" i="12"/>
  <c r="DF954" i="12"/>
  <c r="DF955" i="12" s="1"/>
  <c r="DF1698" i="12"/>
  <c r="DF1982" i="12"/>
  <c r="DF1938" i="12"/>
  <c r="DF2098" i="12"/>
  <c r="DF877" i="12"/>
  <c r="DF1194" i="12"/>
  <c r="DF483" i="12"/>
  <c r="DF1332" i="12"/>
  <c r="DF1333" i="12" s="1"/>
  <c r="DF1936" i="12"/>
  <c r="DF747" i="12"/>
  <c r="DF1072" i="12"/>
  <c r="DF337" i="12"/>
  <c r="DF319" i="12"/>
  <c r="DF1606" i="12"/>
  <c r="DF1031" i="12"/>
  <c r="DF1469" i="12"/>
  <c r="DF51" i="12"/>
  <c r="DF422" i="12"/>
  <c r="DF1610" i="12"/>
  <c r="DF2054" i="12"/>
  <c r="DF2143" i="12"/>
  <c r="DF13" i="12"/>
  <c r="DF728" i="12"/>
  <c r="DF804" i="12"/>
  <c r="DF1685" i="12"/>
  <c r="DF1166" i="12"/>
  <c r="DF700" i="12"/>
  <c r="DF845" i="12"/>
  <c r="DF287" i="12"/>
  <c r="DF1537" i="12"/>
  <c r="DF140" i="12"/>
  <c r="DF361" i="12"/>
  <c r="DF696" i="12"/>
  <c r="DF303" i="12"/>
  <c r="DF1448" i="12"/>
  <c r="DF1254" i="12"/>
  <c r="DF126" i="12"/>
  <c r="DF2017" i="12"/>
  <c r="DF1037" i="12"/>
  <c r="DF1651" i="12"/>
  <c r="DF66" i="12"/>
  <c r="DF1552" i="12"/>
  <c r="DF440" i="12"/>
  <c r="DF423" i="12"/>
  <c r="DF729" i="12"/>
  <c r="DF1649" i="12"/>
  <c r="DF1846" i="12"/>
  <c r="DF995" i="12"/>
  <c r="DF676" i="12"/>
  <c r="DF1244" i="12"/>
  <c r="DF1329" i="12"/>
  <c r="DF844" i="12"/>
  <c r="DF2009" i="12"/>
  <c r="DF835" i="12"/>
  <c r="DF2067" i="12"/>
  <c r="DF2138" i="12"/>
  <c r="DF44" i="12"/>
  <c r="DF1160" i="12"/>
  <c r="DF1148" i="12"/>
  <c r="DF2134" i="12"/>
  <c r="DF796" i="12"/>
  <c r="DF1242" i="12"/>
  <c r="DF1243" i="12" s="1"/>
  <c r="DF917" i="12"/>
  <c r="DF1827" i="12"/>
  <c r="DF453" i="12"/>
  <c r="DF454" i="12" s="1"/>
  <c r="DF468" i="12"/>
  <c r="DF469" i="12" s="1"/>
  <c r="DF734" i="12"/>
  <c r="DF1500" i="12"/>
  <c r="DF1452" i="12"/>
  <c r="DF507" i="12"/>
  <c r="DF1457" i="12"/>
  <c r="DF512" i="12"/>
  <c r="DF1378" i="12"/>
  <c r="DF1419" i="12"/>
  <c r="DF1532" i="12"/>
  <c r="DF456" i="12"/>
  <c r="DF913" i="12"/>
  <c r="DF899" i="12"/>
  <c r="DF2006" i="12"/>
  <c r="DF1670" i="12"/>
  <c r="DF1712" i="12"/>
  <c r="DF2033" i="12"/>
  <c r="DF2121" i="12"/>
  <c r="DF1673" i="12"/>
  <c r="DF2004" i="12"/>
  <c r="DF1970" i="12"/>
  <c r="DF1863" i="12"/>
  <c r="DF499" i="12"/>
  <c r="DF153" i="12"/>
  <c r="DF543" i="12"/>
  <c r="DF325" i="12"/>
  <c r="DF663" i="12"/>
  <c r="DF741" i="12"/>
  <c r="DF608" i="12"/>
  <c r="DF656" i="12"/>
  <c r="DF1176" i="12"/>
  <c r="DF127" i="12"/>
  <c r="DF975" i="12"/>
  <c r="DF842" i="12"/>
  <c r="DF790" i="12"/>
  <c r="DF641" i="12"/>
  <c r="DF1690" i="12"/>
  <c r="DF1573" i="12"/>
  <c r="DF455" i="12"/>
  <c r="DF369" i="12"/>
  <c r="DF742" i="12"/>
  <c r="DF493" i="12"/>
  <c r="DF2119" i="12"/>
  <c r="DF2087" i="12"/>
  <c r="DF7" i="12"/>
  <c r="DF1404" i="12"/>
  <c r="DF1405" i="12" s="1"/>
  <c r="DF681" i="12"/>
  <c r="DF1376" i="12"/>
  <c r="DF2133" i="12"/>
  <c r="DF863" i="12"/>
  <c r="DF1905" i="12"/>
  <c r="DF763" i="12"/>
  <c r="DF70" i="12"/>
  <c r="DF1962" i="12"/>
  <c r="DF1814" i="12"/>
  <c r="DF574" i="12"/>
  <c r="DF642" i="12"/>
  <c r="DF1250" i="12"/>
  <c r="DF813" i="12"/>
  <c r="DF814" i="12" s="1"/>
  <c r="DF1328" i="12"/>
  <c r="DF248" i="12"/>
  <c r="DF1092" i="12"/>
  <c r="DF1199" i="12"/>
  <c r="DF2018" i="12"/>
  <c r="DF1431" i="12"/>
  <c r="DF980" i="12"/>
  <c r="DF1487" i="12"/>
  <c r="DF903" i="12"/>
  <c r="DF1139" i="12"/>
  <c r="DF24" i="12"/>
  <c r="DF1275" i="12"/>
  <c r="DF102" i="12"/>
  <c r="DF1838" i="12"/>
  <c r="DF1211" i="12"/>
  <c r="DF425" i="12"/>
  <c r="DF36" i="12"/>
  <c r="DF217" i="12"/>
  <c r="DF1700" i="12"/>
  <c r="DF2155" i="12"/>
  <c r="DF334" i="12"/>
  <c r="DF1880" i="12"/>
  <c r="DF157" i="12"/>
  <c r="DF800" i="12"/>
  <c r="DF1360" i="12"/>
  <c r="DF2061" i="12"/>
  <c r="DF2127" i="12"/>
  <c r="DF1258" i="12"/>
  <c r="DF2131" i="12"/>
  <c r="DF1347" i="12"/>
  <c r="DF1196" i="12"/>
  <c r="DF341" i="12"/>
  <c r="DF152" i="12"/>
  <c r="DF1539" i="12"/>
  <c r="DF1087" i="12"/>
  <c r="DF286" i="12"/>
  <c r="DF668" i="12"/>
  <c r="DF1065" i="12"/>
  <c r="DF29" i="12"/>
  <c r="DF1574" i="12"/>
  <c r="DF1929" i="12"/>
  <c r="DF2070" i="12"/>
  <c r="DF592" i="12"/>
  <c r="DF770" i="12"/>
  <c r="DF1666" i="12"/>
  <c r="DF788" i="12"/>
  <c r="DF1202" i="12"/>
  <c r="DF49" i="12"/>
  <c r="DF1953" i="12"/>
  <c r="DF2154" i="12"/>
  <c r="DF5" i="12"/>
  <c r="DF6" i="12" s="1"/>
  <c r="DF42" i="12"/>
  <c r="DF119" i="12"/>
  <c r="DF38" i="12"/>
  <c r="DF39" i="12" s="1"/>
  <c r="DF40" i="12" s="1"/>
  <c r="DF41" i="12" s="1"/>
  <c r="DF56" i="12"/>
  <c r="DF57" i="12" s="1"/>
  <c r="DF60" i="12"/>
  <c r="DF58" i="12"/>
  <c r="DF59" i="12" s="1"/>
  <c r="DF61" i="12"/>
  <c r="DF62" i="12"/>
  <c r="DF74" i="12"/>
  <c r="DF75" i="12"/>
  <c r="DF135" i="12"/>
  <c r="DF76" i="12"/>
  <c r="DF77" i="12"/>
  <c r="DF78" i="12"/>
  <c r="DF79" i="12"/>
  <c r="DF80" i="12"/>
  <c r="DF92" i="12"/>
  <c r="DF93" i="12"/>
  <c r="DF94" i="12"/>
  <c r="DF95" i="12"/>
  <c r="DF96" i="12" s="1"/>
  <c r="DF97" i="12" s="1"/>
  <c r="DF98" i="12" s="1"/>
  <c r="DF99" i="12"/>
  <c r="DF110" i="12" s="1"/>
  <c r="DF111" i="12"/>
  <c r="DF112" i="12" s="1"/>
  <c r="DF113" i="12" s="1"/>
  <c r="DF114" i="12"/>
  <c r="DF115" i="12" s="1"/>
  <c r="DF116" i="12" s="1"/>
  <c r="DF117" i="12" s="1"/>
  <c r="DF118" i="12" s="1"/>
  <c r="DF130" i="12"/>
  <c r="DF131" i="12" s="1"/>
  <c r="DF132" i="12" s="1"/>
  <c r="DF133" i="12" s="1"/>
  <c r="DF134" i="12" s="1"/>
  <c r="FZ93" i="12"/>
  <c r="DF168" i="12"/>
  <c r="DF169" i="12" s="1"/>
  <c r="DF170" i="12" s="1"/>
  <c r="DF171" i="12" s="1"/>
  <c r="DF172" i="12" s="1"/>
  <c r="DF173" i="12" s="1"/>
  <c r="DF174" i="12" s="1"/>
  <c r="DF175" i="12" s="1"/>
  <c r="DF176" i="12" s="1"/>
  <c r="DF177" i="12" s="1"/>
  <c r="DF178" i="12" s="1"/>
  <c r="DF179" i="12" s="1"/>
  <c r="GD84" i="12"/>
  <c r="GH85" i="12"/>
  <c r="GL85" i="12" s="1"/>
  <c r="GD86" i="12"/>
  <c r="GG86" i="12"/>
  <c r="GK86" i="12" s="1"/>
  <c r="GS83" i="12"/>
  <c r="GS19" i="12"/>
  <c r="GS49" i="12"/>
  <c r="GS109" i="12"/>
  <c r="GS42" i="12"/>
  <c r="GS100" i="12"/>
  <c r="GS130" i="12"/>
  <c r="GS126" i="12"/>
  <c r="GS10" i="12"/>
  <c r="GS56" i="12"/>
  <c r="GS136" i="12"/>
  <c r="GS36" i="12"/>
  <c r="GS120" i="12"/>
  <c r="GS112" i="12"/>
  <c r="GS144" i="12"/>
  <c r="GS47" i="12"/>
  <c r="GS23" i="12"/>
  <c r="GS131" i="12"/>
  <c r="GS114" i="12"/>
  <c r="GS122" i="12"/>
  <c r="GS134" i="12"/>
  <c r="GS27" i="12"/>
  <c r="GS61" i="12"/>
  <c r="GS55" i="12"/>
  <c r="GS107" i="12"/>
  <c r="GS46" i="12"/>
  <c r="GS147" i="12"/>
  <c r="GS140" i="12"/>
  <c r="GS48" i="12"/>
  <c r="GS29" i="12"/>
  <c r="GS11" i="12"/>
  <c r="GS129" i="12"/>
  <c r="GS15" i="12"/>
  <c r="GS119" i="12"/>
  <c r="GS117" i="12"/>
  <c r="GS62" i="12"/>
  <c r="GS9" i="12"/>
  <c r="GS103" i="12"/>
  <c r="GS125" i="12"/>
  <c r="GS102" i="12"/>
  <c r="GS5" i="12"/>
  <c r="GS43" i="12"/>
  <c r="GS99" i="12"/>
  <c r="GS41" i="12"/>
  <c r="GS123" i="12"/>
  <c r="GS31" i="12"/>
  <c r="GS110" i="12"/>
  <c r="GS16" i="12"/>
  <c r="GS30" i="12"/>
  <c r="GS133" i="12"/>
  <c r="GS40" i="12"/>
  <c r="GS116" i="12"/>
  <c r="GS35" i="12"/>
  <c r="GS143" i="12"/>
  <c r="GS54" i="12"/>
  <c r="GS8" i="12"/>
  <c r="GS150" i="12"/>
  <c r="GS21" i="12"/>
  <c r="GS51" i="12"/>
  <c r="GS142" i="12"/>
  <c r="GS146" i="12"/>
  <c r="GS50" i="12"/>
  <c r="GS115" i="12"/>
  <c r="GS63" i="12"/>
  <c r="GS14" i="12"/>
  <c r="GS135" i="12"/>
  <c r="GS53" i="12"/>
  <c r="GS138" i="12"/>
  <c r="GS128" i="12"/>
  <c r="GS33" i="12"/>
  <c r="GS111" i="12"/>
  <c r="GS25" i="12"/>
  <c r="GS17" i="12"/>
  <c r="GS108" i="12"/>
  <c r="GS39" i="12"/>
  <c r="GS145" i="12"/>
  <c r="GS57" i="12"/>
  <c r="GS113" i="12"/>
  <c r="GS44" i="12"/>
  <c r="GS45" i="12"/>
  <c r="GS59" i="12"/>
  <c r="GS149" i="12"/>
  <c r="GS106" i="12"/>
  <c r="GS26" i="12"/>
  <c r="GS132" i="12"/>
  <c r="GS58" i="12"/>
  <c r="GS24" i="12"/>
  <c r="GS124" i="12"/>
  <c r="GS18" i="12"/>
  <c r="GS22" i="12"/>
  <c r="GS77" i="12"/>
  <c r="GS141" i="12"/>
  <c r="GS13" i="12"/>
  <c r="GS127" i="12"/>
  <c r="GS7" i="12"/>
  <c r="GS38" i="12"/>
  <c r="GS20" i="12"/>
  <c r="GS105" i="12"/>
  <c r="GS28" i="12"/>
  <c r="GS104" i="12"/>
  <c r="GS6" i="12"/>
  <c r="GS148" i="12"/>
  <c r="GS137" i="12"/>
  <c r="GS34" i="12"/>
  <c r="GS151" i="12"/>
  <c r="GS37" i="12"/>
  <c r="GS139" i="12"/>
  <c r="GS98" i="12"/>
  <c r="GS78" i="12"/>
  <c r="GS60" i="12"/>
  <c r="GS118" i="12"/>
  <c r="GS52" i="12"/>
  <c r="GS101" i="12"/>
  <c r="GS32" i="12"/>
  <c r="GS121" i="12"/>
  <c r="GS12" i="12"/>
  <c r="GS67" i="12"/>
  <c r="GS65" i="12"/>
  <c r="GS66" i="12"/>
  <c r="GS64" i="12"/>
  <c r="GS73" i="12"/>
  <c r="GS155" i="12"/>
  <c r="GS172" i="12"/>
  <c r="GS170" i="12"/>
  <c r="GS163" i="12"/>
  <c r="GS74" i="12"/>
  <c r="GS159" i="12"/>
  <c r="GS157" i="12"/>
  <c r="GS168" i="12"/>
  <c r="GS169" i="12"/>
  <c r="GS81" i="12"/>
  <c r="GS68" i="12"/>
  <c r="GS76" i="12"/>
  <c r="GS72" i="12"/>
  <c r="GS153" i="12"/>
  <c r="GS71" i="12"/>
  <c r="GS156" i="12"/>
  <c r="GS152" i="12"/>
  <c r="GS161" i="12"/>
  <c r="GS80" i="12"/>
  <c r="GS82" i="12"/>
  <c r="GS171" i="12"/>
  <c r="GS164" i="12"/>
  <c r="GS174" i="12"/>
  <c r="GS173" i="12"/>
  <c r="GS160" i="12"/>
  <c r="GS158" i="12"/>
  <c r="GS175" i="12"/>
  <c r="GS162" i="12"/>
  <c r="GS70" i="12"/>
  <c r="GS166" i="12"/>
  <c r="GS154" i="12"/>
  <c r="GS167" i="12"/>
  <c r="GS75" i="12"/>
  <c r="GS165" i="12"/>
  <c r="GS69" i="12"/>
  <c r="GS85" i="12"/>
  <c r="GD85" i="12"/>
  <c r="GS79" i="12"/>
  <c r="GS86" i="12"/>
  <c r="GG85" i="12"/>
  <c r="GK85" i="12" s="1"/>
  <c r="GS84" i="12"/>
  <c r="GD106" i="12"/>
  <c r="GD142" i="12"/>
  <c r="GD115" i="12"/>
  <c r="GD7" i="12"/>
  <c r="GD10" i="12"/>
  <c r="GD52" i="12"/>
  <c r="GD121" i="12"/>
  <c r="GD29" i="12"/>
  <c r="GD41" i="12"/>
  <c r="GD36" i="12"/>
  <c r="GD51" i="12"/>
  <c r="GD120" i="12"/>
  <c r="GD24" i="12"/>
  <c r="GD107" i="12"/>
  <c r="GD27" i="12"/>
  <c r="GD25" i="12"/>
  <c r="GD28" i="12"/>
  <c r="GD124" i="12"/>
  <c r="GD118" i="12"/>
  <c r="GD19" i="12"/>
  <c r="GD23" i="12"/>
  <c r="GD99" i="12"/>
  <c r="GD33" i="12"/>
  <c r="GD47" i="12"/>
  <c r="GD140" i="12"/>
  <c r="GD109" i="12"/>
  <c r="GD138" i="12"/>
  <c r="GD146" i="12"/>
  <c r="GD79" i="12"/>
  <c r="GD129" i="12"/>
  <c r="GD54" i="12"/>
  <c r="GD15" i="12"/>
  <c r="GD101" i="12"/>
  <c r="GD68" i="12"/>
  <c r="GD131" i="12"/>
  <c r="GD66" i="12"/>
  <c r="GD39" i="12"/>
  <c r="GD98" i="12"/>
  <c r="GD78" i="12"/>
  <c r="GD26" i="12"/>
  <c r="GD139" i="12"/>
  <c r="GD117" i="12"/>
  <c r="GD112" i="12"/>
  <c r="GD148" i="12"/>
  <c r="GD40" i="12"/>
  <c r="GD42" i="12"/>
  <c r="GD9" i="12"/>
  <c r="GD44" i="12"/>
  <c r="GD63" i="12"/>
  <c r="GD132" i="12"/>
  <c r="GD122" i="12"/>
  <c r="GD64" i="12"/>
  <c r="GD130" i="12"/>
  <c r="GD59" i="12"/>
  <c r="GD53" i="12"/>
  <c r="GD48" i="12"/>
  <c r="GD134" i="12"/>
  <c r="GD103" i="12"/>
  <c r="GD35" i="12"/>
  <c r="GD114" i="12"/>
  <c r="GD14" i="12"/>
  <c r="GD145" i="12"/>
  <c r="GD62" i="12"/>
  <c r="GD133" i="12"/>
  <c r="GD151" i="12"/>
  <c r="GD102" i="12"/>
  <c r="GD21" i="12"/>
  <c r="GD61" i="12"/>
  <c r="GD38" i="12"/>
  <c r="GD127" i="12"/>
  <c r="GD30" i="12"/>
  <c r="GD31" i="12"/>
  <c r="GD150" i="12"/>
  <c r="GD12" i="12"/>
  <c r="GD20" i="12"/>
  <c r="GD13" i="12"/>
  <c r="GD22" i="12"/>
  <c r="GD100" i="12"/>
  <c r="GD147" i="12"/>
  <c r="GD60" i="12"/>
  <c r="GD16" i="12"/>
  <c r="GD18" i="12"/>
  <c r="GD104" i="12"/>
  <c r="GD123" i="12"/>
  <c r="GD65" i="12"/>
  <c r="GD137" i="12"/>
  <c r="GD110" i="12"/>
  <c r="GD149" i="12"/>
  <c r="GD49" i="12"/>
  <c r="GD43" i="12"/>
  <c r="GD80" i="12"/>
  <c r="GD34" i="12"/>
  <c r="GD143" i="12"/>
  <c r="GD46" i="12"/>
  <c r="GD17" i="12"/>
  <c r="GD11" i="12"/>
  <c r="GD6" i="12"/>
  <c r="GD55" i="12"/>
  <c r="GD111" i="12"/>
  <c r="GD77" i="12"/>
  <c r="GD125" i="12"/>
  <c r="GD8" i="12"/>
  <c r="GD58" i="12"/>
  <c r="GD108" i="12"/>
  <c r="GD144" i="12"/>
  <c r="GD32" i="12"/>
  <c r="GD119" i="12"/>
  <c r="GD113" i="12"/>
  <c r="GD50" i="12"/>
  <c r="GD141" i="12"/>
  <c r="GD37" i="12"/>
  <c r="GD105" i="12"/>
  <c r="GD45" i="12"/>
  <c r="GD128" i="12"/>
  <c r="GD116" i="12"/>
  <c r="GD136" i="12"/>
  <c r="GD135" i="12"/>
  <c r="GD56" i="12"/>
  <c r="GD57" i="12"/>
  <c r="GD67" i="12"/>
  <c r="GD81" i="12"/>
  <c r="GD157" i="12"/>
  <c r="GD159" i="12"/>
  <c r="GD161" i="12"/>
  <c r="GD162" i="12"/>
  <c r="GD175" i="12"/>
  <c r="GD163" i="12"/>
  <c r="GD168" i="12"/>
  <c r="GD75" i="12"/>
  <c r="GD82" i="12"/>
  <c r="GD69" i="12"/>
  <c r="GD160" i="12"/>
  <c r="GD166" i="12"/>
  <c r="GD165" i="12"/>
  <c r="GD172" i="12"/>
  <c r="GD164" i="12"/>
  <c r="GD155" i="12"/>
  <c r="GD170" i="12"/>
  <c r="GD153" i="12"/>
  <c r="GD158" i="12"/>
  <c r="GD167" i="12"/>
  <c r="GD74" i="12"/>
  <c r="GD173" i="12"/>
  <c r="GD154" i="12"/>
  <c r="GD70" i="12"/>
  <c r="GD73" i="12"/>
  <c r="GD152" i="12"/>
  <c r="GD71" i="12"/>
  <c r="GD171" i="12"/>
  <c r="GD174" i="12"/>
  <c r="GD169" i="12"/>
  <c r="GD72" i="12"/>
  <c r="GD156" i="12"/>
  <c r="GD76" i="12"/>
  <c r="GD83" i="12"/>
  <c r="GH86" i="12"/>
  <c r="GL86" i="12" s="1"/>
  <c r="DF21" i="12" l="1"/>
  <c r="DF20" i="12"/>
  <c r="DF146" i="12"/>
  <c r="DF147" i="12" s="1"/>
  <c r="FZ94" i="12"/>
  <c r="GA13" i="12"/>
  <c r="DF22" i="12" l="1"/>
  <c r="DF23" i="12" s="1"/>
  <c r="DF148" i="12"/>
  <c r="DF149" i="12" s="1"/>
  <c r="DF150" i="12" s="1"/>
  <c r="DF151" i="12" s="1"/>
  <c r="GH87" i="12"/>
  <c r="GL87" i="12" s="1"/>
  <c r="GG87" i="12"/>
  <c r="GK87" i="12" s="1"/>
  <c r="GD87" i="12"/>
  <c r="GS87" i="12"/>
  <c r="FZ95" i="12"/>
  <c r="GD94" i="12"/>
  <c r="GA14" i="12"/>
  <c r="GA15" i="12"/>
  <c r="GG23" i="12"/>
  <c r="GK23" i="12" s="1"/>
  <c r="GH23" i="12"/>
  <c r="GL23" i="12" s="1"/>
  <c r="DF164" i="12" l="1"/>
  <c r="DF165" i="12" s="1"/>
  <c r="GM87" i="12"/>
  <c r="GD89" i="12"/>
  <c r="GG88" i="12"/>
  <c r="GK88" i="12" s="1"/>
  <c r="GH88" i="12"/>
  <c r="GL88" i="12" s="1"/>
  <c r="GD88" i="12"/>
  <c r="GG89" i="12"/>
  <c r="GK89" i="12" s="1"/>
  <c r="GH89" i="12"/>
  <c r="GL89" i="12" s="1"/>
  <c r="FZ96" i="12"/>
  <c r="GA16" i="12"/>
  <c r="GD90" i="12" s="1"/>
  <c r="GD95" i="12"/>
  <c r="GS95" i="12"/>
  <c r="GD96" i="12"/>
  <c r="GS94" i="12"/>
  <c r="DF166" i="12" l="1"/>
  <c r="DF167" i="12" s="1"/>
  <c r="DF182" i="12" s="1"/>
  <c r="DF183" i="12" s="1"/>
  <c r="DF184" i="12" s="1"/>
  <c r="DF185" i="12" s="1"/>
  <c r="DF186" i="12" s="1"/>
  <c r="DF187" i="12" s="1"/>
  <c r="DF188" i="12" s="1"/>
  <c r="GM88" i="12"/>
  <c r="GS88" i="12"/>
  <c r="GG90" i="12"/>
  <c r="GK90" i="12" s="1"/>
  <c r="GH90" i="12"/>
  <c r="GL90" i="12" s="1"/>
  <c r="GM89" i="12"/>
  <c r="GS89" i="12"/>
  <c r="GS96" i="12"/>
  <c r="GS90" i="12"/>
  <c r="FZ97" i="12"/>
  <c r="GA17" i="12"/>
  <c r="GD92" i="12" s="1"/>
  <c r="GS97" i="12"/>
  <c r="DF243" i="12"/>
  <c r="DF244" i="12" s="1"/>
  <c r="DF245" i="12" s="1"/>
  <c r="DF189" i="12" l="1"/>
  <c r="DF190" i="12" s="1"/>
  <c r="DF191" i="12" s="1"/>
  <c r="DF192" i="12" s="1"/>
  <c r="DF193" i="12" s="1"/>
  <c r="GM90" i="12"/>
  <c r="GS91" i="12"/>
  <c r="GG91" i="12"/>
  <c r="GK91" i="12" s="1"/>
  <c r="GD91" i="12"/>
  <c r="GH91" i="12"/>
  <c r="GL91" i="12" s="1"/>
  <c r="GS92" i="12"/>
  <c r="FZ126" i="12"/>
  <c r="GD93" i="12"/>
  <c r="GS93" i="12"/>
  <c r="FZ183" i="12"/>
  <c r="GD97" i="12"/>
  <c r="DF246" i="12"/>
  <c r="DF200" i="12" l="1"/>
  <c r="DF201" i="12" s="1"/>
  <c r="DF202" i="12" s="1"/>
  <c r="DF203" i="12" s="1"/>
  <c r="DF204" i="12" s="1"/>
  <c r="DF205" i="12" s="1"/>
  <c r="DF206" i="12" s="1"/>
  <c r="DF207" i="12" s="1"/>
  <c r="DF208" i="12" s="1"/>
  <c r="DF209" i="12" s="1"/>
  <c r="DF210" i="12" s="1"/>
  <c r="DF211" i="12" s="1"/>
  <c r="FZ176" i="12"/>
  <c r="FZ177" i="12" s="1"/>
  <c r="FZ178" i="12" s="1"/>
  <c r="GA18" i="12" s="1"/>
  <c r="FZ184" i="12"/>
  <c r="DF247" i="12"/>
  <c r="DF218" i="12" l="1"/>
  <c r="DF219" i="12" s="1"/>
  <c r="DF220" i="12" s="1"/>
  <c r="DF221" i="12" s="1"/>
  <c r="DF222" i="12" s="1"/>
  <c r="GS176" i="12"/>
  <c r="FZ179" i="12"/>
  <c r="FZ180" i="12" s="1"/>
  <c r="FZ181" i="12" s="1"/>
  <c r="FZ185" i="12"/>
  <c r="GA19" i="12"/>
  <c r="DF236" i="12" l="1"/>
  <c r="DF237" i="12" s="1"/>
  <c r="GA352" i="12"/>
  <c r="GA321" i="12"/>
  <c r="GA41" i="12"/>
  <c r="GA258" i="12"/>
  <c r="GA40" i="12"/>
  <c r="GA113" i="12"/>
  <c r="GA381" i="12"/>
  <c r="GS177" i="12"/>
  <c r="GD177" i="12"/>
  <c r="GA85" i="12"/>
  <c r="GA391" i="12"/>
  <c r="GA119" i="12"/>
  <c r="GA122" i="12"/>
  <c r="GA229" i="12"/>
  <c r="GA262" i="12"/>
  <c r="GA265" i="12"/>
  <c r="GA367" i="12"/>
  <c r="GA235" i="12"/>
  <c r="GA186" i="12"/>
  <c r="GA400" i="12"/>
  <c r="GD176" i="12" s="1"/>
  <c r="GA303" i="12"/>
  <c r="GA42" i="12"/>
  <c r="GA26" i="12"/>
  <c r="GA32" i="12"/>
  <c r="GA107" i="12"/>
  <c r="GA276" i="12"/>
  <c r="GA225" i="12"/>
  <c r="GA327" i="12"/>
  <c r="GA377" i="12"/>
  <c r="GA387" i="12"/>
  <c r="GA177" i="12"/>
  <c r="GA117" i="12"/>
  <c r="GA143" i="12"/>
  <c r="GA251" i="12"/>
  <c r="GA301" i="12"/>
  <c r="GA390" i="12"/>
  <c r="GA364" i="12"/>
  <c r="GA20" i="12"/>
  <c r="GD178" i="12" s="1"/>
  <c r="GA241" i="12"/>
  <c r="GA161" i="12"/>
  <c r="GA372" i="12"/>
  <c r="GA24" i="12"/>
  <c r="GA78" i="12"/>
  <c r="GA306" i="12"/>
  <c r="GA108" i="12"/>
  <c r="GA339" i="12"/>
  <c r="GA366" i="12"/>
  <c r="GA86" i="12"/>
  <c r="GA182" i="12"/>
  <c r="GA73" i="12"/>
  <c r="GA304" i="12"/>
  <c r="GA21" i="12"/>
  <c r="GA291" i="12"/>
  <c r="GA270" i="12"/>
  <c r="GA124" i="12"/>
  <c r="GA130" i="12"/>
  <c r="GA220" i="12"/>
  <c r="GA169" i="12"/>
  <c r="GA277" i="12"/>
  <c r="GA221" i="12"/>
  <c r="GA300" i="12"/>
  <c r="GA302" i="12"/>
  <c r="GA36" i="12"/>
  <c r="GA91" i="12"/>
  <c r="GA22" i="12"/>
  <c r="GA97" i="12"/>
  <c r="GA58" i="12"/>
  <c r="GA38" i="12"/>
  <c r="GA179" i="12"/>
  <c r="GA325" i="12"/>
  <c r="GA49" i="12"/>
  <c r="GA208" i="12"/>
  <c r="GA129" i="12"/>
  <c r="GA368" i="12"/>
  <c r="GA84" i="12"/>
  <c r="GA166" i="12"/>
  <c r="GA394" i="12"/>
  <c r="GA284" i="12"/>
  <c r="GA43" i="12"/>
  <c r="GA139" i="12"/>
  <c r="GA360" i="12"/>
  <c r="GA28" i="12"/>
  <c r="GA383" i="12"/>
  <c r="GA226" i="12"/>
  <c r="GA396" i="12"/>
  <c r="GA102" i="12"/>
  <c r="GA288" i="12"/>
  <c r="GA56" i="12"/>
  <c r="GA296" i="12"/>
  <c r="GA81" i="12"/>
  <c r="GA385" i="12"/>
  <c r="GA115" i="12"/>
  <c r="GA363" i="12"/>
  <c r="GA204" i="12"/>
  <c r="GA202" i="12"/>
  <c r="GA273" i="12"/>
  <c r="GA263" i="12"/>
  <c r="GA57" i="12"/>
  <c r="GA33" i="12"/>
  <c r="GA37" i="12"/>
  <c r="GA272" i="12"/>
  <c r="GA354" i="12"/>
  <c r="GA173" i="12"/>
  <c r="GA25" i="12"/>
  <c r="GA104" i="12"/>
  <c r="GA257" i="12"/>
  <c r="GA54" i="12"/>
  <c r="GA335" i="12"/>
  <c r="GA259" i="12"/>
  <c r="GA298" i="12"/>
  <c r="GA278" i="12"/>
  <c r="GA357" i="12"/>
  <c r="GA341" i="12"/>
  <c r="GA69" i="12"/>
  <c r="GA361" i="12"/>
  <c r="GA326" i="12"/>
  <c r="GA371" i="12"/>
  <c r="GA137" i="12"/>
  <c r="GA254" i="12"/>
  <c r="GA261" i="12"/>
  <c r="GA260" i="12"/>
  <c r="GA147" i="12"/>
  <c r="GA160" i="12"/>
  <c r="GA362" i="12"/>
  <c r="GA290" i="12"/>
  <c r="GA195" i="12"/>
  <c r="GA175" i="12"/>
  <c r="GA215" i="12"/>
  <c r="GA320" i="12"/>
  <c r="GA314" i="12"/>
  <c r="GA194" i="12"/>
  <c r="GA188" i="12"/>
  <c r="GA200" i="12"/>
  <c r="GA168" i="12"/>
  <c r="GA109" i="12"/>
  <c r="GA275" i="12"/>
  <c r="GA121" i="12"/>
  <c r="GA44" i="12"/>
  <c r="GA34" i="12"/>
  <c r="GA66" i="12"/>
  <c r="GA145" i="12"/>
  <c r="GA71" i="12"/>
  <c r="GA162" i="12"/>
  <c r="GA228" i="12"/>
  <c r="GA299" i="12"/>
  <c r="GA163" i="12"/>
  <c r="GA100" i="12"/>
  <c r="GA274" i="12"/>
  <c r="GA224" i="12"/>
  <c r="GA340" i="12"/>
  <c r="GA52" i="12"/>
  <c r="GA74" i="12"/>
  <c r="GA156" i="12"/>
  <c r="GA212" i="12"/>
  <c r="GA316" i="12"/>
  <c r="GA376" i="12"/>
  <c r="GA155" i="12"/>
  <c r="GA144" i="12"/>
  <c r="GA351" i="12"/>
  <c r="GA255" i="12"/>
  <c r="GA165" i="12"/>
  <c r="GA269" i="12"/>
  <c r="GA324" i="12"/>
  <c r="GA89" i="12"/>
  <c r="GA397" i="12"/>
  <c r="GA281" i="12"/>
  <c r="GA45" i="12"/>
  <c r="GA47" i="12"/>
  <c r="GA192" i="12"/>
  <c r="GA244" i="12"/>
  <c r="GA217" i="12"/>
  <c r="GA223" i="12"/>
  <c r="GA312" i="12"/>
  <c r="GA92" i="12"/>
  <c r="GA266" i="12"/>
  <c r="GA80" i="12"/>
  <c r="GA365" i="12"/>
  <c r="GA136" i="12"/>
  <c r="GA240" i="12"/>
  <c r="GA317" i="12"/>
  <c r="GA140" i="12"/>
  <c r="GA176" i="12"/>
  <c r="GA205" i="12"/>
  <c r="GA112" i="12"/>
  <c r="GA127" i="12"/>
  <c r="GA171" i="12"/>
  <c r="GA328" i="12"/>
  <c r="GA150" i="12"/>
  <c r="GA193" i="12"/>
  <c r="GA99" i="12"/>
  <c r="GA231" i="12"/>
  <c r="GA39" i="12"/>
  <c r="GA370" i="12"/>
  <c r="GA164" i="12"/>
  <c r="GA48" i="12"/>
  <c r="GA293" i="12"/>
  <c r="GA242" i="12"/>
  <c r="GA59" i="12"/>
  <c r="GA70" i="12"/>
  <c r="GA336" i="12"/>
  <c r="GA379" i="12"/>
  <c r="GA68" i="12"/>
  <c r="GA174" i="12"/>
  <c r="GA307" i="12"/>
  <c r="GA23" i="12"/>
  <c r="GA249" i="12"/>
  <c r="GA313" i="12"/>
  <c r="GA191" i="12"/>
  <c r="GA248" i="12"/>
  <c r="GA382" i="12"/>
  <c r="GA96" i="12"/>
  <c r="GA209" i="12"/>
  <c r="GA167" i="12"/>
  <c r="GA348" i="12"/>
  <c r="GA375" i="12"/>
  <c r="GA332" i="12"/>
  <c r="GA222" i="12"/>
  <c r="GA211" i="12"/>
  <c r="GA380" i="12"/>
  <c r="GA389" i="12"/>
  <c r="GA30" i="12"/>
  <c r="GA178" i="12"/>
  <c r="GA61" i="12"/>
  <c r="GA159" i="12"/>
  <c r="GA343" i="12"/>
  <c r="GA236" i="12"/>
  <c r="GA373" i="12"/>
  <c r="GA282" i="12"/>
  <c r="GA399" i="12"/>
  <c r="GA213" i="12"/>
  <c r="GA64" i="12"/>
  <c r="GA256" i="12"/>
  <c r="GA201" i="12"/>
  <c r="GA253" i="12"/>
  <c r="GA196" i="12"/>
  <c r="GA157" i="12"/>
  <c r="GA294" i="12"/>
  <c r="GA311" i="12"/>
  <c r="GA250" i="12"/>
  <c r="GA67" i="12"/>
  <c r="GA198" i="12"/>
  <c r="GA55" i="12"/>
  <c r="GA345" i="12"/>
  <c r="GA152" i="12"/>
  <c r="GA271" i="12"/>
  <c r="GA378" i="12"/>
  <c r="GA227" i="12"/>
  <c r="GA149" i="12"/>
  <c r="GA280" i="12"/>
  <c r="GA337" i="12"/>
  <c r="GA395" i="12"/>
  <c r="GA187" i="12"/>
  <c r="GA116" i="12"/>
  <c r="GA310" i="12"/>
  <c r="GA283" i="12"/>
  <c r="GA216" i="12"/>
  <c r="GA83" i="12"/>
  <c r="GA141" i="12"/>
  <c r="GA323" i="12"/>
  <c r="GA344" i="12"/>
  <c r="GA243" i="12"/>
  <c r="GA347" i="12"/>
  <c r="GA199" i="12"/>
  <c r="GA158" i="12"/>
  <c r="GA27" i="12"/>
  <c r="GA245" i="12"/>
  <c r="GA305" i="12"/>
  <c r="GA123" i="12"/>
  <c r="GA268" i="12"/>
  <c r="GA319" i="12"/>
  <c r="GA63" i="12"/>
  <c r="GA134" i="12"/>
  <c r="GA35" i="12"/>
  <c r="GA286" i="12"/>
  <c r="GA146" i="12"/>
  <c r="GA105" i="12"/>
  <c r="GA353" i="12"/>
  <c r="GA94" i="12"/>
  <c r="GD126" i="12"/>
  <c r="GA183" i="12"/>
  <c r="GA88" i="12"/>
  <c r="GA87" i="12"/>
  <c r="GA219" i="12"/>
  <c r="GA93" i="12"/>
  <c r="GA234" i="12"/>
  <c r="GA398" i="12"/>
  <c r="GA342" i="12"/>
  <c r="GA50" i="12"/>
  <c r="GA287" i="12"/>
  <c r="GA309" i="12"/>
  <c r="GA297" i="12"/>
  <c r="GA315" i="12"/>
  <c r="GA180" i="12"/>
  <c r="GA131" i="12"/>
  <c r="GA128" i="12"/>
  <c r="GA135" i="12"/>
  <c r="GA289" i="12"/>
  <c r="GA330" i="12"/>
  <c r="GA79" i="12"/>
  <c r="GA232" i="12"/>
  <c r="GA101" i="12"/>
  <c r="GA230" i="12"/>
  <c r="GA90" i="12"/>
  <c r="GA264" i="12"/>
  <c r="GA190" i="12"/>
  <c r="GA346" i="12"/>
  <c r="GA356" i="12"/>
  <c r="GA118" i="12"/>
  <c r="GA197" i="12"/>
  <c r="GA206" i="12"/>
  <c r="GA170" i="12"/>
  <c r="GA111" i="12"/>
  <c r="GA154" i="12"/>
  <c r="GA95" i="12"/>
  <c r="GA374" i="12"/>
  <c r="GA350" i="12"/>
  <c r="GA60" i="12"/>
  <c r="GA218" i="12"/>
  <c r="GA239" i="12"/>
  <c r="GA181" i="12"/>
  <c r="GA31" i="12"/>
  <c r="GA233" i="12"/>
  <c r="GA62" i="12"/>
  <c r="GA184" i="12"/>
  <c r="GA318" i="12"/>
  <c r="GA29" i="12"/>
  <c r="GA292" i="12"/>
  <c r="GA65" i="12"/>
  <c r="GA247" i="12"/>
  <c r="GA384" i="12"/>
  <c r="GA369" i="12"/>
  <c r="GA392" i="12"/>
  <c r="GA106" i="12"/>
  <c r="GA267" i="12"/>
  <c r="GA126" i="12"/>
  <c r="GA120" i="12"/>
  <c r="GA238" i="12"/>
  <c r="GA329" i="12"/>
  <c r="GA148" i="12"/>
  <c r="GA125" i="12"/>
  <c r="GA388" i="12"/>
  <c r="GA72" i="12"/>
  <c r="GA110" i="12"/>
  <c r="GA189" i="12"/>
  <c r="GA203" i="12"/>
  <c r="GA285" i="12"/>
  <c r="GA172" i="12"/>
  <c r="GA358" i="12"/>
  <c r="GA185" i="12"/>
  <c r="GA246" i="12"/>
  <c r="GA132" i="12"/>
  <c r="GA103" i="12"/>
  <c r="GA142" i="12"/>
  <c r="GA322" i="12"/>
  <c r="GA279" i="12"/>
  <c r="GA114" i="12"/>
  <c r="GA75" i="12"/>
  <c r="GA82" i="12"/>
  <c r="GA98" i="12"/>
  <c r="GA237" i="12"/>
  <c r="GA138" i="12"/>
  <c r="GA77" i="12"/>
  <c r="GA334" i="12"/>
  <c r="GA393" i="12"/>
  <c r="GA76" i="12"/>
  <c r="GA153" i="12"/>
  <c r="GA53" i="12"/>
  <c r="GA386" i="12"/>
  <c r="GA207" i="12"/>
  <c r="GA331" i="12"/>
  <c r="GA214" i="12"/>
  <c r="GA133" i="12"/>
  <c r="GA338" i="12"/>
  <c r="GA295" i="12"/>
  <c r="GA151" i="12"/>
  <c r="GA355" i="12"/>
  <c r="GA349" i="12"/>
  <c r="GA359" i="12"/>
  <c r="GA46" i="12"/>
  <c r="GH84" i="12" s="1"/>
  <c r="GL84" i="12" s="1"/>
  <c r="GA210" i="12"/>
  <c r="GA308" i="12"/>
  <c r="GA252" i="12"/>
  <c r="GA51" i="12"/>
  <c r="GA333" i="12"/>
  <c r="GS343" i="12" l="1"/>
  <c r="GS400" i="12"/>
  <c r="GS225" i="12"/>
  <c r="GS222" i="12"/>
  <c r="DF238" i="12"/>
  <c r="GD179" i="12"/>
  <c r="GS178" i="12"/>
  <c r="GG24" i="12"/>
  <c r="GK24" i="12" s="1"/>
  <c r="GG92" i="12"/>
  <c r="GK92" i="12" s="1"/>
  <c r="GH24" i="12"/>
  <c r="GL24" i="12" s="1"/>
  <c r="GH92" i="12"/>
  <c r="GL92" i="12" s="1"/>
  <c r="GS361" i="12"/>
  <c r="GS350" i="12"/>
  <c r="GS207" i="12"/>
  <c r="GS335" i="12"/>
  <c r="GS379" i="12"/>
  <c r="GS286" i="12"/>
  <c r="GS372" i="12"/>
  <c r="GS382" i="12"/>
  <c r="GS206" i="12"/>
  <c r="GS299" i="12"/>
  <c r="GS319" i="12"/>
  <c r="GS313" i="12"/>
  <c r="GS394" i="12"/>
  <c r="GS266" i="12"/>
  <c r="GS203" i="12"/>
  <c r="GS243" i="12"/>
  <c r="GS287" i="12"/>
  <c r="GS198" i="12"/>
  <c r="GS235" i="12"/>
  <c r="GS354" i="12"/>
  <c r="GS205" i="12"/>
  <c r="GS209" i="12"/>
  <c r="GS220" i="12"/>
  <c r="GS289" i="12"/>
  <c r="GS238" i="12"/>
  <c r="GS261" i="12"/>
  <c r="GS301" i="12"/>
  <c r="GS322" i="12"/>
  <c r="GS387" i="12"/>
  <c r="GS268" i="12"/>
  <c r="GS284" i="12"/>
  <c r="GS245" i="12"/>
  <c r="GS324" i="12"/>
  <c r="GS356" i="12"/>
  <c r="GS267" i="12"/>
  <c r="GS227" i="12"/>
  <c r="GS188" i="12"/>
  <c r="GS181" i="12"/>
  <c r="GS262" i="12"/>
  <c r="GS232" i="12"/>
  <c r="GS329" i="12"/>
  <c r="GS257" i="12"/>
  <c r="GS328" i="12"/>
  <c r="GS241" i="12"/>
  <c r="GS256" i="12"/>
  <c r="GS211" i="12"/>
  <c r="GS325" i="12"/>
  <c r="GS376" i="12"/>
  <c r="GS202" i="12"/>
  <c r="GS223" i="12"/>
  <c r="GS296" i="12"/>
  <c r="GS310" i="12"/>
  <c r="GS271" i="12"/>
  <c r="GS366" i="12"/>
  <c r="GS346" i="12"/>
  <c r="GS186" i="12"/>
  <c r="GS347" i="12"/>
  <c r="GS236" i="12"/>
  <c r="GS288" i="12"/>
  <c r="GS185" i="12"/>
  <c r="GS333" i="12"/>
  <c r="GS252" i="12"/>
  <c r="GS337" i="12"/>
  <c r="GS326" i="12"/>
  <c r="GS214" i="12"/>
  <c r="GS369" i="12"/>
  <c r="GS397" i="12"/>
  <c r="GS204" i="12"/>
  <c r="GS269" i="12"/>
  <c r="GS321" i="12"/>
  <c r="GS317" i="12"/>
  <c r="GS197" i="12"/>
  <c r="GS358" i="12"/>
  <c r="GS280" i="12"/>
  <c r="GS217" i="12"/>
  <c r="GS295" i="12"/>
  <c r="GS239" i="12"/>
  <c r="GS255" i="12"/>
  <c r="GS334" i="12"/>
  <c r="GS367" i="12"/>
  <c r="GS230" i="12"/>
  <c r="GS390" i="12"/>
  <c r="GS215" i="12"/>
  <c r="GS191" i="12"/>
  <c r="GS228" i="12"/>
  <c r="GS258" i="12"/>
  <c r="GS348" i="12"/>
  <c r="GS345" i="12"/>
  <c r="GS291" i="12"/>
  <c r="GS189" i="12"/>
  <c r="GS392" i="12"/>
  <c r="GS312" i="12"/>
  <c r="GS386" i="12"/>
  <c r="GS297" i="12"/>
  <c r="GS285" i="12"/>
  <c r="GS384" i="12"/>
  <c r="GS242" i="12"/>
  <c r="GS293" i="12"/>
  <c r="GS373" i="12"/>
  <c r="GS377" i="12"/>
  <c r="GS290" i="12"/>
  <c r="GS360" i="12"/>
  <c r="GS298" i="12"/>
  <c r="GS180" i="12"/>
  <c r="GS396" i="12"/>
  <c r="GS282" i="12"/>
  <c r="GS308" i="12"/>
  <c r="GS283" i="12"/>
  <c r="GS248" i="12"/>
  <c r="GS194" i="12"/>
  <c r="GS213" i="12"/>
  <c r="GS249" i="12"/>
  <c r="GS303" i="12"/>
  <c r="GS330" i="12"/>
  <c r="GS339" i="12"/>
  <c r="GS371" i="12"/>
  <c r="GS184" i="12"/>
  <c r="GS318" i="12"/>
  <c r="GS276" i="12"/>
  <c r="GS259" i="12"/>
  <c r="GS201" i="12"/>
  <c r="GS304" i="12"/>
  <c r="GS292" i="12"/>
  <c r="GS383" i="12"/>
  <c r="GS363" i="12"/>
  <c r="GS224" i="12"/>
  <c r="GS278" i="12"/>
  <c r="GS272" i="12"/>
  <c r="GS195" i="12"/>
  <c r="GS192" i="12"/>
  <c r="GS320" i="12"/>
  <c r="GS327" i="12"/>
  <c r="GS395" i="12"/>
  <c r="GS353" i="12"/>
  <c r="GS399" i="12"/>
  <c r="GS316" i="12"/>
  <c r="GS270" i="12"/>
  <c r="GS294" i="12"/>
  <c r="GS273" i="12"/>
  <c r="GS336" i="12"/>
  <c r="GS315" i="12"/>
  <c r="GS340" i="12"/>
  <c r="GS314" i="12"/>
  <c r="GS300" i="12"/>
  <c r="GS233" i="12"/>
  <c r="GS199" i="12"/>
  <c r="GS190" i="12"/>
  <c r="GS253" i="12"/>
  <c r="GS260" i="12"/>
  <c r="GS246" i="12"/>
  <c r="GS229" i="12"/>
  <c r="GS231" i="12"/>
  <c r="GS240" i="12"/>
  <c r="GS341" i="12"/>
  <c r="GS274" i="12"/>
  <c r="GS365" i="12"/>
  <c r="GS368" i="12"/>
  <c r="GS237" i="12"/>
  <c r="GS323" i="12"/>
  <c r="GS279" i="12"/>
  <c r="GS200" i="12"/>
  <c r="GS183" i="12"/>
  <c r="GS179" i="12"/>
  <c r="GS342" i="12"/>
  <c r="GS398" i="12"/>
  <c r="GS307" i="12"/>
  <c r="GS306" i="12"/>
  <c r="GS254" i="12"/>
  <c r="GS193" i="12"/>
  <c r="GS234" i="12"/>
  <c r="GS250" i="12"/>
  <c r="GS375" i="12"/>
  <c r="GS305" i="12"/>
  <c r="GS391" i="12"/>
  <c r="GS263" i="12"/>
  <c r="GS247" i="12"/>
  <c r="GS355" i="12"/>
  <c r="GS218" i="12"/>
  <c r="GS378" i="12"/>
  <c r="GS389" i="12"/>
  <c r="GS277" i="12"/>
  <c r="GS370" i="12"/>
  <c r="GS226" i="12"/>
  <c r="GS265" i="12"/>
  <c r="GS362" i="12"/>
  <c r="GS380" i="12"/>
  <c r="GS381" i="12"/>
  <c r="GS221" i="12"/>
  <c r="GS359" i="12"/>
  <c r="GS364" i="12"/>
  <c r="GS187" i="12"/>
  <c r="GS357" i="12"/>
  <c r="GS393" i="12"/>
  <c r="GS331" i="12"/>
  <c r="GS281" i="12"/>
  <c r="GS264" i="12"/>
  <c r="GS251" i="12"/>
  <c r="GS309" i="12"/>
  <c r="GS212" i="12"/>
  <c r="GS344" i="12"/>
  <c r="GS275" i="12"/>
  <c r="GS349" i="12"/>
  <c r="GS374" i="12"/>
  <c r="GS219" i="12"/>
  <c r="GS352" i="12"/>
  <c r="GS196" i="12"/>
  <c r="GS244" i="12"/>
  <c r="GS302" i="12"/>
  <c r="GS210" i="12"/>
  <c r="GS351" i="12"/>
  <c r="GS385" i="12"/>
  <c r="GS338" i="12"/>
  <c r="GS332" i="12"/>
  <c r="GS216" i="12"/>
  <c r="GS208" i="12"/>
  <c r="GS388" i="12"/>
  <c r="GS311" i="12"/>
  <c r="GS182" i="12"/>
  <c r="GG93" i="12"/>
  <c r="GK93" i="12" s="1"/>
  <c r="GH93" i="12"/>
  <c r="GL93" i="12" s="1"/>
  <c r="GD180" i="12"/>
  <c r="GD181" i="12"/>
  <c r="GH184" i="12"/>
  <c r="GL184" i="12" s="1"/>
  <c r="GG184" i="12"/>
  <c r="GK184" i="12" s="1"/>
  <c r="GH185" i="12"/>
  <c r="GL185" i="12" s="1"/>
  <c r="GG96" i="12"/>
  <c r="GK96" i="12" s="1"/>
  <c r="GH97" i="12"/>
  <c r="GL97" i="12" s="1"/>
  <c r="GH183" i="12"/>
  <c r="GL183" i="12" s="1"/>
  <c r="GH95" i="12"/>
  <c r="GL95" i="12" s="1"/>
  <c r="GD184" i="12"/>
  <c r="GD182" i="12"/>
  <c r="GH94" i="12"/>
  <c r="GL94" i="12" s="1"/>
  <c r="GG185" i="12"/>
  <c r="GK185" i="12" s="1"/>
  <c r="GD185" i="12"/>
  <c r="GG183" i="12"/>
  <c r="GK183" i="12" s="1"/>
  <c r="GH96" i="12"/>
  <c r="GL96" i="12" s="1"/>
  <c r="GG95" i="12"/>
  <c r="GK95" i="12" s="1"/>
  <c r="GM95" i="12" s="1"/>
  <c r="GG94" i="12"/>
  <c r="GK94" i="12" s="1"/>
  <c r="GD183" i="12"/>
  <c r="GG97" i="12"/>
  <c r="GK97" i="12" s="1"/>
  <c r="GD280" i="12"/>
  <c r="GH142" i="12"/>
  <c r="GL142" i="12" s="1"/>
  <c r="GG272" i="12"/>
  <c r="GK272" i="12" s="1"/>
  <c r="GH199" i="12"/>
  <c r="GL199" i="12" s="1"/>
  <c r="GD300" i="12"/>
  <c r="GD336" i="12"/>
  <c r="GH324" i="12"/>
  <c r="GL324" i="12" s="1"/>
  <c r="GG380" i="12"/>
  <c r="GK380" i="12" s="1"/>
  <c r="GG327" i="12"/>
  <c r="GK327" i="12" s="1"/>
  <c r="GH139" i="12"/>
  <c r="GL139" i="12" s="1"/>
  <c r="GD339" i="12"/>
  <c r="GG397" i="12"/>
  <c r="GK397" i="12" s="1"/>
  <c r="GD370" i="12"/>
  <c r="GH6" i="12"/>
  <c r="GL6" i="12" s="1"/>
  <c r="GH229" i="12"/>
  <c r="GL229" i="12" s="1"/>
  <c r="GD387" i="12"/>
  <c r="GH308" i="12"/>
  <c r="GL308" i="12" s="1"/>
  <c r="GG328" i="12"/>
  <c r="GK328" i="12" s="1"/>
  <c r="GH107" i="12"/>
  <c r="GL107" i="12" s="1"/>
  <c r="GG240" i="12"/>
  <c r="GK240" i="12" s="1"/>
  <c r="GG60" i="12"/>
  <c r="GK60" i="12" s="1"/>
  <c r="GH340" i="12"/>
  <c r="GL340" i="12" s="1"/>
  <c r="GH249" i="12"/>
  <c r="GL249" i="12" s="1"/>
  <c r="GH382" i="12"/>
  <c r="GL382" i="12" s="1"/>
  <c r="GG292" i="12"/>
  <c r="GK292" i="12" s="1"/>
  <c r="GG194" i="12"/>
  <c r="GK194" i="12" s="1"/>
  <c r="GD349" i="12"/>
  <c r="GG119" i="12"/>
  <c r="GK119" i="12" s="1"/>
  <c r="GH108" i="12"/>
  <c r="GL108" i="12" s="1"/>
  <c r="GH256" i="12"/>
  <c r="GL256" i="12" s="1"/>
  <c r="GG53" i="12"/>
  <c r="GK53" i="12" s="1"/>
  <c r="GH196" i="12"/>
  <c r="GL196" i="12" s="1"/>
  <c r="GH5" i="12"/>
  <c r="GL5" i="12" s="1"/>
  <c r="GG157" i="12"/>
  <c r="GK157" i="12" s="1"/>
  <c r="GG5" i="12"/>
  <c r="GK5" i="12" s="1"/>
  <c r="GG233" i="12"/>
  <c r="GK233" i="12" s="1"/>
  <c r="GH345" i="12"/>
  <c r="GL345" i="12" s="1"/>
  <c r="GG178" i="12"/>
  <c r="GK178" i="12" s="1"/>
  <c r="GD306" i="12"/>
  <c r="GG278" i="12"/>
  <c r="GK278" i="12" s="1"/>
  <c r="GH77" i="12"/>
  <c r="GL77" i="12" s="1"/>
  <c r="GG250" i="12"/>
  <c r="GK250" i="12" s="1"/>
  <c r="GH297" i="12"/>
  <c r="GL297" i="12" s="1"/>
  <c r="GD297" i="12"/>
  <c r="GH287" i="12"/>
  <c r="GL287" i="12" s="1"/>
  <c r="GH110" i="12"/>
  <c r="GL110" i="12" s="1"/>
  <c r="GH146" i="12"/>
  <c r="GL146" i="12" s="1"/>
  <c r="GG288" i="12"/>
  <c r="GK288" i="12" s="1"/>
  <c r="GH49" i="12"/>
  <c r="GL49" i="12" s="1"/>
  <c r="GG330" i="12"/>
  <c r="GK330" i="12" s="1"/>
  <c r="GD341" i="12"/>
  <c r="GD193" i="12"/>
  <c r="GD236" i="12"/>
  <c r="GH332" i="12"/>
  <c r="GL332" i="12" s="1"/>
  <c r="GG29" i="12"/>
  <c r="GK29" i="12" s="1"/>
  <c r="GH43" i="12"/>
  <c r="GL43" i="12" s="1"/>
  <c r="GH175" i="12"/>
  <c r="GL175" i="12" s="1"/>
  <c r="GH269" i="12"/>
  <c r="GL269" i="12" s="1"/>
  <c r="GG32" i="12"/>
  <c r="GK32" i="12" s="1"/>
  <c r="GH19" i="12"/>
  <c r="GL19" i="12" s="1"/>
  <c r="GG143" i="12"/>
  <c r="GK143" i="12" s="1"/>
  <c r="GG78" i="12"/>
  <c r="GK78" i="12" s="1"/>
  <c r="GH171" i="12"/>
  <c r="GL171" i="12" s="1"/>
  <c r="GH335" i="12"/>
  <c r="GL335" i="12" s="1"/>
  <c r="GG206" i="12"/>
  <c r="GK206" i="12" s="1"/>
  <c r="GH275" i="12"/>
  <c r="GL275" i="12" s="1"/>
  <c r="GG303" i="12"/>
  <c r="GK303" i="12" s="1"/>
  <c r="GD274" i="12"/>
  <c r="GG385" i="12"/>
  <c r="GK385" i="12" s="1"/>
  <c r="GG304" i="12"/>
  <c r="GK304" i="12" s="1"/>
  <c r="GG296" i="12"/>
  <c r="GK296" i="12" s="1"/>
  <c r="GH363" i="12"/>
  <c r="GL363" i="12" s="1"/>
  <c r="GG200" i="12"/>
  <c r="GK200" i="12" s="1"/>
  <c r="GH212" i="12"/>
  <c r="GL212" i="12" s="1"/>
  <c r="GG25" i="12"/>
  <c r="GK25" i="12" s="1"/>
  <c r="GH366" i="12"/>
  <c r="GL366" i="12" s="1"/>
  <c r="GD363" i="12"/>
  <c r="GH346" i="12"/>
  <c r="GL346" i="12" s="1"/>
  <c r="GH247" i="12"/>
  <c r="GL247" i="12" s="1"/>
  <c r="GG146" i="12"/>
  <c r="GK146" i="12" s="1"/>
  <c r="GG180" i="12"/>
  <c r="GK180" i="12" s="1"/>
  <c r="GH162" i="12"/>
  <c r="GL162" i="12" s="1"/>
  <c r="GH245" i="12"/>
  <c r="GL245" i="12" s="1"/>
  <c r="GG190" i="12"/>
  <c r="GK190" i="12" s="1"/>
  <c r="GH29" i="12"/>
  <c r="GL29" i="12" s="1"/>
  <c r="GG368" i="12"/>
  <c r="GK368" i="12" s="1"/>
  <c r="GD272" i="12"/>
  <c r="GH137" i="12"/>
  <c r="GL137" i="12" s="1"/>
  <c r="GH31" i="12"/>
  <c r="GL31" i="12" s="1"/>
  <c r="GG293" i="12"/>
  <c r="GK293" i="12" s="1"/>
  <c r="GG134" i="12"/>
  <c r="GK134" i="12" s="1"/>
  <c r="GH164" i="12"/>
  <c r="GL164" i="12" s="1"/>
  <c r="GD205" i="12"/>
  <c r="GG331" i="12"/>
  <c r="GK331" i="12" s="1"/>
  <c r="GH223" i="12"/>
  <c r="GL223" i="12" s="1"/>
  <c r="GG202" i="12"/>
  <c r="GK202" i="12" s="1"/>
  <c r="GH276" i="12"/>
  <c r="GL276" i="12" s="1"/>
  <c r="GG70" i="12"/>
  <c r="GK70" i="12" s="1"/>
  <c r="GH20" i="12"/>
  <c r="GL20" i="12" s="1"/>
  <c r="GD277" i="12"/>
  <c r="GH301" i="12"/>
  <c r="GL301" i="12" s="1"/>
  <c r="GH75" i="12"/>
  <c r="GL75" i="12" s="1"/>
  <c r="GG263" i="12"/>
  <c r="GK263" i="12" s="1"/>
  <c r="GH397" i="12"/>
  <c r="GL397" i="12" s="1"/>
  <c r="GG280" i="12"/>
  <c r="GK280" i="12" s="1"/>
  <c r="GG212" i="12"/>
  <c r="GK212" i="12" s="1"/>
  <c r="GM212" i="12" s="1"/>
  <c r="GH153" i="12"/>
  <c r="GL153" i="12" s="1"/>
  <c r="GH327" i="12"/>
  <c r="GL327" i="12" s="1"/>
  <c r="GD315" i="12"/>
  <c r="GH326" i="12"/>
  <c r="GL326" i="12" s="1"/>
  <c r="GG139" i="12"/>
  <c r="GK139" i="12" s="1"/>
  <c r="GG258" i="12"/>
  <c r="GK258" i="12" s="1"/>
  <c r="GH207" i="12"/>
  <c r="GL207" i="12" s="1"/>
  <c r="GG373" i="12"/>
  <c r="GK373" i="12" s="1"/>
  <c r="GH122" i="12"/>
  <c r="GL122" i="12" s="1"/>
  <c r="GG107" i="12"/>
  <c r="GK107" i="12" s="1"/>
  <c r="GD296" i="12"/>
  <c r="GD248" i="12"/>
  <c r="GH395" i="12"/>
  <c r="GL395" i="12" s="1"/>
  <c r="GG135" i="12"/>
  <c r="GK135" i="12" s="1"/>
  <c r="GH156" i="12"/>
  <c r="GL156" i="12" s="1"/>
  <c r="GG255" i="12"/>
  <c r="GK255" i="12" s="1"/>
  <c r="GD346" i="12"/>
  <c r="GH383" i="12"/>
  <c r="GL383" i="12" s="1"/>
  <c r="GG62" i="12"/>
  <c r="GK62" i="12" s="1"/>
  <c r="GH236" i="12"/>
  <c r="GL236" i="12" s="1"/>
  <c r="GD216" i="12"/>
  <c r="GH117" i="12"/>
  <c r="GL117" i="12" s="1"/>
  <c r="GD251" i="12"/>
  <c r="GH124" i="12"/>
  <c r="GL124" i="12" s="1"/>
  <c r="GG7" i="12"/>
  <c r="GK7" i="12" s="1"/>
  <c r="GD273" i="12"/>
  <c r="GH12" i="12"/>
  <c r="GL12" i="12" s="1"/>
  <c r="GD278" i="12"/>
  <c r="GG30" i="12"/>
  <c r="GK30" i="12" s="1"/>
  <c r="GG149" i="12"/>
  <c r="GK149" i="12" s="1"/>
  <c r="GH255" i="12"/>
  <c r="GL255" i="12" s="1"/>
  <c r="GG57" i="12"/>
  <c r="GK57" i="12" s="1"/>
  <c r="GH163" i="12"/>
  <c r="GL163" i="12" s="1"/>
  <c r="GG322" i="12"/>
  <c r="GK322" i="12" s="1"/>
  <c r="GD354" i="12"/>
  <c r="GH7" i="12"/>
  <c r="GL7" i="12" s="1"/>
  <c r="GH46" i="12"/>
  <c r="GL46" i="12" s="1"/>
  <c r="GH318" i="12"/>
  <c r="GL318" i="12" s="1"/>
  <c r="GG308" i="12"/>
  <c r="GK308" i="12" s="1"/>
  <c r="GM308" i="12" s="1"/>
  <c r="GH216" i="12"/>
  <c r="GL216" i="12" s="1"/>
  <c r="GH47" i="12"/>
  <c r="GL47" i="12" s="1"/>
  <c r="GG382" i="12"/>
  <c r="GK382" i="12" s="1"/>
  <c r="GM382" i="12" s="1"/>
  <c r="GH258" i="12"/>
  <c r="GL258" i="12" s="1"/>
  <c r="GH191" i="12"/>
  <c r="GL191" i="12" s="1"/>
  <c r="GG150" i="12"/>
  <c r="GK150" i="12" s="1"/>
  <c r="GH299" i="12"/>
  <c r="GL299" i="12" s="1"/>
  <c r="GH241" i="12"/>
  <c r="GL241" i="12" s="1"/>
  <c r="GH375" i="12"/>
  <c r="GL375" i="12" s="1"/>
  <c r="GH259" i="12"/>
  <c r="GL259" i="12" s="1"/>
  <c r="GG365" i="12"/>
  <c r="GK365" i="12" s="1"/>
  <c r="GD377" i="12"/>
  <c r="GG98" i="12"/>
  <c r="GK98" i="12" s="1"/>
  <c r="GG71" i="12"/>
  <c r="GK71" i="12" s="1"/>
  <c r="GG43" i="12"/>
  <c r="GK43" i="12" s="1"/>
  <c r="GG286" i="12"/>
  <c r="GK286" i="12" s="1"/>
  <c r="GG169" i="12"/>
  <c r="GK169" i="12" s="1"/>
  <c r="GG118" i="12"/>
  <c r="GK118" i="12" s="1"/>
  <c r="GD231" i="12"/>
  <c r="GG162" i="12"/>
  <c r="GK162" i="12" s="1"/>
  <c r="GH257" i="12"/>
  <c r="GL257" i="12" s="1"/>
  <c r="GH293" i="12"/>
  <c r="GL293" i="12" s="1"/>
  <c r="GD189" i="12"/>
  <c r="GG75" i="12"/>
  <c r="GK75" i="12" s="1"/>
  <c r="GH166" i="12"/>
  <c r="GL166" i="12" s="1"/>
  <c r="GG217" i="12"/>
  <c r="GK217" i="12" s="1"/>
  <c r="GD292" i="12"/>
  <c r="GG188" i="12"/>
  <c r="GK188" i="12" s="1"/>
  <c r="GD385" i="12"/>
  <c r="GG320" i="12"/>
  <c r="GK320" i="12" s="1"/>
  <c r="GG33" i="12"/>
  <c r="GK33" i="12" s="1"/>
  <c r="GG67" i="12"/>
  <c r="GK67" i="12" s="1"/>
  <c r="GH27" i="12"/>
  <c r="GL27" i="12" s="1"/>
  <c r="GG269" i="12"/>
  <c r="GK269" i="12" s="1"/>
  <c r="GH315" i="12"/>
  <c r="GL315" i="12" s="1"/>
  <c r="GG125" i="12"/>
  <c r="GK125" i="12" s="1"/>
  <c r="GG285" i="12"/>
  <c r="GK285" i="12" s="1"/>
  <c r="GD314" i="12"/>
  <c r="GH295" i="12"/>
  <c r="GL295" i="12" s="1"/>
  <c r="GH235" i="12"/>
  <c r="GL235" i="12" s="1"/>
  <c r="GD356" i="12"/>
  <c r="GH123" i="12"/>
  <c r="GL123" i="12" s="1"/>
  <c r="GD279" i="12"/>
  <c r="GG19" i="12"/>
  <c r="GK19" i="12" s="1"/>
  <c r="GD302" i="12"/>
  <c r="GD211" i="12"/>
  <c r="GH290" i="12"/>
  <c r="GL290" i="12" s="1"/>
  <c r="GG279" i="12"/>
  <c r="GK279" i="12" s="1"/>
  <c r="GD233" i="12"/>
  <c r="GD200" i="12"/>
  <c r="GG252" i="12"/>
  <c r="GK252" i="12" s="1"/>
  <c r="GD262" i="12"/>
  <c r="GG306" i="12"/>
  <c r="GK306" i="12" s="1"/>
  <c r="GG31" i="12"/>
  <c r="GK31" i="12" s="1"/>
  <c r="GH215" i="12"/>
  <c r="GL215" i="12" s="1"/>
  <c r="GG366" i="12"/>
  <c r="GK366" i="12" s="1"/>
  <c r="GH17" i="12"/>
  <c r="GL17" i="12" s="1"/>
  <c r="GH307" i="12"/>
  <c r="GL307" i="12" s="1"/>
  <c r="GH394" i="12"/>
  <c r="GL394" i="12" s="1"/>
  <c r="GD199" i="12"/>
  <c r="GH41" i="12"/>
  <c r="GL41" i="12" s="1"/>
  <c r="GH319" i="12"/>
  <c r="GL319" i="12" s="1"/>
  <c r="GG48" i="12"/>
  <c r="GK48" i="12" s="1"/>
  <c r="GH57" i="12"/>
  <c r="GL57" i="12" s="1"/>
  <c r="GG154" i="12"/>
  <c r="GK154" i="12" s="1"/>
  <c r="GH339" i="12"/>
  <c r="GL339" i="12" s="1"/>
  <c r="GG182" i="12"/>
  <c r="GK182" i="12" s="1"/>
  <c r="GH277" i="12"/>
  <c r="GL277" i="12" s="1"/>
  <c r="GH178" i="12"/>
  <c r="GL178" i="12" s="1"/>
  <c r="GH26" i="12"/>
  <c r="GL26" i="12" s="1"/>
  <c r="GG323" i="12"/>
  <c r="GK323" i="12" s="1"/>
  <c r="GD323" i="12"/>
  <c r="GG130" i="12"/>
  <c r="GK130" i="12" s="1"/>
  <c r="GH398" i="12"/>
  <c r="GL398" i="12" s="1"/>
  <c r="GH354" i="12"/>
  <c r="GL354" i="12" s="1"/>
  <c r="GD383" i="12"/>
  <c r="GH133" i="12"/>
  <c r="GL133" i="12" s="1"/>
  <c r="GD375" i="12"/>
  <c r="GD384" i="12"/>
  <c r="GG165" i="12"/>
  <c r="GK165" i="12" s="1"/>
  <c r="GD366" i="12"/>
  <c r="GG156" i="12"/>
  <c r="GK156" i="12" s="1"/>
  <c r="GH106" i="12"/>
  <c r="GL106" i="12" s="1"/>
  <c r="GG276" i="12"/>
  <c r="GK276" i="12" s="1"/>
  <c r="GH224" i="12"/>
  <c r="GL224" i="12" s="1"/>
  <c r="GG395" i="12"/>
  <c r="GK395" i="12" s="1"/>
  <c r="GG356" i="12"/>
  <c r="GK356" i="12" s="1"/>
  <c r="GH58" i="12"/>
  <c r="GL58" i="12" s="1"/>
  <c r="GG84" i="12"/>
  <c r="GK84" i="12" s="1"/>
  <c r="GM84" i="12" s="1"/>
  <c r="GH177" i="12"/>
  <c r="GL177" i="12" s="1"/>
  <c r="GH22" i="12"/>
  <c r="GL22" i="12" s="1"/>
  <c r="GH82" i="12"/>
  <c r="GL82" i="12" s="1"/>
  <c r="GH83" i="12"/>
  <c r="GL83" i="12" s="1"/>
  <c r="GG112" i="12"/>
  <c r="GK112" i="12" s="1"/>
  <c r="GG261" i="12"/>
  <c r="GK261" i="12" s="1"/>
  <c r="GG305" i="12"/>
  <c r="GK305" i="12" s="1"/>
  <c r="GH400" i="12"/>
  <c r="GL400" i="12" s="1"/>
  <c r="GH118" i="12"/>
  <c r="GL118" i="12" s="1"/>
  <c r="GM118" i="12" s="1"/>
  <c r="GG291" i="12"/>
  <c r="GK291" i="12" s="1"/>
  <c r="GD215" i="12"/>
  <c r="GD239" i="12"/>
  <c r="GD397" i="12"/>
  <c r="GD319" i="12"/>
  <c r="GH351" i="12"/>
  <c r="GL351" i="12" s="1"/>
  <c r="GG337" i="12"/>
  <c r="GK337" i="12" s="1"/>
  <c r="GG58" i="12"/>
  <c r="GK58" i="12" s="1"/>
  <c r="GD355" i="12"/>
  <c r="GD234" i="12"/>
  <c r="GH37" i="12"/>
  <c r="GL37" i="12" s="1"/>
  <c r="GH98" i="12"/>
  <c r="GL98" i="12" s="1"/>
  <c r="GH74" i="12"/>
  <c r="GL74" i="12" s="1"/>
  <c r="GG232" i="12"/>
  <c r="GK232" i="12" s="1"/>
  <c r="GH342" i="12"/>
  <c r="GL342" i="12" s="1"/>
  <c r="GH42" i="12"/>
  <c r="GL42" i="12" s="1"/>
  <c r="GG144" i="12"/>
  <c r="GK144" i="12" s="1"/>
  <c r="GH160" i="12"/>
  <c r="GL160" i="12" s="1"/>
  <c r="GH250" i="12"/>
  <c r="GL250" i="12" s="1"/>
  <c r="GH338" i="12"/>
  <c r="GL338" i="12" s="1"/>
  <c r="GH114" i="12"/>
  <c r="GL114" i="12" s="1"/>
  <c r="GG316" i="12"/>
  <c r="GK316" i="12" s="1"/>
  <c r="GG192" i="12"/>
  <c r="GK192" i="12" s="1"/>
  <c r="GG238" i="12"/>
  <c r="GK238" i="12" s="1"/>
  <c r="GH388" i="12"/>
  <c r="GL388" i="12" s="1"/>
  <c r="GH266" i="12"/>
  <c r="GL266" i="12" s="1"/>
  <c r="GH393" i="12"/>
  <c r="GL393" i="12" s="1"/>
  <c r="GH54" i="12"/>
  <c r="GL54" i="12" s="1"/>
  <c r="GG207" i="12"/>
  <c r="GK207" i="12" s="1"/>
  <c r="GH228" i="12"/>
  <c r="GL228" i="12" s="1"/>
  <c r="GG324" i="12"/>
  <c r="GK324" i="12" s="1"/>
  <c r="GH237" i="12"/>
  <c r="GL237" i="12" s="1"/>
  <c r="GG127" i="12"/>
  <c r="GK127" i="12" s="1"/>
  <c r="GD194" i="12"/>
  <c r="GD243" i="12"/>
  <c r="GG211" i="12"/>
  <c r="GK211" i="12" s="1"/>
  <c r="GH15" i="12"/>
  <c r="GL15" i="12" s="1"/>
  <c r="GH167" i="12"/>
  <c r="GL167" i="12" s="1"/>
  <c r="GH147" i="12"/>
  <c r="GL147" i="12" s="1"/>
  <c r="GH292" i="12"/>
  <c r="GL292" i="12" s="1"/>
  <c r="GG123" i="12"/>
  <c r="GK123" i="12" s="1"/>
  <c r="GG193" i="12"/>
  <c r="GK193" i="12" s="1"/>
  <c r="GD369" i="12"/>
  <c r="GG319" i="12"/>
  <c r="GK319" i="12" s="1"/>
  <c r="GM319" i="12" s="1"/>
  <c r="GH64" i="12"/>
  <c r="GL64" i="12" s="1"/>
  <c r="GG64" i="12"/>
  <c r="GK64" i="12" s="1"/>
  <c r="GG342" i="12"/>
  <c r="GK342" i="12" s="1"/>
  <c r="GM342" i="12" s="1"/>
  <c r="GG300" i="12"/>
  <c r="GK300" i="12" s="1"/>
  <c r="GD380" i="12"/>
  <c r="GH36" i="12"/>
  <c r="GL36" i="12" s="1"/>
  <c r="GG38" i="12"/>
  <c r="GK38" i="12" s="1"/>
  <c r="GD228" i="12"/>
  <c r="GD223" i="12"/>
  <c r="GH135" i="12"/>
  <c r="GL135" i="12" s="1"/>
  <c r="GH154" i="12"/>
  <c r="GL154" i="12" s="1"/>
  <c r="GM154" i="12" s="1"/>
  <c r="GG152" i="12"/>
  <c r="GK152" i="12" s="1"/>
  <c r="GD217" i="12"/>
  <c r="GD275" i="12"/>
  <c r="GH152" i="12"/>
  <c r="GL152" i="12" s="1"/>
  <c r="GD394" i="12"/>
  <c r="GD281" i="12"/>
  <c r="GG13" i="12"/>
  <c r="GK13" i="12" s="1"/>
  <c r="GH262" i="12"/>
  <c r="GL262" i="12" s="1"/>
  <c r="GG159" i="12"/>
  <c r="GK159" i="12" s="1"/>
  <c r="GG209" i="12"/>
  <c r="GK209" i="12" s="1"/>
  <c r="GG122" i="12"/>
  <c r="GK122" i="12" s="1"/>
  <c r="GH14" i="12"/>
  <c r="GL14" i="12" s="1"/>
  <c r="GH68" i="12"/>
  <c r="GL68" i="12" s="1"/>
  <c r="GH352" i="12"/>
  <c r="GL352" i="12" s="1"/>
  <c r="GD378" i="12"/>
  <c r="GH174" i="12"/>
  <c r="GL174" i="12" s="1"/>
  <c r="GH288" i="12"/>
  <c r="GL288" i="12" s="1"/>
  <c r="GG289" i="12"/>
  <c r="GK289" i="12" s="1"/>
  <c r="GG283" i="12"/>
  <c r="GK283" i="12" s="1"/>
  <c r="GG326" i="12"/>
  <c r="GK326" i="12" s="1"/>
  <c r="GM326" i="12" s="1"/>
  <c r="GG198" i="12"/>
  <c r="GK198" i="12" s="1"/>
  <c r="GG244" i="12"/>
  <c r="GK244" i="12" s="1"/>
  <c r="GG313" i="12"/>
  <c r="GK313" i="12" s="1"/>
  <c r="GH35" i="12"/>
  <c r="GL35" i="12" s="1"/>
  <c r="GD192" i="12"/>
  <c r="GD265" i="12"/>
  <c r="GG231" i="12"/>
  <c r="GK231" i="12" s="1"/>
  <c r="GH285" i="12"/>
  <c r="GL285" i="12" s="1"/>
  <c r="GH50" i="12"/>
  <c r="GL50" i="12" s="1"/>
  <c r="GG27" i="12"/>
  <c r="GK27" i="12" s="1"/>
  <c r="GH100" i="12"/>
  <c r="GL100" i="12" s="1"/>
  <c r="GG314" i="12"/>
  <c r="GK314" i="12" s="1"/>
  <c r="GG196" i="12"/>
  <c r="GK196" i="12" s="1"/>
  <c r="GD226" i="12"/>
  <c r="GH51" i="12"/>
  <c r="GL51" i="12" s="1"/>
  <c r="GH211" i="12"/>
  <c r="GL211" i="12" s="1"/>
  <c r="GG325" i="12"/>
  <c r="GK325" i="12" s="1"/>
  <c r="GD214" i="12"/>
  <c r="GG76" i="12"/>
  <c r="GK76" i="12" s="1"/>
  <c r="GD210" i="12"/>
  <c r="GD260" i="12"/>
  <c r="GG388" i="12"/>
  <c r="GK388" i="12" s="1"/>
  <c r="GM388" i="12" s="1"/>
  <c r="GG391" i="12"/>
  <c r="GK391" i="12" s="1"/>
  <c r="GH376" i="12"/>
  <c r="GL376" i="12" s="1"/>
  <c r="GH197" i="12"/>
  <c r="GL197" i="12" s="1"/>
  <c r="GD219" i="12"/>
  <c r="GG164" i="12"/>
  <c r="GK164" i="12" s="1"/>
  <c r="GG274" i="12"/>
  <c r="GK274" i="12" s="1"/>
  <c r="GD188" i="12"/>
  <c r="GH386" i="12"/>
  <c r="GL386" i="12" s="1"/>
  <c r="GH39" i="12"/>
  <c r="GL39" i="12" s="1"/>
  <c r="GD241" i="12"/>
  <c r="GG106" i="12"/>
  <c r="GK106" i="12" s="1"/>
  <c r="GG113" i="12"/>
  <c r="GK113" i="12" s="1"/>
  <c r="GH61" i="12"/>
  <c r="GL61" i="12" s="1"/>
  <c r="GG218" i="12"/>
  <c r="GK218" i="12" s="1"/>
  <c r="GH157" i="12"/>
  <c r="GL157" i="12" s="1"/>
  <c r="GG56" i="12"/>
  <c r="GK56" i="12" s="1"/>
  <c r="GH217" i="12"/>
  <c r="GL217" i="12" s="1"/>
  <c r="GG379" i="12"/>
  <c r="GK379" i="12" s="1"/>
  <c r="GH4" i="12"/>
  <c r="GL4" i="12" s="1"/>
  <c r="GG172" i="12"/>
  <c r="GK172" i="12" s="1"/>
  <c r="GD196" i="12"/>
  <c r="GH305" i="12"/>
  <c r="GL305" i="12" s="1"/>
  <c r="GG65" i="12"/>
  <c r="GK65" i="12" s="1"/>
  <c r="GG335" i="12"/>
  <c r="GK335" i="12" s="1"/>
  <c r="GM335" i="12" s="1"/>
  <c r="GG148" i="12"/>
  <c r="GK148" i="12" s="1"/>
  <c r="GH214" i="12"/>
  <c r="GL214" i="12" s="1"/>
  <c r="GD379" i="12"/>
  <c r="GH294" i="12"/>
  <c r="GL294" i="12" s="1"/>
  <c r="GH101" i="12"/>
  <c r="GL101" i="12" s="1"/>
  <c r="GH369" i="12"/>
  <c r="GL369" i="12" s="1"/>
  <c r="GD386" i="12"/>
  <c r="GH381" i="12"/>
  <c r="GL381" i="12" s="1"/>
  <c r="GG51" i="12"/>
  <c r="GK51" i="12" s="1"/>
  <c r="GM51" i="12" s="1"/>
  <c r="GH357" i="12"/>
  <c r="GL357" i="12" s="1"/>
  <c r="GH10" i="12"/>
  <c r="GL10" i="12" s="1"/>
  <c r="GH260" i="12"/>
  <c r="GL260" i="12" s="1"/>
  <c r="GG393" i="12"/>
  <c r="GK393" i="12" s="1"/>
  <c r="GD209" i="12"/>
  <c r="GD287" i="12"/>
  <c r="GG42" i="12"/>
  <c r="GK42" i="12" s="1"/>
  <c r="GG128" i="12"/>
  <c r="GK128" i="12" s="1"/>
  <c r="GD322" i="12"/>
  <c r="GG312" i="12"/>
  <c r="GK312" i="12" s="1"/>
  <c r="GH30" i="12"/>
  <c r="GL30" i="12" s="1"/>
  <c r="GG114" i="12"/>
  <c r="GK114" i="12" s="1"/>
  <c r="GG9" i="12"/>
  <c r="GK9" i="12" s="1"/>
  <c r="GD190" i="12"/>
  <c r="GH353" i="12"/>
  <c r="GL353" i="12" s="1"/>
  <c r="GH367" i="12"/>
  <c r="GL367" i="12" s="1"/>
  <c r="GD268" i="12"/>
  <c r="GH272" i="12"/>
  <c r="GL272" i="12" s="1"/>
  <c r="GH176" i="12"/>
  <c r="GL176" i="12" s="1"/>
  <c r="GD283" i="12"/>
  <c r="GD330" i="12"/>
  <c r="GD372" i="12"/>
  <c r="GG44" i="12"/>
  <c r="GK44" i="12" s="1"/>
  <c r="GD201" i="12"/>
  <c r="GG224" i="12"/>
  <c r="GK224" i="12" s="1"/>
  <c r="GM224" i="12" s="1"/>
  <c r="GD225" i="12"/>
  <c r="GH204" i="12"/>
  <c r="GL204" i="12" s="1"/>
  <c r="GG46" i="12"/>
  <c r="GK46" i="12" s="1"/>
  <c r="GD303" i="12"/>
  <c r="GH370" i="12"/>
  <c r="GL370" i="12" s="1"/>
  <c r="GH359" i="12"/>
  <c r="GL359" i="12" s="1"/>
  <c r="GD254" i="12"/>
  <c r="GG243" i="12"/>
  <c r="GK243" i="12" s="1"/>
  <c r="GD218" i="12"/>
  <c r="GD381" i="12"/>
  <c r="GH48" i="12"/>
  <c r="GL48" i="12" s="1"/>
  <c r="GH385" i="12"/>
  <c r="GL385" i="12" s="1"/>
  <c r="GG400" i="12"/>
  <c r="GK400" i="12" s="1"/>
  <c r="GD203" i="12"/>
  <c r="GD247" i="12"/>
  <c r="GD266" i="12"/>
  <c r="GH219" i="12"/>
  <c r="GL219" i="12" s="1"/>
  <c r="GG329" i="12"/>
  <c r="GK329" i="12" s="1"/>
  <c r="GH116" i="12"/>
  <c r="GL116" i="12" s="1"/>
  <c r="GG298" i="12"/>
  <c r="GK298" i="12" s="1"/>
  <c r="GG34" i="12"/>
  <c r="GK34" i="12" s="1"/>
  <c r="GG225" i="12"/>
  <c r="GK225" i="12" s="1"/>
  <c r="GG226" i="12"/>
  <c r="GK226" i="12" s="1"/>
  <c r="GH289" i="12"/>
  <c r="GL289" i="12" s="1"/>
  <c r="GD310" i="12"/>
  <c r="GG168" i="12"/>
  <c r="GK168" i="12" s="1"/>
  <c r="GD399" i="12"/>
  <c r="GG341" i="12"/>
  <c r="GK341" i="12" s="1"/>
  <c r="GH355" i="12"/>
  <c r="GL355" i="12" s="1"/>
  <c r="GH306" i="12"/>
  <c r="GL306" i="12" s="1"/>
  <c r="GH226" i="12"/>
  <c r="GL226" i="12" s="1"/>
  <c r="GG116" i="12"/>
  <c r="GK116" i="12" s="1"/>
  <c r="GD270" i="12"/>
  <c r="GH243" i="12"/>
  <c r="GL243" i="12" s="1"/>
  <c r="GG363" i="12"/>
  <c r="GK363" i="12" s="1"/>
  <c r="GD246" i="12"/>
  <c r="GG79" i="12"/>
  <c r="GK79" i="12" s="1"/>
  <c r="GG129" i="12"/>
  <c r="GK129" i="12" s="1"/>
  <c r="GH282" i="12"/>
  <c r="GL282" i="12" s="1"/>
  <c r="GG384" i="12"/>
  <c r="GK384" i="12" s="1"/>
  <c r="GH220" i="12"/>
  <c r="GL220" i="12" s="1"/>
  <c r="GH323" i="12"/>
  <c r="GL323" i="12" s="1"/>
  <c r="GH193" i="12"/>
  <c r="GL193" i="12" s="1"/>
  <c r="GD291" i="12"/>
  <c r="GD282" i="12"/>
  <c r="GG294" i="12"/>
  <c r="GK294" i="12" s="1"/>
  <c r="GD187" i="12"/>
  <c r="GH321" i="12"/>
  <c r="GL321" i="12" s="1"/>
  <c r="GD364" i="12"/>
  <c r="GH361" i="12"/>
  <c r="GL361" i="12" s="1"/>
  <c r="GG105" i="12"/>
  <c r="GK105" i="12" s="1"/>
  <c r="GH33" i="12"/>
  <c r="GL33" i="12" s="1"/>
  <c r="GG234" i="12"/>
  <c r="GK234" i="12" s="1"/>
  <c r="GH11" i="12"/>
  <c r="GL11" i="12" s="1"/>
  <c r="GH151" i="12"/>
  <c r="GL151" i="12" s="1"/>
  <c r="GG299" i="12"/>
  <c r="GK299" i="12" s="1"/>
  <c r="GH390" i="12"/>
  <c r="GL390" i="12" s="1"/>
  <c r="GG15" i="12"/>
  <c r="GK15" i="12" s="1"/>
  <c r="GM15" i="12" s="1"/>
  <c r="GD259" i="12"/>
  <c r="GH105" i="12"/>
  <c r="GL105" i="12" s="1"/>
  <c r="GH28" i="12"/>
  <c r="GL28" i="12" s="1"/>
  <c r="GD400" i="12"/>
  <c r="GH170" i="12"/>
  <c r="GL170" i="12" s="1"/>
  <c r="GH202" i="12"/>
  <c r="GL202" i="12" s="1"/>
  <c r="GD334" i="12"/>
  <c r="GG50" i="12"/>
  <c r="GK50" i="12" s="1"/>
  <c r="GH379" i="12"/>
  <c r="GL379" i="12" s="1"/>
  <c r="GD382" i="12"/>
  <c r="GG227" i="12"/>
  <c r="GK227" i="12" s="1"/>
  <c r="GG287" i="12"/>
  <c r="GK287" i="12" s="1"/>
  <c r="GD202" i="12"/>
  <c r="GG100" i="12"/>
  <c r="GK100" i="12" s="1"/>
  <c r="GG348" i="12"/>
  <c r="GK348" i="12" s="1"/>
  <c r="GD258" i="12"/>
  <c r="GH126" i="12"/>
  <c r="GL126" i="12" s="1"/>
  <c r="GG83" i="12"/>
  <c r="GK83" i="12" s="1"/>
  <c r="GH81" i="12"/>
  <c r="GL81" i="12" s="1"/>
  <c r="GG177" i="12"/>
  <c r="GK177" i="12" s="1"/>
  <c r="GG21" i="12"/>
  <c r="GK21" i="12" s="1"/>
  <c r="GG302" i="12"/>
  <c r="GK302" i="12" s="1"/>
  <c r="GG315" i="12"/>
  <c r="GK315" i="12" s="1"/>
  <c r="GG364" i="12"/>
  <c r="GK364" i="12" s="1"/>
  <c r="GG253" i="12"/>
  <c r="GK253" i="12" s="1"/>
  <c r="GG153" i="12"/>
  <c r="GK153" i="12" s="1"/>
  <c r="GG68" i="12"/>
  <c r="GK68" i="12" s="1"/>
  <c r="GM68" i="12" s="1"/>
  <c r="GH300" i="12"/>
  <c r="GL300" i="12" s="1"/>
  <c r="GD316" i="12"/>
  <c r="GH240" i="12"/>
  <c r="GL240" i="12" s="1"/>
  <c r="GH337" i="12"/>
  <c r="GL337" i="12" s="1"/>
  <c r="GD256" i="12"/>
  <c r="GG20" i="12"/>
  <c r="GK20" i="12" s="1"/>
  <c r="GG256" i="12"/>
  <c r="GK256" i="12" s="1"/>
  <c r="GH109" i="12"/>
  <c r="GL109" i="12" s="1"/>
  <c r="GH358" i="12"/>
  <c r="GL358" i="12" s="1"/>
  <c r="GH252" i="12"/>
  <c r="GL252" i="12" s="1"/>
  <c r="GH172" i="12"/>
  <c r="GL172" i="12" s="1"/>
  <c r="GH303" i="12"/>
  <c r="GL303" i="12" s="1"/>
  <c r="GD358" i="12"/>
  <c r="GH180" i="12"/>
  <c r="GL180" i="12" s="1"/>
  <c r="GG264" i="12"/>
  <c r="GK264" i="12" s="1"/>
  <c r="GG126" i="12"/>
  <c r="GK126" i="12" s="1"/>
  <c r="GG171" i="12"/>
  <c r="GK171" i="12" s="1"/>
  <c r="GG101" i="12"/>
  <c r="GK101" i="12" s="1"/>
  <c r="GG268" i="12"/>
  <c r="GK268" i="12" s="1"/>
  <c r="GG381" i="12"/>
  <c r="GK381" i="12" s="1"/>
  <c r="GD344" i="12"/>
  <c r="GG228" i="12"/>
  <c r="GK228" i="12" s="1"/>
  <c r="GM228" i="12" s="1"/>
  <c r="GG14" i="12"/>
  <c r="GK14" i="12" s="1"/>
  <c r="GH238" i="12"/>
  <c r="GL238" i="12" s="1"/>
  <c r="GG12" i="12"/>
  <c r="GK12" i="12" s="1"/>
  <c r="GG267" i="12"/>
  <c r="GK267" i="12" s="1"/>
  <c r="GD285" i="12"/>
  <c r="GH113" i="12"/>
  <c r="GL113" i="12" s="1"/>
  <c r="GG270" i="12"/>
  <c r="GK270" i="12" s="1"/>
  <c r="GH331" i="12"/>
  <c r="GL331" i="12" s="1"/>
  <c r="GH34" i="12"/>
  <c r="GL34" i="12" s="1"/>
  <c r="GG390" i="12"/>
  <c r="GK390" i="12" s="1"/>
  <c r="GG41" i="12"/>
  <c r="GK41" i="12" s="1"/>
  <c r="GG375" i="12"/>
  <c r="GK375" i="12" s="1"/>
  <c r="GH368" i="12"/>
  <c r="GL368" i="12" s="1"/>
  <c r="GM368" i="12" s="1"/>
  <c r="GH188" i="12"/>
  <c r="GL188" i="12" s="1"/>
  <c r="GG271" i="12"/>
  <c r="GK271" i="12" s="1"/>
  <c r="GH296" i="12"/>
  <c r="GL296" i="12" s="1"/>
  <c r="GD255" i="12"/>
  <c r="GD345" i="12"/>
  <c r="GH18" i="12"/>
  <c r="GL18" i="12" s="1"/>
  <c r="GD220" i="12"/>
  <c r="GG186" i="12"/>
  <c r="GK186" i="12" s="1"/>
  <c r="GH129" i="12"/>
  <c r="GL129" i="12" s="1"/>
  <c r="GG245" i="12"/>
  <c r="GK245" i="12" s="1"/>
  <c r="GH70" i="12"/>
  <c r="GL70" i="12" s="1"/>
  <c r="GD238" i="12"/>
  <c r="GD365" i="12"/>
  <c r="GD348" i="12"/>
  <c r="GG247" i="12"/>
  <c r="GK247" i="12" s="1"/>
  <c r="GH187" i="12"/>
  <c r="GL187" i="12" s="1"/>
  <c r="GG372" i="12"/>
  <c r="GK372" i="12" s="1"/>
  <c r="GG77" i="12"/>
  <c r="GK77" i="12" s="1"/>
  <c r="GH44" i="12"/>
  <c r="GL44" i="12" s="1"/>
  <c r="GH242" i="12"/>
  <c r="GL242" i="12" s="1"/>
  <c r="GH45" i="12"/>
  <c r="GL45" i="12" s="1"/>
  <c r="GG362" i="12"/>
  <c r="GK362" i="12" s="1"/>
  <c r="GD331" i="12"/>
  <c r="GH8" i="12"/>
  <c r="GL8" i="12" s="1"/>
  <c r="GH310" i="12"/>
  <c r="GL310" i="12" s="1"/>
  <c r="GG18" i="12"/>
  <c r="GK18" i="12" s="1"/>
  <c r="GD257" i="12"/>
  <c r="GH218" i="12"/>
  <c r="GL218" i="12" s="1"/>
  <c r="GH127" i="12"/>
  <c r="GL127" i="12" s="1"/>
  <c r="GG355" i="12"/>
  <c r="GK355" i="12" s="1"/>
  <c r="GG394" i="12"/>
  <c r="GK394" i="12" s="1"/>
  <c r="GG230" i="12"/>
  <c r="GK230" i="12" s="1"/>
  <c r="GG115" i="12"/>
  <c r="GK115" i="12" s="1"/>
  <c r="GD230" i="12"/>
  <c r="GG3" i="12"/>
  <c r="GK3" i="12" s="1"/>
  <c r="GH195" i="12"/>
  <c r="GL195" i="12" s="1"/>
  <c r="GH3" i="12"/>
  <c r="GL3" i="12" s="1"/>
  <c r="GH314" i="12"/>
  <c r="GL314" i="12" s="1"/>
  <c r="GD298" i="12"/>
  <c r="GG197" i="12"/>
  <c r="GK197" i="12" s="1"/>
  <c r="GG167" i="12"/>
  <c r="GK167" i="12" s="1"/>
  <c r="GG117" i="12"/>
  <c r="GK117" i="12" s="1"/>
  <c r="GM117" i="12" s="1"/>
  <c r="GG141" i="12"/>
  <c r="GK141" i="12" s="1"/>
  <c r="GH141" i="12"/>
  <c r="GL141" i="12" s="1"/>
  <c r="GH148" i="12"/>
  <c r="GL148" i="12" s="1"/>
  <c r="GH281" i="12"/>
  <c r="GL281" i="12" s="1"/>
  <c r="GD391" i="12"/>
  <c r="GH25" i="12"/>
  <c r="GL25" i="12" s="1"/>
  <c r="GG26" i="12"/>
  <c r="GK26" i="12" s="1"/>
  <c r="GM26" i="12" s="1"/>
  <c r="GH121" i="12"/>
  <c r="GL121" i="12" s="1"/>
  <c r="GH233" i="12"/>
  <c r="GL233" i="12" s="1"/>
  <c r="GD244" i="12"/>
  <c r="GD290" i="12"/>
  <c r="GD245" i="12"/>
  <c r="GH360" i="12"/>
  <c r="GL360" i="12" s="1"/>
  <c r="GD374" i="12"/>
  <c r="GH317" i="12"/>
  <c r="GL317" i="12" s="1"/>
  <c r="GH325" i="12"/>
  <c r="GL325" i="12" s="1"/>
  <c r="GG189" i="12"/>
  <c r="GK189" i="12" s="1"/>
  <c r="GD333" i="12"/>
  <c r="GD198" i="12"/>
  <c r="GD351" i="12"/>
  <c r="GD361" i="12"/>
  <c r="GD324" i="12"/>
  <c r="GH372" i="12"/>
  <c r="GL372" i="12" s="1"/>
  <c r="GM372" i="12" s="1"/>
  <c r="GD367" i="12"/>
  <c r="GH274" i="12"/>
  <c r="GL274" i="12" s="1"/>
  <c r="GH311" i="12"/>
  <c r="GL311" i="12" s="1"/>
  <c r="GD229" i="12"/>
  <c r="GG216" i="12"/>
  <c r="GK216" i="12" s="1"/>
  <c r="GH373" i="12"/>
  <c r="GL373" i="12" s="1"/>
  <c r="GH182" i="12"/>
  <c r="GL182" i="12" s="1"/>
  <c r="GH280" i="12"/>
  <c r="GL280" i="12" s="1"/>
  <c r="GG277" i="12"/>
  <c r="GK277" i="12" s="1"/>
  <c r="GH120" i="12"/>
  <c r="GL120" i="12" s="1"/>
  <c r="GH136" i="12"/>
  <c r="GL136" i="12" s="1"/>
  <c r="GG354" i="12"/>
  <c r="GK354" i="12" s="1"/>
  <c r="GG142" i="12"/>
  <c r="GK142" i="12" s="1"/>
  <c r="GD235" i="12"/>
  <c r="GH203" i="12"/>
  <c r="GL203" i="12" s="1"/>
  <c r="GH130" i="12"/>
  <c r="GL130" i="12" s="1"/>
  <c r="GH62" i="12"/>
  <c r="GL62" i="12" s="1"/>
  <c r="GH267" i="12"/>
  <c r="GL267" i="12" s="1"/>
  <c r="GG367" i="12"/>
  <c r="GK367" i="12" s="1"/>
  <c r="GH328" i="12"/>
  <c r="GL328" i="12" s="1"/>
  <c r="GH144" i="12"/>
  <c r="GL144" i="12" s="1"/>
  <c r="GH380" i="12"/>
  <c r="GL380" i="12" s="1"/>
  <c r="GG332" i="12"/>
  <c r="GK332" i="12" s="1"/>
  <c r="GM332" i="12" s="1"/>
  <c r="GH55" i="12"/>
  <c r="GL55" i="12" s="1"/>
  <c r="GG257" i="12"/>
  <c r="GK257" i="12" s="1"/>
  <c r="GH38" i="12"/>
  <c r="GL38" i="12" s="1"/>
  <c r="GG307" i="12"/>
  <c r="GK307" i="12" s="1"/>
  <c r="GD388" i="12"/>
  <c r="GD373" i="12"/>
  <c r="GH165" i="12"/>
  <c r="GL165" i="12" s="1"/>
  <c r="GD371" i="12"/>
  <c r="GH278" i="12"/>
  <c r="GL278" i="12" s="1"/>
  <c r="GD362" i="12"/>
  <c r="GH205" i="12"/>
  <c r="GL205" i="12" s="1"/>
  <c r="GH246" i="12"/>
  <c r="GL246" i="12" s="1"/>
  <c r="GH271" i="12"/>
  <c r="GL271" i="12" s="1"/>
  <c r="GG99" i="12"/>
  <c r="GK99" i="12" s="1"/>
  <c r="GH209" i="12"/>
  <c r="GL209" i="12" s="1"/>
  <c r="GH320" i="12"/>
  <c r="GL320" i="12" s="1"/>
  <c r="GG237" i="12"/>
  <c r="GK237" i="12" s="1"/>
  <c r="GM237" i="12" s="1"/>
  <c r="GH253" i="12"/>
  <c r="GL253" i="12" s="1"/>
  <c r="GH140" i="12"/>
  <c r="GL140" i="12" s="1"/>
  <c r="GD240" i="12"/>
  <c r="GH333" i="12"/>
  <c r="GL333" i="12" s="1"/>
  <c r="GH21" i="12"/>
  <c r="GL21" i="12" s="1"/>
  <c r="GG147" i="12"/>
  <c r="GK147" i="12" s="1"/>
  <c r="GG265" i="12"/>
  <c r="GK265" i="12" s="1"/>
  <c r="GG37" i="12"/>
  <c r="GK37" i="12" s="1"/>
  <c r="GG370" i="12"/>
  <c r="GK370" i="12" s="1"/>
  <c r="GH72" i="12"/>
  <c r="GL72" i="12" s="1"/>
  <c r="GD393" i="12"/>
  <c r="GG11" i="12"/>
  <c r="GK11" i="12" s="1"/>
  <c r="GH251" i="12"/>
  <c r="GL251" i="12" s="1"/>
  <c r="GG155" i="12"/>
  <c r="GK155" i="12" s="1"/>
  <c r="GG121" i="12"/>
  <c r="GK121" i="12" s="1"/>
  <c r="GD390" i="12"/>
  <c r="GG347" i="12"/>
  <c r="GK347" i="12" s="1"/>
  <c r="GH186" i="12"/>
  <c r="GL186" i="12" s="1"/>
  <c r="GH364" i="12"/>
  <c r="GL364" i="12" s="1"/>
  <c r="GG61" i="12"/>
  <c r="GK61" i="12" s="1"/>
  <c r="GD329" i="12"/>
  <c r="GG203" i="12"/>
  <c r="GK203" i="12" s="1"/>
  <c r="GD207" i="12"/>
  <c r="GG350" i="12"/>
  <c r="GK350" i="12" s="1"/>
  <c r="GH230" i="12"/>
  <c r="GL230" i="12" s="1"/>
  <c r="GG55" i="12"/>
  <c r="GK55" i="12" s="1"/>
  <c r="GG138" i="12"/>
  <c r="GK138" i="12" s="1"/>
  <c r="GD293" i="12"/>
  <c r="GH67" i="12"/>
  <c r="GL67" i="12" s="1"/>
  <c r="GH76" i="12"/>
  <c r="GL76" i="12" s="1"/>
  <c r="GH222" i="12"/>
  <c r="GL222" i="12" s="1"/>
  <c r="GH231" i="12"/>
  <c r="GL231" i="12" s="1"/>
  <c r="GG104" i="12"/>
  <c r="GK104" i="12" s="1"/>
  <c r="GG310" i="12"/>
  <c r="GK310" i="12" s="1"/>
  <c r="GD288" i="12"/>
  <c r="GG371" i="12"/>
  <c r="GK371" i="12" s="1"/>
  <c r="GH131" i="12"/>
  <c r="GL131" i="12" s="1"/>
  <c r="GG321" i="12"/>
  <c r="GK321" i="12" s="1"/>
  <c r="GD227" i="12"/>
  <c r="GD249" i="12"/>
  <c r="GD191" i="12"/>
  <c r="GH103" i="12"/>
  <c r="GL103" i="12" s="1"/>
  <c r="GH312" i="12"/>
  <c r="GL312" i="12" s="1"/>
  <c r="GG249" i="12"/>
  <c r="GK249" i="12" s="1"/>
  <c r="GG49" i="12"/>
  <c r="GK49" i="12" s="1"/>
  <c r="GG8" i="12"/>
  <c r="GK8" i="12" s="1"/>
  <c r="GH16" i="12"/>
  <c r="GL16" i="12" s="1"/>
  <c r="GH60" i="12"/>
  <c r="GL60" i="12" s="1"/>
  <c r="GH248" i="12"/>
  <c r="GL248" i="12" s="1"/>
  <c r="GH132" i="12"/>
  <c r="GL132" i="12" s="1"/>
  <c r="GH344" i="12"/>
  <c r="GL344" i="12" s="1"/>
  <c r="GD368" i="12"/>
  <c r="GG176" i="12"/>
  <c r="GK176" i="12" s="1"/>
  <c r="GH134" i="12"/>
  <c r="GL134" i="12" s="1"/>
  <c r="GH336" i="12"/>
  <c r="GL336" i="12" s="1"/>
  <c r="GH59" i="12"/>
  <c r="GL59" i="12" s="1"/>
  <c r="GD221" i="12"/>
  <c r="GD206" i="12"/>
  <c r="GD261" i="12"/>
  <c r="GH392" i="12"/>
  <c r="GL392" i="12" s="1"/>
  <c r="GG4" i="12"/>
  <c r="GK4" i="12" s="1"/>
  <c r="GH198" i="12"/>
  <c r="GL198" i="12" s="1"/>
  <c r="GD353" i="12"/>
  <c r="GD224" i="12"/>
  <c r="GH302" i="12"/>
  <c r="GL302" i="12" s="1"/>
  <c r="GG383" i="12"/>
  <c r="GK383" i="12" s="1"/>
  <c r="GD197" i="12"/>
  <c r="GH343" i="12"/>
  <c r="GL343" i="12" s="1"/>
  <c r="GG235" i="12"/>
  <c r="GK235" i="12" s="1"/>
  <c r="GG358" i="12"/>
  <c r="GK358" i="12" s="1"/>
  <c r="GH284" i="12"/>
  <c r="GL284" i="12" s="1"/>
  <c r="GG175" i="12"/>
  <c r="GK175" i="12" s="1"/>
  <c r="GH65" i="12"/>
  <c r="GL65" i="12" s="1"/>
  <c r="GG338" i="12"/>
  <c r="GK338" i="12" s="1"/>
  <c r="GH268" i="12"/>
  <c r="GL268" i="12" s="1"/>
  <c r="GD295" i="12"/>
  <c r="GD338" i="12"/>
  <c r="GD320" i="12"/>
  <c r="GH396" i="12"/>
  <c r="GL396" i="12" s="1"/>
  <c r="GD213" i="12"/>
  <c r="GD204" i="12"/>
  <c r="GH347" i="12"/>
  <c r="GL347" i="12" s="1"/>
  <c r="GD313" i="12"/>
  <c r="GG282" i="12"/>
  <c r="GK282" i="12" s="1"/>
  <c r="GD342" i="12"/>
  <c r="GG392" i="12"/>
  <c r="GK392" i="12" s="1"/>
  <c r="GG214" i="12"/>
  <c r="GK214" i="12" s="1"/>
  <c r="GM214" i="12" s="1"/>
  <c r="GG281" i="12"/>
  <c r="GK281" i="12" s="1"/>
  <c r="GD396" i="12"/>
  <c r="GG346" i="12"/>
  <c r="GK346" i="12" s="1"/>
  <c r="GH316" i="12"/>
  <c r="GL316" i="12" s="1"/>
  <c r="GH78" i="12"/>
  <c r="GL78" i="12" s="1"/>
  <c r="GG16" i="12"/>
  <c r="GK16" i="12" s="1"/>
  <c r="GD305" i="12"/>
  <c r="GH102" i="12"/>
  <c r="GL102" i="12" s="1"/>
  <c r="GH53" i="12"/>
  <c r="GL53" i="12" s="1"/>
  <c r="GG17" i="12"/>
  <c r="GK17" i="12" s="1"/>
  <c r="GG81" i="12"/>
  <c r="GK81" i="12" s="1"/>
  <c r="GH80" i="12"/>
  <c r="GL80" i="12" s="1"/>
  <c r="GG80" i="12"/>
  <c r="GK80" i="12" s="1"/>
  <c r="GH273" i="12"/>
  <c r="GL273" i="12" s="1"/>
  <c r="GH234" i="12"/>
  <c r="GL234" i="12" s="1"/>
  <c r="GG290" i="12"/>
  <c r="GK290" i="12" s="1"/>
  <c r="GG109" i="12"/>
  <c r="GK109" i="12" s="1"/>
  <c r="GG63" i="12"/>
  <c r="GK63" i="12" s="1"/>
  <c r="GG103" i="12"/>
  <c r="GK103" i="12" s="1"/>
  <c r="GM103" i="12" s="1"/>
  <c r="GD317" i="12"/>
  <c r="GH341" i="12"/>
  <c r="GL341" i="12" s="1"/>
  <c r="GD304" i="12"/>
  <c r="GG311" i="12"/>
  <c r="GK311" i="12" s="1"/>
  <c r="GG389" i="12"/>
  <c r="GK389" i="12" s="1"/>
  <c r="GH158" i="12"/>
  <c r="GL158" i="12" s="1"/>
  <c r="GG69" i="12"/>
  <c r="GK69" i="12" s="1"/>
  <c r="GG399" i="12"/>
  <c r="GK399" i="12" s="1"/>
  <c r="GH112" i="12"/>
  <c r="GL112" i="12" s="1"/>
  <c r="GH329" i="12"/>
  <c r="GL329" i="12" s="1"/>
  <c r="GG260" i="12"/>
  <c r="GK260" i="12" s="1"/>
  <c r="GM260" i="12" s="1"/>
  <c r="GH322" i="12"/>
  <c r="GL322" i="12" s="1"/>
  <c r="GG205" i="12"/>
  <c r="GK205" i="12" s="1"/>
  <c r="GD325" i="12"/>
  <c r="GH128" i="12"/>
  <c r="GL128" i="12" s="1"/>
  <c r="GD289" i="12"/>
  <c r="GH190" i="12"/>
  <c r="GL190" i="12" s="1"/>
  <c r="GG39" i="12"/>
  <c r="GK39" i="12" s="1"/>
  <c r="GH73" i="12"/>
  <c r="GL73" i="12" s="1"/>
  <c r="GH309" i="12"/>
  <c r="GL309" i="12" s="1"/>
  <c r="GD301" i="12"/>
  <c r="GD232" i="12"/>
  <c r="GG336" i="12"/>
  <c r="GK336" i="12" s="1"/>
  <c r="GH330" i="12"/>
  <c r="GL330" i="12" s="1"/>
  <c r="GD327" i="12"/>
  <c r="GG343" i="12"/>
  <c r="GK343" i="12" s="1"/>
  <c r="GM343" i="12" s="1"/>
  <c r="GG284" i="12"/>
  <c r="GK284" i="12" s="1"/>
  <c r="GH378" i="12"/>
  <c r="GL378" i="12" s="1"/>
  <c r="GH161" i="12"/>
  <c r="GL161" i="12" s="1"/>
  <c r="GD376" i="12"/>
  <c r="GH348" i="12"/>
  <c r="GL348" i="12" s="1"/>
  <c r="GG222" i="12"/>
  <c r="GK222" i="12" s="1"/>
  <c r="GH263" i="12"/>
  <c r="GL263" i="12" s="1"/>
  <c r="GG259" i="12"/>
  <c r="GK259" i="12" s="1"/>
  <c r="GM259" i="12" s="1"/>
  <c r="GD222" i="12"/>
  <c r="GG36" i="12"/>
  <c r="GK36" i="12" s="1"/>
  <c r="GM36" i="12" s="1"/>
  <c r="GH365" i="12"/>
  <c r="GL365" i="12" s="1"/>
  <c r="GD360" i="12"/>
  <c r="GG54" i="12"/>
  <c r="GK54" i="12" s="1"/>
  <c r="GH265" i="12"/>
  <c r="GL265" i="12" s="1"/>
  <c r="GH52" i="12"/>
  <c r="GL52" i="12" s="1"/>
  <c r="GG124" i="12"/>
  <c r="GK124" i="12" s="1"/>
  <c r="GG251" i="12"/>
  <c r="GK251" i="12" s="1"/>
  <c r="GM251" i="12" s="1"/>
  <c r="GG45" i="12"/>
  <c r="GK45" i="12" s="1"/>
  <c r="GG215" i="12"/>
  <c r="GK215" i="12" s="1"/>
  <c r="GD352" i="12"/>
  <c r="GD242" i="12"/>
  <c r="GG387" i="12"/>
  <c r="GK387" i="12" s="1"/>
  <c r="GG151" i="12"/>
  <c r="GK151" i="12" s="1"/>
  <c r="GG333" i="12"/>
  <c r="GK333" i="12" s="1"/>
  <c r="GM333" i="12" s="1"/>
  <c r="GG40" i="12"/>
  <c r="GK40" i="12" s="1"/>
  <c r="GG295" i="12"/>
  <c r="GK295" i="12" s="1"/>
  <c r="GH356" i="12"/>
  <c r="GL356" i="12" s="1"/>
  <c r="GG239" i="12"/>
  <c r="GK239" i="12" s="1"/>
  <c r="GD250" i="12"/>
  <c r="GH313" i="12"/>
  <c r="GL313" i="12" s="1"/>
  <c r="GG132" i="12"/>
  <c r="GK132" i="12" s="1"/>
  <c r="GH377" i="12"/>
  <c r="GL377" i="12" s="1"/>
  <c r="GH66" i="12"/>
  <c r="GL66" i="12" s="1"/>
  <c r="GH399" i="12"/>
  <c r="GL399" i="12" s="1"/>
  <c r="GG201" i="12"/>
  <c r="GK201" i="12" s="1"/>
  <c r="GG359" i="12"/>
  <c r="GK359" i="12" s="1"/>
  <c r="GG210" i="12"/>
  <c r="GK210" i="12" s="1"/>
  <c r="GD312" i="12"/>
  <c r="GH159" i="12"/>
  <c r="GL159" i="12" s="1"/>
  <c r="GH213" i="12"/>
  <c r="GL213" i="12" s="1"/>
  <c r="GD276" i="12"/>
  <c r="GD195" i="12"/>
  <c r="GG173" i="12"/>
  <c r="GK173" i="12" s="1"/>
  <c r="GG47" i="12"/>
  <c r="GK47" i="12" s="1"/>
  <c r="GH138" i="12"/>
  <c r="GL138" i="12" s="1"/>
  <c r="GG120" i="12"/>
  <c r="GK120" i="12" s="1"/>
  <c r="GD350" i="12"/>
  <c r="GH384" i="12"/>
  <c r="GL384" i="12" s="1"/>
  <c r="GG357" i="12"/>
  <c r="GK357" i="12" s="1"/>
  <c r="GG221" i="12"/>
  <c r="GK221" i="12" s="1"/>
  <c r="GG199" i="12"/>
  <c r="GK199" i="12" s="1"/>
  <c r="GH201" i="12"/>
  <c r="GL201" i="12" s="1"/>
  <c r="GH56" i="12"/>
  <c r="GL56" i="12" s="1"/>
  <c r="GH173" i="12"/>
  <c r="GL173" i="12" s="1"/>
  <c r="GD308" i="12"/>
  <c r="GD335" i="12"/>
  <c r="GH9" i="12"/>
  <c r="GL9" i="12" s="1"/>
  <c r="GG213" i="12"/>
  <c r="GK213" i="12" s="1"/>
  <c r="GG35" i="12"/>
  <c r="GK35" i="12" s="1"/>
  <c r="GM35" i="12" s="1"/>
  <c r="GG369" i="12"/>
  <c r="GK369" i="12" s="1"/>
  <c r="GG398" i="12"/>
  <c r="GK398" i="12" s="1"/>
  <c r="GG318" i="12"/>
  <c r="GK318" i="12" s="1"/>
  <c r="GH298" i="12"/>
  <c r="GL298" i="12" s="1"/>
  <c r="GD286" i="12"/>
  <c r="GG340" i="12"/>
  <c r="GK340" i="12" s="1"/>
  <c r="GG160" i="12"/>
  <c r="GK160" i="12" s="1"/>
  <c r="GM160" i="12" s="1"/>
  <c r="GD347" i="12"/>
  <c r="GH192" i="12"/>
  <c r="GL192" i="12" s="1"/>
  <c r="GD311" i="12"/>
  <c r="GG223" i="12"/>
  <c r="GK223" i="12" s="1"/>
  <c r="GH387" i="12"/>
  <c r="GL387" i="12" s="1"/>
  <c r="GD284" i="12"/>
  <c r="GH291" i="12"/>
  <c r="GL291" i="12" s="1"/>
  <c r="GH261" i="12"/>
  <c r="GL261" i="12" s="1"/>
  <c r="GD264" i="12"/>
  <c r="GD389" i="12"/>
  <c r="GG195" i="12"/>
  <c r="GK195" i="12" s="1"/>
  <c r="GD328" i="12"/>
  <c r="GH264" i="12"/>
  <c r="GL264" i="12" s="1"/>
  <c r="GH227" i="12"/>
  <c r="GL227" i="12" s="1"/>
  <c r="GG275" i="12"/>
  <c r="GK275" i="12" s="1"/>
  <c r="GG317" i="12"/>
  <c r="GK317" i="12" s="1"/>
  <c r="GG377" i="12"/>
  <c r="GK377" i="12" s="1"/>
  <c r="GG361" i="12"/>
  <c r="GK361" i="12" s="1"/>
  <c r="GG229" i="12"/>
  <c r="GK229" i="12" s="1"/>
  <c r="GH349" i="12"/>
  <c r="GL349" i="12" s="1"/>
  <c r="GD252" i="12"/>
  <c r="GH362" i="12"/>
  <c r="GL362" i="12" s="1"/>
  <c r="GH210" i="12"/>
  <c r="GL210" i="12" s="1"/>
  <c r="GG72" i="12"/>
  <c r="GK72" i="12" s="1"/>
  <c r="GM72" i="12" s="1"/>
  <c r="GD237" i="12"/>
  <c r="GH69" i="12"/>
  <c r="GL69" i="12" s="1"/>
  <c r="GG179" i="12"/>
  <c r="GK179" i="12" s="1"/>
  <c r="GG344" i="12"/>
  <c r="GK344" i="12" s="1"/>
  <c r="GD340" i="12"/>
  <c r="GG170" i="12"/>
  <c r="GK170" i="12" s="1"/>
  <c r="GH143" i="12"/>
  <c r="GL143" i="12" s="1"/>
  <c r="GH371" i="12"/>
  <c r="GL371" i="12" s="1"/>
  <c r="GH79" i="12"/>
  <c r="GL79" i="12" s="1"/>
  <c r="GH270" i="12"/>
  <c r="GL270" i="12" s="1"/>
  <c r="GG266" i="12"/>
  <c r="GK266" i="12" s="1"/>
  <c r="GD299" i="12"/>
  <c r="GH374" i="12"/>
  <c r="GL374" i="12" s="1"/>
  <c r="GH208" i="12"/>
  <c r="GL208" i="12" s="1"/>
  <c r="GD343" i="12"/>
  <c r="GD271" i="12"/>
  <c r="GG10" i="12"/>
  <c r="GK10" i="12" s="1"/>
  <c r="GH71" i="12"/>
  <c r="GL71" i="12" s="1"/>
  <c r="GG353" i="12"/>
  <c r="GK353" i="12" s="1"/>
  <c r="GG161" i="12"/>
  <c r="GK161" i="12" s="1"/>
  <c r="GG241" i="12"/>
  <c r="GK241" i="12" s="1"/>
  <c r="GG59" i="12"/>
  <c r="GK59" i="12" s="1"/>
  <c r="GG246" i="12"/>
  <c r="GK246" i="12" s="1"/>
  <c r="GG145" i="12"/>
  <c r="GK145" i="12" s="1"/>
  <c r="GG137" i="12"/>
  <c r="GK137" i="12" s="1"/>
  <c r="GH194" i="12"/>
  <c r="GL194" i="12" s="1"/>
  <c r="GH206" i="12"/>
  <c r="GL206" i="12" s="1"/>
  <c r="GH391" i="12"/>
  <c r="GL391" i="12" s="1"/>
  <c r="GD332" i="12"/>
  <c r="GD208" i="12"/>
  <c r="GG66" i="12"/>
  <c r="GK66" i="12" s="1"/>
  <c r="GM66" i="12" s="1"/>
  <c r="GG166" i="12"/>
  <c r="GK166" i="12" s="1"/>
  <c r="GG131" i="12"/>
  <c r="GK131" i="12" s="1"/>
  <c r="GG52" i="12"/>
  <c r="GK52" i="12" s="1"/>
  <c r="GH115" i="12"/>
  <c r="GL115" i="12" s="1"/>
  <c r="GG108" i="12"/>
  <c r="GK108" i="12" s="1"/>
  <c r="GH149" i="12"/>
  <c r="GL149" i="12" s="1"/>
  <c r="GH13" i="12"/>
  <c r="GL13" i="12" s="1"/>
  <c r="GG111" i="12"/>
  <c r="GK111" i="12" s="1"/>
  <c r="GH221" i="12"/>
  <c r="GL221" i="12" s="1"/>
  <c r="GG248" i="12"/>
  <c r="GK248" i="12" s="1"/>
  <c r="GG378" i="12"/>
  <c r="GK378" i="12" s="1"/>
  <c r="GH104" i="12"/>
  <c r="GL104" i="12" s="1"/>
  <c r="GG386" i="12"/>
  <c r="GK386" i="12" s="1"/>
  <c r="GG376" i="12"/>
  <c r="GK376" i="12" s="1"/>
  <c r="GD269" i="12"/>
  <c r="GH32" i="12"/>
  <c r="GL32" i="12" s="1"/>
  <c r="GH111" i="12"/>
  <c r="GL111" i="12" s="1"/>
  <c r="GD398" i="12"/>
  <c r="GH232" i="12"/>
  <c r="GL232" i="12" s="1"/>
  <c r="GH239" i="12"/>
  <c r="GL239" i="12" s="1"/>
  <c r="GD186" i="12"/>
  <c r="GG352" i="12"/>
  <c r="GK352" i="12" s="1"/>
  <c r="GG349" i="12"/>
  <c r="GK349" i="12" s="1"/>
  <c r="GG74" i="12"/>
  <c r="GK74" i="12" s="1"/>
  <c r="GM74" i="12" s="1"/>
  <c r="GG297" i="12"/>
  <c r="GK297" i="12" s="1"/>
  <c r="GG174" i="12"/>
  <c r="GK174" i="12" s="1"/>
  <c r="GM174" i="12" s="1"/>
  <c r="GG220" i="12"/>
  <c r="GK220" i="12" s="1"/>
  <c r="GM220" i="12" s="1"/>
  <c r="GH189" i="12"/>
  <c r="GL189" i="12" s="1"/>
  <c r="GG219" i="12"/>
  <c r="GK219" i="12" s="1"/>
  <c r="GH155" i="12"/>
  <c r="GL155" i="12" s="1"/>
  <c r="GH286" i="12"/>
  <c r="GL286" i="12" s="1"/>
  <c r="GD253" i="12"/>
  <c r="GD395" i="12"/>
  <c r="GH279" i="12"/>
  <c r="GL279" i="12" s="1"/>
  <c r="GG163" i="12"/>
  <c r="GK163" i="12" s="1"/>
  <c r="GG110" i="12"/>
  <c r="GK110" i="12" s="1"/>
  <c r="GH225" i="12"/>
  <c r="GL225" i="12" s="1"/>
  <c r="GG360" i="12"/>
  <c r="GK360" i="12" s="1"/>
  <c r="GD321" i="12"/>
  <c r="GG158" i="12"/>
  <c r="GK158" i="12" s="1"/>
  <c r="GH99" i="12"/>
  <c r="GL99" i="12" s="1"/>
  <c r="GD263" i="12"/>
  <c r="GG73" i="12"/>
  <c r="GK73" i="12" s="1"/>
  <c r="GH254" i="12"/>
  <c r="GL254" i="12" s="1"/>
  <c r="GD212" i="12"/>
  <c r="GH168" i="12"/>
  <c r="GL168" i="12" s="1"/>
  <c r="GH200" i="12"/>
  <c r="GL200" i="12" s="1"/>
  <c r="GG334" i="12"/>
  <c r="GK334" i="12" s="1"/>
  <c r="GG28" i="12"/>
  <c r="GK28" i="12" s="1"/>
  <c r="GD392" i="12"/>
  <c r="GG374" i="12"/>
  <c r="GK374" i="12" s="1"/>
  <c r="GD318" i="12"/>
  <c r="GG181" i="12"/>
  <c r="GK181" i="12" s="1"/>
  <c r="GH150" i="12"/>
  <c r="GL150" i="12" s="1"/>
  <c r="GD359" i="12"/>
  <c r="GD267" i="12"/>
  <c r="GG140" i="12"/>
  <c r="GK140" i="12" s="1"/>
  <c r="GM140" i="12" s="1"/>
  <c r="GD294" i="12"/>
  <c r="GG242" i="12"/>
  <c r="GK242" i="12" s="1"/>
  <c r="GG345" i="12"/>
  <c r="GK345" i="12" s="1"/>
  <c r="GH63" i="12"/>
  <c r="GL63" i="12" s="1"/>
  <c r="GH244" i="12"/>
  <c r="GL244" i="12" s="1"/>
  <c r="GG301" i="12"/>
  <c r="GK301" i="12" s="1"/>
  <c r="GG254" i="12"/>
  <c r="GK254" i="12" s="1"/>
  <c r="GD307" i="12"/>
  <c r="GG208" i="12"/>
  <c r="GK208" i="12" s="1"/>
  <c r="GG191" i="12"/>
  <c r="GK191" i="12" s="1"/>
  <c r="GD357" i="12"/>
  <c r="GH145" i="12"/>
  <c r="GL145" i="12" s="1"/>
  <c r="GG6" i="12"/>
  <c r="GK6" i="12" s="1"/>
  <c r="GM6" i="12" s="1"/>
  <c r="GG273" i="12"/>
  <c r="GK273" i="12" s="1"/>
  <c r="GG204" i="12"/>
  <c r="GK204" i="12" s="1"/>
  <c r="GM204" i="12" s="1"/>
  <c r="GG309" i="12"/>
  <c r="GK309" i="12" s="1"/>
  <c r="GG236" i="12"/>
  <c r="GK236" i="12" s="1"/>
  <c r="GM236" i="12" s="1"/>
  <c r="GH125" i="12"/>
  <c r="GL125" i="12" s="1"/>
  <c r="GH119" i="12"/>
  <c r="GL119" i="12" s="1"/>
  <c r="GH350" i="12"/>
  <c r="GL350" i="12" s="1"/>
  <c r="GG133" i="12"/>
  <c r="GK133" i="12" s="1"/>
  <c r="GG102" i="12"/>
  <c r="GK102" i="12" s="1"/>
  <c r="GG262" i="12"/>
  <c r="GK262" i="12" s="1"/>
  <c r="GD337" i="12"/>
  <c r="GD309" i="12"/>
  <c r="GG339" i="12"/>
  <c r="GK339" i="12" s="1"/>
  <c r="GM339" i="12" s="1"/>
  <c r="GG351" i="12"/>
  <c r="GK351" i="12" s="1"/>
  <c r="GH283" i="12"/>
  <c r="GL283" i="12" s="1"/>
  <c r="GH389" i="12"/>
  <c r="GL389" i="12" s="1"/>
  <c r="GH304" i="12"/>
  <c r="GL304" i="12" s="1"/>
  <c r="GG187" i="12"/>
  <c r="GK187" i="12" s="1"/>
  <c r="GH179" i="12"/>
  <c r="GL179" i="12" s="1"/>
  <c r="GH181" i="12"/>
  <c r="GL181" i="12" s="1"/>
  <c r="GG136" i="12"/>
  <c r="GK136" i="12" s="1"/>
  <c r="GH40" i="12"/>
  <c r="GL40" i="12" s="1"/>
  <c r="GG396" i="12"/>
  <c r="GK396" i="12" s="1"/>
  <c r="GH334" i="12"/>
  <c r="GL334" i="12" s="1"/>
  <c r="GH169" i="12"/>
  <c r="GL169" i="12" s="1"/>
  <c r="GD326" i="12"/>
  <c r="GG22" i="12"/>
  <c r="GK22" i="12" s="1"/>
  <c r="GG82" i="12"/>
  <c r="GK82" i="12" s="1"/>
  <c r="GM294" i="12" l="1"/>
  <c r="GM59" i="12"/>
  <c r="GM390" i="12"/>
  <c r="GM353" i="12"/>
  <c r="GM397" i="12"/>
  <c r="GM133" i="12"/>
  <c r="GM18" i="12"/>
  <c r="GM376" i="12"/>
  <c r="GM268" i="12"/>
  <c r="GM256" i="12"/>
  <c r="GM83" i="12"/>
  <c r="GM108" i="12"/>
  <c r="GM254" i="12"/>
  <c r="DF239" i="12"/>
  <c r="DF240" i="12" s="1"/>
  <c r="DF241" i="12" s="1"/>
  <c r="DF242" i="12" s="1"/>
  <c r="GM185" i="12"/>
  <c r="GM24" i="12"/>
  <c r="GM345" i="12"/>
  <c r="GM266" i="12"/>
  <c r="GM235" i="12"/>
  <c r="GM49" i="12"/>
  <c r="GM277" i="12"/>
  <c r="GM77" i="12"/>
  <c r="GM12" i="12"/>
  <c r="GM287" i="12"/>
  <c r="GM207" i="12"/>
  <c r="GM301" i="12"/>
  <c r="GM286" i="12"/>
  <c r="GM175" i="12"/>
  <c r="GM60" i="12"/>
  <c r="GM82" i="12"/>
  <c r="GM279" i="12"/>
  <c r="GM241" i="12"/>
  <c r="GM199" i="12"/>
  <c r="GM93" i="12"/>
  <c r="GM183" i="12"/>
  <c r="GM346" i="12"/>
  <c r="GM110" i="12"/>
  <c r="GM275" i="12"/>
  <c r="GM340" i="12"/>
  <c r="GM31" i="12"/>
  <c r="GM273" i="12"/>
  <c r="GM73" i="12"/>
  <c r="GM270" i="12"/>
  <c r="GM361" i="12"/>
  <c r="GM359" i="12"/>
  <c r="GM281" i="12"/>
  <c r="GM11" i="12"/>
  <c r="GM354" i="12"/>
  <c r="GM381" i="12"/>
  <c r="GM315" i="12"/>
  <c r="GM106" i="12"/>
  <c r="GM196" i="12"/>
  <c r="GM386" i="12"/>
  <c r="GM318" i="12"/>
  <c r="GM295" i="12"/>
  <c r="GM358" i="12"/>
  <c r="GM383" i="12"/>
  <c r="GM394" i="12"/>
  <c r="GM363" i="12"/>
  <c r="GM114" i="12"/>
  <c r="GM366" i="12"/>
  <c r="GM352" i="12"/>
  <c r="GM131" i="12"/>
  <c r="GM137" i="12"/>
  <c r="GM215" i="12"/>
  <c r="GM365" i="12"/>
  <c r="GM190" i="12"/>
  <c r="GM290" i="12"/>
  <c r="GM121" i="12"/>
  <c r="GM299" i="12"/>
  <c r="GM289" i="12"/>
  <c r="GM398" i="12"/>
  <c r="GM54" i="12"/>
  <c r="GM4" i="12"/>
  <c r="GM370" i="12"/>
  <c r="GM355" i="12"/>
  <c r="GM50" i="12"/>
  <c r="GM123" i="12"/>
  <c r="GM28" i="12"/>
  <c r="GM219" i="12"/>
  <c r="GM81" i="12"/>
  <c r="GM338" i="12"/>
  <c r="GM310" i="12"/>
  <c r="GM46" i="12"/>
  <c r="GM217" i="12"/>
  <c r="GM10" i="12"/>
  <c r="GM312" i="12"/>
  <c r="GM307" i="12"/>
  <c r="GM25" i="12"/>
  <c r="GM197" i="12"/>
  <c r="GM153" i="12"/>
  <c r="GM324" i="12"/>
  <c r="GM7" i="12"/>
  <c r="GM269" i="12"/>
  <c r="GM139" i="12"/>
  <c r="GM75" i="12"/>
  <c r="GM184" i="12"/>
  <c r="GM191" i="12"/>
  <c r="GM242" i="12"/>
  <c r="GM369" i="12"/>
  <c r="GM249" i="12"/>
  <c r="GM37" i="12"/>
  <c r="GM400" i="12"/>
  <c r="GM395" i="12"/>
  <c r="GM187" i="12"/>
  <c r="GM262" i="12"/>
  <c r="GM229" i="12"/>
  <c r="GM195" i="12"/>
  <c r="GM357" i="12"/>
  <c r="GM17" i="12"/>
  <c r="GM257" i="12"/>
  <c r="GM216" i="12"/>
  <c r="GM314" i="12"/>
  <c r="GM245" i="12"/>
  <c r="GM41" i="12"/>
  <c r="GM171" i="12"/>
  <c r="GM297" i="12"/>
  <c r="GM223" i="12"/>
  <c r="GM8" i="12"/>
  <c r="GM186" i="12"/>
  <c r="GM147" i="12"/>
  <c r="GM247" i="12"/>
  <c r="GM375" i="12"/>
  <c r="GM20" i="12"/>
  <c r="GM393" i="12"/>
  <c r="GM122" i="12"/>
  <c r="GM107" i="12"/>
  <c r="GM230" i="12"/>
  <c r="GM102" i="12"/>
  <c r="GM52" i="12"/>
  <c r="GM284" i="12"/>
  <c r="GM336" i="12"/>
  <c r="GM16" i="12"/>
  <c r="GM161" i="12"/>
  <c r="GM344" i="12"/>
  <c r="GM222" i="12"/>
  <c r="GM311" i="12"/>
  <c r="GM203" i="12"/>
  <c r="GM208" i="12"/>
  <c r="GM377" i="12"/>
  <c r="GM146" i="12"/>
  <c r="GM374" i="12"/>
  <c r="GM58" i="12"/>
  <c r="GM360" i="12"/>
  <c r="GM132" i="12"/>
  <c r="GM205" i="12"/>
  <c r="GM367" i="12"/>
  <c r="GM100" i="12"/>
  <c r="GM349" i="12"/>
  <c r="GM170" i="12"/>
  <c r="GM39" i="12"/>
  <c r="GM282" i="12"/>
  <c r="GM61" i="12"/>
  <c r="GM148" i="12"/>
  <c r="GM126" i="12"/>
  <c r="GM94" i="12"/>
  <c r="GM141" i="12"/>
  <c r="GM55" i="12"/>
  <c r="GM255" i="12"/>
  <c r="GM5" i="12"/>
  <c r="GM334" i="12"/>
  <c r="GM111" i="12"/>
  <c r="GM210" i="12"/>
  <c r="GM40" i="12"/>
  <c r="GM69" i="12"/>
  <c r="GM63" i="12"/>
  <c r="GM248" i="12"/>
  <c r="GM104" i="12"/>
  <c r="GM347" i="12"/>
  <c r="GM362" i="12"/>
  <c r="GM271" i="12"/>
  <c r="GM364" i="12"/>
  <c r="GM168" i="12"/>
  <c r="GM225" i="12"/>
  <c r="GM329" i="12"/>
  <c r="GM172" i="12"/>
  <c r="GM56" i="12"/>
  <c r="GM113" i="12"/>
  <c r="GM244" i="12"/>
  <c r="GM209" i="12"/>
  <c r="GM127" i="12"/>
  <c r="GM144" i="12"/>
  <c r="GM291" i="12"/>
  <c r="GM261" i="12"/>
  <c r="GM356" i="12"/>
  <c r="GM323" i="12"/>
  <c r="GM182" i="12"/>
  <c r="GM48" i="12"/>
  <c r="GM252" i="12"/>
  <c r="GM33" i="12"/>
  <c r="GM44" i="12"/>
  <c r="GM322" i="12"/>
  <c r="GM149" i="12"/>
  <c r="GM280" i="12"/>
  <c r="GM276" i="12"/>
  <c r="GM180" i="12"/>
  <c r="GM200" i="12"/>
  <c r="GM385" i="12"/>
  <c r="GM206" i="12"/>
  <c r="GM143" i="12"/>
  <c r="GM292" i="12"/>
  <c r="GM327" i="12"/>
  <c r="GM181" i="12"/>
  <c r="GM145" i="12"/>
  <c r="GM213" i="12"/>
  <c r="GM173" i="12"/>
  <c r="GM221" i="12"/>
  <c r="GM387" i="12"/>
  <c r="GM378" i="12"/>
  <c r="GM309" i="12"/>
  <c r="GM399" i="12"/>
  <c r="GM392" i="12"/>
  <c r="GM155" i="12"/>
  <c r="GM189" i="12"/>
  <c r="GM3" i="12"/>
  <c r="GM267" i="12"/>
  <c r="GM253" i="12"/>
  <c r="GM21" i="12"/>
  <c r="GM105" i="12"/>
  <c r="GM226" i="12"/>
  <c r="GM116" i="12"/>
  <c r="GM128" i="12"/>
  <c r="GM391" i="12"/>
  <c r="GM76" i="12"/>
  <c r="GM231" i="12"/>
  <c r="GM313" i="12"/>
  <c r="GM283" i="12"/>
  <c r="GM13" i="12"/>
  <c r="GM64" i="12"/>
  <c r="GM193" i="12"/>
  <c r="GM316" i="12"/>
  <c r="GM232" i="12"/>
  <c r="GM351" i="12"/>
  <c r="GM305" i="12"/>
  <c r="GM125" i="12"/>
  <c r="GM67" i="12"/>
  <c r="GM188" i="12"/>
  <c r="GM62" i="12"/>
  <c r="GM373" i="12"/>
  <c r="GM70" i="12"/>
  <c r="GM331" i="12"/>
  <c r="GM293" i="12"/>
  <c r="GM162" i="12"/>
  <c r="GM304" i="12"/>
  <c r="GM78" i="12"/>
  <c r="GM330" i="12"/>
  <c r="GM250" i="12"/>
  <c r="GM194" i="12"/>
  <c r="GM328" i="12"/>
  <c r="GM142" i="12"/>
  <c r="GM201" i="12"/>
  <c r="GM389" i="12"/>
  <c r="GM396" i="12"/>
  <c r="GM138" i="12"/>
  <c r="GM265" i="12"/>
  <c r="GM246" i="12"/>
  <c r="GM136" i="12"/>
  <c r="GM264" i="12"/>
  <c r="GM302" i="12"/>
  <c r="GM321" i="12"/>
  <c r="GM384" i="12"/>
  <c r="GM341" i="12"/>
  <c r="GM298" i="12"/>
  <c r="GM243" i="12"/>
  <c r="GM9" i="12"/>
  <c r="GM379" i="12"/>
  <c r="GM218" i="12"/>
  <c r="GM274" i="12"/>
  <c r="GM38" i="12"/>
  <c r="GM192" i="12"/>
  <c r="GM337" i="12"/>
  <c r="GM306" i="12"/>
  <c r="GM285" i="12"/>
  <c r="GM169" i="12"/>
  <c r="GM98" i="12"/>
  <c r="GM57" i="12"/>
  <c r="GM263" i="12"/>
  <c r="GM296" i="12"/>
  <c r="GM303" i="12"/>
  <c r="GM32" i="12"/>
  <c r="GM29" i="12"/>
  <c r="GM53" i="12"/>
  <c r="GM272" i="12"/>
  <c r="GM239" i="12"/>
  <c r="GM371" i="12"/>
  <c r="GM350" i="12"/>
  <c r="GM317" i="12"/>
  <c r="GM115" i="12"/>
  <c r="GM45" i="12"/>
  <c r="GM348" i="12"/>
  <c r="GM227" i="12"/>
  <c r="GM234" i="12"/>
  <c r="GM34" i="12"/>
  <c r="GM65" i="12"/>
  <c r="GM325" i="12"/>
  <c r="GM198" i="12"/>
  <c r="GM152" i="12"/>
  <c r="GM300" i="12"/>
  <c r="GM211" i="12"/>
  <c r="GM238" i="12"/>
  <c r="GM112" i="12"/>
  <c r="GM320" i="12"/>
  <c r="GM71" i="12"/>
  <c r="GM258" i="12"/>
  <c r="GM202" i="12"/>
  <c r="GM19" i="12"/>
  <c r="GM288" i="12"/>
  <c r="GM278" i="12"/>
  <c r="GM233" i="12"/>
  <c r="GM240" i="12"/>
  <c r="GM380" i="12"/>
  <c r="GM96" i="12"/>
  <c r="DF254" i="12" l="1"/>
  <c r="DF255" i="12" s="1"/>
  <c r="DF256" i="12" s="1"/>
  <c r="DF257" i="12" s="1"/>
  <c r="DF258" i="12" s="1"/>
  <c r="GM14" i="12"/>
  <c r="GM22" i="12" s="1"/>
  <c r="GM23" i="12" s="1"/>
  <c r="DF259" i="12" l="1"/>
  <c r="GM27" i="12"/>
  <c r="GM119" i="12"/>
  <c r="GM124" i="12"/>
  <c r="GM30" i="12" l="1"/>
  <c r="DF260" i="12"/>
  <c r="GM135" i="12"/>
  <c r="GM42" i="12" l="1"/>
  <c r="DF261" i="12"/>
  <c r="DF262" i="12" l="1"/>
  <c r="DF263" i="12" s="1"/>
  <c r="GM43" i="12"/>
  <c r="DF264" i="12" l="1"/>
  <c r="GM47" i="12"/>
  <c r="GM79" i="12" l="1"/>
  <c r="DF265" i="12"/>
  <c r="DF266" i="12" s="1"/>
  <c r="DF272" i="12" l="1"/>
  <c r="GM80" i="12"/>
  <c r="GM85" i="12" l="1"/>
  <c r="DF273" i="12"/>
  <c r="GM86" i="12" l="1"/>
  <c r="DF274" i="12"/>
  <c r="DF275" i="12" s="1"/>
  <c r="DF276" i="12" l="1"/>
  <c r="DF277" i="12" s="1"/>
  <c r="GM91" i="12"/>
  <c r="DF278" i="12" l="1"/>
  <c r="DF279" i="12" s="1"/>
  <c r="DF280" i="12" s="1"/>
  <c r="DF281" i="12" s="1"/>
  <c r="DF282" i="12" s="1"/>
  <c r="DF283" i="12" s="1"/>
  <c r="GM92" i="12"/>
  <c r="GM97" i="12" l="1"/>
  <c r="E12" i="15"/>
  <c r="B12" i="15" s="1"/>
  <c r="DF290" i="12"/>
  <c r="DF291" i="12" s="1"/>
  <c r="DF292" i="12" s="1"/>
  <c r="GM99" i="12"/>
  <c r="C12" i="15" l="1"/>
  <c r="D12" i="15"/>
  <c r="E13" i="15"/>
  <c r="B13" i="15" s="1"/>
  <c r="GM101" i="12"/>
  <c r="GM109" i="12" s="1"/>
  <c r="DF293" i="12"/>
  <c r="D13" i="15" l="1"/>
  <c r="C13" i="15"/>
  <c r="GM120" i="12"/>
  <c r="DF294" i="12"/>
  <c r="GM129" i="12" l="1"/>
  <c r="E14" i="15"/>
  <c r="B14" i="15" s="1"/>
  <c r="GM130" i="12"/>
  <c r="GM158" i="12"/>
  <c r="DF295" i="12"/>
  <c r="D14" i="15" l="1"/>
  <c r="C14" i="15"/>
  <c r="GM134" i="12"/>
  <c r="GM159" i="12"/>
  <c r="DF296" i="12"/>
  <c r="DF297" i="12" s="1"/>
  <c r="DF298" i="12" s="1"/>
  <c r="DF308" i="12" s="1"/>
  <c r="DF309" i="12" s="1"/>
  <c r="DF310" i="12" s="1"/>
  <c r="DF311" i="12" s="1"/>
  <c r="DF312" i="12" s="1"/>
  <c r="DF326" i="12" s="1"/>
  <c r="DF327" i="12" s="1"/>
  <c r="DF328" i="12" s="1"/>
  <c r="DF329" i="12" s="1"/>
  <c r="GM151" i="12" l="1"/>
  <c r="GM150" i="12"/>
  <c r="GM157" i="12"/>
  <c r="DF344" i="12"/>
  <c r="DF345" i="12" s="1"/>
  <c r="DF346" i="12" s="1"/>
  <c r="DF347" i="12" s="1"/>
  <c r="DF348" i="12" s="1"/>
  <c r="GM156" i="12" l="1"/>
  <c r="DF362" i="12"/>
  <c r="GM163" i="12" l="1"/>
  <c r="GM164" i="12"/>
  <c r="GM165" i="12"/>
  <c r="GM166" i="12" s="1"/>
  <c r="DF363" i="12"/>
  <c r="DF364" i="12" s="1"/>
  <c r="DF365" i="12" s="1"/>
  <c r="GM176" i="12" l="1"/>
  <c r="GM167" i="12"/>
  <c r="DF366" i="12"/>
  <c r="GM177" i="12" l="1"/>
  <c r="DF380" i="12"/>
  <c r="GM178" i="12" l="1"/>
  <c r="E30" i="15"/>
  <c r="B30" i="15" s="1"/>
  <c r="E15" i="15"/>
  <c r="B15" i="15" s="1"/>
  <c r="E16" i="15"/>
  <c r="B16" i="15" s="1"/>
  <c r="DF381" i="12"/>
  <c r="H15" i="15"/>
  <c r="GT7" i="12" l="1"/>
  <c r="F16" i="15" s="1"/>
  <c r="GT15" i="12"/>
  <c r="F24" i="15" s="1"/>
  <c r="GM179" i="12"/>
  <c r="GP6" i="12" s="1"/>
  <c r="E25" i="15"/>
  <c r="B25" i="15" s="1"/>
  <c r="E19" i="15"/>
  <c r="B19" i="15" s="1"/>
  <c r="E26" i="15"/>
  <c r="B26" i="15" s="1"/>
  <c r="GN11" i="12"/>
  <c r="GO18" i="12"/>
  <c r="G27" i="15" s="1"/>
  <c r="GT21" i="12"/>
  <c r="F30" i="15" s="1"/>
  <c r="GP22" i="12"/>
  <c r="H31" i="15" s="1"/>
  <c r="GT9" i="12"/>
  <c r="F18" i="15" s="1"/>
  <c r="GT8" i="12"/>
  <c r="F17" i="15" s="1"/>
  <c r="GO9" i="12"/>
  <c r="G18" i="15" s="1"/>
  <c r="GO11" i="12"/>
  <c r="G20" i="15" s="1"/>
  <c r="GN15" i="12"/>
  <c r="E24" i="15" s="1"/>
  <c r="B24" i="15" s="1"/>
  <c r="GT18" i="12"/>
  <c r="F27" i="15" s="1"/>
  <c r="GN27" i="12"/>
  <c r="E36" i="15" s="1"/>
  <c r="B36" i="15" s="1"/>
  <c r="GT70" i="12"/>
  <c r="F79" i="15" s="1"/>
  <c r="GT389" i="12"/>
  <c r="GO397" i="12"/>
  <c r="GP202" i="12"/>
  <c r="H211" i="15" s="1"/>
  <c r="GT277" i="12"/>
  <c r="GO28" i="12"/>
  <c r="G37" i="15" s="1"/>
  <c r="GT49" i="12"/>
  <c r="F58" i="15" s="1"/>
  <c r="GT338" i="12"/>
  <c r="GP90" i="12"/>
  <c r="H99" i="15" s="1"/>
  <c r="GO313" i="12"/>
  <c r="GO98" i="12"/>
  <c r="G107" i="15" s="1"/>
  <c r="GT90" i="12"/>
  <c r="F99" i="15" s="1"/>
  <c r="GO379" i="12"/>
  <c r="GO271" i="12"/>
  <c r="GO205" i="12"/>
  <c r="G214" i="15" s="1"/>
  <c r="GN81" i="12"/>
  <c r="GO229" i="12"/>
  <c r="GO305" i="12"/>
  <c r="GN62" i="12"/>
  <c r="GT225" i="12"/>
  <c r="GP381" i="12"/>
  <c r="GO48" i="12"/>
  <c r="G57" i="15" s="1"/>
  <c r="GO334" i="12"/>
  <c r="GP10" i="12"/>
  <c r="H19" i="15" s="1"/>
  <c r="GT13" i="12"/>
  <c r="F22" i="15" s="1"/>
  <c r="GO24" i="12"/>
  <c r="G33" i="15" s="1"/>
  <c r="GP8" i="12"/>
  <c r="H17" i="15" s="1"/>
  <c r="GN9" i="12"/>
  <c r="E18" i="15" s="1"/>
  <c r="B18" i="15" s="1"/>
  <c r="GP13" i="12"/>
  <c r="H22" i="15" s="1"/>
  <c r="GP17" i="12"/>
  <c r="H26" i="15" s="1"/>
  <c r="GN24" i="12"/>
  <c r="GT129" i="12"/>
  <c r="F138" i="15" s="1"/>
  <c r="GO181" i="12"/>
  <c r="G190" i="15" s="1"/>
  <c r="GP399" i="12"/>
  <c r="GT252" i="12"/>
  <c r="GO59" i="12"/>
  <c r="G68" i="15" s="1"/>
  <c r="GP30" i="12"/>
  <c r="H39" i="15" s="1"/>
  <c r="GT38" i="12"/>
  <c r="F47" i="15" s="1"/>
  <c r="GO204" i="12"/>
  <c r="G213" i="15" s="1"/>
  <c r="GT228" i="12"/>
  <c r="GT144" i="12"/>
  <c r="F153" i="15" s="1"/>
  <c r="GP140" i="12"/>
  <c r="H149" i="15" s="1"/>
  <c r="GO395" i="12"/>
  <c r="GN192" i="12"/>
  <c r="GP147" i="12"/>
  <c r="H156" i="15" s="1"/>
  <c r="GP310" i="12"/>
  <c r="GP178" i="12"/>
  <c r="H187" i="15" s="1"/>
  <c r="GN298" i="12"/>
  <c r="GX298" i="12" s="1"/>
  <c r="GP244" i="12"/>
  <c r="GO108" i="12"/>
  <c r="G117" i="15" s="1"/>
  <c r="GT246" i="12"/>
  <c r="GT204" i="12"/>
  <c r="F213" i="15" s="1"/>
  <c r="GO242" i="12"/>
  <c r="GO15" i="12"/>
  <c r="G24" i="15" s="1"/>
  <c r="GT20" i="12"/>
  <c r="F29" i="15" s="1"/>
  <c r="GP9" i="12"/>
  <c r="H18" i="15" s="1"/>
  <c r="GN8" i="12"/>
  <c r="GN14" i="12"/>
  <c r="E23" i="15" s="1"/>
  <c r="B23" i="15" s="1"/>
  <c r="D23" i="15" s="1"/>
  <c r="GP24" i="12"/>
  <c r="H33" i="15" s="1"/>
  <c r="GN29" i="12"/>
  <c r="GO256" i="12"/>
  <c r="GT110" i="12"/>
  <c r="F119" i="15" s="1"/>
  <c r="GT202" i="12"/>
  <c r="F211" i="15" s="1"/>
  <c r="GP397" i="12"/>
  <c r="GP47" i="12"/>
  <c r="H56" i="15" s="1"/>
  <c r="GP92" i="12"/>
  <c r="H101" i="15" s="1"/>
  <c r="GO154" i="12"/>
  <c r="G163" i="15" s="1"/>
  <c r="GN109" i="12"/>
  <c r="GP216" i="12"/>
  <c r="H225" i="15" s="1"/>
  <c r="GP109" i="12"/>
  <c r="H118" i="15" s="1"/>
  <c r="GT261" i="12"/>
  <c r="GP383" i="12"/>
  <c r="GT230" i="12"/>
  <c r="GN230" i="12"/>
  <c r="GX230" i="12" s="1"/>
  <c r="GT140" i="12"/>
  <c r="F149" i="15" s="1"/>
  <c r="GN317" i="12"/>
  <c r="GX317" i="12" s="1"/>
  <c r="GN302" i="12"/>
  <c r="GX302" i="12" s="1"/>
  <c r="GP110" i="12"/>
  <c r="H119" i="15" s="1"/>
  <c r="GT75" i="12"/>
  <c r="F84" i="15" s="1"/>
  <c r="GT332" i="12"/>
  <c r="GO216" i="12"/>
  <c r="G225" i="15" s="1"/>
  <c r="J225" i="15" s="1"/>
  <c r="GT14" i="12"/>
  <c r="F23" i="15" s="1"/>
  <c r="GN18" i="12"/>
  <c r="GP18" i="12"/>
  <c r="H27" i="15" s="1"/>
  <c r="GO8" i="12"/>
  <c r="G17" i="15" s="1"/>
  <c r="GP16" i="12"/>
  <c r="H25" i="15" s="1"/>
  <c r="GP19" i="12"/>
  <c r="H28" i="15" s="1"/>
  <c r="GT28" i="12"/>
  <c r="F37" i="15" s="1"/>
  <c r="GN33" i="12"/>
  <c r="GN88" i="12"/>
  <c r="GN271" i="12"/>
  <c r="GX271" i="12" s="1"/>
  <c r="GN80" i="12"/>
  <c r="GP59" i="12"/>
  <c r="H68" i="15" s="1"/>
  <c r="GP70" i="12"/>
  <c r="H79" i="15" s="1"/>
  <c r="GP217" i="12"/>
  <c r="H226" i="15" s="1"/>
  <c r="GO194" i="12"/>
  <c r="G203" i="15" s="1"/>
  <c r="GN281" i="12"/>
  <c r="GX281" i="12" s="1"/>
  <c r="GN364" i="12"/>
  <c r="GX364" i="12" s="1"/>
  <c r="GO219" i="12"/>
  <c r="GP100" i="12"/>
  <c r="H109" i="15" s="1"/>
  <c r="GN282" i="12"/>
  <c r="GX282" i="12" s="1"/>
  <c r="GO195" i="12"/>
  <c r="G204" i="15" s="1"/>
  <c r="GP331" i="12"/>
  <c r="GN147" i="12"/>
  <c r="GO387" i="12"/>
  <c r="GN352" i="12"/>
  <c r="GX352" i="12" s="1"/>
  <c r="GO244" i="12"/>
  <c r="GP95" i="12"/>
  <c r="H104" i="15" s="1"/>
  <c r="GP345" i="12"/>
  <c r="GP386" i="12"/>
  <c r="GN316" i="12"/>
  <c r="GX316" i="12" s="1"/>
  <c r="GN383" i="12"/>
  <c r="GX383" i="12" s="1"/>
  <c r="GO133" i="12"/>
  <c r="G142" i="15" s="1"/>
  <c r="GT69" i="12"/>
  <c r="F78" i="15" s="1"/>
  <c r="GP107" i="12"/>
  <c r="H116" i="15" s="1"/>
  <c r="GO209" i="12"/>
  <c r="G218" i="15" s="1"/>
  <c r="GO223" i="12"/>
  <c r="GP373" i="12"/>
  <c r="GT368" i="12"/>
  <c r="GT334" i="12"/>
  <c r="GO286" i="12"/>
  <c r="GO144" i="12"/>
  <c r="G153" i="15" s="1"/>
  <c r="GT272" i="12"/>
  <c r="GO147" i="12"/>
  <c r="G156" i="15" s="1"/>
  <c r="J156" i="15" s="1"/>
  <c r="GT341" i="12"/>
  <c r="GT286" i="12"/>
  <c r="GP94" i="12"/>
  <c r="H103" i="15" s="1"/>
  <c r="GT304" i="12"/>
  <c r="GO346" i="12"/>
  <c r="GN193" i="12"/>
  <c r="GO279" i="12"/>
  <c r="GN31" i="12"/>
  <c r="GP179" i="12"/>
  <c r="H188" i="15" s="1"/>
  <c r="GO99" i="12"/>
  <c r="G108" i="15" s="1"/>
  <c r="GO232" i="12"/>
  <c r="GN284" i="12"/>
  <c r="GX284" i="12" s="1"/>
  <c r="GP191" i="12"/>
  <c r="H200" i="15" s="1"/>
  <c r="GT369" i="12"/>
  <c r="GN346" i="12"/>
  <c r="GX346" i="12" s="1"/>
  <c r="GN127" i="12"/>
  <c r="GN248" i="12"/>
  <c r="GX248" i="12" s="1"/>
  <c r="GN249" i="12"/>
  <c r="GX249" i="12" s="1"/>
  <c r="GN69" i="12"/>
  <c r="GP123" i="12"/>
  <c r="H132" i="15" s="1"/>
  <c r="GN126" i="12"/>
  <c r="GN228" i="12"/>
  <c r="GX228" i="12" s="1"/>
  <c r="GT68" i="12"/>
  <c r="F77" i="15" s="1"/>
  <c r="GP376" i="12"/>
  <c r="GT271" i="12"/>
  <c r="GN232" i="12"/>
  <c r="GX232" i="12" s="1"/>
  <c r="GN353" i="12"/>
  <c r="GX353" i="12" s="1"/>
  <c r="GT163" i="12"/>
  <c r="F172" i="15" s="1"/>
  <c r="GT131" i="12"/>
  <c r="F140" i="15" s="1"/>
  <c r="GO308" i="12"/>
  <c r="GP251" i="12"/>
  <c r="GP225" i="12"/>
  <c r="GO384" i="12"/>
  <c r="GN324" i="12"/>
  <c r="GX324" i="12" s="1"/>
  <c r="GO333" i="12"/>
  <c r="GT296" i="12"/>
  <c r="GT91" i="12"/>
  <c r="F100" i="15" s="1"/>
  <c r="GN214" i="12"/>
  <c r="GT175" i="12"/>
  <c r="F184" i="15" s="1"/>
  <c r="GO298" i="12"/>
  <c r="GP44" i="12"/>
  <c r="H53" i="15" s="1"/>
  <c r="GN257" i="12"/>
  <c r="GX257" i="12" s="1"/>
  <c r="GO345" i="12"/>
  <c r="GO171" i="12"/>
  <c r="G180" i="15" s="1"/>
  <c r="GN149" i="12"/>
  <c r="GT66" i="12"/>
  <c r="F75" i="15" s="1"/>
  <c r="GT282" i="12"/>
  <c r="GT166" i="12"/>
  <c r="F175" i="15" s="1"/>
  <c r="GN191" i="12"/>
  <c r="GP105" i="12"/>
  <c r="H114" i="15" s="1"/>
  <c r="GO117" i="12"/>
  <c r="G126" i="15" s="1"/>
  <c r="GT60" i="12"/>
  <c r="F69" i="15" s="1"/>
  <c r="GO386" i="12"/>
  <c r="GP219" i="12"/>
  <c r="GN247" i="12"/>
  <c r="GX247" i="12" s="1"/>
  <c r="GT116" i="12"/>
  <c r="F125" i="15" s="1"/>
  <c r="GP208" i="12"/>
  <c r="H217" i="15" s="1"/>
  <c r="GN397" i="12"/>
  <c r="GX397" i="12" s="1"/>
  <c r="GT36" i="12"/>
  <c r="F45" i="15" s="1"/>
  <c r="GP183" i="12"/>
  <c r="H192" i="15" s="1"/>
  <c r="GO192" i="12"/>
  <c r="G201" i="15" s="1"/>
  <c r="GT263" i="12"/>
  <c r="GO214" i="12"/>
  <c r="G223" i="15" s="1"/>
  <c r="GP300" i="12"/>
  <c r="GO43" i="12"/>
  <c r="G52" i="15" s="1"/>
  <c r="GT117" i="12"/>
  <c r="F126" i="15" s="1"/>
  <c r="GO198" i="12"/>
  <c r="G207" i="15" s="1"/>
  <c r="GO272" i="12"/>
  <c r="GN347" i="12"/>
  <c r="GX347" i="12" s="1"/>
  <c r="GP374" i="12"/>
  <c r="GN89" i="12"/>
  <c r="GO217" i="12"/>
  <c r="G226" i="15" s="1"/>
  <c r="GP125" i="12"/>
  <c r="H134" i="15" s="1"/>
  <c r="GO156" i="12"/>
  <c r="G165" i="15" s="1"/>
  <c r="GN321" i="12"/>
  <c r="GX321" i="12" s="1"/>
  <c r="GN305" i="12"/>
  <c r="GX305" i="12" s="1"/>
  <c r="GO280" i="12"/>
  <c r="GP62" i="12"/>
  <c r="H71" i="15" s="1"/>
  <c r="GN95" i="12"/>
  <c r="GP266" i="12"/>
  <c r="GT289" i="12"/>
  <c r="GP387" i="12"/>
  <c r="GP142" i="12"/>
  <c r="H151" i="15" s="1"/>
  <c r="GN318" i="12"/>
  <c r="GX318" i="12" s="1"/>
  <c r="GP104" i="12"/>
  <c r="H113" i="15" s="1"/>
  <c r="GP131" i="12"/>
  <c r="H140" i="15" s="1"/>
  <c r="GT279" i="12"/>
  <c r="GO314" i="12"/>
  <c r="GT322" i="12"/>
  <c r="GN295" i="12"/>
  <c r="GX295" i="12" s="1"/>
  <c r="GP72" i="12"/>
  <c r="H81" i="15" s="1"/>
  <c r="GO203" i="12"/>
  <c r="G212" i="15" s="1"/>
  <c r="GT95" i="12"/>
  <c r="F104" i="15" s="1"/>
  <c r="GO331" i="12"/>
  <c r="GT152" i="12"/>
  <c r="F161" i="15" s="1"/>
  <c r="GN392" i="12"/>
  <c r="GX392" i="12" s="1"/>
  <c r="GP86" i="12"/>
  <c r="H95" i="15" s="1"/>
  <c r="GO64" i="12"/>
  <c r="G73" i="15" s="1"/>
  <c r="GP166" i="12"/>
  <c r="H175" i="15" s="1"/>
  <c r="GO139" i="12"/>
  <c r="G148" i="15" s="1"/>
  <c r="GP283" i="12"/>
  <c r="GP211" i="12"/>
  <c r="H220" i="15" s="1"/>
  <c r="GO129" i="12"/>
  <c r="G138" i="15" s="1"/>
  <c r="GO79" i="12"/>
  <c r="G88" i="15" s="1"/>
  <c r="GN236" i="12"/>
  <c r="GX236" i="12" s="1"/>
  <c r="GP215" i="12"/>
  <c r="H224" i="15" s="1"/>
  <c r="GT99" i="12"/>
  <c r="F108" i="15" s="1"/>
  <c r="GT221" i="12"/>
  <c r="GP117" i="12"/>
  <c r="H126" i="15" s="1"/>
  <c r="GO357" i="12"/>
  <c r="GO42" i="12"/>
  <c r="G51" i="15" s="1"/>
  <c r="GT241" i="12"/>
  <c r="GP234" i="12"/>
  <c r="GO398" i="12"/>
  <c r="GN70" i="12"/>
  <c r="GT303" i="12"/>
  <c r="GT356" i="12"/>
  <c r="GP263" i="12"/>
  <c r="GP285" i="12"/>
  <c r="GO297" i="12"/>
  <c r="GT259" i="12"/>
  <c r="GO300" i="12"/>
  <c r="GP379" i="12"/>
  <c r="GO151" i="12"/>
  <c r="G160" i="15" s="1"/>
  <c r="GN73" i="12"/>
  <c r="GN115" i="12"/>
  <c r="GT242" i="12"/>
  <c r="GO240" i="12"/>
  <c r="GO167" i="12"/>
  <c r="G176" i="15" s="1"/>
  <c r="GP82" i="12"/>
  <c r="H91" i="15" s="1"/>
  <c r="GP170" i="12"/>
  <c r="H179" i="15" s="1"/>
  <c r="GN68" i="12"/>
  <c r="GT41" i="12"/>
  <c r="F50" i="15" s="1"/>
  <c r="GT249" i="12"/>
  <c r="GO304" i="12"/>
  <c r="GN222" i="12"/>
  <c r="GX222" i="12" s="1"/>
  <c r="GN146" i="12"/>
  <c r="GP336" i="12"/>
  <c r="GO90" i="12"/>
  <c r="G99" i="15" s="1"/>
  <c r="J99" i="15" s="1"/>
  <c r="GP367" i="12"/>
  <c r="GN84" i="12"/>
  <c r="GO45" i="12"/>
  <c r="G54" i="15" s="1"/>
  <c r="GN304" i="12"/>
  <c r="GX304" i="12" s="1"/>
  <c r="GO375" i="12"/>
  <c r="GT388" i="12"/>
  <c r="GN385" i="12"/>
  <c r="GX385" i="12" s="1"/>
  <c r="GT73" i="12"/>
  <c r="F82" i="15" s="1"/>
  <c r="GT254" i="12"/>
  <c r="GN259" i="12"/>
  <c r="GX259" i="12" s="1"/>
  <c r="GN208" i="12"/>
  <c r="GT214" i="12"/>
  <c r="F223" i="15" s="1"/>
  <c r="GT106" i="12"/>
  <c r="F115" i="15" s="1"/>
  <c r="GT188" i="12"/>
  <c r="F197" i="15" s="1"/>
  <c r="GT348" i="12"/>
  <c r="GN121" i="12"/>
  <c r="GT64" i="12"/>
  <c r="F73" i="15" s="1"/>
  <c r="GP321" i="12"/>
  <c r="GP34" i="12"/>
  <c r="H43" i="15" s="1"/>
  <c r="GN334" i="12"/>
  <c r="GX334" i="12" s="1"/>
  <c r="GT235" i="12"/>
  <c r="GT200" i="12"/>
  <c r="F209" i="15" s="1"/>
  <c r="GO179" i="12"/>
  <c r="G188" i="15" s="1"/>
  <c r="J188" i="15" s="1"/>
  <c r="GO55" i="12"/>
  <c r="G64" i="15" s="1"/>
  <c r="GO111" i="12"/>
  <c r="G120" i="15" s="1"/>
  <c r="GN138" i="12"/>
  <c r="GN91" i="12"/>
  <c r="GP128" i="12"/>
  <c r="H137" i="15" s="1"/>
  <c r="GT133" i="12"/>
  <c r="F142" i="15" s="1"/>
  <c r="GN201" i="12"/>
  <c r="GT331" i="12"/>
  <c r="GO136" i="12"/>
  <c r="G145" i="15" s="1"/>
  <c r="GO76" i="12"/>
  <c r="G85" i="15" s="1"/>
  <c r="GN101" i="12"/>
  <c r="GO392" i="12"/>
  <c r="GN61" i="12"/>
  <c r="GN241" i="12"/>
  <c r="GX241" i="12" s="1"/>
  <c r="GO187" i="12"/>
  <c r="G196" i="15" s="1"/>
  <c r="GO400" i="12"/>
  <c r="GN283" i="12"/>
  <c r="GX283" i="12" s="1"/>
  <c r="GO385" i="12"/>
  <c r="GT53" i="12"/>
  <c r="F62" i="15" s="1"/>
  <c r="GN332" i="12"/>
  <c r="GX332" i="12" s="1"/>
  <c r="GT63" i="12"/>
  <c r="F72" i="15" s="1"/>
  <c r="GP296" i="12"/>
  <c r="GP288" i="12"/>
  <c r="GN221" i="12"/>
  <c r="GX221" i="12" s="1"/>
  <c r="GT243" i="12"/>
  <c r="GO50" i="12"/>
  <c r="G59" i="15" s="1"/>
  <c r="GP81" i="12"/>
  <c r="H90" i="15" s="1"/>
  <c r="GN158" i="12"/>
  <c r="GN87" i="12"/>
  <c r="GO238" i="12"/>
  <c r="GN291" i="12"/>
  <c r="GX291" i="12" s="1"/>
  <c r="GO389" i="12"/>
  <c r="GO116" i="12"/>
  <c r="G125" i="15" s="1"/>
  <c r="GN143" i="12"/>
  <c r="GN90" i="12"/>
  <c r="GN125" i="12"/>
  <c r="GP36" i="12"/>
  <c r="H45" i="15" s="1"/>
  <c r="GO103" i="12"/>
  <c r="G112" i="15" s="1"/>
  <c r="GP390" i="12"/>
  <c r="GN243" i="12"/>
  <c r="GX243" i="12" s="1"/>
  <c r="GP126" i="12"/>
  <c r="H135" i="15" s="1"/>
  <c r="GN137" i="12"/>
  <c r="GN274" i="12"/>
  <c r="GX274" i="12" s="1"/>
  <c r="GO36" i="12"/>
  <c r="G45" i="15" s="1"/>
  <c r="GP360" i="12"/>
  <c r="GO58" i="12"/>
  <c r="G67" i="15" s="1"/>
  <c r="GP393" i="12"/>
  <c r="GP363" i="12"/>
  <c r="GN260" i="12"/>
  <c r="GX260" i="12" s="1"/>
  <c r="GP396" i="12"/>
  <c r="GT164" i="12"/>
  <c r="F173" i="15" s="1"/>
  <c r="GP209" i="12"/>
  <c r="H218" i="15" s="1"/>
  <c r="GO170" i="12"/>
  <c r="G179" i="15" s="1"/>
  <c r="GT100" i="12"/>
  <c r="F109" i="15" s="1"/>
  <c r="GP291" i="12"/>
  <c r="GN372" i="12"/>
  <c r="GX372" i="12" s="1"/>
  <c r="GN375" i="12"/>
  <c r="GX375" i="12" s="1"/>
  <c r="GO250" i="12"/>
  <c r="GO291" i="12"/>
  <c r="GO261" i="12"/>
  <c r="GN223" i="12"/>
  <c r="GX223" i="12" s="1"/>
  <c r="GO341" i="12"/>
  <c r="GN57" i="12"/>
  <c r="GP348" i="12"/>
  <c r="GN216" i="12"/>
  <c r="GT370" i="12"/>
  <c r="GT248" i="12"/>
  <c r="GO353" i="12"/>
  <c r="GT314" i="12"/>
  <c r="GT146" i="12"/>
  <c r="F155" i="15" s="1"/>
  <c r="GN141" i="12"/>
  <c r="GP315" i="12"/>
  <c r="GT55" i="12"/>
  <c r="F64" i="15" s="1"/>
  <c r="GT237" i="12"/>
  <c r="GO369" i="12"/>
  <c r="GO91" i="12"/>
  <c r="G100" i="15" s="1"/>
  <c r="GN162" i="12"/>
  <c r="GO303" i="12"/>
  <c r="GO193" i="12"/>
  <c r="G202" i="15" s="1"/>
  <c r="GP347" i="12"/>
  <c r="GN336" i="12"/>
  <c r="GX336" i="12" s="1"/>
  <c r="GO224" i="12"/>
  <c r="GO49" i="12"/>
  <c r="G58" i="15" s="1"/>
  <c r="GT154" i="12"/>
  <c r="F163" i="15" s="1"/>
  <c r="GT265" i="12"/>
  <c r="GO140" i="12"/>
  <c r="G149" i="15" s="1"/>
  <c r="GO61" i="12"/>
  <c r="G70" i="15" s="1"/>
  <c r="GO165" i="12"/>
  <c r="G174" i="15" s="1"/>
  <c r="GN41" i="12"/>
  <c r="GO68" i="12"/>
  <c r="G77" i="15" s="1"/>
  <c r="GO175" i="12"/>
  <c r="G184" i="15" s="1"/>
  <c r="GN53" i="12"/>
  <c r="GO258" i="12"/>
  <c r="GT390" i="12"/>
  <c r="GP352" i="12"/>
  <c r="GP156" i="12"/>
  <c r="H165" i="15" s="1"/>
  <c r="GN52" i="12"/>
  <c r="GP282" i="12"/>
  <c r="GO382" i="12"/>
  <c r="GN225" i="12"/>
  <c r="GX225" i="12" s="1"/>
  <c r="GT108" i="12"/>
  <c r="F117" i="15" s="1"/>
  <c r="GT47" i="12"/>
  <c r="F56" i="15" s="1"/>
  <c r="GN86" i="12"/>
  <c r="GT126" i="12"/>
  <c r="F135" i="15" s="1"/>
  <c r="GO82" i="12"/>
  <c r="G91" i="15" s="1"/>
  <c r="GO399" i="12"/>
  <c r="GN310" i="12"/>
  <c r="GX310" i="12" s="1"/>
  <c r="GP116" i="12"/>
  <c r="H125" i="15" s="1"/>
  <c r="GT127" i="12"/>
  <c r="F136" i="15" s="1"/>
  <c r="GN39" i="12"/>
  <c r="GP307" i="12"/>
  <c r="GT229" i="12"/>
  <c r="GO352" i="12"/>
  <c r="GN226" i="12"/>
  <c r="GX226" i="12" s="1"/>
  <c r="GT300" i="12"/>
  <c r="GN264" i="12"/>
  <c r="GX264" i="12" s="1"/>
  <c r="GT173" i="12"/>
  <c r="F182" i="15" s="1"/>
  <c r="GP303" i="12"/>
  <c r="GP357" i="12"/>
  <c r="GT374" i="12"/>
  <c r="GT382" i="12"/>
  <c r="GT62" i="12"/>
  <c r="F71" i="15" s="1"/>
  <c r="GO128" i="12"/>
  <c r="G137" i="15" s="1"/>
  <c r="GO212" i="12"/>
  <c r="G221" i="15" s="1"/>
  <c r="GT337" i="12"/>
  <c r="GO178" i="12"/>
  <c r="G187" i="15" s="1"/>
  <c r="GO315" i="12"/>
  <c r="GN148" i="12"/>
  <c r="GP210" i="12"/>
  <c r="H219" i="15" s="1"/>
  <c r="GN105" i="12"/>
  <c r="GN275" i="12"/>
  <c r="GX275" i="12" s="1"/>
  <c r="GT142" i="12"/>
  <c r="F151" i="15" s="1"/>
  <c r="GP176" i="12"/>
  <c r="H185" i="15" s="1"/>
  <c r="GP42" i="12"/>
  <c r="H51" i="15" s="1"/>
  <c r="GN348" i="12"/>
  <c r="GX348" i="12" s="1"/>
  <c r="GO40" i="12"/>
  <c r="G49" i="15" s="1"/>
  <c r="GP61" i="12"/>
  <c r="H70" i="15" s="1"/>
  <c r="GN198" i="12"/>
  <c r="GT172" i="12"/>
  <c r="F181" i="15" s="1"/>
  <c r="GP370" i="12"/>
  <c r="GP118" i="12"/>
  <c r="H127" i="15" s="1"/>
  <c r="GO278" i="12"/>
  <c r="GP175" i="12"/>
  <c r="H184" i="15" s="1"/>
  <c r="GP189" i="12"/>
  <c r="H198" i="15" s="1"/>
  <c r="GO74" i="12"/>
  <c r="G83" i="15" s="1"/>
  <c r="GN238" i="12"/>
  <c r="GX238" i="12" s="1"/>
  <c r="GN139" i="12"/>
  <c r="GN254" i="12"/>
  <c r="GX254" i="12" s="1"/>
  <c r="GO62" i="12"/>
  <c r="G71" i="15" s="1"/>
  <c r="GT251" i="12"/>
  <c r="GT313" i="12"/>
  <c r="GO146" i="12"/>
  <c r="G155" i="15" s="1"/>
  <c r="GP380" i="12"/>
  <c r="GP124" i="12"/>
  <c r="H133" i="15" s="1"/>
  <c r="GO363" i="12"/>
  <c r="GN361" i="12"/>
  <c r="GX361" i="12" s="1"/>
  <c r="GN120" i="12"/>
  <c r="GT381" i="12"/>
  <c r="GP50" i="12"/>
  <c r="H59" i="15" s="1"/>
  <c r="GP351" i="12"/>
  <c r="GN306" i="12"/>
  <c r="GX306" i="12" s="1"/>
  <c r="GN301" i="12"/>
  <c r="GX301" i="12" s="1"/>
  <c r="GT81" i="12"/>
  <c r="F90" i="15" s="1"/>
  <c r="GP102" i="12"/>
  <c r="H111" i="15" s="1"/>
  <c r="GN379" i="12"/>
  <c r="GX379" i="12" s="1"/>
  <c r="GP159" i="12"/>
  <c r="H168" i="15" s="1"/>
  <c r="GP368" i="12"/>
  <c r="GT206" i="12"/>
  <c r="F215" i="15" s="1"/>
  <c r="GP88" i="12"/>
  <c r="H97" i="15" s="1"/>
  <c r="GO150" i="12"/>
  <c r="G159" i="15" s="1"/>
  <c r="GP197" i="12"/>
  <c r="H206" i="15" s="1"/>
  <c r="GT72" i="12"/>
  <c r="F81" i="15" s="1"/>
  <c r="GT210" i="12"/>
  <c r="F219" i="15" s="1"/>
  <c r="GN391" i="12"/>
  <c r="GX391" i="12" s="1"/>
  <c r="GN32" i="12"/>
  <c r="GO273" i="12"/>
  <c r="GT79" i="12"/>
  <c r="F88" i="15" s="1"/>
  <c r="GN269" i="12"/>
  <c r="GX269" i="12" s="1"/>
  <c r="GT333" i="12"/>
  <c r="GP353" i="12"/>
  <c r="GT143" i="12"/>
  <c r="F152" i="15" s="1"/>
  <c r="GT220" i="12"/>
  <c r="GO63" i="12"/>
  <c r="G72" i="15" s="1"/>
  <c r="GT361" i="12"/>
  <c r="GN166" i="12"/>
  <c r="GP247" i="12"/>
  <c r="GT209" i="12"/>
  <c r="F218" i="15" s="1"/>
  <c r="GN212" i="12"/>
  <c r="GP48" i="12"/>
  <c r="H57" i="15" s="1"/>
  <c r="GP112" i="12"/>
  <c r="H121" i="15" s="1"/>
  <c r="GO247" i="12"/>
  <c r="GN116" i="12"/>
  <c r="GP135" i="12"/>
  <c r="H144" i="15" s="1"/>
  <c r="GO123" i="12"/>
  <c r="G132" i="15" s="1"/>
  <c r="J132" i="15" s="1"/>
  <c r="GO284" i="12"/>
  <c r="GN272" i="12"/>
  <c r="GX272" i="12" s="1"/>
  <c r="GN367" i="12"/>
  <c r="GX367" i="12" s="1"/>
  <c r="GP99" i="12"/>
  <c r="H108" i="15" s="1"/>
  <c r="GO183" i="12"/>
  <c r="G192" i="15" s="1"/>
  <c r="GP221" i="12"/>
  <c r="GO367" i="12"/>
  <c r="GP227" i="12"/>
  <c r="GT171" i="12"/>
  <c r="F180" i="15" s="1"/>
  <c r="GP346" i="12"/>
  <c r="GT35" i="12"/>
  <c r="F44" i="15" s="1"/>
  <c r="GT170" i="12"/>
  <c r="F179" i="15" s="1"/>
  <c r="GP248" i="12"/>
  <c r="GT234" i="12"/>
  <c r="GP138" i="12"/>
  <c r="H147" i="15" s="1"/>
  <c r="GO85" i="12"/>
  <c r="G94" i="15" s="1"/>
  <c r="GN93" i="12"/>
  <c r="GN339" i="12"/>
  <c r="GX339" i="12" s="1"/>
  <c r="GT316" i="12"/>
  <c r="GP262" i="12"/>
  <c r="GN194" i="12"/>
  <c r="GN389" i="12"/>
  <c r="GX389" i="12" s="1"/>
  <c r="GN399" i="12"/>
  <c r="GX399" i="12" s="1"/>
  <c r="GO70" i="12"/>
  <c r="G79" i="15" s="1"/>
  <c r="GP233" i="12"/>
  <c r="GT358" i="12"/>
  <c r="GT327" i="12"/>
  <c r="GP256" i="12"/>
  <c r="GN370" i="12"/>
  <c r="GX370" i="12" s="1"/>
  <c r="GT325" i="12"/>
  <c r="GT157" i="12"/>
  <c r="F166" i="15" s="1"/>
  <c r="GT397" i="12"/>
  <c r="GO213" i="12"/>
  <c r="G222" i="15" s="1"/>
  <c r="GT159" i="12"/>
  <c r="F168" i="15" s="1"/>
  <c r="GP289" i="12"/>
  <c r="GO277" i="12"/>
  <c r="GT104" i="12"/>
  <c r="F113" i="15" s="1"/>
  <c r="GT247" i="12"/>
  <c r="GN386" i="12"/>
  <c r="GX386" i="12" s="1"/>
  <c r="GP93" i="12"/>
  <c r="H102" i="15" s="1"/>
  <c r="GT232" i="12"/>
  <c r="GP52" i="12"/>
  <c r="H61" i="15" s="1"/>
  <c r="GT291" i="12"/>
  <c r="GT218" i="12"/>
  <c r="F227" i="15" s="1"/>
  <c r="GO373" i="12"/>
  <c r="GT178" i="12"/>
  <c r="F187" i="15" s="1"/>
  <c r="GP320" i="12"/>
  <c r="GP181" i="12"/>
  <c r="H190" i="15" s="1"/>
  <c r="GN36" i="12"/>
  <c r="GN38" i="12"/>
  <c r="GN119" i="12"/>
  <c r="GP236" i="12"/>
  <c r="GN290" i="12"/>
  <c r="GX290" i="12" s="1"/>
  <c r="GO126" i="12"/>
  <c r="G135" i="15" s="1"/>
  <c r="GO138" i="12"/>
  <c r="G147" i="15" s="1"/>
  <c r="J147" i="15" s="1"/>
  <c r="GO257" i="12"/>
  <c r="GN144" i="12"/>
  <c r="GO239" i="12"/>
  <c r="GP75" i="12"/>
  <c r="H84" i="15" s="1"/>
  <c r="GO215" i="12"/>
  <c r="G224" i="15" s="1"/>
  <c r="GP232" i="12"/>
  <c r="GO266" i="12"/>
  <c r="GO361" i="12"/>
  <c r="GO125" i="12"/>
  <c r="G134" i="15" s="1"/>
  <c r="J134" i="15" s="1"/>
  <c r="GT308" i="12"/>
  <c r="GP51" i="12"/>
  <c r="H60" i="15" s="1"/>
  <c r="GT309" i="12"/>
  <c r="GP130" i="12"/>
  <c r="H139" i="15" s="1"/>
  <c r="GO41" i="12"/>
  <c r="G50" i="15" s="1"/>
  <c r="GP377" i="12"/>
  <c r="GO318" i="12"/>
  <c r="GO281" i="12"/>
  <c r="GT395" i="12"/>
  <c r="GP250" i="12"/>
  <c r="GP198" i="12"/>
  <c r="H207" i="15" s="1"/>
  <c r="GN153" i="12"/>
  <c r="GO31" i="12"/>
  <c r="G40" i="15" s="1"/>
  <c r="GT349" i="12"/>
  <c r="GO107" i="12"/>
  <c r="G116" i="15" s="1"/>
  <c r="J116" i="15" s="1"/>
  <c r="GT52" i="12"/>
  <c r="F61" i="15" s="1"/>
  <c r="GT264" i="12"/>
  <c r="GT391" i="12"/>
  <c r="GO323" i="12"/>
  <c r="GN333" i="12"/>
  <c r="GX333" i="12" s="1"/>
  <c r="GO73" i="12"/>
  <c r="G82" i="15" s="1"/>
  <c r="GO159" i="12"/>
  <c r="G168" i="15" s="1"/>
  <c r="GN42" i="12"/>
  <c r="GO122" i="12"/>
  <c r="G131" i="15" s="1"/>
  <c r="GT193" i="12"/>
  <c r="F202" i="15" s="1"/>
  <c r="GN78" i="12"/>
  <c r="GN50" i="12"/>
  <c r="GP342" i="12"/>
  <c r="GT328" i="12"/>
  <c r="GP279" i="12"/>
  <c r="GO347" i="12"/>
  <c r="GN338" i="12"/>
  <c r="GX338" i="12" s="1"/>
  <c r="GP193" i="12"/>
  <c r="H202" i="15" s="1"/>
  <c r="GT89" i="12"/>
  <c r="F98" i="15" s="1"/>
  <c r="GO231" i="12"/>
  <c r="GO262" i="12"/>
  <c r="GN309" i="12"/>
  <c r="GX309" i="12" s="1"/>
  <c r="GT112" i="12"/>
  <c r="F121" i="15" s="1"/>
  <c r="GP129" i="12"/>
  <c r="H138" i="15" s="1"/>
  <c r="GO309" i="12"/>
  <c r="GP218" i="12"/>
  <c r="H227" i="15" s="1"/>
  <c r="GT194" i="12"/>
  <c r="F203" i="15" s="1"/>
  <c r="GT87" i="12"/>
  <c r="F96" i="15" s="1"/>
  <c r="GN66" i="12"/>
  <c r="GP184" i="12"/>
  <c r="H193" i="15" s="1"/>
  <c r="GP160" i="12"/>
  <c r="H169" i="15" s="1"/>
  <c r="GN206" i="12"/>
  <c r="GP78" i="12"/>
  <c r="H87" i="15" s="1"/>
  <c r="GT101" i="12"/>
  <c r="F110" i="15" s="1"/>
  <c r="GT121" i="12"/>
  <c r="F130" i="15" s="1"/>
  <c r="GP89" i="12"/>
  <c r="H98" i="15" s="1"/>
  <c r="GN168" i="12"/>
  <c r="GO268" i="12"/>
  <c r="GT371" i="12"/>
  <c r="GO132" i="12"/>
  <c r="G141" i="15" s="1"/>
  <c r="GP68" i="12"/>
  <c r="H77" i="15" s="1"/>
  <c r="GT31" i="12"/>
  <c r="F40" i="15" s="1"/>
  <c r="GP74" i="12"/>
  <c r="H83" i="15" s="1"/>
  <c r="GP158" i="12"/>
  <c r="H167" i="15" s="1"/>
  <c r="GO38" i="12"/>
  <c r="G47" i="15" s="1"/>
  <c r="GP67" i="12"/>
  <c r="H76" i="15" s="1"/>
  <c r="GN245" i="12"/>
  <c r="GX245" i="12" s="1"/>
  <c r="GO157" i="12"/>
  <c r="G166" i="15" s="1"/>
  <c r="GN35" i="12"/>
  <c r="GO109" i="12"/>
  <c r="G118" i="15" s="1"/>
  <c r="GP177" i="12"/>
  <c r="H186" i="15" s="1"/>
  <c r="GO327" i="12"/>
  <c r="GO248" i="12"/>
  <c r="GO104" i="12"/>
  <c r="G113" i="15" s="1"/>
  <c r="J113" i="15" s="1"/>
  <c r="GN400" i="12"/>
  <c r="GX400" i="12" s="1"/>
  <c r="GT183" i="12"/>
  <c r="F192" i="15" s="1"/>
  <c r="GN124" i="12"/>
  <c r="GT203" i="12"/>
  <c r="F212" i="15" s="1"/>
  <c r="GN199" i="12"/>
  <c r="GO267" i="12"/>
  <c r="GN182" i="12"/>
  <c r="GT260" i="12"/>
  <c r="GP330" i="12"/>
  <c r="GN341" i="12"/>
  <c r="GX341" i="12" s="1"/>
  <c r="GN113" i="12"/>
  <c r="GN174" i="12"/>
  <c r="GT30" i="12"/>
  <c r="F39" i="15" s="1"/>
  <c r="GT185" i="12"/>
  <c r="F194" i="15" s="1"/>
  <c r="GP85" i="12"/>
  <c r="H94" i="15" s="1"/>
  <c r="GP295" i="12"/>
  <c r="GN315" i="12"/>
  <c r="GX315" i="12" s="1"/>
  <c r="GO235" i="12"/>
  <c r="GT45" i="12"/>
  <c r="F54" i="15" s="1"/>
  <c r="GT245" i="12"/>
  <c r="GT51" i="12"/>
  <c r="F60" i="15" s="1"/>
  <c r="GN237" i="12"/>
  <c r="GX237" i="12" s="1"/>
  <c r="GP199" i="12"/>
  <c r="H208" i="15" s="1"/>
  <c r="GO137" i="12"/>
  <c r="G146" i="15" s="1"/>
  <c r="GN145" i="12"/>
  <c r="GT84" i="12"/>
  <c r="F93" i="15" s="1"/>
  <c r="GN261" i="12"/>
  <c r="GX261" i="12" s="1"/>
  <c r="GN262" i="12"/>
  <c r="GX262" i="12" s="1"/>
  <c r="GP314" i="12"/>
  <c r="GN288" i="12"/>
  <c r="GX288" i="12" s="1"/>
  <c r="GP326" i="12"/>
  <c r="GP294" i="12"/>
  <c r="GO336" i="12"/>
  <c r="GT177" i="12"/>
  <c r="F186" i="15" s="1"/>
  <c r="GO265" i="12"/>
  <c r="GP134" i="12"/>
  <c r="H143" i="15" s="1"/>
  <c r="GT208" i="12"/>
  <c r="F217" i="15" s="1"/>
  <c r="GO190" i="12"/>
  <c r="G199" i="15" s="1"/>
  <c r="GP49" i="12"/>
  <c r="H58" i="15" s="1"/>
  <c r="GT80" i="12"/>
  <c r="F89" i="15" s="1"/>
  <c r="GO71" i="12"/>
  <c r="G80" i="15" s="1"/>
  <c r="GT257" i="12"/>
  <c r="GT34" i="12"/>
  <c r="F43" i="15" s="1"/>
  <c r="GO153" i="12"/>
  <c r="G162" i="15" s="1"/>
  <c r="GO337" i="12"/>
  <c r="GN195" i="12"/>
  <c r="GN343" i="12"/>
  <c r="GX343" i="12" s="1"/>
  <c r="GP167" i="12"/>
  <c r="H176" i="15" s="1"/>
  <c r="GT118" i="12"/>
  <c r="F127" i="15" s="1"/>
  <c r="GT270" i="12"/>
  <c r="GT310" i="12"/>
  <c r="GP119" i="12"/>
  <c r="H128" i="15" s="1"/>
  <c r="GT330" i="12"/>
  <c r="GT342" i="12"/>
  <c r="GP120" i="12"/>
  <c r="H129" i="15" s="1"/>
  <c r="GT297" i="12"/>
  <c r="GN77" i="12"/>
  <c r="GN357" i="12"/>
  <c r="GX357" i="12" s="1"/>
  <c r="GO243" i="12"/>
  <c r="GT355" i="12"/>
  <c r="GP224" i="12"/>
  <c r="GN136" i="12"/>
  <c r="GP33" i="12"/>
  <c r="H42" i="15" s="1"/>
  <c r="GN356" i="12"/>
  <c r="GX356" i="12" s="1"/>
  <c r="GN388" i="12"/>
  <c r="GX388" i="12" s="1"/>
  <c r="GT318" i="12"/>
  <c r="GT357" i="12"/>
  <c r="GO343" i="12"/>
  <c r="GP309" i="12"/>
  <c r="GO208" i="12"/>
  <c r="G217" i="15" s="1"/>
  <c r="J217" i="15" s="1"/>
  <c r="GN172" i="12"/>
  <c r="GT267" i="12"/>
  <c r="GT109" i="12"/>
  <c r="F118" i="15" s="1"/>
  <c r="GN161" i="12"/>
  <c r="GN395" i="12"/>
  <c r="GX395" i="12" s="1"/>
  <c r="GT255" i="12"/>
  <c r="GP98" i="12"/>
  <c r="H107" i="15" s="1"/>
  <c r="GT344" i="12"/>
  <c r="GP372" i="12"/>
  <c r="GT86" i="12"/>
  <c r="F95" i="15" s="1"/>
  <c r="GN72" i="12"/>
  <c r="GP171" i="12"/>
  <c r="H180" i="15" s="1"/>
  <c r="GO78" i="12"/>
  <c r="G87" i="15" s="1"/>
  <c r="J87" i="15" s="1"/>
  <c r="GN132" i="12"/>
  <c r="GO287" i="12"/>
  <c r="GP271" i="12"/>
  <c r="GP284" i="12"/>
  <c r="GN242" i="12"/>
  <c r="GX242" i="12" s="1"/>
  <c r="GO263" i="12"/>
  <c r="GP273" i="12"/>
  <c r="GT71" i="12"/>
  <c r="F80" i="15" s="1"/>
  <c r="GP286" i="12"/>
  <c r="GT46" i="12"/>
  <c r="F55" i="15" s="1"/>
  <c r="GP344" i="12"/>
  <c r="GP39" i="12"/>
  <c r="H48" i="15" s="1"/>
  <c r="GT85" i="12"/>
  <c r="F94" i="15" s="1"/>
  <c r="GP394" i="12"/>
  <c r="GN45" i="12"/>
  <c r="GT352" i="12"/>
  <c r="GP38" i="12"/>
  <c r="H47" i="15" s="1"/>
  <c r="GP106" i="12"/>
  <c r="H115" i="15" s="1"/>
  <c r="GP64" i="12"/>
  <c r="H73" i="15" s="1"/>
  <c r="GN227" i="12"/>
  <c r="GX227" i="12" s="1"/>
  <c r="GP358" i="12"/>
  <c r="GT298" i="12"/>
  <c r="GP207" i="12"/>
  <c r="H216" i="15" s="1"/>
  <c r="GP65" i="12"/>
  <c r="H74" i="15" s="1"/>
  <c r="GT379" i="12"/>
  <c r="GN200" i="12"/>
  <c r="GO335" i="12"/>
  <c r="GN330" i="12"/>
  <c r="GX330" i="12" s="1"/>
  <c r="GN122" i="12"/>
  <c r="GT156" i="12"/>
  <c r="F165" i="15" s="1"/>
  <c r="GT312" i="12"/>
  <c r="GT224" i="12"/>
  <c r="GP361" i="12"/>
  <c r="GO234" i="12"/>
  <c r="GO388" i="12"/>
  <c r="GT125" i="12"/>
  <c r="F134" i="15" s="1"/>
  <c r="GT320" i="12"/>
  <c r="GN111" i="12"/>
  <c r="GN82" i="12"/>
  <c r="GP173" i="12"/>
  <c r="H182" i="15" s="1"/>
  <c r="GN189" i="12"/>
  <c r="GN163" i="12"/>
  <c r="GO290" i="12"/>
  <c r="GT292" i="12"/>
  <c r="GN327" i="12"/>
  <c r="GX327" i="12" s="1"/>
  <c r="GP103" i="12"/>
  <c r="H112" i="15" s="1"/>
  <c r="GO162" i="12"/>
  <c r="G171" i="15" s="1"/>
  <c r="GP172" i="12"/>
  <c r="H181" i="15" s="1"/>
  <c r="GN263" i="12"/>
  <c r="GX263" i="12" s="1"/>
  <c r="GO57" i="12"/>
  <c r="G66" i="15" s="1"/>
  <c r="GN202" i="12"/>
  <c r="GT136" i="12"/>
  <c r="F145" i="15" s="1"/>
  <c r="GO81" i="12"/>
  <c r="G90" i="15" s="1"/>
  <c r="J90" i="15" s="1"/>
  <c r="GP213" i="12"/>
  <c r="H222" i="15" s="1"/>
  <c r="GP261" i="12"/>
  <c r="GN104" i="12"/>
  <c r="GN152" i="12"/>
  <c r="GT201" i="12"/>
  <c r="F210" i="15" s="1"/>
  <c r="GP297" i="12"/>
  <c r="GO393" i="12"/>
  <c r="GP392" i="12"/>
  <c r="GT250" i="12"/>
  <c r="GO358" i="12"/>
  <c r="GO51" i="12"/>
  <c r="G60" i="15" s="1"/>
  <c r="GN393" i="12"/>
  <c r="GX393" i="12" s="1"/>
  <c r="GT43" i="12"/>
  <c r="F52" i="15" s="1"/>
  <c r="GO372" i="12"/>
  <c r="GP323" i="12"/>
  <c r="GP378" i="12"/>
  <c r="GT301" i="12"/>
  <c r="GN177" i="12"/>
  <c r="GO340" i="12"/>
  <c r="GP366" i="12"/>
  <c r="GT347" i="12"/>
  <c r="GN211" i="12"/>
  <c r="GN40" i="12"/>
  <c r="GT198" i="12"/>
  <c r="F207" i="15" s="1"/>
  <c r="GO114" i="12"/>
  <c r="G123" i="15" s="1"/>
  <c r="GO54" i="12"/>
  <c r="G63" i="15" s="1"/>
  <c r="GP332" i="12"/>
  <c r="GN129" i="12"/>
  <c r="GT262" i="12"/>
  <c r="GT158" i="12"/>
  <c r="F167" i="15" s="1"/>
  <c r="GO366" i="12"/>
  <c r="GN160" i="12"/>
  <c r="GT78" i="12"/>
  <c r="F87" i="15" s="1"/>
  <c r="GT141" i="12"/>
  <c r="F150" i="15" s="1"/>
  <c r="GN169" i="12"/>
  <c r="GO197" i="12"/>
  <c r="G206" i="15" s="1"/>
  <c r="J206" i="15" s="1"/>
  <c r="GN58" i="12"/>
  <c r="GN266" i="12"/>
  <c r="GX266" i="12" s="1"/>
  <c r="GT311" i="12"/>
  <c r="GO84" i="12"/>
  <c r="G93" i="15" s="1"/>
  <c r="GP152" i="12"/>
  <c r="H161" i="15" s="1"/>
  <c r="GP46" i="12"/>
  <c r="H55" i="15" s="1"/>
  <c r="GP151" i="12"/>
  <c r="H160" i="15" s="1"/>
  <c r="GT274" i="12"/>
  <c r="GT231" i="12"/>
  <c r="GO394" i="12"/>
  <c r="GN366" i="12"/>
  <c r="GX366" i="12" s="1"/>
  <c r="GO260" i="12"/>
  <c r="GO332" i="12"/>
  <c r="GP204" i="12"/>
  <c r="H213" i="15" s="1"/>
  <c r="GO206" i="12"/>
  <c r="G215" i="15" s="1"/>
  <c r="GT315" i="12"/>
  <c r="GT103" i="12"/>
  <c r="F112" i="15" s="1"/>
  <c r="GN307" i="12"/>
  <c r="GX307" i="12" s="1"/>
  <c r="GO37" i="12"/>
  <c r="G46" i="15" s="1"/>
  <c r="GT283" i="12"/>
  <c r="GN337" i="12"/>
  <c r="GX337" i="12" s="1"/>
  <c r="GN47" i="12"/>
  <c r="GN56" i="12"/>
  <c r="GO166" i="12"/>
  <c r="G175" i="15" s="1"/>
  <c r="GP154" i="12"/>
  <c r="H163" i="15" s="1"/>
  <c r="GO177" i="12"/>
  <c r="G186" i="15" s="1"/>
  <c r="GN103" i="12"/>
  <c r="GO342" i="12"/>
  <c r="GT102" i="12"/>
  <c r="F111" i="15" s="1"/>
  <c r="GP371" i="12"/>
  <c r="GP238" i="12"/>
  <c r="GN157" i="12"/>
  <c r="GN355" i="12"/>
  <c r="GX355" i="12" s="1"/>
  <c r="GN349" i="12"/>
  <c r="GX349" i="12" s="1"/>
  <c r="GN54" i="12"/>
  <c r="GP272" i="12"/>
  <c r="GP71" i="12"/>
  <c r="H80" i="15" s="1"/>
  <c r="GT377" i="12"/>
  <c r="GP222" i="12"/>
  <c r="GT287" i="12"/>
  <c r="GT378" i="12"/>
  <c r="GP259" i="12"/>
  <c r="GO102" i="12"/>
  <c r="G111" i="15" s="1"/>
  <c r="GO143" i="12"/>
  <c r="G152" i="15" s="1"/>
  <c r="GT299" i="12"/>
  <c r="GO191" i="12"/>
  <c r="G200" i="15" s="1"/>
  <c r="J200" i="15" s="1"/>
  <c r="GT363" i="12"/>
  <c r="GP40" i="12"/>
  <c r="H49" i="15" s="1"/>
  <c r="GO383" i="12"/>
  <c r="GO121" i="12"/>
  <c r="G130" i="15" s="1"/>
  <c r="GN197" i="12"/>
  <c r="GP111" i="12"/>
  <c r="H120" i="15" s="1"/>
  <c r="GN181" i="12"/>
  <c r="GT213" i="12"/>
  <c r="F222" i="15" s="1"/>
  <c r="GO155" i="12"/>
  <c r="G164" i="15" s="1"/>
  <c r="GO322" i="12"/>
  <c r="GP339" i="12"/>
  <c r="GN378" i="12"/>
  <c r="GX378" i="12" s="1"/>
  <c r="GN286" i="12"/>
  <c r="GX286" i="12" s="1"/>
  <c r="GO364" i="12"/>
  <c r="GP276" i="12"/>
  <c r="GT88" i="12"/>
  <c r="F97" i="15" s="1"/>
  <c r="GN326" i="12"/>
  <c r="GX326" i="12" s="1"/>
  <c r="GO380" i="12"/>
  <c r="GP362" i="12"/>
  <c r="GP329" i="12"/>
  <c r="GO174" i="12"/>
  <c r="G183" i="15" s="1"/>
  <c r="GT216" i="12"/>
  <c r="F225" i="15" s="1"/>
  <c r="GN112" i="12"/>
  <c r="GN63" i="12"/>
  <c r="GP182" i="12"/>
  <c r="H191" i="15" s="1"/>
  <c r="GT74" i="12"/>
  <c r="F83" i="15" s="1"/>
  <c r="GN107" i="12"/>
  <c r="GN293" i="12"/>
  <c r="GX293" i="12" s="1"/>
  <c r="GN328" i="12"/>
  <c r="GX328" i="12" s="1"/>
  <c r="GP37" i="12"/>
  <c r="H46" i="15" s="1"/>
  <c r="GO80" i="12"/>
  <c r="G89" i="15" s="1"/>
  <c r="GO39" i="12"/>
  <c r="G48" i="15" s="1"/>
  <c r="GP385" i="12"/>
  <c r="GO349" i="12"/>
  <c r="GT258" i="12"/>
  <c r="GO237" i="12"/>
  <c r="GP302" i="12"/>
  <c r="GO145" i="12"/>
  <c r="G154" i="15" s="1"/>
  <c r="GT240" i="12"/>
  <c r="GO115" i="12"/>
  <c r="G124" i="15" s="1"/>
  <c r="GO163" i="12"/>
  <c r="G172" i="15" s="1"/>
  <c r="GN190" i="12"/>
  <c r="GT288" i="12"/>
  <c r="GP278" i="12"/>
  <c r="GT180" i="12"/>
  <c r="F189" i="15" s="1"/>
  <c r="GO378" i="12"/>
  <c r="GN213" i="12"/>
  <c r="GO359" i="12"/>
  <c r="GT323" i="12"/>
  <c r="GT305" i="12"/>
  <c r="GO312" i="12"/>
  <c r="GP311" i="12"/>
  <c r="GO255" i="12"/>
  <c r="GP277" i="12"/>
  <c r="GT37" i="12"/>
  <c r="F46" i="15" s="1"/>
  <c r="GN74" i="12"/>
  <c r="GP101" i="12"/>
  <c r="H110" i="15" s="1"/>
  <c r="GT365" i="12"/>
  <c r="GT160" i="12"/>
  <c r="F169" i="15" s="1"/>
  <c r="GN398" i="12"/>
  <c r="GX398" i="12" s="1"/>
  <c r="GT147" i="12"/>
  <c r="F156" i="15" s="1"/>
  <c r="GO32" i="12"/>
  <c r="G41" i="15" s="1"/>
  <c r="GN381" i="12"/>
  <c r="GX381" i="12" s="1"/>
  <c r="GN34" i="12"/>
  <c r="GN60" i="12"/>
  <c r="GO221" i="12"/>
  <c r="GP257" i="12"/>
  <c r="GO222" i="12"/>
  <c r="GO47" i="12"/>
  <c r="G56" i="15" s="1"/>
  <c r="J56" i="15" s="1"/>
  <c r="GP169" i="12"/>
  <c r="H178" i="15" s="1"/>
  <c r="GP203" i="12"/>
  <c r="H212" i="15" s="1"/>
  <c r="GN207" i="12"/>
  <c r="GO245" i="12"/>
  <c r="GT339" i="12"/>
  <c r="GT284" i="12"/>
  <c r="GN205" i="12"/>
  <c r="GT215" i="12"/>
  <c r="F224" i="15" s="1"/>
  <c r="GT268" i="12"/>
  <c r="GO66" i="12"/>
  <c r="G75" i="15" s="1"/>
  <c r="GP87" i="12"/>
  <c r="H96" i="15" s="1"/>
  <c r="GP293" i="12"/>
  <c r="GN55" i="12"/>
  <c r="GT290" i="12"/>
  <c r="GO307" i="12"/>
  <c r="GT93" i="12"/>
  <c r="F102" i="15" s="1"/>
  <c r="GO328" i="12"/>
  <c r="GN233" i="12"/>
  <c r="GX233" i="12" s="1"/>
  <c r="GP391" i="12"/>
  <c r="GP328" i="12"/>
  <c r="GO46" i="12"/>
  <c r="G55" i="15" s="1"/>
  <c r="GO92" i="12"/>
  <c r="G101" i="15" s="1"/>
  <c r="J101" i="15" s="1"/>
  <c r="GT179" i="12"/>
  <c r="F188" i="15" s="1"/>
  <c r="GP149" i="12"/>
  <c r="H158" i="15" s="1"/>
  <c r="GT380" i="12"/>
  <c r="GT321" i="12"/>
  <c r="GN219" i="12"/>
  <c r="GX219" i="12" s="1"/>
  <c r="GN384" i="12"/>
  <c r="GX384" i="12" s="1"/>
  <c r="GN252" i="12"/>
  <c r="GX252" i="12" s="1"/>
  <c r="GP83" i="12"/>
  <c r="H92" i="15" s="1"/>
  <c r="GT269" i="12"/>
  <c r="GO254" i="12"/>
  <c r="GT278" i="12"/>
  <c r="GT191" i="12"/>
  <c r="F200" i="15" s="1"/>
  <c r="GO292" i="12"/>
  <c r="GP79" i="12"/>
  <c r="H88" i="15" s="1"/>
  <c r="GN155" i="12"/>
  <c r="GT326" i="12"/>
  <c r="GP165" i="12"/>
  <c r="H174" i="15" s="1"/>
  <c r="GO376" i="12"/>
  <c r="GP201" i="12"/>
  <c r="H210" i="15" s="1"/>
  <c r="GP255" i="12"/>
  <c r="GN48" i="12"/>
  <c r="GN46" i="12"/>
  <c r="GO227" i="12"/>
  <c r="GP301" i="12"/>
  <c r="GN178" i="12"/>
  <c r="GT205" i="12"/>
  <c r="F214" i="15" s="1"/>
  <c r="GN99" i="12"/>
  <c r="GP180" i="12"/>
  <c r="H189" i="15" s="1"/>
  <c r="GN396" i="12"/>
  <c r="GX396" i="12" s="1"/>
  <c r="GP150" i="12"/>
  <c r="H159" i="15" s="1"/>
  <c r="GN142" i="12"/>
  <c r="GP161" i="12"/>
  <c r="H170" i="15" s="1"/>
  <c r="GN296" i="12"/>
  <c r="GX296" i="12" s="1"/>
  <c r="GN106" i="12"/>
  <c r="GN76" i="12"/>
  <c r="GO127" i="12"/>
  <c r="G136" i="15" s="1"/>
  <c r="GP242" i="12"/>
  <c r="GT50" i="12"/>
  <c r="F59" i="15" s="1"/>
  <c r="GT32" i="12"/>
  <c r="F41" i="15" s="1"/>
  <c r="GO259" i="12"/>
  <c r="GO72" i="12"/>
  <c r="G81" i="15" s="1"/>
  <c r="GO30" i="12"/>
  <c r="G39" i="15" s="1"/>
  <c r="J39" i="15" s="1"/>
  <c r="GT184" i="12"/>
  <c r="F193" i="15" s="1"/>
  <c r="GT54" i="12"/>
  <c r="F63" i="15" s="1"/>
  <c r="GT345" i="12"/>
  <c r="GO306" i="12"/>
  <c r="GT187" i="12"/>
  <c r="F196" i="15" s="1"/>
  <c r="GT346" i="12"/>
  <c r="GO176" i="12"/>
  <c r="G185" i="15" s="1"/>
  <c r="J185" i="15" s="1"/>
  <c r="GN313" i="12"/>
  <c r="GX313" i="12" s="1"/>
  <c r="GO381" i="12"/>
  <c r="GP205" i="12"/>
  <c r="H214" i="15" s="1"/>
  <c r="GP113" i="12"/>
  <c r="H122" i="15" s="1"/>
  <c r="GO264" i="12"/>
  <c r="GP245" i="12"/>
  <c r="GO390" i="12"/>
  <c r="GN335" i="12"/>
  <c r="GX335" i="12" s="1"/>
  <c r="GT359" i="12"/>
  <c r="GN64" i="12"/>
  <c r="GO182" i="12"/>
  <c r="G191" i="15" s="1"/>
  <c r="GN294" i="12"/>
  <c r="GX294" i="12" s="1"/>
  <c r="GN59" i="12"/>
  <c r="GO218" i="12"/>
  <c r="G227" i="15" s="1"/>
  <c r="J227" i="15" s="1"/>
  <c r="GP395" i="12"/>
  <c r="GP364" i="12"/>
  <c r="GN287" i="12"/>
  <c r="GX287" i="12" s="1"/>
  <c r="GO233" i="12"/>
  <c r="GT396" i="12"/>
  <c r="GO275" i="12"/>
  <c r="GO65" i="12"/>
  <c r="G74" i="15" s="1"/>
  <c r="J74" i="15" s="1"/>
  <c r="GT343" i="12"/>
  <c r="GO152" i="12"/>
  <c r="G161" i="15" s="1"/>
  <c r="GN358" i="12"/>
  <c r="GX358" i="12" s="1"/>
  <c r="GO293" i="12"/>
  <c r="GN240" i="12"/>
  <c r="GX240" i="12" s="1"/>
  <c r="GP382" i="12"/>
  <c r="GP214" i="12"/>
  <c r="H223" i="15" s="1"/>
  <c r="GN133" i="12"/>
  <c r="GO295" i="12"/>
  <c r="GO270" i="12"/>
  <c r="GP174" i="12"/>
  <c r="H183" i="15" s="1"/>
  <c r="GO188" i="12"/>
  <c r="G197" i="15" s="1"/>
  <c r="GO391" i="12"/>
  <c r="GT139" i="12"/>
  <c r="F148" i="15" s="1"/>
  <c r="GO44" i="12"/>
  <c r="G53" i="15" s="1"/>
  <c r="J53" i="15" s="1"/>
  <c r="GO34" i="12"/>
  <c r="G43" i="15" s="1"/>
  <c r="GN37" i="12"/>
  <c r="GT367" i="12"/>
  <c r="GO249" i="12"/>
  <c r="GN253" i="12"/>
  <c r="GX253" i="12" s="1"/>
  <c r="GP318" i="12"/>
  <c r="GO124" i="12"/>
  <c r="G133" i="15" s="1"/>
  <c r="J133" i="15" s="1"/>
  <c r="GP96" i="12"/>
  <c r="H105" i="15" s="1"/>
  <c r="GN130" i="12"/>
  <c r="GN196" i="12"/>
  <c r="GO296" i="12"/>
  <c r="GP316" i="12"/>
  <c r="GN96" i="12"/>
  <c r="GP63" i="12"/>
  <c r="H72" i="15" s="1"/>
  <c r="GP243" i="12"/>
  <c r="GN209" i="12"/>
  <c r="GO87" i="12"/>
  <c r="G96" i="15" s="1"/>
  <c r="GN167" i="12"/>
  <c r="GP164" i="12"/>
  <c r="H173" i="15" s="1"/>
  <c r="GT285" i="12"/>
  <c r="GO338" i="12"/>
  <c r="GN350" i="12"/>
  <c r="GX350" i="12" s="1"/>
  <c r="GP235" i="12"/>
  <c r="GP108" i="12"/>
  <c r="H117" i="15" s="1"/>
  <c r="GP143" i="12"/>
  <c r="H152" i="15" s="1"/>
  <c r="GO130" i="12"/>
  <c r="G139" i="15" s="1"/>
  <c r="J139" i="15" s="1"/>
  <c r="GN67" i="12"/>
  <c r="GT364" i="12"/>
  <c r="GO274" i="12"/>
  <c r="GN114" i="12"/>
  <c r="GN285" i="12"/>
  <c r="GX285" i="12" s="1"/>
  <c r="GN251" i="12"/>
  <c r="GX251" i="12" s="1"/>
  <c r="GO374" i="12"/>
  <c r="GP97" i="12"/>
  <c r="H106" i="15" s="1"/>
  <c r="GO83" i="12"/>
  <c r="G92" i="15" s="1"/>
  <c r="J92" i="15" s="1"/>
  <c r="GT399" i="12"/>
  <c r="GO184" i="12"/>
  <c r="G193" i="15" s="1"/>
  <c r="J193" i="15" s="1"/>
  <c r="GP229" i="12"/>
  <c r="GN244" i="12"/>
  <c r="GX244" i="12" s="1"/>
  <c r="GO329" i="12"/>
  <c r="GP280" i="12"/>
  <c r="GN289" i="12"/>
  <c r="GX289" i="12" s="1"/>
  <c r="GO344" i="12"/>
  <c r="GT113" i="12"/>
  <c r="F122" i="15" s="1"/>
  <c r="GO94" i="12"/>
  <c r="G103" i="15" s="1"/>
  <c r="GN75" i="12"/>
  <c r="GO225" i="12"/>
  <c r="GN331" i="12"/>
  <c r="GX331" i="12" s="1"/>
  <c r="GP121" i="12"/>
  <c r="H130" i="15" s="1"/>
  <c r="GN188" i="12"/>
  <c r="GT212" i="12"/>
  <c r="F221" i="15" s="1"/>
  <c r="GT398" i="12"/>
  <c r="GP287" i="12"/>
  <c r="GP324" i="12"/>
  <c r="GN387" i="12"/>
  <c r="GX387" i="12" s="1"/>
  <c r="GN351" i="12"/>
  <c r="GX351" i="12" s="1"/>
  <c r="GP350" i="12"/>
  <c r="GP268" i="12"/>
  <c r="GO288" i="12"/>
  <c r="GT223" i="12"/>
  <c r="GT195" i="12"/>
  <c r="F204" i="15" s="1"/>
  <c r="GT226" i="12"/>
  <c r="GT98" i="12"/>
  <c r="F107" i="15" s="1"/>
  <c r="GN234" i="12"/>
  <c r="GX234" i="12" s="1"/>
  <c r="GN235" i="12"/>
  <c r="GX235" i="12" s="1"/>
  <c r="GP337" i="12"/>
  <c r="GO149" i="12"/>
  <c r="G158" i="15" s="1"/>
  <c r="GO185" i="12"/>
  <c r="G194" i="15" s="1"/>
  <c r="GT48" i="12"/>
  <c r="F57" i="15" s="1"/>
  <c r="GN380" i="12"/>
  <c r="GX380" i="12" s="1"/>
  <c r="GT217" i="12"/>
  <c r="F226" i="15" s="1"/>
  <c r="GN220" i="12"/>
  <c r="GX220" i="12" s="1"/>
  <c r="GO220" i="12"/>
  <c r="GP239" i="12"/>
  <c r="GT151" i="12"/>
  <c r="F160" i="15" s="1"/>
  <c r="GO230" i="12"/>
  <c r="GP306" i="12"/>
  <c r="GN203" i="12"/>
  <c r="GN94" i="12"/>
  <c r="GT149" i="12"/>
  <c r="F158" i="15" s="1"/>
  <c r="GN118" i="12"/>
  <c r="GO356" i="12"/>
  <c r="GT145" i="12"/>
  <c r="F154" i="15" s="1"/>
  <c r="GO210" i="12"/>
  <c r="G219" i="15" s="1"/>
  <c r="GO301" i="12"/>
  <c r="GP389" i="12"/>
  <c r="GN218" i="12"/>
  <c r="GO53" i="12"/>
  <c r="G62" i="15" s="1"/>
  <c r="GO88" i="12"/>
  <c r="G97" i="15" s="1"/>
  <c r="GT169" i="12"/>
  <c r="F178" i="15" s="1"/>
  <c r="GO169" i="12"/>
  <c r="G178" i="15" s="1"/>
  <c r="J178" i="15" s="1"/>
  <c r="GO226" i="12"/>
  <c r="GO202" i="12"/>
  <c r="G211" i="15" s="1"/>
  <c r="J211" i="15" s="1"/>
  <c r="GP240" i="12"/>
  <c r="GN187" i="12"/>
  <c r="GO310" i="12"/>
  <c r="GO330" i="12"/>
  <c r="GP375" i="12"/>
  <c r="GP136" i="12"/>
  <c r="H145" i="15" s="1"/>
  <c r="GP274" i="12"/>
  <c r="GO161" i="12"/>
  <c r="G170" i="15" s="1"/>
  <c r="GN394" i="12"/>
  <c r="GX394" i="12" s="1"/>
  <c r="GT276" i="12"/>
  <c r="GN180" i="12"/>
  <c r="GN363" i="12"/>
  <c r="GX363" i="12" s="1"/>
  <c r="GP127" i="12"/>
  <c r="H136" i="15" s="1"/>
  <c r="GO158" i="12"/>
  <c r="G167" i="15" s="1"/>
  <c r="GN273" i="12"/>
  <c r="GX273" i="12" s="1"/>
  <c r="GO199" i="12"/>
  <c r="G208" i="15" s="1"/>
  <c r="J208" i="15" s="1"/>
  <c r="GT236" i="12"/>
  <c r="GP153" i="12"/>
  <c r="H162" i="15" s="1"/>
  <c r="GT148" i="12"/>
  <c r="F157" i="15" s="1"/>
  <c r="GO285" i="12"/>
  <c r="GN279" i="12"/>
  <c r="GX279" i="12" s="1"/>
  <c r="GT293" i="12"/>
  <c r="GP354" i="12"/>
  <c r="GP258" i="12"/>
  <c r="GO370" i="12"/>
  <c r="GP66" i="12"/>
  <c r="H75" i="15" s="1"/>
  <c r="GO164" i="12"/>
  <c r="G173" i="15" s="1"/>
  <c r="GO299" i="12"/>
  <c r="GP226" i="12"/>
  <c r="GP253" i="12"/>
  <c r="GP275" i="12"/>
  <c r="GO100" i="12"/>
  <c r="G109" i="15" s="1"/>
  <c r="J109" i="15" s="1"/>
  <c r="GP60" i="12"/>
  <c r="H69" i="15" s="1"/>
  <c r="GP365" i="12"/>
  <c r="GO148" i="12"/>
  <c r="G157" i="15" s="1"/>
  <c r="GO289" i="12"/>
  <c r="GT119" i="12"/>
  <c r="F128" i="15" s="1"/>
  <c r="GN123" i="12"/>
  <c r="GP157" i="12"/>
  <c r="H166" i="15" s="1"/>
  <c r="GT306" i="12"/>
  <c r="GP230" i="12"/>
  <c r="GO360" i="12"/>
  <c r="GP356" i="12"/>
  <c r="GP340" i="12"/>
  <c r="GT130" i="12"/>
  <c r="F139" i="15" s="1"/>
  <c r="GP187" i="12"/>
  <c r="H196" i="15" s="1"/>
  <c r="GT353" i="12"/>
  <c r="GN131" i="12"/>
  <c r="GT94" i="12"/>
  <c r="F103" i="15" s="1"/>
  <c r="GN171" i="12"/>
  <c r="GT96" i="12"/>
  <c r="F105" i="15" s="1"/>
  <c r="GN371" i="12"/>
  <c r="GX371" i="12" s="1"/>
  <c r="GN128" i="12"/>
  <c r="GP231" i="12"/>
  <c r="GN369" i="12"/>
  <c r="GX369" i="12" s="1"/>
  <c r="GO319" i="12"/>
  <c r="GN156" i="12"/>
  <c r="GT307" i="12"/>
  <c r="GP341" i="12"/>
  <c r="GO339" i="12"/>
  <c r="GP313" i="12"/>
  <c r="GN345" i="12"/>
  <c r="GX345" i="12" s="1"/>
  <c r="GN376" i="12"/>
  <c r="GX376" i="12" s="1"/>
  <c r="GN292" i="12"/>
  <c r="GX292" i="12" s="1"/>
  <c r="GN276" i="12"/>
  <c r="GX276" i="12" s="1"/>
  <c r="GP308" i="12"/>
  <c r="GP246" i="12"/>
  <c r="GT56" i="12"/>
  <c r="F65" i="15" s="1"/>
  <c r="GO396" i="12"/>
  <c r="GN204" i="12"/>
  <c r="GN365" i="12"/>
  <c r="GX365" i="12" s="1"/>
  <c r="GT294" i="12"/>
  <c r="GO196" i="12"/>
  <c r="G205" i="15" s="1"/>
  <c r="GN303" i="12"/>
  <c r="GX303" i="12" s="1"/>
  <c r="GP304" i="12"/>
  <c r="GN79" i="12"/>
  <c r="GT340" i="12"/>
  <c r="GT199" i="12"/>
  <c r="F208" i="15" s="1"/>
  <c r="GO106" i="12"/>
  <c r="G115" i="15" s="1"/>
  <c r="GT219" i="12"/>
  <c r="GP252" i="12"/>
  <c r="GP43" i="12"/>
  <c r="H52" i="15" s="1"/>
  <c r="GT33" i="12"/>
  <c r="F42" i="15" s="1"/>
  <c r="GO200" i="12"/>
  <c r="G209" i="15" s="1"/>
  <c r="GO105" i="12"/>
  <c r="G114" i="15" s="1"/>
  <c r="GN231" i="12"/>
  <c r="GX231" i="12" s="1"/>
  <c r="GP206" i="12"/>
  <c r="H215" i="15" s="1"/>
  <c r="GN277" i="12"/>
  <c r="GX277" i="12" s="1"/>
  <c r="GP388" i="12"/>
  <c r="GP69" i="12"/>
  <c r="H78" i="15" s="1"/>
  <c r="GT350" i="12"/>
  <c r="GP325" i="12"/>
  <c r="GO207" i="12"/>
  <c r="G216" i="15" s="1"/>
  <c r="GN329" i="12"/>
  <c r="GX329" i="12" s="1"/>
  <c r="GN102" i="12"/>
  <c r="GN44" i="12"/>
  <c r="GO354" i="12"/>
  <c r="GO131" i="12"/>
  <c r="G140" i="15" s="1"/>
  <c r="GP53" i="12"/>
  <c r="H62" i="15" s="1"/>
  <c r="GN246" i="12"/>
  <c r="GX246" i="12" s="1"/>
  <c r="GN256" i="12"/>
  <c r="GX256" i="12" s="1"/>
  <c r="GO241" i="12"/>
  <c r="GT190" i="12"/>
  <c r="F199" i="15" s="1"/>
  <c r="GP269" i="12"/>
  <c r="GN92" i="12"/>
  <c r="GT162" i="12"/>
  <c r="F171" i="15" s="1"/>
  <c r="GP212" i="12"/>
  <c r="H221" i="15" s="1"/>
  <c r="GN255" i="12"/>
  <c r="GX255" i="12" s="1"/>
  <c r="GN308" i="12"/>
  <c r="GX308" i="12" s="1"/>
  <c r="GO377" i="12"/>
  <c r="GN117" i="12"/>
  <c r="GP343" i="12"/>
  <c r="GT61" i="12"/>
  <c r="F70" i="15" s="1"/>
  <c r="GP398" i="12"/>
  <c r="GN85" i="12"/>
  <c r="GT165" i="12"/>
  <c r="F174" i="15" s="1"/>
  <c r="GO141" i="12"/>
  <c r="G150" i="15" s="1"/>
  <c r="GT161" i="12"/>
  <c r="F170" i="15" s="1"/>
  <c r="GO316" i="12"/>
  <c r="GO101" i="12"/>
  <c r="G110" i="15" s="1"/>
  <c r="J110" i="15" s="1"/>
  <c r="GP200" i="12"/>
  <c r="H209" i="15" s="1"/>
  <c r="GT137" i="12"/>
  <c r="F146" i="15" s="1"/>
  <c r="GP45" i="12"/>
  <c r="H54" i="15" s="1"/>
  <c r="GN224" i="12"/>
  <c r="GX224" i="12" s="1"/>
  <c r="GT336" i="12"/>
  <c r="GN65" i="12"/>
  <c r="GP335" i="12"/>
  <c r="GO86" i="12"/>
  <c r="G95" i="15" s="1"/>
  <c r="J95" i="15" s="1"/>
  <c r="GN267" i="12"/>
  <c r="GX267" i="12" s="1"/>
  <c r="GT59" i="12"/>
  <c r="F68" i="15" s="1"/>
  <c r="GO69" i="12"/>
  <c r="G78" i="15" s="1"/>
  <c r="GO201" i="12"/>
  <c r="G210" i="15" s="1"/>
  <c r="J210" i="15" s="1"/>
  <c r="GT394" i="12"/>
  <c r="GP290" i="12"/>
  <c r="GT192" i="12"/>
  <c r="F201" i="15" s="1"/>
  <c r="GT360" i="12"/>
  <c r="GN108" i="12"/>
  <c r="GT167" i="12"/>
  <c r="F176" i="15" s="1"/>
  <c r="GO113" i="12"/>
  <c r="G122" i="15" s="1"/>
  <c r="J122" i="15" s="1"/>
  <c r="GN342" i="12"/>
  <c r="GX342" i="12" s="1"/>
  <c r="GT58" i="12"/>
  <c r="F67" i="15" s="1"/>
  <c r="GP145" i="12"/>
  <c r="H154" i="15" s="1"/>
  <c r="GP195" i="12"/>
  <c r="H204" i="15" s="1"/>
  <c r="GO302" i="12"/>
  <c r="GO320" i="12"/>
  <c r="GO252" i="12"/>
  <c r="GT128" i="12"/>
  <c r="F137" i="15" s="1"/>
  <c r="GP241" i="12"/>
  <c r="GO112" i="12"/>
  <c r="G121" i="15" s="1"/>
  <c r="J121" i="15" s="1"/>
  <c r="GO211" i="12"/>
  <c r="G220" i="15" s="1"/>
  <c r="J220" i="15" s="1"/>
  <c r="GO75" i="12"/>
  <c r="G84" i="15" s="1"/>
  <c r="J84" i="15" s="1"/>
  <c r="GT182" i="12"/>
  <c r="F191" i="15" s="1"/>
  <c r="GP132" i="12"/>
  <c r="H141" i="15" s="1"/>
  <c r="GP73" i="12"/>
  <c r="H82" i="15" s="1"/>
  <c r="GN184" i="12"/>
  <c r="GP144" i="12"/>
  <c r="H153" i="15" s="1"/>
  <c r="GO321" i="12"/>
  <c r="GO228" i="12"/>
  <c r="GP400" i="12"/>
  <c r="GT181" i="12"/>
  <c r="F190" i="15" s="1"/>
  <c r="GO120" i="12"/>
  <c r="G129" i="15" s="1"/>
  <c r="J129" i="15" s="1"/>
  <c r="GO276" i="12"/>
  <c r="GN150" i="12"/>
  <c r="GN278" i="12"/>
  <c r="GX278" i="12" s="1"/>
  <c r="GO180" i="12"/>
  <c r="G189" i="15" s="1"/>
  <c r="GO168" i="12"/>
  <c r="G177" i="15" s="1"/>
  <c r="GT280" i="12"/>
  <c r="GN173" i="12"/>
  <c r="GN377" i="12"/>
  <c r="GX377" i="12" s="1"/>
  <c r="GP334" i="12"/>
  <c r="GT387" i="12"/>
  <c r="GT329" i="12"/>
  <c r="GO189" i="12"/>
  <c r="G198" i="15" s="1"/>
  <c r="GO371" i="12"/>
  <c r="GP141" i="12"/>
  <c r="H150" i="15" s="1"/>
  <c r="GT97" i="12"/>
  <c r="F106" i="15" s="1"/>
  <c r="GT115" i="12"/>
  <c r="F124" i="15" s="1"/>
  <c r="GO326" i="12"/>
  <c r="GP186" i="12"/>
  <c r="H195" i="15" s="1"/>
  <c r="GT150" i="12"/>
  <c r="F159" i="15" s="1"/>
  <c r="GO77" i="12"/>
  <c r="G86" i="15" s="1"/>
  <c r="GP155" i="12"/>
  <c r="H164" i="15" s="1"/>
  <c r="GP115" i="12"/>
  <c r="H124" i="15" s="1"/>
  <c r="GT239" i="12"/>
  <c r="GO33" i="12"/>
  <c r="G42" i="15" s="1"/>
  <c r="J42" i="15" s="1"/>
  <c r="GN297" i="12"/>
  <c r="GX297" i="12" s="1"/>
  <c r="GN154" i="12"/>
  <c r="GN176" i="12"/>
  <c r="GP317" i="12"/>
  <c r="GO365" i="12"/>
  <c r="GN217" i="12"/>
  <c r="GP223" i="12"/>
  <c r="GN159" i="12"/>
  <c r="GT44" i="12"/>
  <c r="F53" i="15" s="1"/>
  <c r="GN299" i="12"/>
  <c r="GX299" i="12" s="1"/>
  <c r="GT393" i="12"/>
  <c r="GO160" i="12"/>
  <c r="G169" i="15" s="1"/>
  <c r="GP76" i="12"/>
  <c r="H85" i="15" s="1"/>
  <c r="GP41" i="12"/>
  <c r="H50" i="15" s="1"/>
  <c r="GN71" i="12"/>
  <c r="GO269" i="12"/>
  <c r="GT65" i="12"/>
  <c r="F74" i="15" s="1"/>
  <c r="GT400" i="12"/>
  <c r="GP57" i="12"/>
  <c r="H66" i="15" s="1"/>
  <c r="GO173" i="12"/>
  <c r="G182" i="15" s="1"/>
  <c r="J182" i="15" s="1"/>
  <c r="GO251" i="12"/>
  <c r="GT57" i="12"/>
  <c r="F66" i="15" s="1"/>
  <c r="GN319" i="12"/>
  <c r="GX319" i="12" s="1"/>
  <c r="GT351" i="12"/>
  <c r="GT189" i="12"/>
  <c r="F198" i="15" s="1"/>
  <c r="GO350" i="12"/>
  <c r="GN13" i="12"/>
  <c r="GT16" i="12"/>
  <c r="F25" i="15" s="1"/>
  <c r="GO17" i="12"/>
  <c r="G26" i="15" s="1"/>
  <c r="E21" i="15"/>
  <c r="B21" i="15" s="1"/>
  <c r="GO16" i="12"/>
  <c r="G25" i="15" s="1"/>
  <c r="GO14" i="12"/>
  <c r="G23" i="15" s="1"/>
  <c r="E28" i="15"/>
  <c r="B28" i="15" s="1"/>
  <c r="C28" i="15" s="1"/>
  <c r="E39" i="15"/>
  <c r="B39" i="15" s="1"/>
  <c r="C39" i="15" s="1"/>
  <c r="E29" i="15"/>
  <c r="B29" i="15" s="1"/>
  <c r="D29" i="15" s="1"/>
  <c r="E37" i="15"/>
  <c r="B37" i="15" s="1"/>
  <c r="E32" i="15"/>
  <c r="B32" i="15" s="1"/>
  <c r="GX9" i="12"/>
  <c r="C16" i="15"/>
  <c r="D16" i="15"/>
  <c r="C24" i="15"/>
  <c r="D24" i="15"/>
  <c r="C15" i="15"/>
  <c r="D15" i="15"/>
  <c r="C23" i="15"/>
  <c r="C18" i="15"/>
  <c r="D18" i="15"/>
  <c r="C30" i="15"/>
  <c r="D30" i="15"/>
  <c r="D36" i="15"/>
  <c r="C36" i="15"/>
  <c r="J18" i="15"/>
  <c r="J17" i="15"/>
  <c r="DF382" i="12"/>
  <c r="J33" i="15" l="1"/>
  <c r="J140" i="15"/>
  <c r="J149" i="15"/>
  <c r="GX14" i="12"/>
  <c r="J115" i="15"/>
  <c r="J186" i="15"/>
  <c r="J71" i="15"/>
  <c r="J43" i="15"/>
  <c r="J91" i="15"/>
  <c r="J25" i="15"/>
  <c r="J161" i="15"/>
  <c r="J169" i="15"/>
  <c r="J198" i="15"/>
  <c r="J114" i="15"/>
  <c r="J118" i="15"/>
  <c r="J219" i="15"/>
  <c r="J81" i="15"/>
  <c r="J179" i="15"/>
  <c r="J135" i="15"/>
  <c r="J167" i="15"/>
  <c r="J189" i="15"/>
  <c r="J216" i="15"/>
  <c r="J175" i="15"/>
  <c r="J170" i="15"/>
  <c r="J97" i="15"/>
  <c r="J103" i="15"/>
  <c r="J96" i="15"/>
  <c r="J111" i="15"/>
  <c r="J60" i="15"/>
  <c r="J224" i="15"/>
  <c r="J79" i="15"/>
  <c r="J187" i="15"/>
  <c r="J55" i="15"/>
  <c r="J137" i="15"/>
  <c r="J226" i="15"/>
  <c r="J26" i="15"/>
  <c r="J173" i="15"/>
  <c r="J78" i="15"/>
  <c r="GT10" i="12"/>
  <c r="F19" i="15" s="1"/>
  <c r="GT19" i="12"/>
  <c r="F28" i="15" s="1"/>
  <c r="GT6" i="12"/>
  <c r="F15" i="15" s="1"/>
  <c r="GP7" i="12"/>
  <c r="H16" i="15" s="1"/>
  <c r="GN12" i="12"/>
  <c r="GX12" i="12" s="1"/>
  <c r="GP21" i="12"/>
  <c r="H30" i="15" s="1"/>
  <c r="GO13" i="12"/>
  <c r="G22" i="15" s="1"/>
  <c r="J22" i="15" s="1"/>
  <c r="GO7" i="12"/>
  <c r="G16" i="15" s="1"/>
  <c r="GN16" i="12"/>
  <c r="GT23" i="12"/>
  <c r="F32" i="15" s="1"/>
  <c r="GT24" i="12"/>
  <c r="F33" i="15" s="1"/>
  <c r="GN6" i="12"/>
  <c r="GX6" i="12" s="1"/>
  <c r="GT3" i="12"/>
  <c r="F12" i="15" s="1"/>
  <c r="GP4" i="12"/>
  <c r="H13" i="15" s="1"/>
  <c r="GN4" i="12"/>
  <c r="GX4" i="12" s="1"/>
  <c r="GN3" i="12"/>
  <c r="GX3" i="12" s="1"/>
  <c r="GT4" i="12"/>
  <c r="F13" i="15" s="1"/>
  <c r="GP5" i="12"/>
  <c r="H14" i="15" s="1"/>
  <c r="GP3" i="12"/>
  <c r="H12" i="15" s="1"/>
  <c r="GO3" i="12"/>
  <c r="G12" i="15" s="1"/>
  <c r="GO4" i="12"/>
  <c r="G13" i="15" s="1"/>
  <c r="GO5" i="12"/>
  <c r="G14" i="15" s="1"/>
  <c r="GT5" i="12"/>
  <c r="F14" i="15" s="1"/>
  <c r="GN5" i="12"/>
  <c r="GX5" i="12" s="1"/>
  <c r="GO10" i="12"/>
  <c r="G19" i="15" s="1"/>
  <c r="J19" i="15" s="1"/>
  <c r="GT12" i="12"/>
  <c r="F21" i="15" s="1"/>
  <c r="GN17" i="12"/>
  <c r="GX17" i="12" s="1"/>
  <c r="GO12" i="12"/>
  <c r="G21" i="15" s="1"/>
  <c r="GN23" i="12"/>
  <c r="GX23" i="12" s="1"/>
  <c r="GP23" i="12"/>
  <c r="H32" i="15" s="1"/>
  <c r="GO21" i="12"/>
  <c r="G30" i="15" s="1"/>
  <c r="GN25" i="12"/>
  <c r="GN22" i="12"/>
  <c r="E31" i="15" s="1"/>
  <c r="B31" i="15" s="1"/>
  <c r="GP14" i="12"/>
  <c r="H23" i="15" s="1"/>
  <c r="J23" i="15" s="1"/>
  <c r="GN10" i="12"/>
  <c r="GX10" i="12" s="1"/>
  <c r="GP11" i="12"/>
  <c r="H20" i="15" s="1"/>
  <c r="J20" i="15" s="1"/>
  <c r="GN19" i="12"/>
  <c r="GX19" i="12" s="1"/>
  <c r="GP25" i="12"/>
  <c r="H34" i="15" s="1"/>
  <c r="GP20" i="12"/>
  <c r="H29" i="15" s="1"/>
  <c r="GO25" i="12"/>
  <c r="G34" i="15" s="1"/>
  <c r="GT22" i="12"/>
  <c r="F31" i="15" s="1"/>
  <c r="GP12" i="12"/>
  <c r="H21" i="15" s="1"/>
  <c r="GP15" i="12"/>
  <c r="H24" i="15" s="1"/>
  <c r="J24" i="15" s="1"/>
  <c r="GO19" i="12"/>
  <c r="G28" i="15" s="1"/>
  <c r="J28" i="15" s="1"/>
  <c r="GO23" i="12"/>
  <c r="G32" i="15" s="1"/>
  <c r="GT25" i="12"/>
  <c r="F34" i="15" s="1"/>
  <c r="GN21" i="12"/>
  <c r="GX21" i="12" s="1"/>
  <c r="GO20" i="12"/>
  <c r="G29" i="15" s="1"/>
  <c r="GN20" i="12"/>
  <c r="GT17" i="12"/>
  <c r="F26" i="15" s="1"/>
  <c r="GT11" i="12"/>
  <c r="F20" i="15" s="1"/>
  <c r="GO22" i="12"/>
  <c r="G31" i="15" s="1"/>
  <c r="J31" i="15" s="1"/>
  <c r="GO6" i="12"/>
  <c r="G15" i="15" s="1"/>
  <c r="J15" i="15" s="1"/>
  <c r="GN7" i="12"/>
  <c r="GX7" i="12" s="1"/>
  <c r="J45" i="15"/>
  <c r="GN28" i="12"/>
  <c r="GX28" i="12" s="1"/>
  <c r="GP31" i="12"/>
  <c r="H40" i="15" s="1"/>
  <c r="J40" i="15" s="1"/>
  <c r="GP29" i="12"/>
  <c r="H38" i="15" s="1"/>
  <c r="GO26" i="12"/>
  <c r="G35" i="15" s="1"/>
  <c r="GO27" i="12"/>
  <c r="G36" i="15" s="1"/>
  <c r="GN26" i="12"/>
  <c r="GN30" i="12"/>
  <c r="GX30" i="12" s="1"/>
  <c r="GP27" i="12"/>
  <c r="H36" i="15" s="1"/>
  <c r="GT27" i="12"/>
  <c r="F36" i="15" s="1"/>
  <c r="GP28" i="12"/>
  <c r="H37" i="15" s="1"/>
  <c r="J37" i="15" s="1"/>
  <c r="GP26" i="12"/>
  <c r="H35" i="15" s="1"/>
  <c r="GT26" i="12"/>
  <c r="F35" i="15" s="1"/>
  <c r="GO29" i="12"/>
  <c r="G38" i="15" s="1"/>
  <c r="GT29" i="12"/>
  <c r="F38" i="15" s="1"/>
  <c r="J48" i="15"/>
  <c r="J27" i="15"/>
  <c r="D28" i="15"/>
  <c r="J158" i="15"/>
  <c r="J191" i="15"/>
  <c r="J168" i="15"/>
  <c r="J192" i="15"/>
  <c r="GP254" i="12"/>
  <c r="GT114" i="12"/>
  <c r="F123" i="15" s="1"/>
  <c r="GP281" i="12"/>
  <c r="GN97" i="12"/>
  <c r="GN239" i="12"/>
  <c r="GX239" i="12" s="1"/>
  <c r="GN325" i="12"/>
  <c r="GX325" i="12" s="1"/>
  <c r="GP55" i="12"/>
  <c r="H64" i="15" s="1"/>
  <c r="J64" i="15" s="1"/>
  <c r="GT197" i="12"/>
  <c r="F206" i="15" s="1"/>
  <c r="GP267" i="12"/>
  <c r="GO368" i="12"/>
  <c r="GN140" i="12"/>
  <c r="GN185" i="12"/>
  <c r="GO348" i="12"/>
  <c r="GP91" i="12"/>
  <c r="H100" i="15" s="1"/>
  <c r="J100" i="15" s="1"/>
  <c r="GN344" i="12"/>
  <c r="GX344" i="12" s="1"/>
  <c r="GN360" i="12"/>
  <c r="GX360" i="12" s="1"/>
  <c r="GP237" i="12"/>
  <c r="GN268" i="12"/>
  <c r="GX268" i="12" s="1"/>
  <c r="GP35" i="12"/>
  <c r="H44" i="15" s="1"/>
  <c r="GO294" i="12"/>
  <c r="GO134" i="12"/>
  <c r="G143" i="15" s="1"/>
  <c r="J143" i="15" s="1"/>
  <c r="GT281" i="12"/>
  <c r="GT256" i="12"/>
  <c r="GP133" i="12"/>
  <c r="H142" i="15" s="1"/>
  <c r="J142" i="15" s="1"/>
  <c r="GP139" i="12"/>
  <c r="H148" i="15" s="1"/>
  <c r="J148" i="15" s="1"/>
  <c r="GT386" i="12"/>
  <c r="GN170" i="12"/>
  <c r="GN362" i="12"/>
  <c r="GX362" i="12" s="1"/>
  <c r="GT275" i="12"/>
  <c r="GT42" i="12"/>
  <c r="F51" i="15" s="1"/>
  <c r="GP299" i="12"/>
  <c r="GP260" i="12"/>
  <c r="GT123" i="12"/>
  <c r="F132" i="15" s="1"/>
  <c r="GT107" i="12"/>
  <c r="F116" i="15" s="1"/>
  <c r="GP168" i="12"/>
  <c r="H177" i="15" s="1"/>
  <c r="J177" i="15" s="1"/>
  <c r="GO355" i="12"/>
  <c r="GO186" i="12"/>
  <c r="G195" i="15" s="1"/>
  <c r="J195" i="15" s="1"/>
  <c r="GT383" i="12"/>
  <c r="GP185" i="12"/>
  <c r="H194" i="15" s="1"/>
  <c r="J194" i="15" s="1"/>
  <c r="GN312" i="12"/>
  <c r="GX312" i="12" s="1"/>
  <c r="GP220" i="12"/>
  <c r="GT354" i="12"/>
  <c r="GP384" i="12"/>
  <c r="GP270" i="12"/>
  <c r="GT134" i="12"/>
  <c r="F143" i="15" s="1"/>
  <c r="GT67" i="12"/>
  <c r="F76" i="15" s="1"/>
  <c r="GP32" i="12"/>
  <c r="GN311" i="12"/>
  <c r="GX311" i="12" s="1"/>
  <c r="GO362" i="12"/>
  <c r="GP58" i="12"/>
  <c r="H67" i="15" s="1"/>
  <c r="J67" i="15" s="1"/>
  <c r="GO282" i="12"/>
  <c r="GP56" i="12"/>
  <c r="H65" i="15" s="1"/>
  <c r="GO118" i="12"/>
  <c r="G127" i="15" s="1"/>
  <c r="J127" i="15" s="1"/>
  <c r="GT375" i="12"/>
  <c r="GO93" i="12"/>
  <c r="G102" i="15" s="1"/>
  <c r="J102" i="15" s="1"/>
  <c r="GT111" i="12"/>
  <c r="F120" i="15" s="1"/>
  <c r="GO311" i="12"/>
  <c r="GN164" i="12"/>
  <c r="GN280" i="12"/>
  <c r="GX280" i="12" s="1"/>
  <c r="GO67" i="12"/>
  <c r="G76" i="15" s="1"/>
  <c r="J76" i="15" s="1"/>
  <c r="GP322" i="12"/>
  <c r="GN179" i="12"/>
  <c r="GP249" i="12"/>
  <c r="GT373" i="12"/>
  <c r="GT366" i="12"/>
  <c r="GP305" i="12"/>
  <c r="GN374" i="12"/>
  <c r="GX374" i="12" s="1"/>
  <c r="GO135" i="12"/>
  <c r="G144" i="15" s="1"/>
  <c r="J144" i="15" s="1"/>
  <c r="GP355" i="12"/>
  <c r="GT105" i="12"/>
  <c r="F114" i="15" s="1"/>
  <c r="GT384" i="12"/>
  <c r="GT153" i="12"/>
  <c r="F162" i="15" s="1"/>
  <c r="GP137" i="12"/>
  <c r="H146" i="15" s="1"/>
  <c r="J146" i="15" s="1"/>
  <c r="GP359" i="12"/>
  <c r="GT319" i="12"/>
  <c r="GP265" i="12"/>
  <c r="GT227" i="12"/>
  <c r="GO119" i="12"/>
  <c r="G128" i="15" s="1"/>
  <c r="J128" i="15" s="1"/>
  <c r="GP292" i="12"/>
  <c r="GP298" i="12"/>
  <c r="GO317" i="12"/>
  <c r="GN151" i="12"/>
  <c r="GT376" i="12"/>
  <c r="GT266" i="12"/>
  <c r="GN215" i="12"/>
  <c r="GN43" i="12"/>
  <c r="GN300" i="12"/>
  <c r="GX300" i="12" s="1"/>
  <c r="GN100" i="12"/>
  <c r="GP228" i="12"/>
  <c r="GP327" i="12"/>
  <c r="GT39" i="12"/>
  <c r="F48" i="15" s="1"/>
  <c r="GN250" i="12"/>
  <c r="GX250" i="12" s="1"/>
  <c r="GT122" i="12"/>
  <c r="F131" i="15" s="1"/>
  <c r="GP349" i="12"/>
  <c r="GP192" i="12"/>
  <c r="H201" i="15" s="1"/>
  <c r="J201" i="15" s="1"/>
  <c r="GT233" i="12"/>
  <c r="GP338" i="12"/>
  <c r="GN270" i="12"/>
  <c r="GX270" i="12" s="1"/>
  <c r="GT83" i="12"/>
  <c r="F92" i="15" s="1"/>
  <c r="GP264" i="12"/>
  <c r="GT207" i="12"/>
  <c r="F216" i="15" s="1"/>
  <c r="GP146" i="12"/>
  <c r="H155" i="15" s="1"/>
  <c r="J155" i="15" s="1"/>
  <c r="GO95" i="12"/>
  <c r="G104" i="15" s="1"/>
  <c r="J104" i="15" s="1"/>
  <c r="GT124" i="12"/>
  <c r="F133" i="15" s="1"/>
  <c r="GP319" i="12"/>
  <c r="GO56" i="12"/>
  <c r="G65" i="15" s="1"/>
  <c r="GN135" i="12"/>
  <c r="GN175" i="12"/>
  <c r="GT238" i="12"/>
  <c r="GP80" i="12"/>
  <c r="H89" i="15" s="1"/>
  <c r="J89" i="15" s="1"/>
  <c r="GN314" i="12"/>
  <c r="GX314" i="12" s="1"/>
  <c r="GP84" i="12"/>
  <c r="H93" i="15" s="1"/>
  <c r="J93" i="15" s="1"/>
  <c r="GT372" i="12"/>
  <c r="GT211" i="12"/>
  <c r="F220" i="15" s="1"/>
  <c r="GP196" i="12"/>
  <c r="H205" i="15" s="1"/>
  <c r="J205" i="15" s="1"/>
  <c r="GO325" i="12"/>
  <c r="GT273" i="12"/>
  <c r="GN340" i="12"/>
  <c r="GX340" i="12" s="1"/>
  <c r="GN229" i="12"/>
  <c r="GX229" i="12" s="1"/>
  <c r="GO52" i="12"/>
  <c r="G61" i="15" s="1"/>
  <c r="J61" i="15" s="1"/>
  <c r="GT317" i="12"/>
  <c r="GO283" i="12"/>
  <c r="GP162" i="12"/>
  <c r="H171" i="15" s="1"/>
  <c r="J171" i="15" s="1"/>
  <c r="GN359" i="12"/>
  <c r="GX359" i="12" s="1"/>
  <c r="GT302" i="12"/>
  <c r="GO142" i="12"/>
  <c r="G151" i="15" s="1"/>
  <c r="J151" i="15" s="1"/>
  <c r="GT77" i="12"/>
  <c r="F86" i="15" s="1"/>
  <c r="GT82" i="12"/>
  <c r="F91" i="15" s="1"/>
  <c r="GT120" i="12"/>
  <c r="F129" i="15" s="1"/>
  <c r="GO89" i="12"/>
  <c r="G98" i="15" s="1"/>
  <c r="J98" i="15" s="1"/>
  <c r="GO246" i="12"/>
  <c r="GO96" i="12"/>
  <c r="G105" i="15" s="1"/>
  <c r="J105" i="15" s="1"/>
  <c r="GN134" i="12"/>
  <c r="GN98" i="12"/>
  <c r="GP190" i="12"/>
  <c r="H199" i="15" s="1"/>
  <c r="J199" i="15" s="1"/>
  <c r="GN83" i="12"/>
  <c r="GT76" i="12"/>
  <c r="F85" i="15" s="1"/>
  <c r="GP188" i="12"/>
  <c r="H197" i="15" s="1"/>
  <c r="J197" i="15" s="1"/>
  <c r="GT324" i="12"/>
  <c r="GO35" i="12"/>
  <c r="G44" i="15" s="1"/>
  <c r="J44" i="15" s="1"/>
  <c r="GN165" i="12"/>
  <c r="GT253" i="12"/>
  <c r="GT196" i="12"/>
  <c r="F205" i="15" s="1"/>
  <c r="GO236" i="12"/>
  <c r="GP77" i="12"/>
  <c r="H86" i="15" s="1"/>
  <c r="J86" i="15" s="1"/>
  <c r="GP163" i="12"/>
  <c r="H172" i="15" s="1"/>
  <c r="J172" i="15" s="1"/>
  <c r="GN382" i="12"/>
  <c r="GX382" i="12" s="1"/>
  <c r="GT335" i="12"/>
  <c r="GT135" i="12"/>
  <c r="F144" i="15" s="1"/>
  <c r="GP369" i="12"/>
  <c r="GP148" i="12"/>
  <c r="H157" i="15" s="1"/>
  <c r="J157" i="15" s="1"/>
  <c r="GO253" i="12"/>
  <c r="GP54" i="12"/>
  <c r="H63" i="15" s="1"/>
  <c r="J63" i="15" s="1"/>
  <c r="GN323" i="12"/>
  <c r="GX323" i="12" s="1"/>
  <c r="GN320" i="12"/>
  <c r="GX320" i="12" s="1"/>
  <c r="GT295" i="12"/>
  <c r="GT244" i="12"/>
  <c r="GN368" i="12"/>
  <c r="GX368" i="12" s="1"/>
  <c r="GN354" i="12"/>
  <c r="GX354" i="12" s="1"/>
  <c r="GP312" i="12"/>
  <c r="GO60" i="12"/>
  <c r="G69" i="15" s="1"/>
  <c r="J69" i="15" s="1"/>
  <c r="GO97" i="12"/>
  <c r="G106" i="15" s="1"/>
  <c r="J106" i="15" s="1"/>
  <c r="GT168" i="12"/>
  <c r="F177" i="15" s="1"/>
  <c r="GT40" i="12"/>
  <c r="F49" i="15" s="1"/>
  <c r="GT186" i="12"/>
  <c r="F195" i="15" s="1"/>
  <c r="GT92" i="12"/>
  <c r="F101" i="15" s="1"/>
  <c r="GT176" i="12"/>
  <c r="F185" i="15" s="1"/>
  <c r="GO351" i="12"/>
  <c r="GT174" i="12"/>
  <c r="F183" i="15" s="1"/>
  <c r="GO324" i="12"/>
  <c r="GP122" i="12"/>
  <c r="H131" i="15" s="1"/>
  <c r="J131" i="15" s="1"/>
  <c r="GO172" i="12"/>
  <c r="G181" i="15" s="1"/>
  <c r="J181" i="15" s="1"/>
  <c r="GN49" i="12"/>
  <c r="GN390" i="12"/>
  <c r="GX390" i="12" s="1"/>
  <c r="GP114" i="12"/>
  <c r="H123" i="15" s="1"/>
  <c r="J123" i="15" s="1"/>
  <c r="GN183" i="12"/>
  <c r="GT138" i="12"/>
  <c r="F147" i="15" s="1"/>
  <c r="GN210" i="12"/>
  <c r="GN265" i="12"/>
  <c r="GX265" i="12" s="1"/>
  <c r="GN322" i="12"/>
  <c r="GX322" i="12" s="1"/>
  <c r="GN110" i="12"/>
  <c r="GN258" i="12"/>
  <c r="GX258" i="12" s="1"/>
  <c r="GN373" i="12"/>
  <c r="GX373" i="12" s="1"/>
  <c r="GT392" i="12"/>
  <c r="GN186" i="12"/>
  <c r="GT385" i="12"/>
  <c r="GO110" i="12"/>
  <c r="G119" i="15" s="1"/>
  <c r="J119" i="15" s="1"/>
  <c r="GT132" i="12"/>
  <c r="F141" i="15" s="1"/>
  <c r="GP333" i="12"/>
  <c r="GN51" i="12"/>
  <c r="GT155" i="12"/>
  <c r="F164" i="15" s="1"/>
  <c r="GT362" i="12"/>
  <c r="GT222" i="12"/>
  <c r="GP194" i="12"/>
  <c r="H203" i="15" s="1"/>
  <c r="J203" i="15" s="1"/>
  <c r="E22" i="15"/>
  <c r="B22" i="15" s="1"/>
  <c r="GX13" i="12"/>
  <c r="GX71" i="12"/>
  <c r="E80" i="15"/>
  <c r="B80" i="15" s="1"/>
  <c r="E185" i="15"/>
  <c r="B185" i="15" s="1"/>
  <c r="GX176" i="12"/>
  <c r="E182" i="15"/>
  <c r="B182" i="15" s="1"/>
  <c r="GX173" i="12"/>
  <c r="E53" i="15"/>
  <c r="B53" i="15" s="1"/>
  <c r="GX44" i="12"/>
  <c r="J209" i="15"/>
  <c r="E88" i="15"/>
  <c r="B88" i="15" s="1"/>
  <c r="GX79" i="12"/>
  <c r="E140" i="15"/>
  <c r="B140" i="15" s="1"/>
  <c r="GX131" i="12"/>
  <c r="E127" i="15"/>
  <c r="B127" i="15" s="1"/>
  <c r="GX118" i="12"/>
  <c r="E105" i="15"/>
  <c r="B105" i="15" s="1"/>
  <c r="GX96" i="12"/>
  <c r="GX130" i="12"/>
  <c r="E139" i="15"/>
  <c r="B139" i="15" s="1"/>
  <c r="GX133" i="12"/>
  <c r="E142" i="15"/>
  <c r="B142" i="15" s="1"/>
  <c r="E68" i="15"/>
  <c r="B68" i="15" s="1"/>
  <c r="GX59" i="12"/>
  <c r="E115" i="15"/>
  <c r="B115" i="15" s="1"/>
  <c r="GX106" i="12"/>
  <c r="E55" i="15"/>
  <c r="B55" i="15" s="1"/>
  <c r="GX46" i="12"/>
  <c r="GX60" i="12"/>
  <c r="E69" i="15"/>
  <c r="B69" i="15" s="1"/>
  <c r="J183" i="15"/>
  <c r="J164" i="15"/>
  <c r="E206" i="15"/>
  <c r="B206" i="15" s="1"/>
  <c r="GX197" i="12"/>
  <c r="GX54" i="12"/>
  <c r="E63" i="15"/>
  <c r="B63" i="15" s="1"/>
  <c r="GX103" i="12"/>
  <c r="E112" i="15"/>
  <c r="B112" i="15" s="1"/>
  <c r="E65" i="15"/>
  <c r="B65" i="15" s="1"/>
  <c r="GX56" i="12"/>
  <c r="J46" i="15"/>
  <c r="J215" i="15"/>
  <c r="GX169" i="12"/>
  <c r="E178" i="15"/>
  <c r="B178" i="15" s="1"/>
  <c r="GX40" i="12"/>
  <c r="E49" i="15"/>
  <c r="B49" i="15" s="1"/>
  <c r="E113" i="15"/>
  <c r="B113" i="15" s="1"/>
  <c r="GX104" i="12"/>
  <c r="GX172" i="12"/>
  <c r="E181" i="15"/>
  <c r="B181" i="15" s="1"/>
  <c r="E122" i="15"/>
  <c r="B122" i="15" s="1"/>
  <c r="GX113" i="12"/>
  <c r="GX182" i="12"/>
  <c r="E191" i="15"/>
  <c r="B191" i="15" s="1"/>
  <c r="E133" i="15"/>
  <c r="B133" i="15" s="1"/>
  <c r="GX124" i="12"/>
  <c r="GX35" i="12"/>
  <c r="E44" i="15"/>
  <c r="B44" i="15" s="1"/>
  <c r="J47" i="15"/>
  <c r="GX168" i="12"/>
  <c r="E177" i="15"/>
  <c r="B177" i="15" s="1"/>
  <c r="E75" i="15"/>
  <c r="B75" i="15" s="1"/>
  <c r="GX66" i="12"/>
  <c r="E162" i="15"/>
  <c r="B162" i="15" s="1"/>
  <c r="GX153" i="12"/>
  <c r="J94" i="15"/>
  <c r="J159" i="15"/>
  <c r="GX198" i="12"/>
  <c r="E207" i="15"/>
  <c r="B207" i="15" s="1"/>
  <c r="GX105" i="12"/>
  <c r="E114" i="15"/>
  <c r="B114" i="15" s="1"/>
  <c r="GX39" i="12"/>
  <c r="E48" i="15"/>
  <c r="B48" i="15" s="1"/>
  <c r="J77" i="15"/>
  <c r="GX137" i="12"/>
  <c r="E146" i="15"/>
  <c r="B146" i="15" s="1"/>
  <c r="J112" i="15"/>
  <c r="E152" i="15"/>
  <c r="B152" i="15" s="1"/>
  <c r="GX143" i="12"/>
  <c r="J59" i="15"/>
  <c r="J85" i="15"/>
  <c r="J120" i="15"/>
  <c r="GX68" i="12"/>
  <c r="E77" i="15"/>
  <c r="B77" i="15" s="1"/>
  <c r="J160" i="15"/>
  <c r="J88" i="15"/>
  <c r="J212" i="15"/>
  <c r="J180" i="15"/>
  <c r="GX127" i="12"/>
  <c r="E136" i="15"/>
  <c r="B136" i="15" s="1"/>
  <c r="GX31" i="12"/>
  <c r="E40" i="15"/>
  <c r="B40" i="15" s="1"/>
  <c r="J218" i="15"/>
  <c r="GX147" i="12"/>
  <c r="E156" i="15"/>
  <c r="B156" i="15" s="1"/>
  <c r="GX80" i="12"/>
  <c r="E89" i="15"/>
  <c r="B89" i="15" s="1"/>
  <c r="GX109" i="12"/>
  <c r="E118" i="15"/>
  <c r="B118" i="15" s="1"/>
  <c r="E38" i="15"/>
  <c r="B38" i="15" s="1"/>
  <c r="GX29" i="12"/>
  <c r="GX192" i="12"/>
  <c r="E201" i="15"/>
  <c r="B201" i="15" s="1"/>
  <c r="J68" i="15"/>
  <c r="GX81" i="12"/>
  <c r="E90" i="15"/>
  <c r="B90" i="15" s="1"/>
  <c r="C26" i="15"/>
  <c r="D26" i="15"/>
  <c r="GX217" i="12"/>
  <c r="E226" i="15"/>
  <c r="B226" i="15" s="1"/>
  <c r="E163" i="15"/>
  <c r="B163" i="15" s="1"/>
  <c r="GX154" i="12"/>
  <c r="E159" i="15"/>
  <c r="B159" i="15" s="1"/>
  <c r="GX150" i="12"/>
  <c r="E193" i="15"/>
  <c r="B193" i="15" s="1"/>
  <c r="GX184" i="12"/>
  <c r="E94" i="15"/>
  <c r="B94" i="15" s="1"/>
  <c r="GX85" i="12"/>
  <c r="E126" i="15"/>
  <c r="B126" i="15" s="1"/>
  <c r="GX117" i="12"/>
  <c r="E111" i="15"/>
  <c r="B111" i="15" s="1"/>
  <c r="GX102" i="12"/>
  <c r="E189" i="15"/>
  <c r="B189" i="15" s="1"/>
  <c r="GX180" i="12"/>
  <c r="J62" i="15"/>
  <c r="E218" i="15"/>
  <c r="B218" i="15" s="1"/>
  <c r="GX209" i="12"/>
  <c r="GX178" i="12"/>
  <c r="E187" i="15"/>
  <c r="B187" i="15" s="1"/>
  <c r="E57" i="15"/>
  <c r="B57" i="15" s="1"/>
  <c r="GX48" i="12"/>
  <c r="GX205" i="12"/>
  <c r="E214" i="15"/>
  <c r="B214" i="15" s="1"/>
  <c r="GX207" i="12"/>
  <c r="E216" i="15"/>
  <c r="B216" i="15" s="1"/>
  <c r="GX34" i="12"/>
  <c r="E43" i="15"/>
  <c r="B43" i="15" s="1"/>
  <c r="E83" i="15"/>
  <c r="B83" i="15" s="1"/>
  <c r="GX74" i="12"/>
  <c r="J124" i="15"/>
  <c r="E72" i="15"/>
  <c r="B72" i="15" s="1"/>
  <c r="GX63" i="12"/>
  <c r="J130" i="15"/>
  <c r="E56" i="15"/>
  <c r="B56" i="15" s="1"/>
  <c r="GX47" i="12"/>
  <c r="E220" i="15"/>
  <c r="B220" i="15" s="1"/>
  <c r="GX211" i="12"/>
  <c r="GX177" i="12"/>
  <c r="E186" i="15"/>
  <c r="B186" i="15" s="1"/>
  <c r="E211" i="15"/>
  <c r="B211" i="15" s="1"/>
  <c r="GX202" i="12"/>
  <c r="E91" i="15"/>
  <c r="B91" i="15" s="1"/>
  <c r="GX82" i="12"/>
  <c r="GX45" i="12"/>
  <c r="E54" i="15"/>
  <c r="B54" i="15" s="1"/>
  <c r="E170" i="15"/>
  <c r="B170" i="15" s="1"/>
  <c r="GX161" i="12"/>
  <c r="E145" i="15"/>
  <c r="B145" i="15" s="1"/>
  <c r="GX136" i="12"/>
  <c r="E204" i="15"/>
  <c r="B204" i="15" s="1"/>
  <c r="GX195" i="12"/>
  <c r="J166" i="15"/>
  <c r="J141" i="15"/>
  <c r="E215" i="15"/>
  <c r="B215" i="15" s="1"/>
  <c r="GX206" i="12"/>
  <c r="E59" i="15"/>
  <c r="B59" i="15" s="1"/>
  <c r="GX50" i="12"/>
  <c r="E51" i="15"/>
  <c r="B51" i="15" s="1"/>
  <c r="GX42" i="12"/>
  <c r="E128" i="15"/>
  <c r="B128" i="15" s="1"/>
  <c r="GX119" i="12"/>
  <c r="GX166" i="12"/>
  <c r="E175" i="15"/>
  <c r="B175" i="15" s="1"/>
  <c r="GX120" i="12"/>
  <c r="E129" i="15"/>
  <c r="B129" i="15" s="1"/>
  <c r="J83" i="15"/>
  <c r="GX52" i="12"/>
  <c r="E61" i="15"/>
  <c r="B61" i="15" s="1"/>
  <c r="E50" i="15"/>
  <c r="B50" i="15" s="1"/>
  <c r="GX41" i="12"/>
  <c r="GX162" i="12"/>
  <c r="E171" i="15"/>
  <c r="B171" i="15" s="1"/>
  <c r="E225" i="15"/>
  <c r="B225" i="15" s="1"/>
  <c r="GX216" i="12"/>
  <c r="J125" i="15"/>
  <c r="E96" i="15"/>
  <c r="B96" i="15" s="1"/>
  <c r="GX87" i="12"/>
  <c r="GX61" i="12"/>
  <c r="E70" i="15"/>
  <c r="B70" i="15" s="1"/>
  <c r="J145" i="15"/>
  <c r="GX121" i="12"/>
  <c r="E130" i="15"/>
  <c r="B130" i="15" s="1"/>
  <c r="E79" i="15"/>
  <c r="B79" i="15" s="1"/>
  <c r="GX70" i="12"/>
  <c r="J51" i="15"/>
  <c r="J138" i="15"/>
  <c r="E104" i="15"/>
  <c r="B104" i="15" s="1"/>
  <c r="GX95" i="12"/>
  <c r="GX89" i="12"/>
  <c r="E98" i="15"/>
  <c r="B98" i="15" s="1"/>
  <c r="J207" i="15"/>
  <c r="J223" i="15"/>
  <c r="J126" i="15"/>
  <c r="GX69" i="12"/>
  <c r="E78" i="15"/>
  <c r="B78" i="15" s="1"/>
  <c r="GX18" i="12"/>
  <c r="E27" i="15"/>
  <c r="B27" i="15" s="1"/>
  <c r="J163" i="15"/>
  <c r="J213" i="15"/>
  <c r="GX24" i="12"/>
  <c r="E33" i="15"/>
  <c r="B33" i="15" s="1"/>
  <c r="E71" i="15"/>
  <c r="B71" i="15" s="1"/>
  <c r="GX62" i="12"/>
  <c r="J214" i="15"/>
  <c r="J107" i="15"/>
  <c r="E74" i="15"/>
  <c r="B74" i="15" s="1"/>
  <c r="GX65" i="12"/>
  <c r="GX204" i="12"/>
  <c r="E213" i="15"/>
  <c r="B213" i="15" s="1"/>
  <c r="E180" i="15"/>
  <c r="B180" i="15" s="1"/>
  <c r="GX171" i="12"/>
  <c r="E132" i="15"/>
  <c r="B132" i="15" s="1"/>
  <c r="GX123" i="12"/>
  <c r="GX187" i="12"/>
  <c r="E196" i="15"/>
  <c r="B196" i="15" s="1"/>
  <c r="E227" i="15"/>
  <c r="B227" i="15" s="1"/>
  <c r="GX218" i="12"/>
  <c r="E103" i="15"/>
  <c r="B103" i="15" s="1"/>
  <c r="GX94" i="12"/>
  <c r="E76" i="15"/>
  <c r="B76" i="15" s="1"/>
  <c r="GX67" i="12"/>
  <c r="J136" i="15"/>
  <c r="J75" i="15"/>
  <c r="GX213" i="12"/>
  <c r="E222" i="15"/>
  <c r="B222" i="15" s="1"/>
  <c r="GX107" i="12"/>
  <c r="E116" i="15"/>
  <c r="B116" i="15" s="1"/>
  <c r="E121" i="15"/>
  <c r="B121" i="15" s="1"/>
  <c r="GX112" i="12"/>
  <c r="GX181" i="12"/>
  <c r="E190" i="15"/>
  <c r="B190" i="15" s="1"/>
  <c r="GX58" i="12"/>
  <c r="E67" i="15"/>
  <c r="B67" i="15" s="1"/>
  <c r="J66" i="15"/>
  <c r="E172" i="15"/>
  <c r="B172" i="15" s="1"/>
  <c r="GX163" i="12"/>
  <c r="GX111" i="12"/>
  <c r="E120" i="15"/>
  <c r="B120" i="15" s="1"/>
  <c r="GX200" i="12"/>
  <c r="E209" i="15"/>
  <c r="B209" i="15" s="1"/>
  <c r="GX72" i="12"/>
  <c r="E81" i="15"/>
  <c r="B81" i="15" s="1"/>
  <c r="E86" i="15"/>
  <c r="B86" i="15" s="1"/>
  <c r="GX77" i="12"/>
  <c r="J80" i="15"/>
  <c r="E154" i="15"/>
  <c r="B154" i="15" s="1"/>
  <c r="GX145" i="12"/>
  <c r="E208" i="15"/>
  <c r="B208" i="15" s="1"/>
  <c r="GX199" i="12"/>
  <c r="E87" i="15"/>
  <c r="B87" i="15" s="1"/>
  <c r="GX78" i="12"/>
  <c r="GX38" i="12"/>
  <c r="E47" i="15"/>
  <c r="B47" i="15" s="1"/>
  <c r="E125" i="15"/>
  <c r="B125" i="15" s="1"/>
  <c r="GX116" i="12"/>
  <c r="E221" i="15"/>
  <c r="B221" i="15" s="1"/>
  <c r="GX212" i="12"/>
  <c r="J49" i="15"/>
  <c r="GX148" i="12"/>
  <c r="E157" i="15"/>
  <c r="B157" i="15" s="1"/>
  <c r="J221" i="15"/>
  <c r="GX53" i="12"/>
  <c r="E62" i="15"/>
  <c r="B62" i="15" s="1"/>
  <c r="J174" i="15"/>
  <c r="GX125" i="12"/>
  <c r="E134" i="15"/>
  <c r="B134" i="15" s="1"/>
  <c r="GX158" i="12"/>
  <c r="E167" i="15"/>
  <c r="B167" i="15" s="1"/>
  <c r="E100" i="15"/>
  <c r="B100" i="15" s="1"/>
  <c r="GX91" i="12"/>
  <c r="E217" i="15"/>
  <c r="B217" i="15" s="1"/>
  <c r="GX208" i="12"/>
  <c r="J54" i="15"/>
  <c r="E124" i="15"/>
  <c r="B124" i="15" s="1"/>
  <c r="GX115" i="12"/>
  <c r="J73" i="15"/>
  <c r="J165" i="15"/>
  <c r="GX214" i="12"/>
  <c r="E223" i="15"/>
  <c r="B223" i="15" s="1"/>
  <c r="J108" i="15"/>
  <c r="E202" i="15"/>
  <c r="B202" i="15" s="1"/>
  <c r="GX193" i="12"/>
  <c r="J153" i="15"/>
  <c r="J204" i="15"/>
  <c r="E97" i="15"/>
  <c r="B97" i="15" s="1"/>
  <c r="GX88" i="12"/>
  <c r="J117" i="15"/>
  <c r="J57" i="15"/>
  <c r="D25" i="15"/>
  <c r="C25" i="15"/>
  <c r="C21" i="15"/>
  <c r="D21" i="15"/>
  <c r="E168" i="15"/>
  <c r="B168" i="15" s="1"/>
  <c r="GX159" i="12"/>
  <c r="GX108" i="12"/>
  <c r="E117" i="15"/>
  <c r="B117" i="15" s="1"/>
  <c r="J150" i="15"/>
  <c r="E101" i="15"/>
  <c r="B101" i="15" s="1"/>
  <c r="GX92" i="12"/>
  <c r="E165" i="15"/>
  <c r="B165" i="15" s="1"/>
  <c r="GX156" i="12"/>
  <c r="E137" i="15"/>
  <c r="B137" i="15" s="1"/>
  <c r="GX128" i="12"/>
  <c r="GX203" i="12"/>
  <c r="E212" i="15"/>
  <c r="B212" i="15" s="1"/>
  <c r="E197" i="15"/>
  <c r="B197" i="15" s="1"/>
  <c r="GX188" i="12"/>
  <c r="E84" i="15"/>
  <c r="B84" i="15" s="1"/>
  <c r="GX75" i="12"/>
  <c r="GX114" i="12"/>
  <c r="E123" i="15"/>
  <c r="B123" i="15" s="1"/>
  <c r="E176" i="15"/>
  <c r="B176" i="15" s="1"/>
  <c r="GX167" i="12"/>
  <c r="E205" i="15"/>
  <c r="B205" i="15" s="1"/>
  <c r="GX196" i="12"/>
  <c r="E46" i="15"/>
  <c r="B46" i="15" s="1"/>
  <c r="GX37" i="12"/>
  <c r="GX64" i="12"/>
  <c r="E73" i="15"/>
  <c r="B73" i="15" s="1"/>
  <c r="GX76" i="12"/>
  <c r="E85" i="15"/>
  <c r="B85" i="15" s="1"/>
  <c r="GX142" i="12"/>
  <c r="E151" i="15"/>
  <c r="B151" i="15" s="1"/>
  <c r="E108" i="15"/>
  <c r="B108" i="15" s="1"/>
  <c r="GX99" i="12"/>
  <c r="E164" i="15"/>
  <c r="B164" i="15" s="1"/>
  <c r="GX155" i="12"/>
  <c r="GX55" i="12"/>
  <c r="E64" i="15"/>
  <c r="B64" i="15" s="1"/>
  <c r="E199" i="15"/>
  <c r="B199" i="15" s="1"/>
  <c r="GX190" i="12"/>
  <c r="J154" i="15"/>
  <c r="J152" i="15"/>
  <c r="E166" i="15"/>
  <c r="B166" i="15" s="1"/>
  <c r="GX157" i="12"/>
  <c r="E169" i="15"/>
  <c r="B169" i="15" s="1"/>
  <c r="GX160" i="12"/>
  <c r="E138" i="15"/>
  <c r="B138" i="15" s="1"/>
  <c r="GX129" i="12"/>
  <c r="E161" i="15"/>
  <c r="B161" i="15" s="1"/>
  <c r="GX152" i="12"/>
  <c r="GX189" i="12"/>
  <c r="E198" i="15"/>
  <c r="B198" i="15" s="1"/>
  <c r="E131" i="15"/>
  <c r="B131" i="15" s="1"/>
  <c r="GX122" i="12"/>
  <c r="E141" i="15"/>
  <c r="B141" i="15" s="1"/>
  <c r="GX132" i="12"/>
  <c r="J162" i="15"/>
  <c r="GX174" i="12"/>
  <c r="E183" i="15"/>
  <c r="B183" i="15" s="1"/>
  <c r="J82" i="15"/>
  <c r="J50" i="15"/>
  <c r="GX144" i="12"/>
  <c r="E153" i="15"/>
  <c r="B153" i="15" s="1"/>
  <c r="E45" i="15"/>
  <c r="B45" i="15" s="1"/>
  <c r="GX36" i="12"/>
  <c r="J222" i="15"/>
  <c r="GX194" i="12"/>
  <c r="E203" i="15"/>
  <c r="B203" i="15" s="1"/>
  <c r="E102" i="15"/>
  <c r="B102" i="15" s="1"/>
  <c r="GX93" i="12"/>
  <c r="J72" i="15"/>
  <c r="GX32" i="12"/>
  <c r="E41" i="15"/>
  <c r="B41" i="15" s="1"/>
  <c r="E148" i="15"/>
  <c r="B148" i="15" s="1"/>
  <c r="GX139" i="12"/>
  <c r="GX86" i="12"/>
  <c r="E95" i="15"/>
  <c r="B95" i="15" s="1"/>
  <c r="J184" i="15"/>
  <c r="J70" i="15"/>
  <c r="J58" i="15"/>
  <c r="J202" i="15"/>
  <c r="E150" i="15"/>
  <c r="B150" i="15" s="1"/>
  <c r="GX141" i="12"/>
  <c r="E66" i="15"/>
  <c r="B66" i="15" s="1"/>
  <c r="GX57" i="12"/>
  <c r="E99" i="15"/>
  <c r="B99" i="15" s="1"/>
  <c r="GX90" i="12"/>
  <c r="J196" i="15"/>
  <c r="GX101" i="12"/>
  <c r="E110" i="15"/>
  <c r="B110" i="15" s="1"/>
  <c r="E210" i="15"/>
  <c r="B210" i="15" s="1"/>
  <c r="GX201" i="12"/>
  <c r="E147" i="15"/>
  <c r="B147" i="15" s="1"/>
  <c r="GX138" i="12"/>
  <c r="GX84" i="12"/>
  <c r="E93" i="15"/>
  <c r="B93" i="15" s="1"/>
  <c r="E155" i="15"/>
  <c r="B155" i="15" s="1"/>
  <c r="GX146" i="12"/>
  <c r="J176" i="15"/>
  <c r="GX73" i="12"/>
  <c r="E82" i="15"/>
  <c r="B82" i="15" s="1"/>
  <c r="J52" i="15"/>
  <c r="E200" i="15"/>
  <c r="B200" i="15" s="1"/>
  <c r="GX191" i="12"/>
  <c r="E158" i="15"/>
  <c r="B158" i="15" s="1"/>
  <c r="GX149" i="12"/>
  <c r="GX126" i="12"/>
  <c r="E135" i="15"/>
  <c r="B135" i="15" s="1"/>
  <c r="GX33" i="12"/>
  <c r="E42" i="15"/>
  <c r="B42" i="15" s="1"/>
  <c r="GX8" i="12"/>
  <c r="E17" i="15"/>
  <c r="B17" i="15" s="1"/>
  <c r="J190" i="15"/>
  <c r="E20" i="15"/>
  <c r="B20" i="15" s="1"/>
  <c r="GX11" i="12"/>
  <c r="D19" i="15"/>
  <c r="C19" i="15"/>
  <c r="D39" i="15"/>
  <c r="C29" i="15"/>
  <c r="GX15" i="12"/>
  <c r="D32" i="15"/>
  <c r="C32" i="15"/>
  <c r="C37" i="15"/>
  <c r="D37" i="15"/>
  <c r="DF383" i="12"/>
  <c r="J14" i="15" l="1"/>
  <c r="J29" i="15"/>
  <c r="J35" i="15"/>
  <c r="J38" i="15"/>
  <c r="J34" i="15"/>
  <c r="J32" i="15"/>
  <c r="J30" i="15"/>
  <c r="D31" i="15"/>
  <c r="C31" i="15"/>
  <c r="J13" i="15"/>
  <c r="J16" i="15"/>
  <c r="J65" i="15"/>
  <c r="E34" i="15"/>
  <c r="B34" i="15" s="1"/>
  <c r="GX25" i="12"/>
  <c r="J21" i="15"/>
  <c r="J12" i="15"/>
  <c r="GX16" i="12"/>
  <c r="GX20" i="12" s="1"/>
  <c r="E35" i="15"/>
  <c r="B35" i="15" s="1"/>
  <c r="GX26" i="12"/>
  <c r="J36" i="15"/>
  <c r="E60" i="15"/>
  <c r="B60" i="15" s="1"/>
  <c r="GX51" i="12"/>
  <c r="GX210" i="12"/>
  <c r="E219" i="15"/>
  <c r="B219" i="15" s="1"/>
  <c r="GX98" i="12"/>
  <c r="E107" i="15"/>
  <c r="B107" i="15" s="1"/>
  <c r="GX43" i="12"/>
  <c r="E52" i="15"/>
  <c r="B52" i="15" s="1"/>
  <c r="GX151" i="12"/>
  <c r="E160" i="15"/>
  <c r="B160" i="15" s="1"/>
  <c r="GX179" i="12"/>
  <c r="E188" i="15"/>
  <c r="B188" i="15" s="1"/>
  <c r="GX164" i="12"/>
  <c r="E173" i="15"/>
  <c r="B173" i="15" s="1"/>
  <c r="GX186" i="12"/>
  <c r="E195" i="15"/>
  <c r="B195" i="15" s="1"/>
  <c r="E119" i="15"/>
  <c r="B119" i="15" s="1"/>
  <c r="GX110" i="12"/>
  <c r="GX49" i="12"/>
  <c r="E58" i="15"/>
  <c r="B58" i="15" s="1"/>
  <c r="GX165" i="12"/>
  <c r="E174" i="15"/>
  <c r="B174" i="15" s="1"/>
  <c r="E143" i="15"/>
  <c r="B143" i="15" s="1"/>
  <c r="GX134" i="12"/>
  <c r="GX215" i="12"/>
  <c r="E224" i="15"/>
  <c r="B224" i="15" s="1"/>
  <c r="E192" i="15"/>
  <c r="B192" i="15" s="1"/>
  <c r="GX183" i="12"/>
  <c r="GX83" i="12"/>
  <c r="E92" i="15"/>
  <c r="B92" i="15" s="1"/>
  <c r="GX175" i="12"/>
  <c r="E184" i="15"/>
  <c r="B184" i="15" s="1"/>
  <c r="GX100" i="12"/>
  <c r="E109" i="15"/>
  <c r="B109" i="15" s="1"/>
  <c r="GX185" i="12"/>
  <c r="E194" i="15"/>
  <c r="B194" i="15" s="1"/>
  <c r="GX97" i="12"/>
  <c r="E106" i="15"/>
  <c r="B106" i="15" s="1"/>
  <c r="GX135" i="12"/>
  <c r="E144" i="15"/>
  <c r="B144" i="15" s="1"/>
  <c r="H41" i="15"/>
  <c r="J41" i="15" s="1"/>
  <c r="GS2" i="12"/>
  <c r="E179" i="15"/>
  <c r="B179" i="15" s="1"/>
  <c r="GX170" i="12"/>
  <c r="E149" i="15"/>
  <c r="B149" i="15" s="1"/>
  <c r="GX140" i="12"/>
  <c r="GR2" i="12"/>
  <c r="D20" i="15"/>
  <c r="C20" i="15"/>
  <c r="D42" i="15"/>
  <c r="C42" i="15"/>
  <c r="D110" i="15"/>
  <c r="C110" i="15"/>
  <c r="D99" i="15"/>
  <c r="C99" i="15"/>
  <c r="D150" i="15"/>
  <c r="C150" i="15"/>
  <c r="D148" i="15"/>
  <c r="C148" i="15"/>
  <c r="D64" i="15"/>
  <c r="C64" i="15"/>
  <c r="D85" i="15"/>
  <c r="C85" i="15"/>
  <c r="C212" i="15"/>
  <c r="D212" i="15"/>
  <c r="C168" i="15"/>
  <c r="D168" i="15"/>
  <c r="C97" i="15"/>
  <c r="D97" i="15"/>
  <c r="C202" i="15"/>
  <c r="D202" i="15"/>
  <c r="C100" i="15"/>
  <c r="D100" i="15"/>
  <c r="D47" i="15"/>
  <c r="C47" i="15"/>
  <c r="C67" i="15"/>
  <c r="D67" i="15"/>
  <c r="C222" i="15"/>
  <c r="D222" i="15"/>
  <c r="D213" i="15"/>
  <c r="C213" i="15"/>
  <c r="C78" i="15"/>
  <c r="D78" i="15"/>
  <c r="D104" i="15"/>
  <c r="C104" i="15"/>
  <c r="D79" i="15"/>
  <c r="C79" i="15"/>
  <c r="C70" i="15"/>
  <c r="D70" i="15"/>
  <c r="D175" i="15"/>
  <c r="C175" i="15"/>
  <c r="D186" i="15"/>
  <c r="C186" i="15"/>
  <c r="C72" i="15"/>
  <c r="D72" i="15"/>
  <c r="C43" i="15"/>
  <c r="D43" i="15"/>
  <c r="C214" i="15"/>
  <c r="D214" i="15"/>
  <c r="C187" i="15"/>
  <c r="D187" i="15"/>
  <c r="D111" i="15"/>
  <c r="C111" i="15"/>
  <c r="D94" i="15"/>
  <c r="C94" i="15"/>
  <c r="D159" i="15"/>
  <c r="C159" i="15"/>
  <c r="C201" i="15"/>
  <c r="D201" i="15"/>
  <c r="D118" i="15"/>
  <c r="C118" i="15"/>
  <c r="C156" i="15"/>
  <c r="D156" i="15"/>
  <c r="D114" i="15"/>
  <c r="C114" i="15"/>
  <c r="D133" i="15"/>
  <c r="C133" i="15"/>
  <c r="C122" i="15"/>
  <c r="D122" i="15"/>
  <c r="D113" i="15"/>
  <c r="C113" i="15"/>
  <c r="D65" i="15"/>
  <c r="C65" i="15"/>
  <c r="D55" i="15"/>
  <c r="C55" i="15"/>
  <c r="D68" i="15"/>
  <c r="C68" i="15"/>
  <c r="C127" i="15"/>
  <c r="D127" i="15"/>
  <c r="C88" i="15"/>
  <c r="D88" i="15"/>
  <c r="D80" i="15"/>
  <c r="C80" i="15"/>
  <c r="C200" i="15"/>
  <c r="D200" i="15"/>
  <c r="D158" i="15"/>
  <c r="C158" i="15"/>
  <c r="C82" i="15"/>
  <c r="D82" i="15"/>
  <c r="D155" i="15"/>
  <c r="C155" i="15"/>
  <c r="C147" i="15"/>
  <c r="D147" i="15"/>
  <c r="D95" i="15"/>
  <c r="C95" i="15"/>
  <c r="C41" i="15"/>
  <c r="D41" i="15"/>
  <c r="D102" i="15"/>
  <c r="C102" i="15"/>
  <c r="D131" i="15"/>
  <c r="C131" i="15"/>
  <c r="C161" i="15"/>
  <c r="D161" i="15"/>
  <c r="C169" i="15"/>
  <c r="D169" i="15"/>
  <c r="D108" i="15"/>
  <c r="C108" i="15"/>
  <c r="D46" i="15"/>
  <c r="C46" i="15"/>
  <c r="D176" i="15"/>
  <c r="C176" i="15"/>
  <c r="C84" i="15"/>
  <c r="D84" i="15"/>
  <c r="C165" i="15"/>
  <c r="D165" i="15"/>
  <c r="D117" i="15"/>
  <c r="C117" i="15"/>
  <c r="C167" i="15"/>
  <c r="D167" i="15"/>
  <c r="C157" i="15"/>
  <c r="D157" i="15"/>
  <c r="D221" i="15"/>
  <c r="C221" i="15"/>
  <c r="D208" i="15"/>
  <c r="C208" i="15"/>
  <c r="C209" i="15"/>
  <c r="D209" i="15"/>
  <c r="C121" i="15"/>
  <c r="D121" i="15"/>
  <c r="C76" i="15"/>
  <c r="D76" i="15"/>
  <c r="C227" i="15"/>
  <c r="D227" i="15"/>
  <c r="D132" i="15"/>
  <c r="C132" i="15"/>
  <c r="C71" i="15"/>
  <c r="D71" i="15"/>
  <c r="C98" i="15"/>
  <c r="D98" i="15"/>
  <c r="D130" i="15"/>
  <c r="C130" i="15"/>
  <c r="D51" i="15"/>
  <c r="C51" i="15"/>
  <c r="C215" i="15"/>
  <c r="D215" i="15"/>
  <c r="C204" i="15"/>
  <c r="D204" i="15"/>
  <c r="C170" i="15"/>
  <c r="D170" i="15"/>
  <c r="D91" i="15"/>
  <c r="C91" i="15"/>
  <c r="D56" i="15"/>
  <c r="C56" i="15"/>
  <c r="D90" i="15"/>
  <c r="C90" i="15"/>
  <c r="C136" i="15"/>
  <c r="D136" i="15"/>
  <c r="C152" i="15"/>
  <c r="D152" i="15"/>
  <c r="C75" i="15"/>
  <c r="D75" i="15"/>
  <c r="C44" i="15"/>
  <c r="D44" i="15"/>
  <c r="D191" i="15"/>
  <c r="C191" i="15"/>
  <c r="C181" i="15"/>
  <c r="D181" i="15"/>
  <c r="D49" i="15"/>
  <c r="C49" i="15"/>
  <c r="C112" i="15"/>
  <c r="D112" i="15"/>
  <c r="D69" i="15"/>
  <c r="C69" i="15"/>
  <c r="C142" i="15"/>
  <c r="D142" i="15"/>
  <c r="C182" i="15"/>
  <c r="D182" i="15"/>
  <c r="C17" i="15"/>
  <c r="D17" i="15"/>
  <c r="C135" i="15"/>
  <c r="D135" i="15"/>
  <c r="D93" i="15"/>
  <c r="C93" i="15"/>
  <c r="D66" i="15"/>
  <c r="C66" i="15"/>
  <c r="C203" i="15"/>
  <c r="D203" i="15"/>
  <c r="D45" i="15"/>
  <c r="C45" i="15"/>
  <c r="C198" i="15"/>
  <c r="D198" i="15"/>
  <c r="C151" i="15"/>
  <c r="D151" i="15"/>
  <c r="D73" i="15"/>
  <c r="C73" i="15"/>
  <c r="D123" i="15"/>
  <c r="C123" i="15"/>
  <c r="C223" i="15"/>
  <c r="D223" i="15"/>
  <c r="D217" i="15"/>
  <c r="C217" i="15"/>
  <c r="D62" i="15"/>
  <c r="C62" i="15"/>
  <c r="D86" i="15"/>
  <c r="C86" i="15"/>
  <c r="D172" i="15"/>
  <c r="C172" i="15"/>
  <c r="D190" i="15"/>
  <c r="C190" i="15"/>
  <c r="D116" i="15"/>
  <c r="C116" i="15"/>
  <c r="D196" i="15"/>
  <c r="C196" i="15"/>
  <c r="C33" i="15"/>
  <c r="D33" i="15"/>
  <c r="C27" i="15"/>
  <c r="D27" i="15"/>
  <c r="D225" i="15"/>
  <c r="C225" i="15"/>
  <c r="C50" i="15"/>
  <c r="D50" i="15"/>
  <c r="C129" i="15"/>
  <c r="D129" i="15"/>
  <c r="C54" i="15"/>
  <c r="D54" i="15"/>
  <c r="D216" i="15"/>
  <c r="C216" i="15"/>
  <c r="C189" i="15"/>
  <c r="D189" i="15"/>
  <c r="D126" i="15"/>
  <c r="C126" i="15"/>
  <c r="C193" i="15"/>
  <c r="D193" i="15"/>
  <c r="C163" i="15"/>
  <c r="D163" i="15"/>
  <c r="C89" i="15"/>
  <c r="D89" i="15"/>
  <c r="D48" i="15"/>
  <c r="C48" i="15"/>
  <c r="C207" i="15"/>
  <c r="D207" i="15"/>
  <c r="D177" i="15"/>
  <c r="C177" i="15"/>
  <c r="C206" i="15"/>
  <c r="D206" i="15"/>
  <c r="D115" i="15"/>
  <c r="C115" i="15"/>
  <c r="D105" i="15"/>
  <c r="C105" i="15"/>
  <c r="D140" i="15"/>
  <c r="C140" i="15"/>
  <c r="C210" i="15"/>
  <c r="D210" i="15"/>
  <c r="C153" i="15"/>
  <c r="D153" i="15"/>
  <c r="D183" i="15"/>
  <c r="C183" i="15"/>
  <c r="C141" i="15"/>
  <c r="D141" i="15"/>
  <c r="D138" i="15"/>
  <c r="C138" i="15"/>
  <c r="C166" i="15"/>
  <c r="D166" i="15"/>
  <c r="D199" i="15"/>
  <c r="C199" i="15"/>
  <c r="D164" i="15"/>
  <c r="C164" i="15"/>
  <c r="C205" i="15"/>
  <c r="D205" i="15"/>
  <c r="C197" i="15"/>
  <c r="D197" i="15"/>
  <c r="D137" i="15"/>
  <c r="C137" i="15"/>
  <c r="D101" i="15"/>
  <c r="C101" i="15"/>
  <c r="D124" i="15"/>
  <c r="C124" i="15"/>
  <c r="C134" i="15"/>
  <c r="D134" i="15"/>
  <c r="C125" i="15"/>
  <c r="D125" i="15"/>
  <c r="D87" i="15"/>
  <c r="C87" i="15"/>
  <c r="D154" i="15"/>
  <c r="C154" i="15"/>
  <c r="D81" i="15"/>
  <c r="C81" i="15"/>
  <c r="D120" i="15"/>
  <c r="C120" i="15"/>
  <c r="D103" i="15"/>
  <c r="C103" i="15"/>
  <c r="C180" i="15"/>
  <c r="D180" i="15"/>
  <c r="D74" i="15"/>
  <c r="C74" i="15"/>
  <c r="D96" i="15"/>
  <c r="C96" i="15"/>
  <c r="C171" i="15"/>
  <c r="D171" i="15"/>
  <c r="D61" i="15"/>
  <c r="C61" i="15"/>
  <c r="D128" i="15"/>
  <c r="C128" i="15"/>
  <c r="C59" i="15"/>
  <c r="D59" i="15"/>
  <c r="D145" i="15"/>
  <c r="C145" i="15"/>
  <c r="D211" i="15"/>
  <c r="C211" i="15"/>
  <c r="D220" i="15"/>
  <c r="C220" i="15"/>
  <c r="C83" i="15"/>
  <c r="D83" i="15"/>
  <c r="C57" i="15"/>
  <c r="D57" i="15"/>
  <c r="D218" i="15"/>
  <c r="C218" i="15"/>
  <c r="C226" i="15"/>
  <c r="D226" i="15"/>
  <c r="D38" i="15"/>
  <c r="C38" i="15"/>
  <c r="C40" i="15"/>
  <c r="D40" i="15"/>
  <c r="D77" i="15"/>
  <c r="C77" i="15"/>
  <c r="D146" i="15"/>
  <c r="C146" i="15"/>
  <c r="D162" i="15"/>
  <c r="C162" i="15"/>
  <c r="D178" i="15"/>
  <c r="C178" i="15"/>
  <c r="C63" i="15"/>
  <c r="D63" i="15"/>
  <c r="C139" i="15"/>
  <c r="D139" i="15"/>
  <c r="D53" i="15"/>
  <c r="C53" i="15"/>
  <c r="D185" i="15"/>
  <c r="C185" i="15"/>
  <c r="D22" i="15"/>
  <c r="C22" i="15"/>
  <c r="GX22" i="12"/>
  <c r="GX27" i="12" s="1"/>
  <c r="DF384" i="12"/>
  <c r="D34" i="15" l="1"/>
  <c r="C34" i="15"/>
  <c r="D35" i="15"/>
  <c r="C35" i="15"/>
  <c r="D144" i="15"/>
  <c r="C144" i="15"/>
  <c r="C194" i="15"/>
  <c r="D194" i="15"/>
  <c r="C184" i="15"/>
  <c r="D184" i="15"/>
  <c r="D58" i="15"/>
  <c r="C58" i="15"/>
  <c r="D195" i="15"/>
  <c r="C195" i="15"/>
  <c r="C188" i="15"/>
  <c r="D188" i="15"/>
  <c r="D52" i="15"/>
  <c r="C52" i="15"/>
  <c r="C219" i="15"/>
  <c r="D219" i="15"/>
  <c r="GT2" i="12"/>
  <c r="GT1" i="12" s="1"/>
  <c r="D179" i="15"/>
  <c r="C179" i="15"/>
  <c r="C192" i="15"/>
  <c r="D192" i="15"/>
  <c r="D143" i="15"/>
  <c r="C143" i="15"/>
  <c r="D106" i="15"/>
  <c r="C106" i="15"/>
  <c r="D109" i="15"/>
  <c r="C109" i="15"/>
  <c r="D92" i="15"/>
  <c r="C92" i="15"/>
  <c r="C224" i="15"/>
  <c r="D224" i="15"/>
  <c r="C174" i="15"/>
  <c r="D174" i="15"/>
  <c r="C173" i="15"/>
  <c r="D173" i="15"/>
  <c r="D160" i="15"/>
  <c r="C160" i="15"/>
  <c r="C107" i="15"/>
  <c r="D107" i="15"/>
  <c r="C149" i="15"/>
  <c r="D149" i="15"/>
  <c r="D119" i="15"/>
  <c r="C119" i="15"/>
  <c r="D60" i="15"/>
  <c r="C60" i="15"/>
  <c r="GY400" i="12"/>
  <c r="GY399" i="12" s="1"/>
  <c r="GY398" i="12" s="1"/>
  <c r="GY397" i="12" s="1"/>
  <c r="GY396" i="12" s="1"/>
  <c r="GY395" i="12" s="1"/>
  <c r="GY394" i="12" s="1"/>
  <c r="GY393" i="12" s="1"/>
  <c r="GY392" i="12" s="1"/>
  <c r="GY391" i="12" s="1"/>
  <c r="GY390" i="12" s="1"/>
  <c r="GY389" i="12" s="1"/>
  <c r="GY388" i="12" s="1"/>
  <c r="GY387" i="12" s="1"/>
  <c r="GY386" i="12" s="1"/>
  <c r="GY385" i="12" s="1"/>
  <c r="GY384" i="12" s="1"/>
  <c r="GY383" i="12" s="1"/>
  <c r="GY382" i="12" s="1"/>
  <c r="GY381" i="12" s="1"/>
  <c r="GY380" i="12" s="1"/>
  <c r="GY379" i="12" s="1"/>
  <c r="GY378" i="12" s="1"/>
  <c r="GY377" i="12" s="1"/>
  <c r="GY376" i="12" s="1"/>
  <c r="GY375" i="12" s="1"/>
  <c r="GY374" i="12" s="1"/>
  <c r="GY373" i="12" s="1"/>
  <c r="GY372" i="12" s="1"/>
  <c r="GY371" i="12" s="1"/>
  <c r="GY370" i="12" s="1"/>
  <c r="GY369" i="12" s="1"/>
  <c r="GY368" i="12" s="1"/>
  <c r="GY367" i="12" s="1"/>
  <c r="GY366" i="12" s="1"/>
  <c r="GY365" i="12" s="1"/>
  <c r="GY364" i="12" s="1"/>
  <c r="GY363" i="12" s="1"/>
  <c r="GY362" i="12" s="1"/>
  <c r="GY361" i="12" s="1"/>
  <c r="GY360" i="12" s="1"/>
  <c r="GY359" i="12" s="1"/>
  <c r="GY358" i="12" s="1"/>
  <c r="GY357" i="12" s="1"/>
  <c r="GY356" i="12" s="1"/>
  <c r="GY355" i="12" s="1"/>
  <c r="GY354" i="12" s="1"/>
  <c r="GY353" i="12" s="1"/>
  <c r="GY352" i="12" s="1"/>
  <c r="GY351" i="12" s="1"/>
  <c r="GY350" i="12" s="1"/>
  <c r="GY349" i="12" s="1"/>
  <c r="GY348" i="12" s="1"/>
  <c r="GY347" i="12" s="1"/>
  <c r="GY346" i="12" s="1"/>
  <c r="GY345" i="12" s="1"/>
  <c r="GY344" i="12" s="1"/>
  <c r="GY343" i="12" s="1"/>
  <c r="GY342" i="12" s="1"/>
  <c r="GY341" i="12" s="1"/>
  <c r="GY340" i="12" s="1"/>
  <c r="GY339" i="12" s="1"/>
  <c r="GY338" i="12" s="1"/>
  <c r="GY337" i="12" s="1"/>
  <c r="GY336" i="12" s="1"/>
  <c r="GY335" i="12" s="1"/>
  <c r="GY334" i="12" s="1"/>
  <c r="GY333" i="12" s="1"/>
  <c r="GY332" i="12" s="1"/>
  <c r="GY331" i="12" s="1"/>
  <c r="GY330" i="12" s="1"/>
  <c r="GY329" i="12" s="1"/>
  <c r="GY328" i="12" s="1"/>
  <c r="GY327" i="12" s="1"/>
  <c r="GY326" i="12" s="1"/>
  <c r="GY325" i="12" s="1"/>
  <c r="GY324" i="12" s="1"/>
  <c r="GY323" i="12" s="1"/>
  <c r="GY322" i="12" s="1"/>
  <c r="GY321" i="12" s="1"/>
  <c r="GY320" i="12" s="1"/>
  <c r="GY319" i="12" s="1"/>
  <c r="GY318" i="12" s="1"/>
  <c r="GY317" i="12" s="1"/>
  <c r="GY316" i="12" s="1"/>
  <c r="GY315" i="12" s="1"/>
  <c r="GY314" i="12" s="1"/>
  <c r="GY313" i="12" s="1"/>
  <c r="GY312" i="12" s="1"/>
  <c r="GY311" i="12" s="1"/>
  <c r="GY310" i="12" s="1"/>
  <c r="GY309" i="12" s="1"/>
  <c r="GY308" i="12" s="1"/>
  <c r="GY307" i="12" s="1"/>
  <c r="GY306" i="12" s="1"/>
  <c r="GY305" i="12" s="1"/>
  <c r="GY304" i="12" s="1"/>
  <c r="GY303" i="12" s="1"/>
  <c r="GY302" i="12" s="1"/>
  <c r="GY301" i="12" s="1"/>
  <c r="GY300" i="12" s="1"/>
  <c r="GY299" i="12" s="1"/>
  <c r="GY298" i="12" s="1"/>
  <c r="GY297" i="12" s="1"/>
  <c r="GY296" i="12" s="1"/>
  <c r="GY295" i="12" s="1"/>
  <c r="GY294" i="12" s="1"/>
  <c r="GY293" i="12" s="1"/>
  <c r="GY292" i="12" s="1"/>
  <c r="GY291" i="12" s="1"/>
  <c r="GY290" i="12" s="1"/>
  <c r="GY289" i="12" s="1"/>
  <c r="GY288" i="12" s="1"/>
  <c r="GY287" i="12" s="1"/>
  <c r="GY286" i="12" s="1"/>
  <c r="GY285" i="12" s="1"/>
  <c r="GY284" i="12" s="1"/>
  <c r="GY283" i="12" s="1"/>
  <c r="GY282" i="12" s="1"/>
  <c r="GY281" i="12" s="1"/>
  <c r="GY280" i="12" s="1"/>
  <c r="GY279" i="12" s="1"/>
  <c r="GY278" i="12" s="1"/>
  <c r="GY277" i="12" s="1"/>
  <c r="GY276" i="12" s="1"/>
  <c r="GY275" i="12" s="1"/>
  <c r="GY274" i="12" s="1"/>
  <c r="GY273" i="12" s="1"/>
  <c r="GY272" i="12" s="1"/>
  <c r="GY271" i="12" s="1"/>
  <c r="GY270" i="12" s="1"/>
  <c r="GY269" i="12" s="1"/>
  <c r="GY268" i="12" s="1"/>
  <c r="GY267" i="12" s="1"/>
  <c r="GY266" i="12" s="1"/>
  <c r="GY265" i="12" s="1"/>
  <c r="GY264" i="12" s="1"/>
  <c r="GY263" i="12" s="1"/>
  <c r="GY262" i="12" s="1"/>
  <c r="GY261" i="12" s="1"/>
  <c r="GY260" i="12" s="1"/>
  <c r="GY259" i="12" s="1"/>
  <c r="GY258" i="12" s="1"/>
  <c r="GY257" i="12" s="1"/>
  <c r="GY256" i="12" s="1"/>
  <c r="GY255" i="12" s="1"/>
  <c r="GY254" i="12" s="1"/>
  <c r="GY253" i="12" s="1"/>
  <c r="GY252" i="12" s="1"/>
  <c r="GY251" i="12" s="1"/>
  <c r="GY250" i="12" s="1"/>
  <c r="GY249" i="12" s="1"/>
  <c r="GY248" i="12" s="1"/>
  <c r="GY247" i="12" s="1"/>
  <c r="GY246" i="12" s="1"/>
  <c r="GY245" i="12" s="1"/>
  <c r="GY244" i="12" s="1"/>
  <c r="GY243" i="12" s="1"/>
  <c r="GY242" i="12" s="1"/>
  <c r="GY241" i="12" s="1"/>
  <c r="GY240" i="12" s="1"/>
  <c r="GY239" i="12" s="1"/>
  <c r="GY238" i="12" s="1"/>
  <c r="GY237" i="12" s="1"/>
  <c r="GY236" i="12" s="1"/>
  <c r="GY235" i="12" s="1"/>
  <c r="GY234" i="12" s="1"/>
  <c r="GY233" i="12" s="1"/>
  <c r="GY232" i="12" s="1"/>
  <c r="GY231" i="12" s="1"/>
  <c r="GY230" i="12" s="1"/>
  <c r="GY229" i="12" s="1"/>
  <c r="GY228" i="12" s="1"/>
  <c r="GY227" i="12" s="1"/>
  <c r="GY226" i="12" s="1"/>
  <c r="GY225" i="12" s="1"/>
  <c r="GY224" i="12" s="1"/>
  <c r="GY223" i="12" s="1"/>
  <c r="GY222" i="12" s="1"/>
  <c r="GY221" i="12" s="1"/>
  <c r="GY220" i="12" s="1"/>
  <c r="GY219" i="12" s="1"/>
  <c r="GY218" i="12" s="1"/>
  <c r="GY217" i="12" s="1"/>
  <c r="GY216" i="12" s="1"/>
  <c r="GY215" i="12" s="1"/>
  <c r="GY214" i="12" s="1"/>
  <c r="GY213" i="12" s="1"/>
  <c r="GY212" i="12" s="1"/>
  <c r="GY211" i="12" s="1"/>
  <c r="GY210" i="12" s="1"/>
  <c r="GY209" i="12" s="1"/>
  <c r="GY208" i="12" s="1"/>
  <c r="GY207" i="12" s="1"/>
  <c r="GY206" i="12" s="1"/>
  <c r="GY205" i="12" s="1"/>
  <c r="GY204" i="12" s="1"/>
  <c r="GY203" i="12" s="1"/>
  <c r="GY202" i="12" s="1"/>
  <c r="GY201" i="12" s="1"/>
  <c r="GY200" i="12" s="1"/>
  <c r="GY199" i="12" s="1"/>
  <c r="GY198" i="12" s="1"/>
  <c r="GY197" i="12" s="1"/>
  <c r="GY196" i="12" s="1"/>
  <c r="GY195" i="12" s="1"/>
  <c r="GY194" i="12" s="1"/>
  <c r="GY193" i="12" s="1"/>
  <c r="GY192" i="12" s="1"/>
  <c r="GY191" i="12" s="1"/>
  <c r="GY190" i="12" s="1"/>
  <c r="GY189" i="12" s="1"/>
  <c r="GY188" i="12" s="1"/>
  <c r="GY187" i="12" s="1"/>
  <c r="GY186" i="12" s="1"/>
  <c r="GY185" i="12" s="1"/>
  <c r="GY184" i="12" s="1"/>
  <c r="GY183" i="12" s="1"/>
  <c r="GY182" i="12" s="1"/>
  <c r="GY181" i="12" s="1"/>
  <c r="GY180" i="12" s="1"/>
  <c r="GY179" i="12" s="1"/>
  <c r="GY178" i="12" s="1"/>
  <c r="GY177" i="12" s="1"/>
  <c r="GY176" i="12" s="1"/>
  <c r="GY175" i="12" s="1"/>
  <c r="GY174" i="12" s="1"/>
  <c r="GY173" i="12" s="1"/>
  <c r="GY172" i="12" s="1"/>
  <c r="GY171" i="12" s="1"/>
  <c r="GY170" i="12" s="1"/>
  <c r="GY169" i="12" s="1"/>
  <c r="GY168" i="12" s="1"/>
  <c r="GY167" i="12" s="1"/>
  <c r="GY166" i="12" s="1"/>
  <c r="GY165" i="12" s="1"/>
  <c r="GY164" i="12" s="1"/>
  <c r="GY163" i="12" s="1"/>
  <c r="GY162" i="12" s="1"/>
  <c r="GY161" i="12" s="1"/>
  <c r="GY160" i="12" s="1"/>
  <c r="GY159" i="12" s="1"/>
  <c r="GY158" i="12" s="1"/>
  <c r="GY157" i="12" s="1"/>
  <c r="GY156" i="12" s="1"/>
  <c r="GY155" i="12" s="1"/>
  <c r="GY154" i="12" s="1"/>
  <c r="GY153" i="12" s="1"/>
  <c r="GY152" i="12" s="1"/>
  <c r="GY151" i="12" s="1"/>
  <c r="GY150" i="12" s="1"/>
  <c r="GY149" i="12" s="1"/>
  <c r="GY148" i="12" s="1"/>
  <c r="GY147" i="12" s="1"/>
  <c r="GY146" i="12" s="1"/>
  <c r="GY145" i="12" s="1"/>
  <c r="GY144" i="12" s="1"/>
  <c r="GY143" i="12" s="1"/>
  <c r="GY142" i="12" s="1"/>
  <c r="GY141" i="12" s="1"/>
  <c r="GY140" i="12" s="1"/>
  <c r="GY139" i="12" s="1"/>
  <c r="GY138" i="12" s="1"/>
  <c r="GY137" i="12" s="1"/>
  <c r="GY136" i="12" s="1"/>
  <c r="GY135" i="12" s="1"/>
  <c r="GY134" i="12" s="1"/>
  <c r="GY133" i="12" s="1"/>
  <c r="GY132" i="12" s="1"/>
  <c r="GY131" i="12" s="1"/>
  <c r="GY130" i="12" s="1"/>
  <c r="GY129" i="12" s="1"/>
  <c r="GY128" i="12" s="1"/>
  <c r="GY127" i="12" s="1"/>
  <c r="GY126" i="12" s="1"/>
  <c r="GY125" i="12" s="1"/>
  <c r="GY124" i="12" s="1"/>
  <c r="GY123" i="12" s="1"/>
  <c r="GY122" i="12" s="1"/>
  <c r="GY121" i="12" s="1"/>
  <c r="GY120" i="12" s="1"/>
  <c r="GY119" i="12" s="1"/>
  <c r="GY118" i="12" s="1"/>
  <c r="GY117" i="12" s="1"/>
  <c r="GY116" i="12" s="1"/>
  <c r="GY115" i="12" s="1"/>
  <c r="GY114" i="12" s="1"/>
  <c r="GY113" i="12" s="1"/>
  <c r="GY112" i="12" s="1"/>
  <c r="GY111" i="12" s="1"/>
  <c r="GY110" i="12" s="1"/>
  <c r="GY109" i="12" s="1"/>
  <c r="GY108" i="12" s="1"/>
  <c r="GY107" i="12" s="1"/>
  <c r="GY106" i="12" s="1"/>
  <c r="GY105" i="12" s="1"/>
  <c r="GY104" i="12" s="1"/>
  <c r="GY103" i="12" s="1"/>
  <c r="GY102" i="12" s="1"/>
  <c r="GY101" i="12" s="1"/>
  <c r="GY100" i="12" s="1"/>
  <c r="GY99" i="12" s="1"/>
  <c r="GY98" i="12" s="1"/>
  <c r="GY97" i="12" s="1"/>
  <c r="GY96" i="12" s="1"/>
  <c r="GY95" i="12" s="1"/>
  <c r="GY94" i="12" s="1"/>
  <c r="GY93" i="12" s="1"/>
  <c r="GY92" i="12" s="1"/>
  <c r="GY91" i="12" s="1"/>
  <c r="GY90" i="12" s="1"/>
  <c r="GY89" i="12" s="1"/>
  <c r="GY88" i="12" s="1"/>
  <c r="GY87" i="12" s="1"/>
  <c r="GY86" i="12" s="1"/>
  <c r="GY85" i="12" s="1"/>
  <c r="GY84" i="12" s="1"/>
  <c r="GY83" i="12" s="1"/>
  <c r="GY82" i="12" s="1"/>
  <c r="GY81" i="12" s="1"/>
  <c r="GY80" i="12" s="1"/>
  <c r="GY79" i="12" s="1"/>
  <c r="GY78" i="12" s="1"/>
  <c r="GY77" i="12" s="1"/>
  <c r="GY76" i="12" s="1"/>
  <c r="GY75" i="12" s="1"/>
  <c r="GY74" i="12" s="1"/>
  <c r="GY73" i="12" s="1"/>
  <c r="GY72" i="12" s="1"/>
  <c r="GY71" i="12" s="1"/>
  <c r="GY70" i="12" s="1"/>
  <c r="GY69" i="12" s="1"/>
  <c r="GY68" i="12" s="1"/>
  <c r="GY67" i="12" s="1"/>
  <c r="GY66" i="12" s="1"/>
  <c r="GY65" i="12" s="1"/>
  <c r="GY64" i="12" s="1"/>
  <c r="GY63" i="12" s="1"/>
  <c r="GY62" i="12" s="1"/>
  <c r="GY61" i="12" s="1"/>
  <c r="GY60" i="12" s="1"/>
  <c r="GY59" i="12" s="1"/>
  <c r="GY58" i="12" s="1"/>
  <c r="GY57" i="12" s="1"/>
  <c r="GY56" i="12" s="1"/>
  <c r="GY55" i="12" s="1"/>
  <c r="GY54" i="12" s="1"/>
  <c r="GY53" i="12" s="1"/>
  <c r="GY52" i="12" s="1"/>
  <c r="GY51" i="12" s="1"/>
  <c r="GY50" i="12" s="1"/>
  <c r="GY49" i="12" s="1"/>
  <c r="GY48" i="12" s="1"/>
  <c r="GY47" i="12" s="1"/>
  <c r="GY46" i="12" s="1"/>
  <c r="GY45" i="12" s="1"/>
  <c r="GY44" i="12" s="1"/>
  <c r="GY43" i="12" s="1"/>
  <c r="GY42" i="12" s="1"/>
  <c r="GY41" i="12" s="1"/>
  <c r="GY40" i="12" s="1"/>
  <c r="GY39" i="12" s="1"/>
  <c r="GY38" i="12" s="1"/>
  <c r="GY37" i="12" s="1"/>
  <c r="GY36" i="12" s="1"/>
  <c r="GY35" i="12" s="1"/>
  <c r="GY34" i="12" s="1"/>
  <c r="GY33" i="12" s="1"/>
  <c r="GY32" i="12" s="1"/>
  <c r="GY31" i="12" s="1"/>
  <c r="GY30" i="12" s="1"/>
  <c r="GY29" i="12" s="1"/>
  <c r="GY28" i="12" s="1"/>
  <c r="GY27" i="12" s="1"/>
  <c r="GY26" i="12" s="1"/>
  <c r="GY25" i="12" s="1"/>
  <c r="GY24" i="12" s="1"/>
  <c r="GY23" i="12" s="1"/>
  <c r="GY22" i="12" s="1"/>
  <c r="GY21" i="12" s="1"/>
  <c r="GY20" i="12" s="1"/>
  <c r="GY19" i="12" s="1"/>
  <c r="GY18" i="12" s="1"/>
  <c r="GY17" i="12" s="1"/>
  <c r="GY16" i="12" s="1"/>
  <c r="GY15" i="12" s="1"/>
  <c r="GY14" i="12" s="1"/>
  <c r="GY13" i="12" s="1"/>
  <c r="GY12" i="12" s="1"/>
  <c r="GY11" i="12" s="1"/>
  <c r="GY10" i="12" s="1"/>
  <c r="GY9" i="12" s="1"/>
  <c r="GY8" i="12" s="1"/>
  <c r="GY7" i="12" s="1"/>
  <c r="GY6" i="12" s="1"/>
  <c r="GY5" i="12" s="1"/>
  <c r="GY4" i="12" s="1"/>
  <c r="GY3" i="12" s="1"/>
  <c r="GY2" i="12"/>
  <c r="DF398" i="12"/>
  <c r="A9" i="15" l="1"/>
  <c r="GZ1" i="12"/>
  <c r="F3" i="15" s="1"/>
  <c r="DF399" i="12"/>
  <c r="D3" i="14" l="1"/>
  <c r="DF400" i="12"/>
  <c r="DF401" i="12" l="1"/>
  <c r="DF402" i="12" s="1"/>
  <c r="DF416" i="12" l="1"/>
  <c r="DF417" i="12" l="1"/>
  <c r="DF418" i="12" l="1"/>
  <c r="DF419" i="12" l="1"/>
  <c r="DF420" i="12" l="1"/>
  <c r="DF434" i="12" l="1"/>
  <c r="DF435" i="12" l="1"/>
  <c r="DF436" i="12" l="1"/>
  <c r="F108" i="2" l="1"/>
  <c r="E128" i="2"/>
  <c r="DF437" i="12"/>
  <c r="F109" i="2" s="1"/>
  <c r="B157" i="2"/>
  <c r="E134" i="2"/>
  <c r="B503" i="2"/>
  <c r="C212" i="2"/>
  <c r="F274" i="2"/>
  <c r="F193" i="2"/>
  <c r="F265" i="2"/>
  <c r="F256" i="2"/>
  <c r="B538" i="2"/>
  <c r="F132" i="2"/>
  <c r="C146" i="2"/>
  <c r="F377" i="2"/>
  <c r="B582" i="2"/>
  <c r="E252" i="2"/>
  <c r="F592" i="2"/>
  <c r="C132" i="2"/>
  <c r="C561" i="2"/>
  <c r="C268" i="2"/>
  <c r="F334" i="2"/>
  <c r="C515" i="2"/>
  <c r="B402" i="2"/>
  <c r="E474" i="2"/>
  <c r="F594" i="2"/>
  <c r="F406" i="2"/>
  <c r="F506" i="2"/>
  <c r="F546" i="2"/>
  <c r="C496" i="2"/>
  <c r="D463" i="2"/>
  <c r="B296" i="2"/>
  <c r="E180" i="2"/>
  <c r="E364" i="2"/>
  <c r="D570" i="2"/>
  <c r="D594" i="2"/>
  <c r="C348" i="2"/>
  <c r="D157" i="2"/>
  <c r="D220" i="2"/>
  <c r="B254" i="2"/>
  <c r="E299" i="2"/>
  <c r="D475" i="2"/>
  <c r="F285" i="2"/>
  <c r="D501" i="2"/>
  <c r="B249" i="2"/>
  <c r="F556" i="2"/>
  <c r="B230" i="2"/>
  <c r="B428" i="2"/>
  <c r="B164" i="2"/>
  <c r="E509" i="2"/>
  <c r="C227" i="2"/>
  <c r="E190" i="2"/>
  <c r="B569" i="2"/>
  <c r="E417" i="2"/>
  <c r="E523" i="2"/>
  <c r="F581" i="2"/>
  <c r="C168" i="2"/>
  <c r="B352" i="2"/>
  <c r="F409" i="2"/>
  <c r="C381" i="2"/>
  <c r="D578" i="2"/>
  <c r="F308" i="2"/>
  <c r="B307" i="2"/>
  <c r="C242" i="2"/>
  <c r="E347" i="2"/>
  <c r="F197" i="2"/>
  <c r="B293" i="2"/>
  <c r="E257" i="2"/>
  <c r="C353" i="2"/>
  <c r="C531" i="2"/>
  <c r="F349" i="2"/>
  <c r="D269" i="2"/>
  <c r="E400" i="2"/>
  <c r="B441" i="2"/>
  <c r="E432" i="2"/>
  <c r="F312" i="2"/>
  <c r="F601" i="2"/>
  <c r="B544" i="2"/>
  <c r="D434" i="2"/>
  <c r="C189" i="2"/>
  <c r="C383" i="2"/>
  <c r="C147" i="2"/>
  <c r="F186" i="2"/>
  <c r="C179" i="2"/>
  <c r="D529" i="2"/>
  <c r="B186" i="2"/>
  <c r="B585" i="2"/>
  <c r="B141" i="2"/>
  <c r="F390" i="2"/>
  <c r="C509" i="2"/>
  <c r="F276" i="2"/>
  <c r="B165" i="2"/>
  <c r="C366" i="2"/>
  <c r="F552" i="2"/>
  <c r="E205" i="2"/>
  <c r="F137" i="2"/>
  <c r="D272" i="2"/>
  <c r="E443" i="2"/>
  <c r="F201" i="2"/>
  <c r="C501" i="2"/>
  <c r="B450" i="2"/>
  <c r="F233" i="2"/>
  <c r="D315" i="2"/>
  <c r="B210" i="2"/>
  <c r="F383" i="2"/>
  <c r="E259" i="2"/>
  <c r="D260" i="2"/>
  <c r="E576" i="2"/>
  <c r="F443" i="2"/>
  <c r="E275" i="2"/>
  <c r="D244" i="2"/>
  <c r="E515" i="2"/>
  <c r="D194" i="2"/>
  <c r="B420" i="2"/>
  <c r="E349" i="2"/>
  <c r="B224" i="2"/>
  <c r="D554" i="2"/>
  <c r="F410" i="2"/>
  <c r="B562" i="2"/>
  <c r="E508" i="2"/>
  <c r="B499" i="2"/>
  <c r="E355" i="2"/>
  <c r="C529" i="2"/>
  <c r="D423" i="2"/>
  <c r="C541" i="2"/>
  <c r="E171" i="2"/>
  <c r="D164" i="2"/>
  <c r="B469" i="2"/>
  <c r="D559" i="2"/>
  <c r="E138" i="2"/>
  <c r="B577" i="2"/>
  <c r="E239" i="2"/>
  <c r="F541" i="2"/>
  <c r="D153" i="2"/>
  <c r="C589" i="2"/>
  <c r="D473" i="2"/>
  <c r="F363" i="2"/>
  <c r="D404" i="2"/>
  <c r="E428" i="2"/>
  <c r="B217" i="2"/>
  <c r="C517" i="2"/>
  <c r="F571" i="2"/>
  <c r="C382" i="2"/>
  <c r="E530" i="2"/>
  <c r="D440" i="2"/>
  <c r="B515" i="2"/>
  <c r="B351" i="2"/>
  <c r="E285" i="2"/>
  <c r="E228" i="2"/>
  <c r="C435" i="2"/>
  <c r="D219" i="2"/>
  <c r="D326" i="2"/>
  <c r="C427" i="2"/>
  <c r="C604" i="2"/>
  <c r="F225" i="2"/>
  <c r="F473" i="2"/>
  <c r="C471" i="2"/>
  <c r="E386" i="2"/>
  <c r="B464" i="2"/>
  <c r="D152" i="2"/>
  <c r="C405" i="2"/>
  <c r="F593" i="2"/>
  <c r="C543" i="2"/>
  <c r="C470" i="2"/>
  <c r="E454" i="2"/>
  <c r="E139" i="2"/>
  <c r="C229" i="2"/>
  <c r="E224" i="2"/>
  <c r="D368" i="2"/>
  <c r="E504" i="2"/>
  <c r="B564" i="2"/>
  <c r="C458" i="2"/>
  <c r="C322" i="2"/>
  <c r="E371" i="2"/>
  <c r="C535" i="2"/>
  <c r="C209" i="2"/>
  <c r="B199" i="2"/>
  <c r="F430" i="2"/>
  <c r="C386" i="2"/>
  <c r="B158" i="2"/>
  <c r="D497" i="2"/>
  <c r="D419" i="2"/>
  <c r="E475" i="2"/>
  <c r="B287" i="2"/>
  <c r="E484" i="2"/>
  <c r="E379" i="2"/>
  <c r="C375" i="2"/>
  <c r="D556" i="2"/>
  <c r="F155" i="2"/>
  <c r="D480" i="2"/>
  <c r="C205" i="2"/>
  <c r="C577" i="2"/>
  <c r="C506" i="2"/>
  <c r="E166" i="2"/>
  <c r="C317" i="2"/>
  <c r="F570" i="2"/>
  <c r="C237" i="2"/>
  <c r="C499" i="2"/>
  <c r="F313" i="2"/>
  <c r="D507" i="2"/>
  <c r="B271" i="2"/>
  <c r="B237" i="2"/>
  <c r="D450" i="2"/>
  <c r="D455" i="2"/>
  <c r="D195" i="2"/>
  <c r="F147" i="2"/>
  <c r="D519" i="2"/>
  <c r="E393" i="2"/>
  <c r="D428" i="2"/>
  <c r="D415" i="2"/>
  <c r="F525" i="2"/>
  <c r="F562" i="2"/>
  <c r="F454" i="2"/>
  <c r="E343" i="2"/>
  <c r="E529" i="2"/>
  <c r="E545" i="2"/>
  <c r="D567" i="2"/>
  <c r="B435" i="2"/>
  <c r="D528" i="2"/>
  <c r="E207" i="2"/>
  <c r="B546" i="2"/>
  <c r="B154" i="2"/>
  <c r="D267" i="2"/>
  <c r="C429" i="2"/>
  <c r="E361" i="2"/>
  <c r="E542" i="2"/>
  <c r="E600" i="2"/>
  <c r="B565" i="2"/>
  <c r="D284" i="2"/>
  <c r="F501" i="2"/>
  <c r="F140" i="2"/>
  <c r="C277" i="2"/>
  <c r="F309" i="2"/>
  <c r="C431" i="2"/>
  <c r="C504" i="2"/>
  <c r="B288" i="2"/>
  <c r="D348" i="2"/>
  <c r="F392" i="2"/>
  <c r="D478" i="2"/>
  <c r="F228" i="2"/>
  <c r="C440" i="2"/>
  <c r="C193" i="2"/>
  <c r="C159" i="2"/>
  <c r="E581" i="2"/>
  <c r="C423" i="2"/>
  <c r="D349" i="2"/>
  <c r="D576" i="2"/>
  <c r="C534" i="2"/>
  <c r="F198" i="2"/>
  <c r="E566" i="2"/>
  <c r="D470" i="2"/>
  <c r="B415" i="2"/>
  <c r="F459" i="2"/>
  <c r="B480" i="2"/>
  <c r="D160" i="2"/>
  <c r="B239" i="2"/>
  <c r="E596" i="2"/>
  <c r="D510" i="2"/>
  <c r="B457" i="2"/>
  <c r="E313" i="2"/>
  <c r="B181" i="2"/>
  <c r="F534" i="2"/>
  <c r="C563" i="2"/>
  <c r="E185" i="2"/>
  <c r="F173" i="2"/>
  <c r="D502" i="2"/>
  <c r="B337" i="2"/>
  <c r="D566" i="2"/>
  <c r="C327" i="2"/>
  <c r="E316" i="2"/>
  <c r="E440" i="2"/>
  <c r="D407" i="2"/>
  <c r="B263" i="2"/>
  <c r="C481" i="2"/>
  <c r="E524" i="2"/>
  <c r="F544" i="2"/>
  <c r="C396" i="2"/>
  <c r="C314" i="2"/>
  <c r="C217" i="2"/>
  <c r="B190" i="2"/>
  <c r="F210" i="2"/>
  <c r="B361" i="2"/>
  <c r="F236" i="2"/>
  <c r="F185" i="2"/>
  <c r="D427" i="2"/>
  <c r="B340" i="2"/>
  <c r="D563" i="2"/>
  <c r="E188" i="2"/>
  <c r="B557" i="2"/>
  <c r="B291" i="2"/>
  <c r="F138" i="2"/>
  <c r="B148" i="2"/>
  <c r="C507" i="2"/>
  <c r="B465" i="2"/>
  <c r="B473" i="2"/>
  <c r="B138" i="2"/>
  <c r="B534" i="2"/>
  <c r="C136" i="2"/>
  <c r="F467" i="2"/>
  <c r="D417" i="2"/>
  <c r="D224" i="2"/>
  <c r="D389" i="2"/>
  <c r="F188" i="2"/>
  <c r="C503" i="2"/>
  <c r="F174" i="2"/>
  <c r="B445" i="2"/>
  <c r="E137" i="2"/>
  <c r="B377" i="2"/>
  <c r="B316" i="2"/>
  <c r="F280" i="2"/>
  <c r="E434" i="2"/>
  <c r="D201" i="2"/>
  <c r="C598" i="2"/>
  <c r="D347" i="2"/>
  <c r="C163" i="2"/>
  <c r="D374" i="2"/>
  <c r="C219" i="2"/>
  <c r="E292" i="2"/>
  <c r="D426" i="2"/>
  <c r="F325" i="2"/>
  <c r="B422" i="2"/>
  <c r="B180" i="2"/>
  <c r="D144" i="2"/>
  <c r="F438" i="2"/>
  <c r="D591" i="2"/>
  <c r="C603" i="2"/>
  <c r="C223" i="2"/>
  <c r="F447" i="2"/>
  <c r="F405" i="2"/>
  <c r="B375" i="2"/>
  <c r="D289" i="2"/>
  <c r="C151" i="2"/>
  <c r="E196" i="2"/>
  <c r="B149" i="2"/>
  <c r="B153" i="2"/>
  <c r="E411" i="2"/>
  <c r="E599" i="2"/>
  <c r="D317" i="2"/>
  <c r="F498" i="2"/>
  <c r="D301" i="2"/>
  <c r="E426" i="2"/>
  <c r="E301" i="2"/>
  <c r="C601" i="2"/>
  <c r="D595" i="2"/>
  <c r="D442" i="2"/>
  <c r="C562" i="2"/>
  <c r="E589" i="2"/>
  <c r="C245" i="2"/>
  <c r="B357" i="2"/>
  <c r="D243" i="2"/>
  <c r="F235" i="2"/>
  <c r="F176" i="2"/>
  <c r="E282" i="2"/>
  <c r="C555" i="2"/>
  <c r="B354" i="2"/>
  <c r="D143" i="2"/>
  <c r="D560" i="2"/>
  <c r="E200" i="2"/>
  <c r="F353" i="2"/>
  <c r="C575" i="2"/>
  <c r="E165" i="2"/>
  <c r="F200" i="2"/>
  <c r="D365" i="2"/>
  <c r="B553" i="2"/>
  <c r="E557" i="2"/>
  <c r="C548" i="2"/>
  <c r="C576" i="2"/>
  <c r="E572" i="2"/>
  <c r="C460" i="2"/>
  <c r="F504" i="2"/>
  <c r="F496" i="2"/>
  <c r="C413" i="2"/>
  <c r="E478" i="2"/>
  <c r="F152" i="2"/>
  <c r="E311" i="2"/>
  <c r="E248" i="2"/>
  <c r="F336" i="2"/>
  <c r="F374" i="2"/>
  <c r="C259" i="2"/>
  <c r="D256" i="2"/>
  <c r="F559" i="2"/>
  <c r="B398" i="2"/>
  <c r="B520" i="2"/>
  <c r="E520" i="2"/>
  <c r="C583" i="2"/>
  <c r="F529" i="2"/>
  <c r="F528" i="2"/>
  <c r="B554" i="2"/>
  <c r="C347" i="2"/>
  <c r="E482" i="2"/>
  <c r="D303" i="2"/>
  <c r="E564" i="2"/>
  <c r="C586" i="2"/>
  <c r="F511" i="2"/>
  <c r="F519" i="2"/>
  <c r="F554" i="2"/>
  <c r="F371" i="2"/>
  <c r="D431" i="2"/>
  <c r="D276" i="2"/>
  <c r="E578" i="2"/>
  <c r="F267" i="2"/>
  <c r="E181" i="2"/>
  <c r="E220" i="2"/>
  <c r="C275" i="2"/>
  <c r="E595" i="2"/>
  <c r="B175" i="2"/>
  <c r="E366" i="2"/>
  <c r="E489" i="2"/>
  <c r="C587" i="2"/>
  <c r="F569" i="2"/>
  <c r="F199" i="2"/>
  <c r="C492" i="2"/>
  <c r="B174" i="2"/>
  <c r="D577" i="2"/>
  <c r="E531" i="2"/>
  <c r="B454" i="2"/>
  <c r="C181" i="2"/>
  <c r="F339" i="2"/>
  <c r="C414" i="2"/>
  <c r="D257" i="2"/>
  <c r="F316" i="2"/>
  <c r="F448" i="2"/>
  <c r="C597" i="2"/>
  <c r="F603" i="2"/>
  <c r="D402" i="2"/>
  <c r="B528" i="2"/>
  <c r="F437" i="2"/>
  <c r="F222" i="2"/>
  <c r="E330" i="2"/>
  <c r="C596" i="2"/>
  <c r="D522" i="2"/>
  <c r="B172" i="2"/>
  <c r="B145" i="2"/>
  <c r="C330" i="2"/>
  <c r="E132" i="2"/>
  <c r="C344" i="2"/>
  <c r="D261" i="2"/>
  <c r="E552" i="2"/>
  <c r="D503" i="2"/>
  <c r="D398" i="2"/>
  <c r="F462" i="2"/>
  <c r="D551" i="2"/>
  <c r="C395" i="2"/>
  <c r="C390" i="2"/>
  <c r="B502" i="2"/>
  <c r="F589" i="2"/>
  <c r="F549" i="2"/>
  <c r="F283" i="2"/>
  <c r="C417" i="2"/>
  <c r="E348" i="2"/>
  <c r="E522" i="2"/>
  <c r="B537" i="2"/>
  <c r="E197" i="2"/>
  <c r="E537" i="2"/>
  <c r="F453" i="2"/>
  <c r="D437" i="2"/>
  <c r="C573" i="2" l="1"/>
  <c r="B593" i="2"/>
  <c r="B325" i="2"/>
  <c r="E212" i="2"/>
  <c r="F181" i="2"/>
  <c r="B159" i="2"/>
  <c r="F289" i="2"/>
  <c r="E284" i="2"/>
  <c r="B349" i="2"/>
  <c r="D299" i="2"/>
  <c r="F540" i="2"/>
  <c r="B322" i="2"/>
  <c r="D406" i="2"/>
  <c r="E156" i="2"/>
  <c r="C522" i="2"/>
  <c r="D375" i="2"/>
  <c r="C502" i="2"/>
  <c r="C579" i="2"/>
  <c r="B119" i="2"/>
  <c r="D123" i="2"/>
  <c r="D14" i="2"/>
  <c r="F21" i="2"/>
  <c r="E17" i="2"/>
  <c r="C10" i="2"/>
  <c r="B11" i="2"/>
  <c r="C18" i="2"/>
  <c r="D12" i="2"/>
  <c r="B12" i="2"/>
  <c r="C13" i="2"/>
  <c r="D18" i="2"/>
  <c r="C19" i="2"/>
  <c r="E20" i="2"/>
  <c r="F12" i="2"/>
  <c r="E18" i="2"/>
  <c r="B16" i="2"/>
  <c r="E13" i="2"/>
  <c r="C11" i="2"/>
  <c r="B17" i="2"/>
  <c r="F18" i="2"/>
  <c r="D20" i="2"/>
  <c r="E16" i="2"/>
  <c r="D9" i="2"/>
  <c r="C20" i="2"/>
  <c r="F17" i="2"/>
  <c r="D10" i="2"/>
  <c r="C16" i="2"/>
  <c r="D8" i="2"/>
  <c r="F19" i="2"/>
  <c r="D13" i="2"/>
  <c r="E12" i="2"/>
  <c r="B21" i="2"/>
  <c r="F8" i="2"/>
  <c r="F13" i="2"/>
  <c r="B10" i="2"/>
  <c r="C15" i="2"/>
  <c r="D19" i="2"/>
  <c r="F14" i="2"/>
  <c r="C9" i="2"/>
  <c r="B19" i="2"/>
  <c r="E22" i="2"/>
  <c r="D22" i="2"/>
  <c r="F15" i="2"/>
  <c r="D16" i="2"/>
  <c r="E10" i="2"/>
  <c r="E19" i="2"/>
  <c r="C12" i="2"/>
  <c r="C17" i="2"/>
  <c r="C21" i="2"/>
  <c r="E15" i="2"/>
  <c r="F9" i="2"/>
  <c r="E8" i="2"/>
  <c r="C8" i="2"/>
  <c r="B9" i="2"/>
  <c r="B8" i="2"/>
  <c r="D17" i="2"/>
  <c r="D11" i="2"/>
  <c r="E11" i="2"/>
  <c r="D15" i="2"/>
  <c r="B18" i="2"/>
  <c r="E21" i="2"/>
  <c r="F10" i="2"/>
  <c r="F11" i="2"/>
  <c r="E14" i="2"/>
  <c r="B15" i="2"/>
  <c r="B14" i="2"/>
  <c r="C14" i="2"/>
  <c r="F16" i="2"/>
  <c r="E9" i="2"/>
  <c r="F22" i="2"/>
  <c r="F20" i="2"/>
  <c r="D21" i="2"/>
  <c r="C22" i="2"/>
  <c r="B20" i="2"/>
  <c r="B22" i="2"/>
  <c r="B13" i="2"/>
  <c r="C117" i="2"/>
  <c r="F107" i="2"/>
  <c r="B315" i="2"/>
  <c r="F318" i="2"/>
  <c r="B151" i="2"/>
  <c r="C455" i="2"/>
  <c r="D218" i="2"/>
  <c r="B276" i="2"/>
  <c r="D213" i="2"/>
  <c r="B404" i="2"/>
  <c r="B297" i="2"/>
  <c r="E395" i="2"/>
  <c r="B214" i="2"/>
  <c r="E514" i="2"/>
  <c r="F215" i="2"/>
  <c r="C550" i="2"/>
  <c r="D221" i="2"/>
  <c r="D264" i="2"/>
  <c r="D546" i="2"/>
  <c r="B132" i="2"/>
  <c r="D113" i="2"/>
  <c r="E89" i="2"/>
  <c r="F130" i="2"/>
  <c r="C122" i="2"/>
  <c r="F123" i="2"/>
  <c r="B128" i="2"/>
  <c r="C128" i="2"/>
  <c r="F240" i="2"/>
  <c r="B453" i="2"/>
  <c r="F335" i="2"/>
  <c r="D520" i="2"/>
  <c r="B264" i="2"/>
  <c r="F551" i="2"/>
  <c r="D132" i="2"/>
  <c r="C129" i="2"/>
  <c r="F120" i="2"/>
  <c r="C126" i="2"/>
  <c r="D120" i="2"/>
  <c r="D115" i="2"/>
  <c r="F111" i="2"/>
  <c r="E104" i="2"/>
  <c r="C111" i="2"/>
  <c r="B85" i="2"/>
  <c r="F80" i="2"/>
  <c r="F66" i="2"/>
  <c r="F103" i="2"/>
  <c r="B73" i="2"/>
  <c r="E78" i="2"/>
  <c r="E103" i="2"/>
  <c r="C82" i="2"/>
  <c r="D69" i="2"/>
  <c r="F88" i="2"/>
  <c r="F76" i="2"/>
  <c r="F72" i="2"/>
  <c r="B94" i="2"/>
  <c r="D121" i="2"/>
  <c r="E123" i="2"/>
  <c r="F115" i="2"/>
  <c r="F114" i="2"/>
  <c r="E114" i="2"/>
  <c r="E110" i="2"/>
  <c r="F82" i="2"/>
  <c r="C99" i="2"/>
  <c r="D74" i="2"/>
  <c r="E95" i="2"/>
  <c r="D95" i="2"/>
  <c r="F78" i="2"/>
  <c r="D94" i="2"/>
  <c r="B97" i="2"/>
  <c r="B101" i="2"/>
  <c r="E102" i="2"/>
  <c r="F64" i="2"/>
  <c r="F95" i="2"/>
  <c r="B89" i="2"/>
  <c r="C120" i="2"/>
  <c r="B116" i="2"/>
  <c r="D112" i="2"/>
  <c r="F113" i="2"/>
  <c r="D106" i="2"/>
  <c r="C113" i="2"/>
  <c r="C68" i="2"/>
  <c r="D99" i="2"/>
  <c r="D72" i="2"/>
  <c r="F68" i="2"/>
  <c r="D89" i="2"/>
  <c r="E97" i="2"/>
  <c r="D65" i="2"/>
  <c r="D78" i="2"/>
  <c r="D100" i="2"/>
  <c r="E100" i="2"/>
  <c r="F70" i="2"/>
  <c r="B68" i="2"/>
  <c r="B95" i="2"/>
  <c r="D118" i="2"/>
  <c r="B120" i="2"/>
  <c r="B114" i="2"/>
  <c r="B111" i="2"/>
  <c r="C108" i="2"/>
  <c r="E105" i="2"/>
  <c r="E63" i="2"/>
  <c r="B80" i="2"/>
  <c r="C78" i="2"/>
  <c r="E65" i="2"/>
  <c r="C74" i="2"/>
  <c r="D102" i="2"/>
  <c r="B96" i="2"/>
  <c r="D86" i="2"/>
  <c r="B103" i="2"/>
  <c r="B74" i="2"/>
  <c r="C80" i="2"/>
  <c r="D71" i="2"/>
  <c r="D129" i="2"/>
  <c r="D128" i="2"/>
  <c r="C121" i="2"/>
  <c r="D122" i="2"/>
  <c r="E129" i="2"/>
  <c r="C125" i="2"/>
  <c r="D92" i="2"/>
  <c r="C83" i="2"/>
  <c r="D98" i="2"/>
  <c r="F89" i="2"/>
  <c r="B71" i="2"/>
  <c r="B86" i="2"/>
  <c r="E67" i="2"/>
  <c r="C86" i="2"/>
  <c r="F91" i="2"/>
  <c r="B64" i="2"/>
  <c r="D77" i="2"/>
  <c r="C73" i="2"/>
  <c r="B123" i="2"/>
  <c r="D119" i="2"/>
  <c r="E116" i="2"/>
  <c r="D107" i="2"/>
  <c r="D105" i="2"/>
  <c r="E106" i="2"/>
  <c r="E72" i="2"/>
  <c r="D97" i="2"/>
  <c r="B78" i="2"/>
  <c r="F102" i="2"/>
  <c r="C63" i="2"/>
  <c r="F98" i="2"/>
  <c r="F86" i="2"/>
  <c r="C69" i="2"/>
  <c r="B69" i="2"/>
  <c r="E77" i="2"/>
  <c r="B84" i="2"/>
  <c r="B82" i="2"/>
  <c r="C102" i="2"/>
  <c r="E118" i="2"/>
  <c r="F117" i="2"/>
  <c r="E109" i="2"/>
  <c r="C105" i="2"/>
  <c r="E112" i="2"/>
  <c r="F110" i="2"/>
  <c r="F63" i="2"/>
  <c r="D81" i="2"/>
  <c r="C98" i="2"/>
  <c r="B93" i="2"/>
  <c r="C71" i="2"/>
  <c r="D83" i="2"/>
  <c r="D73" i="2"/>
  <c r="F77" i="2"/>
  <c r="F90" i="2"/>
  <c r="C93" i="2"/>
  <c r="D93" i="2"/>
  <c r="E76" i="2"/>
  <c r="F125" i="2"/>
  <c r="E119" i="2"/>
  <c r="D116" i="2"/>
  <c r="F106" i="2"/>
  <c r="B106" i="2"/>
  <c r="B107" i="2"/>
  <c r="C95" i="2"/>
  <c r="E70" i="2"/>
  <c r="E64" i="2"/>
  <c r="C66" i="2"/>
  <c r="B76" i="2"/>
  <c r="D101" i="2"/>
  <c r="D75" i="2"/>
  <c r="F101" i="2"/>
  <c r="C90" i="2"/>
  <c r="E66" i="2"/>
  <c r="C81" i="2"/>
  <c r="D82" i="2"/>
  <c r="E88" i="2"/>
  <c r="D125" i="2"/>
  <c r="B125" i="2"/>
  <c r="F129" i="2"/>
  <c r="D126" i="2"/>
  <c r="C127" i="2"/>
  <c r="B127" i="2"/>
  <c r="E117" i="2"/>
  <c r="C104" i="2"/>
  <c r="C112" i="2"/>
  <c r="D109" i="2"/>
  <c r="E111" i="2"/>
  <c r="C72" i="2"/>
  <c r="B88" i="2"/>
  <c r="E82" i="2"/>
  <c r="C100" i="2"/>
  <c r="B100" i="2"/>
  <c r="D84" i="2"/>
  <c r="C75" i="2"/>
  <c r="E98" i="2"/>
  <c r="B83" i="2"/>
  <c r="C70" i="2"/>
  <c r="F74" i="2"/>
  <c r="E87" i="2"/>
  <c r="C123" i="2"/>
  <c r="F118" i="2"/>
  <c r="D117" i="2"/>
  <c r="C114" i="2"/>
  <c r="B109" i="2"/>
  <c r="E108" i="2"/>
  <c r="F104" i="2"/>
  <c r="E73" i="2"/>
  <c r="F71" i="2"/>
  <c r="E81" i="2"/>
  <c r="D68" i="2"/>
  <c r="F97" i="2"/>
  <c r="B70" i="2"/>
  <c r="B91" i="2"/>
  <c r="B63" i="2"/>
  <c r="B87" i="2"/>
  <c r="B99" i="2"/>
  <c r="B66" i="2"/>
  <c r="C87" i="2"/>
  <c r="D96" i="2"/>
  <c r="C119" i="2"/>
  <c r="E115" i="2"/>
  <c r="B112" i="2"/>
  <c r="B108" i="2"/>
  <c r="B110" i="2"/>
  <c r="C96" i="2"/>
  <c r="F65" i="2"/>
  <c r="E84" i="2"/>
  <c r="B102" i="2"/>
  <c r="F81" i="2"/>
  <c r="E93" i="2"/>
  <c r="E86" i="2"/>
  <c r="E80" i="2"/>
  <c r="E90" i="2"/>
  <c r="F79" i="2"/>
  <c r="C65" i="2"/>
  <c r="F96" i="2"/>
  <c r="E79" i="2"/>
  <c r="E122" i="2"/>
  <c r="B117" i="2"/>
  <c r="B115" i="2"/>
  <c r="D110" i="2"/>
  <c r="C110" i="2"/>
  <c r="C109" i="2"/>
  <c r="D70" i="2"/>
  <c r="C89" i="2"/>
  <c r="D79" i="2"/>
  <c r="F100" i="2"/>
  <c r="D76" i="2"/>
  <c r="F67" i="2"/>
  <c r="D103" i="2"/>
  <c r="F69" i="2"/>
  <c r="D80" i="2"/>
  <c r="C67" i="2"/>
  <c r="F99" i="2"/>
  <c r="F94" i="2"/>
  <c r="D90" i="2"/>
  <c r="B126" i="2"/>
  <c r="D127" i="2"/>
  <c r="F127" i="2"/>
  <c r="B129" i="2"/>
  <c r="F121" i="2"/>
  <c r="E272" i="2"/>
  <c r="B49" i="2"/>
  <c r="C38" i="2"/>
  <c r="D53" i="2"/>
  <c r="B47" i="2"/>
  <c r="F53" i="2"/>
  <c r="C49" i="2"/>
  <c r="E28" i="2"/>
  <c r="D47" i="2"/>
  <c r="C41" i="2"/>
  <c r="D29" i="2"/>
  <c r="B57" i="2"/>
  <c r="B59" i="2"/>
  <c r="F49" i="2"/>
  <c r="E61" i="2"/>
  <c r="E50" i="2"/>
  <c r="E44" i="2"/>
  <c r="D59" i="2"/>
  <c r="B41" i="2"/>
  <c r="E56" i="2"/>
  <c r="E35" i="2"/>
  <c r="C44" i="2"/>
  <c r="E59" i="2"/>
  <c r="D55" i="2"/>
  <c r="B45" i="2"/>
  <c r="F47" i="2"/>
  <c r="D62" i="2"/>
  <c r="B53" i="2"/>
  <c r="D61" i="2"/>
  <c r="B62" i="2"/>
  <c r="E52" i="2"/>
  <c r="D52" i="2"/>
  <c r="E40" i="2"/>
  <c r="B54" i="2"/>
  <c r="C54" i="2"/>
  <c r="E31" i="2"/>
  <c r="D57" i="2"/>
  <c r="D48" i="2"/>
  <c r="B32" i="2"/>
  <c r="E24" i="2"/>
  <c r="F58" i="2"/>
  <c r="C58" i="2"/>
  <c r="B35" i="2"/>
  <c r="D42" i="2"/>
  <c r="C42" i="2"/>
  <c r="F51" i="2"/>
  <c r="E33" i="2"/>
  <c r="B33" i="2"/>
  <c r="F62" i="2"/>
  <c r="D33" i="2"/>
  <c r="D45" i="2"/>
  <c r="B61" i="2"/>
  <c r="B60" i="2"/>
  <c r="E41" i="2"/>
  <c r="E60" i="2"/>
  <c r="B36" i="2"/>
  <c r="D54" i="2"/>
  <c r="C27" i="2"/>
  <c r="E23" i="2"/>
  <c r="E38" i="2"/>
  <c r="B23" i="2"/>
  <c r="E43" i="2"/>
  <c r="E30" i="2"/>
  <c r="F40" i="2"/>
  <c r="C62" i="2"/>
  <c r="F31" i="2"/>
  <c r="C40" i="2"/>
  <c r="B46" i="2"/>
  <c r="B50" i="2"/>
  <c r="D30" i="2"/>
  <c r="D28" i="2"/>
  <c r="D44" i="2"/>
  <c r="F59" i="2"/>
  <c r="F37" i="2"/>
  <c r="B25" i="2"/>
  <c r="B52" i="2"/>
  <c r="B42" i="2"/>
  <c r="D23" i="2"/>
  <c r="E55" i="2"/>
  <c r="F55" i="2"/>
  <c r="E39" i="2"/>
  <c r="C39" i="2"/>
  <c r="D38" i="2"/>
  <c r="C25" i="2"/>
  <c r="B55" i="2"/>
  <c r="F42" i="2"/>
  <c r="F56" i="2"/>
  <c r="F52" i="2"/>
  <c r="C31" i="2"/>
  <c r="F25" i="2"/>
  <c r="C29" i="2"/>
  <c r="B28" i="2"/>
  <c r="C24" i="2"/>
  <c r="E53" i="2"/>
  <c r="D26" i="2"/>
  <c r="F38" i="2"/>
  <c r="D25" i="2"/>
  <c r="B40" i="2"/>
  <c r="D46" i="2"/>
  <c r="B30" i="2"/>
  <c r="F24" i="2"/>
  <c r="D43" i="2"/>
  <c r="B39" i="2"/>
  <c r="B34" i="2"/>
  <c r="B38" i="2"/>
  <c r="E34" i="2"/>
  <c r="E54" i="2"/>
  <c r="D39" i="2"/>
  <c r="E25" i="2"/>
  <c r="C34" i="2"/>
  <c r="B43" i="2"/>
  <c r="F54" i="2"/>
  <c r="F27" i="2"/>
  <c r="D24" i="2"/>
  <c r="F28" i="2"/>
  <c r="C59" i="2"/>
  <c r="B58" i="2"/>
  <c r="D49" i="2"/>
  <c r="C28" i="2"/>
  <c r="D37" i="2"/>
  <c r="C50" i="2"/>
  <c r="E29" i="2"/>
  <c r="C60" i="2"/>
  <c r="C30" i="2"/>
  <c r="C33" i="2"/>
  <c r="B48" i="2"/>
  <c r="D27" i="2"/>
  <c r="C37" i="2"/>
  <c r="E49" i="2"/>
  <c r="C26" i="2"/>
  <c r="C47" i="2"/>
  <c r="F57" i="2"/>
  <c r="B31" i="2"/>
  <c r="E51" i="2"/>
  <c r="C23" i="2"/>
  <c r="F35" i="2"/>
  <c r="F26" i="2"/>
  <c r="D50" i="2"/>
  <c r="E47" i="2"/>
  <c r="F50" i="2"/>
  <c r="C53" i="2"/>
  <c r="C52" i="2"/>
  <c r="B26" i="2"/>
  <c r="C32" i="2"/>
  <c r="F61" i="2"/>
  <c r="C45" i="2"/>
  <c r="F41" i="2"/>
  <c r="F34" i="2"/>
  <c r="F33" i="2"/>
  <c r="B37" i="2"/>
  <c r="D31" i="2"/>
  <c r="D34" i="2"/>
  <c r="C51" i="2"/>
  <c r="C56" i="2"/>
  <c r="D40" i="2"/>
  <c r="C48" i="2"/>
  <c r="B51" i="2"/>
  <c r="E57" i="2"/>
  <c r="D35" i="2"/>
  <c r="E36" i="2"/>
  <c r="F36" i="2"/>
  <c r="B27" i="2"/>
  <c r="F32" i="2"/>
  <c r="E27" i="2"/>
  <c r="D32" i="2"/>
  <c r="D41" i="2"/>
  <c r="D56" i="2"/>
  <c r="F23" i="2"/>
  <c r="F48" i="2"/>
  <c r="F39" i="2"/>
  <c r="E48" i="2"/>
  <c r="E46" i="2"/>
  <c r="C46" i="2"/>
  <c r="E45" i="2"/>
  <c r="E62" i="2"/>
  <c r="F30" i="2"/>
  <c r="F44" i="2"/>
  <c r="C36" i="2"/>
  <c r="C35" i="2"/>
  <c r="F43" i="2"/>
  <c r="D36" i="2"/>
  <c r="F60" i="2"/>
  <c r="B56" i="2"/>
  <c r="E58" i="2"/>
  <c r="C57" i="2"/>
  <c r="D58" i="2"/>
  <c r="F45" i="2"/>
  <c r="B29" i="2"/>
  <c r="C55" i="2"/>
  <c r="C61" i="2"/>
  <c r="C43" i="2"/>
  <c r="F29" i="2"/>
  <c r="E42" i="2"/>
  <c r="D60" i="2"/>
  <c r="E32" i="2"/>
  <c r="B44" i="2"/>
  <c r="F46" i="2"/>
  <c r="E37" i="2"/>
  <c r="D51" i="2"/>
  <c r="B24" i="2"/>
  <c r="E26" i="2"/>
  <c r="E125" i="2"/>
  <c r="C124" i="2"/>
  <c r="B124" i="2"/>
  <c r="F126" i="2"/>
  <c r="B122" i="2"/>
  <c r="C118" i="2"/>
  <c r="F116" i="2"/>
  <c r="E107" i="2"/>
  <c r="B105" i="2"/>
  <c r="D108" i="2"/>
  <c r="E69" i="2"/>
  <c r="D91" i="2"/>
  <c r="E101" i="2"/>
  <c r="E83" i="2"/>
  <c r="D63" i="2"/>
  <c r="F92" i="2"/>
  <c r="E96" i="2"/>
  <c r="B79" i="2"/>
  <c r="D67" i="2"/>
  <c r="C88" i="2"/>
  <c r="E91" i="2"/>
  <c r="B75" i="2"/>
  <c r="F75" i="2"/>
  <c r="E126" i="2"/>
  <c r="B118" i="2"/>
  <c r="C116" i="2"/>
  <c r="B113" i="2"/>
  <c r="D104" i="2"/>
  <c r="D111" i="2"/>
  <c r="C97" i="2"/>
  <c r="C91" i="2"/>
  <c r="E94" i="2"/>
  <c r="D66" i="2"/>
  <c r="B92" i="2"/>
  <c r="B98" i="2"/>
  <c r="E92" i="2"/>
  <c r="F85" i="2"/>
  <c r="C103" i="2"/>
  <c r="F84" i="2"/>
  <c r="B67" i="2"/>
  <c r="B81" i="2"/>
  <c r="F93" i="2"/>
  <c r="D124" i="2"/>
  <c r="F119" i="2"/>
  <c r="D114" i="2"/>
  <c r="C106" i="2"/>
  <c r="B104" i="2"/>
  <c r="F112" i="2"/>
  <c r="D88" i="2"/>
  <c r="B65" i="2"/>
  <c r="B77" i="2"/>
  <c r="F73" i="2"/>
  <c r="C64" i="2"/>
  <c r="E74" i="2"/>
  <c r="C101" i="2"/>
  <c r="B72" i="2"/>
  <c r="C84" i="2"/>
  <c r="E99" i="2"/>
  <c r="D85" i="2"/>
  <c r="C94" i="2"/>
  <c r="C76" i="2"/>
  <c r="E120" i="2"/>
  <c r="E121" i="2"/>
  <c r="C115" i="2"/>
  <c r="C107" i="2"/>
  <c r="E113" i="2"/>
  <c r="F105" i="2"/>
  <c r="F87" i="2"/>
  <c r="E68" i="2"/>
  <c r="D64" i="2"/>
  <c r="C77" i="2"/>
  <c r="D87" i="2"/>
  <c r="F83" i="2"/>
  <c r="E85" i="2"/>
  <c r="C85" i="2"/>
  <c r="E75" i="2"/>
  <c r="C79" i="2"/>
  <c r="C92" i="2"/>
  <c r="E71" i="2"/>
  <c r="B90" i="2"/>
  <c r="F124" i="2"/>
  <c r="E124" i="2"/>
  <c r="B121" i="2"/>
  <c r="F122" i="2"/>
  <c r="F128" i="2"/>
  <c r="E127" i="2"/>
  <c r="C252" i="2"/>
  <c r="B408" i="2"/>
  <c r="B182" i="2"/>
  <c r="B185" i="2"/>
  <c r="D281" i="2"/>
  <c r="E278" i="2"/>
  <c r="D178" i="2"/>
  <c r="C145" i="2"/>
  <c r="F133" i="2"/>
  <c r="C200" i="2"/>
  <c r="E563" i="2"/>
  <c r="B433" i="2"/>
  <c r="B193" i="2"/>
  <c r="E240" i="2"/>
  <c r="D140" i="2"/>
  <c r="D239" i="2"/>
  <c r="D524" i="2"/>
  <c r="E383" i="2"/>
  <c r="B266" i="2"/>
  <c r="E506" i="2"/>
  <c r="F441" i="2"/>
  <c r="B219" i="2"/>
  <c r="E528" i="2"/>
  <c r="E346" i="2"/>
  <c r="D523" i="2"/>
  <c r="C304" i="2"/>
  <c r="B216" i="2"/>
  <c r="D521" i="2"/>
  <c r="E193" i="2"/>
  <c r="F400" i="2"/>
  <c r="E286" i="2"/>
  <c r="E323" i="2"/>
  <c r="B400" i="2"/>
  <c r="D217" i="2"/>
  <c r="D443" i="2"/>
  <c r="D298" i="2"/>
  <c r="C493" i="2"/>
  <c r="C448" i="2"/>
  <c r="C510" i="2"/>
  <c r="E152" i="2"/>
  <c r="C578" i="2"/>
  <c r="D266" i="2"/>
  <c r="E242" i="2"/>
  <c r="E536" i="2"/>
  <c r="D341" i="2"/>
  <c r="F310" i="2"/>
  <c r="B323" i="2"/>
  <c r="D350" i="2"/>
  <c r="C316" i="2"/>
  <c r="B379" i="2"/>
  <c r="B545" i="2"/>
  <c r="C287" i="2"/>
  <c r="F527" i="2"/>
  <c r="C487" i="2"/>
  <c r="C328" i="2"/>
  <c r="E588" i="2"/>
  <c r="C374" i="2"/>
  <c r="C406" i="2"/>
  <c r="E253" i="2"/>
  <c r="C479" i="2"/>
  <c r="D190" i="2"/>
  <c r="D318" i="2"/>
  <c r="F588" i="2"/>
  <c r="B283" i="2"/>
  <c r="B265" i="2"/>
  <c r="E422" i="2"/>
  <c r="E485" i="2"/>
  <c r="E255" i="2"/>
  <c r="B350" i="2"/>
  <c r="C182" i="2"/>
  <c r="C380" i="2"/>
  <c r="E382" i="2"/>
  <c r="C377" i="2"/>
  <c r="B587" i="2"/>
  <c r="B397" i="2"/>
  <c r="F205" i="2"/>
  <c r="C373" i="2"/>
  <c r="D433" i="2"/>
  <c r="D373" i="2"/>
  <c r="D148" i="2"/>
  <c r="F577" i="2"/>
  <c r="F165" i="2"/>
  <c r="D328" i="2"/>
  <c r="F479" i="2"/>
  <c r="C365" i="2"/>
  <c r="B437" i="2"/>
  <c r="D574" i="2"/>
  <c r="C331" i="2"/>
  <c r="D335" i="2"/>
  <c r="C294" i="2"/>
  <c r="E398" i="2"/>
  <c r="C156" i="2"/>
  <c r="F382" i="2"/>
  <c r="E246" i="2"/>
  <c r="C345" i="2"/>
  <c r="B248" i="2"/>
  <c r="E419" i="2"/>
  <c r="E368" i="2"/>
  <c r="D597" i="2"/>
  <c r="F497" i="2"/>
  <c r="F179" i="2"/>
  <c r="B200" i="2"/>
  <c r="D323" i="2"/>
  <c r="D334" i="2"/>
  <c r="B429" i="2"/>
  <c r="F249" i="2"/>
  <c r="B348" i="2"/>
  <c r="F346" i="2"/>
  <c r="C505" i="2"/>
  <c r="C158" i="2"/>
  <c r="C258" i="2"/>
  <c r="F597" i="2"/>
  <c r="F485" i="2"/>
  <c r="D324" i="2"/>
  <c r="F533" i="2"/>
  <c r="B484" i="2"/>
  <c r="F602" i="2"/>
  <c r="D538" i="2"/>
  <c r="E579" i="2"/>
  <c r="C527" i="2"/>
  <c r="E470" i="2"/>
  <c r="D397" i="2"/>
  <c r="C246" i="2"/>
  <c r="B508" i="2"/>
  <c r="D297" i="2"/>
  <c r="E210" i="2"/>
  <c r="C363" i="2"/>
  <c r="E471" i="2"/>
  <c r="D424" i="2"/>
  <c r="E445" i="2"/>
  <c r="E374" i="2"/>
  <c r="F418" i="2"/>
  <c r="B436" i="2"/>
  <c r="F248" i="2"/>
  <c r="D280" i="2"/>
  <c r="E281" i="2"/>
  <c r="C599" i="2"/>
  <c r="B197" i="2"/>
  <c r="F531" i="2"/>
  <c r="D179" i="2"/>
  <c r="E381" i="2"/>
  <c r="B140" i="2"/>
  <c r="D409" i="2"/>
  <c r="F224" i="2"/>
  <c r="D449" i="2"/>
  <c r="C462" i="2"/>
  <c r="C453" i="2"/>
  <c r="E213" i="2"/>
  <c r="D227" i="2"/>
  <c r="C236" i="2"/>
  <c r="E168" i="2"/>
  <c r="C449" i="2"/>
  <c r="D356" i="2"/>
  <c r="F397" i="2"/>
  <c r="C283" i="2"/>
  <c r="F231" i="2"/>
  <c r="C514" i="2"/>
  <c r="C425" i="2"/>
  <c r="F242" i="2"/>
  <c r="D384" i="2"/>
  <c r="C248" i="2"/>
  <c r="B548" i="2"/>
  <c r="F145" i="2"/>
  <c r="C572" i="2"/>
  <c r="C240" i="2"/>
  <c r="B229" i="2"/>
  <c r="B518" i="2"/>
  <c r="B530" i="2"/>
  <c r="B514" i="2"/>
  <c r="C552" i="2"/>
  <c r="B135" i="2"/>
  <c r="E206" i="2"/>
  <c r="F314" i="2"/>
  <c r="E404" i="2"/>
  <c r="F524" i="2"/>
  <c r="B366" i="2"/>
  <c r="C571" i="2"/>
  <c r="D381" i="2"/>
  <c r="B247" i="2"/>
  <c r="E341" i="2"/>
  <c r="E455" i="2"/>
  <c r="E390" i="2"/>
  <c r="D435" i="2"/>
  <c r="E289" i="2"/>
  <c r="F338" i="2"/>
  <c r="F291" i="2"/>
  <c r="E457" i="2"/>
  <c r="F294" i="2"/>
  <c r="F348" i="2"/>
  <c r="F154" i="2"/>
  <c r="B240" i="2"/>
  <c r="F452" i="2"/>
  <c r="B150" i="2"/>
  <c r="F516" i="2"/>
  <c r="B580" i="2"/>
  <c r="F246" i="2"/>
  <c r="E584" i="2"/>
  <c r="F366" i="2"/>
  <c r="C556" i="2"/>
  <c r="B194" i="2"/>
  <c r="D421" i="2"/>
  <c r="D515" i="2"/>
  <c r="E187" i="2"/>
  <c r="F172" i="2"/>
  <c r="C454" i="2"/>
  <c r="E337" i="2"/>
  <c r="F561" i="2"/>
  <c r="E603" i="2"/>
  <c r="C594" i="2"/>
  <c r="F547" i="2"/>
  <c r="C211" i="2"/>
  <c r="F194" i="2"/>
  <c r="C355" i="2"/>
  <c r="F317" i="2"/>
  <c r="C566" i="2"/>
  <c r="C300" i="2"/>
  <c r="E480" i="2"/>
  <c r="D306" i="2"/>
  <c r="F486" i="2"/>
  <c r="E450" i="2"/>
  <c r="C218" i="2"/>
  <c r="B327" i="2"/>
  <c r="B419" i="2"/>
  <c r="D377" i="2"/>
  <c r="F564" i="2"/>
  <c r="C311" i="2"/>
  <c r="E332" i="2"/>
  <c r="C325" i="2"/>
  <c r="F158" i="2"/>
  <c r="B308" i="2"/>
  <c r="F347" i="2"/>
  <c r="D552" i="2"/>
  <c r="C196" i="2"/>
  <c r="D387" i="2"/>
  <c r="D156" i="2"/>
  <c r="E223" i="2"/>
  <c r="E145" i="2"/>
  <c r="B416" i="2"/>
  <c r="F321" i="2"/>
  <c r="D367" i="2"/>
  <c r="E466" i="2"/>
  <c r="B414" i="2"/>
  <c r="E488" i="2"/>
  <c r="C307" i="2"/>
  <c r="F360" i="2"/>
  <c r="D254" i="2"/>
  <c r="E431" i="2"/>
  <c r="E534" i="2"/>
  <c r="C256" i="2"/>
  <c r="C292" i="2"/>
  <c r="F266" i="2"/>
  <c r="F269" i="2"/>
  <c r="C430" i="2"/>
  <c r="C442" i="2"/>
  <c r="B183" i="2"/>
  <c r="E191" i="2"/>
  <c r="C398" i="2"/>
  <c r="D319" i="2"/>
  <c r="E287" i="2"/>
  <c r="E176" i="2"/>
  <c r="F464" i="2"/>
  <c r="E300" i="2"/>
  <c r="D401" i="2"/>
  <c r="F144" i="2"/>
  <c r="B246" i="2"/>
  <c r="B497" i="2"/>
  <c r="F227" i="2"/>
  <c r="B242" i="2"/>
  <c r="D508" i="2"/>
  <c r="E261" i="2"/>
  <c r="D331" i="2"/>
  <c r="E397" i="2"/>
  <c r="C152" i="2"/>
  <c r="E490" i="2"/>
  <c r="E276" i="2"/>
  <c r="F384" i="2"/>
  <c r="E423" i="2"/>
  <c r="B136" i="2"/>
  <c r="D322" i="2"/>
  <c r="B406" i="2"/>
  <c r="D366" i="2"/>
  <c r="F141" i="2"/>
  <c r="F202" i="2"/>
  <c r="D562" i="2"/>
  <c r="D452" i="2"/>
  <c r="B596" i="2"/>
  <c r="B401" i="2"/>
  <c r="D488" i="2"/>
  <c r="F466" i="2"/>
  <c r="C538" i="2"/>
  <c r="C408" i="2"/>
  <c r="C225" i="2"/>
  <c r="D292" i="2"/>
  <c r="D343" i="2"/>
  <c r="B603" i="2"/>
  <c r="C134" i="2"/>
  <c r="C154" i="2"/>
  <c r="F431" i="2"/>
  <c r="E435" i="2"/>
  <c r="B332" i="2"/>
  <c r="C392" i="2"/>
  <c r="B594" i="2"/>
  <c r="D209" i="2"/>
  <c r="F151" i="2"/>
  <c r="E150" i="2"/>
  <c r="D251" i="2"/>
  <c r="B533" i="2"/>
  <c r="D285" i="2"/>
  <c r="D210" i="2"/>
  <c r="B365" i="2"/>
  <c r="C482" i="2"/>
  <c r="D454" i="2"/>
  <c r="E225" i="2"/>
  <c r="F474" i="2"/>
  <c r="C433" i="2"/>
  <c r="E290" i="2"/>
  <c r="D161" i="2"/>
  <c r="B466" i="2"/>
  <c r="D270" i="2"/>
  <c r="C214" i="2"/>
  <c r="C282" i="2"/>
  <c r="E177" i="2"/>
  <c r="B551" i="2"/>
  <c r="B492" i="2"/>
  <c r="E244" i="2"/>
  <c r="E425" i="2"/>
  <c r="C185" i="2"/>
  <c r="F402" i="2"/>
  <c r="C528" i="2"/>
  <c r="E297" i="2"/>
  <c r="E592" i="2"/>
  <c r="B447" i="2"/>
  <c r="C474" i="2"/>
  <c r="B244" i="2"/>
  <c r="C197" i="2"/>
  <c r="B527" i="2"/>
  <c r="D135" i="2"/>
  <c r="E413" i="2"/>
  <c r="C172" i="2"/>
  <c r="F428" i="2"/>
  <c r="C288" i="2"/>
  <c r="B303" i="2"/>
  <c r="E577" i="2"/>
  <c r="E256" i="2"/>
  <c r="C339" i="2"/>
  <c r="D248" i="2"/>
  <c r="D320" i="2"/>
  <c r="D542" i="2"/>
  <c r="F329" i="2"/>
  <c r="F558" i="2"/>
  <c r="D278" i="2"/>
  <c r="D537" i="2"/>
  <c r="F253" i="2"/>
  <c r="B481" i="2"/>
  <c r="E467" i="2"/>
  <c r="C183" i="2"/>
  <c r="E174" i="2"/>
  <c r="B462" i="2"/>
  <c r="E516" i="2"/>
  <c r="E161" i="2"/>
  <c r="C233" i="2"/>
  <c r="D207" i="2"/>
  <c r="C194" i="2"/>
  <c r="B358" i="2"/>
  <c r="B410" i="2"/>
  <c r="B133" i="2"/>
  <c r="C343" i="2"/>
  <c r="B409" i="2"/>
  <c r="C407" i="2"/>
  <c r="E204" i="2"/>
  <c r="B137" i="2"/>
  <c r="F355" i="2"/>
  <c r="C419" i="2"/>
  <c r="C298" i="2"/>
  <c r="F180" i="2"/>
  <c r="C536" i="2"/>
  <c r="F596" i="2"/>
  <c r="C397" i="2"/>
  <c r="F214" i="2"/>
  <c r="B282" i="2"/>
  <c r="F209" i="2"/>
  <c r="E236" i="2"/>
  <c r="E267" i="2"/>
  <c r="D468" i="2"/>
  <c r="D249" i="2"/>
  <c r="D198" i="2"/>
  <c r="F468" i="2"/>
  <c r="B418" i="2"/>
  <c r="C420" i="2"/>
  <c r="D589" i="2"/>
  <c r="E148" i="2"/>
  <c r="F401" i="2"/>
  <c r="C491" i="2"/>
  <c r="B275" i="2"/>
  <c r="E438" i="2"/>
  <c r="B257" i="2"/>
  <c r="B223" i="2"/>
  <c r="C173" i="2"/>
  <c r="B395" i="2"/>
  <c r="C424" i="2"/>
  <c r="D321" i="2"/>
  <c r="E442" i="2"/>
  <c r="B578" i="2"/>
  <c r="F526" i="2"/>
  <c r="E416" i="2"/>
  <c r="C281" i="2"/>
  <c r="DG1" i="12"/>
  <c r="D394" i="2"/>
  <c r="E201" i="2"/>
  <c r="D216" i="2"/>
  <c r="B595" i="2"/>
  <c r="D466" i="2"/>
  <c r="B584" i="2"/>
  <c r="F344" i="2"/>
  <c r="E273" i="2"/>
  <c r="C498" i="2"/>
  <c r="B396" i="2"/>
  <c r="E476" i="2"/>
  <c r="F475" i="2"/>
  <c r="B226" i="2"/>
  <c r="C466" i="2"/>
  <c r="F216" i="2"/>
  <c r="B192" i="2"/>
  <c r="D166" i="2"/>
  <c r="B579" i="2"/>
  <c r="D187" i="2"/>
  <c r="E216" i="2"/>
  <c r="E155" i="2"/>
  <c r="D170" i="2"/>
  <c r="B317" i="2"/>
  <c r="D329" i="2"/>
  <c r="E291" i="2"/>
  <c r="E574" i="2"/>
  <c r="B505" i="2"/>
  <c r="C187" i="2"/>
  <c r="F429" i="2"/>
  <c r="F341" i="2"/>
  <c r="B602" i="2"/>
  <c r="F427" i="2"/>
  <c r="C461" i="2"/>
  <c r="B542" i="2"/>
  <c r="D483" i="2"/>
  <c r="B479" i="2"/>
  <c r="B273" i="2"/>
  <c r="B245" i="2"/>
  <c r="F490" i="2"/>
  <c r="E363" i="2"/>
  <c r="F580" i="2"/>
  <c r="F305" i="2"/>
  <c r="D340" i="2"/>
  <c r="F583" i="2"/>
  <c r="E198" i="2"/>
  <c r="D476" i="2"/>
  <c r="F237" i="2"/>
  <c r="C428" i="2"/>
  <c r="C371" i="2"/>
  <c r="D361" i="2"/>
  <c r="E199" i="2"/>
  <c r="F387" i="2"/>
  <c r="C350" i="2"/>
  <c r="F192" i="2"/>
  <c r="B601" i="2"/>
  <c r="F582" i="2"/>
  <c r="E499" i="2"/>
  <c r="C352" i="2"/>
  <c r="D369" i="2"/>
  <c r="D472" i="2"/>
  <c r="B269" i="2"/>
  <c r="E483" i="2"/>
  <c r="B362" i="2"/>
  <c r="C222" i="2"/>
  <c r="D482" i="2"/>
  <c r="C244" i="2"/>
  <c r="D336" i="2"/>
  <c r="C485" i="2"/>
  <c r="F560" i="2"/>
  <c r="B178" i="2"/>
  <c r="B525" i="2"/>
  <c r="D383" i="2"/>
  <c r="C340" i="2"/>
  <c r="F219" i="2"/>
  <c r="C293" i="2"/>
  <c r="F472" i="2"/>
  <c r="B312" i="2"/>
  <c r="D411" i="2"/>
  <c r="B572" i="2"/>
  <c r="E597" i="2"/>
  <c r="B207" i="2"/>
  <c r="E376" i="2"/>
  <c r="D205" i="2"/>
  <c r="D151" i="2"/>
  <c r="C266" i="2"/>
  <c r="C520" i="2"/>
  <c r="F385" i="2"/>
  <c r="B384" i="2"/>
  <c r="E502" i="2"/>
  <c r="D474" i="2"/>
  <c r="E437" i="2"/>
  <c r="F532" i="2"/>
  <c r="E540" i="2"/>
  <c r="D167" i="2"/>
  <c r="D484" i="2"/>
  <c r="F455" i="2"/>
  <c r="E142" i="2"/>
  <c r="B360" i="2"/>
  <c r="C274" i="2"/>
  <c r="C542" i="2"/>
  <c r="E385" i="2"/>
  <c r="F331" i="2"/>
  <c r="F380" i="2"/>
  <c r="E573" i="2"/>
  <c r="B243" i="2"/>
  <c r="E158" i="2"/>
  <c r="E375" i="2"/>
  <c r="F337" i="2"/>
  <c r="C467" i="2"/>
  <c r="C254" i="2"/>
  <c r="B382" i="2"/>
  <c r="E604" i="2"/>
  <c r="B184" i="2"/>
  <c r="E396" i="2"/>
  <c r="F389" i="2"/>
  <c r="C411" i="2"/>
  <c r="C530" i="2"/>
  <c r="B489" i="2"/>
  <c r="D271" i="2"/>
  <c r="E183" i="2"/>
  <c r="E345" i="2"/>
  <c r="E547" i="2"/>
  <c r="C142" i="2"/>
  <c r="C324" i="2"/>
  <c r="D171" i="2"/>
  <c r="E568" i="2"/>
  <c r="D378" i="2"/>
  <c r="C451" i="2"/>
  <c r="E465" i="2"/>
  <c r="E163" i="2"/>
  <c r="F212" i="2"/>
  <c r="B448" i="2"/>
  <c r="F311" i="2"/>
  <c r="D208" i="2"/>
  <c r="D275" i="2"/>
  <c r="E558" i="2"/>
  <c r="E560" i="2"/>
  <c r="C584" i="2"/>
  <c r="E173" i="2"/>
  <c r="B331" i="2"/>
  <c r="D274" i="2"/>
  <c r="C321" i="2"/>
  <c r="B405" i="2"/>
  <c r="C333" i="2"/>
  <c r="B604" i="2"/>
  <c r="D255" i="2"/>
  <c r="B482" i="2"/>
  <c r="E274" i="2"/>
  <c r="B516" i="2"/>
  <c r="E539" i="2"/>
  <c r="C175" i="2"/>
  <c r="D403" i="2"/>
  <c r="D498" i="2"/>
  <c r="D486" i="2"/>
  <c r="C241" i="2"/>
  <c r="E167" i="2"/>
  <c r="C401" i="2"/>
  <c r="F238" i="2"/>
  <c r="E279" i="2"/>
  <c r="E412" i="2"/>
  <c r="C391" i="2"/>
  <c r="E294" i="2"/>
  <c r="E421" i="2"/>
  <c r="C488" i="2"/>
  <c r="B383" i="2"/>
  <c r="D355" i="2"/>
  <c r="C326" i="2"/>
  <c r="D526" i="2"/>
  <c r="F343" i="2"/>
  <c r="D240" i="2"/>
  <c r="F508" i="2"/>
  <c r="E464" i="2"/>
  <c r="D564" i="2"/>
  <c r="B531" i="2"/>
  <c r="D596" i="2"/>
  <c r="D380" i="2"/>
  <c r="D302" i="2"/>
  <c r="F553" i="2"/>
  <c r="F226" i="2"/>
  <c r="C524" i="2"/>
  <c r="C388" i="2"/>
  <c r="E441" i="2"/>
  <c r="F595" i="2"/>
  <c r="E559" i="2"/>
  <c r="B438" i="2"/>
  <c r="F196" i="2"/>
  <c r="B292" i="2"/>
  <c r="F350" i="2"/>
  <c r="D309" i="2"/>
  <c r="C585" i="2"/>
  <c r="B300" i="2"/>
  <c r="D376" i="2"/>
  <c r="E535" i="2"/>
  <c r="B236" i="2"/>
  <c r="D456" i="2"/>
  <c r="D575" i="2"/>
  <c r="F220" i="2"/>
  <c r="B501" i="2"/>
  <c r="D223" i="2"/>
  <c r="F211" i="2"/>
  <c r="F234" i="2"/>
  <c r="F417" i="2"/>
  <c r="E496" i="2"/>
  <c r="D396" i="2"/>
  <c r="E418" i="2"/>
  <c r="B231" i="2"/>
  <c r="F277" i="2"/>
  <c r="E407" i="2"/>
  <c r="C169" i="2"/>
  <c r="D242" i="2"/>
  <c r="B227" i="2"/>
  <c r="D462" i="2"/>
  <c r="B342" i="2"/>
  <c r="F477" i="2"/>
  <c r="F166" i="2"/>
  <c r="C171" i="2"/>
  <c r="C253" i="2"/>
  <c r="D444" i="2"/>
  <c r="D590" i="2"/>
  <c r="E378" i="2"/>
  <c r="C262" i="2"/>
  <c r="B485" i="2"/>
  <c r="F584" i="2"/>
  <c r="B472" i="2"/>
  <c r="F419" i="2"/>
  <c r="B356" i="2"/>
  <c r="B177" i="2"/>
  <c r="D200" i="2"/>
  <c r="E159" i="2"/>
  <c r="E602" i="2"/>
  <c r="F354" i="2"/>
  <c r="D228" i="2"/>
  <c r="C329" i="2"/>
  <c r="B250" i="2"/>
  <c r="F591" i="2"/>
  <c r="B318" i="2"/>
  <c r="E526" i="2"/>
  <c r="C144" i="2"/>
  <c r="E392" i="2"/>
  <c r="C318" i="2"/>
  <c r="F260" i="2"/>
  <c r="F509" i="2"/>
  <c r="E214" i="2"/>
  <c r="C349" i="2"/>
  <c r="B566" i="2"/>
  <c r="B380" i="2"/>
  <c r="F369" i="2"/>
  <c r="B343" i="2"/>
  <c r="F444" i="2"/>
  <c r="D283" i="2"/>
  <c r="C166" i="2"/>
  <c r="C439" i="2"/>
  <c r="E325" i="2"/>
  <c r="E133" i="2"/>
  <c r="D385" i="2"/>
  <c r="D504" i="2"/>
  <c r="E494" i="2"/>
  <c r="F328" i="2"/>
  <c r="D582" i="2"/>
  <c r="D372" i="2"/>
  <c r="B187" i="2"/>
  <c r="E271" i="2"/>
  <c r="B368" i="2"/>
  <c r="D485" i="2"/>
  <c r="B476" i="2"/>
  <c r="C581" i="2"/>
  <c r="B432" i="2"/>
  <c r="C162" i="2"/>
  <c r="F530" i="2"/>
  <c r="F356" i="2"/>
  <c r="D572" i="2"/>
  <c r="B258" i="2"/>
  <c r="C518" i="2"/>
  <c r="F342" i="2"/>
  <c r="E594" i="2"/>
  <c r="E170" i="2"/>
  <c r="D500" i="2"/>
  <c r="C186" i="2"/>
  <c r="B509" i="2"/>
  <c r="E306" i="2"/>
  <c r="F149" i="2"/>
  <c r="F367" i="2"/>
  <c r="E151" i="2"/>
  <c r="B474" i="2"/>
  <c r="E293" i="2"/>
  <c r="D192" i="2"/>
  <c r="B556" i="2"/>
  <c r="D506" i="2"/>
  <c r="E320" i="2"/>
  <c r="C269" i="2"/>
  <c r="D496" i="2"/>
  <c r="C336" i="2"/>
  <c r="B188" i="2"/>
  <c r="C565" i="2"/>
  <c r="B232" i="2"/>
  <c r="F171" i="2"/>
  <c r="E333" i="2"/>
  <c r="C410" i="2"/>
  <c r="C409" i="2"/>
  <c r="D212" i="2"/>
  <c r="C554" i="2"/>
  <c r="E322" i="2"/>
  <c r="D408" i="2"/>
  <c r="C521" i="2"/>
  <c r="E449" i="2"/>
  <c r="F247" i="2"/>
  <c r="E569" i="2"/>
  <c r="E469" i="2"/>
  <c r="B539" i="2"/>
  <c r="D362" i="2"/>
  <c r="F456" i="2"/>
  <c r="C444" i="2"/>
  <c r="B529" i="2"/>
  <c r="E169" i="2"/>
  <c r="B279" i="2"/>
  <c r="E157" i="2"/>
  <c r="B493" i="2"/>
  <c r="E315" i="2"/>
  <c r="D273" i="2"/>
  <c r="E399" i="2"/>
  <c r="C526" i="2"/>
  <c r="C590" i="2"/>
  <c r="D351" i="2"/>
  <c r="E317" i="2"/>
  <c r="F164" i="2"/>
  <c r="D489" i="2"/>
  <c r="D229" i="2"/>
  <c r="F463" i="2"/>
  <c r="E477" i="2"/>
  <c r="D155" i="2"/>
  <c r="B467" i="2"/>
  <c r="C354" i="2"/>
  <c r="E472" i="2"/>
  <c r="D585" i="2"/>
  <c r="E264" i="2"/>
  <c r="B488" i="2"/>
  <c r="F273" i="2"/>
  <c r="E512" i="2"/>
  <c r="F598" i="2"/>
  <c r="D438" i="2"/>
  <c r="B477" i="2"/>
  <c r="F296" i="2"/>
  <c r="B278" i="2"/>
  <c r="E487" i="2"/>
  <c r="B294" i="2"/>
  <c r="D206" i="2"/>
  <c r="E146" i="2"/>
  <c r="F218" i="2"/>
  <c r="D312" i="2"/>
  <c r="F435" i="2"/>
  <c r="C238" i="2"/>
  <c r="E243" i="2"/>
  <c r="F604" i="2"/>
  <c r="E362" i="2"/>
  <c r="C400" i="2"/>
  <c r="C290" i="2"/>
  <c r="B391" i="2"/>
  <c r="D460" i="2"/>
  <c r="C399" i="2"/>
  <c r="B295" i="2"/>
  <c r="B581" i="2"/>
  <c r="D332" i="2"/>
  <c r="D371" i="2"/>
  <c r="D168" i="2"/>
  <c r="C421" i="2"/>
  <c r="B535" i="2"/>
  <c r="B532" i="2"/>
  <c r="C459" i="2"/>
  <c r="F545" i="2"/>
  <c r="B170" i="2"/>
  <c r="E235" i="2"/>
  <c r="D203" i="2"/>
  <c r="D235" i="2"/>
  <c r="C224" i="2"/>
  <c r="B417" i="2"/>
  <c r="F287" i="2"/>
  <c r="C378" i="2"/>
  <c r="C289" i="2"/>
  <c r="B446" i="2"/>
  <c r="B399" i="2"/>
  <c r="E219" i="2"/>
  <c r="B256" i="2"/>
  <c r="E427" i="2"/>
  <c r="B439" i="2"/>
  <c r="C588" i="2"/>
  <c r="C434" i="2"/>
  <c r="F590" i="2"/>
  <c r="B346" i="2"/>
  <c r="C184" i="2"/>
  <c r="F191" i="2"/>
  <c r="D386" i="2"/>
  <c r="B143" i="2"/>
  <c r="B571" i="2"/>
  <c r="D600" i="2"/>
  <c r="E209" i="2"/>
  <c r="D339" i="2"/>
  <c r="C165" i="2"/>
  <c r="B260" i="2"/>
  <c r="B388" i="2"/>
  <c r="B290" i="2"/>
  <c r="E312" i="2"/>
  <c r="F300" i="2"/>
  <c r="B500" i="2"/>
  <c r="B160" i="2"/>
  <c r="D393" i="2"/>
  <c r="D549" i="2"/>
  <c r="E263" i="2"/>
  <c r="D558" i="2"/>
  <c r="C306" i="2"/>
  <c r="E405" i="2"/>
  <c r="B444" i="2"/>
  <c r="C303" i="2"/>
  <c r="C551" i="2"/>
  <c r="B131" i="2"/>
  <c r="E130" i="2"/>
  <c r="F131" i="2"/>
  <c r="D130" i="2"/>
  <c r="B130" i="2"/>
  <c r="D131" i="2"/>
  <c r="C131" i="2"/>
  <c r="E131" i="2"/>
  <c r="C130" i="2"/>
  <c r="F600" i="2"/>
  <c r="F272" i="2"/>
  <c r="D162" i="2"/>
  <c r="D573" i="2"/>
  <c r="C569" i="2"/>
  <c r="C198" i="2"/>
  <c r="F324" i="2"/>
  <c r="F135" i="2"/>
  <c r="D492" i="2"/>
  <c r="C437" i="2"/>
  <c r="D405" i="2"/>
  <c r="C335" i="2"/>
  <c r="F295" i="2"/>
  <c r="C203" i="2"/>
  <c r="D308" i="2"/>
  <c r="D352" i="2"/>
  <c r="E369" i="2"/>
  <c r="C140" i="2"/>
  <c r="B173" i="2"/>
  <c r="D436" i="2"/>
  <c r="E510" i="2"/>
  <c r="F315" i="2"/>
  <c r="C305" i="2"/>
  <c r="F351" i="2"/>
  <c r="F372" i="2"/>
  <c r="D172" i="2"/>
  <c r="F365" i="2"/>
  <c r="F413" i="2"/>
  <c r="D534" i="2"/>
  <c r="E226" i="2"/>
  <c r="E406" i="2"/>
  <c r="F136" i="2"/>
  <c r="B333" i="2"/>
  <c r="F407" i="2"/>
  <c r="B536" i="2"/>
  <c r="E481" i="2"/>
  <c r="B376" i="2"/>
  <c r="B498" i="2"/>
  <c r="B304" i="2"/>
  <c r="F585" i="2"/>
  <c r="F286" i="2"/>
  <c r="E498" i="2"/>
  <c r="C150" i="2"/>
  <c r="F370" i="2"/>
  <c r="E384" i="2"/>
  <c r="F510" i="2"/>
  <c r="D592" i="2"/>
  <c r="D333" i="2"/>
  <c r="F320" i="2"/>
  <c r="F161" i="2"/>
  <c r="F391" i="2"/>
  <c r="C332" i="2"/>
  <c r="D601" i="2"/>
  <c r="D296" i="2"/>
  <c r="D491" i="2"/>
  <c r="C263" i="2"/>
  <c r="B573" i="2"/>
  <c r="F578" i="2"/>
  <c r="D569" i="2"/>
  <c r="B196" i="2"/>
  <c r="D199" i="2"/>
  <c r="D147" i="2"/>
  <c r="B504" i="2"/>
  <c r="C441" i="2"/>
  <c r="C452" i="2"/>
  <c r="B478" i="2"/>
  <c r="C404" i="2"/>
  <c r="F221" i="2"/>
  <c r="D359" i="2"/>
  <c r="B310" i="2"/>
  <c r="F293" i="2"/>
  <c r="D327" i="2"/>
  <c r="E336" i="2"/>
  <c r="B461" i="2"/>
  <c r="F307" i="2"/>
  <c r="F203" i="2"/>
  <c r="F495" i="2"/>
  <c r="B161" i="2"/>
  <c r="F362" i="2"/>
  <c r="D196" i="2"/>
  <c r="F258" i="2"/>
  <c r="F160" i="2"/>
  <c r="D290" i="2"/>
  <c r="B209" i="2"/>
  <c r="B424" i="2"/>
  <c r="F301" i="2"/>
  <c r="F442" i="2"/>
  <c r="F271" i="2"/>
  <c r="C533" i="2"/>
  <c r="C469" i="2"/>
  <c r="C278" i="2"/>
  <c r="F449" i="2"/>
  <c r="B176" i="2"/>
  <c r="E541" i="2"/>
  <c r="F399" i="2"/>
  <c r="E453" i="2"/>
  <c r="F461" i="2"/>
  <c r="E162" i="2"/>
  <c r="E429" i="2"/>
  <c r="C486" i="2"/>
  <c r="F364" i="2"/>
  <c r="B235" i="2"/>
  <c r="C593" i="2"/>
  <c r="D512" i="2"/>
  <c r="C592" i="2"/>
  <c r="E328" i="2"/>
  <c r="D165" i="2"/>
  <c r="B588" i="2"/>
  <c r="F322" i="2"/>
  <c r="E546" i="2"/>
  <c r="C387" i="2"/>
  <c r="D511" i="2"/>
  <c r="B526" i="2"/>
  <c r="F476" i="2"/>
  <c r="D545" i="2"/>
  <c r="D344" i="2"/>
  <c r="C602" i="2"/>
  <c r="C558" i="2"/>
  <c r="C220" i="2"/>
  <c r="F494" i="2"/>
  <c r="E308" i="2"/>
  <c r="D185" i="2"/>
  <c r="D133" i="2"/>
  <c r="C484" i="2"/>
  <c r="D602" i="2"/>
  <c r="B261" i="2"/>
  <c r="C160" i="2"/>
  <c r="C249" i="2"/>
  <c r="B513" i="2"/>
  <c r="C338" i="2"/>
  <c r="D547" i="2"/>
  <c r="D237" i="2"/>
  <c r="C261" i="2"/>
  <c r="B369" i="2"/>
  <c r="F358" i="2"/>
  <c r="D539" i="2"/>
  <c r="F159" i="2"/>
  <c r="E302" i="2"/>
  <c r="B586" i="2"/>
  <c r="D294" i="2"/>
  <c r="D581" i="2"/>
  <c r="B590" i="2"/>
  <c r="B387" i="2"/>
  <c r="D173" i="2"/>
  <c r="C438" i="2"/>
  <c r="D215" i="2"/>
  <c r="F257" i="2"/>
  <c r="B166" i="2"/>
  <c r="C231" i="2"/>
  <c r="C490" i="2"/>
  <c r="E269" i="2"/>
  <c r="B364" i="2"/>
  <c r="B373" i="2"/>
  <c r="C356" i="2"/>
  <c r="B440" i="2"/>
  <c r="D358" i="2"/>
  <c r="C393" i="2"/>
  <c r="E310" i="2"/>
  <c r="D448" i="2"/>
  <c r="B521" i="2"/>
  <c r="B321" i="2"/>
  <c r="F206" i="2"/>
  <c r="E601" i="2"/>
  <c r="D246" i="2"/>
  <c r="B215" i="2"/>
  <c r="C215" i="2"/>
  <c r="D311" i="2"/>
  <c r="F488" i="2"/>
  <c r="E147" i="2"/>
  <c r="C537" i="2"/>
  <c r="B284" i="2"/>
  <c r="D258" i="2"/>
  <c r="C323" i="2"/>
  <c r="B270" i="2"/>
  <c r="B144" i="2"/>
  <c r="C195" i="2"/>
  <c r="C559" i="2"/>
  <c r="E554" i="2"/>
  <c r="C422" i="2"/>
  <c r="C251" i="2"/>
  <c r="C167" i="2"/>
  <c r="F465" i="2"/>
  <c r="D159" i="2"/>
  <c r="D505" i="2"/>
  <c r="D169" i="2"/>
  <c r="D432" i="2"/>
  <c r="F153" i="2"/>
  <c r="D530" i="2"/>
  <c r="E192" i="2"/>
  <c r="B496" i="2"/>
  <c r="E227" i="2"/>
  <c r="D459" i="2"/>
  <c r="D481" i="2"/>
  <c r="C206" i="2"/>
  <c r="E208" i="2"/>
  <c r="D175" i="2"/>
  <c r="E135" i="2"/>
  <c r="F423" i="2"/>
  <c r="E377" i="2"/>
  <c r="D445" i="2"/>
  <c r="D313" i="2"/>
  <c r="F388" i="2"/>
  <c r="E303" i="2"/>
  <c r="F163" i="2"/>
  <c r="E237" i="2"/>
  <c r="F150" i="2"/>
  <c r="E439" i="2"/>
  <c r="B208" i="2"/>
  <c r="D391" i="2"/>
  <c r="C267" i="2"/>
  <c r="B198" i="2"/>
  <c r="E549" i="2"/>
  <c r="F420" i="2"/>
  <c r="F195" i="2"/>
  <c r="C190" i="2"/>
  <c r="D346" i="2"/>
  <c r="C478" i="2"/>
  <c r="E556" i="2"/>
  <c r="F352" i="2"/>
  <c r="C255" i="2"/>
  <c r="C516" i="2"/>
  <c r="F434" i="2"/>
  <c r="B393" i="2"/>
  <c r="D250" i="2"/>
  <c r="E553" i="2"/>
  <c r="E533" i="2"/>
  <c r="F250" i="2"/>
  <c r="B255" i="2"/>
  <c r="E189" i="2"/>
  <c r="F538" i="2"/>
  <c r="D353" i="2"/>
  <c r="B202" i="2"/>
  <c r="F557" i="2"/>
  <c r="B252" i="2"/>
  <c r="C376" i="2"/>
  <c r="F241" i="2"/>
  <c r="C523" i="2"/>
  <c r="B385" i="2"/>
  <c r="F436" i="2"/>
  <c r="D134" i="2"/>
  <c r="E211" i="2"/>
  <c r="B341" i="2"/>
  <c r="B168" i="2"/>
  <c r="B204" i="2"/>
  <c r="D487" i="2"/>
  <c r="B359" i="2"/>
  <c r="E153" i="2"/>
  <c r="F450" i="2"/>
  <c r="D364" i="2"/>
  <c r="B470" i="2"/>
  <c r="E518" i="2"/>
  <c r="B301" i="2"/>
  <c r="E350" i="2"/>
  <c r="F207" i="2"/>
  <c r="D370" i="2"/>
  <c r="D295" i="2"/>
  <c r="E582" i="2"/>
  <c r="D553" i="2"/>
  <c r="E321" i="2"/>
  <c r="C265" i="2"/>
  <c r="C446" i="2"/>
  <c r="D580" i="2"/>
  <c r="D532" i="2"/>
  <c r="D388" i="2"/>
  <c r="D186" i="2"/>
  <c r="B281" i="2"/>
  <c r="D262" i="2"/>
  <c r="D191" i="2"/>
  <c r="E501" i="2"/>
  <c r="B394" i="2"/>
  <c r="C216" i="2"/>
  <c r="D193" i="2"/>
  <c r="C359" i="2"/>
  <c r="F204" i="2"/>
  <c r="B443" i="2"/>
  <c r="C286" i="2"/>
  <c r="B267" i="2"/>
  <c r="D540" i="2"/>
  <c r="F536" i="2"/>
  <c r="C346" i="2"/>
  <c r="B471" i="2"/>
  <c r="D354" i="2"/>
  <c r="F217" i="2"/>
  <c r="D395" i="2"/>
  <c r="E583" i="2"/>
  <c r="E451" i="2"/>
  <c r="C415" i="2"/>
  <c r="B233" i="2"/>
  <c r="D495" i="2"/>
  <c r="B280" i="2"/>
  <c r="B203" i="2"/>
  <c r="F259" i="2"/>
  <c r="B600" i="2"/>
  <c r="B311" i="2"/>
  <c r="F244" i="2"/>
  <c r="B241" i="2"/>
  <c r="C137" i="2"/>
  <c r="C309" i="2"/>
  <c r="C351" i="2"/>
  <c r="C519" i="2"/>
  <c r="D231" i="2"/>
  <c r="C308" i="2"/>
  <c r="B458" i="2"/>
  <c r="E401" i="2"/>
  <c r="C234" i="2"/>
  <c r="F515" i="2"/>
  <c r="D154" i="2"/>
  <c r="F458" i="2"/>
  <c r="F513" i="2"/>
  <c r="B543" i="2"/>
  <c r="E335" i="2"/>
  <c r="C477" i="2"/>
  <c r="C591" i="2"/>
  <c r="F523" i="2"/>
  <c r="C243" i="2"/>
  <c r="C178" i="2"/>
  <c r="E370" i="2"/>
  <c r="C445" i="2"/>
  <c r="E497" i="2"/>
  <c r="E324" i="2"/>
  <c r="D420" i="2"/>
  <c r="E570" i="2"/>
  <c r="B583" i="2"/>
  <c r="C358" i="2"/>
  <c r="B212" i="2"/>
  <c r="D535" i="2"/>
  <c r="E339" i="2"/>
  <c r="E266" i="2"/>
  <c r="F232" i="2"/>
  <c r="E144" i="2"/>
  <c r="C389" i="2"/>
  <c r="E359" i="2"/>
  <c r="D181" i="2"/>
  <c r="F373" i="2"/>
  <c r="E420" i="2"/>
  <c r="F566" i="2"/>
  <c r="D214" i="2"/>
  <c r="C475" i="2"/>
  <c r="D583" i="2"/>
  <c r="D499" i="2"/>
  <c r="D598" i="2"/>
  <c r="C539" i="2"/>
  <c r="F539" i="2"/>
  <c r="F326" i="2"/>
  <c r="D469" i="2"/>
  <c r="C273" i="2"/>
  <c r="E184" i="2"/>
  <c r="C272" i="2"/>
  <c r="B449" i="2"/>
  <c r="E318" i="2"/>
  <c r="C295" i="2"/>
  <c r="B451" i="2"/>
  <c r="E143" i="2"/>
  <c r="B169" i="2"/>
  <c r="F433" i="2"/>
  <c r="F424" i="2"/>
  <c r="B524" i="2"/>
  <c r="E298" i="2"/>
  <c r="C568" i="2"/>
  <c r="B225" i="2"/>
  <c r="C436" i="2"/>
  <c r="C495" i="2"/>
  <c r="D390" i="2"/>
  <c r="B487" i="2"/>
  <c r="D458" i="2"/>
  <c r="F520" i="2"/>
  <c r="C553" i="2"/>
  <c r="C280" i="2"/>
  <c r="C545" i="2"/>
  <c r="E218" i="2"/>
  <c r="B421" i="2"/>
  <c r="B363" i="2"/>
  <c r="E334" i="2"/>
  <c r="C291" i="2"/>
  <c r="C188" i="2"/>
  <c r="F432" i="2"/>
  <c r="E394" i="2"/>
  <c r="D176" i="2"/>
  <c r="D587" i="2"/>
  <c r="B552" i="2"/>
  <c r="B431" i="2"/>
  <c r="E232" i="2"/>
  <c r="F481" i="2"/>
  <c r="B134" i="2"/>
  <c r="E354" i="2"/>
  <c r="F567" i="2"/>
  <c r="C549" i="2"/>
  <c r="E538" i="2"/>
  <c r="F243" i="2"/>
  <c r="F178" i="2"/>
  <c r="D357" i="2"/>
  <c r="F599" i="2"/>
  <c r="B253" i="2"/>
  <c r="E585" i="2"/>
  <c r="F483" i="2"/>
  <c r="F282" i="2"/>
  <c r="E433" i="2"/>
  <c r="F270" i="2"/>
  <c r="C213" i="2"/>
  <c r="C385" i="2"/>
  <c r="B324" i="2"/>
  <c r="D439" i="2"/>
  <c r="C239" i="2"/>
  <c r="D514" i="2"/>
  <c r="F239" i="2"/>
  <c r="C500" i="2"/>
  <c r="F279" i="2"/>
  <c r="B570" i="2"/>
  <c r="F264" i="2"/>
  <c r="D382" i="2"/>
  <c r="C546" i="2"/>
  <c r="F184" i="2"/>
  <c r="C296" i="2"/>
  <c r="B320" i="2"/>
  <c r="C221" i="2"/>
  <c r="E304" i="2"/>
  <c r="F297" i="2"/>
  <c r="E415" i="2"/>
  <c r="F503" i="2"/>
  <c r="C525" i="2"/>
  <c r="D565" i="2"/>
  <c r="F491" i="2"/>
  <c r="E505" i="2"/>
  <c r="D225" i="2"/>
  <c r="C600" i="2"/>
  <c r="E160" i="2"/>
  <c r="D561" i="2"/>
  <c r="E319" i="2"/>
  <c r="E459" i="2"/>
  <c r="B371" i="2"/>
  <c r="E358" i="2"/>
  <c r="E356" i="2"/>
  <c r="E500" i="2"/>
  <c r="B286" i="2"/>
  <c r="E365" i="2"/>
  <c r="E408" i="2"/>
  <c r="C342" i="2"/>
  <c r="E338" i="2"/>
  <c r="F411" i="2"/>
  <c r="F421" i="2"/>
  <c r="B567" i="2"/>
  <c r="C161" i="2"/>
  <c r="E149" i="2"/>
  <c r="C432" i="2"/>
  <c r="B519" i="2"/>
  <c r="E460" i="2"/>
  <c r="B540" i="2"/>
  <c r="F359" i="2"/>
  <c r="F251" i="2"/>
  <c r="D451" i="2"/>
  <c r="C153" i="2"/>
  <c r="E186" i="2"/>
  <c r="D204" i="2"/>
  <c r="D533" i="2"/>
  <c r="F550" i="2"/>
  <c r="D139" i="2"/>
  <c r="F298" i="2"/>
  <c r="C299" i="2"/>
  <c r="F143" i="2"/>
  <c r="E444" i="2"/>
  <c r="C403" i="2"/>
  <c r="B213" i="2"/>
  <c r="B142" i="2"/>
  <c r="B367" i="2"/>
  <c r="C463" i="2"/>
  <c r="C418" i="2"/>
  <c r="C164" i="2"/>
  <c r="F518" i="2"/>
  <c r="D400" i="2"/>
  <c r="E254" i="2"/>
  <c r="C450" i="2"/>
  <c r="E247" i="2"/>
  <c r="F255" i="2"/>
  <c r="D392" i="2"/>
  <c r="D490" i="2"/>
  <c r="B427" i="2"/>
  <c r="C532" i="2"/>
  <c r="B139" i="2"/>
  <c r="E331" i="2"/>
  <c r="C465" i="2"/>
  <c r="D141" i="2"/>
  <c r="B522" i="2"/>
  <c r="B314" i="2"/>
  <c r="E182" i="2"/>
  <c r="F252" i="2"/>
  <c r="F542" i="2"/>
  <c r="D241" i="2"/>
  <c r="E456" i="2"/>
  <c r="B277" i="2"/>
  <c r="F426" i="2"/>
  <c r="E260" i="2"/>
  <c r="F403" i="2"/>
  <c r="F492" i="2"/>
  <c r="D579" i="2"/>
  <c r="D465" i="2"/>
  <c r="F306" i="2"/>
  <c r="F440" i="2"/>
  <c r="C315" i="2"/>
  <c r="E352" i="2"/>
  <c r="D211" i="2"/>
  <c r="C370" i="2"/>
  <c r="B574" i="2"/>
  <c r="C313" i="2"/>
  <c r="D247" i="2"/>
  <c r="E233" i="2"/>
  <c r="E353" i="2"/>
  <c r="F521" i="2"/>
  <c r="B329" i="2"/>
  <c r="B598" i="2"/>
  <c r="B561" i="2"/>
  <c r="D517" i="2"/>
  <c r="D414" i="2"/>
  <c r="F404" i="2"/>
  <c r="F213" i="2"/>
  <c r="B559" i="2"/>
  <c r="C192" i="2"/>
  <c r="C257" i="2"/>
  <c r="E492" i="2"/>
  <c r="F323" i="2"/>
  <c r="D268" i="2"/>
  <c r="C337" i="2"/>
  <c r="C139" i="2"/>
  <c r="E262" i="2"/>
  <c r="F340" i="2"/>
  <c r="B575" i="2"/>
  <c r="C580" i="2"/>
  <c r="F484" i="2"/>
  <c r="C476" i="2"/>
  <c r="D253" i="2"/>
  <c r="C362" i="2"/>
  <c r="B452" i="2"/>
  <c r="F446" i="2"/>
  <c r="B547" i="2"/>
  <c r="F489" i="2"/>
  <c r="B205" i="2"/>
  <c r="D300" i="2"/>
  <c r="E265" i="2"/>
  <c r="C232" i="2"/>
  <c r="B511" i="2"/>
  <c r="E387" i="2"/>
  <c r="F275" i="2"/>
  <c r="F415" i="2"/>
  <c r="B228" i="2"/>
  <c r="D379" i="2"/>
  <c r="D238" i="2"/>
  <c r="F379" i="2"/>
  <c r="F169" i="2"/>
  <c r="F499" i="2"/>
  <c r="B191" i="2"/>
  <c r="B491" i="2"/>
  <c r="D568" i="2"/>
  <c r="D604" i="2"/>
  <c r="F576" i="2"/>
  <c r="C320" i="2"/>
  <c r="F268" i="2"/>
  <c r="F170" i="2"/>
  <c r="F281" i="2"/>
  <c r="B211" i="2"/>
  <c r="B163" i="2"/>
  <c r="F422" i="2"/>
  <c r="F330" i="2"/>
  <c r="B591" i="2"/>
  <c r="B344" i="2"/>
  <c r="F190" i="2"/>
  <c r="E571" i="2"/>
  <c r="B334" i="2"/>
  <c r="F451" i="2"/>
  <c r="D446" i="2"/>
  <c r="F361" i="2"/>
  <c r="E344" i="2"/>
  <c r="C547" i="2"/>
  <c r="B568" i="2"/>
  <c r="D287" i="2"/>
  <c r="B456" i="2"/>
  <c r="E507" i="2"/>
  <c r="E463" i="2"/>
  <c r="D174" i="2"/>
  <c r="D527" i="2"/>
  <c r="D265" i="2"/>
  <c r="F522" i="2"/>
  <c r="C468" i="2"/>
  <c r="D479" i="2"/>
  <c r="F393" i="2"/>
  <c r="B403" i="2"/>
  <c r="D245" i="2"/>
  <c r="E342" i="2"/>
  <c r="D180" i="2"/>
  <c r="B220" i="2"/>
  <c r="B167" i="2"/>
  <c r="C208" i="2"/>
  <c r="C357" i="2"/>
  <c r="D226" i="2"/>
  <c r="F302" i="2"/>
  <c r="C138" i="2"/>
  <c r="E551" i="2"/>
  <c r="B381" i="2"/>
  <c r="B459" i="2"/>
  <c r="B411" i="2"/>
  <c r="F493" i="2"/>
  <c r="C361" i="2"/>
  <c r="D330" i="2"/>
  <c r="B268" i="2"/>
  <c r="B460" i="2"/>
  <c r="C483" i="2"/>
  <c r="D316" i="2"/>
  <c r="B494" i="2"/>
  <c r="D363" i="2"/>
  <c r="D177" i="2"/>
  <c r="D310" i="2"/>
  <c r="E305" i="2"/>
  <c r="C544" i="2"/>
  <c r="D286" i="2"/>
  <c r="D222" i="2"/>
  <c r="C247" i="2"/>
  <c r="D441" i="2"/>
  <c r="D555" i="2"/>
  <c r="E222" i="2"/>
  <c r="F292" i="2"/>
  <c r="E270" i="2"/>
  <c r="F579" i="2"/>
  <c r="E575" i="2"/>
  <c r="F175" i="2"/>
  <c r="F500" i="2"/>
  <c r="F208" i="2"/>
  <c r="D314" i="2"/>
  <c r="E314" i="2"/>
  <c r="F288" i="2"/>
  <c r="B392" i="2"/>
  <c r="E391" i="2"/>
  <c r="E452" i="2"/>
  <c r="E468" i="2"/>
  <c r="D279" i="2"/>
  <c r="E326" i="2"/>
  <c r="E511" i="2"/>
  <c r="E234" i="2"/>
  <c r="D189" i="2"/>
  <c r="F517" i="2"/>
  <c r="D304" i="2"/>
  <c r="F261" i="2"/>
  <c r="E580" i="2"/>
  <c r="B475" i="2"/>
  <c r="D416" i="2"/>
  <c r="D234" i="2"/>
  <c r="C204" i="2"/>
  <c r="C456" i="2"/>
  <c r="E591" i="2"/>
  <c r="E380" i="2"/>
  <c r="D429" i="2"/>
  <c r="F189" i="2"/>
  <c r="E446" i="2"/>
  <c r="D197" i="2"/>
  <c r="D188" i="2"/>
  <c r="E245" i="2"/>
  <c r="E430" i="2"/>
  <c r="B486" i="2"/>
  <c r="F574" i="2"/>
  <c r="B390" i="2"/>
  <c r="B309" i="2"/>
  <c r="E567" i="2"/>
  <c r="C155" i="2"/>
  <c r="F395" i="2"/>
  <c r="E288" i="2"/>
  <c r="C177" i="2"/>
  <c r="C207" i="2"/>
  <c r="F386" i="2"/>
  <c r="E280" i="2"/>
  <c r="E231" i="2"/>
  <c r="F327" i="2"/>
  <c r="B599" i="2"/>
  <c r="F357" i="2"/>
  <c r="E268" i="2"/>
  <c r="C369" i="2"/>
  <c r="C284" i="2"/>
  <c r="D307" i="2"/>
  <c r="B541" i="2"/>
  <c r="E154" i="2"/>
  <c r="D252" i="2"/>
  <c r="E403" i="2"/>
  <c r="B549" i="2"/>
  <c r="D291" i="2"/>
  <c r="B299" i="2"/>
  <c r="F284" i="2"/>
  <c r="C426" i="2"/>
  <c r="B328" i="2"/>
  <c r="B330" i="2"/>
  <c r="C301" i="2"/>
  <c r="C312" i="2"/>
  <c r="C540" i="2"/>
  <c r="D136" i="2"/>
  <c r="F229" i="2"/>
  <c r="F187" i="2"/>
  <c r="F502" i="2"/>
  <c r="E519" i="2"/>
  <c r="C133" i="2"/>
  <c r="D202" i="2"/>
  <c r="E517" i="2"/>
  <c r="F543" i="2"/>
  <c r="B345" i="2"/>
  <c r="F568" i="2"/>
  <c r="C319" i="2"/>
  <c r="C457" i="2"/>
  <c r="B335" i="2"/>
  <c r="C285" i="2"/>
  <c r="F162" i="2"/>
  <c r="E410" i="2"/>
  <c r="C513" i="2"/>
  <c r="B517" i="2"/>
  <c r="B155" i="2"/>
  <c r="E329" i="2"/>
  <c r="E447" i="2"/>
  <c r="C334" i="2"/>
  <c r="D557" i="2"/>
  <c r="C511" i="2"/>
  <c r="D345" i="2"/>
  <c r="B563" i="2"/>
  <c r="B206" i="2"/>
  <c r="C368" i="2"/>
  <c r="E521" i="2"/>
  <c r="B171" i="2"/>
  <c r="B560" i="2"/>
  <c r="B222" i="2"/>
  <c r="F378" i="2"/>
  <c r="D263" i="2"/>
  <c r="D544" i="2"/>
  <c r="F299" i="2"/>
  <c r="D342" i="2"/>
  <c r="C148" i="2"/>
  <c r="F139" i="2"/>
  <c r="F177" i="2"/>
  <c r="E491" i="2"/>
  <c r="D282" i="2"/>
  <c r="C447" i="2"/>
  <c r="D259" i="2"/>
  <c r="C170" i="2"/>
  <c r="D518" i="2"/>
  <c r="E203" i="2"/>
  <c r="E309" i="2"/>
  <c r="C141" i="2"/>
  <c r="D571" i="2"/>
  <c r="C210" i="2"/>
  <c r="E548" i="2"/>
  <c r="C364" i="2"/>
  <c r="B506" i="2"/>
  <c r="B407" i="2"/>
  <c r="E389" i="2"/>
  <c r="E141" i="2"/>
  <c r="E140" i="2"/>
  <c r="D138" i="2"/>
  <c r="E424" i="2"/>
  <c r="C191" i="2"/>
  <c r="B463" i="2"/>
  <c r="D586" i="2"/>
  <c r="F471" i="2"/>
  <c r="C360" i="2"/>
  <c r="D399" i="2"/>
  <c r="E461" i="2"/>
  <c r="F416" i="2"/>
  <c r="E565" i="2"/>
  <c r="F333" i="2"/>
  <c r="F156" i="2"/>
  <c r="E202" i="2"/>
  <c r="D457" i="2"/>
  <c r="B338" i="2"/>
  <c r="F587" i="2"/>
  <c r="C416" i="2"/>
  <c r="C464" i="2"/>
  <c r="B326" i="2"/>
  <c r="D494" i="2"/>
  <c r="F563" i="2"/>
  <c r="E296" i="2"/>
  <c r="C250" i="2"/>
  <c r="D516" i="2"/>
  <c r="B558" i="2"/>
  <c r="C202" i="2"/>
  <c r="E277" i="2"/>
  <c r="D513" i="2"/>
  <c r="C402" i="2"/>
  <c r="C512" i="2"/>
  <c r="B495" i="2"/>
  <c r="E513" i="2"/>
  <c r="F332" i="2"/>
  <c r="E590" i="2"/>
  <c r="C149" i="2"/>
  <c r="B430" i="2"/>
  <c r="D184" i="2"/>
  <c r="B374" i="2"/>
  <c r="E327" i="2"/>
  <c r="B597" i="2"/>
  <c r="F345" i="2"/>
  <c r="F425" i="2"/>
  <c r="E175" i="2"/>
  <c r="F460" i="2"/>
  <c r="C228" i="2"/>
  <c r="E230" i="2"/>
  <c r="F457" i="2"/>
  <c r="F487" i="2"/>
  <c r="D599" i="2"/>
  <c r="E360" i="2"/>
  <c r="C174" i="2"/>
  <c r="F148" i="2"/>
  <c r="B468" i="2"/>
  <c r="D337" i="2"/>
  <c r="B162" i="2"/>
  <c r="E409" i="2"/>
  <c r="F535" i="2"/>
  <c r="B189" i="2"/>
  <c r="B592" i="2"/>
  <c r="E178" i="2"/>
  <c r="B386" i="2"/>
  <c r="B152" i="2"/>
  <c r="F469" i="2"/>
  <c r="E586" i="2"/>
  <c r="E283" i="2"/>
  <c r="E562" i="2"/>
  <c r="F575" i="2"/>
  <c r="B179" i="2"/>
  <c r="C394" i="2"/>
  <c r="F254" i="2"/>
  <c r="D410" i="2"/>
  <c r="E598" i="2"/>
  <c r="F134" i="2"/>
  <c r="D236" i="2"/>
  <c r="B507" i="2"/>
  <c r="E525" i="2"/>
  <c r="E448" i="2"/>
  <c r="F514" i="2"/>
  <c r="C201" i="2"/>
  <c r="C508" i="2"/>
  <c r="C480" i="2"/>
  <c r="C310" i="2"/>
  <c r="C199" i="2"/>
  <c r="C564" i="2"/>
  <c r="C176" i="2"/>
  <c r="B413" i="2"/>
  <c r="B274" i="2"/>
  <c r="D588" i="2"/>
  <c r="E179" i="2"/>
  <c r="F396" i="2"/>
  <c r="D464" i="2"/>
  <c r="C574" i="2"/>
  <c r="E372" i="2"/>
  <c r="D425" i="2"/>
  <c r="B378" i="2"/>
  <c r="E258" i="2"/>
  <c r="D163" i="2"/>
  <c r="F482" i="2"/>
  <c r="E503" i="2"/>
  <c r="F142" i="2"/>
  <c r="D230" i="2"/>
  <c r="B302" i="2"/>
  <c r="F512" i="2"/>
  <c r="B425" i="2"/>
  <c r="D536" i="2"/>
  <c r="B195" i="2"/>
  <c r="B305" i="2"/>
  <c r="C595" i="2"/>
  <c r="E340" i="2"/>
  <c r="B339" i="2"/>
  <c r="C264" i="2"/>
  <c r="D183" i="2"/>
  <c r="D412" i="2"/>
  <c r="D293" i="2"/>
  <c r="D471" i="2"/>
  <c r="D477" i="2"/>
  <c r="D145" i="2"/>
  <c r="B218" i="2"/>
  <c r="F394" i="2"/>
  <c r="D182" i="2"/>
  <c r="B221" i="2"/>
  <c r="F445" i="2"/>
  <c r="C567" i="2"/>
  <c r="E486" i="2"/>
  <c r="E388" i="2"/>
  <c r="E195" i="2"/>
  <c r="C279" i="2"/>
  <c r="B550" i="2"/>
  <c r="D593" i="2"/>
  <c r="D149" i="2"/>
  <c r="D541" i="2"/>
  <c r="C489" i="2"/>
  <c r="D447" i="2"/>
  <c r="C235" i="2"/>
  <c r="C276" i="2"/>
  <c r="E351" i="2"/>
  <c r="E136" i="2"/>
  <c r="B234" i="2"/>
  <c r="B201" i="2"/>
  <c r="B426" i="2"/>
  <c r="F505" i="2"/>
  <c r="C472" i="2"/>
  <c r="F245" i="2"/>
  <c r="E462" i="2"/>
  <c r="F262" i="2"/>
  <c r="D277" i="2"/>
  <c r="E250" i="2"/>
  <c r="F439" i="2"/>
  <c r="B576" i="2"/>
  <c r="E495" i="2"/>
  <c r="D418" i="2"/>
  <c r="E593" i="2"/>
  <c r="C367" i="2"/>
  <c r="F376" i="2"/>
  <c r="C230" i="2"/>
  <c r="B490" i="2"/>
  <c r="B272" i="2"/>
  <c r="F548" i="2"/>
  <c r="D525" i="2"/>
  <c r="D158" i="2"/>
  <c r="F182" i="2"/>
  <c r="B483" i="2"/>
  <c r="E357" i="2"/>
  <c r="E221" i="2"/>
  <c r="F398" i="2"/>
  <c r="C557" i="2"/>
  <c r="B262" i="2"/>
  <c r="D150" i="2"/>
  <c r="F304" i="2"/>
  <c r="D548" i="2"/>
  <c r="C226" i="2"/>
  <c r="E307" i="2"/>
  <c r="E373" i="2"/>
  <c r="E532" i="2"/>
  <c r="B512" i="2"/>
  <c r="D233" i="2"/>
  <c r="C443" i="2"/>
  <c r="E402" i="2"/>
  <c r="D137" i="2"/>
  <c r="C582" i="2"/>
  <c r="F183" i="2"/>
  <c r="C497" i="2"/>
  <c r="B555" i="2"/>
  <c r="D360" i="2"/>
  <c r="E367" i="2"/>
  <c r="E172" i="2"/>
  <c r="C271" i="2"/>
  <c r="B251" i="2"/>
  <c r="D543" i="2"/>
  <c r="F565" i="2"/>
  <c r="C494" i="2"/>
  <c r="D142" i="2"/>
  <c r="C560" i="2"/>
  <c r="E527" i="2"/>
  <c r="F507" i="2"/>
  <c r="E164" i="2"/>
  <c r="E544" i="2"/>
  <c r="E473" i="2"/>
  <c r="F319" i="2"/>
  <c r="C143" i="2"/>
  <c r="B353" i="2"/>
  <c r="F375" i="2"/>
  <c r="C473" i="2"/>
  <c r="F586" i="2"/>
  <c r="D509" i="2"/>
  <c r="D288" i="2"/>
  <c r="F412" i="2"/>
  <c r="B510" i="2"/>
  <c r="D430" i="2"/>
  <c r="E217" i="2"/>
  <c r="C302" i="2"/>
  <c r="E587" i="2"/>
  <c r="B289" i="2"/>
  <c r="D461" i="2"/>
  <c r="B313" i="2"/>
  <c r="D413" i="2"/>
  <c r="E194" i="2"/>
  <c r="B238" i="2"/>
  <c r="C270" i="2"/>
  <c r="D493" i="2"/>
  <c r="B523" i="2"/>
  <c r="C135" i="2"/>
  <c r="B370" i="2"/>
  <c r="C260" i="2"/>
  <c r="B146" i="2"/>
  <c r="C180" i="2"/>
  <c r="C379" i="2"/>
  <c r="F290" i="2"/>
  <c r="E436" i="2"/>
  <c r="F263" i="2"/>
  <c r="B319" i="2"/>
  <c r="F537" i="2"/>
  <c r="E458" i="2"/>
  <c r="F381" i="2"/>
  <c r="F555" i="2"/>
  <c r="F573" i="2"/>
  <c r="F278" i="2"/>
  <c r="F478" i="2"/>
  <c r="E238" i="2"/>
  <c r="E241" i="2"/>
  <c r="D550" i="2"/>
  <c r="F157" i="2"/>
  <c r="D338" i="2"/>
  <c r="B455" i="2"/>
  <c r="D325" i="2"/>
  <c r="E479" i="2"/>
  <c r="D232" i="2"/>
  <c r="F223" i="2"/>
  <c r="F414" i="2"/>
  <c r="F470" i="2"/>
  <c r="F168" i="2"/>
  <c r="D584" i="2"/>
  <c r="B156" i="2"/>
  <c r="B259" i="2"/>
  <c r="B372" i="2"/>
  <c r="F408" i="2"/>
  <c r="C384" i="2"/>
  <c r="E561" i="2"/>
  <c r="F303" i="2"/>
  <c r="C412" i="2"/>
  <c r="E251" i="2"/>
  <c r="E555" i="2"/>
  <c r="D467" i="2"/>
  <c r="F146" i="2"/>
  <c r="F230" i="2"/>
  <c r="B423" i="2"/>
  <c r="E493" i="2"/>
  <c r="C297" i="2"/>
  <c r="D531" i="2"/>
  <c r="B355" i="2"/>
  <c r="E543" i="2"/>
  <c r="C570" i="2"/>
  <c r="D422" i="2"/>
  <c r="D603" i="2"/>
  <c r="B298" i="2"/>
  <c r="B285" i="2"/>
  <c r="F167" i="2"/>
  <c r="B434" i="2"/>
  <c r="B589" i="2"/>
  <c r="B347" i="2"/>
  <c r="D146" i="2"/>
  <c r="D453" i="2"/>
  <c r="F572" i="2"/>
  <c r="E229" i="2"/>
  <c r="B336" i="2"/>
  <c r="D305" i="2"/>
  <c r="C372" i="2"/>
  <c r="B389" i="2"/>
  <c r="E295" i="2"/>
  <c r="F368" i="2"/>
  <c r="B442" i="2"/>
  <c r="C157" i="2"/>
  <c r="E414" i="2"/>
  <c r="B412" i="2"/>
  <c r="B306" i="2"/>
  <c r="C341" i="2"/>
  <c r="E249" i="2"/>
  <c r="E215" i="2"/>
  <c r="B147" i="2"/>
  <c r="E550" i="2"/>
  <c r="F480" i="2"/>
</calcChain>
</file>

<file path=xl/sharedStrings.xml><?xml version="1.0" encoding="utf-8"?>
<sst xmlns="http://schemas.openxmlformats.org/spreadsheetml/2006/main" count="2017" uniqueCount="707">
  <si>
    <t>DATA</t>
  </si>
  <si>
    <t>DESCRIZIONE</t>
  </si>
  <si>
    <t>DARE</t>
  </si>
  <si>
    <t>AVERE</t>
  </si>
  <si>
    <t>PATRIMONIO NETTO</t>
  </si>
  <si>
    <t>DEBITI</t>
  </si>
  <si>
    <t>CREDITI</t>
  </si>
  <si>
    <t>COSTI D'ESERCIZIO</t>
  </si>
  <si>
    <t>RICAVI D'ESERCIZIO</t>
  </si>
  <si>
    <t>COSTI PLURIENNALI</t>
  </si>
  <si>
    <t>Codice</t>
  </si>
  <si>
    <t xml:space="preserve"> ECCEDENZA</t>
  </si>
  <si>
    <t xml:space="preserve"> CLASSIFICAZIONE</t>
  </si>
  <si>
    <t xml:space="preserve"> DESTINAZIONE</t>
  </si>
  <si>
    <t>COSTI SOSPESI</t>
  </si>
  <si>
    <t>01.00</t>
  </si>
  <si>
    <t>01.01</t>
  </si>
  <si>
    <t>SOFTWARE</t>
  </si>
  <si>
    <t>FONDO AMMORTAMENTO SOFTWARE</t>
  </si>
  <si>
    <t>IMMOBILIZZAZIONI IMMATERIALI</t>
  </si>
  <si>
    <t>IMMOBILIZZAZIONI MATERIALI</t>
  </si>
  <si>
    <t>02.00</t>
  </si>
  <si>
    <t>FABBRICATI</t>
  </si>
  <si>
    <t>IMPIANTI E MACCHINARI</t>
  </si>
  <si>
    <t>MACCHINE D'UFFICIO</t>
  </si>
  <si>
    <t>ARREDAMENTO</t>
  </si>
  <si>
    <t>AUTOMEZZI</t>
  </si>
  <si>
    <t>FONDO AMMORTAMENTO FABBRICATI</t>
  </si>
  <si>
    <t>02.01</t>
  </si>
  <si>
    <t>02.02</t>
  </si>
  <si>
    <t>02.04</t>
  </si>
  <si>
    <t>02.05</t>
  </si>
  <si>
    <t>02.06</t>
  </si>
  <si>
    <t>02.07</t>
  </si>
  <si>
    <t>02.08</t>
  </si>
  <si>
    <t>02.11</t>
  </si>
  <si>
    <t>02.12</t>
  </si>
  <si>
    <t>02.14</t>
  </si>
  <si>
    <t>03.00</t>
  </si>
  <si>
    <t>IMMOBILIZZAZIONI FINANZIARIE</t>
  </si>
  <si>
    <t>MUTUI ATTIVI</t>
  </si>
  <si>
    <t>03.01</t>
  </si>
  <si>
    <t>04.00</t>
  </si>
  <si>
    <t>RIMANENZE</t>
  </si>
  <si>
    <t>MATERIE DI CONSUMO</t>
  </si>
  <si>
    <t>04.01</t>
  </si>
  <si>
    <t>05.00</t>
  </si>
  <si>
    <t>CREDITI COMMERCIALI</t>
  </si>
  <si>
    <t>CREDITI V/CLIENTI</t>
  </si>
  <si>
    <t>FATTURE DA EMETTERE</t>
  </si>
  <si>
    <t>CREDITI COMMERCIALI DIVERSI</t>
  </si>
  <si>
    <t>CLIENTI C/COSTI ANTICIPATI</t>
  </si>
  <si>
    <t>CAMBIALI ATTIVE</t>
  </si>
  <si>
    <t>CAMBIALI ALL'INCASSO</t>
  </si>
  <si>
    <t>CREDITI INSOLUTI</t>
  </si>
  <si>
    <t>CAMBIALI INSOLUTE</t>
  </si>
  <si>
    <t>FONDO SVALUTAZIONE CREDITI</t>
  </si>
  <si>
    <t>05.01</t>
  </si>
  <si>
    <t>05.02</t>
  </si>
  <si>
    <t>05.03</t>
  </si>
  <si>
    <t>05.05</t>
  </si>
  <si>
    <t>05.06</t>
  </si>
  <si>
    <t>05.07</t>
  </si>
  <si>
    <t>05.09</t>
  </si>
  <si>
    <t>05.10</t>
  </si>
  <si>
    <t>06.00</t>
  </si>
  <si>
    <t>CREDITI DIVERSI</t>
  </si>
  <si>
    <t>IVA NS/CREDITO</t>
  </si>
  <si>
    <t>IVA C/ACCONTO</t>
  </si>
  <si>
    <t>CREDITI PER CAUZIONI</t>
  </si>
  <si>
    <t>06.01</t>
  </si>
  <si>
    <t>06.05</t>
  </si>
  <si>
    <t>08.00</t>
  </si>
  <si>
    <t>DISPONIBILITÀ LIQUIDE</t>
  </si>
  <si>
    <t>C/C POSTALI</t>
  </si>
  <si>
    <t>08.01</t>
  </si>
  <si>
    <t>ASSEGNI</t>
  </si>
  <si>
    <t>DENARO IN CASSA</t>
  </si>
  <si>
    <t>RATEI E RISCONTI ATTIVI</t>
  </si>
  <si>
    <t>09.00</t>
  </si>
  <si>
    <t>RATEI ATTIVI</t>
  </si>
  <si>
    <t>RISCONTI ATTIVI</t>
  </si>
  <si>
    <t>09.01</t>
  </si>
  <si>
    <t>09.02</t>
  </si>
  <si>
    <t>10.00</t>
  </si>
  <si>
    <t>10.01</t>
  </si>
  <si>
    <t>PRELEVAMENTI EXTRAGESTIONE</t>
  </si>
  <si>
    <t>TITOLARE C/RITENUTE SUBITE</t>
  </si>
  <si>
    <t>UTILE D'ESERCIZIO</t>
  </si>
  <si>
    <t>PERDITA D'ESERCIZIO</t>
  </si>
  <si>
    <t>10.02</t>
  </si>
  <si>
    <t>10.03</t>
  </si>
  <si>
    <t>10.04</t>
  </si>
  <si>
    <t>10.05</t>
  </si>
  <si>
    <t>11.00</t>
  </si>
  <si>
    <t>FONDO RESPONSABILITÀ CIVILE</t>
  </si>
  <si>
    <t>11.01</t>
  </si>
  <si>
    <t>12.00</t>
  </si>
  <si>
    <t>DEBITI PER TFR</t>
  </si>
  <si>
    <t>12.01</t>
  </si>
  <si>
    <t>DEBITI FINANZIARI</t>
  </si>
  <si>
    <t>13.00</t>
  </si>
  <si>
    <t>MUTUI PASSIVI</t>
  </si>
  <si>
    <t>BANCHE C/RI.BA. SBF</t>
  </si>
  <si>
    <t>BANCHE C/ANTICIPI SU FATTURE</t>
  </si>
  <si>
    <t>BANCHE C/INTERESSI MATURATI</t>
  </si>
  <si>
    <t>14.00</t>
  </si>
  <si>
    <t>DEBITI COMMERCIALI</t>
  </si>
  <si>
    <t>DEBITI V/FORNITORI</t>
  </si>
  <si>
    <t>FATTURE DA RICEVERE</t>
  </si>
  <si>
    <t>CAMBIALI PASSIVE</t>
  </si>
  <si>
    <t>CLIENTI C/ACCONTI</t>
  </si>
  <si>
    <t>14.01</t>
  </si>
  <si>
    <t>14.03</t>
  </si>
  <si>
    <t>15.00</t>
  </si>
  <si>
    <t>DEBITI DIVERSI</t>
  </si>
  <si>
    <t>IVA NS/DEBITO</t>
  </si>
  <si>
    <t>DEBITI PER RITENUTE DA VERSARE</t>
  </si>
  <si>
    <t>DEBITI PER CAUZIONI</t>
  </si>
  <si>
    <t>PERSONALE C/RETRIBUZIONI</t>
  </si>
  <si>
    <t>15.01</t>
  </si>
  <si>
    <t>15.02</t>
  </si>
  <si>
    <t>15.06</t>
  </si>
  <si>
    <t>RATEI E RISCONTI PASSIVI</t>
  </si>
  <si>
    <t>16.00</t>
  </si>
  <si>
    <t>RATEI PASSIVI</t>
  </si>
  <si>
    <t>RISCONTI PASSIVI</t>
  </si>
  <si>
    <t>16.01</t>
  </si>
  <si>
    <t>16.02</t>
  </si>
  <si>
    <t>18.00</t>
  </si>
  <si>
    <t>BILANCIO DI CHIUSURA</t>
  </si>
  <si>
    <t>IVA C/LIQUIDAZIONE</t>
  </si>
  <si>
    <t>ISTITUTI PREVIDENZIALI</t>
  </si>
  <si>
    <t>18.01</t>
  </si>
  <si>
    <t>18.02</t>
  </si>
  <si>
    <t>20.00</t>
  </si>
  <si>
    <t>20.01</t>
  </si>
  <si>
    <t>20.02</t>
  </si>
  <si>
    <t>30.00</t>
  </si>
  <si>
    <t>MATERIE DI CONSUMO C/ACQUISTI</t>
  </si>
  <si>
    <t>30.01</t>
  </si>
  <si>
    <t>30.02</t>
  </si>
  <si>
    <t>30.05</t>
  </si>
  <si>
    <t>30.10</t>
  </si>
  <si>
    <t>30.11</t>
  </si>
  <si>
    <t>30.12</t>
  </si>
  <si>
    <t>31.00</t>
  </si>
  <si>
    <t>COSTI PER SERVIZI</t>
  </si>
  <si>
    <t>COSTI DI TRASPORTO</t>
  </si>
  <si>
    <t>COSTI PER ENERGIA</t>
  </si>
  <si>
    <t>PUBBLICITÀ</t>
  </si>
  <si>
    <t>CONSULENZE</t>
  </si>
  <si>
    <t>COSTI TELEFONICI</t>
  </si>
  <si>
    <t>COSTI DI VIGILANZA</t>
  </si>
  <si>
    <t>COSTI POSTALI</t>
  </si>
  <si>
    <t>ASSICURAZIONI</t>
  </si>
  <si>
    <t>COSTI PER I LOCALI</t>
  </si>
  <si>
    <t>MANUTENZIONI E RIPARAZIONI</t>
  </si>
  <si>
    <t>COSTI DI ETICHETTATURA</t>
  </si>
  <si>
    <t>PROVVIGIONI PASSIVE</t>
  </si>
  <si>
    <t>31.01</t>
  </si>
  <si>
    <t>31.02</t>
  </si>
  <si>
    <t>31.03</t>
  </si>
  <si>
    <t>31.04</t>
  </si>
  <si>
    <t>32.00</t>
  </si>
  <si>
    <t>32.01</t>
  </si>
  <si>
    <t>32.02</t>
  </si>
  <si>
    <t>FITTI PASSIVI</t>
  </si>
  <si>
    <t>CANONI DI LEASING</t>
  </si>
  <si>
    <t>COSTI PER IL PERSONALE</t>
  </si>
  <si>
    <t>33.00</t>
  </si>
  <si>
    <t>SALARI E STIPENDI</t>
  </si>
  <si>
    <t>TFR</t>
  </si>
  <si>
    <t>33.01</t>
  </si>
  <si>
    <t>33.02</t>
  </si>
  <si>
    <t>33.03</t>
  </si>
  <si>
    <t>34.00</t>
  </si>
  <si>
    <t>34.01</t>
  </si>
  <si>
    <t>AMMORTAMENTO SOFTWARE</t>
  </si>
  <si>
    <t>AMMORTAMENTO FABBRICATI</t>
  </si>
  <si>
    <t>AMMORTAMENTO IMPIANTI E MACCHINARI</t>
  </si>
  <si>
    <t>AMMORTAMENTO MACCHINE D'UFFICIO</t>
  </si>
  <si>
    <t>AMMORTAMENTO ARREDAMENTO</t>
  </si>
  <si>
    <t>AMMORTAMENTO AUTOMEZZI</t>
  </si>
  <si>
    <t>MATERIE DI CONSUMO C/ESISTENZE INIZIALI</t>
  </si>
  <si>
    <t>MATERIE DI CONSUMO C/RIMANENZE FINALI</t>
  </si>
  <si>
    <t>38.00</t>
  </si>
  <si>
    <t>ONERI DIVERSI</t>
  </si>
  <si>
    <t>39.00</t>
  </si>
  <si>
    <t>39.01</t>
  </si>
  <si>
    <t>ONERI FISCALI DIVERSI</t>
  </si>
  <si>
    <t>PERDITE SU CREDITI</t>
  </si>
  <si>
    <t>40.00</t>
  </si>
  <si>
    <t>PROVENTI FINANZIARI</t>
  </si>
  <si>
    <t>PROVENTI FINANZIARI DIVERSI</t>
  </si>
  <si>
    <t>41.00</t>
  </si>
  <si>
    <t>ONERI FINANZIARI</t>
  </si>
  <si>
    <t>INTERESSI PASSIVI BANCARI</t>
  </si>
  <si>
    <t>INTERESSI PASSIVI SU MUTUI</t>
  </si>
  <si>
    <t>ONERI FINANZIARI DIVERSI</t>
  </si>
  <si>
    <t>41.01</t>
  </si>
  <si>
    <t>41.02</t>
  </si>
  <si>
    <t>41.03</t>
  </si>
  <si>
    <t>90.00</t>
  </si>
  <si>
    <t>90.01</t>
  </si>
  <si>
    <t>CONTO DI RISULTATO ECONOMICO</t>
  </si>
  <si>
    <t>SP DARE</t>
  </si>
  <si>
    <t>RATEI, FONDI RISCHI E ONERI</t>
  </si>
  <si>
    <t>RICAVI SOSPESI</t>
  </si>
  <si>
    <t>PLUSVALENZE</t>
  </si>
  <si>
    <t>MINUSVALENZE</t>
  </si>
  <si>
    <t>A</t>
  </si>
  <si>
    <t>SP AVERE</t>
  </si>
  <si>
    <t>SE AVERE</t>
  </si>
  <si>
    <t>SE DARE</t>
  </si>
  <si>
    <t>B</t>
  </si>
  <si>
    <t>C</t>
  </si>
  <si>
    <t>SE COSTI</t>
  </si>
  <si>
    <t>SE RICAVI</t>
  </si>
  <si>
    <t>SP DARE/AVERE</t>
  </si>
  <si>
    <t>TOTALE ATTIVITÀ</t>
  </si>
  <si>
    <t>TOTALE PASSIVITÀ</t>
  </si>
  <si>
    <t>SITUAZIONE ECONOMICA</t>
  </si>
  <si>
    <t>SVALUTAZIONE CREDITI</t>
  </si>
  <si>
    <t>CODICE</t>
  </si>
  <si>
    <t>DENOMINAZIONE</t>
  </si>
  <si>
    <t>NATURA</t>
  </si>
  <si>
    <t>ECCEDENZA</t>
  </si>
  <si>
    <t>CLASSIFICAZIONE</t>
  </si>
  <si>
    <t>DESTINAZIONE</t>
  </si>
  <si>
    <t>BLOCCO-A</t>
  </si>
  <si>
    <t>BLOCCO-B</t>
  </si>
  <si>
    <t>BLOCCO-C</t>
  </si>
  <si>
    <t>RAGRUPPAMENTO</t>
  </si>
  <si>
    <t>mastri aperti</t>
  </si>
  <si>
    <t>dare</t>
  </si>
  <si>
    <t>avere</t>
  </si>
  <si>
    <t>mastro</t>
  </si>
  <si>
    <t>FILTRO VALORI INIZIALI</t>
  </si>
  <si>
    <t>SE ECCEDENZE</t>
  </si>
  <si>
    <t>TOT DARE</t>
  </si>
  <si>
    <t>TOT AVERE</t>
  </si>
  <si>
    <t>ECC. DARE</t>
  </si>
  <si>
    <t>ECC AVERE</t>
  </si>
  <si>
    <t>PER TOTALI</t>
  </si>
  <si>
    <t>PER ECCEDENZE</t>
  </si>
  <si>
    <t>FORMATTAZIONE</t>
  </si>
  <si>
    <t>PER TOTALI ED ECCEDENZE</t>
  </si>
  <si>
    <t>TOTALE</t>
  </si>
  <si>
    <t>MAX TOTALE</t>
  </si>
  <si>
    <t>IMPORTO</t>
  </si>
  <si>
    <t xml:space="preserve">TOT O ECC </t>
  </si>
  <si>
    <t>TOT E ECC</t>
  </si>
  <si>
    <t>TOT RICAVI</t>
  </si>
  <si>
    <t>FINALE RICAVI</t>
  </si>
  <si>
    <t>TOT COSTI</t>
  </si>
  <si>
    <t>E</t>
  </si>
  <si>
    <t>F</t>
  </si>
  <si>
    <t>data mastri</t>
  </si>
  <si>
    <t xml:space="preserve">      </t>
  </si>
  <si>
    <t xml:space="preserve">  DENOMINAZIONE DEI CONTI</t>
  </si>
  <si>
    <t>Nr. riga</t>
  </si>
  <si>
    <t>TOTALE A PAREGGIO</t>
  </si>
  <si>
    <t>FONDO MANUTENZIONI PROGRAMMATE</t>
  </si>
  <si>
    <t xml:space="preserve"> DENOMINAZIONE DEI CONTI</t>
  </si>
  <si>
    <t xml:space="preserve"> DESCRIZIONE</t>
  </si>
  <si>
    <t>RETTIFICHE COSTI PLURIENNALI</t>
  </si>
  <si>
    <t>RETTIFICHE RICAVI D'ESERCIZIO</t>
  </si>
  <si>
    <t>RETTIFICHE COSTI D'ESERCIZIO</t>
  </si>
  <si>
    <t>MASTRO</t>
  </si>
  <si>
    <t>ATTIVA</t>
  </si>
  <si>
    <t>PIENA</t>
  </si>
  <si>
    <t>COSTI</t>
  </si>
  <si>
    <t>RICAVI</t>
  </si>
  <si>
    <t>N</t>
  </si>
  <si>
    <t>N+1</t>
  </si>
  <si>
    <t>D</t>
  </si>
  <si>
    <t>D/A</t>
  </si>
  <si>
    <t>SCRITTURE DI CHIUSURA</t>
  </si>
  <si>
    <t>SCRITTURE DI APERTURA</t>
  </si>
  <si>
    <t>apertura</t>
  </si>
  <si>
    <t>CONTI SUDDIVISI PER CLASSIFICAZIONE</t>
  </si>
  <si>
    <t>CONTI SUDDIVISI PER RAGGRUPPAMENTO</t>
  </si>
  <si>
    <t>DENOMINAZIONE DEL CONTO</t>
  </si>
  <si>
    <t>B)_Immobilizzazioni</t>
  </si>
  <si>
    <t>_I___-_Immobilizzazioni immateriali</t>
  </si>
  <si>
    <t>_II__-_Immobilizzazioni materiali</t>
  </si>
  <si>
    <t>_III_-_Immobilizzazioni finanziarie</t>
  </si>
  <si>
    <t>_____Totale immobilizzazioni</t>
  </si>
  <si>
    <t>C)_Attivo circolante</t>
  </si>
  <si>
    <t>__I_-_Rimanenze</t>
  </si>
  <si>
    <t>_II_-_Crediti</t>
  </si>
  <si>
    <t>_IV_-_Disponibilità liquide</t>
  </si>
  <si>
    <t>_____Totale attivo circolante</t>
  </si>
  <si>
    <t>D) Ratei e risconti</t>
  </si>
  <si>
    <t>A)_Patrimonio netto</t>
  </si>
  <si>
    <t>B) Fondi per rischi e oneri</t>
  </si>
  <si>
    <t>C) Trattamento di fine rapporto di lavoro subordinato</t>
  </si>
  <si>
    <t>D) Debiti</t>
  </si>
  <si>
    <t>E) Ratei e risconti</t>
  </si>
  <si>
    <t>A) Valore della produzione</t>
  </si>
  <si>
    <t>__1) ricavi delle vendite e delle prestazioni</t>
  </si>
  <si>
    <t>__2) variazioni delle rimanenze di prodotti in corso di lavorazione, semilavorati e finiti</t>
  </si>
  <si>
    <t>__4) incrementi di immobilizzazioni per lavori interni</t>
  </si>
  <si>
    <t>__5) altri ricavi e proventi</t>
  </si>
  <si>
    <t/>
  </si>
  <si>
    <t>_____ arrotondamento attivo</t>
  </si>
  <si>
    <t>__Totale A</t>
  </si>
  <si>
    <t>B) Costi della produzione</t>
  </si>
  <si>
    <t>__6) per materie prime, sussidiarie, di consumo e di merci</t>
  </si>
  <si>
    <t>__7) per servizi</t>
  </si>
  <si>
    <t>__8) per godimento di beni di terzi</t>
  </si>
  <si>
    <t>__9) per il personale:</t>
  </si>
  <si>
    <t>____a) salari e stipendi</t>
  </si>
  <si>
    <t>____b) oneri sociali</t>
  </si>
  <si>
    <t>____c) trattamento di fine rapporto</t>
  </si>
  <si>
    <t>____d) trattamento di quiescenza e simili</t>
  </si>
  <si>
    <t>____e) altri costi</t>
  </si>
  <si>
    <t>_10) ammortamenti e svalutazioni:</t>
  </si>
  <si>
    <t>____b) ammortamento delle immobilizzazioni materiali</t>
  </si>
  <si>
    <t>____c) altre svalutazioni delle immobilizzazioni</t>
  </si>
  <si>
    <t>____d) svalutazioni dei crediti compresi nell'attivo circolante e delle disponibilità liquide</t>
  </si>
  <si>
    <t>_12) accantonamenti per rischi</t>
  </si>
  <si>
    <t>_13) altri accantonamenti</t>
  </si>
  <si>
    <t>_14) oneri diversi di gestione</t>
  </si>
  <si>
    <t>_____ arrotondamento passivo</t>
  </si>
  <si>
    <t>__Totale B</t>
  </si>
  <si>
    <t>__Differenza tra valore e costi della produzione (A-B)</t>
  </si>
  <si>
    <t>C) Proventi e oneri finanziari</t>
  </si>
  <si>
    <t>_15) proventi da partecipazione</t>
  </si>
  <si>
    <t>_16) altri proventi finanziari:</t>
  </si>
  <si>
    <t>____a) da crediti iscritti nelle immobilizzazioni</t>
  </si>
  <si>
    <t>____b) da titoli iscritti nelle immobilizzazioni che non costituiscono partecipazioni</t>
  </si>
  <si>
    <t>____c) da titoli iscritti nell'attivo circolante che non costituiscono partecipazioni</t>
  </si>
  <si>
    <t>____d) proventi diversi dai precedenti</t>
  </si>
  <si>
    <t>_17) interessi e altri oneri finanziari</t>
  </si>
  <si>
    <t>_17 bis) utili e perdite su cambi</t>
  </si>
  <si>
    <t>__Totale C</t>
  </si>
  <si>
    <t>D) Rettifiche di valore di attività e passività finanziarie</t>
  </si>
  <si>
    <t>_18) rivalutazioni:</t>
  </si>
  <si>
    <t>____a) di partecipazioni</t>
  </si>
  <si>
    <t>____b) di immobilizzazioni finanziarie che non costituiscono partecipazioni</t>
  </si>
  <si>
    <t>____c) di titoli iscritti nell'attivo circolante che non costituiscono partecipazioni</t>
  </si>
  <si>
    <t>____d) di strumenti finanziari derivati</t>
  </si>
  <si>
    <t>_19) svalutazioni</t>
  </si>
  <si>
    <t>__Totale D</t>
  </si>
  <si>
    <t>_20) imposte sul reddito dell'esercizio, correnti, differite e anticipate</t>
  </si>
  <si>
    <t>pab</t>
  </si>
  <si>
    <t>pab1</t>
  </si>
  <si>
    <t>pab2</t>
  </si>
  <si>
    <t>pab3</t>
  </si>
  <si>
    <t>pac</t>
  </si>
  <si>
    <t>pac1</t>
  </si>
  <si>
    <t>pac2</t>
  </si>
  <si>
    <t>pad</t>
  </si>
  <si>
    <t>ppa</t>
  </si>
  <si>
    <t>ppa1</t>
  </si>
  <si>
    <t>ppa2</t>
  </si>
  <si>
    <t>ppa3</t>
  </si>
  <si>
    <t>ppb</t>
  </si>
  <si>
    <t>ppc</t>
  </si>
  <si>
    <t>ppd</t>
  </si>
  <si>
    <t>ppe</t>
  </si>
  <si>
    <t>ea1</t>
  </si>
  <si>
    <t>ea2</t>
  </si>
  <si>
    <t>ea3</t>
  </si>
  <si>
    <t>ea4</t>
  </si>
  <si>
    <t>ea5</t>
  </si>
  <si>
    <t>eb6</t>
  </si>
  <si>
    <t>eb7</t>
  </si>
  <si>
    <t>eb8</t>
  </si>
  <si>
    <t>eb9</t>
  </si>
  <si>
    <t>eb9a</t>
  </si>
  <si>
    <t>eb9b</t>
  </si>
  <si>
    <t>eb9c</t>
  </si>
  <si>
    <t>eb9d</t>
  </si>
  <si>
    <t>eb9e</t>
  </si>
  <si>
    <t>eb10</t>
  </si>
  <si>
    <t>eb10a</t>
  </si>
  <si>
    <t>eb10b</t>
  </si>
  <si>
    <t>eb10c</t>
  </si>
  <si>
    <t>eb10d</t>
  </si>
  <si>
    <t>eb11</t>
  </si>
  <si>
    <t>eb12</t>
  </si>
  <si>
    <t>eb13</t>
  </si>
  <si>
    <t>eb14</t>
  </si>
  <si>
    <t>ec15</t>
  </si>
  <si>
    <t>ec16a</t>
  </si>
  <si>
    <t>ec16b</t>
  </si>
  <si>
    <t>ec16c</t>
  </si>
  <si>
    <t>ec16d</t>
  </si>
  <si>
    <t>ec17</t>
  </si>
  <si>
    <t>ec17b</t>
  </si>
  <si>
    <t>ed18a</t>
  </si>
  <si>
    <t>ed18b</t>
  </si>
  <si>
    <t>ed18c</t>
  </si>
  <si>
    <t>ed18d</t>
  </si>
  <si>
    <t>ed19a</t>
  </si>
  <si>
    <t>ed19b</t>
  </si>
  <si>
    <t>ed19c</t>
  </si>
  <si>
    <t>ed19d</t>
  </si>
  <si>
    <t>e20</t>
  </si>
  <si>
    <t>e21</t>
  </si>
  <si>
    <t>pac4</t>
  </si>
  <si>
    <t>ONERI SOCIALI</t>
  </si>
  <si>
    <t>Capitale proprio</t>
  </si>
  <si>
    <t>Rettifica per arrotondamento</t>
  </si>
  <si>
    <t>Totale patrimonio netto</t>
  </si>
  <si>
    <t>Risultato prima delle imposte (A - B +/- C)</t>
  </si>
  <si>
    <t>I TOTALI SONO CORRETTAMENTE VISUALIZZATI</t>
  </si>
  <si>
    <t>anno</t>
  </si>
  <si>
    <t>VISUALIZZA UN CONTO IN EVIDENZA</t>
  </si>
  <si>
    <t>stampa SP</t>
  </si>
  <si>
    <t>distanza sp se</t>
  </si>
  <si>
    <t>ordine mastri</t>
  </si>
  <si>
    <t>A - COSTITUZIONE, ACQUISTI E VENDITE</t>
  </si>
  <si>
    <t>B - ALTRE OPERAZIONI DI GESTIONE</t>
  </si>
  <si>
    <t>C - SCRITTURE DI ASSESTAMENTO</t>
  </si>
  <si>
    <t>RIGHE TRA I PROSPETTI</t>
  </si>
  <si>
    <t>Riquadro dI controllo: DENOMINAZIONE dei conti</t>
  </si>
  <si>
    <t>Opzioni di visualizzazione</t>
  </si>
  <si>
    <t>TOT. DARE</t>
  </si>
  <si>
    <t>TOT. AVERE</t>
  </si>
  <si>
    <t>Nascondi righe dalla n.</t>
  </si>
  <si>
    <t>LIVELLO DI PROGRESSIONE DEL PROGRAMMA</t>
  </si>
  <si>
    <t>RINOMINARE I CONTI</t>
  </si>
  <si>
    <t>x</t>
  </si>
  <si>
    <t>OPZIONI DI STAMPA</t>
  </si>
  <si>
    <t>CONTROLLO: conti accesi alle imposte</t>
  </si>
  <si>
    <t>CONTROLLO: conti con alternanza di saldo</t>
  </si>
  <si>
    <t>Tutti i conti presentino un'eccedenza corretta</t>
  </si>
  <si>
    <t>La denominazione di tutti i conti sia corretta</t>
  </si>
  <si>
    <t>Riporta la descrizione Valore iniziale</t>
  </si>
  <si>
    <t>Periodo di riferimento dei prospetti</t>
  </si>
  <si>
    <t>Riquadro di controllo: ECCEDENZA dei conti</t>
  </si>
  <si>
    <t>Informazioni di carattere finanziario relative ai:</t>
  </si>
  <si>
    <t>RIQUADRI DI CONTROLLO: conti finanziari accesi alle imposte - conti con alternanza di saldo</t>
  </si>
  <si>
    <t>SCEGLI VERSIONE</t>
  </si>
  <si>
    <t>VISUALIZZA TUTTI I CONTI</t>
  </si>
  <si>
    <t>CONTI D'ORDINE</t>
  </si>
  <si>
    <t>STUDENTE</t>
  </si>
  <si>
    <t>ESERCIZIO</t>
  </si>
  <si>
    <t>DELIMITAZIONE ARTICOLO ATTIVATA</t>
  </si>
  <si>
    <t>OPZIONI DI VISUALIZZAZIONE</t>
  </si>
  <si>
    <t>Nel Libro giornale, il totale DARE coincida con il totale AVERE</t>
  </si>
  <si>
    <t>VISUALIZZA:</t>
  </si>
  <si>
    <t>BILANCIO DI APERTURA</t>
  </si>
  <si>
    <t>Il conto PATRIMONIO NETTO sia acceso</t>
  </si>
  <si>
    <t>È possibile riportare la Situazione contabile pregressa o singoli valori, per totali o per eccedenze. I valori devono essere riferiti all'anno corrente.</t>
  </si>
  <si>
    <t>.</t>
  </si>
  <si>
    <t>I conti d'ordine siano bilancianti</t>
  </si>
  <si>
    <t>Il conto transitorio BILANCIO DI APERTURA bilanci</t>
  </si>
  <si>
    <t>Uno o più conti accesi alle rettifiche dei costi pluriennali non superino gli importi da rettificare</t>
  </si>
  <si>
    <t>I valori iniziali siano bilancianti</t>
  </si>
  <si>
    <t>Il capitale proprio non sia negativo</t>
  </si>
  <si>
    <t>Uno o più movimenti sul libro giornale non siano successivi all'esercizio N+1</t>
  </si>
  <si>
    <t>Uno o più movimenti sul libro giornale non siano precedenti all'esercizio N</t>
  </si>
  <si>
    <t>Le rettifiche dei costi di acquisto non superino i costi da rettificare</t>
  </si>
  <si>
    <t>Le rettifiche dei ricavi di vendita non superino i ricavi da rettificare</t>
  </si>
  <si>
    <t>Le rettifiche dei crediti non superino i crediti da rettificare</t>
  </si>
  <si>
    <t>Non sia stato movimentato il conto CONTO DI RISULTATO ECONOMICO</t>
  </si>
  <si>
    <t>Non sia stato movimentato il conto BILANCIO DI CHIUSURA</t>
  </si>
  <si>
    <t>Non sia stato movimentato il conto UTILE D'ESERCIZIO</t>
  </si>
  <si>
    <t>Non sia stato movimentato il conto PERDITA D'ESERCIZIO</t>
  </si>
  <si>
    <t>Una stessa riga del libro giornale non sia stata contemporaneamente addebitata e accreditata</t>
  </si>
  <si>
    <t>Uno o più  movimenti nel Foglio Valori iniziali non abbiano segno negativo</t>
  </si>
  <si>
    <t>Uno o più  movimenti nel Libro giornale non abbiano segno negativo</t>
  </si>
  <si>
    <t>La descrizione Valore iniziale può essere modificata sovrascrivendone il testo</t>
  </si>
  <si>
    <t>GG</t>
  </si>
  <si>
    <t>MM</t>
  </si>
  <si>
    <t>AA</t>
  </si>
  <si>
    <t>La suddivisione dei conti è quella impostata nel Foglio Libro Giornale</t>
  </si>
  <si>
    <t>_11) variazioni delle rimanenze di materie prime, sussidiarie, di consumo e merci</t>
  </si>
  <si>
    <t>CREDITI V/ISTITUTI PREVIDENZIALI</t>
  </si>
  <si>
    <t>BANCHE C/C ATTIVI</t>
  </si>
  <si>
    <t>BANCHE C/C PASSIVI</t>
  </si>
  <si>
    <t>DEBITI V/ISTITUTI PREVIDENZIALI</t>
  </si>
  <si>
    <t>SOPRAVVENIENZE ATTIVE</t>
  </si>
  <si>
    <t>INSUSSISTENZE ATTIVE</t>
  </si>
  <si>
    <t>20.10</t>
  </si>
  <si>
    <t>ARROTONDAMENTI ATTIVI</t>
  </si>
  <si>
    <t>20.11</t>
  </si>
  <si>
    <t>PROVENTI VARI</t>
  </si>
  <si>
    <t>39.05</t>
  </si>
  <si>
    <t>SOPRAVVENIENZE PASSIVE</t>
  </si>
  <si>
    <t>39.06</t>
  </si>
  <si>
    <t>INSUSSISTENZE PASSIVE</t>
  </si>
  <si>
    <t>ARROTONDAMENTI PASSIVI</t>
  </si>
  <si>
    <t>VISUALIZZA I MOVIMENTI DEI CONTI E IL SALDO</t>
  </si>
  <si>
    <t>____a) ammortamento delle immobilizzazioni immateriali e materiali</t>
  </si>
  <si>
    <t>AVVIAMENTO</t>
  </si>
  <si>
    <t>01.11</t>
  </si>
  <si>
    <t>FONDO AMMORTAMENTO AVVIAMENTO</t>
  </si>
  <si>
    <t>FORNITORI IMMOBILIZZ. IMMATERIALI C/ACCONTI</t>
  </si>
  <si>
    <t>IMBALLAGGI DUREVOLI</t>
  </si>
  <si>
    <t>FONDO AMMORT. IMPIANTI E MACCHINARI</t>
  </si>
  <si>
    <t>02.15</t>
  </si>
  <si>
    <t>FONDO AMMORT. MACCHINE D'UFFICIO</t>
  </si>
  <si>
    <t>02.16</t>
  </si>
  <si>
    <t>FONDO AMMORT. ARREDAMENTO</t>
  </si>
  <si>
    <t>02.17</t>
  </si>
  <si>
    <t>FONDO AMMORT. AUTOMEZZI</t>
  </si>
  <si>
    <t>02.18</t>
  </si>
  <si>
    <t>FONDO AMMORT. IMBALLAGGI DUREVOLI</t>
  </si>
  <si>
    <t>FORNITORI IMMOBILIZZ. MATERIALI C/ACCONTI</t>
  </si>
  <si>
    <t>04.04</t>
  </si>
  <si>
    <t>MERCI</t>
  </si>
  <si>
    <t>04.10</t>
  </si>
  <si>
    <t>FORNITORI C/ACCONTI</t>
  </si>
  <si>
    <t>CAMBIALI ALLO SCONTO</t>
  </si>
  <si>
    <t>05.11</t>
  </si>
  <si>
    <t>CREDITI DA LIQUIDARE</t>
  </si>
  <si>
    <t>CREDITI PER ACCONTI DA CLIENTI</t>
  </si>
  <si>
    <t>06.10</t>
  </si>
  <si>
    <t>06.20</t>
  </si>
  <si>
    <t>PERSONALE C/ACCONTI</t>
  </si>
  <si>
    <t>08.10</t>
  </si>
  <si>
    <t>08.20</t>
  </si>
  <si>
    <t>08.21</t>
  </si>
  <si>
    <t>VALORI BOLLATI</t>
  </si>
  <si>
    <t>SP AVERE - SE DARE</t>
  </si>
  <si>
    <t>SP DARE - SE AVERE</t>
  </si>
  <si>
    <t>FONDI PER RISCHI E ONERI</t>
  </si>
  <si>
    <t>TRATTAMENTO FINE RAPPORTO</t>
  </si>
  <si>
    <t>13.10</t>
  </si>
  <si>
    <t>13.11</t>
  </si>
  <si>
    <t>13.20</t>
  </si>
  <si>
    <t>13.21</t>
  </si>
  <si>
    <t>DEBITI V/ALTRI FINANZIATORI</t>
  </si>
  <si>
    <t>14.20</t>
  </si>
  <si>
    <t>DEBITI DA LIQUIDARE</t>
  </si>
  <si>
    <t>DEBITI PER ACCONTI A FORNITORI</t>
  </si>
  <si>
    <t>DEBITI PER IVA</t>
  </si>
  <si>
    <t>15.20</t>
  </si>
  <si>
    <t>15.21</t>
  </si>
  <si>
    <t>PERSONALE C/LIQUIDAZIONE</t>
  </si>
  <si>
    <t>15.22</t>
  </si>
  <si>
    <t>15.30</t>
  </si>
  <si>
    <t>CONTI TRANSITORI E DIVERSI</t>
  </si>
  <si>
    <t>TRANSITORIO DI CONTROPARTITA</t>
  </si>
  <si>
    <t>18.10</t>
  </si>
  <si>
    <t>18.11</t>
  </si>
  <si>
    <t>18.20</t>
  </si>
  <si>
    <t>18.21</t>
  </si>
  <si>
    <t>19.00</t>
  </si>
  <si>
    <t>CONTI DEI SISTEMI MINORI</t>
  </si>
  <si>
    <t>19.01</t>
  </si>
  <si>
    <t>BENI DI TERZI</t>
  </si>
  <si>
    <t>19.02</t>
  </si>
  <si>
    <t>DEPOSITANTI BENI</t>
  </si>
  <si>
    <t>19.11</t>
  </si>
  <si>
    <t>19.12</t>
  </si>
  <si>
    <t>IMPEGNI PER BENI IN LEASING</t>
  </si>
  <si>
    <t>CREDITORI C/LEASING</t>
  </si>
  <si>
    <t>19.21</t>
  </si>
  <si>
    <t>19.22</t>
  </si>
  <si>
    <t>RISCHI PER FIDEIUSSIONI</t>
  </si>
  <si>
    <t>CREDITORI PER FIDEIUSSIONI</t>
  </si>
  <si>
    <t>MERCI C/VENDITE</t>
  </si>
  <si>
    <t>RESI SU VENDITE</t>
  </si>
  <si>
    <t>RIBASSI E ABBUONI PASSIVI</t>
  </si>
  <si>
    <t>20.12</t>
  </si>
  <si>
    <t>PREMI SU VENDITE</t>
  </si>
  <si>
    <t>FITTI ATTIVI</t>
  </si>
  <si>
    <t>RIMBORSI COSTI DI VENDITA</t>
  </si>
  <si>
    <t>MERCI C/ACQUISTI</t>
  </si>
  <si>
    <t>MERCI C/APPORTI</t>
  </si>
  <si>
    <t>RESI SU ACQUISTI</t>
  </si>
  <si>
    <t>RIBASSI E ABBUONI ATTIVI</t>
  </si>
  <si>
    <t>PREMI SU ACQUISTI</t>
  </si>
  <si>
    <t>MERCI C/ESISTENZE INIZIALI</t>
  </si>
  <si>
    <t>MERCI C/RIMANENZE FINALI</t>
  </si>
  <si>
    <t>31.05</t>
  </si>
  <si>
    <t>31.06</t>
  </si>
  <si>
    <t>31.07</t>
  </si>
  <si>
    <t>31.08</t>
  </si>
  <si>
    <t>31.09</t>
  </si>
  <si>
    <t>31.10</t>
  </si>
  <si>
    <t>31.11</t>
  </si>
  <si>
    <t>31.13</t>
  </si>
  <si>
    <t>31.14</t>
  </si>
  <si>
    <t>COMMISSIONI BANCARIE</t>
  </si>
  <si>
    <t>31.15</t>
  </si>
  <si>
    <t>COSTI PER GODIMENTO BENI DI TERZI</t>
  </si>
  <si>
    <t>AMMORTAMENTI IMMOBILIZZAZIONI IMMATERIALI</t>
  </si>
  <si>
    <t>AMMORTAMENTO AVVIAMENTO</t>
  </si>
  <si>
    <t>35.00</t>
  </si>
  <si>
    <t>AMMORTAMENTI IMMOBILIZZAZIONI MATERIALI</t>
  </si>
  <si>
    <t>35.01</t>
  </si>
  <si>
    <t>35.02</t>
  </si>
  <si>
    <t>35.04</t>
  </si>
  <si>
    <t>35.05</t>
  </si>
  <si>
    <t>35.06</t>
  </si>
  <si>
    <t>35.07</t>
  </si>
  <si>
    <t>35.08</t>
  </si>
  <si>
    <t>AMMORTAMENTO IMBALLAGGI DUREVOLI</t>
  </si>
  <si>
    <t>36.00</t>
  </si>
  <si>
    <t>SVALUTAZIONI</t>
  </si>
  <si>
    <t>37.00</t>
  </si>
  <si>
    <t>ACCANTONAMENTO PER RESPONSABILITÀ CIVILE</t>
  </si>
  <si>
    <t>ACCANTONAMENTO PER MANUTENZIONI PROGRAMMATE</t>
  </si>
  <si>
    <t>ACCANTONAMENTO PER IMPOSTE INDIRETTE</t>
  </si>
  <si>
    <t>39.10</t>
  </si>
  <si>
    <t>INTERESSI ATTIVI BANCARI</t>
  </si>
  <si>
    <t>INTERESSI ATTIVI POSTALI</t>
  </si>
  <si>
    <t>SCONTI PASSIVI BANCARI</t>
  </si>
  <si>
    <t>CONTI DI RISULTATO</t>
  </si>
  <si>
    <t>1.BANCA X C/C  - 2.BANCA Y C/C - 3. CEDENTE C/CESSIONE</t>
  </si>
  <si>
    <t>Assegnazione dei conti alle macroaree</t>
  </si>
  <si>
    <r>
      <t xml:space="preserve">Inserire una </t>
    </r>
    <r>
      <rPr>
        <b/>
        <sz val="9.5"/>
        <rFont val="Arial Narrow"/>
        <family val="2"/>
      </rPr>
      <t>X</t>
    </r>
    <r>
      <rPr>
        <sz val="9.5"/>
        <rFont val="Arial Narrow"/>
        <family val="2"/>
      </rPr>
      <t xml:space="preserve"> per filtrare i conti in relazione al livello di svolgimento del programma </t>
    </r>
  </si>
  <si>
    <t>IVA</t>
  </si>
  <si>
    <t>BILANCIO DELLE MICRO IMPRESE</t>
  </si>
  <si>
    <t>VISUALIZZA I CONTI SECONDO L'ORDINE DEL PIANO DEI CONTI</t>
  </si>
  <si>
    <t>CONTI CON ALTERNANZA DI SALDI</t>
  </si>
  <si>
    <t>31.90</t>
  </si>
  <si>
    <t>COSTI DI IMPIANTO</t>
  </si>
  <si>
    <t>01.03</t>
  </si>
  <si>
    <t>BREVETTI</t>
  </si>
  <si>
    <t>01.04</t>
  </si>
  <si>
    <t>01.05</t>
  </si>
  <si>
    <t>FONDO AMMORTAMENTO COSTI DI IMPIANTO</t>
  </si>
  <si>
    <t>01.13</t>
  </si>
  <si>
    <t>FONDO AMMORTAMENTO BREVETTI</t>
  </si>
  <si>
    <t>01.14</t>
  </si>
  <si>
    <t>01.15</t>
  </si>
  <si>
    <t>01.20</t>
  </si>
  <si>
    <t>ATTREZZATURE COMMERCIALI</t>
  </si>
  <si>
    <t>FONDO AMMORT. ATTREZZATURE COMMERCIALI</t>
  </si>
  <si>
    <t>02.30</t>
  </si>
  <si>
    <t>05.08</t>
  </si>
  <si>
    <t>05.15</t>
  </si>
  <si>
    <t>05.20</t>
  </si>
  <si>
    <t>06.02</t>
  </si>
  <si>
    <t>06.03</t>
  </si>
  <si>
    <t>08.02</t>
  </si>
  <si>
    <t>11.10</t>
  </si>
  <si>
    <t>13.01</t>
  </si>
  <si>
    <t>13.15</t>
  </si>
  <si>
    <t>SOVVENZIONI BANCARIE</t>
  </si>
  <si>
    <t>13.30</t>
  </si>
  <si>
    <t>14.02</t>
  </si>
  <si>
    <t>DEBITI COMMERCIALI DIVERSI</t>
  </si>
  <si>
    <t>14.06</t>
  </si>
  <si>
    <t>14.09</t>
  </si>
  <si>
    <t>14.15</t>
  </si>
  <si>
    <t>15.03</t>
  </si>
  <si>
    <t>15.07</t>
  </si>
  <si>
    <t>DEBITI V/FONDI PENSIONE</t>
  </si>
  <si>
    <t>15.23</t>
  </si>
  <si>
    <t>VALORE DELLA PRODUZIONE</t>
  </si>
  <si>
    <t>MERCI C/VENDITE ON LINE</t>
  </si>
  <si>
    <t>20.03</t>
  </si>
  <si>
    <t>SERVIZI ON LINE</t>
  </si>
  <si>
    <t>20.15</t>
  </si>
  <si>
    <t>20.16</t>
  </si>
  <si>
    <t>20.17</t>
  </si>
  <si>
    <t>20.20</t>
  </si>
  <si>
    <t>20.21</t>
  </si>
  <si>
    <t>20.22</t>
  </si>
  <si>
    <t>20.30</t>
  </si>
  <si>
    <t>COSTI PER MERCI E MATERIE DI CONSUMO</t>
  </si>
  <si>
    <t>COSTI DI INCASSO</t>
  </si>
  <si>
    <t>AMMORTAMENTO COSTI DI IMPIANTO</t>
  </si>
  <si>
    <t>34.03</t>
  </si>
  <si>
    <t>AMMORTAMENTO BREVETTI</t>
  </si>
  <si>
    <t>34.04</t>
  </si>
  <si>
    <t>34.05</t>
  </si>
  <si>
    <t>AMMORTAMENTO ATTREZZATURE COMMERCIALI</t>
  </si>
  <si>
    <t>36.20</t>
  </si>
  <si>
    <t>VARIAZIONI RIMANENZE MERCI E MATERIE DI CONSUMO</t>
  </si>
  <si>
    <t>37.01</t>
  </si>
  <si>
    <t>37.02</t>
  </si>
  <si>
    <t>37.10</t>
  </si>
  <si>
    <t>37.11</t>
  </si>
  <si>
    <t xml:space="preserve">ACCANTONAMENTI </t>
  </si>
  <si>
    <t>38.01</t>
  </si>
  <si>
    <t>38.10</t>
  </si>
  <si>
    <t>39.02</t>
  </si>
  <si>
    <t>39.11</t>
  </si>
  <si>
    <t>39.12</t>
  </si>
  <si>
    <t>40.01</t>
  </si>
  <si>
    <t>INTERESSI ATTIVI DA CLIENTI</t>
  </si>
  <si>
    <t>40.02</t>
  </si>
  <si>
    <t>40.03</t>
  </si>
  <si>
    <t>40.20</t>
  </si>
  <si>
    <t>INTERESSI PASSIVI A FORNITORI</t>
  </si>
  <si>
    <t>41.04</t>
  </si>
  <si>
    <t>41.20</t>
  </si>
  <si>
    <t>CREDITI PER IVA</t>
  </si>
  <si>
    <t>06.04</t>
  </si>
  <si>
    <t>15.04</t>
  </si>
  <si>
    <t>DEBITI FISCALI DIVERSI</t>
  </si>
  <si>
    <t>31.16</t>
  </si>
  <si>
    <t>COSTI DI TENUTA C/C</t>
  </si>
  <si>
    <t>QUADRO DEI CONTI DI UN'IMPRESA INDIVIDUALE - DAL FASCICOLO ALLEGATO AL LIBRO DI TESTO FUTURO IMPRESA SMART 3 - TE213FA - TRAMONTANA</t>
  </si>
  <si>
    <t>__3) variazioni di lavori in corso su ordinazione</t>
  </si>
  <si>
    <t>Tutti i movimenti nel Foglio Valori iniziali si riferiscano all'anno corrente</t>
  </si>
  <si>
    <t>Desktop: Office</t>
  </si>
  <si>
    <t>PIANO DEI CONTI</t>
  </si>
  <si>
    <t xml:space="preserve">LIBRO GIORNALE </t>
  </si>
  <si>
    <r>
      <rPr>
        <b/>
        <i/>
        <sz val="12"/>
        <color rgb="FFC00000"/>
        <rFont val="Arial Narrow"/>
        <family val="2"/>
      </rPr>
      <t>CONTI DI MASTRO</t>
    </r>
    <r>
      <rPr>
        <b/>
        <i/>
        <sz val="12"/>
        <color theme="1"/>
        <rFont val="Arial Narrow"/>
        <family val="2"/>
      </rPr>
      <t xml:space="preserve"> </t>
    </r>
  </si>
  <si>
    <t>SITUAZIONE CONTABILE</t>
  </si>
  <si>
    <r>
      <rPr>
        <b/>
        <i/>
        <sz val="12"/>
        <color rgb="FFC00000"/>
        <rFont val="Arial Narrow"/>
        <family val="2"/>
      </rPr>
      <t>SITUAZIONE CONTABILE PER DESTINAZIONE</t>
    </r>
    <r>
      <rPr>
        <b/>
        <i/>
        <sz val="12"/>
        <color theme="1"/>
        <rFont val="Arial Narrow"/>
        <family val="2"/>
      </rPr>
      <t xml:space="preserve"> </t>
    </r>
  </si>
  <si>
    <t>BILANCIO DI ESERCIZIO</t>
  </si>
  <si>
    <t xml:space="preserve">SCRITTURE DI CHIUSURA E DI APERTURA </t>
  </si>
  <si>
    <r>
      <rPr>
        <b/>
        <i/>
        <sz val="12"/>
        <color rgb="FFC00000"/>
        <rFont val="Arial Narrow"/>
        <family val="2"/>
      </rPr>
      <t>VALORI INIZIALI</t>
    </r>
    <r>
      <rPr>
        <b/>
        <i/>
        <sz val="12"/>
        <color theme="5"/>
        <rFont val="Arial Narrow"/>
        <family val="2"/>
      </rPr>
      <t xml:space="preserve"> </t>
    </r>
  </si>
  <si>
    <t>VISUALIZZA IL RISULTATO ECONOMICO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</si>
</sst>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#,##0.00_ ;\-#,##0.00\ "/>
    <numFmt numFmtId="166" formatCode="00000"/>
    <numFmt numFmtId="167" formatCode="[$-410]d\-mmm;@"/>
    <numFmt numFmtId="168" formatCode="_-&quot;€&quot;\ * #,##0.00000000000000000_-;\-&quot;€&quot;\ * #,##0.00000000000000000_-;_-&quot;€&quot;\ * &quot;-&quot;??_-;_-@_-"/>
    <numFmt numFmtId="169" formatCode="#,##0\ &quot;€&quot;"/>
  </numFmts>
  <fonts count="9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theme="0"/>
      <name val="Arial Narrow"/>
      <family val="2"/>
    </font>
    <font>
      <sz val="12"/>
      <color theme="0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Arial Narrow"/>
      <family val="2"/>
    </font>
    <font>
      <sz val="12"/>
      <name val="Calibri"/>
      <family val="2"/>
      <scheme val="minor"/>
    </font>
    <font>
      <sz val="12"/>
      <name val="Arial Narrow"/>
      <family val="2"/>
    </font>
    <font>
      <sz val="11"/>
      <name val="Arial Narrow"/>
      <family val="2"/>
    </font>
    <font>
      <b/>
      <sz val="14"/>
      <color theme="9" tint="-0.249977111117893"/>
      <name val="Arial Narrow"/>
      <family val="2"/>
    </font>
    <font>
      <sz val="1"/>
      <color theme="0"/>
      <name val="Calibri"/>
      <family val="2"/>
      <scheme val="minor"/>
    </font>
    <font>
      <b/>
      <sz val="14"/>
      <color rgb="FF0070C0"/>
      <name val="Arial Narrow"/>
      <family val="2"/>
    </font>
    <font>
      <b/>
      <sz val="12"/>
      <color theme="9" tint="-0.249977111117893"/>
      <name val="Arial Narrow"/>
      <family val="2"/>
    </font>
    <font>
      <sz val="10"/>
      <color theme="1"/>
      <name val="Arial Narrow"/>
      <family val="2"/>
    </font>
    <font>
      <b/>
      <i/>
      <sz val="12"/>
      <color theme="9" tint="-0.249977111117893"/>
      <name val="Arial Narrow"/>
      <family val="2"/>
    </font>
    <font>
      <sz val="10.5"/>
      <color theme="1"/>
      <name val="Arial Narrow"/>
      <family val="2"/>
    </font>
    <font>
      <b/>
      <sz val="15"/>
      <color rgb="FF0070C0"/>
      <name val="Arial Narrow"/>
      <family val="2"/>
    </font>
    <font>
      <b/>
      <sz val="10"/>
      <color theme="1"/>
      <name val="Arial Narrow"/>
      <family val="2"/>
    </font>
    <font>
      <sz val="9.5"/>
      <color theme="1"/>
      <name val="Arial Narrow"/>
      <family val="2"/>
    </font>
    <font>
      <b/>
      <sz val="9.5"/>
      <color rgb="FF000000"/>
      <name val="Arial Narrow"/>
      <family val="2"/>
    </font>
    <font>
      <sz val="9.5"/>
      <color rgb="FF000000"/>
      <name val="Arial Narrow"/>
      <family val="2"/>
    </font>
    <font>
      <i/>
      <sz val="11"/>
      <name val="Arial Narrow"/>
      <family val="2"/>
    </font>
    <font>
      <b/>
      <sz val="12"/>
      <name val="Arial Narrow"/>
      <family val="2"/>
    </font>
    <font>
      <b/>
      <sz val="12"/>
      <name val="Calibri"/>
      <family val="2"/>
      <scheme val="minor"/>
    </font>
    <font>
      <sz val="12"/>
      <color theme="8" tint="-0.499984740745262"/>
      <name val="Arial Narrow"/>
      <family val="2"/>
    </font>
    <font>
      <b/>
      <sz val="11"/>
      <color theme="9" tint="-0.249977111117893"/>
      <name val="Arial Narrow"/>
      <family val="2"/>
    </font>
    <font>
      <sz val="11"/>
      <color rgb="FFFF0000"/>
      <name val="Arial Narrow"/>
      <family val="2"/>
    </font>
    <font>
      <sz val="10"/>
      <name val="Arial Narrow"/>
      <family val="2"/>
    </font>
    <font>
      <sz val="20"/>
      <color theme="8" tint="-0.249977111117893"/>
      <name val="Arial Narrow"/>
      <family val="2"/>
    </font>
    <font>
      <b/>
      <sz val="15"/>
      <color theme="8" tint="-0.249977111117893"/>
      <name val="Arial Narrow"/>
      <family val="2"/>
    </font>
    <font>
      <b/>
      <sz val="12"/>
      <color rgb="FFFF0000"/>
      <name val="Arial Narrow"/>
      <family val="2"/>
    </font>
    <font>
      <b/>
      <sz val="12"/>
      <color theme="0"/>
      <name val="Arial Narrow"/>
      <family val="2"/>
    </font>
    <font>
      <b/>
      <sz val="9.5"/>
      <color theme="1"/>
      <name val="Arial Narrow"/>
      <family val="2"/>
    </font>
    <font>
      <b/>
      <i/>
      <sz val="9"/>
      <color theme="0"/>
      <name val="Arial Narrow"/>
      <family val="2"/>
    </font>
    <font>
      <b/>
      <i/>
      <sz val="9"/>
      <color theme="1"/>
      <name val="Arial Narrow"/>
      <family val="2"/>
    </font>
    <font>
      <i/>
      <sz val="12"/>
      <color theme="1"/>
      <name val="Arial Narrow"/>
      <family val="2"/>
    </font>
    <font>
      <i/>
      <sz val="12"/>
      <name val="Arial Narrow"/>
      <family val="2"/>
    </font>
    <font>
      <b/>
      <sz val="11"/>
      <color theme="2" tint="-0.499984740745262"/>
      <name val="Arial Narrow"/>
      <family val="2"/>
    </font>
    <font>
      <b/>
      <sz val="10"/>
      <color rgb="FFFF0000"/>
      <name val="Arial Narrow"/>
      <family val="2"/>
    </font>
    <font>
      <b/>
      <sz val="10"/>
      <name val="Arial Narrow"/>
      <family val="2"/>
    </font>
    <font>
      <sz val="12"/>
      <color theme="0"/>
      <name val="Ar"/>
    </font>
    <font>
      <sz val="12"/>
      <color theme="1"/>
      <name val="Ar"/>
    </font>
    <font>
      <b/>
      <sz val="11"/>
      <color theme="1"/>
      <name val="Arial Narrow"/>
      <family val="2"/>
    </font>
    <font>
      <b/>
      <sz val="10"/>
      <color rgb="FF00B050"/>
      <name val="Arial Narrow"/>
      <family val="2"/>
    </font>
    <font>
      <b/>
      <sz val="10"/>
      <color rgb="FFFFFF00"/>
      <name val="Arial Narrow"/>
      <family val="2"/>
    </font>
    <font>
      <b/>
      <sz val="10"/>
      <color theme="0"/>
      <name val="Arial Narrow"/>
      <family val="2"/>
    </font>
    <font>
      <b/>
      <i/>
      <sz val="10"/>
      <color theme="0"/>
      <name val="Arial Narrow"/>
      <family val="2"/>
    </font>
    <font>
      <b/>
      <sz val="11"/>
      <color theme="3" tint="0.39997558519241921"/>
      <name val="Arial Narrow"/>
      <family val="2"/>
    </font>
    <font>
      <b/>
      <sz val="11"/>
      <color rgb="FFFF0000"/>
      <name val="Arial Narrow"/>
      <family val="2"/>
    </font>
    <font>
      <b/>
      <sz val="14"/>
      <color theme="0"/>
      <name val="Arial Narrow"/>
      <family val="2"/>
    </font>
    <font>
      <b/>
      <sz val="14"/>
      <color rgb="FFFFC000"/>
      <name val="Arial Narrow"/>
      <family val="2"/>
    </font>
    <font>
      <b/>
      <sz val="8"/>
      <name val="Arial Narrow"/>
      <family val="2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Arial Narrow"/>
      <family val="2"/>
    </font>
    <font>
      <b/>
      <i/>
      <sz val="11"/>
      <color theme="1"/>
      <name val="Arial Narrow"/>
      <family val="2"/>
    </font>
    <font>
      <i/>
      <sz val="12"/>
      <color theme="0"/>
      <name val="Arial Narrow"/>
      <family val="2"/>
    </font>
    <font>
      <b/>
      <i/>
      <sz val="12"/>
      <color theme="0"/>
      <name val="Arial Narrow"/>
      <family val="2"/>
    </font>
    <font>
      <b/>
      <i/>
      <sz val="12"/>
      <color rgb="FFC00000"/>
      <name val="Arial Narrow"/>
      <family val="2"/>
    </font>
    <font>
      <b/>
      <i/>
      <sz val="14"/>
      <color theme="0"/>
      <name val="Arial Narrow"/>
      <family val="2"/>
    </font>
    <font>
      <b/>
      <i/>
      <sz val="14"/>
      <color rgb="FFC00000"/>
      <name val="Arial Narrow"/>
      <family val="2"/>
    </font>
    <font>
      <b/>
      <i/>
      <sz val="12"/>
      <color rgb="FFD81624"/>
      <name val="Arial Narrow"/>
      <family val="2"/>
    </font>
    <font>
      <b/>
      <i/>
      <sz val="12"/>
      <color rgb="FF0070C0"/>
      <name val="Arial Narrow"/>
      <family val="2"/>
    </font>
    <font>
      <b/>
      <i/>
      <sz val="12"/>
      <color theme="5"/>
      <name val="Arial Narrow"/>
      <family val="2"/>
    </font>
    <font>
      <b/>
      <sz val="12"/>
      <color theme="9" tint="-0.249977111117893"/>
      <name val="Calibri"/>
      <family val="2"/>
      <scheme val="minor"/>
    </font>
    <font>
      <sz val="9"/>
      <name val="Arial Narrow"/>
      <family val="2"/>
    </font>
    <font>
      <b/>
      <u/>
      <sz val="10"/>
      <color theme="9" tint="-0.249977111117893"/>
      <name val="Arial Narrow"/>
      <family val="2"/>
    </font>
    <font>
      <b/>
      <sz val="8"/>
      <color theme="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9" tint="-0.249977111117893"/>
      <name val="Arial Narrow"/>
      <family val="2"/>
    </font>
    <font>
      <b/>
      <sz val="9"/>
      <name val="Arial Narrow"/>
      <family val="2"/>
    </font>
    <font>
      <b/>
      <sz val="2"/>
      <color theme="0"/>
      <name val="Calibri"/>
      <family val="2"/>
      <scheme val="minor"/>
    </font>
    <font>
      <b/>
      <sz val="11"/>
      <name val="Arial Narrow"/>
      <family val="2"/>
    </font>
    <font>
      <sz val="10"/>
      <color theme="0"/>
      <name val="Arial Narrow"/>
      <family val="2"/>
    </font>
    <font>
      <b/>
      <sz val="2"/>
      <color theme="0"/>
      <name val="Arial Narrow"/>
      <family val="2"/>
    </font>
    <font>
      <b/>
      <sz val="10"/>
      <color rgb="FF009900"/>
      <name val="Arial Narrow"/>
      <family val="2"/>
    </font>
    <font>
      <sz val="9.5"/>
      <name val="Arial Narrow"/>
      <family val="2"/>
    </font>
    <font>
      <b/>
      <sz val="9.5"/>
      <name val="Arial Narrow"/>
      <family val="2"/>
    </font>
    <font>
      <sz val="12"/>
      <color theme="0" tint="-0.14999847407452621"/>
      <name val="Arial Narrow"/>
      <family val="2"/>
    </font>
    <font>
      <b/>
      <sz val="15"/>
      <color rgb="FFC00000"/>
      <name val="Arial Narrow"/>
      <family val="2"/>
    </font>
    <font>
      <u/>
      <sz val="11"/>
      <name val="Arial Narrow"/>
      <family val="2"/>
    </font>
    <font>
      <u/>
      <sz val="11"/>
      <color theme="1"/>
      <name val="Arial Narrow"/>
      <family val="2"/>
    </font>
    <font>
      <u/>
      <sz val="12"/>
      <color theme="1"/>
      <name val="Arial Narrow"/>
      <family val="2"/>
    </font>
    <font>
      <u val="singleAccounting"/>
      <sz val="11"/>
      <color theme="1"/>
      <name val="Arial Narrow"/>
      <family val="2"/>
    </font>
    <font>
      <b/>
      <sz val="16"/>
      <color rgb="FF0070C0"/>
      <name val="Arial Narrow"/>
      <family val="2"/>
    </font>
    <font>
      <b/>
      <sz val="11"/>
      <color rgb="FF0070C0"/>
      <name val="Arial Narrow"/>
      <family val="2"/>
    </font>
    <font>
      <b/>
      <sz val="12"/>
      <color theme="8" tint="-0.249977111117893"/>
      <name val="Arial Narrow"/>
      <family val="2"/>
    </font>
    <font>
      <b/>
      <sz val="14"/>
      <color theme="8" tint="-0.249977111117893"/>
      <name val="Arial Narrow"/>
      <family val="2"/>
    </font>
    <font>
      <b/>
      <sz val="6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9" tint="-0.249977111117893"/>
      </top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9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9" tint="-0.249977111117893"/>
      </right>
      <top style="thin">
        <color theme="0"/>
      </top>
      <bottom/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/>
    <xf numFmtId="0" fontId="0" fillId="0" borderId="0" xfId="0" applyProtection="1">
      <protection locked="0"/>
    </xf>
    <xf numFmtId="43" fontId="8" fillId="0" borderId="0" xfId="0" applyNumberFormat="1" applyFont="1" applyAlignment="1" applyProtection="1">
      <alignment horizontal="right"/>
      <protection hidden="1"/>
    </xf>
    <xf numFmtId="0" fontId="4" fillId="0" borderId="0" xfId="0" applyFont="1" applyProtection="1">
      <protection hidden="1"/>
    </xf>
    <xf numFmtId="0" fontId="8" fillId="0" borderId="0" xfId="0" applyFont="1" applyAlignment="1" applyProtection="1">
      <alignment horizontal="left" indent="1"/>
      <protection hidden="1"/>
    </xf>
    <xf numFmtId="0" fontId="8" fillId="0" borderId="0" xfId="0" applyFont="1" applyProtection="1">
      <protection hidden="1"/>
    </xf>
    <xf numFmtId="43" fontId="8" fillId="0" borderId="0" xfId="1" applyNumberFormat="1" applyFont="1" applyProtection="1">
      <protection hidden="1"/>
    </xf>
    <xf numFmtId="0" fontId="4" fillId="0" borderId="0" xfId="0" applyFont="1" applyProtection="1">
      <protection locked="0"/>
    </xf>
    <xf numFmtId="0" fontId="12" fillId="0" borderId="0" xfId="0" applyFont="1" applyAlignment="1" applyProtection="1">
      <alignment vertical="center"/>
      <protection hidden="1"/>
    </xf>
    <xf numFmtId="0" fontId="17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165" fontId="5" fillId="0" borderId="0" xfId="0" applyNumberFormat="1" applyFont="1" applyProtection="1">
      <protection hidden="1"/>
    </xf>
    <xf numFmtId="3" fontId="18" fillId="0" borderId="0" xfId="0" applyNumberFormat="1" applyFont="1" applyAlignment="1" applyProtection="1">
      <alignment horizontal="centerContinuous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49" fontId="2" fillId="0" borderId="0" xfId="0" applyNumberFormat="1" applyFont="1" applyProtection="1">
      <protection hidden="1"/>
    </xf>
    <xf numFmtId="0" fontId="22" fillId="0" borderId="0" xfId="0" applyFont="1" applyProtection="1">
      <protection hidden="1"/>
    </xf>
    <xf numFmtId="0" fontId="3" fillId="0" borderId="0" xfId="0" applyFont="1" applyProtection="1">
      <protection hidden="1"/>
    </xf>
    <xf numFmtId="4" fontId="8" fillId="0" borderId="0" xfId="0" applyNumberFormat="1" applyFont="1" applyAlignment="1" applyProtection="1">
      <alignment horizontal="right" vertical="center"/>
      <protection hidden="1"/>
    </xf>
    <xf numFmtId="0" fontId="15" fillId="0" borderId="0" xfId="0" applyFont="1" applyAlignment="1" applyProtection="1">
      <alignment wrapText="1"/>
      <protection hidden="1"/>
    </xf>
    <xf numFmtId="0" fontId="14" fillId="0" borderId="0" xfId="0" applyFont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67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4" fontId="2" fillId="0" borderId="0" xfId="0" applyNumberFormat="1" applyFont="1" applyAlignment="1" applyProtection="1">
      <alignment vertical="center"/>
      <protection locked="0"/>
    </xf>
    <xf numFmtId="4" fontId="2" fillId="0" borderId="0" xfId="0" applyNumberFormat="1" applyFont="1" applyAlignment="1" applyProtection="1">
      <alignment horizontal="right" vertical="center"/>
      <protection locked="0"/>
    </xf>
    <xf numFmtId="0" fontId="2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0" fontId="21" fillId="0" borderId="0" xfId="0" applyFont="1" applyAlignment="1" applyProtection="1">
      <alignment horizontal="right" vertical="center" wrapText="1"/>
      <protection hidden="1"/>
    </xf>
    <xf numFmtId="4" fontId="6" fillId="0" borderId="0" xfId="0" applyNumberFormat="1" applyFont="1" applyAlignment="1" applyProtection="1">
      <alignment horizontal="center" vertical="center"/>
      <protection hidden="1"/>
    </xf>
    <xf numFmtId="3" fontId="11" fillId="0" borderId="0" xfId="0" applyNumberFormat="1" applyFont="1" applyProtection="1">
      <protection hidden="1"/>
    </xf>
    <xf numFmtId="49" fontId="8" fillId="0" borderId="0" xfId="0" applyNumberFormat="1" applyFont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39" fontId="8" fillId="0" borderId="0" xfId="0" applyNumberFormat="1" applyFont="1" applyAlignment="1" applyProtection="1">
      <alignment horizontal="righ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4" fontId="2" fillId="0" borderId="0" xfId="0" applyNumberFormat="1" applyFont="1" applyAlignment="1" applyProtection="1">
      <alignment horizontal="right"/>
      <protection hidden="1"/>
    </xf>
    <xf numFmtId="0" fontId="13" fillId="0" borderId="0" xfId="0" applyFont="1" applyProtection="1">
      <protection hidden="1"/>
    </xf>
    <xf numFmtId="0" fontId="28" fillId="0" borderId="0" xfId="0" applyFont="1" applyProtection="1">
      <protection hidden="1"/>
    </xf>
    <xf numFmtId="0" fontId="10" fillId="0" borderId="0" xfId="0" applyFont="1" applyProtection="1">
      <protection hidden="1"/>
    </xf>
    <xf numFmtId="43" fontId="0" fillId="0" borderId="0" xfId="0" applyNumberFormat="1" applyProtection="1">
      <protection hidden="1"/>
    </xf>
    <xf numFmtId="4" fontId="0" fillId="0" borderId="0" xfId="0" applyNumberFormat="1" applyProtection="1">
      <protection hidden="1"/>
    </xf>
    <xf numFmtId="43" fontId="8" fillId="0" borderId="0" xfId="1" applyNumberFormat="1" applyFon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top"/>
      <protection hidden="1"/>
    </xf>
    <xf numFmtId="4" fontId="0" fillId="0" borderId="0" xfId="0" applyNumberFormat="1" applyAlignment="1" applyProtection="1">
      <alignment vertical="top"/>
      <protection hidden="1"/>
    </xf>
    <xf numFmtId="0" fontId="31" fillId="0" borderId="0" xfId="0" applyFont="1" applyAlignment="1" applyProtection="1">
      <alignment vertical="top" wrapText="1"/>
      <protection hidden="1"/>
    </xf>
    <xf numFmtId="0" fontId="8" fillId="0" borderId="0" xfId="0" applyFont="1" applyProtection="1">
      <protection locked="0"/>
    </xf>
    <xf numFmtId="0" fontId="15" fillId="0" borderId="0" xfId="0" applyFont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horizontal="left" vertical="center"/>
      <protection locked="0"/>
    </xf>
    <xf numFmtId="4" fontId="2" fillId="0" borderId="1" xfId="0" applyNumberFormat="1" applyFont="1" applyBorder="1" applyAlignment="1" applyProtection="1">
      <alignment horizontal="right" vertical="center"/>
      <protection locked="0"/>
    </xf>
    <xf numFmtId="16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hidden="1"/>
    </xf>
    <xf numFmtId="3" fontId="2" fillId="3" borderId="1" xfId="0" applyNumberFormat="1" applyFont="1" applyFill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horizontal="centerContinuous" vertical="center"/>
      <protection locked="0"/>
    </xf>
    <xf numFmtId="0" fontId="19" fillId="0" borderId="0" xfId="0" applyFont="1" applyAlignment="1" applyProtection="1">
      <alignment vertical="center"/>
      <protection hidden="1"/>
    </xf>
    <xf numFmtId="0" fontId="5" fillId="0" borderId="0" xfId="0" applyFont="1" applyProtection="1">
      <protection locked="0"/>
    </xf>
    <xf numFmtId="0" fontId="0" fillId="5" borderId="7" xfId="0" applyFill="1" applyBorder="1" applyAlignment="1" applyProtection="1">
      <alignment horizontal="center" vertical="center"/>
      <protection hidden="1"/>
    </xf>
    <xf numFmtId="0" fontId="0" fillId="5" borderId="8" xfId="0" applyFill="1" applyBorder="1" applyAlignment="1" applyProtection="1">
      <alignment horizontal="center" vertical="center"/>
      <protection hidden="1"/>
    </xf>
    <xf numFmtId="0" fontId="0" fillId="5" borderId="8" xfId="0" applyFill="1" applyBorder="1" applyAlignment="1" applyProtection="1">
      <alignment horizontal="left" vertical="center"/>
      <protection hidden="1"/>
    </xf>
    <xf numFmtId="0" fontId="0" fillId="5" borderId="8" xfId="0" applyFill="1" applyBorder="1" applyAlignment="1" applyProtection="1">
      <alignment vertical="top"/>
      <protection hidden="1"/>
    </xf>
    <xf numFmtId="4" fontId="0" fillId="5" borderId="8" xfId="0" applyNumberFormat="1" applyFill="1" applyBorder="1" applyAlignment="1" applyProtection="1">
      <alignment vertical="top"/>
      <protection hidden="1"/>
    </xf>
    <xf numFmtId="4" fontId="0" fillId="5" borderId="9" xfId="0" applyNumberFormat="1" applyFill="1" applyBorder="1" applyAlignment="1" applyProtection="1">
      <alignment vertical="top"/>
      <protection hidden="1"/>
    </xf>
    <xf numFmtId="0" fontId="2" fillId="0" borderId="0" xfId="0" applyFont="1" applyAlignment="1">
      <alignment vertical="center"/>
    </xf>
    <xf numFmtId="0" fontId="27" fillId="0" borderId="0" xfId="0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left" vertical="center" indent="1"/>
      <protection hidden="1"/>
    </xf>
    <xf numFmtId="0" fontId="14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2" fillId="0" borderId="0" xfId="0" applyFont="1" applyAlignment="1">
      <alignment horizontal="left" vertical="center" indent="1"/>
    </xf>
    <xf numFmtId="3" fontId="2" fillId="0" borderId="0" xfId="0" applyNumberFormat="1" applyFont="1" applyAlignment="1">
      <alignment horizontal="right" vertical="center" indent="1"/>
    </xf>
    <xf numFmtId="16" fontId="2" fillId="0" borderId="0" xfId="0" applyNumberFormat="1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wrapText="1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left" vertical="center" indent="1"/>
      <protection locked="0"/>
    </xf>
    <xf numFmtId="0" fontId="2" fillId="0" borderId="0" xfId="0" applyFont="1" applyAlignment="1" applyProtection="1">
      <alignment horizontal="left" vertical="center" indent="1"/>
      <protection locked="0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13" fillId="0" borderId="0" xfId="0" applyFont="1"/>
    <xf numFmtId="0" fontId="2" fillId="5" borderId="0" xfId="0" applyFont="1" applyFill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167" fontId="2" fillId="5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0" fontId="2" fillId="5" borderId="0" xfId="0" applyFont="1" applyFill="1" applyProtection="1">
      <protection locked="0"/>
    </xf>
    <xf numFmtId="4" fontId="2" fillId="5" borderId="0" xfId="0" applyNumberFormat="1" applyFont="1" applyFill="1" applyProtection="1">
      <protection locked="0"/>
    </xf>
    <xf numFmtId="3" fontId="14" fillId="0" borderId="0" xfId="0" applyNumberFormat="1" applyFont="1" applyAlignment="1">
      <alignment horizontal="right" vertical="center" indent="1"/>
    </xf>
    <xf numFmtId="0" fontId="44" fillId="0" borderId="0" xfId="0" applyFont="1" applyProtection="1">
      <protection locked="0"/>
    </xf>
    <xf numFmtId="0" fontId="44" fillId="0" borderId="0" xfId="0" applyFont="1" applyAlignment="1" applyProtection="1">
      <alignment vertical="center"/>
      <protection hidden="1"/>
    </xf>
    <xf numFmtId="4" fontId="47" fillId="0" borderId="0" xfId="0" applyNumberFormat="1" applyFont="1" applyAlignment="1" applyProtection="1">
      <alignment horizontal="center" vertical="center"/>
      <protection hidden="1"/>
    </xf>
    <xf numFmtId="4" fontId="48" fillId="0" borderId="0" xfId="0" applyNumberFormat="1" applyFont="1" applyProtection="1">
      <protection hidden="1"/>
    </xf>
    <xf numFmtId="4" fontId="48" fillId="0" borderId="0" xfId="0" applyNumberFormat="1" applyFont="1" applyProtection="1">
      <protection locked="0"/>
    </xf>
    <xf numFmtId="43" fontId="51" fillId="0" borderId="0" xfId="0" applyNumberFormat="1" applyFont="1" applyAlignment="1" applyProtection="1">
      <alignment vertical="center" wrapText="1"/>
      <protection hidden="1"/>
    </xf>
    <xf numFmtId="0" fontId="41" fillId="4" borderId="0" xfId="0" applyFont="1" applyFill="1" applyAlignment="1" applyProtection="1">
      <alignment vertical="center"/>
      <protection hidden="1"/>
    </xf>
    <xf numFmtId="0" fontId="40" fillId="0" borderId="11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49" fontId="58" fillId="0" borderId="0" xfId="0" applyNumberFormat="1" applyFont="1" applyAlignment="1" applyProtection="1">
      <alignment horizontal="center" wrapText="1"/>
      <protection hidden="1"/>
    </xf>
    <xf numFmtId="0" fontId="58" fillId="0" borderId="0" xfId="0" applyFont="1" applyAlignment="1" applyProtection="1">
      <alignment horizontal="center" wrapText="1"/>
      <protection hidden="1"/>
    </xf>
    <xf numFmtId="0" fontId="57" fillId="0" borderId="0" xfId="0" applyFont="1" applyAlignment="1" applyProtection="1">
      <alignment vertical="center" wrapText="1"/>
      <protection hidden="1"/>
    </xf>
    <xf numFmtId="0" fontId="8" fillId="0" borderId="0" xfId="0" applyFont="1" applyAlignment="1" applyProtection="1">
      <alignment horizontal="center"/>
      <protection hidden="1"/>
    </xf>
    <xf numFmtId="0" fontId="57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3" fontId="8" fillId="0" borderId="0" xfId="0" applyNumberFormat="1" applyFont="1" applyAlignment="1" applyProtection="1">
      <alignment horizontal="center" vertical="center"/>
      <protection hidden="1"/>
    </xf>
    <xf numFmtId="43" fontId="8" fillId="0" borderId="0" xfId="0" applyNumberFormat="1" applyFont="1" applyAlignment="1" applyProtection="1">
      <alignment horizontal="right" vertical="center"/>
      <protection hidden="1"/>
    </xf>
    <xf numFmtId="4" fontId="6" fillId="0" borderId="0" xfId="0" applyNumberFormat="1" applyFont="1" applyAlignment="1" applyProtection="1">
      <alignment horizontal="center"/>
      <protection hidden="1"/>
    </xf>
    <xf numFmtId="4" fontId="6" fillId="0" borderId="4" xfId="0" applyNumberFormat="1" applyFont="1" applyBorder="1" applyAlignment="1" applyProtection="1">
      <alignment horizontal="center" vertical="center"/>
      <protection hidden="1"/>
    </xf>
    <xf numFmtId="4" fontId="6" fillId="0" borderId="6" xfId="0" applyNumberFormat="1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34" fillId="0" borderId="0" xfId="0" applyFont="1" applyAlignment="1" applyProtection="1">
      <alignment vertical="center" wrapText="1"/>
      <protection hidden="1"/>
    </xf>
    <xf numFmtId="3" fontId="18" fillId="0" borderId="3" xfId="0" applyNumberFormat="1" applyFont="1" applyBorder="1" applyAlignment="1" applyProtection="1">
      <alignment horizontal="centerContinuous" vertical="center" wrapText="1"/>
      <protection hidden="1"/>
    </xf>
    <xf numFmtId="0" fontId="42" fillId="0" borderId="0" xfId="0" applyFont="1" applyAlignment="1">
      <alignment vertical="center"/>
    </xf>
    <xf numFmtId="4" fontId="61" fillId="0" borderId="0" xfId="0" applyNumberFormat="1" applyFont="1" applyAlignment="1" applyProtection="1">
      <alignment vertical="center"/>
      <protection hidden="1"/>
    </xf>
    <xf numFmtId="0" fontId="56" fillId="0" borderId="0" xfId="0" applyFont="1" applyAlignment="1" applyProtection="1">
      <alignment vertical="center" wrapText="1"/>
      <protection hidden="1"/>
    </xf>
    <xf numFmtId="43" fontId="62" fillId="0" borderId="0" xfId="1" applyNumberFormat="1" applyFont="1" applyAlignment="1" applyProtection="1">
      <alignment vertical="center"/>
      <protection hidden="1"/>
    </xf>
    <xf numFmtId="4" fontId="71" fillId="0" borderId="5" xfId="0" applyNumberFormat="1" applyFont="1" applyBorder="1" applyAlignment="1" applyProtection="1">
      <alignment horizontal="center"/>
      <protection hidden="1"/>
    </xf>
    <xf numFmtId="4" fontId="71" fillId="0" borderId="2" xfId="0" applyNumberFormat="1" applyFont="1" applyBorder="1" applyAlignment="1" applyProtection="1">
      <alignment horizontal="center"/>
      <protection hidden="1"/>
    </xf>
    <xf numFmtId="0" fontId="41" fillId="6" borderId="19" xfId="0" applyFont="1" applyFill="1" applyBorder="1" applyAlignment="1" applyProtection="1">
      <alignment horizontal="center" vertical="center"/>
      <protection locked="0" hidden="1"/>
    </xf>
    <xf numFmtId="0" fontId="12" fillId="9" borderId="1" xfId="0" applyFont="1" applyFill="1" applyBorder="1" applyAlignment="1" applyProtection="1">
      <alignment horizontal="center" vertical="center" wrapText="1"/>
      <protection hidden="1"/>
    </xf>
    <xf numFmtId="0" fontId="12" fillId="9" borderId="1" xfId="0" applyFont="1" applyFill="1" applyBorder="1" applyAlignment="1" applyProtection="1">
      <alignment horizontal="center" vertical="center"/>
      <protection hidden="1"/>
    </xf>
    <xf numFmtId="0" fontId="12" fillId="9" borderId="1" xfId="0" applyFont="1" applyFill="1" applyBorder="1" applyAlignment="1" applyProtection="1">
      <alignment horizontal="center"/>
      <protection hidden="1"/>
    </xf>
    <xf numFmtId="4" fontId="12" fillId="9" borderId="1" xfId="0" applyNumberFormat="1" applyFont="1" applyFill="1" applyBorder="1" applyAlignment="1" applyProtection="1">
      <alignment horizontal="center" vertical="center"/>
      <protection hidden="1"/>
    </xf>
    <xf numFmtId="0" fontId="40" fillId="0" borderId="3" xfId="0" applyFont="1" applyBorder="1" applyAlignment="1" applyProtection="1">
      <alignment vertical="center"/>
      <protection hidden="1"/>
    </xf>
    <xf numFmtId="3" fontId="39" fillId="0" borderId="0" xfId="0" applyNumberFormat="1" applyFont="1" applyAlignment="1" applyProtection="1">
      <alignment vertical="center"/>
      <protection hidden="1"/>
    </xf>
    <xf numFmtId="0" fontId="64" fillId="0" borderId="0" xfId="0" applyFont="1" applyAlignment="1">
      <alignment horizontal="left" vertical="center" indent="2"/>
    </xf>
    <xf numFmtId="0" fontId="2" fillId="0" borderId="9" xfId="0" applyFont="1" applyBorder="1" applyAlignment="1" applyProtection="1">
      <alignment horizontal="left" vertical="center"/>
      <protection locked="0"/>
    </xf>
    <xf numFmtId="0" fontId="8" fillId="11" borderId="0" xfId="0" applyFont="1" applyFill="1" applyAlignment="1" applyProtection="1">
      <alignment horizontal="center" vertical="center"/>
      <protection hidden="1"/>
    </xf>
    <xf numFmtId="0" fontId="8" fillId="11" borderId="0" xfId="0" applyFont="1" applyFill="1" applyAlignment="1" applyProtection="1">
      <alignment vertical="center"/>
      <protection hidden="1"/>
    </xf>
    <xf numFmtId="4" fontId="8" fillId="11" borderId="0" xfId="0" applyNumberFormat="1" applyFont="1" applyFill="1" applyAlignment="1" applyProtection="1">
      <alignment horizontal="right" vertical="center"/>
      <protection hidden="1"/>
    </xf>
    <xf numFmtId="0" fontId="15" fillId="0" borderId="0" xfId="0" applyFont="1" applyAlignment="1" applyProtection="1">
      <alignment vertical="top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/>
      <protection locked="0"/>
    </xf>
    <xf numFmtId="1" fontId="46" fillId="6" borderId="0" xfId="0" applyNumberFormat="1" applyFont="1" applyFill="1" applyAlignment="1" applyProtection="1">
      <alignment horizontal="center" vertical="center"/>
      <protection locked="0" hidden="1"/>
    </xf>
    <xf numFmtId="0" fontId="46" fillId="6" borderId="0" xfId="0" applyFont="1" applyFill="1" applyAlignment="1" applyProtection="1">
      <alignment horizontal="center" vertical="center"/>
      <protection locked="0" hidden="1"/>
    </xf>
    <xf numFmtId="4" fontId="32" fillId="4" borderId="5" xfId="0" applyNumberFormat="1" applyFont="1" applyFill="1" applyBorder="1" applyAlignment="1">
      <alignment horizontal="center" vertical="center"/>
    </xf>
    <xf numFmtId="4" fontId="32" fillId="4" borderId="2" xfId="0" applyNumberFormat="1" applyFont="1" applyFill="1" applyBorder="1" applyAlignment="1">
      <alignment horizontal="center" vertical="center"/>
    </xf>
    <xf numFmtId="4" fontId="55" fillId="4" borderId="4" xfId="0" applyNumberFormat="1" applyFont="1" applyFill="1" applyBorder="1" applyAlignment="1" applyProtection="1">
      <alignment horizontal="center" vertical="center"/>
      <protection hidden="1"/>
    </xf>
    <xf numFmtId="4" fontId="49" fillId="4" borderId="6" xfId="0" applyNumberFormat="1" applyFont="1" applyFill="1" applyBorder="1" applyAlignment="1" applyProtection="1">
      <alignment horizontal="center" vertical="center"/>
      <protection hidden="1"/>
    </xf>
    <xf numFmtId="4" fontId="14" fillId="0" borderId="0" xfId="0" applyNumberFormat="1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top"/>
      <protection hidden="1"/>
    </xf>
    <xf numFmtId="0" fontId="20" fillId="0" borderId="0" xfId="0" applyFont="1" applyAlignment="1" applyProtection="1">
      <alignment horizontal="right" wrapText="1" indent="1"/>
      <protection hidden="1"/>
    </xf>
    <xf numFmtId="0" fontId="56" fillId="0" borderId="25" xfId="0" applyFont="1" applyBorder="1" applyAlignment="1" applyProtection="1">
      <alignment vertical="center" wrapText="1"/>
      <protection hidden="1"/>
    </xf>
    <xf numFmtId="0" fontId="0" fillId="0" borderId="31" xfId="0" applyBorder="1" applyProtection="1">
      <protection hidden="1"/>
    </xf>
    <xf numFmtId="0" fontId="0" fillId="0" borderId="31" xfId="0" applyBorder="1"/>
    <xf numFmtId="0" fontId="5" fillId="0" borderId="0" xfId="0" applyFont="1" applyAlignment="1">
      <alignment vertical="center"/>
    </xf>
    <xf numFmtId="0" fontId="20" fillId="0" borderId="26" xfId="0" applyFont="1" applyBorder="1" applyAlignment="1" applyProtection="1">
      <alignment horizontal="center" vertical="center" wrapText="1"/>
      <protection hidden="1"/>
    </xf>
    <xf numFmtId="0" fontId="20" fillId="0" borderId="27" xfId="0" applyFont="1" applyBorder="1" applyAlignment="1" applyProtection="1">
      <alignment horizontal="center" vertical="center" wrapText="1"/>
      <protection hidden="1"/>
    </xf>
    <xf numFmtId="0" fontId="52" fillId="2" borderId="40" xfId="0" applyFont="1" applyFill="1" applyBorder="1" applyAlignment="1" applyProtection="1">
      <alignment horizontal="left" vertical="center" indent="2"/>
      <protection hidden="1"/>
    </xf>
    <xf numFmtId="0" fontId="52" fillId="2" borderId="35" xfId="0" applyFont="1" applyFill="1" applyBorder="1" applyAlignment="1" applyProtection="1">
      <alignment horizontal="center" vertical="center" wrapText="1"/>
      <protection hidden="1"/>
    </xf>
    <xf numFmtId="0" fontId="52" fillId="2" borderId="37" xfId="0" applyFont="1" applyFill="1" applyBorder="1" applyAlignment="1" applyProtection="1">
      <alignment horizontal="center" vertical="center" wrapText="1"/>
      <protection hidden="1"/>
    </xf>
    <xf numFmtId="3" fontId="38" fillId="2" borderId="39" xfId="0" applyNumberFormat="1" applyFont="1" applyFill="1" applyBorder="1" applyAlignment="1" applyProtection="1">
      <alignment horizontal="center"/>
      <protection hidden="1"/>
    </xf>
    <xf numFmtId="0" fontId="38" fillId="2" borderId="0" xfId="0" applyFont="1" applyFill="1" applyAlignment="1" applyProtection="1">
      <alignment horizontal="center"/>
      <protection hidden="1"/>
    </xf>
    <xf numFmtId="3" fontId="14" fillId="0" borderId="0" xfId="0" applyNumberFormat="1" applyFont="1" applyAlignment="1" applyProtection="1">
      <alignment horizontal="right" vertical="center" indent="1"/>
      <protection hidden="1"/>
    </xf>
    <xf numFmtId="3" fontId="2" fillId="0" borderId="0" xfId="0" applyNumberFormat="1" applyFont="1" applyAlignment="1" applyProtection="1">
      <alignment horizontal="right" vertical="center" indent="1"/>
      <protection hidden="1"/>
    </xf>
    <xf numFmtId="0" fontId="5" fillId="0" borderId="0" xfId="0" applyFont="1" applyAlignment="1" applyProtection="1">
      <alignment horizontal="left" vertical="center" indent="1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10" fillId="2" borderId="26" xfId="0" applyFont="1" applyFill="1" applyBorder="1" applyAlignment="1" applyProtection="1">
      <alignment horizontal="center" vertical="center"/>
      <protection hidden="1"/>
    </xf>
    <xf numFmtId="0" fontId="3" fillId="9" borderId="1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4" fontId="2" fillId="0" borderId="0" xfId="0" applyNumberFormat="1" applyFont="1" applyAlignment="1" applyProtection="1">
      <alignment vertical="center"/>
      <protection hidden="1"/>
    </xf>
    <xf numFmtId="0" fontId="13" fillId="13" borderId="0" xfId="0" applyFont="1" applyFill="1"/>
    <xf numFmtId="0" fontId="0" fillId="13" borderId="0" xfId="0" applyFill="1" applyAlignment="1">
      <alignment horizontal="center" vertical="center"/>
    </xf>
    <xf numFmtId="0" fontId="0" fillId="13" borderId="0" xfId="0" applyFill="1"/>
    <xf numFmtId="0" fontId="0" fillId="13" borderId="0" xfId="0" applyFill="1" applyAlignment="1">
      <alignment vertical="center"/>
    </xf>
    <xf numFmtId="0" fontId="49" fillId="0" borderId="0" xfId="0" applyFont="1" applyAlignment="1" applyProtection="1">
      <alignment horizontal="left"/>
      <protection hidden="1"/>
    </xf>
    <xf numFmtId="0" fontId="35" fillId="0" borderId="0" xfId="0" applyFont="1" applyAlignment="1" applyProtection="1">
      <alignment horizontal="centerContinuous" vertic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 indent="1"/>
      <protection hidden="1"/>
    </xf>
    <xf numFmtId="0" fontId="3" fillId="9" borderId="9" xfId="0" applyFont="1" applyFill="1" applyBorder="1" applyAlignment="1" applyProtection="1">
      <alignment horizontal="center" vertical="top"/>
      <protection hidden="1"/>
    </xf>
    <xf numFmtId="4" fontId="74" fillId="2" borderId="0" xfId="0" applyNumberFormat="1" applyFont="1" applyFill="1" applyAlignment="1" applyProtection="1">
      <alignment horizontal="center" vertical="center" wrapText="1"/>
      <protection hidden="1"/>
    </xf>
    <xf numFmtId="0" fontId="79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horizontal="right" vertical="center" indent="1"/>
      <protection locked="0"/>
    </xf>
    <xf numFmtId="3" fontId="2" fillId="0" borderId="0" xfId="0" applyNumberFormat="1" applyFont="1" applyAlignment="1" applyProtection="1">
      <alignment horizontal="right" vertical="center" indent="1"/>
      <protection locked="0"/>
    </xf>
    <xf numFmtId="0" fontId="20" fillId="6" borderId="0" xfId="0" applyFont="1" applyFill="1" applyAlignment="1" applyProtection="1">
      <alignment horizontal="center" vertical="center" wrapText="1"/>
      <protection locked="0"/>
    </xf>
    <xf numFmtId="0" fontId="73" fillId="0" borderId="0" xfId="0" applyFont="1" applyAlignment="1" applyProtection="1">
      <alignment horizontal="center" vertical="top"/>
      <protection locked="0"/>
    </xf>
    <xf numFmtId="4" fontId="47" fillId="0" borderId="0" xfId="0" applyNumberFormat="1" applyFont="1" applyProtection="1">
      <protection hidden="1"/>
    </xf>
    <xf numFmtId="4" fontId="47" fillId="0" borderId="0" xfId="0" applyNumberFormat="1" applyFont="1" applyAlignment="1" applyProtection="1">
      <alignment horizontal="center" vertical="top"/>
      <protection hidden="1"/>
    </xf>
    <xf numFmtId="4" fontId="4" fillId="0" borderId="0" xfId="0" applyNumberFormat="1" applyFont="1" applyAlignment="1" applyProtection="1">
      <alignment vertical="top"/>
      <protection hidden="1"/>
    </xf>
    <xf numFmtId="0" fontId="4" fillId="0" borderId="0" xfId="0" applyFont="1" applyAlignment="1" applyProtection="1">
      <alignment vertical="top"/>
      <protection hidden="1"/>
    </xf>
    <xf numFmtId="4" fontId="3" fillId="0" borderId="0" xfId="0" applyNumberFormat="1" applyFont="1" applyAlignment="1" applyProtection="1">
      <alignment horizontal="right" vertical="center"/>
      <protection locked="0"/>
    </xf>
    <xf numFmtId="4" fontId="4" fillId="0" borderId="0" xfId="0" applyNumberFormat="1" applyFont="1" applyProtection="1">
      <protection hidden="1"/>
    </xf>
    <xf numFmtId="4" fontId="47" fillId="0" borderId="0" xfId="0" applyNumberFormat="1" applyFont="1" applyProtection="1">
      <protection locked="0"/>
    </xf>
    <xf numFmtId="0" fontId="37" fillId="0" borderId="12" xfId="0" applyFont="1" applyBorder="1" applyAlignment="1" applyProtection="1">
      <alignment horizontal="center" vertical="center"/>
      <protection hidden="1"/>
    </xf>
    <xf numFmtId="0" fontId="80" fillId="0" borderId="19" xfId="0" applyFont="1" applyBorder="1" applyAlignment="1" applyProtection="1">
      <alignment horizontal="center" vertical="center" wrapText="1"/>
      <protection locked="0" hidden="1"/>
    </xf>
    <xf numFmtId="3" fontId="80" fillId="0" borderId="19" xfId="0" applyNumberFormat="1" applyFont="1" applyBorder="1" applyAlignment="1" applyProtection="1">
      <alignment horizontal="center" vertical="center" wrapText="1"/>
      <protection locked="0" hidden="1"/>
    </xf>
    <xf numFmtId="4" fontId="81" fillId="0" borderId="0" xfId="0" applyNumberFormat="1" applyFont="1" applyAlignment="1" applyProtection="1">
      <alignment horizontal="center"/>
      <protection hidden="1"/>
    </xf>
    <xf numFmtId="3" fontId="82" fillId="0" borderId="0" xfId="0" applyNumberFormat="1" applyFont="1" applyAlignment="1" applyProtection="1">
      <alignment horizontal="left" wrapText="1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40" fillId="0" borderId="0" xfId="0" applyFont="1" applyAlignment="1" applyProtection="1">
      <alignment vertical="center"/>
      <protection hidden="1"/>
    </xf>
    <xf numFmtId="4" fontId="83" fillId="0" borderId="44" xfId="0" applyNumberFormat="1" applyFont="1" applyBorder="1" applyAlignment="1" applyProtection="1">
      <alignment horizontal="center" vertical="center"/>
      <protection hidden="1"/>
    </xf>
    <xf numFmtId="0" fontId="78" fillId="0" borderId="0" xfId="0" applyFont="1" applyAlignment="1" applyProtection="1">
      <alignment vertical="center" wrapText="1"/>
      <protection locked="0"/>
    </xf>
    <xf numFmtId="0" fontId="45" fillId="0" borderId="1" xfId="0" applyFont="1" applyBorder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4" fontId="37" fillId="0" borderId="3" xfId="0" applyNumberFormat="1" applyFont="1" applyBorder="1" applyAlignment="1" applyProtection="1">
      <alignment horizontal="center" vertical="center"/>
      <protection locked="0"/>
    </xf>
    <xf numFmtId="4" fontId="5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Continuous" vertical="top" wrapText="1"/>
      <protection locked="0"/>
    </xf>
    <xf numFmtId="0" fontId="5" fillId="0" borderId="0" xfId="0" applyFont="1" applyAlignment="1" applyProtection="1">
      <alignment horizontal="centerContinuous" vertical="center" wrapText="1"/>
      <protection locked="0"/>
    </xf>
    <xf numFmtId="43" fontId="15" fillId="0" borderId="0" xfId="1" applyNumberFormat="1" applyFont="1" applyFill="1" applyAlignment="1" applyProtection="1">
      <alignment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1" fillId="0" borderId="0" xfId="0" applyFont="1" applyProtection="1">
      <protection locked="0"/>
    </xf>
    <xf numFmtId="0" fontId="8" fillId="0" borderId="0" xfId="0" applyFont="1" applyAlignment="1" applyProtection="1">
      <alignment horizontal="left" vertical="center" indent="1"/>
      <protection hidden="1"/>
    </xf>
    <xf numFmtId="3" fontId="15" fillId="0" borderId="0" xfId="0" applyNumberFormat="1" applyFont="1" applyAlignment="1" applyProtection="1">
      <alignment horizontal="right" vertical="center" indent="1"/>
      <protection hidden="1"/>
    </xf>
    <xf numFmtId="3" fontId="8" fillId="0" borderId="0" xfId="0" applyNumberFormat="1" applyFont="1" applyAlignment="1" applyProtection="1">
      <alignment horizontal="right" vertical="center" indent="1"/>
      <protection hidden="1"/>
    </xf>
    <xf numFmtId="0" fontId="83" fillId="0" borderId="1" xfId="0" applyFont="1" applyBorder="1" applyAlignment="1" applyProtection="1">
      <alignment horizontal="center" vertical="center"/>
      <protection hidden="1"/>
    </xf>
    <xf numFmtId="0" fontId="46" fillId="0" borderId="0" xfId="0" applyFont="1" applyAlignment="1" applyProtection="1">
      <alignment horizontal="center" vertical="center" wrapText="1"/>
      <protection hidden="1"/>
    </xf>
    <xf numFmtId="0" fontId="52" fillId="0" borderId="0" xfId="0" applyFont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/>
      <protection locked="0"/>
    </xf>
    <xf numFmtId="0" fontId="44" fillId="0" borderId="0" xfId="0" applyFont="1" applyProtection="1">
      <protection hidden="1"/>
    </xf>
    <xf numFmtId="0" fontId="86" fillId="7" borderId="0" xfId="0" applyFont="1" applyFill="1" applyAlignment="1" applyProtection="1">
      <alignment horizontal="center" vertical="center"/>
      <protection locked="0" hidden="1"/>
    </xf>
    <xf numFmtId="0" fontId="2" fillId="0" borderId="19" xfId="0" applyFont="1" applyBorder="1" applyAlignment="1" applyProtection="1">
      <alignment horizontal="center" vertical="center"/>
      <protection locked="0"/>
    </xf>
    <xf numFmtId="0" fontId="13" fillId="4" borderId="0" xfId="0" applyFont="1" applyFill="1" applyProtection="1">
      <protection locked="0"/>
    </xf>
    <xf numFmtId="0" fontId="87" fillId="0" borderId="0" xfId="0" applyFont="1" applyAlignment="1" applyProtection="1">
      <alignment horizontal="center" vertical="center"/>
      <protection hidden="1"/>
    </xf>
    <xf numFmtId="0" fontId="46" fillId="3" borderId="1" xfId="0" applyFont="1" applyFill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 vertical="center"/>
      <protection hidden="1"/>
    </xf>
    <xf numFmtId="4" fontId="89" fillId="0" borderId="0" xfId="0" applyNumberFormat="1" applyFont="1" applyAlignment="1" applyProtection="1">
      <alignment horizontal="center" vertical="center"/>
      <protection hidden="1"/>
    </xf>
    <xf numFmtId="0" fontId="24" fillId="6" borderId="27" xfId="0" applyFont="1" applyFill="1" applyBorder="1" applyAlignment="1" applyProtection="1">
      <alignment horizontal="left" vertical="center" wrapText="1" indent="2"/>
      <protection locked="0" hidden="1"/>
    </xf>
    <xf numFmtId="3" fontId="34" fillId="6" borderId="27" xfId="0" applyNumberFormat="1" applyFont="1" applyFill="1" applyBorder="1" applyAlignment="1" applyProtection="1">
      <alignment horizontal="center" vertical="center" wrapText="1"/>
      <protection locked="0" hidden="1"/>
    </xf>
    <xf numFmtId="169" fontId="2" fillId="7" borderId="33" xfId="0" applyNumberFormat="1" applyFont="1" applyFill="1" applyBorder="1" applyAlignment="1" applyProtection="1">
      <alignment horizontal="center" vertical="center"/>
      <protection locked="0"/>
    </xf>
    <xf numFmtId="169" fontId="0" fillId="7" borderId="26" xfId="0" applyNumberFormat="1" applyFill="1" applyBorder="1" applyAlignment="1" applyProtection="1">
      <alignment horizontal="center" vertical="center"/>
      <protection locked="0"/>
    </xf>
    <xf numFmtId="0" fontId="88" fillId="0" borderId="0" xfId="0" applyFont="1" applyAlignment="1" applyProtection="1">
      <alignment horizontal="left" vertical="center"/>
      <protection hidden="1"/>
    </xf>
    <xf numFmtId="0" fontId="88" fillId="0" borderId="0" xfId="0" applyFont="1" applyAlignment="1" applyProtection="1">
      <alignment horizontal="center" vertical="top" wrapText="1"/>
      <protection hidden="1"/>
    </xf>
    <xf numFmtId="0" fontId="15" fillId="0" borderId="0" xfId="0" applyFont="1" applyAlignment="1" applyProtection="1">
      <alignment vertical="top" wrapText="1"/>
      <protection locked="0"/>
    </xf>
    <xf numFmtId="0" fontId="33" fillId="0" borderId="0" xfId="0" applyFont="1" applyAlignment="1" applyProtection="1">
      <alignment vertical="center"/>
      <protection locked="0"/>
    </xf>
    <xf numFmtId="0" fontId="89" fillId="0" borderId="0" xfId="0" applyFont="1" applyAlignment="1" applyProtection="1">
      <alignment horizontal="centerContinuous" vertical="center"/>
      <protection hidden="1"/>
    </xf>
    <xf numFmtId="3" fontId="93" fillId="0" borderId="0" xfId="0" applyNumberFormat="1" applyFont="1" applyAlignment="1" applyProtection="1">
      <alignment horizontal="center" vertical="center" wrapText="1"/>
      <protection locked="0"/>
    </xf>
    <xf numFmtId="3" fontId="93" fillId="0" borderId="0" xfId="0" applyNumberFormat="1" applyFont="1" applyAlignment="1" applyProtection="1">
      <alignment horizontal="center" wrapText="1"/>
      <protection locked="0"/>
    </xf>
    <xf numFmtId="0" fontId="91" fillId="0" borderId="0" xfId="1" applyNumberFormat="1" applyFont="1" applyBorder="1" applyAlignment="1" applyProtection="1">
      <alignment horizontal="center" vertical="center"/>
      <protection hidden="1"/>
    </xf>
    <xf numFmtId="0" fontId="8" fillId="0" borderId="16" xfId="0" applyFont="1" applyBorder="1" applyAlignment="1" applyProtection="1">
      <alignment horizontal="left"/>
      <protection locked="0"/>
    </xf>
    <xf numFmtId="0" fontId="15" fillId="0" borderId="14" xfId="0" applyFont="1" applyBorder="1" applyAlignment="1" applyProtection="1">
      <alignment horizontal="left" wrapText="1"/>
      <protection locked="0"/>
    </xf>
    <xf numFmtId="0" fontId="15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/>
      <protection locked="0"/>
    </xf>
    <xf numFmtId="4" fontId="3" fillId="9" borderId="1" xfId="0" applyNumberFormat="1" applyFont="1" applyFill="1" applyBorder="1" applyAlignment="1" applyProtection="1">
      <alignment horizontal="center" vertical="center"/>
      <protection hidden="1"/>
    </xf>
    <xf numFmtId="3" fontId="94" fillId="0" borderId="0" xfId="0" applyNumberFormat="1" applyFont="1" applyAlignment="1" applyProtection="1">
      <alignment horizontal="center" vertical="center" wrapText="1"/>
      <protection hidden="1"/>
    </xf>
    <xf numFmtId="0" fontId="95" fillId="0" borderId="0" xfId="0" applyFont="1" applyAlignment="1" applyProtection="1">
      <alignment horizontal="center" vertical="center"/>
      <protection hidden="1"/>
    </xf>
    <xf numFmtId="0" fontId="13" fillId="0" borderId="1" xfId="0" applyFont="1" applyBorder="1"/>
    <xf numFmtId="0" fontId="4" fillId="0" borderId="1" xfId="0" applyFont="1" applyBorder="1"/>
    <xf numFmtId="0" fontId="4" fillId="0" borderId="1" xfId="0" applyFont="1" applyBorder="1" applyProtection="1">
      <protection locked="0"/>
    </xf>
    <xf numFmtId="0" fontId="4" fillId="0" borderId="1" xfId="0" applyFont="1" applyBorder="1" applyProtection="1">
      <protection locked="0" hidden="1"/>
    </xf>
    <xf numFmtId="0" fontId="4" fillId="0" borderId="1" xfId="0" applyFont="1" applyBorder="1" applyAlignment="1" applyProtection="1">
      <alignment horizontal="center" vertical="center"/>
      <protection locked="0" hidden="1"/>
    </xf>
    <xf numFmtId="0" fontId="60" fillId="0" borderId="1" xfId="0" applyFont="1" applyBorder="1" applyAlignment="1" applyProtection="1">
      <alignment horizontal="center"/>
      <protection locked="0" hidden="1"/>
    </xf>
    <xf numFmtId="0" fontId="60" fillId="0" borderId="1" xfId="0" applyFont="1" applyBorder="1" applyAlignment="1" applyProtection="1">
      <alignment horizontal="left"/>
      <protection locked="0" hidden="1"/>
    </xf>
    <xf numFmtId="14" fontId="4" fillId="0" borderId="1" xfId="0" applyNumberFormat="1" applyFont="1" applyBorder="1" applyProtection="1">
      <protection locked="0" hidden="1"/>
    </xf>
    <xf numFmtId="4" fontId="4" fillId="0" borderId="1" xfId="0" applyNumberFormat="1" applyFont="1" applyBorder="1" applyProtection="1">
      <protection locked="0" hidden="1"/>
    </xf>
    <xf numFmtId="14" fontId="4" fillId="0" borderId="1" xfId="0" applyNumberFormat="1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/>
    </xf>
    <xf numFmtId="0" fontId="60" fillId="0" borderId="1" xfId="0" applyFont="1" applyBorder="1"/>
    <xf numFmtId="0" fontId="4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96" fillId="0" borderId="1" xfId="0" applyFont="1" applyBorder="1" applyAlignment="1">
      <alignment horizontal="center" wrapText="1"/>
    </xf>
    <xf numFmtId="0" fontId="3" fillId="0" borderId="1" xfId="0" applyFont="1" applyBorder="1"/>
    <xf numFmtId="166" fontId="4" fillId="0" borderId="1" xfId="0" applyNumberFormat="1" applyFont="1" applyBorder="1" applyAlignment="1">
      <alignment horizontal="center"/>
    </xf>
    <xf numFmtId="168" fontId="4" fillId="0" borderId="1" xfId="1" applyNumberFormat="1" applyFont="1" applyFill="1" applyBorder="1"/>
    <xf numFmtId="0" fontId="4" fillId="0" borderId="10" xfId="0" applyFont="1" applyBorder="1"/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/>
    <xf numFmtId="0" fontId="46" fillId="3" borderId="7" xfId="0" applyFont="1" applyFill="1" applyBorder="1" applyAlignment="1" applyProtection="1">
      <alignment horizontal="center" vertical="center"/>
      <protection locked="0"/>
    </xf>
    <xf numFmtId="0" fontId="46" fillId="3" borderId="9" xfId="0" applyFont="1" applyFill="1" applyBorder="1" applyAlignment="1" applyProtection="1">
      <alignment horizontal="center" vertical="center"/>
      <protection locked="0"/>
    </xf>
    <xf numFmtId="0" fontId="72" fillId="0" borderId="3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3" fillId="0" borderId="0" xfId="0" applyFont="1" applyAlignment="1" applyProtection="1">
      <alignment horizontal="left" vertical="center"/>
      <protection hidden="1"/>
    </xf>
    <xf numFmtId="4" fontId="54" fillId="4" borderId="20" xfId="0" applyNumberFormat="1" applyFont="1" applyFill="1" applyBorder="1" applyAlignment="1" applyProtection="1">
      <alignment horizontal="center"/>
      <protection hidden="1"/>
    </xf>
    <xf numFmtId="4" fontId="54" fillId="4" borderId="21" xfId="0" applyNumberFormat="1" applyFont="1" applyFill="1" applyBorder="1" applyAlignment="1" applyProtection="1">
      <alignment horizontal="center"/>
      <protection hidden="1"/>
    </xf>
    <xf numFmtId="4" fontId="50" fillId="0" borderId="0" xfId="0" applyNumberFormat="1" applyFont="1" applyAlignment="1" applyProtection="1">
      <alignment horizontal="center" vertical="center"/>
      <protection locked="0"/>
    </xf>
    <xf numFmtId="0" fontId="52" fillId="8" borderId="0" xfId="0" applyFont="1" applyFill="1" applyAlignment="1">
      <alignment horizontal="center" vertical="center"/>
    </xf>
    <xf numFmtId="0" fontId="78" fillId="10" borderId="0" xfId="0" applyFont="1" applyFill="1" applyAlignment="1" applyProtection="1">
      <alignment horizontal="center" vertical="center"/>
      <protection locked="0" hidden="1"/>
    </xf>
    <xf numFmtId="0" fontId="77" fillId="0" borderId="0" xfId="0" applyFont="1" applyAlignment="1" applyProtection="1">
      <alignment horizontal="center"/>
      <protection hidden="1"/>
    </xf>
    <xf numFmtId="0" fontId="77" fillId="0" borderId="16" xfId="0" applyFont="1" applyBorder="1" applyAlignment="1" applyProtection="1">
      <alignment horizontal="center"/>
      <protection hidden="1"/>
    </xf>
    <xf numFmtId="0" fontId="15" fillId="0" borderId="0" xfId="0" applyFont="1" applyAlignment="1" applyProtection="1">
      <alignment horizontal="left" wrapText="1"/>
      <protection locked="0"/>
    </xf>
    <xf numFmtId="0" fontId="68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76" fillId="0" borderId="0" xfId="0" applyFont="1" applyAlignment="1" applyProtection="1">
      <alignment horizontal="center" vertical="center" wrapText="1"/>
      <protection hidden="1"/>
    </xf>
    <xf numFmtId="0" fontId="75" fillId="0" borderId="0" xfId="0" applyFont="1" applyAlignment="1" applyProtection="1">
      <alignment horizontal="center" vertical="center"/>
      <protection hidden="1"/>
    </xf>
    <xf numFmtId="0" fontId="75" fillId="0" borderId="0" xfId="0" applyFont="1" applyAlignment="1" applyProtection="1">
      <alignment horizontal="center" vertical="center" wrapText="1"/>
      <protection hidden="1"/>
    </xf>
    <xf numFmtId="0" fontId="52" fillId="2" borderId="1" xfId="0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 applyProtection="1">
      <alignment horizontal="center"/>
      <protection locked="0" hidden="1"/>
    </xf>
    <xf numFmtId="0" fontId="76" fillId="0" borderId="7" xfId="0" applyFont="1" applyBorder="1" applyAlignment="1" applyProtection="1">
      <alignment horizontal="center" vertical="center"/>
      <protection hidden="1"/>
    </xf>
    <xf numFmtId="0" fontId="76" fillId="0" borderId="8" xfId="0" applyFont="1" applyBorder="1" applyAlignment="1" applyProtection="1">
      <alignment horizontal="center" vertical="center"/>
      <protection hidden="1"/>
    </xf>
    <xf numFmtId="0" fontId="76" fillId="0" borderId="9" xfId="0" applyFont="1" applyBorder="1" applyAlignment="1" applyProtection="1">
      <alignment horizontal="center" vertical="center"/>
      <protection hidden="1"/>
    </xf>
    <xf numFmtId="164" fontId="52" fillId="14" borderId="0" xfId="1" applyFont="1" applyFill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84" fillId="7" borderId="5" xfId="0" applyFont="1" applyFill="1" applyBorder="1" applyAlignment="1" applyProtection="1">
      <alignment horizontal="center" vertical="center" wrapText="1"/>
      <protection hidden="1"/>
    </xf>
    <xf numFmtId="0" fontId="84" fillId="7" borderId="45" xfId="0" applyFont="1" applyFill="1" applyBorder="1" applyAlignment="1" applyProtection="1">
      <alignment horizontal="center" vertical="center" wrapText="1"/>
      <protection hidden="1"/>
    </xf>
    <xf numFmtId="0" fontId="84" fillId="7" borderId="2" xfId="0" applyFont="1" applyFill="1" applyBorder="1" applyAlignment="1" applyProtection="1">
      <alignment horizontal="center" vertical="center" wrapText="1"/>
      <protection hidden="1"/>
    </xf>
    <xf numFmtId="0" fontId="84" fillId="7" borderId="4" xfId="0" applyFont="1" applyFill="1" applyBorder="1" applyAlignment="1" applyProtection="1">
      <alignment horizontal="center" vertical="center" wrapText="1"/>
      <protection hidden="1"/>
    </xf>
    <xf numFmtId="0" fontId="84" fillId="7" borderId="3" xfId="0" applyFont="1" applyFill="1" applyBorder="1" applyAlignment="1" applyProtection="1">
      <alignment horizontal="center" vertical="center" wrapText="1"/>
      <protection hidden="1"/>
    </xf>
    <xf numFmtId="0" fontId="84" fillId="7" borderId="6" xfId="0" applyFont="1" applyFill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/>
      <protection hidden="1"/>
    </xf>
    <xf numFmtId="0" fontId="41" fillId="6" borderId="13" xfId="0" applyFont="1" applyFill="1" applyBorder="1" applyAlignment="1" applyProtection="1">
      <alignment horizontal="center" vertical="center"/>
      <protection locked="0" hidden="1"/>
    </xf>
    <xf numFmtId="0" fontId="41" fillId="6" borderId="14" xfId="0" applyFont="1" applyFill="1" applyBorder="1" applyAlignment="1" applyProtection="1">
      <alignment horizontal="center" vertical="center"/>
      <protection locked="0" hidden="1"/>
    </xf>
    <xf numFmtId="0" fontId="41" fillId="6" borderId="15" xfId="0" applyFont="1" applyFill="1" applyBorder="1" applyAlignment="1" applyProtection="1">
      <alignment horizontal="center" vertical="center"/>
      <protection locked="0" hidden="1"/>
    </xf>
    <xf numFmtId="3" fontId="53" fillId="2" borderId="0" xfId="0" applyNumberFormat="1" applyFont="1" applyFill="1" applyAlignment="1" applyProtection="1">
      <alignment horizontal="center" vertical="center"/>
      <protection hidden="1"/>
    </xf>
    <xf numFmtId="4" fontId="88" fillId="0" borderId="0" xfId="0" applyNumberFormat="1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center" vertical="center"/>
      <protection hidden="1"/>
    </xf>
    <xf numFmtId="43" fontId="61" fillId="0" borderId="0" xfId="0" applyNumberFormat="1" applyFont="1" applyAlignment="1" applyProtection="1">
      <alignment horizontal="center" vertical="center"/>
      <protection hidden="1"/>
    </xf>
    <xf numFmtId="0" fontId="52" fillId="2" borderId="0" xfId="0" applyFont="1" applyFill="1" applyAlignment="1" applyProtection="1">
      <alignment horizontal="center" vertical="center"/>
      <protection hidden="1"/>
    </xf>
    <xf numFmtId="43" fontId="52" fillId="2" borderId="0" xfId="0" applyNumberFormat="1" applyFont="1" applyFill="1" applyAlignment="1" applyProtection="1">
      <alignment horizontal="center" vertical="center" wrapText="1"/>
      <protection hidden="1"/>
    </xf>
    <xf numFmtId="0" fontId="34" fillId="0" borderId="17" xfId="0" applyFont="1" applyBorder="1" applyAlignment="1" applyProtection="1">
      <alignment horizontal="center" vertical="center" wrapText="1"/>
      <protection hidden="1"/>
    </xf>
    <xf numFmtId="0" fontId="34" fillId="0" borderId="16" xfId="0" applyFont="1" applyBorder="1" applyAlignment="1" applyProtection="1">
      <alignment horizontal="center" vertical="center" wrapText="1"/>
      <protection hidden="1"/>
    </xf>
    <xf numFmtId="39" fontId="20" fillId="0" borderId="17" xfId="0" applyNumberFormat="1" applyFont="1" applyBorder="1" applyAlignment="1" applyProtection="1">
      <alignment horizontal="center" vertical="center" wrapText="1"/>
      <protection hidden="1"/>
    </xf>
    <xf numFmtId="39" fontId="20" fillId="0" borderId="16" xfId="0" applyNumberFormat="1" applyFont="1" applyBorder="1" applyAlignment="1" applyProtection="1">
      <alignment horizontal="center" vertical="center" wrapText="1"/>
      <protection hidden="1"/>
    </xf>
    <xf numFmtId="39" fontId="20" fillId="0" borderId="18" xfId="0" applyNumberFormat="1" applyFont="1" applyBorder="1" applyAlignment="1" applyProtection="1">
      <alignment horizontal="center" vertical="center" wrapText="1"/>
      <protection hidden="1"/>
    </xf>
    <xf numFmtId="3" fontId="61" fillId="0" borderId="0" xfId="0" applyNumberFormat="1" applyFont="1" applyAlignment="1" applyProtection="1">
      <alignment horizontal="left" vertical="center"/>
      <protection hidden="1"/>
    </xf>
    <xf numFmtId="3" fontId="38" fillId="12" borderId="0" xfId="0" applyNumberFormat="1" applyFont="1" applyFill="1" applyAlignment="1" applyProtection="1">
      <alignment horizontal="center" vertical="center" wrapText="1"/>
      <protection hidden="1"/>
    </xf>
    <xf numFmtId="4" fontId="20" fillId="0" borderId="0" xfId="0" applyNumberFormat="1" applyFont="1" applyAlignment="1" applyProtection="1">
      <alignment horizontal="center"/>
      <protection hidden="1"/>
    </xf>
    <xf numFmtId="0" fontId="52" fillId="0" borderId="0" xfId="0" applyFont="1" applyAlignment="1" applyProtection="1">
      <alignment horizontal="left" vertical="center"/>
      <protection hidden="1"/>
    </xf>
    <xf numFmtId="0" fontId="61" fillId="0" borderId="0" xfId="0" applyFont="1" applyAlignment="1" applyProtection="1">
      <alignment horizontal="left" vertical="center"/>
      <protection hidden="1"/>
    </xf>
    <xf numFmtId="0" fontId="52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top"/>
      <protection hidden="1"/>
    </xf>
    <xf numFmtId="4" fontId="52" fillId="0" borderId="0" xfId="0" applyNumberFormat="1" applyFont="1" applyAlignment="1" applyProtection="1">
      <alignment horizontal="center"/>
      <protection hidden="1"/>
    </xf>
    <xf numFmtId="4" fontId="3" fillId="2" borderId="23" xfId="0" applyNumberFormat="1" applyFont="1" applyFill="1" applyBorder="1" applyAlignment="1" applyProtection="1">
      <alignment horizontal="center" vertical="center"/>
      <protection hidden="1"/>
    </xf>
    <xf numFmtId="4" fontId="3" fillId="2" borderId="22" xfId="0" applyNumberFormat="1" applyFont="1" applyFill="1" applyBorder="1" applyAlignment="1" applyProtection="1">
      <alignment horizontal="center" vertical="center"/>
      <protection hidden="1"/>
    </xf>
    <xf numFmtId="4" fontId="49" fillId="10" borderId="27" xfId="0" applyNumberFormat="1" applyFont="1" applyFill="1" applyBorder="1" applyAlignment="1" applyProtection="1">
      <alignment horizontal="center" vertical="center"/>
      <protection locked="0" hidden="1"/>
    </xf>
    <xf numFmtId="4" fontId="49" fillId="10" borderId="29" xfId="0" applyNumberFormat="1" applyFont="1" applyFill="1" applyBorder="1" applyAlignment="1" applyProtection="1">
      <alignment horizontal="center" vertical="center"/>
      <protection locked="0" hidden="1"/>
    </xf>
    <xf numFmtId="4" fontId="34" fillId="0" borderId="23" xfId="0" applyNumberFormat="1" applyFont="1" applyBorder="1" applyAlignment="1" applyProtection="1">
      <alignment horizontal="center" vertical="center" wrapText="1"/>
      <protection hidden="1"/>
    </xf>
    <xf numFmtId="0" fontId="0" fillId="0" borderId="22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0" borderId="22" xfId="0" applyFont="1" applyBorder="1" applyAlignment="1" applyProtection="1">
      <alignment horizontal="center" vertical="center"/>
      <protection locked="0"/>
    </xf>
    <xf numFmtId="4" fontId="88" fillId="0" borderId="0" xfId="0" applyNumberFormat="1" applyFont="1" applyAlignment="1" applyProtection="1">
      <alignment horizontal="center"/>
      <protection hidden="1"/>
    </xf>
    <xf numFmtId="0" fontId="88" fillId="0" borderId="0" xfId="0" applyFont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/>
      <protection locked="0"/>
    </xf>
    <xf numFmtId="0" fontId="61" fillId="0" borderId="28" xfId="0" applyFont="1" applyBorder="1" applyAlignment="1" applyProtection="1">
      <alignment horizontal="left" vertical="center"/>
      <protection hidden="1"/>
    </xf>
    <xf numFmtId="0" fontId="92" fillId="0" borderId="0" xfId="0" applyFont="1" applyAlignment="1" applyProtection="1">
      <alignment horizontal="center" vertical="center"/>
      <protection hidden="1"/>
    </xf>
    <xf numFmtId="0" fontId="8" fillId="6" borderId="27" xfId="0" applyFont="1" applyFill="1" applyBorder="1" applyAlignment="1" applyProtection="1">
      <alignment horizontal="center" vertical="center" wrapText="1"/>
      <protection locked="0" hidden="1"/>
    </xf>
    <xf numFmtId="0" fontId="8" fillId="6" borderId="29" xfId="0" applyFont="1" applyFill="1" applyBorder="1" applyAlignment="1" applyProtection="1">
      <alignment horizontal="center" vertical="center" wrapText="1"/>
      <protection locked="0" hidden="1"/>
    </xf>
    <xf numFmtId="0" fontId="52" fillId="2" borderId="23" xfId="0" applyFont="1" applyFill="1" applyBorder="1" applyAlignment="1" applyProtection="1">
      <alignment horizontal="center" vertical="center"/>
      <protection hidden="1"/>
    </xf>
    <xf numFmtId="0" fontId="52" fillId="2" borderId="24" xfId="0" applyFont="1" applyFill="1" applyBorder="1" applyAlignment="1" applyProtection="1">
      <alignment horizontal="center" vertical="center"/>
      <protection hidden="1"/>
    </xf>
    <xf numFmtId="0" fontId="80" fillId="6" borderId="31" xfId="0" applyFont="1" applyFill="1" applyBorder="1" applyAlignment="1" applyProtection="1">
      <alignment horizontal="center" vertical="center" wrapText="1"/>
      <protection locked="0"/>
    </xf>
    <xf numFmtId="0" fontId="80" fillId="6" borderId="25" xfId="0" applyFont="1" applyFill="1" applyBorder="1" applyAlignment="1" applyProtection="1">
      <alignment horizontal="center" vertical="center" wrapText="1"/>
      <protection locked="0"/>
    </xf>
    <xf numFmtId="0" fontId="34" fillId="0" borderId="31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20" fillId="0" borderId="23" xfId="0" applyFont="1" applyBorder="1" applyAlignment="1" applyProtection="1">
      <alignment horizontal="center" vertical="center" wrapText="1"/>
      <protection hidden="1"/>
    </xf>
    <xf numFmtId="0" fontId="20" fillId="0" borderId="22" xfId="0" applyFont="1" applyBorder="1" applyAlignment="1" applyProtection="1">
      <alignment horizontal="center" vertical="center" wrapText="1"/>
      <protection hidden="1"/>
    </xf>
    <xf numFmtId="0" fontId="20" fillId="0" borderId="24" xfId="0" applyFont="1" applyBorder="1" applyAlignment="1" applyProtection="1">
      <alignment horizontal="center" vertical="center" wrapText="1"/>
      <protection hidden="1"/>
    </xf>
    <xf numFmtId="0" fontId="20" fillId="0" borderId="31" xfId="0" applyFont="1" applyBorder="1" applyAlignment="1" applyProtection="1">
      <alignment horizontal="center" vertical="center" wrapText="1"/>
      <protection hidden="1"/>
    </xf>
    <xf numFmtId="0" fontId="20" fillId="0" borderId="28" xfId="0" applyFont="1" applyBorder="1" applyAlignment="1" applyProtection="1">
      <alignment horizontal="center" vertical="center" wrapText="1"/>
      <protection hidden="1"/>
    </xf>
    <xf numFmtId="0" fontId="20" fillId="0" borderId="29" xfId="0" applyFont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horizontal="center" vertical="top"/>
      <protection hidden="1"/>
    </xf>
    <xf numFmtId="0" fontId="67" fillId="0" borderId="0" xfId="0" applyFont="1" applyAlignment="1">
      <alignment horizontal="left" vertical="center" indent="2"/>
    </xf>
    <xf numFmtId="0" fontId="66" fillId="0" borderId="0" xfId="0" applyFont="1" applyAlignment="1">
      <alignment horizontal="left" vertical="center" indent="2"/>
    </xf>
    <xf numFmtId="0" fontId="52" fillId="2" borderId="38" xfId="0" applyFont="1" applyFill="1" applyBorder="1" applyAlignment="1" applyProtection="1">
      <alignment horizontal="center" vertical="center" wrapText="1"/>
      <protection hidden="1"/>
    </xf>
    <xf numFmtId="0" fontId="52" fillId="2" borderId="41" xfId="0" applyFont="1" applyFill="1" applyBorder="1" applyAlignment="1" applyProtection="1">
      <alignment horizontal="center" vertical="center" wrapText="1"/>
      <protection hidden="1"/>
    </xf>
    <xf numFmtId="0" fontId="20" fillId="0" borderId="27" xfId="0" applyFont="1" applyBorder="1" applyAlignment="1" applyProtection="1">
      <alignment horizontal="center" vertical="center" wrapText="1"/>
      <protection hidden="1"/>
    </xf>
    <xf numFmtId="0" fontId="90" fillId="0" borderId="0" xfId="0" applyFont="1" applyAlignment="1" applyProtection="1">
      <alignment horizontal="center" vertical="center"/>
      <protection hidden="1"/>
    </xf>
    <xf numFmtId="4" fontId="90" fillId="0" borderId="0" xfId="0" applyNumberFormat="1" applyFont="1" applyAlignment="1" applyProtection="1">
      <alignment horizontal="center"/>
      <protection hidden="1"/>
    </xf>
    <xf numFmtId="0" fontId="68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10" fillId="2" borderId="33" xfId="0" applyFont="1" applyFill="1" applyBorder="1" applyAlignment="1" applyProtection="1">
      <alignment horizontal="center" vertical="center"/>
      <protection hidden="1"/>
    </xf>
    <xf numFmtId="0" fontId="10" fillId="2" borderId="42" xfId="0" applyFont="1" applyFill="1" applyBorder="1" applyAlignment="1" applyProtection="1">
      <alignment horizontal="center" vertical="center"/>
      <protection hidden="1"/>
    </xf>
    <xf numFmtId="0" fontId="10" fillId="2" borderId="36" xfId="0" applyFont="1" applyFill="1" applyBorder="1" applyAlignment="1" applyProtection="1">
      <alignment horizontal="center" vertical="center"/>
      <protection hidden="1"/>
    </xf>
    <xf numFmtId="0" fontId="20" fillId="0" borderId="32" xfId="0" applyFont="1" applyBorder="1" applyAlignment="1" applyProtection="1">
      <alignment horizontal="center" vertical="center" wrapText="1"/>
      <protection hidden="1"/>
    </xf>
    <xf numFmtId="0" fontId="20" fillId="0" borderId="34" xfId="0" applyFont="1" applyBorder="1" applyAlignment="1" applyProtection="1">
      <alignment horizontal="center" vertical="center" wrapText="1"/>
      <protection hidden="1"/>
    </xf>
    <xf numFmtId="0" fontId="20" fillId="0" borderId="30" xfId="0" applyFont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20" fillId="0" borderId="25" xfId="0" applyFont="1" applyBorder="1" applyAlignment="1" applyProtection="1">
      <alignment horizontal="center" vertical="center" wrapText="1"/>
      <protection hidden="1"/>
    </xf>
    <xf numFmtId="0" fontId="30" fillId="6" borderId="23" xfId="0" applyFont="1" applyFill="1" applyBorder="1" applyAlignment="1" applyProtection="1">
      <alignment horizontal="center" vertical="center" wrapText="1"/>
      <protection locked="0" hidden="1"/>
    </xf>
    <xf numFmtId="0" fontId="30" fillId="6" borderId="22" xfId="0" applyFont="1" applyFill="1" applyBorder="1" applyAlignment="1" applyProtection="1">
      <alignment horizontal="center" vertical="center" wrapText="1"/>
      <protection locked="0" hidden="1"/>
    </xf>
    <xf numFmtId="0" fontId="30" fillId="6" borderId="24" xfId="0" applyFont="1" applyFill="1" applyBorder="1" applyAlignment="1" applyProtection="1">
      <alignment horizontal="center" vertical="center" wrapText="1"/>
      <protection locked="0" hidden="1"/>
    </xf>
    <xf numFmtId="0" fontId="30" fillId="6" borderId="27" xfId="0" applyFont="1" applyFill="1" applyBorder="1" applyAlignment="1" applyProtection="1">
      <alignment horizontal="center" vertical="center" wrapText="1"/>
      <protection locked="0" hidden="1"/>
    </xf>
    <xf numFmtId="0" fontId="30" fillId="6" borderId="28" xfId="0" applyFont="1" applyFill="1" applyBorder="1" applyAlignment="1" applyProtection="1">
      <alignment horizontal="center" vertical="center" wrapText="1"/>
      <protection locked="0" hidden="1"/>
    </xf>
    <xf numFmtId="0" fontId="30" fillId="6" borderId="29" xfId="0" applyFont="1" applyFill="1" applyBorder="1" applyAlignment="1" applyProtection="1">
      <alignment horizontal="center" vertical="center" wrapText="1"/>
      <protection locked="0" hidden="1"/>
    </xf>
    <xf numFmtId="0" fontId="60" fillId="2" borderId="0" xfId="0" applyFont="1" applyFill="1" applyAlignment="1" applyProtection="1">
      <alignment horizontal="center" vertical="center"/>
      <protection hidden="1"/>
    </xf>
    <xf numFmtId="0" fontId="8" fillId="0" borderId="32" xfId="0" applyFont="1" applyBorder="1" applyAlignment="1" applyProtection="1">
      <alignment horizontal="center" vertical="center" wrapText="1"/>
      <protection hidden="1"/>
    </xf>
    <xf numFmtId="0" fontId="8" fillId="0" borderId="34" xfId="0" applyFont="1" applyBorder="1" applyAlignment="1" applyProtection="1">
      <alignment horizontal="center" vertical="center" wrapText="1"/>
      <protection hidden="1"/>
    </xf>
    <xf numFmtId="0" fontId="8" fillId="0" borderId="30" xfId="0" applyFont="1" applyBorder="1" applyAlignment="1" applyProtection="1">
      <alignment horizontal="center" vertical="center" wrapText="1"/>
      <protection hidden="1"/>
    </xf>
    <xf numFmtId="0" fontId="60" fillId="0" borderId="2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locked="0"/>
    </xf>
    <xf numFmtId="4" fontId="34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59" fillId="3" borderId="9" xfId="0" applyFont="1" applyFill="1" applyBorder="1"/>
    <xf numFmtId="1" fontId="69" fillId="0" borderId="0" xfId="0" applyNumberFormat="1" applyFont="1" applyAlignment="1" applyProtection="1">
      <alignment horizontal="left" vertical="center"/>
      <protection hidden="1"/>
    </xf>
    <xf numFmtId="3" fontId="34" fillId="3" borderId="0" xfId="0" applyNumberFormat="1" applyFont="1" applyFill="1" applyAlignment="1" applyProtection="1">
      <alignment horizontal="center" vertical="center" wrapText="1"/>
      <protection hidden="1"/>
    </xf>
    <xf numFmtId="0" fontId="8" fillId="3" borderId="43" xfId="0" applyFont="1" applyFill="1" applyBorder="1" applyAlignment="1" applyProtection="1">
      <alignment horizontal="center" vertical="center" wrapText="1"/>
      <protection locked="0"/>
    </xf>
    <xf numFmtId="0" fontId="8" fillId="3" borderId="44" xfId="0" applyFont="1" applyFill="1" applyBorder="1" applyAlignment="1" applyProtection="1">
      <alignment horizontal="center" vertical="center" wrapText="1"/>
      <protection locked="0"/>
    </xf>
    <xf numFmtId="4" fontId="89" fillId="0" borderId="0" xfId="0" applyNumberFormat="1" applyFont="1" applyAlignment="1" applyProtection="1">
      <alignment horizontal="center" vertical="center"/>
      <protection hidden="1"/>
    </xf>
  </cellXfs>
  <cellStyles count="2">
    <cellStyle name="Normale" xfId="0" builtinId="0"/>
    <cellStyle name="Valuta" xfId="1" builtinId="4"/>
  </cellStyles>
  <dxfs count="148"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ont>
        <b/>
        <i val="0"/>
        <color theme="1"/>
      </font>
      <fill>
        <patternFill patternType="solid"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/>
      </border>
    </dxf>
    <dxf>
      <font>
        <b/>
        <i val="0"/>
        <color theme="8" tint="-0.24994659260841701"/>
      </font>
      <fill>
        <patternFill patternType="none">
          <bgColor auto="1"/>
        </patternFill>
      </fill>
      <border>
        <left/>
        <right/>
        <top/>
        <bottom style="thin">
          <color auto="1"/>
        </bottom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/>
        <i val="0"/>
        <color theme="0"/>
      </font>
      <fill>
        <patternFill>
          <bgColor theme="8" tint="-0.24994659260841701"/>
        </patternFill>
      </fill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font>
        <b/>
        <i val="0"/>
      </font>
    </dxf>
    <dxf>
      <font>
        <color theme="0"/>
      </font>
      <fill>
        <patternFill>
          <bgColor theme="8" tint="-0.24994659260841701"/>
        </patternFill>
      </fill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8" tint="-0.24994659260841701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font>
        <color theme="0"/>
      </font>
      <fill>
        <patternFill>
          <bgColor theme="8" tint="-0.24994659260841701"/>
        </patternFill>
      </fill>
      <border>
        <bottom style="thin">
          <color auto="1"/>
        </bottom>
        <vertical/>
        <horizontal/>
      </border>
    </dxf>
    <dxf>
      <font>
        <color theme="0"/>
      </font>
      <fill>
        <patternFill>
          <bgColor theme="8" tint="-0.24994659260841701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font>
        <color theme="0"/>
      </font>
      <fill>
        <patternFill>
          <bgColor theme="8" tint="-0.24994659260841701"/>
        </patternFill>
      </fill>
      <border>
        <left style="thin">
          <color auto="1"/>
        </left>
        <bottom style="thin">
          <color auto="1"/>
        </bottom>
        <vertical/>
        <horizontal/>
      </border>
    </dxf>
    <dxf>
      <font>
        <b/>
        <i val="0"/>
        <color rgb="FF00B050"/>
      </font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/>
        <i val="0"/>
        <color theme="1"/>
      </font>
      <fill>
        <patternFill patternType="solid"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 tint="-0.24994659260841701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rgb="FFFF0000"/>
      </font>
    </dxf>
    <dxf>
      <font>
        <color rgb="FF00B05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bottom style="thin">
          <color theme="0" tint="-0.14996795556505021"/>
        </bottom>
        <vertical/>
        <horizontal/>
      </border>
    </dxf>
    <dxf>
      <font>
        <color theme="0"/>
      </font>
    </dxf>
    <dxf>
      <font>
        <b/>
        <i val="0"/>
        <color theme="0"/>
      </font>
      <fill>
        <patternFill>
          <bgColor theme="2" tint="-0.499984740745262"/>
        </patternFill>
      </fill>
      <border>
        <right style="thin">
          <color theme="2" tint="-0.499984740745262"/>
        </right>
      </border>
    </dxf>
    <dxf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</dxfs>
  <tableStyles count="0" defaultTableStyle="TableStyleMedium9" defaultPivotStyle="PivotStyleLight16"/>
  <colors>
    <mruColors>
      <color rgb="FF009900"/>
      <color rgb="FFD81624"/>
      <color rgb="FF008000"/>
      <color rgb="FFFFCC00"/>
      <color rgb="FFE50050"/>
      <color rgb="FFE30544"/>
      <color rgb="FFF50050"/>
      <color rgb="FFFE2E4C"/>
      <color rgb="FF707965"/>
      <color rgb="FFFE38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List" dx="22" fmlaLink="COPIA!$M$1" fmlaRange="COPIA!$Q$3:$Q$34" sel="1" val="0"/>
</file>

<file path=xl/ctrlProps/ctrlProp2.xml><?xml version="1.0" encoding="utf-8"?>
<formControlPr xmlns="http://schemas.microsoft.com/office/spreadsheetml/2009/9/main" objectType="List" dx="22" fmlaLink="COPIA!$M$1" fmlaRange="COPIA!$Q$3:$Q$34" sel="1" val="0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121920</xdr:colOff>
          <xdr:row>2</xdr:row>
          <xdr:rowOff>0</xdr:rowOff>
        </xdr:from>
        <xdr:to>
          <xdr:col>4</xdr:col>
          <xdr:colOff>3436620</xdr:colOff>
          <xdr:row>7</xdr:row>
          <xdr:rowOff>152400</xdr:rowOff>
        </xdr:to>
        <xdr:sp macro="" textlink="">
          <xdr:nvSpPr>
            <xdr:cNvPr id="3088" name="List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60960</xdr:colOff>
          <xdr:row>1</xdr:row>
          <xdr:rowOff>0</xdr:rowOff>
        </xdr:from>
        <xdr:to>
          <xdr:col>4</xdr:col>
          <xdr:colOff>3032760</xdr:colOff>
          <xdr:row>5</xdr:row>
          <xdr:rowOff>68580</xdr:rowOff>
        </xdr:to>
        <xdr:sp macro="" textlink="">
          <xdr:nvSpPr>
            <xdr:cNvPr id="4097" name="List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8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rgb="FF00B050"/>
  </sheetPr>
  <dimension ref="A1:O214"/>
  <sheetViews>
    <sheetView showGridLines="0" showRowColHeaders="0" zoomScale="120" zoomScaleNormal="120" workbookViewId="0">
      <pane ySplit="5" topLeftCell="A6" activePane="bottomLeft" state="frozen"/>
      <selection activeCell="B1" sqref="B1"/>
      <selection pane="bottomLeft" activeCell="N9" sqref="N9"/>
    </sheetView>
  </sheetViews>
  <sheetFormatPr defaultColWidth="9" defaultRowHeight="15.6"/>
  <cols>
    <col min="1" max="3" width="4" style="19" customWidth="1"/>
    <col min="4" max="4" width="5.8984375" style="21" customWidth="1"/>
    <col min="5" max="5" width="38.19921875" style="19" customWidth="1"/>
    <col min="6" max="6" width="6.5" style="20" customWidth="1"/>
    <col min="7" max="7" width="10" style="20" customWidth="1"/>
    <col min="8" max="8" width="23.69921875" style="20" customWidth="1"/>
    <col min="9" max="9" width="11.19921875" style="20" customWidth="1"/>
    <col min="10" max="10" width="3.19921875" style="23" hidden="1" customWidth="1"/>
    <col min="11" max="11" width="4.09765625" style="23" hidden="1" customWidth="1"/>
    <col min="12" max="12" width="3.5" style="23" hidden="1" customWidth="1"/>
    <col min="13" max="13" width="7" style="19" customWidth="1"/>
    <col min="14" max="14" width="20.69921875" style="19" customWidth="1"/>
    <col min="15" max="16384" width="9" style="19"/>
  </cols>
  <sheetData>
    <row r="1" spans="1:15" ht="30" customHeight="1">
      <c r="A1" s="294" t="s">
        <v>698</v>
      </c>
      <c r="B1" s="295"/>
      <c r="C1" s="295"/>
      <c r="D1" s="295"/>
      <c r="E1" s="295"/>
      <c r="F1" s="295"/>
      <c r="G1" s="295"/>
      <c r="H1" s="305"/>
      <c r="I1" s="305"/>
      <c r="J1" s="305"/>
      <c r="K1" s="305"/>
      <c r="L1" s="305"/>
      <c r="M1" s="305"/>
      <c r="N1" s="305"/>
    </row>
    <row r="2" spans="1:15" ht="18" customHeight="1">
      <c r="A2" s="306" t="s">
        <v>609</v>
      </c>
      <c r="B2" s="307"/>
      <c r="C2" s="307"/>
      <c r="D2" s="307"/>
      <c r="E2" s="308"/>
      <c r="F2" s="299" t="s">
        <v>424</v>
      </c>
      <c r="G2" s="299"/>
      <c r="H2" s="299"/>
      <c r="I2" s="299" t="s">
        <v>425</v>
      </c>
      <c r="J2" s="299"/>
      <c r="K2" s="299"/>
      <c r="L2" s="299"/>
      <c r="M2" s="299"/>
      <c r="N2" s="299"/>
    </row>
    <row r="3" spans="1:15" ht="18.75" customHeight="1">
      <c r="A3" s="309"/>
      <c r="B3" s="310"/>
      <c r="C3" s="310"/>
      <c r="D3" s="310"/>
      <c r="E3" s="311"/>
      <c r="F3" s="300" t="s">
        <v>417</v>
      </c>
      <c r="G3" s="300"/>
      <c r="H3" s="300"/>
      <c r="I3" s="301" t="s">
        <v>607</v>
      </c>
      <c r="J3" s="302"/>
      <c r="K3" s="302"/>
      <c r="L3" s="302"/>
      <c r="M3" s="302"/>
      <c r="N3" s="303"/>
    </row>
    <row r="4" spans="1:15" ht="13.5" customHeight="1">
      <c r="A4" s="228"/>
      <c r="B4" s="227"/>
      <c r="C4" s="116"/>
      <c r="D4" s="114"/>
      <c r="E4" s="229"/>
      <c r="F4" s="229"/>
      <c r="G4" s="229"/>
      <c r="H4" s="229"/>
      <c r="I4" s="115"/>
      <c r="J4" s="115"/>
      <c r="K4" s="115"/>
      <c r="L4" s="115"/>
      <c r="M4" s="115"/>
      <c r="N4" s="115"/>
    </row>
    <row r="5" spans="1:15" ht="14.25" customHeight="1">
      <c r="A5" s="304" t="s">
        <v>694</v>
      </c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231"/>
    </row>
    <row r="6" spans="1:15" ht="34.5" customHeight="1">
      <c r="A6" s="296" t="s">
        <v>608</v>
      </c>
      <c r="B6" s="297"/>
      <c r="C6" s="297"/>
      <c r="D6" s="112" t="s">
        <v>10</v>
      </c>
      <c r="E6" s="113" t="s">
        <v>283</v>
      </c>
      <c r="F6" s="113" t="s">
        <v>226</v>
      </c>
      <c r="G6" s="113" t="s">
        <v>11</v>
      </c>
      <c r="H6" s="113" t="s">
        <v>12</v>
      </c>
      <c r="I6" s="113" t="s">
        <v>13</v>
      </c>
      <c r="J6" s="298"/>
      <c r="K6" s="297"/>
      <c r="L6" s="297"/>
      <c r="M6" s="84"/>
    </row>
    <row r="7" spans="1:15" ht="20.100000000000001" customHeight="1">
      <c r="A7" s="117" t="s">
        <v>211</v>
      </c>
      <c r="B7" s="117" t="s">
        <v>215</v>
      </c>
      <c r="C7" s="117" t="s">
        <v>216</v>
      </c>
      <c r="D7" s="78" t="str">
        <f>IF(COPIA!A3=0,"",COPIA!A3)</f>
        <v>01.00</v>
      </c>
      <c r="E7" s="79" t="str">
        <f>IF(COPIA!B3=0,"",COPIA!B3)</f>
        <v>IMMOBILIZZAZIONI IMMATERIALI</v>
      </c>
      <c r="F7" s="80" t="str">
        <f>IF(COPIA!C3=0,"",COPIA!C3)</f>
        <v/>
      </c>
      <c r="G7" s="80" t="str">
        <f>IF(COPIA!D3=0,"",COPIA!D3)</f>
        <v/>
      </c>
      <c r="H7" s="78" t="str">
        <f>IF(COPIA!E3=0,"",IF(COPIA!B3="FONDO SVALUTAZIONE CREDITI","RETTIFICA CREDITI",COPIA!E3))</f>
        <v/>
      </c>
      <c r="I7" s="80" t="str">
        <f>IF(COPIA!F3=0,"",COPIA!F3)</f>
        <v/>
      </c>
      <c r="J7" s="150"/>
      <c r="K7" s="150"/>
      <c r="L7" s="150"/>
      <c r="M7" s="103">
        <v>1</v>
      </c>
      <c r="N7" s="250"/>
      <c r="O7" s="254"/>
    </row>
    <row r="8" spans="1:15" ht="20.100000000000001" customHeight="1">
      <c r="A8" s="232" t="s">
        <v>426</v>
      </c>
      <c r="B8" s="232" t="s">
        <v>426</v>
      </c>
      <c r="C8" s="232" t="s">
        <v>426</v>
      </c>
      <c r="D8" s="78" t="str">
        <f>IF(COPIA!A4=0,"",COPIA!A4)</f>
        <v>01.01</v>
      </c>
      <c r="E8" s="81" t="str">
        <f>IF(COPIA!B4=0,"",COPIA!B4)</f>
        <v>COSTI DI IMPIANTO</v>
      </c>
      <c r="F8" s="82" t="str">
        <f>IF(COPIA!C4=0,"",COPIA!C4)</f>
        <v>E</v>
      </c>
      <c r="G8" s="82" t="str">
        <f>IF(COPIA!D4=0,"",COPIA!D4)</f>
        <v>D</v>
      </c>
      <c r="H8" s="78" t="str">
        <f>IF(COPIA!E4=0,"",IF(COPIA!B4="FONDO SVALUTAZIONE CREDITI","RETTIFICA CREDITI",COPIA!E4))</f>
        <v>COSTI PLURIENNALI</v>
      </c>
      <c r="I8" s="82" t="str">
        <f>IF(COPIA!F4=0,"",COPIA!F4)</f>
        <v>SP DARE</v>
      </c>
      <c r="J8" s="253"/>
      <c r="K8" s="253"/>
      <c r="L8" s="253"/>
      <c r="M8" s="103">
        <v>2</v>
      </c>
      <c r="N8" s="251"/>
      <c r="O8" s="252"/>
    </row>
    <row r="9" spans="1:15" ht="20.100000000000001" customHeight="1">
      <c r="A9" s="232" t="s">
        <v>426</v>
      </c>
      <c r="B9" s="232" t="s">
        <v>426</v>
      </c>
      <c r="C9" s="232" t="s">
        <v>426</v>
      </c>
      <c r="D9" s="78" t="str">
        <f>IF(COPIA!A5=0,"",COPIA!A5)</f>
        <v>01.03</v>
      </c>
      <c r="E9" s="81" t="str">
        <f>IF(COPIA!B5=0,"",COPIA!B5)</f>
        <v>BREVETTI</v>
      </c>
      <c r="F9" s="82" t="str">
        <f>IF(COPIA!C5=0,"",COPIA!C5)</f>
        <v>E</v>
      </c>
      <c r="G9" s="82" t="str">
        <f>IF(COPIA!D5=0,"",COPIA!D5)</f>
        <v>D</v>
      </c>
      <c r="H9" s="78" t="str">
        <f>IF(COPIA!E5=0,"",IF(COPIA!B5="FONDO SVALUTAZIONE CREDITI","RETTIFICA CREDITI",COPIA!E5))</f>
        <v>COSTI PLURIENNALI</v>
      </c>
      <c r="I9" s="82" t="str">
        <f>IF(COPIA!F5=0,"",COPIA!F5)</f>
        <v>SP DARE</v>
      </c>
      <c r="J9" s="253"/>
      <c r="K9" s="253"/>
      <c r="L9" s="253"/>
      <c r="M9" s="230">
        <v>3</v>
      </c>
      <c r="N9" s="251"/>
      <c r="O9" s="252"/>
    </row>
    <row r="10" spans="1:15" ht="20.100000000000001" customHeight="1">
      <c r="A10" s="232" t="s">
        <v>426</v>
      </c>
      <c r="B10" s="232" t="s">
        <v>426</v>
      </c>
      <c r="C10" s="232" t="s">
        <v>426</v>
      </c>
      <c r="D10" s="78" t="str">
        <f>IF(COPIA!A6=0,"",COPIA!A6)</f>
        <v>01.04</v>
      </c>
      <c r="E10" s="81" t="str">
        <f>IF(COPIA!B6=0,"",COPIA!B6)</f>
        <v>SOFTWARE</v>
      </c>
      <c r="F10" s="82" t="str">
        <f>IF(COPIA!C6=0,"",COPIA!C6)</f>
        <v>E</v>
      </c>
      <c r="G10" s="82" t="str">
        <f>IF(COPIA!D6=0,"",COPIA!D6)</f>
        <v>D</v>
      </c>
      <c r="H10" s="78" t="str">
        <f>IF(COPIA!E6=0,"",IF(COPIA!B6="FONDO SVALUTAZIONE CREDITI","RETTIFICA CREDITI",COPIA!E6))</f>
        <v>COSTI PLURIENNALI</v>
      </c>
      <c r="I10" s="82" t="str">
        <f>IF(COPIA!F6=0,"",COPIA!F6)</f>
        <v>SP DARE</v>
      </c>
      <c r="J10" s="253"/>
      <c r="K10" s="253"/>
      <c r="L10" s="253"/>
      <c r="M10" s="104"/>
      <c r="N10" s="293"/>
      <c r="O10" s="293"/>
    </row>
    <row r="11" spans="1:15" ht="20.100000000000001" customHeight="1">
      <c r="A11" s="232"/>
      <c r="B11" s="232"/>
      <c r="C11" s="232" t="s">
        <v>426</v>
      </c>
      <c r="D11" s="78" t="str">
        <f>IF(COPIA!A7=0,"",COPIA!A7)</f>
        <v>01.05</v>
      </c>
      <c r="E11" s="81" t="str">
        <f>IF(COPIA!B7=0,"",COPIA!B7)</f>
        <v>AVVIAMENTO</v>
      </c>
      <c r="F11" s="82" t="str">
        <f>IF(COPIA!C7=0,"",COPIA!C7)</f>
        <v>E</v>
      </c>
      <c r="G11" s="82" t="str">
        <f>IF(COPIA!D7=0,"",COPIA!D7)</f>
        <v>D</v>
      </c>
      <c r="H11" s="78" t="str">
        <f>IF(COPIA!E7=0,"",IF(COPIA!B7="FONDO SVALUTAZIONE CREDITI","RETTIFICA CREDITI",COPIA!E7))</f>
        <v>COSTI PLURIENNALI</v>
      </c>
      <c r="I11" s="82" t="str">
        <f>IF(COPIA!F7=0,"",COPIA!F7)</f>
        <v>SP DARE</v>
      </c>
      <c r="J11" s="253"/>
      <c r="K11" s="253"/>
      <c r="L11" s="253"/>
      <c r="M11" s="11"/>
      <c r="N11" s="25"/>
    </row>
    <row r="12" spans="1:15" ht="20.100000000000001" customHeight="1">
      <c r="A12" s="232"/>
      <c r="B12" s="232"/>
      <c r="C12" s="232" t="s">
        <v>426</v>
      </c>
      <c r="D12" s="78" t="str">
        <f>IF(COPIA!A8=0,"",COPIA!A8)</f>
        <v>01.11</v>
      </c>
      <c r="E12" s="81" t="str">
        <f>IF(COPIA!B8=0,"",COPIA!B8)</f>
        <v>FONDO AMMORTAMENTO COSTI DI IMPIANTO</v>
      </c>
      <c r="F12" s="82" t="str">
        <f>IF(COPIA!C8=0,"",COPIA!C8)</f>
        <v>E</v>
      </c>
      <c r="G12" s="82" t="str">
        <f>IF(COPIA!D8=0,"",COPIA!D8)</f>
        <v>A</v>
      </c>
      <c r="H12" s="78" t="str">
        <f>IF(COPIA!E8=0,"",IF(COPIA!B8="FONDO SVALUTAZIONE CREDITI","RETTIFICA CREDITI",COPIA!E8))</f>
        <v>RETTIFICHE COSTI PLURIENNALI</v>
      </c>
      <c r="I12" s="82" t="str">
        <f>IF(COPIA!F8=0,"",COPIA!F8)</f>
        <v>SP AVERE</v>
      </c>
      <c r="J12" s="253"/>
      <c r="K12" s="253"/>
      <c r="L12" s="253"/>
      <c r="N12" s="26"/>
    </row>
    <row r="13" spans="1:15" ht="20.100000000000001" customHeight="1">
      <c r="A13" s="232"/>
      <c r="B13" s="232" t="s">
        <v>426</v>
      </c>
      <c r="C13" s="232" t="s">
        <v>426</v>
      </c>
      <c r="D13" s="78" t="str">
        <f>IF(COPIA!A9=0,"",COPIA!A9)</f>
        <v>01.13</v>
      </c>
      <c r="E13" s="81" t="str">
        <f>IF(COPIA!B9=0,"",COPIA!B9)</f>
        <v>FONDO AMMORTAMENTO BREVETTI</v>
      </c>
      <c r="F13" s="82" t="str">
        <f>IF(COPIA!C9=0,"",COPIA!C9)</f>
        <v>E</v>
      </c>
      <c r="G13" s="82" t="str">
        <f>IF(COPIA!D9=0,"",COPIA!D9)</f>
        <v>A</v>
      </c>
      <c r="H13" s="78" t="str">
        <f>IF(COPIA!E9=0,"",IF(COPIA!B9="FONDO SVALUTAZIONE CREDITI","RETTIFICA CREDITI",COPIA!E9))</f>
        <v>RETTIFICHE COSTI PLURIENNALI</v>
      </c>
      <c r="I13" s="82" t="str">
        <f>IF(COPIA!F9=0,"",COPIA!F9)</f>
        <v>SP AVERE</v>
      </c>
      <c r="J13" s="253"/>
      <c r="K13" s="253"/>
      <c r="L13" s="253"/>
      <c r="N13" s="26"/>
    </row>
    <row r="14" spans="1:15" ht="20.100000000000001" customHeight="1">
      <c r="A14" s="232"/>
      <c r="B14" s="232" t="s">
        <v>426</v>
      </c>
      <c r="C14" s="232" t="s">
        <v>426</v>
      </c>
      <c r="D14" s="78" t="str">
        <f>IF(COPIA!A10=0,"",COPIA!A10)</f>
        <v>01.14</v>
      </c>
      <c r="E14" s="81" t="str">
        <f>IF(COPIA!B10=0,"",COPIA!B10)</f>
        <v>FONDO AMMORTAMENTO SOFTWARE</v>
      </c>
      <c r="F14" s="82" t="str">
        <f>IF(COPIA!C10=0,"",COPIA!C10)</f>
        <v>E</v>
      </c>
      <c r="G14" s="82" t="str">
        <f>IF(COPIA!D10=0,"",COPIA!D10)</f>
        <v>A</v>
      </c>
      <c r="H14" s="78" t="str">
        <f>IF(COPIA!E10=0,"",IF(COPIA!B10="FONDO SVALUTAZIONE CREDITI","RETTIFICA CREDITI",COPIA!E10))</f>
        <v>RETTIFICHE COSTI PLURIENNALI</v>
      </c>
      <c r="I14" s="82" t="str">
        <f>IF(COPIA!F10=0,"",COPIA!F10)</f>
        <v>SP AVERE</v>
      </c>
      <c r="J14" s="253"/>
      <c r="K14" s="253"/>
      <c r="L14" s="253"/>
      <c r="N14" s="26"/>
    </row>
    <row r="15" spans="1:15" ht="20.100000000000001" customHeight="1">
      <c r="A15" s="232"/>
      <c r="B15" s="232"/>
      <c r="C15" s="232" t="s">
        <v>426</v>
      </c>
      <c r="D15" s="78" t="str">
        <f>IF(COPIA!A11=0,"",COPIA!A11)</f>
        <v>01.15</v>
      </c>
      <c r="E15" s="81" t="str">
        <f>IF(COPIA!B11=0,"",COPIA!B11)</f>
        <v>FONDO AMMORTAMENTO AVVIAMENTO</v>
      </c>
      <c r="F15" s="82" t="str">
        <f>IF(COPIA!C11=0,"",COPIA!C11)</f>
        <v>E</v>
      </c>
      <c r="G15" s="82" t="str">
        <f>IF(COPIA!D11=0,"",COPIA!D11)</f>
        <v>A</v>
      </c>
      <c r="H15" s="78" t="str">
        <f>IF(COPIA!E11=0,"",IF(COPIA!B11="FONDO SVALUTAZIONE CREDITI","RETTIFICA CREDITI",COPIA!E11))</f>
        <v>RETTIFICHE COSTI PLURIENNALI</v>
      </c>
      <c r="I15" s="82" t="str">
        <f>IF(COPIA!F11=0,"",COPIA!F11)</f>
        <v>SP AVERE</v>
      </c>
      <c r="J15" s="253"/>
      <c r="K15" s="253"/>
      <c r="L15" s="253"/>
      <c r="N15" s="26"/>
    </row>
    <row r="16" spans="1:15" ht="20.100000000000001" customHeight="1">
      <c r="A16" s="232" t="s">
        <v>426</v>
      </c>
      <c r="B16" s="232" t="s">
        <v>426</v>
      </c>
      <c r="C16" s="232" t="s">
        <v>426</v>
      </c>
      <c r="D16" s="78" t="str">
        <f>IF(COPIA!A12=0,"",COPIA!A12)</f>
        <v>01.20</v>
      </c>
      <c r="E16" s="81" t="str">
        <f>IF(COPIA!B12=0,"",COPIA!B12)</f>
        <v>FORNITORI IMMOBILIZZ. IMMATERIALI C/ACCONTI</v>
      </c>
      <c r="F16" s="82" t="str">
        <f>IF(COPIA!C12=0,"",COPIA!C12)</f>
        <v>F</v>
      </c>
      <c r="G16" s="82" t="str">
        <f>IF(COPIA!D12=0,"",COPIA!D12)</f>
        <v>D</v>
      </c>
      <c r="H16" s="78" t="str">
        <f>IF(COPIA!E12=0,"",IF(COPIA!B12="FONDO SVALUTAZIONE CREDITI","RETTIFICA CREDITI",COPIA!E12))</f>
        <v>CREDITI</v>
      </c>
      <c r="I16" s="82" t="str">
        <f>IF(COPIA!F12=0,"",COPIA!F12)</f>
        <v>SP DARE</v>
      </c>
      <c r="J16" s="253"/>
      <c r="K16" s="253"/>
      <c r="L16" s="253"/>
      <c r="N16" s="26"/>
    </row>
    <row r="17" spans="1:14" ht="20.100000000000001" customHeight="1">
      <c r="A17" s="232"/>
      <c r="B17" s="232"/>
      <c r="C17" s="232"/>
      <c r="D17" s="78" t="str">
        <f>IF(COPIA!A13=0,"",COPIA!A13)</f>
        <v>02.00</v>
      </c>
      <c r="E17" s="81" t="str">
        <f>IF(COPIA!B13=0,"",COPIA!B13)</f>
        <v>IMMOBILIZZAZIONI MATERIALI</v>
      </c>
      <c r="F17" s="82" t="str">
        <f>IF(COPIA!C13=0,"",COPIA!C13)</f>
        <v/>
      </c>
      <c r="G17" s="82" t="str">
        <f>IF(COPIA!D13=0,"",COPIA!D13)</f>
        <v/>
      </c>
      <c r="H17" s="78" t="str">
        <f>IF(COPIA!E13=0,"",IF(COPIA!B13="FONDO SVALUTAZIONE CREDITI","RETTIFICA CREDITI",COPIA!E13))</f>
        <v/>
      </c>
      <c r="I17" s="82" t="str">
        <f>IF(COPIA!F13=0,"",COPIA!F13)</f>
        <v/>
      </c>
      <c r="J17" s="253"/>
      <c r="K17" s="253"/>
      <c r="L17" s="253"/>
      <c r="N17" s="26"/>
    </row>
    <row r="18" spans="1:14" ht="20.100000000000001" customHeight="1">
      <c r="A18" s="232" t="s">
        <v>426</v>
      </c>
      <c r="B18" s="232" t="s">
        <v>426</v>
      </c>
      <c r="C18" s="232" t="s">
        <v>426</v>
      </c>
      <c r="D18" s="78" t="str">
        <f>IF(COPIA!A14=0,"",COPIA!A14)</f>
        <v>02.01</v>
      </c>
      <c r="E18" s="81" t="str">
        <f>IF(COPIA!B14=0,"",COPIA!B14)</f>
        <v>FABBRICATI</v>
      </c>
      <c r="F18" s="82" t="str">
        <f>IF(COPIA!C14=0,"",COPIA!C14)</f>
        <v>E</v>
      </c>
      <c r="G18" s="82" t="str">
        <f>IF(COPIA!D14=0,"",COPIA!D14)</f>
        <v>D</v>
      </c>
      <c r="H18" s="78" t="str">
        <f>IF(COPIA!E14=0,"",IF(COPIA!B14="FONDO SVALUTAZIONE CREDITI","RETTIFICA CREDITI",COPIA!E14))</f>
        <v>COSTI PLURIENNALI</v>
      </c>
      <c r="I18" s="82" t="str">
        <f>IF(COPIA!F14=0,"",COPIA!F14)</f>
        <v>SP DARE</v>
      </c>
      <c r="J18" s="253"/>
      <c r="K18" s="253"/>
      <c r="L18" s="253"/>
      <c r="N18" s="26"/>
    </row>
    <row r="19" spans="1:14" ht="20.100000000000001" customHeight="1">
      <c r="A19" s="232" t="s">
        <v>426</v>
      </c>
      <c r="B19" s="232" t="s">
        <v>426</v>
      </c>
      <c r="C19" s="232" t="s">
        <v>426</v>
      </c>
      <c r="D19" s="78" t="str">
        <f>IF(COPIA!A15=0,"",COPIA!A15)</f>
        <v>02.02</v>
      </c>
      <c r="E19" s="81" t="str">
        <f>IF(COPIA!B15=0,"",COPIA!B15)</f>
        <v>IMPIANTI E MACCHINARI</v>
      </c>
      <c r="F19" s="82" t="str">
        <f>IF(COPIA!C15=0,"",COPIA!C15)</f>
        <v>E</v>
      </c>
      <c r="G19" s="82" t="str">
        <f>IF(COPIA!D15=0,"",COPIA!D15)</f>
        <v>D</v>
      </c>
      <c r="H19" s="78" t="str">
        <f>IF(COPIA!E15=0,"",IF(COPIA!B15="FONDO SVALUTAZIONE CREDITI","RETTIFICA CREDITI",COPIA!E15))</f>
        <v>COSTI PLURIENNALI</v>
      </c>
      <c r="I19" s="82" t="str">
        <f>IF(COPIA!F15=0,"",COPIA!F15)</f>
        <v>SP DARE</v>
      </c>
      <c r="J19" s="253"/>
      <c r="K19" s="253"/>
      <c r="L19" s="253"/>
      <c r="M19" s="26"/>
      <c r="N19" s="26"/>
    </row>
    <row r="20" spans="1:14" ht="20.100000000000001" customHeight="1">
      <c r="A20" s="232" t="s">
        <v>426</v>
      </c>
      <c r="B20" s="232" t="s">
        <v>426</v>
      </c>
      <c r="C20" s="232" t="s">
        <v>426</v>
      </c>
      <c r="D20" s="78" t="str">
        <f>IF(COPIA!A16=0,"",COPIA!A16)</f>
        <v>02.04</v>
      </c>
      <c r="E20" s="81" t="str">
        <f>IF(COPIA!B16=0,"",COPIA!B16)</f>
        <v>ATTREZZATURE COMMERCIALI</v>
      </c>
      <c r="F20" s="82" t="str">
        <f>IF(COPIA!C16=0,"",COPIA!C16)</f>
        <v>E</v>
      </c>
      <c r="G20" s="82" t="str">
        <f>IF(COPIA!D16=0,"",COPIA!D16)</f>
        <v>D</v>
      </c>
      <c r="H20" s="78" t="str">
        <f>IF(COPIA!E16=0,"",IF(COPIA!B16="FONDO SVALUTAZIONE CREDITI","RETTIFICA CREDITI",COPIA!E16))</f>
        <v>COSTI PLURIENNALI</v>
      </c>
      <c r="I20" s="82" t="str">
        <f>IF(COPIA!F16=0,"",COPIA!F16)</f>
        <v>SP DARE</v>
      </c>
      <c r="J20" s="253"/>
      <c r="K20" s="253"/>
      <c r="L20" s="253"/>
      <c r="M20" s="26"/>
      <c r="N20" s="26"/>
    </row>
    <row r="21" spans="1:14" ht="20.100000000000001" customHeight="1">
      <c r="A21" s="232" t="s">
        <v>426</v>
      </c>
      <c r="B21" s="232" t="s">
        <v>426</v>
      </c>
      <c r="C21" s="232" t="s">
        <v>426</v>
      </c>
      <c r="D21" s="78" t="str">
        <f>IF(COPIA!A17=0,"",COPIA!A17)</f>
        <v>02.05</v>
      </c>
      <c r="E21" s="81" t="str">
        <f>IF(COPIA!B17=0,"",COPIA!B17)</f>
        <v>MACCHINE D'UFFICIO</v>
      </c>
      <c r="F21" s="82" t="str">
        <f>IF(COPIA!C17=0,"",COPIA!C17)</f>
        <v>E</v>
      </c>
      <c r="G21" s="82" t="str">
        <f>IF(COPIA!D17=0,"",COPIA!D17)</f>
        <v>D</v>
      </c>
      <c r="H21" s="78" t="str">
        <f>IF(COPIA!E17=0,"",IF(COPIA!B17="FONDO SVALUTAZIONE CREDITI","RETTIFICA CREDITI",COPIA!E17))</f>
        <v>COSTI PLURIENNALI</v>
      </c>
      <c r="I21" s="82" t="str">
        <f>IF(COPIA!F17=0,"",COPIA!F17)</f>
        <v>SP DARE</v>
      </c>
      <c r="J21" s="253"/>
      <c r="K21" s="253"/>
      <c r="L21" s="253"/>
      <c r="M21" s="26"/>
      <c r="N21" s="26"/>
    </row>
    <row r="22" spans="1:14" ht="20.100000000000001" customHeight="1">
      <c r="A22" s="232" t="s">
        <v>426</v>
      </c>
      <c r="B22" s="232" t="s">
        <v>426</v>
      </c>
      <c r="C22" s="232" t="s">
        <v>426</v>
      </c>
      <c r="D22" s="78" t="str">
        <f>IF(COPIA!A18=0,"",COPIA!A18)</f>
        <v>02.06</v>
      </c>
      <c r="E22" s="81" t="str">
        <f>IF(COPIA!B18=0,"",COPIA!B18)</f>
        <v>ARREDAMENTO</v>
      </c>
      <c r="F22" s="82" t="str">
        <f>IF(COPIA!C18=0,"",COPIA!C18)</f>
        <v>E</v>
      </c>
      <c r="G22" s="82" t="str">
        <f>IF(COPIA!D18=0,"",COPIA!D18)</f>
        <v>D</v>
      </c>
      <c r="H22" s="78" t="str">
        <f>IF(COPIA!E18=0,"",IF(COPIA!B18="FONDO SVALUTAZIONE CREDITI","RETTIFICA CREDITI",COPIA!E18))</f>
        <v>COSTI PLURIENNALI</v>
      </c>
      <c r="I22" s="82" t="str">
        <f>IF(COPIA!F18=0,"",COPIA!F18)</f>
        <v>SP DARE</v>
      </c>
      <c r="J22" s="253"/>
      <c r="K22" s="253"/>
      <c r="L22" s="253"/>
      <c r="N22" s="26"/>
    </row>
    <row r="23" spans="1:14" ht="20.100000000000001" customHeight="1">
      <c r="A23" s="232" t="s">
        <v>426</v>
      </c>
      <c r="B23" s="232" t="s">
        <v>426</v>
      </c>
      <c r="C23" s="232" t="s">
        <v>426</v>
      </c>
      <c r="D23" s="78" t="str">
        <f>IF(COPIA!A19=0,"",COPIA!A19)</f>
        <v>02.07</v>
      </c>
      <c r="E23" s="81" t="str">
        <f>IF(COPIA!B19=0,"",COPIA!B19)</f>
        <v>AUTOMEZZI</v>
      </c>
      <c r="F23" s="82" t="str">
        <f>IF(COPIA!C19=0,"",COPIA!C19)</f>
        <v>E</v>
      </c>
      <c r="G23" s="82" t="str">
        <f>IF(COPIA!D19=0,"",COPIA!D19)</f>
        <v>D</v>
      </c>
      <c r="H23" s="78" t="str">
        <f>IF(COPIA!E19=0,"",IF(COPIA!B19="FONDO SVALUTAZIONE CREDITI","RETTIFICA CREDITI",COPIA!E19))</f>
        <v>COSTI PLURIENNALI</v>
      </c>
      <c r="I23" s="82" t="str">
        <f>IF(COPIA!F19=0,"",COPIA!F19)</f>
        <v>SP DARE</v>
      </c>
      <c r="J23" s="253"/>
      <c r="K23" s="253"/>
      <c r="L23" s="253"/>
      <c r="N23" s="26"/>
    </row>
    <row r="24" spans="1:14" ht="20.100000000000001" customHeight="1">
      <c r="A24" s="232" t="s">
        <v>426</v>
      </c>
      <c r="B24" s="232" t="s">
        <v>426</v>
      </c>
      <c r="C24" s="232" t="s">
        <v>426</v>
      </c>
      <c r="D24" s="78" t="str">
        <f>IF(COPIA!A20=0,"",COPIA!A20)</f>
        <v>02.08</v>
      </c>
      <c r="E24" s="81" t="str">
        <f>IF(COPIA!B20=0,"",COPIA!B20)</f>
        <v>IMBALLAGGI DUREVOLI</v>
      </c>
      <c r="F24" s="82" t="str">
        <f>IF(COPIA!C20=0,"",COPIA!C20)</f>
        <v>E</v>
      </c>
      <c r="G24" s="82" t="str">
        <f>IF(COPIA!D20=0,"",COPIA!D20)</f>
        <v>D</v>
      </c>
      <c r="H24" s="78" t="str">
        <f>IF(COPIA!E20=0,"",IF(COPIA!B20="FONDO SVALUTAZIONE CREDITI","RETTIFICA CREDITI",COPIA!E20))</f>
        <v>COSTI PLURIENNALI</v>
      </c>
      <c r="I24" s="82" t="str">
        <f>IF(COPIA!F20=0,"",COPIA!F20)</f>
        <v>SP DARE</v>
      </c>
      <c r="J24" s="253"/>
      <c r="K24" s="253"/>
      <c r="L24" s="253"/>
      <c r="N24" s="26"/>
    </row>
    <row r="25" spans="1:14" ht="20.100000000000001" customHeight="1">
      <c r="A25" s="232"/>
      <c r="B25" s="232" t="s">
        <v>426</v>
      </c>
      <c r="C25" s="232" t="s">
        <v>426</v>
      </c>
      <c r="D25" s="78" t="str">
        <f>IF(COPIA!A21=0,"",COPIA!A21)</f>
        <v>02.11</v>
      </c>
      <c r="E25" s="81" t="str">
        <f>IF(COPIA!B21=0,"",COPIA!B21)</f>
        <v>FONDO AMMORTAMENTO FABBRICATI</v>
      </c>
      <c r="F25" s="82" t="str">
        <f>IF(COPIA!C21=0,"",COPIA!C21)</f>
        <v>E</v>
      </c>
      <c r="G25" s="82" t="str">
        <f>IF(COPIA!D21=0,"",COPIA!D21)</f>
        <v>A</v>
      </c>
      <c r="H25" s="78" t="str">
        <f>IF(COPIA!E21=0,"",IF(COPIA!B21="FONDO SVALUTAZIONE CREDITI","RETTIFICA CREDITI",COPIA!E21))</f>
        <v>RETTIFICHE COSTI PLURIENNALI</v>
      </c>
      <c r="I25" s="82" t="str">
        <f>IF(COPIA!F21=0,"",COPIA!F21)</f>
        <v>SP AVERE</v>
      </c>
      <c r="J25" s="253"/>
      <c r="K25" s="253"/>
      <c r="L25" s="253"/>
    </row>
    <row r="26" spans="1:14" ht="20.100000000000001" customHeight="1">
      <c r="A26" s="232"/>
      <c r="B26" s="232" t="s">
        <v>426</v>
      </c>
      <c r="C26" s="232" t="s">
        <v>426</v>
      </c>
      <c r="D26" s="78" t="str">
        <f>IF(COPIA!A22=0,"",COPIA!A22)</f>
        <v>02.12</v>
      </c>
      <c r="E26" s="81" t="str">
        <f>IF(COPIA!B22=0,"",COPIA!B22)</f>
        <v>FONDO AMMORT. IMPIANTI E MACCHINARI</v>
      </c>
      <c r="F26" s="82" t="str">
        <f>IF(COPIA!C22=0,"",COPIA!C22)</f>
        <v>E</v>
      </c>
      <c r="G26" s="82" t="str">
        <f>IF(COPIA!D22=0,"",COPIA!D22)</f>
        <v>A</v>
      </c>
      <c r="H26" s="78" t="str">
        <f>IF(COPIA!E22=0,"",IF(COPIA!B22="FONDO SVALUTAZIONE CREDITI","RETTIFICA CREDITI",COPIA!E22))</f>
        <v>RETTIFICHE COSTI PLURIENNALI</v>
      </c>
      <c r="I26" s="82" t="str">
        <f>IF(COPIA!F22=0,"",COPIA!F22)</f>
        <v>SP AVERE</v>
      </c>
      <c r="J26" s="253"/>
      <c r="K26" s="253"/>
      <c r="L26" s="253"/>
    </row>
    <row r="27" spans="1:14" ht="20.100000000000001" customHeight="1">
      <c r="A27" s="232"/>
      <c r="B27" s="232" t="s">
        <v>426</v>
      </c>
      <c r="C27" s="232" t="s">
        <v>426</v>
      </c>
      <c r="D27" s="78" t="str">
        <f>IF(COPIA!A23=0,"",COPIA!A23)</f>
        <v>02.14</v>
      </c>
      <c r="E27" s="81" t="str">
        <f>IF(COPIA!B23=0,"",COPIA!B23)</f>
        <v>FONDO AMMORT. ATTREZZATURE COMMERCIALI</v>
      </c>
      <c r="F27" s="82" t="str">
        <f>IF(COPIA!C23=0,"",COPIA!C23)</f>
        <v>E</v>
      </c>
      <c r="G27" s="82" t="str">
        <f>IF(COPIA!D23=0,"",COPIA!D23)</f>
        <v>A</v>
      </c>
      <c r="H27" s="78" t="str">
        <f>IF(COPIA!E23=0,"",IF(COPIA!B23="FONDO SVALUTAZIONE CREDITI","RETTIFICA CREDITI",COPIA!E23))</f>
        <v>RETTIFICHE COSTI PLURIENNALI</v>
      </c>
      <c r="I27" s="82" t="str">
        <f>IF(COPIA!F23=0,"",COPIA!F23)</f>
        <v>SP AVERE</v>
      </c>
      <c r="J27" s="253"/>
      <c r="K27" s="253"/>
      <c r="L27" s="253"/>
    </row>
    <row r="28" spans="1:14" ht="20.100000000000001" customHeight="1">
      <c r="A28" s="232"/>
      <c r="B28" s="232" t="s">
        <v>426</v>
      </c>
      <c r="C28" s="232" t="s">
        <v>426</v>
      </c>
      <c r="D28" s="78" t="str">
        <f>IF(COPIA!A24=0,"",COPIA!A24)</f>
        <v>02.15</v>
      </c>
      <c r="E28" s="81" t="str">
        <f>IF(COPIA!B24=0,"",COPIA!B24)</f>
        <v>FONDO AMMORT. MACCHINE D'UFFICIO</v>
      </c>
      <c r="F28" s="82" t="str">
        <f>IF(COPIA!C24=0,"",COPIA!C24)</f>
        <v>E</v>
      </c>
      <c r="G28" s="82" t="str">
        <f>IF(COPIA!D24=0,"",COPIA!D24)</f>
        <v>A</v>
      </c>
      <c r="H28" s="78" t="str">
        <f>IF(COPIA!E24=0,"",IF(COPIA!B24="FONDO SVALUTAZIONE CREDITI","RETTIFICA CREDITI",COPIA!E24))</f>
        <v>RETTIFICHE COSTI PLURIENNALI</v>
      </c>
      <c r="I28" s="82" t="str">
        <f>IF(COPIA!F24=0,"",COPIA!F24)</f>
        <v>SP AVERE</v>
      </c>
      <c r="J28" s="253"/>
      <c r="K28" s="253"/>
      <c r="L28" s="253"/>
    </row>
    <row r="29" spans="1:14" ht="20.100000000000001" customHeight="1">
      <c r="A29" s="232"/>
      <c r="B29" s="232" t="s">
        <v>426</v>
      </c>
      <c r="C29" s="232" t="s">
        <v>426</v>
      </c>
      <c r="D29" s="78" t="str">
        <f>IF(COPIA!A25=0,"",COPIA!A25)</f>
        <v>02.16</v>
      </c>
      <c r="E29" s="81" t="str">
        <f>IF(COPIA!B25=0,"",COPIA!B25)</f>
        <v>FONDO AMMORT. ARREDAMENTO</v>
      </c>
      <c r="F29" s="82" t="str">
        <f>IF(COPIA!C25=0,"",COPIA!C25)</f>
        <v>E</v>
      </c>
      <c r="G29" s="82" t="str">
        <f>IF(COPIA!D25=0,"",COPIA!D25)</f>
        <v>A</v>
      </c>
      <c r="H29" s="78" t="str">
        <f>IF(COPIA!E25=0,"",IF(COPIA!B25="FONDO SVALUTAZIONE CREDITI","RETTIFICA CREDITI",COPIA!E25))</f>
        <v>RETTIFICHE COSTI PLURIENNALI</v>
      </c>
      <c r="I29" s="82" t="str">
        <f>IF(COPIA!F25=0,"",COPIA!F25)</f>
        <v>SP AVERE</v>
      </c>
      <c r="J29" s="253"/>
      <c r="K29" s="253"/>
      <c r="L29" s="253"/>
    </row>
    <row r="30" spans="1:14" ht="20.100000000000001" customHeight="1">
      <c r="A30" s="232"/>
      <c r="B30" s="232" t="s">
        <v>426</v>
      </c>
      <c r="C30" s="232" t="s">
        <v>426</v>
      </c>
      <c r="D30" s="78" t="str">
        <f>IF(COPIA!A26=0,"",COPIA!A26)</f>
        <v>02.17</v>
      </c>
      <c r="E30" s="81" t="str">
        <f>IF(COPIA!B26=0,"",COPIA!B26)</f>
        <v>FONDO AMMORT. AUTOMEZZI</v>
      </c>
      <c r="F30" s="82" t="str">
        <f>IF(COPIA!C26=0,"",COPIA!C26)</f>
        <v>E</v>
      </c>
      <c r="G30" s="82" t="str">
        <f>IF(COPIA!D26=0,"",COPIA!D26)</f>
        <v>A</v>
      </c>
      <c r="H30" s="78" t="str">
        <f>IF(COPIA!E26=0,"",IF(COPIA!B26="FONDO SVALUTAZIONE CREDITI","RETTIFICA CREDITI",COPIA!E26))</f>
        <v>RETTIFICHE COSTI PLURIENNALI</v>
      </c>
      <c r="I30" s="82" t="str">
        <f>IF(COPIA!F26=0,"",COPIA!F26)</f>
        <v>SP AVERE</v>
      </c>
      <c r="J30" s="253"/>
      <c r="K30" s="253"/>
      <c r="L30" s="253"/>
    </row>
    <row r="31" spans="1:14" ht="20.100000000000001" customHeight="1">
      <c r="A31" s="232"/>
      <c r="B31" s="232" t="s">
        <v>426</v>
      </c>
      <c r="C31" s="232" t="s">
        <v>426</v>
      </c>
      <c r="D31" s="78" t="str">
        <f>IF(COPIA!A27=0,"",COPIA!A27)</f>
        <v>02.18</v>
      </c>
      <c r="E31" s="81" t="str">
        <f>IF(COPIA!B27=0,"",COPIA!B27)</f>
        <v>FONDO AMMORT. IMBALLAGGI DUREVOLI</v>
      </c>
      <c r="F31" s="82" t="str">
        <f>IF(COPIA!C27=0,"",COPIA!C27)</f>
        <v>E</v>
      </c>
      <c r="G31" s="82" t="str">
        <f>IF(COPIA!D27=0,"",COPIA!D27)</f>
        <v>A</v>
      </c>
      <c r="H31" s="78" t="str">
        <f>IF(COPIA!E27=0,"",IF(COPIA!B27="FONDO SVALUTAZIONE CREDITI","RETTIFICA CREDITI",COPIA!E27))</f>
        <v>RETTIFICHE COSTI PLURIENNALI</v>
      </c>
      <c r="I31" s="82" t="str">
        <f>IF(COPIA!F27=0,"",COPIA!F27)</f>
        <v>SP AVERE</v>
      </c>
      <c r="J31" s="253"/>
      <c r="K31" s="253"/>
      <c r="L31" s="253"/>
    </row>
    <row r="32" spans="1:14" ht="20.100000000000001" customHeight="1">
      <c r="A32" s="232" t="s">
        <v>426</v>
      </c>
      <c r="B32" s="232" t="s">
        <v>426</v>
      </c>
      <c r="C32" s="232" t="s">
        <v>426</v>
      </c>
      <c r="D32" s="78" t="str">
        <f>IF(COPIA!A28=0,"",COPIA!A28)</f>
        <v>02.30</v>
      </c>
      <c r="E32" s="81" t="str">
        <f>IF(COPIA!B28=0,"",COPIA!B28)</f>
        <v>FORNITORI IMMOBILIZZ. MATERIALI C/ACCONTI</v>
      </c>
      <c r="F32" s="82" t="str">
        <f>IF(COPIA!C28=0,"",COPIA!C28)</f>
        <v>F</v>
      </c>
      <c r="G32" s="82" t="str">
        <f>IF(COPIA!D28=0,"",COPIA!D28)</f>
        <v>D</v>
      </c>
      <c r="H32" s="78" t="str">
        <f>IF(COPIA!E28=0,"",IF(COPIA!B28="FONDO SVALUTAZIONE CREDITI","RETTIFICA CREDITI",COPIA!E28))</f>
        <v>CREDITI</v>
      </c>
      <c r="I32" s="82" t="str">
        <f>IF(COPIA!F28=0,"",COPIA!F28)</f>
        <v>SP DARE</v>
      </c>
      <c r="J32" s="253"/>
      <c r="K32" s="253"/>
      <c r="L32" s="253"/>
    </row>
    <row r="33" spans="1:12" ht="20.100000000000001" customHeight="1">
      <c r="A33" s="232"/>
      <c r="B33" s="232"/>
      <c r="C33" s="232"/>
      <c r="D33" s="78" t="str">
        <f>IF(COPIA!A29=0,"",COPIA!A29)</f>
        <v>03.00</v>
      </c>
      <c r="E33" s="81" t="str">
        <f>IF(COPIA!B29=0,"",COPIA!B29)</f>
        <v>IMMOBILIZZAZIONI FINANZIARIE</v>
      </c>
      <c r="F33" s="82" t="str">
        <f>IF(COPIA!C29=0,"",COPIA!C29)</f>
        <v/>
      </c>
      <c r="G33" s="82" t="str">
        <f>IF(COPIA!D29=0,"",COPIA!D29)</f>
        <v/>
      </c>
      <c r="H33" s="78" t="str">
        <f>IF(COPIA!E29=0,"",IF(COPIA!B29="FONDO SVALUTAZIONE CREDITI","RETTIFICA CREDITI",COPIA!E29))</f>
        <v/>
      </c>
      <c r="I33" s="82" t="str">
        <f>IF(COPIA!F29=0,"",COPIA!F29)</f>
        <v/>
      </c>
      <c r="J33" s="253"/>
      <c r="K33" s="253"/>
      <c r="L33" s="253"/>
    </row>
    <row r="34" spans="1:12" ht="20.100000000000001" customHeight="1">
      <c r="A34" s="232" t="s">
        <v>426</v>
      </c>
      <c r="B34" s="232" t="s">
        <v>426</v>
      </c>
      <c r="C34" s="232" t="s">
        <v>426</v>
      </c>
      <c r="D34" s="78" t="str">
        <f>IF(COPIA!A30=0,"",COPIA!A30)</f>
        <v>03.01</v>
      </c>
      <c r="E34" s="81" t="str">
        <f>IF(COPIA!B30=0,"",COPIA!B30)</f>
        <v>MUTUI ATTIVI</v>
      </c>
      <c r="F34" s="82" t="str">
        <f>IF(COPIA!C30=0,"",COPIA!C30)</f>
        <v>F</v>
      </c>
      <c r="G34" s="82" t="str">
        <f>IF(COPIA!D30=0,"",COPIA!D30)</f>
        <v>D</v>
      </c>
      <c r="H34" s="78" t="str">
        <f>IF(COPIA!E30=0,"",IF(COPIA!B30="FONDO SVALUTAZIONE CREDITI","RETTIFICA CREDITI",COPIA!E30))</f>
        <v>CREDITI</v>
      </c>
      <c r="I34" s="82" t="str">
        <f>IF(COPIA!F30=0,"",COPIA!F30)</f>
        <v>SP DARE</v>
      </c>
      <c r="J34" s="253"/>
      <c r="K34" s="253"/>
      <c r="L34" s="253"/>
    </row>
    <row r="35" spans="1:12" ht="20.100000000000001" customHeight="1">
      <c r="A35" s="232"/>
      <c r="B35" s="232"/>
      <c r="C35" s="232"/>
      <c r="D35" s="78" t="str">
        <f>IF(COPIA!A31=0,"",COPIA!A31)</f>
        <v>04.00</v>
      </c>
      <c r="E35" s="81" t="str">
        <f>IF(COPIA!B31=0,"",COPIA!B31)</f>
        <v>RIMANENZE</v>
      </c>
      <c r="F35" s="82" t="str">
        <f>IF(COPIA!C31=0,"",COPIA!C31)</f>
        <v/>
      </c>
      <c r="G35" s="82" t="str">
        <f>IF(COPIA!D31=0,"",COPIA!D31)</f>
        <v/>
      </c>
      <c r="H35" s="78" t="str">
        <f>IF(COPIA!E31=0,"",IF(COPIA!B31="FONDO SVALUTAZIONE CREDITI","RETTIFICA CREDITI",COPIA!E31))</f>
        <v/>
      </c>
      <c r="I35" s="82" t="str">
        <f>IF(COPIA!F31=0,"",COPIA!F31)</f>
        <v/>
      </c>
      <c r="J35" s="253"/>
      <c r="K35" s="253"/>
      <c r="L35" s="253"/>
    </row>
    <row r="36" spans="1:12" ht="20.100000000000001" customHeight="1">
      <c r="A36" s="232" t="s">
        <v>426</v>
      </c>
      <c r="B36" s="232" t="s">
        <v>426</v>
      </c>
      <c r="C36" s="232" t="s">
        <v>426</v>
      </c>
      <c r="D36" s="78" t="str">
        <f>IF(COPIA!A32=0,"",COPIA!A32)</f>
        <v>04.01</v>
      </c>
      <c r="E36" s="81" t="str">
        <f>IF(COPIA!B32=0,"",COPIA!B32)</f>
        <v>MATERIE DI CONSUMO</v>
      </c>
      <c r="F36" s="82" t="str">
        <f>IF(COPIA!C32=0,"",COPIA!C32)</f>
        <v>E</v>
      </c>
      <c r="G36" s="82" t="str">
        <f>IF(COPIA!D32=0,"",COPIA!D32)</f>
        <v>D</v>
      </c>
      <c r="H36" s="78" t="str">
        <f>IF(COPIA!E32=0,"",IF(COPIA!B32="FONDO SVALUTAZIONE CREDITI","RETTIFICA CREDITI",COPIA!E32))</f>
        <v>COSTI SOSPESI</v>
      </c>
      <c r="I36" s="82" t="str">
        <f>IF(COPIA!F32=0,"",COPIA!F32)</f>
        <v>SP DARE</v>
      </c>
      <c r="J36" s="253"/>
      <c r="K36" s="253"/>
      <c r="L36" s="253"/>
    </row>
    <row r="37" spans="1:12" ht="20.100000000000001" customHeight="1">
      <c r="A37" s="232" t="s">
        <v>426</v>
      </c>
      <c r="B37" s="232" t="s">
        <v>426</v>
      </c>
      <c r="C37" s="232" t="s">
        <v>426</v>
      </c>
      <c r="D37" s="78" t="str">
        <f>IF(COPIA!A33=0,"",COPIA!A33)</f>
        <v>04.04</v>
      </c>
      <c r="E37" s="81" t="str">
        <f>IF(COPIA!B33=0,"",COPIA!B33)</f>
        <v>MERCI</v>
      </c>
      <c r="F37" s="82" t="str">
        <f>IF(COPIA!C33=0,"",COPIA!C33)</f>
        <v>E</v>
      </c>
      <c r="G37" s="82" t="str">
        <f>IF(COPIA!D33=0,"",COPIA!D33)</f>
        <v>D</v>
      </c>
      <c r="H37" s="78" t="str">
        <f>IF(COPIA!E33=0,"",IF(COPIA!B33="FONDO SVALUTAZIONE CREDITI","RETTIFICA CREDITI",COPIA!E33))</f>
        <v>COSTI SOSPESI</v>
      </c>
      <c r="I37" s="82" t="str">
        <f>IF(COPIA!F33=0,"",COPIA!F33)</f>
        <v>SP DARE</v>
      </c>
      <c r="J37" s="253"/>
      <c r="K37" s="253"/>
      <c r="L37" s="253"/>
    </row>
    <row r="38" spans="1:12" ht="20.100000000000001" customHeight="1">
      <c r="A38" s="232" t="s">
        <v>426</v>
      </c>
      <c r="B38" s="232" t="s">
        <v>426</v>
      </c>
      <c r="C38" s="232" t="s">
        <v>426</v>
      </c>
      <c r="D38" s="78" t="str">
        <f>IF(COPIA!A34=0,"",COPIA!A34)</f>
        <v>04.10</v>
      </c>
      <c r="E38" s="81" t="str">
        <f>IF(COPIA!B34=0,"",COPIA!B34)</f>
        <v>FORNITORI C/ACCONTI</v>
      </c>
      <c r="F38" s="82" t="str">
        <f>IF(COPIA!C34=0,"",COPIA!C34)</f>
        <v>F</v>
      </c>
      <c r="G38" s="82" t="str">
        <f>IF(COPIA!D34=0,"",COPIA!D34)</f>
        <v>D</v>
      </c>
      <c r="H38" s="78" t="str">
        <f>IF(COPIA!E34=0,"",IF(COPIA!B34="FONDO SVALUTAZIONE CREDITI","RETTIFICA CREDITI",COPIA!E34))</f>
        <v>CREDITI</v>
      </c>
      <c r="I38" s="82" t="str">
        <f>IF(COPIA!F34=0,"",COPIA!F34)</f>
        <v>SP DARE</v>
      </c>
      <c r="J38" s="253"/>
      <c r="K38" s="253"/>
      <c r="L38" s="253"/>
    </row>
    <row r="39" spans="1:12" ht="20.100000000000001" customHeight="1">
      <c r="A39" s="232"/>
      <c r="B39" s="232"/>
      <c r="C39" s="232"/>
      <c r="D39" s="78" t="str">
        <f>IF(COPIA!A35=0,"",COPIA!A35)</f>
        <v>05.00</v>
      </c>
      <c r="E39" s="81" t="str">
        <f>IF(COPIA!B35=0,"",COPIA!B35)</f>
        <v>CREDITI COMMERCIALI</v>
      </c>
      <c r="F39" s="82" t="str">
        <f>IF(COPIA!C35=0,"",COPIA!C35)</f>
        <v/>
      </c>
      <c r="G39" s="82" t="str">
        <f>IF(COPIA!D35=0,"",COPIA!D35)</f>
        <v/>
      </c>
      <c r="H39" s="78" t="str">
        <f>IF(COPIA!E35=0,"",IF(COPIA!B35="FONDO SVALUTAZIONE CREDITI","RETTIFICA CREDITI",COPIA!E35))</f>
        <v/>
      </c>
      <c r="I39" s="82" t="str">
        <f>IF(COPIA!F35=0,"",COPIA!F35)</f>
        <v/>
      </c>
      <c r="J39" s="253"/>
      <c r="K39" s="253"/>
      <c r="L39" s="253"/>
    </row>
    <row r="40" spans="1:12" ht="20.100000000000001" customHeight="1">
      <c r="A40" s="232" t="s">
        <v>426</v>
      </c>
      <c r="B40" s="232" t="s">
        <v>426</v>
      </c>
      <c r="C40" s="232" t="s">
        <v>426</v>
      </c>
      <c r="D40" s="78" t="str">
        <f>IF(COPIA!A36=0,"",COPIA!A36)</f>
        <v>05.01</v>
      </c>
      <c r="E40" s="81" t="str">
        <f>IF(COPIA!B36=0,"",COPIA!B36)</f>
        <v>CREDITI V/CLIENTI</v>
      </c>
      <c r="F40" s="82" t="str">
        <f>IF(COPIA!C36=0,"",COPIA!C36)</f>
        <v>F</v>
      </c>
      <c r="G40" s="82" t="str">
        <f>IF(COPIA!D36=0,"",COPIA!D36)</f>
        <v>D</v>
      </c>
      <c r="H40" s="78" t="str">
        <f>IF(COPIA!E36=0,"",IF(COPIA!B36="FONDO SVALUTAZIONE CREDITI","RETTIFICA CREDITI",COPIA!E36))</f>
        <v>CREDITI</v>
      </c>
      <c r="I40" s="82" t="str">
        <f>IF(COPIA!F36=0,"",COPIA!F36)</f>
        <v>SP DARE</v>
      </c>
      <c r="J40" s="253"/>
      <c r="K40" s="253"/>
      <c r="L40" s="253"/>
    </row>
    <row r="41" spans="1:12" ht="20.100000000000001" customHeight="1">
      <c r="A41" s="232"/>
      <c r="B41" s="232"/>
      <c r="C41" s="232" t="s">
        <v>426</v>
      </c>
      <c r="D41" s="78" t="str">
        <f>IF(COPIA!A37=0,"",COPIA!A37)</f>
        <v>05.02</v>
      </c>
      <c r="E41" s="81" t="str">
        <f>IF(COPIA!B37=0,"",COPIA!B37)</f>
        <v>FATTURE DA EMETTERE</v>
      </c>
      <c r="F41" s="82" t="str">
        <f>IF(COPIA!C37=0,"",COPIA!C37)</f>
        <v>F</v>
      </c>
      <c r="G41" s="82" t="str">
        <f>IF(COPIA!D37=0,"",COPIA!D37)</f>
        <v>D</v>
      </c>
      <c r="H41" s="78" t="str">
        <f>IF(COPIA!E37=0,"",IF(COPIA!B37="FONDO SVALUTAZIONE CREDITI","RETTIFICA CREDITI",COPIA!E37))</f>
        <v>CREDITI</v>
      </c>
      <c r="I41" s="82" t="str">
        <f>IF(COPIA!F37=0,"",COPIA!F37)</f>
        <v>SP DARE</v>
      </c>
      <c r="J41" s="253"/>
      <c r="K41" s="253"/>
      <c r="L41" s="253"/>
    </row>
    <row r="42" spans="1:12" ht="20.100000000000001" customHeight="1">
      <c r="A42" s="232"/>
      <c r="B42" s="232" t="s">
        <v>426</v>
      </c>
      <c r="C42" s="232" t="s">
        <v>426</v>
      </c>
      <c r="D42" s="78" t="str">
        <f>IF(COPIA!A38=0,"",COPIA!A38)</f>
        <v>05.03</v>
      </c>
      <c r="E42" s="81" t="str">
        <f>IF(COPIA!B38=0,"",COPIA!B38)</f>
        <v>CREDITI COMMERCIALI DIVERSI</v>
      </c>
      <c r="F42" s="82" t="str">
        <f>IF(COPIA!C38=0,"",COPIA!C38)</f>
        <v>F</v>
      </c>
      <c r="G42" s="82" t="str">
        <f>IF(COPIA!D38=0,"",COPIA!D38)</f>
        <v>D</v>
      </c>
      <c r="H42" s="78" t="str">
        <f>IF(COPIA!E38=0,"",IF(COPIA!B38="FONDO SVALUTAZIONE CREDITI","RETTIFICA CREDITI",COPIA!E38))</f>
        <v>CREDITI</v>
      </c>
      <c r="I42" s="82" t="str">
        <f>IF(COPIA!F38=0,"",COPIA!F38)</f>
        <v>SP DARE</v>
      </c>
      <c r="J42" s="253"/>
      <c r="K42" s="253"/>
      <c r="L42" s="253"/>
    </row>
    <row r="43" spans="1:12" ht="20.100000000000001" customHeight="1">
      <c r="A43" s="232" t="s">
        <v>426</v>
      </c>
      <c r="B43" s="232" t="s">
        <v>426</v>
      </c>
      <c r="C43" s="232" t="s">
        <v>426</v>
      </c>
      <c r="D43" s="78" t="str">
        <f>IF(COPIA!A39=0,"",COPIA!A39)</f>
        <v>05.05</v>
      </c>
      <c r="E43" s="81" t="str">
        <f>IF(COPIA!B39=0,"",COPIA!B39)</f>
        <v>CLIENTI C/COSTI ANTICIPATI</v>
      </c>
      <c r="F43" s="82" t="str">
        <f>IF(COPIA!C39=0,"",COPIA!C39)</f>
        <v>F</v>
      </c>
      <c r="G43" s="82" t="str">
        <f>IF(COPIA!D39=0,"",COPIA!D39)</f>
        <v>D</v>
      </c>
      <c r="H43" s="78" t="str">
        <f>IF(COPIA!E39=0,"",IF(COPIA!B39="FONDO SVALUTAZIONE CREDITI","RETTIFICA CREDITI",COPIA!E39))</f>
        <v>CREDITI</v>
      </c>
      <c r="I43" s="82" t="str">
        <f>IF(COPIA!F39=0,"",COPIA!F39)</f>
        <v>SP DARE</v>
      </c>
      <c r="J43" s="253"/>
      <c r="K43" s="253"/>
      <c r="L43" s="253"/>
    </row>
    <row r="44" spans="1:12" ht="20.100000000000001" customHeight="1">
      <c r="A44" s="232" t="s">
        <v>426</v>
      </c>
      <c r="B44" s="232" t="s">
        <v>426</v>
      </c>
      <c r="C44" s="232" t="s">
        <v>426</v>
      </c>
      <c r="D44" s="78" t="str">
        <f>IF(COPIA!A40=0,"",COPIA!A40)</f>
        <v>05.06</v>
      </c>
      <c r="E44" s="81" t="str">
        <f>IF(COPIA!B40=0,"",COPIA!B40)</f>
        <v>CAMBIALI ATTIVE</v>
      </c>
      <c r="F44" s="82" t="str">
        <f>IF(COPIA!C40=0,"",COPIA!C40)</f>
        <v>F</v>
      </c>
      <c r="G44" s="82" t="str">
        <f>IF(COPIA!D40=0,"",COPIA!D40)</f>
        <v>D</v>
      </c>
      <c r="H44" s="78" t="str">
        <f>IF(COPIA!E40=0,"",IF(COPIA!B40="FONDO SVALUTAZIONE CREDITI","RETTIFICA CREDITI",COPIA!E40))</f>
        <v>CREDITI</v>
      </c>
      <c r="I44" s="82" t="str">
        <f>IF(COPIA!F40=0,"",COPIA!F40)</f>
        <v>SP DARE</v>
      </c>
      <c r="J44" s="253"/>
      <c r="K44" s="253"/>
      <c r="L44" s="253"/>
    </row>
    <row r="45" spans="1:12" ht="20.100000000000001" customHeight="1">
      <c r="A45" s="232"/>
      <c r="B45" s="232" t="s">
        <v>426</v>
      </c>
      <c r="C45" s="232" t="s">
        <v>426</v>
      </c>
      <c r="D45" s="78" t="str">
        <f>IF(COPIA!A41=0,"",COPIA!A41)</f>
        <v>05.07</v>
      </c>
      <c r="E45" s="81" t="str">
        <f>IF(COPIA!B41=0,"",COPIA!B41)</f>
        <v>CAMBIALI ALLO SCONTO</v>
      </c>
      <c r="F45" s="82" t="str">
        <f>IF(COPIA!C41=0,"",COPIA!C41)</f>
        <v>F</v>
      </c>
      <c r="G45" s="82" t="str">
        <f>IF(COPIA!D41=0,"",COPIA!D41)</f>
        <v>D</v>
      </c>
      <c r="H45" s="78" t="str">
        <f>IF(COPIA!E41=0,"",IF(COPIA!B41="FONDO SVALUTAZIONE CREDITI","RETTIFICA CREDITI",COPIA!E41))</f>
        <v>CREDITI</v>
      </c>
      <c r="I45" s="82" t="str">
        <f>IF(COPIA!F41=0,"",COPIA!F41)</f>
        <v>SP DARE</v>
      </c>
      <c r="J45" s="253"/>
      <c r="K45" s="253"/>
      <c r="L45" s="253"/>
    </row>
    <row r="46" spans="1:12" ht="20.100000000000001" customHeight="1">
      <c r="A46" s="232" t="s">
        <v>426</v>
      </c>
      <c r="B46" s="232" t="s">
        <v>426</v>
      </c>
      <c r="C46" s="232" t="s">
        <v>426</v>
      </c>
      <c r="D46" s="78" t="str">
        <f>IF(COPIA!A42=0,"",COPIA!A42)</f>
        <v>05.08</v>
      </c>
      <c r="E46" s="81" t="str">
        <f>IF(COPIA!B42=0,"",COPIA!B42)</f>
        <v>CAMBIALI ALL'INCASSO</v>
      </c>
      <c r="F46" s="82" t="str">
        <f>IF(COPIA!C42=0,"",COPIA!C42)</f>
        <v>F</v>
      </c>
      <c r="G46" s="82" t="str">
        <f>IF(COPIA!D42=0,"",COPIA!D42)</f>
        <v>D</v>
      </c>
      <c r="H46" s="78" t="str">
        <f>IF(COPIA!E42=0,"",IF(COPIA!B42="FONDO SVALUTAZIONE CREDITI","RETTIFICA CREDITI",COPIA!E42))</f>
        <v>CREDITI</v>
      </c>
      <c r="I46" s="82" t="str">
        <f>IF(COPIA!F42=0,"",COPIA!F42)</f>
        <v>SP DARE</v>
      </c>
      <c r="J46" s="253"/>
      <c r="K46" s="253"/>
      <c r="L46" s="253"/>
    </row>
    <row r="47" spans="1:12" ht="20.100000000000001" customHeight="1">
      <c r="A47" s="232"/>
      <c r="B47" s="232"/>
      <c r="C47" s="232" t="s">
        <v>426</v>
      </c>
      <c r="D47" s="78" t="str">
        <f>IF(COPIA!A43=0,"",COPIA!A43)</f>
        <v>05.09</v>
      </c>
      <c r="E47" s="81" t="str">
        <f>IF(COPIA!B43=0,"",COPIA!B43)</f>
        <v>CREDITI DA LIQUIDARE</v>
      </c>
      <c r="F47" s="82" t="str">
        <f>IF(COPIA!C43=0,"",COPIA!C43)</f>
        <v>F</v>
      </c>
      <c r="G47" s="82" t="str">
        <f>IF(COPIA!D43=0,"",COPIA!D43)</f>
        <v>D</v>
      </c>
      <c r="H47" s="78" t="str">
        <f>IF(COPIA!E43=0,"",IF(COPIA!B43="FONDO SVALUTAZIONE CREDITI","RETTIFICA CREDITI",COPIA!E43))</f>
        <v>CREDITI</v>
      </c>
      <c r="I47" s="82" t="str">
        <f>IF(COPIA!F43=0,"",COPIA!F43)</f>
        <v>SP DARE</v>
      </c>
      <c r="J47" s="253"/>
      <c r="K47" s="253"/>
      <c r="L47" s="253"/>
    </row>
    <row r="48" spans="1:12" ht="20.100000000000001" customHeight="1">
      <c r="A48" s="232" t="s">
        <v>426</v>
      </c>
      <c r="B48" s="232" t="s">
        <v>426</v>
      </c>
      <c r="C48" s="232" t="s">
        <v>426</v>
      </c>
      <c r="D48" s="78" t="str">
        <f>IF(COPIA!A44=0,"",COPIA!A44)</f>
        <v>05.10</v>
      </c>
      <c r="E48" s="81" t="str">
        <f>IF(COPIA!B44=0,"",COPIA!B44)</f>
        <v>CREDITI INSOLUTI</v>
      </c>
      <c r="F48" s="82" t="str">
        <f>IF(COPIA!C44=0,"",COPIA!C44)</f>
        <v>F</v>
      </c>
      <c r="G48" s="82" t="str">
        <f>IF(COPIA!D44=0,"",COPIA!D44)</f>
        <v>D</v>
      </c>
      <c r="H48" s="78" t="str">
        <f>IF(COPIA!E44=0,"",IF(COPIA!B44="FONDO SVALUTAZIONE CREDITI","RETTIFICA CREDITI",COPIA!E44))</f>
        <v>CREDITI</v>
      </c>
      <c r="I48" s="82" t="str">
        <f>IF(COPIA!F44=0,"",COPIA!F44)</f>
        <v>SP DARE</v>
      </c>
      <c r="J48" s="253"/>
      <c r="K48" s="253"/>
      <c r="L48" s="253"/>
    </row>
    <row r="49" spans="1:12" ht="20.100000000000001" customHeight="1">
      <c r="A49" s="232" t="s">
        <v>426</v>
      </c>
      <c r="B49" s="232" t="s">
        <v>426</v>
      </c>
      <c r="C49" s="232" t="s">
        <v>426</v>
      </c>
      <c r="D49" s="78" t="str">
        <f>IF(COPIA!A45=0,"",COPIA!A45)</f>
        <v>05.11</v>
      </c>
      <c r="E49" s="81" t="str">
        <f>IF(COPIA!B45=0,"",COPIA!B45)</f>
        <v>CAMBIALI INSOLUTE</v>
      </c>
      <c r="F49" s="82" t="str">
        <f>IF(COPIA!C45=0,"",COPIA!C45)</f>
        <v>F</v>
      </c>
      <c r="G49" s="82" t="str">
        <f>IF(COPIA!D45=0,"",COPIA!D45)</f>
        <v>D</v>
      </c>
      <c r="H49" s="78" t="str">
        <f>IF(COPIA!E45=0,"",IF(COPIA!B45="FONDO SVALUTAZIONE CREDITI","RETTIFICA CREDITI",COPIA!E45))</f>
        <v>CREDITI</v>
      </c>
      <c r="I49" s="82" t="str">
        <f>IF(COPIA!F45=0,"",COPIA!F45)</f>
        <v>SP DARE</v>
      </c>
      <c r="J49" s="253"/>
      <c r="K49" s="253"/>
      <c r="L49" s="253"/>
    </row>
    <row r="50" spans="1:12" ht="20.100000000000001" customHeight="1">
      <c r="A50" s="232" t="s">
        <v>426</v>
      </c>
      <c r="B50" s="232" t="s">
        <v>426</v>
      </c>
      <c r="C50" s="232" t="s">
        <v>426</v>
      </c>
      <c r="D50" s="78" t="str">
        <f>IF(COPIA!A46=0,"",COPIA!A46)</f>
        <v>05.15</v>
      </c>
      <c r="E50" s="81" t="str">
        <f>IF(COPIA!B46=0,"",COPIA!B46)</f>
        <v>CREDITI PER ACCONTI DA CLIENTI</v>
      </c>
      <c r="F50" s="82" t="str">
        <f>IF(COPIA!C46=0,"",COPIA!C46)</f>
        <v>F</v>
      </c>
      <c r="G50" s="82" t="str">
        <f>IF(COPIA!D46=0,"",COPIA!D46)</f>
        <v>D</v>
      </c>
      <c r="H50" s="78" t="str">
        <f>IF(COPIA!E46=0,"",IF(COPIA!B46="FONDO SVALUTAZIONE CREDITI","RETTIFICA CREDITI",COPIA!E46))</f>
        <v>CREDITI</v>
      </c>
      <c r="I50" s="82" t="str">
        <f>IF(COPIA!F46=0,"",COPIA!F46)</f>
        <v>SP DARE</v>
      </c>
      <c r="J50" s="253"/>
      <c r="K50" s="253"/>
      <c r="L50" s="253"/>
    </row>
    <row r="51" spans="1:12" ht="20.100000000000001" customHeight="1">
      <c r="A51" s="232"/>
      <c r="B51" s="232"/>
      <c r="C51" s="232" t="s">
        <v>426</v>
      </c>
      <c r="D51" s="78" t="str">
        <f>IF(COPIA!A47=0,"",COPIA!A47)</f>
        <v>05.20</v>
      </c>
      <c r="E51" s="81" t="str">
        <f>IF(COPIA!B47=0,"",COPIA!B47)</f>
        <v>FONDO SVALUTAZIONE CREDITI</v>
      </c>
      <c r="F51" s="82" t="str">
        <f>IF(COPIA!C47=0,"",COPIA!C47)</f>
        <v>F</v>
      </c>
      <c r="G51" s="82" t="str">
        <f>IF(COPIA!D47=0,"",COPIA!D47)</f>
        <v>A</v>
      </c>
      <c r="H51" s="78" t="str">
        <f>IF(COPIA!E47=0,"",IF(COPIA!B47="FONDO SVALUTAZIONE CREDITI","RETTIFICA CREDITI",COPIA!E47))</f>
        <v>RETTIFICA CREDITI</v>
      </c>
      <c r="I51" s="82" t="str">
        <f>IF(COPIA!F47=0,"",COPIA!F47)</f>
        <v>SP AVERE</v>
      </c>
      <c r="J51" s="253"/>
      <c r="K51" s="253"/>
      <c r="L51" s="253"/>
    </row>
    <row r="52" spans="1:12" ht="20.100000000000001" customHeight="1">
      <c r="A52" s="232"/>
      <c r="B52" s="232"/>
      <c r="C52" s="232"/>
      <c r="D52" s="78" t="str">
        <f>IF(COPIA!A48=0,"",COPIA!A48)</f>
        <v>06.00</v>
      </c>
      <c r="E52" s="81" t="str">
        <f>IF(COPIA!B48=0,"",COPIA!B48)</f>
        <v>CREDITI DIVERSI</v>
      </c>
      <c r="F52" s="82" t="str">
        <f>IF(COPIA!C48=0,"",COPIA!C48)</f>
        <v/>
      </c>
      <c r="G52" s="82" t="str">
        <f>IF(COPIA!D48=0,"",COPIA!D48)</f>
        <v/>
      </c>
      <c r="H52" s="78" t="str">
        <f>IF(COPIA!E48=0,"",IF(COPIA!B48="FONDO SVALUTAZIONE CREDITI","RETTIFICA CREDITI",COPIA!E48))</f>
        <v/>
      </c>
      <c r="I52" s="82" t="str">
        <f>IF(COPIA!F48=0,"",COPIA!F48)</f>
        <v/>
      </c>
      <c r="J52" s="253"/>
      <c r="K52" s="253"/>
      <c r="L52" s="253"/>
    </row>
    <row r="53" spans="1:12" ht="20.100000000000001" customHeight="1">
      <c r="A53" s="232" t="s">
        <v>426</v>
      </c>
      <c r="B53" s="232" t="s">
        <v>426</v>
      </c>
      <c r="C53" s="232" t="s">
        <v>426</v>
      </c>
      <c r="D53" s="78" t="str">
        <f>IF(COPIA!A49=0,"",COPIA!A49)</f>
        <v>06.01</v>
      </c>
      <c r="E53" s="81" t="str">
        <f>IF(COPIA!B49=0,"",COPIA!B49)</f>
        <v>IVA NS/CREDITO</v>
      </c>
      <c r="F53" s="82" t="str">
        <f>IF(COPIA!C49=0,"",COPIA!C49)</f>
        <v>F</v>
      </c>
      <c r="G53" s="82" t="str">
        <f>IF(COPIA!D49=0,"",COPIA!D49)</f>
        <v>D</v>
      </c>
      <c r="H53" s="78" t="str">
        <f>IF(COPIA!E49=0,"",IF(COPIA!B49="FONDO SVALUTAZIONE CREDITI","RETTIFICA CREDITI",COPIA!E49))</f>
        <v>CREDITI</v>
      </c>
      <c r="I53" s="82" t="str">
        <f>IF(COPIA!F49=0,"",COPIA!F49)</f>
        <v>SP DARE</v>
      </c>
      <c r="J53" s="253"/>
      <c r="K53" s="253"/>
      <c r="L53" s="253"/>
    </row>
    <row r="54" spans="1:12" ht="20.100000000000001" customHeight="1">
      <c r="A54" s="232"/>
      <c r="B54" s="232" t="s">
        <v>426</v>
      </c>
      <c r="C54" s="232" t="s">
        <v>426</v>
      </c>
      <c r="D54" s="78" t="str">
        <f>IF(COPIA!A50=0,"",COPIA!A50)</f>
        <v>06.02</v>
      </c>
      <c r="E54" s="81" t="str">
        <f>IF(COPIA!B50=0,"",COPIA!B50)</f>
        <v>IVA C/ACCONTO</v>
      </c>
      <c r="F54" s="82" t="str">
        <f>IF(COPIA!C50=0,"",COPIA!C50)</f>
        <v>F</v>
      </c>
      <c r="G54" s="82" t="str">
        <f>IF(COPIA!D50=0,"",COPIA!D50)</f>
        <v>D</v>
      </c>
      <c r="H54" s="78" t="str">
        <f>IF(COPIA!E50=0,"",IF(COPIA!B50="FONDO SVALUTAZIONE CREDITI","RETTIFICA CREDITI",COPIA!E50))</f>
        <v>CREDITI</v>
      </c>
      <c r="I54" s="82" t="str">
        <f>IF(COPIA!F50=0,"",COPIA!F50)</f>
        <v>SP DARE</v>
      </c>
      <c r="J54" s="253"/>
      <c r="K54" s="253"/>
      <c r="L54" s="253"/>
    </row>
    <row r="55" spans="1:12" ht="20.100000000000001" customHeight="1">
      <c r="A55" s="232"/>
      <c r="B55" s="232"/>
      <c r="C55" s="232" t="s">
        <v>426</v>
      </c>
      <c r="D55" s="78" t="str">
        <f>IF(COPIA!A51=0,"",COPIA!A51)</f>
        <v>06.03</v>
      </c>
      <c r="E55" s="81" t="str">
        <f>IF(COPIA!B51=0,"",COPIA!B51)</f>
        <v>CREDITI PER IVA</v>
      </c>
      <c r="F55" s="82" t="str">
        <f>IF(COPIA!C51=0,"",COPIA!C51)</f>
        <v>F</v>
      </c>
      <c r="G55" s="82" t="str">
        <f>IF(COPIA!D51=0,"",COPIA!D51)</f>
        <v>D</v>
      </c>
      <c r="H55" s="78" t="str">
        <f>IF(COPIA!E51=0,"",IF(COPIA!B51="FONDO SVALUTAZIONE CREDITI","RETTIFICA CREDITI",COPIA!E51))</f>
        <v>CREDITI</v>
      </c>
      <c r="I55" s="82" t="str">
        <f>IF(COPIA!F51=0,"",COPIA!F51)</f>
        <v>SP DARE</v>
      </c>
      <c r="J55" s="253"/>
      <c r="K55" s="253"/>
      <c r="L55" s="253"/>
    </row>
    <row r="56" spans="1:12" ht="20.100000000000001" customHeight="1">
      <c r="A56" s="232"/>
      <c r="B56" s="232"/>
      <c r="C56" s="232" t="s">
        <v>426</v>
      </c>
      <c r="D56" s="78" t="str">
        <f>IF(COPIA!A52=0,"",COPIA!A52)</f>
        <v>06.04</v>
      </c>
      <c r="E56" s="81" t="str">
        <f>IF(COPIA!B52=0,"",COPIA!B52)</f>
        <v>CREDITI V/ISTITUTI PREVIDENZIALI</v>
      </c>
      <c r="F56" s="82" t="str">
        <f>IF(COPIA!C52=0,"",COPIA!C52)</f>
        <v>F</v>
      </c>
      <c r="G56" s="82" t="str">
        <f>IF(COPIA!D52=0,"",COPIA!D52)</f>
        <v>D</v>
      </c>
      <c r="H56" s="78" t="str">
        <f>IF(COPIA!E52=0,"",IF(COPIA!B52="FONDO SVALUTAZIONE CREDITI","RETTIFICA CREDITI",COPIA!E52))</f>
        <v>CREDITI</v>
      </c>
      <c r="I56" s="82" t="str">
        <f>IF(COPIA!F52=0,"",COPIA!F52)</f>
        <v>SP DARE</v>
      </c>
      <c r="J56" s="253"/>
      <c r="K56" s="253"/>
      <c r="L56" s="253"/>
    </row>
    <row r="57" spans="1:12" ht="20.100000000000001" customHeight="1">
      <c r="A57" s="232" t="s">
        <v>426</v>
      </c>
      <c r="B57" s="232" t="s">
        <v>426</v>
      </c>
      <c r="C57" s="232" t="s">
        <v>426</v>
      </c>
      <c r="D57" s="78" t="str">
        <f>IF(COPIA!A53=0,"",COPIA!A53)</f>
        <v>06.05</v>
      </c>
      <c r="E57" s="81" t="str">
        <f>IF(COPIA!B53=0,"",COPIA!B53)</f>
        <v>CREDITI PER CAUZIONI</v>
      </c>
      <c r="F57" s="82" t="str">
        <f>IF(COPIA!C53=0,"",COPIA!C53)</f>
        <v>F</v>
      </c>
      <c r="G57" s="82" t="str">
        <f>IF(COPIA!D53=0,"",COPIA!D53)</f>
        <v>D</v>
      </c>
      <c r="H57" s="78" t="str">
        <f>IF(COPIA!E53=0,"",IF(COPIA!B53="FONDO SVALUTAZIONE CREDITI","RETTIFICA CREDITI",COPIA!E53))</f>
        <v>CREDITI</v>
      </c>
      <c r="I57" s="82" t="str">
        <f>IF(COPIA!F53=0,"",COPIA!F53)</f>
        <v>SP DARE</v>
      </c>
      <c r="J57" s="253"/>
      <c r="K57" s="253"/>
      <c r="L57" s="253"/>
    </row>
    <row r="58" spans="1:12" ht="20.100000000000001" customHeight="1">
      <c r="A58" s="232" t="s">
        <v>426</v>
      </c>
      <c r="B58" s="232" t="s">
        <v>426</v>
      </c>
      <c r="C58" s="232" t="s">
        <v>426</v>
      </c>
      <c r="D58" s="78" t="str">
        <f>IF(COPIA!A54=0,"",COPIA!A54)</f>
        <v>06.10</v>
      </c>
      <c r="E58" s="81" t="str">
        <f>IF(COPIA!B54=0,"",COPIA!B54)</f>
        <v>CREDITI DIVERSI</v>
      </c>
      <c r="F58" s="82" t="str">
        <f>IF(COPIA!C54=0,"",COPIA!C54)</f>
        <v>F</v>
      </c>
      <c r="G58" s="82" t="str">
        <f>IF(COPIA!D54=0,"",COPIA!D54)</f>
        <v>D</v>
      </c>
      <c r="H58" s="78" t="str">
        <f>IF(COPIA!E54=0,"",IF(COPIA!B54="FONDO SVALUTAZIONE CREDITI","RETTIFICA CREDITI",COPIA!E54))</f>
        <v>CREDITI</v>
      </c>
      <c r="I58" s="82" t="str">
        <f>IF(COPIA!F54=0,"",COPIA!F54)</f>
        <v>SP DARE</v>
      </c>
      <c r="J58" s="253"/>
      <c r="K58" s="253"/>
      <c r="L58" s="253"/>
    </row>
    <row r="59" spans="1:12" ht="20.100000000000001" customHeight="1">
      <c r="A59" s="232"/>
      <c r="B59" s="232" t="s">
        <v>426</v>
      </c>
      <c r="C59" s="232" t="s">
        <v>426</v>
      </c>
      <c r="D59" s="78" t="str">
        <f>IF(COPIA!A55=0,"",COPIA!A55)</f>
        <v>06.20</v>
      </c>
      <c r="E59" s="81" t="str">
        <f>IF(COPIA!B55=0,"",COPIA!B55)</f>
        <v>PERSONALE C/ACCONTI</v>
      </c>
      <c r="F59" s="82" t="str">
        <f>IF(COPIA!C55=0,"",COPIA!C55)</f>
        <v>F</v>
      </c>
      <c r="G59" s="82" t="str">
        <f>IF(COPIA!D55=0,"",COPIA!D55)</f>
        <v>D</v>
      </c>
      <c r="H59" s="78" t="str">
        <f>IF(COPIA!E55=0,"",IF(COPIA!B55="FONDO SVALUTAZIONE CREDITI","RETTIFICA CREDITI",COPIA!E55))</f>
        <v>CREDITI</v>
      </c>
      <c r="I59" s="82" t="str">
        <f>IF(COPIA!F55=0,"",COPIA!F55)</f>
        <v>SP DARE</v>
      </c>
      <c r="J59" s="253"/>
      <c r="K59" s="253"/>
      <c r="L59" s="253"/>
    </row>
    <row r="60" spans="1:12" ht="20.100000000000001" customHeight="1">
      <c r="A60" s="232"/>
      <c r="B60" s="232"/>
      <c r="C60" s="232"/>
      <c r="D60" s="78" t="str">
        <f>IF(COPIA!A56=0,"",COPIA!A56)</f>
        <v>08.00</v>
      </c>
      <c r="E60" s="81" t="str">
        <f>IF(COPIA!B56=0,"",COPIA!B56)</f>
        <v>DISPONIBILITÀ LIQUIDE</v>
      </c>
      <c r="F60" s="82" t="str">
        <f>IF(COPIA!C56=0,"",COPIA!C56)</f>
        <v/>
      </c>
      <c r="G60" s="82" t="str">
        <f>IF(COPIA!D56=0,"",COPIA!D56)</f>
        <v/>
      </c>
      <c r="H60" s="78" t="str">
        <f>IF(COPIA!E56=0,"",IF(COPIA!B56="FONDO SVALUTAZIONE CREDITI","RETTIFICA CREDITI",COPIA!E56))</f>
        <v/>
      </c>
      <c r="I60" s="82" t="str">
        <f>IF(COPIA!F56=0,"",COPIA!F56)</f>
        <v/>
      </c>
      <c r="J60" s="253"/>
      <c r="K60" s="253"/>
      <c r="L60" s="253"/>
    </row>
    <row r="61" spans="1:12" ht="20.100000000000001" customHeight="1">
      <c r="A61" s="232"/>
      <c r="B61" s="232"/>
      <c r="C61" s="232" t="s">
        <v>426</v>
      </c>
      <c r="D61" s="78" t="str">
        <f>IF(COPIA!A57=0,"",COPIA!A57)</f>
        <v>08.01</v>
      </c>
      <c r="E61" s="81" t="str">
        <f>IF(COPIA!B57=0,"",COPIA!B57)</f>
        <v>BANCHE C/C ATTIVI</v>
      </c>
      <c r="F61" s="82" t="str">
        <f>IF(COPIA!C57=0,"",COPIA!C57)</f>
        <v>F</v>
      </c>
      <c r="G61" s="82" t="str">
        <f>IF(COPIA!D57=0,"",COPIA!D57)</f>
        <v>D</v>
      </c>
      <c r="H61" s="78" t="str">
        <f>IF(COPIA!E57=0,"",IF(COPIA!B57="FONDO SVALUTAZIONE CREDITI","RETTIFICA CREDITI",COPIA!E57))</f>
        <v>DISPONIBILITÀ LIQUIDE</v>
      </c>
      <c r="I61" s="82" t="str">
        <f>IF(COPIA!F57=0,"",COPIA!F57)</f>
        <v>SP DARE</v>
      </c>
      <c r="J61" s="253"/>
      <c r="K61" s="253"/>
      <c r="L61" s="253"/>
    </row>
    <row r="62" spans="1:12" ht="20.100000000000001" customHeight="1">
      <c r="A62" s="232" t="s">
        <v>426</v>
      </c>
      <c r="B62" s="232" t="s">
        <v>426</v>
      </c>
      <c r="C62" s="232" t="s">
        <v>426</v>
      </c>
      <c r="D62" s="78" t="str">
        <f>IF(COPIA!A58=0,"",COPIA!A58)</f>
        <v>08.02</v>
      </c>
      <c r="E62" s="81" t="str">
        <f>IF(COPIA!B58=0,"",COPIA!B58)</f>
        <v>C/C POSTALI</v>
      </c>
      <c r="F62" s="82" t="str">
        <f>IF(COPIA!C58=0,"",COPIA!C58)</f>
        <v>F</v>
      </c>
      <c r="G62" s="82" t="str">
        <f>IF(COPIA!D58=0,"",COPIA!D58)</f>
        <v>D</v>
      </c>
      <c r="H62" s="78" t="str">
        <f>IF(COPIA!E58=0,"",IF(COPIA!B58="FONDO SVALUTAZIONE CREDITI","RETTIFICA CREDITI",COPIA!E58))</f>
        <v>DISPONIBILITÀ LIQUIDE</v>
      </c>
      <c r="I62" s="82" t="str">
        <f>IF(COPIA!F58=0,"",COPIA!F58)</f>
        <v>SP DARE</v>
      </c>
      <c r="J62" s="253"/>
      <c r="K62" s="253"/>
      <c r="L62" s="253"/>
    </row>
    <row r="63" spans="1:12" ht="20.100000000000001" customHeight="1">
      <c r="A63" s="232" t="s">
        <v>426</v>
      </c>
      <c r="B63" s="232" t="s">
        <v>426</v>
      </c>
      <c r="C63" s="232" t="s">
        <v>426</v>
      </c>
      <c r="D63" s="78" t="str">
        <f>IF(COPIA!A59=0,"",COPIA!A59)</f>
        <v>08.10</v>
      </c>
      <c r="E63" s="81" t="str">
        <f>IF(COPIA!B59=0,"",COPIA!B59)</f>
        <v>ASSEGNI</v>
      </c>
      <c r="F63" s="82" t="str">
        <f>IF(COPIA!C59=0,"",COPIA!C59)</f>
        <v>F</v>
      </c>
      <c r="G63" s="82" t="str">
        <f>IF(COPIA!D59=0,"",COPIA!D59)</f>
        <v>D</v>
      </c>
      <c r="H63" s="78" t="str">
        <f>IF(COPIA!E59=0,"",IF(COPIA!B59="FONDO SVALUTAZIONE CREDITI","RETTIFICA CREDITI",COPIA!E59))</f>
        <v>DISPONIBILITÀ LIQUIDE</v>
      </c>
      <c r="I63" s="82" t="str">
        <f>IF(COPIA!F59=0,"",COPIA!F59)</f>
        <v>SP DARE</v>
      </c>
      <c r="J63" s="253"/>
      <c r="K63" s="253"/>
      <c r="L63" s="253"/>
    </row>
    <row r="64" spans="1:12" ht="20.100000000000001" customHeight="1">
      <c r="A64" s="232" t="s">
        <v>426</v>
      </c>
      <c r="B64" s="232" t="s">
        <v>426</v>
      </c>
      <c r="C64" s="232" t="s">
        <v>426</v>
      </c>
      <c r="D64" s="78" t="str">
        <f>IF(COPIA!A60=0,"",COPIA!A60)</f>
        <v>08.20</v>
      </c>
      <c r="E64" s="81" t="str">
        <f>IF(COPIA!B60=0,"",COPIA!B60)</f>
        <v>DENARO IN CASSA</v>
      </c>
      <c r="F64" s="82" t="str">
        <f>IF(COPIA!C60=0,"",COPIA!C60)</f>
        <v>F</v>
      </c>
      <c r="G64" s="82" t="str">
        <f>IF(COPIA!D60=0,"",COPIA!D60)</f>
        <v>D</v>
      </c>
      <c r="H64" s="78" t="str">
        <f>IF(COPIA!E60=0,"",IF(COPIA!B60="FONDO SVALUTAZIONE CREDITI","RETTIFICA CREDITI",COPIA!E60))</f>
        <v>DISPONIBILITÀ LIQUIDE</v>
      </c>
      <c r="I64" s="82" t="str">
        <f>IF(COPIA!F60=0,"",COPIA!F60)</f>
        <v>SP DARE</v>
      </c>
      <c r="J64" s="253"/>
      <c r="K64" s="253"/>
      <c r="L64" s="253"/>
    </row>
    <row r="65" spans="1:12" ht="20.100000000000001" customHeight="1">
      <c r="A65" s="232"/>
      <c r="B65" s="232" t="s">
        <v>426</v>
      </c>
      <c r="C65" s="232" t="s">
        <v>426</v>
      </c>
      <c r="D65" s="78" t="str">
        <f>IF(COPIA!A61=0,"",COPIA!A61)</f>
        <v>08.21</v>
      </c>
      <c r="E65" s="81" t="str">
        <f>IF(COPIA!B61=0,"",COPIA!B61)</f>
        <v>VALORI BOLLATI</v>
      </c>
      <c r="F65" s="82" t="str">
        <f>IF(COPIA!C61=0,"",COPIA!C61)</f>
        <v>F</v>
      </c>
      <c r="G65" s="82" t="str">
        <f>IF(COPIA!D61=0,"",COPIA!D61)</f>
        <v>D</v>
      </c>
      <c r="H65" s="78" t="str">
        <f>IF(COPIA!E61=0,"",IF(COPIA!B61="FONDO SVALUTAZIONE CREDITI","RETTIFICA CREDITI",COPIA!E61))</f>
        <v>DISPONIBILITÀ LIQUIDE</v>
      </c>
      <c r="I65" s="82" t="str">
        <f>IF(COPIA!F61=0,"",COPIA!F61)</f>
        <v>SP DARE</v>
      </c>
      <c r="J65" s="253"/>
      <c r="K65" s="253"/>
      <c r="L65" s="253"/>
    </row>
    <row r="66" spans="1:12" ht="20.100000000000001" customHeight="1">
      <c r="A66" s="232"/>
      <c r="B66" s="232"/>
      <c r="C66" s="232"/>
      <c r="D66" s="78" t="str">
        <f>IF(COPIA!A62=0,"",COPIA!A62)</f>
        <v>09.00</v>
      </c>
      <c r="E66" s="81" t="str">
        <f>IF(COPIA!B62=0,"",COPIA!B62)</f>
        <v>RATEI E RISCONTI ATTIVI</v>
      </c>
      <c r="F66" s="82" t="str">
        <f>IF(COPIA!C62=0,"",COPIA!C62)</f>
        <v/>
      </c>
      <c r="G66" s="82" t="str">
        <f>IF(COPIA!D62=0,"",COPIA!D62)</f>
        <v/>
      </c>
      <c r="H66" s="78" t="str">
        <f>IF(COPIA!E62=0,"",IF(COPIA!B62="FONDO SVALUTAZIONE CREDITI","RETTIFICA CREDITI",COPIA!E62))</f>
        <v/>
      </c>
      <c r="I66" s="82" t="str">
        <f>IF(COPIA!F62=0,"",COPIA!F62)</f>
        <v/>
      </c>
      <c r="J66" s="253"/>
      <c r="K66" s="253"/>
      <c r="L66" s="253"/>
    </row>
    <row r="67" spans="1:12" ht="20.100000000000001" customHeight="1">
      <c r="A67" s="232"/>
      <c r="B67" s="232"/>
      <c r="C67" s="232" t="s">
        <v>426</v>
      </c>
      <c r="D67" s="78" t="str">
        <f>IF(COPIA!A63=0,"",COPIA!A63)</f>
        <v>09.01</v>
      </c>
      <c r="E67" s="81" t="str">
        <f>IF(COPIA!B63=0,"",COPIA!B63)</f>
        <v>RATEI ATTIVI</v>
      </c>
      <c r="F67" s="82" t="str">
        <f>IF(COPIA!C63=0,"",COPIA!C63)</f>
        <v>F</v>
      </c>
      <c r="G67" s="82" t="str">
        <f>IF(COPIA!D63=0,"",COPIA!D63)</f>
        <v>D</v>
      </c>
      <c r="H67" s="78" t="str">
        <f>IF(COPIA!E63=0,"",IF(COPIA!B63="FONDO SVALUTAZIONE CREDITI","RETTIFICA CREDITI",COPIA!E63))</f>
        <v>RATEI, FONDI RISCHI E ONERI</v>
      </c>
      <c r="I67" s="82" t="str">
        <f>IF(COPIA!F63=0,"",COPIA!F63)</f>
        <v>SP DARE</v>
      </c>
      <c r="J67" s="253"/>
      <c r="K67" s="253"/>
      <c r="L67" s="253"/>
    </row>
    <row r="68" spans="1:12" ht="20.100000000000001" customHeight="1">
      <c r="A68" s="232"/>
      <c r="B68" s="232"/>
      <c r="C68" s="232" t="s">
        <v>426</v>
      </c>
      <c r="D68" s="78" t="str">
        <f>IF(COPIA!A64=0,"",COPIA!A64)</f>
        <v>09.02</v>
      </c>
      <c r="E68" s="81" t="str">
        <f>IF(COPIA!B64=0,"",COPIA!B64)</f>
        <v>RISCONTI ATTIVI</v>
      </c>
      <c r="F68" s="82" t="str">
        <f>IF(COPIA!C64=0,"",COPIA!C64)</f>
        <v>E</v>
      </c>
      <c r="G68" s="82" t="str">
        <f>IF(COPIA!D64=0,"",COPIA!D64)</f>
        <v>D</v>
      </c>
      <c r="H68" s="78" t="str">
        <f>IF(COPIA!E64=0,"",IF(COPIA!B64="FONDO SVALUTAZIONE CREDITI","RETTIFICA CREDITI",COPIA!E64))</f>
        <v>COSTI SOSPESI</v>
      </c>
      <c r="I68" s="82" t="str">
        <f>IF(COPIA!F64=0,"",COPIA!F64)</f>
        <v>SP DARE</v>
      </c>
      <c r="J68" s="253"/>
      <c r="K68" s="253"/>
      <c r="L68" s="253"/>
    </row>
    <row r="69" spans="1:12" ht="20.100000000000001" customHeight="1">
      <c r="A69" s="232"/>
      <c r="B69" s="232"/>
      <c r="C69" s="232"/>
      <c r="D69" s="78" t="str">
        <f>IF(COPIA!A65=0,"",COPIA!A65)</f>
        <v>10.00</v>
      </c>
      <c r="E69" s="81" t="str">
        <f>IF(COPIA!B65=0,"",COPIA!B65)</f>
        <v>PATRIMONIO NETTO</v>
      </c>
      <c r="F69" s="82" t="str">
        <f>IF(COPIA!C65=0,"",COPIA!C65)</f>
        <v/>
      </c>
      <c r="G69" s="82" t="str">
        <f>IF(COPIA!D65=0,"",COPIA!D65)</f>
        <v/>
      </c>
      <c r="H69" s="78" t="str">
        <f>IF(COPIA!E65=0,"",IF(COPIA!B65="FONDO SVALUTAZIONE CREDITI","RETTIFICA CREDITI",COPIA!E65))</f>
        <v/>
      </c>
      <c r="I69" s="82" t="str">
        <f>IF(COPIA!F65=0,"",COPIA!F65)</f>
        <v/>
      </c>
      <c r="J69" s="253"/>
      <c r="K69" s="253"/>
      <c r="L69" s="253"/>
    </row>
    <row r="70" spans="1:12" ht="20.100000000000001" customHeight="1">
      <c r="A70" s="232" t="s">
        <v>426</v>
      </c>
      <c r="B70" s="232" t="s">
        <v>426</v>
      </c>
      <c r="C70" s="232" t="s">
        <v>426</v>
      </c>
      <c r="D70" s="78" t="str">
        <f>IF(COPIA!A66=0,"",COPIA!A66)</f>
        <v>10.01</v>
      </c>
      <c r="E70" s="81" t="str">
        <f>IF(COPIA!B66=0,"",COPIA!B66)</f>
        <v>PATRIMONIO NETTO</v>
      </c>
      <c r="F70" s="82" t="str">
        <f>IF(COPIA!C66=0,"",COPIA!C66)</f>
        <v>E</v>
      </c>
      <c r="G70" s="82" t="str">
        <f>IF(COPIA!D66=0,"",COPIA!D66)</f>
        <v>A</v>
      </c>
      <c r="H70" s="78" t="str">
        <f>IF(COPIA!E66=0,"",IF(COPIA!B66="FONDO SVALUTAZIONE CREDITI","RETTIFICA CREDITI",COPIA!E66))</f>
        <v>PATRIMONIO NETTO</v>
      </c>
      <c r="I70" s="82" t="str">
        <f>IF(COPIA!F66=0,"",COPIA!F66)</f>
        <v>SP AVERE</v>
      </c>
      <c r="J70" s="253"/>
      <c r="K70" s="253"/>
      <c r="L70" s="253"/>
    </row>
    <row r="71" spans="1:12" ht="20.100000000000001" customHeight="1">
      <c r="A71" s="232" t="s">
        <v>426</v>
      </c>
      <c r="B71" s="232" t="s">
        <v>426</v>
      </c>
      <c r="C71" s="232" t="s">
        <v>426</v>
      </c>
      <c r="D71" s="78" t="str">
        <f>IF(COPIA!A67=0,"",COPIA!A67)</f>
        <v>10.02</v>
      </c>
      <c r="E71" s="81" t="str">
        <f>IF(COPIA!B67=0,"",COPIA!B67)</f>
        <v>PRELEVAMENTI EXTRAGESTIONE</v>
      </c>
      <c r="F71" s="82" t="str">
        <f>IF(COPIA!C67=0,"",COPIA!C67)</f>
        <v>E</v>
      </c>
      <c r="G71" s="82" t="str">
        <f>IF(COPIA!D67=0,"",COPIA!D67)</f>
        <v>D</v>
      </c>
      <c r="H71" s="78" t="str">
        <f>IF(COPIA!E67=0,"",IF(COPIA!B67="FONDO SVALUTAZIONE CREDITI","RETTIFICA CREDITI",COPIA!E67))</f>
        <v>PATRIMONIO NETTO</v>
      </c>
      <c r="I71" s="82" t="str">
        <f>IF(COPIA!F67=0,"",COPIA!F67)</f>
        <v>SP DARE</v>
      </c>
      <c r="J71" s="253"/>
      <c r="K71" s="253"/>
      <c r="L71" s="253"/>
    </row>
    <row r="72" spans="1:12" ht="20.100000000000001" customHeight="1">
      <c r="A72" s="232"/>
      <c r="B72" s="232" t="s">
        <v>426</v>
      </c>
      <c r="C72" s="232" t="s">
        <v>426</v>
      </c>
      <c r="D72" s="78" t="str">
        <f>IF(COPIA!A68=0,"",COPIA!A68)</f>
        <v>10.03</v>
      </c>
      <c r="E72" s="81" t="str">
        <f>IF(COPIA!B68=0,"",COPIA!B68)</f>
        <v>TITOLARE C/RITENUTE SUBITE</v>
      </c>
      <c r="F72" s="82" t="str">
        <f>IF(COPIA!C68=0,"",COPIA!C68)</f>
        <v>E</v>
      </c>
      <c r="G72" s="82" t="str">
        <f>IF(COPIA!D68=0,"",COPIA!D68)</f>
        <v>D</v>
      </c>
      <c r="H72" s="78" t="str">
        <f>IF(COPIA!E68=0,"",IF(COPIA!B68="FONDO SVALUTAZIONE CREDITI","RETTIFICA CREDITI",COPIA!E68))</f>
        <v>PATRIMONIO NETTO</v>
      </c>
      <c r="I72" s="82" t="str">
        <f>IF(COPIA!F68=0,"",COPIA!F68)</f>
        <v>SP DARE</v>
      </c>
      <c r="J72" s="253"/>
      <c r="K72" s="253"/>
      <c r="L72" s="253"/>
    </row>
    <row r="73" spans="1:12" ht="20.100000000000001" customHeight="1">
      <c r="A73" s="232"/>
      <c r="B73" s="232"/>
      <c r="C73" s="232"/>
      <c r="D73" s="78" t="str">
        <f>IF(COPIA!A69=0,"",COPIA!A69)</f>
        <v>10.04</v>
      </c>
      <c r="E73" s="81" t="str">
        <f>IF(COPIA!B69=0,"",COPIA!B69)</f>
        <v>UTILE D'ESERCIZIO</v>
      </c>
      <c r="F73" s="82" t="str">
        <f>IF(COPIA!C69=0,"",COPIA!C69)</f>
        <v>E</v>
      </c>
      <c r="G73" s="82" t="str">
        <f>IF(COPIA!D69=0,"",COPIA!D69)</f>
        <v>A</v>
      </c>
      <c r="H73" s="78" t="str">
        <f>IF(COPIA!E69=0,"",IF(COPIA!B69="FONDO SVALUTAZIONE CREDITI","RETTIFICA CREDITI",COPIA!E69))</f>
        <v>PATRIMONIO NETTO</v>
      </c>
      <c r="I73" s="82" t="str">
        <f>IF(COPIA!F69=0,"",COPIA!F69)</f>
        <v>SP AVERE - SE DARE</v>
      </c>
      <c r="J73" s="253"/>
      <c r="K73" s="253"/>
      <c r="L73" s="253"/>
    </row>
    <row r="74" spans="1:12" ht="20.100000000000001" customHeight="1">
      <c r="A74" s="232"/>
      <c r="B74" s="232"/>
      <c r="C74" s="232"/>
      <c r="D74" s="78" t="str">
        <f>IF(COPIA!A70=0,"",COPIA!A70)</f>
        <v>10.05</v>
      </c>
      <c r="E74" s="81" t="str">
        <f>IF(COPIA!B70=0,"",COPIA!B70)</f>
        <v>PERDITA D'ESERCIZIO</v>
      </c>
      <c r="F74" s="82" t="str">
        <f>IF(COPIA!C70=0,"",COPIA!C70)</f>
        <v>E</v>
      </c>
      <c r="G74" s="82" t="str">
        <f>IF(COPIA!D70=0,"",COPIA!D70)</f>
        <v>D</v>
      </c>
      <c r="H74" s="78" t="str">
        <f>IF(COPIA!E70=0,"",IF(COPIA!B70="FONDO SVALUTAZIONE CREDITI","RETTIFICA CREDITI",COPIA!E70))</f>
        <v>PATRIMONIO NETTO</v>
      </c>
      <c r="I74" s="82" t="str">
        <f>IF(COPIA!F70=0,"",COPIA!F70)</f>
        <v>SP DARE - SE AVERE</v>
      </c>
      <c r="J74" s="253"/>
      <c r="K74" s="253"/>
      <c r="L74" s="253"/>
    </row>
    <row r="75" spans="1:12" ht="20.100000000000001" customHeight="1">
      <c r="A75" s="232"/>
      <c r="B75" s="232"/>
      <c r="C75" s="232"/>
      <c r="D75" s="78" t="str">
        <f>IF(COPIA!A71=0,"",COPIA!A71)</f>
        <v>11.00</v>
      </c>
      <c r="E75" s="81" t="str">
        <f>IF(COPIA!B71=0,"",COPIA!B71)</f>
        <v>FONDI PER RISCHI E ONERI</v>
      </c>
      <c r="F75" s="82" t="str">
        <f>IF(COPIA!C71=0,"",COPIA!C71)</f>
        <v/>
      </c>
      <c r="G75" s="82" t="str">
        <f>IF(COPIA!D71=0,"",COPIA!D71)</f>
        <v/>
      </c>
      <c r="H75" s="78" t="str">
        <f>IF(COPIA!E71=0,"",IF(COPIA!B71="FONDO SVALUTAZIONE CREDITI","RETTIFICA CREDITI",COPIA!E71))</f>
        <v/>
      </c>
      <c r="I75" s="82" t="str">
        <f>IF(COPIA!F71=0,"",COPIA!F71)</f>
        <v/>
      </c>
      <c r="J75" s="253"/>
      <c r="K75" s="253"/>
      <c r="L75" s="253"/>
    </row>
    <row r="76" spans="1:12" ht="20.100000000000001" customHeight="1">
      <c r="A76" s="232"/>
      <c r="B76" s="232"/>
      <c r="C76" s="232" t="s">
        <v>426</v>
      </c>
      <c r="D76" s="78" t="str">
        <f>IF(COPIA!A72=0,"",COPIA!A72)</f>
        <v>11.01</v>
      </c>
      <c r="E76" s="81" t="str">
        <f>IF(COPIA!B72=0,"",COPIA!B72)</f>
        <v>FONDO RESPONSABILITÀ CIVILE</v>
      </c>
      <c r="F76" s="82" t="str">
        <f>IF(COPIA!C72=0,"",COPIA!C72)</f>
        <v>F</v>
      </c>
      <c r="G76" s="82" t="str">
        <f>IF(COPIA!D72=0,"",COPIA!D72)</f>
        <v>A</v>
      </c>
      <c r="H76" s="78" t="str">
        <f>IF(COPIA!E72=0,"",IF(COPIA!B72="FONDO SVALUTAZIONE CREDITI","RETTIFICA CREDITI",COPIA!E72))</f>
        <v>RATEI, FONDI RISCHI E ONERI</v>
      </c>
      <c r="I76" s="82" t="str">
        <f>IF(COPIA!F72=0,"",COPIA!F72)</f>
        <v>SP AVERE</v>
      </c>
      <c r="J76" s="253"/>
      <c r="K76" s="253"/>
      <c r="L76" s="253"/>
    </row>
    <row r="77" spans="1:12" ht="20.100000000000001" customHeight="1">
      <c r="A77" s="232"/>
      <c r="B77" s="232"/>
      <c r="C77" s="232" t="s">
        <v>426</v>
      </c>
      <c r="D77" s="78" t="str">
        <f>IF(COPIA!A73=0,"",COPIA!A73)</f>
        <v>11.10</v>
      </c>
      <c r="E77" s="81" t="str">
        <f>IF(COPIA!B73=0,"",COPIA!B73)</f>
        <v>FONDO MANUTENZIONI PROGRAMMATE</v>
      </c>
      <c r="F77" s="82" t="str">
        <f>IF(COPIA!C73=0,"",COPIA!C73)</f>
        <v>F</v>
      </c>
      <c r="G77" s="82" t="str">
        <f>IF(COPIA!D73=0,"",COPIA!D73)</f>
        <v>A</v>
      </c>
      <c r="H77" s="78" t="str">
        <f>IF(COPIA!E73=0,"",IF(COPIA!B73="FONDO SVALUTAZIONE CREDITI","RETTIFICA CREDITI",COPIA!E73))</f>
        <v>RATEI, FONDI RISCHI E ONERI</v>
      </c>
      <c r="I77" s="82" t="str">
        <f>IF(COPIA!F73=0,"",COPIA!F73)</f>
        <v>SP AVERE</v>
      </c>
      <c r="J77" s="253"/>
      <c r="K77" s="253"/>
      <c r="L77" s="253"/>
    </row>
    <row r="78" spans="1:12" ht="20.100000000000001" customHeight="1">
      <c r="A78" s="232"/>
      <c r="B78" s="232"/>
      <c r="C78" s="232"/>
      <c r="D78" s="78" t="str">
        <f>IF(COPIA!A74=0,"",COPIA!A74)</f>
        <v>12.00</v>
      </c>
      <c r="E78" s="81" t="str">
        <f>IF(COPIA!B74=0,"",COPIA!B74)</f>
        <v>TRATTAMENTO FINE RAPPORTO</v>
      </c>
      <c r="F78" s="82" t="str">
        <f>IF(COPIA!C74=0,"",COPIA!C74)</f>
        <v/>
      </c>
      <c r="G78" s="82" t="str">
        <f>IF(COPIA!D74=0,"",COPIA!D74)</f>
        <v/>
      </c>
      <c r="H78" s="78" t="str">
        <f>IF(COPIA!E74=0,"",IF(COPIA!B74="FONDO SVALUTAZIONE CREDITI","RETTIFICA CREDITI",COPIA!E74))</f>
        <v/>
      </c>
      <c r="I78" s="82" t="str">
        <f>IF(COPIA!F74=0,"",COPIA!F74)</f>
        <v/>
      </c>
      <c r="J78" s="253"/>
      <c r="K78" s="253"/>
      <c r="L78" s="253"/>
    </row>
    <row r="79" spans="1:12" ht="20.100000000000001" customHeight="1">
      <c r="A79" s="232"/>
      <c r="B79" s="232"/>
      <c r="C79" s="232" t="s">
        <v>426</v>
      </c>
      <c r="D79" s="78" t="str">
        <f>IF(COPIA!A75=0,"",COPIA!A75)</f>
        <v>12.01</v>
      </c>
      <c r="E79" s="81" t="str">
        <f>IF(COPIA!B75=0,"",COPIA!B75)</f>
        <v>DEBITI PER TFR</v>
      </c>
      <c r="F79" s="82" t="str">
        <f>IF(COPIA!C75=0,"",COPIA!C75)</f>
        <v>F</v>
      </c>
      <c r="G79" s="82" t="str">
        <f>IF(COPIA!D75=0,"",COPIA!D75)</f>
        <v>A</v>
      </c>
      <c r="H79" s="78" t="str">
        <f>IF(COPIA!E75=0,"",IF(COPIA!B75="FONDO SVALUTAZIONE CREDITI","RETTIFICA CREDITI",COPIA!E75))</f>
        <v>DEBITI</v>
      </c>
      <c r="I79" s="82" t="str">
        <f>IF(COPIA!F75=0,"",COPIA!F75)</f>
        <v>SP AVERE</v>
      </c>
      <c r="J79" s="253"/>
      <c r="K79" s="253"/>
      <c r="L79" s="253"/>
    </row>
    <row r="80" spans="1:12" ht="20.100000000000001" customHeight="1">
      <c r="A80" s="232"/>
      <c r="B80" s="232"/>
      <c r="C80" s="232"/>
      <c r="D80" s="78" t="str">
        <f>IF(COPIA!A76=0,"",COPIA!A76)</f>
        <v>13.00</v>
      </c>
      <c r="E80" s="81" t="str">
        <f>IF(COPIA!B76=0,"",COPIA!B76)</f>
        <v>DEBITI FINANZIARI</v>
      </c>
      <c r="F80" s="82" t="str">
        <f>IF(COPIA!C76=0,"",COPIA!C76)</f>
        <v/>
      </c>
      <c r="G80" s="82" t="str">
        <f>IF(COPIA!D76=0,"",COPIA!D76)</f>
        <v/>
      </c>
      <c r="H80" s="78" t="str">
        <f>IF(COPIA!E76=0,"",IF(COPIA!B76="FONDO SVALUTAZIONE CREDITI","RETTIFICA CREDITI",COPIA!E76))</f>
        <v/>
      </c>
      <c r="I80" s="82" t="str">
        <f>IF(COPIA!F76=0,"",COPIA!F76)</f>
        <v/>
      </c>
      <c r="J80" s="253"/>
      <c r="K80" s="253"/>
      <c r="L80" s="253"/>
    </row>
    <row r="81" spans="1:12" ht="20.100000000000001" customHeight="1">
      <c r="A81" s="232" t="s">
        <v>426</v>
      </c>
      <c r="B81" s="232" t="s">
        <v>426</v>
      </c>
      <c r="C81" s="232" t="s">
        <v>426</v>
      </c>
      <c r="D81" s="78" t="str">
        <f>IF(COPIA!A77=0,"",COPIA!A77)</f>
        <v>13.01</v>
      </c>
      <c r="E81" s="81" t="str">
        <f>IF(COPIA!B77=0,"",COPIA!B77)</f>
        <v>MUTUI PASSIVI</v>
      </c>
      <c r="F81" s="82" t="str">
        <f>IF(COPIA!C77=0,"",COPIA!C77)</f>
        <v>F</v>
      </c>
      <c r="G81" s="82" t="str">
        <f>IF(COPIA!D77=0,"",COPIA!D77)</f>
        <v>A</v>
      </c>
      <c r="H81" s="78" t="str">
        <f>IF(COPIA!E77=0,"",IF(COPIA!B77="FONDO SVALUTAZIONE CREDITI","RETTIFICA CREDITI",COPIA!E77))</f>
        <v>DEBITI</v>
      </c>
      <c r="I81" s="82" t="str">
        <f>IF(COPIA!F77=0,"",COPIA!F77)</f>
        <v>SP AVERE</v>
      </c>
      <c r="J81" s="253"/>
      <c r="K81" s="253"/>
      <c r="L81" s="253"/>
    </row>
    <row r="82" spans="1:12" ht="20.100000000000001" customHeight="1">
      <c r="A82" s="232"/>
      <c r="B82" s="232" t="s">
        <v>426</v>
      </c>
      <c r="C82" s="232" t="s">
        <v>426</v>
      </c>
      <c r="D82" s="78" t="str">
        <f>IF(COPIA!A78=0,"",COPIA!A78)</f>
        <v>13.10</v>
      </c>
      <c r="E82" s="81" t="str">
        <f>IF(COPIA!B78=0,"",COPIA!B78)</f>
        <v>BANCHE C/RI.BA. SBF</v>
      </c>
      <c r="F82" s="82" t="str">
        <f>IF(COPIA!C78=0,"",COPIA!C78)</f>
        <v>F</v>
      </c>
      <c r="G82" s="82" t="str">
        <f>IF(COPIA!D78=0,"",COPIA!D78)</f>
        <v>A</v>
      </c>
      <c r="H82" s="78" t="str">
        <f>IF(COPIA!E78=0,"",IF(COPIA!B78="FONDO SVALUTAZIONE CREDITI","RETTIFICA CREDITI",COPIA!E78))</f>
        <v>DEBITI</v>
      </c>
      <c r="I82" s="82" t="str">
        <f>IF(COPIA!F78=0,"",COPIA!F78)</f>
        <v>SP AVERE</v>
      </c>
      <c r="J82" s="253"/>
      <c r="K82" s="253"/>
      <c r="L82" s="253"/>
    </row>
    <row r="83" spans="1:12" ht="20.100000000000001" customHeight="1">
      <c r="A83" s="232"/>
      <c r="B83" s="232" t="s">
        <v>426</v>
      </c>
      <c r="C83" s="232" t="s">
        <v>426</v>
      </c>
      <c r="D83" s="78" t="str">
        <f>IF(COPIA!A79=0,"",COPIA!A79)</f>
        <v>13.11</v>
      </c>
      <c r="E83" s="81" t="str">
        <f>IF(COPIA!B79=0,"",COPIA!B79)</f>
        <v>BANCHE C/ANTICIPI SU FATTURE</v>
      </c>
      <c r="F83" s="82" t="str">
        <f>IF(COPIA!C79=0,"",COPIA!C79)</f>
        <v>F</v>
      </c>
      <c r="G83" s="82" t="str">
        <f>IF(COPIA!D79=0,"",COPIA!D79)</f>
        <v>A</v>
      </c>
      <c r="H83" s="78" t="str">
        <f>IF(COPIA!E79=0,"",IF(COPIA!B79="FONDO SVALUTAZIONE CREDITI","RETTIFICA CREDITI",COPIA!E79))</f>
        <v>DEBITI</v>
      </c>
      <c r="I83" s="82" t="str">
        <f>IF(COPIA!F79=0,"",COPIA!F79)</f>
        <v>SP AVERE</v>
      </c>
      <c r="J83" s="253"/>
      <c r="K83" s="253"/>
      <c r="L83" s="253"/>
    </row>
    <row r="84" spans="1:12" ht="20.100000000000001" customHeight="1">
      <c r="A84" s="232"/>
      <c r="B84" s="232" t="s">
        <v>426</v>
      </c>
      <c r="C84" s="232" t="s">
        <v>426</v>
      </c>
      <c r="D84" s="78" t="str">
        <f>IF(COPIA!A80=0,"",COPIA!A80)</f>
        <v>13.15</v>
      </c>
      <c r="E84" s="81" t="str">
        <f>IF(COPIA!B80=0,"",COPIA!B80)</f>
        <v>SOVVENZIONI BANCARIE</v>
      </c>
      <c r="F84" s="82" t="str">
        <f>IF(COPIA!C80=0,"",COPIA!C80)</f>
        <v>F</v>
      </c>
      <c r="G84" s="82" t="str">
        <f>IF(COPIA!D80=0,"",COPIA!D80)</f>
        <v>A</v>
      </c>
      <c r="H84" s="78" t="str">
        <f>IF(COPIA!E80=0,"",IF(COPIA!B80="FONDO SVALUTAZIONE CREDITI","RETTIFICA CREDITI",COPIA!E80))</f>
        <v>DEBITI</v>
      </c>
      <c r="I84" s="82" t="str">
        <f>IF(COPIA!F80=0,"",COPIA!F80)</f>
        <v>SP AVERE</v>
      </c>
      <c r="J84" s="253"/>
      <c r="K84" s="253"/>
      <c r="L84" s="253"/>
    </row>
    <row r="85" spans="1:12" ht="20.100000000000001" customHeight="1">
      <c r="A85" s="232"/>
      <c r="B85" s="232"/>
      <c r="C85" s="232" t="s">
        <v>426</v>
      </c>
      <c r="D85" s="78" t="str">
        <f>IF(COPIA!A81=0,"",COPIA!A81)</f>
        <v>13.20</v>
      </c>
      <c r="E85" s="81" t="str">
        <f>IF(COPIA!B81=0,"",COPIA!B81)</f>
        <v>BANCHE C/C PASSIVI</v>
      </c>
      <c r="F85" s="82" t="str">
        <f>IF(COPIA!C81=0,"",COPIA!C81)</f>
        <v>F</v>
      </c>
      <c r="G85" s="82" t="str">
        <f>IF(COPIA!D81=0,"",COPIA!D81)</f>
        <v>A</v>
      </c>
      <c r="H85" s="78" t="str">
        <f>IF(COPIA!E81=0,"",IF(COPIA!B81="FONDO SVALUTAZIONE CREDITI","RETTIFICA CREDITI",COPIA!E81))</f>
        <v>DEBITI</v>
      </c>
      <c r="I85" s="82" t="str">
        <f>IF(COPIA!F81=0,"",COPIA!F81)</f>
        <v>SP AVERE</v>
      </c>
      <c r="J85" s="253"/>
      <c r="K85" s="253"/>
      <c r="L85" s="253"/>
    </row>
    <row r="86" spans="1:12" ht="20.100000000000001" customHeight="1">
      <c r="A86" s="232"/>
      <c r="B86" s="232"/>
      <c r="C86" s="232" t="s">
        <v>426</v>
      </c>
      <c r="D86" s="78" t="str">
        <f>IF(COPIA!A82=0,"",COPIA!A82)</f>
        <v>13.21</v>
      </c>
      <c r="E86" s="81" t="str">
        <f>IF(COPIA!B82=0,"",COPIA!B82)</f>
        <v>BANCHE C/INTERESSI MATURATI</v>
      </c>
      <c r="F86" s="82" t="str">
        <f>IF(COPIA!C82=0,"",COPIA!C82)</f>
        <v>F</v>
      </c>
      <c r="G86" s="82" t="str">
        <f>IF(COPIA!D82=0,"",COPIA!D82)</f>
        <v>A</v>
      </c>
      <c r="H86" s="78" t="str">
        <f>IF(COPIA!E82=0,"",IF(COPIA!B82="FONDO SVALUTAZIONE CREDITI","RETTIFICA CREDITI",COPIA!E82))</f>
        <v>DEBITI</v>
      </c>
      <c r="I86" s="82" t="str">
        <f>IF(COPIA!F82=0,"",COPIA!F82)</f>
        <v>SP AVERE</v>
      </c>
      <c r="J86" s="253"/>
      <c r="K86" s="253"/>
      <c r="L86" s="253"/>
    </row>
    <row r="87" spans="1:12" ht="20.100000000000001" customHeight="1">
      <c r="A87" s="232"/>
      <c r="B87" s="232"/>
      <c r="C87" s="232" t="s">
        <v>426</v>
      </c>
      <c r="D87" s="78" t="str">
        <f>IF(COPIA!A83=0,"",COPIA!A83)</f>
        <v>13.30</v>
      </c>
      <c r="E87" s="81" t="str">
        <f>IF(COPIA!B83=0,"",COPIA!B83)</f>
        <v>DEBITI V/ALTRI FINANZIATORI</v>
      </c>
      <c r="F87" s="82" t="str">
        <f>IF(COPIA!C83=0,"",COPIA!C83)</f>
        <v>F</v>
      </c>
      <c r="G87" s="82" t="str">
        <f>IF(COPIA!D83=0,"",COPIA!D83)</f>
        <v>A</v>
      </c>
      <c r="H87" s="78" t="str">
        <f>IF(COPIA!E83=0,"",IF(COPIA!B83="FONDO SVALUTAZIONE CREDITI","RETTIFICA CREDITI",COPIA!E83))</f>
        <v>DEBITI</v>
      </c>
      <c r="I87" s="82" t="str">
        <f>IF(COPIA!F83=0,"",COPIA!F83)</f>
        <v>SP AVERE</v>
      </c>
      <c r="J87" s="253"/>
      <c r="K87" s="253"/>
      <c r="L87" s="253"/>
    </row>
    <row r="88" spans="1:12" ht="20.100000000000001" customHeight="1">
      <c r="A88" s="232"/>
      <c r="B88" s="232"/>
      <c r="C88" s="232"/>
      <c r="D88" s="78" t="str">
        <f>IF(COPIA!A84=0,"",COPIA!A84)</f>
        <v>14.00</v>
      </c>
      <c r="E88" s="81" t="str">
        <f>IF(COPIA!B84=0,"",COPIA!B84)</f>
        <v>DEBITI COMMERCIALI</v>
      </c>
      <c r="F88" s="82" t="str">
        <f>IF(COPIA!C84=0,"",COPIA!C84)</f>
        <v/>
      </c>
      <c r="G88" s="82" t="str">
        <f>IF(COPIA!D84=0,"",COPIA!D84)</f>
        <v/>
      </c>
      <c r="H88" s="78" t="str">
        <f>IF(COPIA!E84=0,"",IF(COPIA!B84="FONDO SVALUTAZIONE CREDITI","RETTIFICA CREDITI",COPIA!E84))</f>
        <v/>
      </c>
      <c r="I88" s="82" t="str">
        <f>IF(COPIA!F84=0,"",COPIA!F84)</f>
        <v/>
      </c>
      <c r="J88" s="253"/>
      <c r="K88" s="253"/>
      <c r="L88" s="253"/>
    </row>
    <row r="89" spans="1:12" ht="20.100000000000001" customHeight="1">
      <c r="A89" s="232" t="s">
        <v>426</v>
      </c>
      <c r="B89" s="232" t="s">
        <v>426</v>
      </c>
      <c r="C89" s="232" t="s">
        <v>426</v>
      </c>
      <c r="D89" s="78" t="str">
        <f>IF(COPIA!A85=0,"",COPIA!A85)</f>
        <v>14.01</v>
      </c>
      <c r="E89" s="81" t="str">
        <f>IF(COPIA!B85=0,"",COPIA!B85)</f>
        <v>DEBITI V/FORNITORI</v>
      </c>
      <c r="F89" s="82" t="str">
        <f>IF(COPIA!C85=0,"",COPIA!C85)</f>
        <v>F</v>
      </c>
      <c r="G89" s="82" t="str">
        <f>IF(COPIA!D85=0,"",COPIA!D85)</f>
        <v>A</v>
      </c>
      <c r="H89" s="78" t="str">
        <f>IF(COPIA!E85=0,"",IF(COPIA!B85="FONDO SVALUTAZIONE CREDITI","RETTIFICA CREDITI",COPIA!E85))</f>
        <v>DEBITI</v>
      </c>
      <c r="I89" s="82" t="str">
        <f>IF(COPIA!F85=0,"",COPIA!F85)</f>
        <v>SP AVERE</v>
      </c>
      <c r="J89" s="253"/>
      <c r="K89" s="253"/>
      <c r="L89" s="253"/>
    </row>
    <row r="90" spans="1:12" ht="20.100000000000001" customHeight="1">
      <c r="A90" s="232"/>
      <c r="B90" s="232"/>
      <c r="C90" s="232" t="s">
        <v>426</v>
      </c>
      <c r="D90" s="78" t="str">
        <f>IF(COPIA!A86=0,"",COPIA!A86)</f>
        <v>14.02</v>
      </c>
      <c r="E90" s="81" t="str">
        <f>IF(COPIA!B86=0,"",COPIA!B86)</f>
        <v>FATTURE DA RICEVERE</v>
      </c>
      <c r="F90" s="82" t="str">
        <f>IF(COPIA!C86=0,"",COPIA!C86)</f>
        <v>F</v>
      </c>
      <c r="G90" s="82" t="str">
        <f>IF(COPIA!D86=0,"",COPIA!D86)</f>
        <v>A</v>
      </c>
      <c r="H90" s="78" t="str">
        <f>IF(COPIA!E86=0,"",IF(COPIA!B86="FONDO SVALUTAZIONE CREDITI","RETTIFICA CREDITI",COPIA!E86))</f>
        <v>DEBITI</v>
      </c>
      <c r="I90" s="82" t="str">
        <f>IF(COPIA!F86=0,"",COPIA!F86)</f>
        <v>SP AVERE</v>
      </c>
      <c r="J90" s="253"/>
      <c r="K90" s="253"/>
      <c r="L90" s="253"/>
    </row>
    <row r="91" spans="1:12" ht="20.100000000000001" customHeight="1">
      <c r="A91" s="232" t="s">
        <v>426</v>
      </c>
      <c r="B91" s="232" t="s">
        <v>426</v>
      </c>
      <c r="C91" s="232" t="s">
        <v>426</v>
      </c>
      <c r="D91" s="78" t="str">
        <f>IF(COPIA!A87=0,"",COPIA!A87)</f>
        <v>14.03</v>
      </c>
      <c r="E91" s="81" t="str">
        <f>IF(COPIA!B87=0,"",COPIA!B87)</f>
        <v>DEBITI COMMERCIALI DIVERSI</v>
      </c>
      <c r="F91" s="82" t="str">
        <f>IF(COPIA!C87=0,"",COPIA!C87)</f>
        <v>F</v>
      </c>
      <c r="G91" s="82" t="str">
        <f>IF(COPIA!D87=0,"",COPIA!D87)</f>
        <v>A</v>
      </c>
      <c r="H91" s="78" t="str">
        <f>IF(COPIA!E87=0,"",IF(COPIA!B87="FONDO SVALUTAZIONE CREDITI","RETTIFICA CREDITI",COPIA!E87))</f>
        <v>DEBITI</v>
      </c>
      <c r="I91" s="82" t="str">
        <f>IF(COPIA!F87=0,"",COPIA!F87)</f>
        <v>SP AVERE</v>
      </c>
      <c r="J91" s="253"/>
      <c r="K91" s="253"/>
      <c r="L91" s="253"/>
    </row>
    <row r="92" spans="1:12" ht="20.100000000000001" customHeight="1">
      <c r="A92" s="232" t="s">
        <v>426</v>
      </c>
      <c r="B92" s="232" t="s">
        <v>426</v>
      </c>
      <c r="C92" s="232" t="s">
        <v>426</v>
      </c>
      <c r="D92" s="78" t="str">
        <f>IF(COPIA!A88=0,"",COPIA!A88)</f>
        <v>14.06</v>
      </c>
      <c r="E92" s="81" t="str">
        <f>IF(COPIA!B88=0,"",COPIA!B88)</f>
        <v>CAMBIALI PASSIVE</v>
      </c>
      <c r="F92" s="82" t="str">
        <f>IF(COPIA!C88=0,"",COPIA!C88)</f>
        <v>F</v>
      </c>
      <c r="G92" s="82" t="str">
        <f>IF(COPIA!D88=0,"",COPIA!D88)</f>
        <v>A</v>
      </c>
      <c r="H92" s="78" t="str">
        <f>IF(COPIA!E88=0,"",IF(COPIA!B88="FONDO SVALUTAZIONE CREDITI","RETTIFICA CREDITI",COPIA!E88))</f>
        <v>DEBITI</v>
      </c>
      <c r="I92" s="82" t="str">
        <f>IF(COPIA!F88=0,"",COPIA!F88)</f>
        <v>SP AVERE</v>
      </c>
      <c r="J92" s="253"/>
      <c r="K92" s="253"/>
      <c r="L92" s="253"/>
    </row>
    <row r="93" spans="1:12" ht="20.100000000000001" customHeight="1">
      <c r="A93" s="232"/>
      <c r="B93" s="232"/>
      <c r="C93" s="232" t="s">
        <v>426</v>
      </c>
      <c r="D93" s="78" t="str">
        <f>IF(COPIA!A89=0,"",COPIA!A89)</f>
        <v>14.09</v>
      </c>
      <c r="E93" s="81" t="str">
        <f>IF(COPIA!B89=0,"",COPIA!B89)</f>
        <v>DEBITI DA LIQUIDARE</v>
      </c>
      <c r="F93" s="82" t="str">
        <f>IF(COPIA!C89=0,"",COPIA!C89)</f>
        <v>F</v>
      </c>
      <c r="G93" s="82" t="str">
        <f>IF(COPIA!D89=0,"",COPIA!D89)</f>
        <v>A</v>
      </c>
      <c r="H93" s="78" t="str">
        <f>IF(COPIA!E89=0,"",IF(COPIA!B89="FONDO SVALUTAZIONE CREDITI","RETTIFICA CREDITI",COPIA!E89))</f>
        <v>DEBITI</v>
      </c>
      <c r="I93" s="82" t="str">
        <f>IF(COPIA!F89=0,"",COPIA!F89)</f>
        <v>SP AVERE</v>
      </c>
      <c r="J93" s="253"/>
      <c r="K93" s="253"/>
      <c r="L93" s="253"/>
    </row>
    <row r="94" spans="1:12" ht="20.100000000000001" customHeight="1">
      <c r="A94" s="232" t="s">
        <v>426</v>
      </c>
      <c r="B94" s="232" t="s">
        <v>426</v>
      </c>
      <c r="C94" s="232" t="s">
        <v>426</v>
      </c>
      <c r="D94" s="78" t="str">
        <f>IF(COPIA!A90=0,"",COPIA!A90)</f>
        <v>14.15</v>
      </c>
      <c r="E94" s="81" t="str">
        <f>IF(COPIA!B90=0,"",COPIA!B90)</f>
        <v>DEBITI PER ACCONTI A FORNITORI</v>
      </c>
      <c r="F94" s="82" t="str">
        <f>IF(COPIA!C90=0,"",COPIA!C90)</f>
        <v>F</v>
      </c>
      <c r="G94" s="82" t="str">
        <f>IF(COPIA!D90=0,"",COPIA!D90)</f>
        <v>A</v>
      </c>
      <c r="H94" s="78" t="str">
        <f>IF(COPIA!E90=0,"",IF(COPIA!B90="FONDO SVALUTAZIONE CREDITI","RETTIFICA CREDITI",COPIA!E90))</f>
        <v>DEBITI</v>
      </c>
      <c r="I94" s="82" t="str">
        <f>IF(COPIA!F90=0,"",COPIA!F90)</f>
        <v>SP AVERE</v>
      </c>
      <c r="J94" s="253"/>
      <c r="K94" s="253"/>
      <c r="L94" s="253"/>
    </row>
    <row r="95" spans="1:12" ht="20.100000000000001" customHeight="1">
      <c r="A95" s="232" t="s">
        <v>426</v>
      </c>
      <c r="B95" s="232" t="s">
        <v>426</v>
      </c>
      <c r="C95" s="232" t="s">
        <v>426</v>
      </c>
      <c r="D95" s="78" t="str">
        <f>IF(COPIA!A91=0,"",COPIA!A91)</f>
        <v>14.20</v>
      </c>
      <c r="E95" s="81" t="str">
        <f>IF(COPIA!B91=0,"",COPIA!B91)</f>
        <v>CLIENTI C/ACCONTI</v>
      </c>
      <c r="F95" s="82" t="str">
        <f>IF(COPIA!C91=0,"",COPIA!C91)</f>
        <v>F</v>
      </c>
      <c r="G95" s="82" t="str">
        <f>IF(COPIA!D91=0,"",COPIA!D91)</f>
        <v>A</v>
      </c>
      <c r="H95" s="78" t="str">
        <f>IF(COPIA!E91=0,"",IF(COPIA!B91="FONDO SVALUTAZIONE CREDITI","RETTIFICA CREDITI",COPIA!E91))</f>
        <v>DEBITI</v>
      </c>
      <c r="I95" s="82" t="str">
        <f>IF(COPIA!F91=0,"",COPIA!F91)</f>
        <v>SP AVERE</v>
      </c>
      <c r="J95" s="253"/>
      <c r="K95" s="253"/>
      <c r="L95" s="253"/>
    </row>
    <row r="96" spans="1:12" ht="20.100000000000001" customHeight="1">
      <c r="A96" s="232"/>
      <c r="B96" s="232"/>
      <c r="C96" s="232"/>
      <c r="D96" s="78" t="str">
        <f>IF(COPIA!A92=0,"",COPIA!A92)</f>
        <v>15.00</v>
      </c>
      <c r="E96" s="81" t="str">
        <f>IF(COPIA!B92=0,"",COPIA!B92)</f>
        <v>DEBITI DIVERSI</v>
      </c>
      <c r="F96" s="82" t="str">
        <f>IF(COPIA!C92=0,"",COPIA!C92)</f>
        <v/>
      </c>
      <c r="G96" s="82" t="str">
        <f>IF(COPIA!D92=0,"",COPIA!D92)</f>
        <v/>
      </c>
      <c r="H96" s="78" t="str">
        <f>IF(COPIA!E92=0,"",IF(COPIA!B92="FONDO SVALUTAZIONE CREDITI","RETTIFICA CREDITI",COPIA!E92))</f>
        <v/>
      </c>
      <c r="I96" s="82" t="str">
        <f>IF(COPIA!F92=0,"",COPIA!F92)</f>
        <v/>
      </c>
      <c r="J96" s="253"/>
      <c r="K96" s="253"/>
      <c r="L96" s="253"/>
    </row>
    <row r="97" spans="1:12" ht="20.100000000000001" customHeight="1">
      <c r="A97" s="232" t="s">
        <v>426</v>
      </c>
      <c r="B97" s="232" t="s">
        <v>426</v>
      </c>
      <c r="C97" s="232" t="s">
        <v>426</v>
      </c>
      <c r="D97" s="78" t="str">
        <f>IF(COPIA!A93=0,"",COPIA!A93)</f>
        <v>15.01</v>
      </c>
      <c r="E97" s="81" t="str">
        <f>IF(COPIA!B93=0,"",COPIA!B93)</f>
        <v>IVA NS/DEBITO</v>
      </c>
      <c r="F97" s="82" t="str">
        <f>IF(COPIA!C93=0,"",COPIA!C93)</f>
        <v>F</v>
      </c>
      <c r="G97" s="82" t="str">
        <f>IF(COPIA!D93=0,"",COPIA!D93)</f>
        <v>A</v>
      </c>
      <c r="H97" s="78" t="str">
        <f>IF(COPIA!E93=0,"",IF(COPIA!B93="FONDO SVALUTAZIONE CREDITI","RETTIFICA CREDITI",COPIA!E93))</f>
        <v>DEBITI</v>
      </c>
      <c r="I97" s="82" t="str">
        <f>IF(COPIA!F93=0,"",COPIA!F93)</f>
        <v>SP AVERE</v>
      </c>
      <c r="J97" s="253"/>
      <c r="K97" s="253"/>
      <c r="L97" s="253"/>
    </row>
    <row r="98" spans="1:12" ht="20.100000000000001" customHeight="1">
      <c r="A98" s="232" t="s">
        <v>426</v>
      </c>
      <c r="B98" s="232" t="s">
        <v>426</v>
      </c>
      <c r="C98" s="232" t="s">
        <v>426</v>
      </c>
      <c r="D98" s="78" t="str">
        <f>IF(COPIA!A94=0,"",COPIA!A94)</f>
        <v>15.02</v>
      </c>
      <c r="E98" s="81" t="str">
        <f>IF(COPIA!B94=0,"",COPIA!B94)</f>
        <v>DEBITI PER RITENUTE DA VERSARE</v>
      </c>
      <c r="F98" s="82" t="str">
        <f>IF(COPIA!C94=0,"",COPIA!C94)</f>
        <v>F</v>
      </c>
      <c r="G98" s="82" t="str">
        <f>IF(COPIA!D94=0,"",COPIA!D94)</f>
        <v>A</v>
      </c>
      <c r="H98" s="78" t="str">
        <f>IF(COPIA!E94=0,"",IF(COPIA!B94="FONDO SVALUTAZIONE CREDITI","RETTIFICA CREDITI",COPIA!E94))</f>
        <v>DEBITI</v>
      </c>
      <c r="I98" s="82" t="str">
        <f>IF(COPIA!F94=0,"",COPIA!F94)</f>
        <v>SP AVERE</v>
      </c>
      <c r="J98" s="253"/>
      <c r="K98" s="253"/>
      <c r="L98" s="253"/>
    </row>
    <row r="99" spans="1:12" ht="20.100000000000001" customHeight="1">
      <c r="A99" s="232"/>
      <c r="B99" s="232"/>
      <c r="C99" s="232" t="s">
        <v>426</v>
      </c>
      <c r="D99" s="78" t="str">
        <f>IF(COPIA!A95=0,"",COPIA!A95)</f>
        <v>15.03</v>
      </c>
      <c r="E99" s="81" t="str">
        <f>IF(COPIA!B95=0,"",COPIA!B95)</f>
        <v>DEBITI PER IVA</v>
      </c>
      <c r="F99" s="82" t="str">
        <f>IF(COPIA!C95=0,"",COPIA!C95)</f>
        <v>F</v>
      </c>
      <c r="G99" s="82" t="str">
        <f>IF(COPIA!D95=0,"",COPIA!D95)</f>
        <v>A</v>
      </c>
      <c r="H99" s="78" t="str">
        <f>IF(COPIA!E95=0,"",IF(COPIA!B95="FONDO SVALUTAZIONE CREDITI","RETTIFICA CREDITI",COPIA!E95))</f>
        <v>DEBITI</v>
      </c>
      <c r="I99" s="82" t="str">
        <f>IF(COPIA!F95=0,"",COPIA!F95)</f>
        <v>SP AVERE</v>
      </c>
      <c r="J99" s="253"/>
      <c r="K99" s="253"/>
      <c r="L99" s="253"/>
    </row>
    <row r="100" spans="1:12" ht="20.100000000000001" customHeight="1">
      <c r="A100" s="232" t="s">
        <v>426</v>
      </c>
      <c r="B100" s="232" t="s">
        <v>426</v>
      </c>
      <c r="C100" s="232" t="s">
        <v>426</v>
      </c>
      <c r="D100" s="78" t="str">
        <f>IF(COPIA!A96=0,"",COPIA!A96)</f>
        <v>15.04</v>
      </c>
      <c r="E100" s="81" t="str">
        <f>IF(COPIA!B96=0,"",COPIA!B96)</f>
        <v>DEBITI FISCALI DIVERSI</v>
      </c>
      <c r="F100" s="82" t="str">
        <f>IF(COPIA!C96=0,"",COPIA!C96)</f>
        <v>F</v>
      </c>
      <c r="G100" s="82" t="str">
        <f>IF(COPIA!D96=0,"",COPIA!D96)</f>
        <v>A</v>
      </c>
      <c r="H100" s="78" t="str">
        <f>IF(COPIA!E96=0,"",IF(COPIA!B96="FONDO SVALUTAZIONE CREDITI","RETTIFICA CREDITI",COPIA!E96))</f>
        <v>DEBITI</v>
      </c>
      <c r="I100" s="82" t="str">
        <f>IF(COPIA!F96=0,"",COPIA!F96)</f>
        <v>SP AVERE</v>
      </c>
      <c r="J100" s="253"/>
      <c r="K100" s="253"/>
      <c r="L100" s="253"/>
    </row>
    <row r="101" spans="1:12" ht="20.100000000000001" customHeight="1">
      <c r="A101" s="232"/>
      <c r="B101" s="232"/>
      <c r="C101" s="232" t="s">
        <v>426</v>
      </c>
      <c r="D101" s="78" t="str">
        <f>IF(COPIA!A97=0,"",COPIA!A97)</f>
        <v>15.06</v>
      </c>
      <c r="E101" s="81" t="str">
        <f>IF(COPIA!B97=0,"",COPIA!B97)</f>
        <v>DEBITI V/ISTITUTI PREVIDENZIALI</v>
      </c>
      <c r="F101" s="82" t="str">
        <f>IF(COPIA!C97=0,"",COPIA!C97)</f>
        <v>F</v>
      </c>
      <c r="G101" s="82" t="str">
        <f>IF(COPIA!D97=0,"",COPIA!D97)</f>
        <v>A</v>
      </c>
      <c r="H101" s="78" t="str">
        <f>IF(COPIA!E97=0,"",IF(COPIA!B97="FONDO SVALUTAZIONE CREDITI","RETTIFICA CREDITI",COPIA!E97))</f>
        <v>DEBITI</v>
      </c>
      <c r="I101" s="82" t="str">
        <f>IF(COPIA!F97=0,"",COPIA!F97)</f>
        <v>SP AVERE</v>
      </c>
      <c r="J101" s="253"/>
      <c r="K101" s="253"/>
      <c r="L101" s="253"/>
    </row>
    <row r="102" spans="1:12" ht="20.100000000000001" customHeight="1">
      <c r="A102" s="232" t="s">
        <v>426</v>
      </c>
      <c r="B102" s="232" t="s">
        <v>426</v>
      </c>
      <c r="C102" s="232" t="s">
        <v>426</v>
      </c>
      <c r="D102" s="78" t="str">
        <f>IF(COPIA!A98=0,"",COPIA!A98)</f>
        <v>15.07</v>
      </c>
      <c r="E102" s="81" t="str">
        <f>IF(COPIA!B98=0,"",COPIA!B98)</f>
        <v>DEBITI PER CAUZIONI</v>
      </c>
      <c r="F102" s="82" t="str">
        <f>IF(COPIA!C98=0,"",COPIA!C98)</f>
        <v>F</v>
      </c>
      <c r="G102" s="82" t="str">
        <f>IF(COPIA!D98=0,"",COPIA!D98)</f>
        <v>A</v>
      </c>
      <c r="H102" s="78" t="str">
        <f>IF(COPIA!E98=0,"",IF(COPIA!B98="FONDO SVALUTAZIONE CREDITI","RETTIFICA CREDITI",COPIA!E98))</f>
        <v>DEBITI</v>
      </c>
      <c r="I102" s="82" t="str">
        <f>IF(COPIA!F98=0,"",COPIA!F98)</f>
        <v>SP AVERE</v>
      </c>
      <c r="J102" s="253"/>
      <c r="K102" s="253"/>
      <c r="L102" s="253"/>
    </row>
    <row r="103" spans="1:12" ht="20.100000000000001" customHeight="1">
      <c r="A103" s="232"/>
      <c r="B103" s="232" t="s">
        <v>426</v>
      </c>
      <c r="C103" s="232" t="s">
        <v>426</v>
      </c>
      <c r="D103" s="78" t="str">
        <f>IF(COPIA!A99=0,"",COPIA!A99)</f>
        <v>15.20</v>
      </c>
      <c r="E103" s="81" t="str">
        <f>IF(COPIA!B99=0,"",COPIA!B99)</f>
        <v>PERSONALE C/RETRIBUZIONI</v>
      </c>
      <c r="F103" s="82" t="str">
        <f>IF(COPIA!C99=0,"",COPIA!C99)</f>
        <v>F</v>
      </c>
      <c r="G103" s="82" t="str">
        <f>IF(COPIA!D99=0,"",COPIA!D99)</f>
        <v>A</v>
      </c>
      <c r="H103" s="78" t="str">
        <f>IF(COPIA!E99=0,"",IF(COPIA!B99="FONDO SVALUTAZIONE CREDITI","RETTIFICA CREDITI",COPIA!E99))</f>
        <v>DEBITI</v>
      </c>
      <c r="I103" s="82" t="str">
        <f>IF(COPIA!F99=0,"",COPIA!F99)</f>
        <v>SP AVERE</v>
      </c>
      <c r="J103" s="253"/>
      <c r="K103" s="253"/>
      <c r="L103" s="253"/>
    </row>
    <row r="104" spans="1:12" ht="20.100000000000001" customHeight="1">
      <c r="A104" s="232"/>
      <c r="B104" s="232" t="s">
        <v>426</v>
      </c>
      <c r="C104" s="232" t="s">
        <v>426</v>
      </c>
      <c r="D104" s="78" t="str">
        <f>IF(COPIA!A100=0,"",COPIA!A100)</f>
        <v>15.21</v>
      </c>
      <c r="E104" s="81" t="str">
        <f>IF(COPIA!B100=0,"",COPIA!B100)</f>
        <v>PERSONALE C/LIQUIDAZIONE</v>
      </c>
      <c r="F104" s="82" t="str">
        <f>IF(COPIA!C100=0,"",COPIA!C100)</f>
        <v>F</v>
      </c>
      <c r="G104" s="82" t="str">
        <f>IF(COPIA!D100=0,"",COPIA!D100)</f>
        <v>A</v>
      </c>
      <c r="H104" s="78" t="str">
        <f>IF(COPIA!E100=0,"",IF(COPIA!B100="FONDO SVALUTAZIONE CREDITI","RETTIFICA CREDITI",COPIA!E100))</f>
        <v>DEBITI</v>
      </c>
      <c r="I104" s="82" t="str">
        <f>IF(COPIA!F100=0,"",COPIA!F100)</f>
        <v>SP AVERE</v>
      </c>
      <c r="J104" s="253"/>
      <c r="K104" s="253"/>
      <c r="L104" s="253"/>
    </row>
    <row r="105" spans="1:12" ht="20.100000000000001" customHeight="1">
      <c r="A105" s="232"/>
      <c r="B105" s="232"/>
      <c r="C105" s="232" t="s">
        <v>426</v>
      </c>
      <c r="D105" s="78" t="str">
        <f>IF(COPIA!A101=0,"",COPIA!A101)</f>
        <v>15.22</v>
      </c>
      <c r="E105" s="81" t="str">
        <f>IF(COPIA!B101=0,"",COPIA!B101)</f>
        <v>DEBITI V/FONDI PENSIONE</v>
      </c>
      <c r="F105" s="82" t="str">
        <f>IF(COPIA!C101=0,"",COPIA!C101)</f>
        <v>F</v>
      </c>
      <c r="G105" s="82" t="str">
        <f>IF(COPIA!D101=0,"",COPIA!D101)</f>
        <v>A</v>
      </c>
      <c r="H105" s="78" t="str">
        <f>IF(COPIA!E101=0,"",IF(COPIA!B101="FONDO SVALUTAZIONE CREDITI","RETTIFICA CREDITI",COPIA!E101))</f>
        <v>DEBITI</v>
      </c>
      <c r="I105" s="82" t="str">
        <f>IF(COPIA!F101=0,"",COPIA!F101)</f>
        <v>SP AVERE</v>
      </c>
      <c r="J105" s="253"/>
      <c r="K105" s="253"/>
      <c r="L105" s="253"/>
    </row>
    <row r="106" spans="1:12" ht="20.100000000000001" customHeight="1">
      <c r="A106" s="232" t="s">
        <v>426</v>
      </c>
      <c r="B106" s="232" t="s">
        <v>426</v>
      </c>
      <c r="C106" s="232" t="s">
        <v>426</v>
      </c>
      <c r="D106" s="78" t="str">
        <f>IF(COPIA!A102=0,"",COPIA!A102)</f>
        <v>15.23</v>
      </c>
      <c r="E106" s="81" t="str">
        <f ca="1">IF(COPIA!B102=0,"",COPIA!B102)</f>
        <v>CEDENTE C/CESSIONE</v>
      </c>
      <c r="F106" s="82" t="str">
        <f>IF(COPIA!C102=0,"",COPIA!C102)</f>
        <v>F</v>
      </c>
      <c r="G106" s="82" t="str">
        <f>IF(COPIA!D102=0,"",COPIA!D102)</f>
        <v>A</v>
      </c>
      <c r="H106" s="78" t="str">
        <f ca="1">IF(COPIA!E102=0,"",IF(COPIA!B102="FONDO SVALUTAZIONE CREDITI","RETTIFICA CREDITI",COPIA!E102))</f>
        <v>DEBITI</v>
      </c>
      <c r="I106" s="82" t="str">
        <f>IF(COPIA!F102=0,"",COPIA!F102)</f>
        <v>SP AVERE</v>
      </c>
      <c r="J106" s="253"/>
      <c r="K106" s="253"/>
      <c r="L106" s="253"/>
    </row>
    <row r="107" spans="1:12" ht="20.100000000000001" customHeight="1">
      <c r="A107" s="232" t="s">
        <v>426</v>
      </c>
      <c r="B107" s="232" t="s">
        <v>426</v>
      </c>
      <c r="C107" s="232" t="s">
        <v>426</v>
      </c>
      <c r="D107" s="78" t="str">
        <f>IF(COPIA!A103=0,"",COPIA!A103)</f>
        <v>15.30</v>
      </c>
      <c r="E107" s="81" t="str">
        <f>IF(COPIA!B103=0,"",COPIA!B103)</f>
        <v>DEBITI DIVERSI</v>
      </c>
      <c r="F107" s="82" t="str">
        <f>IF(COPIA!C103=0,"",COPIA!C103)</f>
        <v>F</v>
      </c>
      <c r="G107" s="82" t="str">
        <f>IF(COPIA!D103=0,"",COPIA!D103)</f>
        <v>A</v>
      </c>
      <c r="H107" s="78" t="str">
        <f>IF(COPIA!E103=0,"",IF(COPIA!B103="FONDO SVALUTAZIONE CREDITI","RETTIFICA CREDITI",COPIA!E103))</f>
        <v>DEBITI</v>
      </c>
      <c r="I107" s="82" t="str">
        <f>IF(COPIA!F103=0,"",COPIA!F103)</f>
        <v>SP AVERE</v>
      </c>
      <c r="J107" s="253"/>
      <c r="K107" s="253"/>
      <c r="L107" s="253"/>
    </row>
    <row r="108" spans="1:12" ht="20.100000000000001" customHeight="1">
      <c r="A108" s="232"/>
      <c r="B108" s="232"/>
      <c r="C108" s="232"/>
      <c r="D108" s="78" t="str">
        <f>IF(COPIA!A104=0,"",COPIA!A104)</f>
        <v>16.00</v>
      </c>
      <c r="E108" s="81" t="str">
        <f>IF(COPIA!B104=0,"",COPIA!B104)</f>
        <v>RATEI E RISCONTI PASSIVI</v>
      </c>
      <c r="F108" s="82" t="str">
        <f>IF(COPIA!C104=0,"",COPIA!C104)</f>
        <v/>
      </c>
      <c r="G108" s="82" t="str">
        <f>IF(COPIA!D104=0,"",COPIA!D104)</f>
        <v/>
      </c>
      <c r="H108" s="78" t="str">
        <f>IF(COPIA!E104=0,"",IF(COPIA!B104="FONDO SVALUTAZIONE CREDITI","RETTIFICA CREDITI",COPIA!E104))</f>
        <v/>
      </c>
      <c r="I108" s="82" t="str">
        <f>IF(COPIA!F104=0,"",COPIA!F104)</f>
        <v/>
      </c>
      <c r="J108" s="253"/>
      <c r="K108" s="253"/>
      <c r="L108" s="253"/>
    </row>
    <row r="109" spans="1:12" ht="20.100000000000001" customHeight="1">
      <c r="A109" s="232"/>
      <c r="B109" s="232"/>
      <c r="C109" s="232" t="s">
        <v>426</v>
      </c>
      <c r="D109" s="78" t="str">
        <f>IF(COPIA!A105=0,"",COPIA!A105)</f>
        <v>16.01</v>
      </c>
      <c r="E109" s="81" t="str">
        <f>IF(COPIA!B105=0,"",COPIA!B105)</f>
        <v>RATEI PASSIVI</v>
      </c>
      <c r="F109" s="82" t="str">
        <f>IF(COPIA!C105=0,"",COPIA!C105)</f>
        <v>F</v>
      </c>
      <c r="G109" s="82" t="str">
        <f>IF(COPIA!D105=0,"",COPIA!D105)</f>
        <v>A</v>
      </c>
      <c r="H109" s="78" t="str">
        <f>IF(COPIA!E105=0,"",IF(COPIA!B105="FONDO SVALUTAZIONE CREDITI","RETTIFICA CREDITI",COPIA!E105))</f>
        <v>RATEI, FONDI RISCHI E ONERI</v>
      </c>
      <c r="I109" s="82" t="str">
        <f>IF(COPIA!F105=0,"",COPIA!F105)</f>
        <v>SP AVERE</v>
      </c>
      <c r="J109" s="253"/>
      <c r="K109" s="253"/>
      <c r="L109" s="253"/>
    </row>
    <row r="110" spans="1:12" ht="20.100000000000001" customHeight="1">
      <c r="A110" s="232"/>
      <c r="B110" s="232"/>
      <c r="C110" s="232" t="s">
        <v>426</v>
      </c>
      <c r="D110" s="78" t="str">
        <f>IF(COPIA!A106=0,"",COPIA!A106)</f>
        <v>16.02</v>
      </c>
      <c r="E110" s="81" t="str">
        <f>IF(COPIA!B106=0,"",COPIA!B106)</f>
        <v>RISCONTI PASSIVI</v>
      </c>
      <c r="F110" s="82" t="str">
        <f>IF(COPIA!C106=0,"",COPIA!C106)</f>
        <v>E</v>
      </c>
      <c r="G110" s="82" t="str">
        <f>IF(COPIA!D106=0,"",COPIA!D106)</f>
        <v>A</v>
      </c>
      <c r="H110" s="78" t="str">
        <f>IF(COPIA!E106=0,"",IF(COPIA!B106="FONDO SVALUTAZIONE CREDITI","RETTIFICA CREDITI",COPIA!E106))</f>
        <v>RICAVI SOSPESI</v>
      </c>
      <c r="I110" s="82" t="str">
        <f>IF(COPIA!F106=0,"",COPIA!F106)</f>
        <v>SP AVERE</v>
      </c>
      <c r="J110" s="253"/>
      <c r="K110" s="253"/>
      <c r="L110" s="253"/>
    </row>
    <row r="111" spans="1:12" ht="20.100000000000001" customHeight="1">
      <c r="A111" s="232"/>
      <c r="B111" s="232"/>
      <c r="C111" s="232"/>
      <c r="D111" s="78" t="str">
        <f>IF(COPIA!A107=0,"",COPIA!A107)</f>
        <v>18.00</v>
      </c>
      <c r="E111" s="81" t="str">
        <f>IF(COPIA!B107=0,"",COPIA!B107)</f>
        <v>CONTI TRANSITORI E DIVERSI</v>
      </c>
      <c r="F111" s="82" t="str">
        <f>IF(COPIA!C107=0,"",COPIA!C107)</f>
        <v/>
      </c>
      <c r="G111" s="82" t="str">
        <f>IF(COPIA!D107=0,"",COPIA!D107)</f>
        <v/>
      </c>
      <c r="H111" s="78" t="str">
        <f>IF(COPIA!E107=0,"",IF(COPIA!B107="FONDO SVALUTAZIONE CREDITI","RETTIFICA CREDITI",COPIA!E107))</f>
        <v/>
      </c>
      <c r="I111" s="82" t="str">
        <f>IF(COPIA!F107=0,"",COPIA!F107)</f>
        <v/>
      </c>
      <c r="J111" s="253"/>
      <c r="K111" s="253"/>
      <c r="L111" s="253"/>
    </row>
    <row r="112" spans="1:12" ht="20.100000000000001" customHeight="1">
      <c r="A112" s="232"/>
      <c r="B112" s="232"/>
      <c r="C112" s="232"/>
      <c r="D112" s="78" t="str">
        <f>IF(COPIA!A108=0,"",COPIA!A108)</f>
        <v>18.01</v>
      </c>
      <c r="E112" s="81" t="str">
        <f>IF(COPIA!B108=0,"",COPIA!B108)</f>
        <v>BILANCIO DI APERTURA</v>
      </c>
      <c r="F112" s="82" t="str">
        <f>IF(COPIA!C108=0,"",COPIA!C108)</f>
        <v/>
      </c>
      <c r="G112" s="82" t="str">
        <f>IF(COPIA!D108=0,"",COPIA!D108)</f>
        <v>D/A</v>
      </c>
      <c r="H112" s="78" t="str">
        <f>IF(COPIA!E108=0,"",IF(COPIA!B108="FONDO SVALUTAZIONE CREDITI","RETTIFICA CREDITI",COPIA!E108))</f>
        <v>TRANSITORIO DI CONTROPARTITA</v>
      </c>
      <c r="I112" s="82" t="str">
        <f>IF(COPIA!F108=0,"",COPIA!F108)</f>
        <v/>
      </c>
      <c r="J112" s="253"/>
      <c r="K112" s="253"/>
      <c r="L112" s="253"/>
    </row>
    <row r="113" spans="1:12" ht="20.100000000000001" customHeight="1">
      <c r="A113" s="232"/>
      <c r="B113" s="232"/>
      <c r="C113" s="232"/>
      <c r="D113" s="78" t="str">
        <f>IF(COPIA!A109=0,"",COPIA!A109)</f>
        <v>18.02</v>
      </c>
      <c r="E113" s="81" t="str">
        <f>IF(COPIA!B109=0,"",COPIA!B109)</f>
        <v>BILANCIO DI CHIUSURA</v>
      </c>
      <c r="F113" s="82" t="str">
        <f>IF(COPIA!C109=0,"",COPIA!C109)</f>
        <v/>
      </c>
      <c r="G113" s="82" t="str">
        <f>IF(COPIA!D109=0,"",COPIA!D109)</f>
        <v>D/A</v>
      </c>
      <c r="H113" s="78" t="str">
        <f>IF(COPIA!E109=0,"",IF(COPIA!B109="FONDO SVALUTAZIONE CREDITI","RETTIFICA CREDITI",COPIA!E109))</f>
        <v>TRANSITORIO DI CONTROPARTITA</v>
      </c>
      <c r="I113" s="82" t="str">
        <f>IF(COPIA!F109=0,"",COPIA!F109)</f>
        <v/>
      </c>
      <c r="J113" s="253"/>
      <c r="K113" s="253"/>
      <c r="L113" s="253"/>
    </row>
    <row r="114" spans="1:12" ht="20.100000000000001" customHeight="1">
      <c r="A114" s="232"/>
      <c r="B114" s="232" t="s">
        <v>426</v>
      </c>
      <c r="C114" s="232" t="s">
        <v>426</v>
      </c>
      <c r="D114" s="78" t="str">
        <f>IF(COPIA!A110=0,"",COPIA!A110)</f>
        <v>18.10</v>
      </c>
      <c r="E114" s="81" t="str">
        <f>IF(COPIA!B110=0,"",COPIA!B110)</f>
        <v>IVA C/LIQUIDAZIONE</v>
      </c>
      <c r="F114" s="82" t="str">
        <f>IF(COPIA!C110=0,"",COPIA!C110)</f>
        <v>F</v>
      </c>
      <c r="G114" s="82" t="str">
        <f>IF(COPIA!D110=0,"",COPIA!D110)</f>
        <v>D/A</v>
      </c>
      <c r="H114" s="78" t="str">
        <f>IF(COPIA!E110=0,"",IF(COPIA!B110="FONDO SVALUTAZIONE CREDITI","RETTIFICA CREDITI",COPIA!E110))</f>
        <v>CONTI CON ALTERNANZA DI SALDI</v>
      </c>
      <c r="I114" s="82" t="str">
        <f>IF(COPIA!F110=0,"",COPIA!F110)</f>
        <v>SP DARE/AVERE</v>
      </c>
      <c r="J114" s="253"/>
      <c r="K114" s="253"/>
      <c r="L114" s="253"/>
    </row>
    <row r="115" spans="1:12" ht="20.100000000000001" customHeight="1">
      <c r="A115" s="232"/>
      <c r="B115" s="232" t="s">
        <v>426</v>
      </c>
      <c r="C115" s="232" t="s">
        <v>426</v>
      </c>
      <c r="D115" s="78" t="str">
        <f>IF(COPIA!A111=0,"",COPIA!A111)</f>
        <v>18.11</v>
      </c>
      <c r="E115" s="81" t="str">
        <f>IF(COPIA!B111=0,"",COPIA!B111)</f>
        <v>ISTITUTI PREVIDENZIALI</v>
      </c>
      <c r="F115" s="82" t="str">
        <f>IF(COPIA!C111=0,"",COPIA!C111)</f>
        <v>F</v>
      </c>
      <c r="G115" s="82" t="str">
        <f>IF(COPIA!D111=0,"",COPIA!D111)</f>
        <v>D/A</v>
      </c>
      <c r="H115" s="78" t="str">
        <f>IF(COPIA!E111=0,"",IF(COPIA!B111="FONDO SVALUTAZIONE CREDITI","RETTIFICA CREDITI",COPIA!E111))</f>
        <v>CONTI CON ALTERNANZA DI SALDI</v>
      </c>
      <c r="I115" s="82" t="str">
        <f>IF(COPIA!F111=0,"",COPIA!F111)</f>
        <v>SP DARE/AVERE</v>
      </c>
      <c r="J115" s="253"/>
      <c r="K115" s="253"/>
      <c r="L115" s="253"/>
    </row>
    <row r="116" spans="1:12" ht="20.100000000000001" customHeight="1">
      <c r="A116" s="232" t="s">
        <v>426</v>
      </c>
      <c r="B116" s="232" t="s">
        <v>426</v>
      </c>
      <c r="C116" s="232" t="s">
        <v>426</v>
      </c>
      <c r="D116" s="78" t="str">
        <f>IF(COPIA!A112=0,"",COPIA!A112)</f>
        <v>18.20</v>
      </c>
      <c r="E116" s="81" t="str">
        <f ca="1">IF(COPIA!B112=0,"",COPIA!B112)</f>
        <v>BANCA X C/C</v>
      </c>
      <c r="F116" s="82" t="str">
        <f>IF(COPIA!C112=0,"",COPIA!C112)</f>
        <v>F</v>
      </c>
      <c r="G116" s="82" t="str">
        <f>IF(COPIA!D112=0,"",COPIA!D112)</f>
        <v>D/A</v>
      </c>
      <c r="H116" s="78" t="str">
        <f ca="1">IF(COPIA!E112=0,"",IF(COPIA!B112="FONDO SVALUTAZIONE CREDITI","RETTIFICA CREDITI",COPIA!E112))</f>
        <v>CONTI CON ALTERNANZA DI SALDI</v>
      </c>
      <c r="I116" s="82" t="str">
        <f>IF(COPIA!F112=0,"",COPIA!F112)</f>
        <v>SP DARE/AVERE</v>
      </c>
      <c r="J116" s="253"/>
      <c r="K116" s="253"/>
      <c r="L116" s="253"/>
    </row>
    <row r="117" spans="1:12" ht="20.100000000000001" customHeight="1">
      <c r="A117" s="232" t="s">
        <v>426</v>
      </c>
      <c r="B117" s="232" t="s">
        <v>426</v>
      </c>
      <c r="C117" s="232" t="s">
        <v>426</v>
      </c>
      <c r="D117" s="78" t="str">
        <f>IF(COPIA!A113=0,"",COPIA!A113)</f>
        <v>18.21</v>
      </c>
      <c r="E117" s="81" t="str">
        <f ca="1">IF(COPIA!B113=0,"",COPIA!B113)</f>
        <v>BANCA Y C/C</v>
      </c>
      <c r="F117" s="82" t="str">
        <f>IF(COPIA!C113=0,"",COPIA!C113)</f>
        <v>F</v>
      </c>
      <c r="G117" s="82" t="str">
        <f>IF(COPIA!D113=0,"",COPIA!D113)</f>
        <v>D/A</v>
      </c>
      <c r="H117" s="78" t="str">
        <f ca="1">IF(COPIA!E113=0,"",IF(COPIA!B113="FONDO SVALUTAZIONE CREDITI","RETTIFICA CREDITI",COPIA!E113))</f>
        <v>CONTI CON ALTERNANZA DI SALDI</v>
      </c>
      <c r="I117" s="82" t="str">
        <f>IF(COPIA!F113=0,"",COPIA!F113)</f>
        <v>SP DARE/AVERE</v>
      </c>
      <c r="J117" s="253"/>
      <c r="K117" s="253"/>
      <c r="L117" s="253"/>
    </row>
    <row r="118" spans="1:12" ht="20.100000000000001" customHeight="1">
      <c r="A118" s="232"/>
      <c r="B118" s="232"/>
      <c r="C118" s="232"/>
      <c r="D118" s="78" t="str">
        <f>IF(COPIA!A114=0,"",COPIA!A114)</f>
        <v>19.00</v>
      </c>
      <c r="E118" s="81" t="str">
        <f>IF(COPIA!B114=0,"",COPIA!B114)</f>
        <v>CONTI DEI SISTEMI MINORI</v>
      </c>
      <c r="F118" s="82" t="str">
        <f>IF(COPIA!C114=0,"",COPIA!C114)</f>
        <v/>
      </c>
      <c r="G118" s="82" t="str">
        <f>IF(COPIA!D114=0,"",COPIA!D114)</f>
        <v/>
      </c>
      <c r="H118" s="78" t="str">
        <f>IF(COPIA!E114=0,"",IF(COPIA!B114="FONDO SVALUTAZIONE CREDITI","RETTIFICA CREDITI",COPIA!E114))</f>
        <v/>
      </c>
      <c r="I118" s="82" t="str">
        <f>IF(COPIA!F114=0,"",COPIA!F114)</f>
        <v/>
      </c>
      <c r="J118" s="253"/>
      <c r="K118" s="253"/>
      <c r="L118" s="253"/>
    </row>
    <row r="119" spans="1:12" ht="20.100000000000001" customHeight="1">
      <c r="A119" s="232"/>
      <c r="B119" s="232"/>
      <c r="C119" s="232" t="s">
        <v>426</v>
      </c>
      <c r="D119" s="78" t="str">
        <f>IF(COPIA!A115=0,"",COPIA!A115)</f>
        <v>19.01</v>
      </c>
      <c r="E119" s="81" t="str">
        <f>IF(COPIA!B115=0,"",COPIA!B115)</f>
        <v>BENI DI TERZI</v>
      </c>
      <c r="F119" s="82" t="str">
        <f>IF(COPIA!C115=0,"",COPIA!C115)</f>
        <v/>
      </c>
      <c r="G119" s="82" t="str">
        <f>IF(COPIA!D115=0,"",COPIA!D115)</f>
        <v>D</v>
      </c>
      <c r="H119" s="78" t="str">
        <f>IF(COPIA!E115=0,"",IF(COPIA!B115="FONDO SVALUTAZIONE CREDITI","RETTIFICA CREDITI",COPIA!E115))</f>
        <v>CONTI D'ORDINE</v>
      </c>
      <c r="I119" s="82" t="str">
        <f>IF(COPIA!F115=0,"",COPIA!F115)</f>
        <v/>
      </c>
      <c r="J119" s="253"/>
      <c r="K119" s="253"/>
      <c r="L119" s="253"/>
    </row>
    <row r="120" spans="1:12" ht="20.100000000000001" customHeight="1">
      <c r="A120" s="232"/>
      <c r="B120" s="232"/>
      <c r="C120" s="232" t="s">
        <v>426</v>
      </c>
      <c r="D120" s="78" t="str">
        <f>IF(COPIA!A116=0,"",COPIA!A116)</f>
        <v>19.02</v>
      </c>
      <c r="E120" s="81" t="str">
        <f>IF(COPIA!B116=0,"",COPIA!B116)</f>
        <v>DEPOSITANTI BENI</v>
      </c>
      <c r="F120" s="82" t="str">
        <f>IF(COPIA!C116=0,"",COPIA!C116)</f>
        <v/>
      </c>
      <c r="G120" s="82" t="str">
        <f>IF(COPIA!D116=0,"",COPIA!D116)</f>
        <v>A</v>
      </c>
      <c r="H120" s="78" t="str">
        <f>IF(COPIA!E116=0,"",IF(COPIA!B116="FONDO SVALUTAZIONE CREDITI","RETTIFICA CREDITI",COPIA!E116))</f>
        <v>CONTI D'ORDINE</v>
      </c>
      <c r="I120" s="82" t="str">
        <f>IF(COPIA!F116=0,"",COPIA!F116)</f>
        <v/>
      </c>
      <c r="J120" s="253"/>
      <c r="K120" s="253"/>
      <c r="L120" s="253"/>
    </row>
    <row r="121" spans="1:12" ht="20.100000000000001" customHeight="1">
      <c r="A121" s="232"/>
      <c r="B121" s="232"/>
      <c r="C121" s="232" t="s">
        <v>426</v>
      </c>
      <c r="D121" s="78" t="str">
        <f>IF(COPIA!A117=0,"",COPIA!A117)</f>
        <v>19.11</v>
      </c>
      <c r="E121" s="81" t="str">
        <f>IF(COPIA!B117=0,"",COPIA!B117)</f>
        <v>IMPEGNI PER BENI IN LEASING</v>
      </c>
      <c r="F121" s="82" t="str">
        <f>IF(COPIA!C117=0,"",COPIA!C117)</f>
        <v/>
      </c>
      <c r="G121" s="82" t="str">
        <f>IF(COPIA!D117=0,"",COPIA!D117)</f>
        <v>D</v>
      </c>
      <c r="H121" s="78" t="str">
        <f>IF(COPIA!E117=0,"",IF(COPIA!B117="FONDO SVALUTAZIONE CREDITI","RETTIFICA CREDITI",COPIA!E117))</f>
        <v>CONTI D'ORDINE</v>
      </c>
      <c r="I121" s="82" t="str">
        <f>IF(COPIA!F117=0,"",COPIA!F117)</f>
        <v/>
      </c>
      <c r="J121" s="253"/>
      <c r="K121" s="253"/>
      <c r="L121" s="253"/>
    </row>
    <row r="122" spans="1:12" ht="20.100000000000001" customHeight="1">
      <c r="A122" s="232"/>
      <c r="B122" s="232"/>
      <c r="C122" s="232" t="s">
        <v>426</v>
      </c>
      <c r="D122" s="78" t="str">
        <f>IF(COPIA!A118=0,"",COPIA!A118)</f>
        <v>19.12</v>
      </c>
      <c r="E122" s="81" t="str">
        <f>IF(COPIA!B118=0,"",COPIA!B118)</f>
        <v>CREDITORI C/LEASING</v>
      </c>
      <c r="F122" s="82" t="str">
        <f>IF(COPIA!C118=0,"",COPIA!C118)</f>
        <v/>
      </c>
      <c r="G122" s="82" t="str">
        <f>IF(COPIA!D118=0,"",COPIA!D118)</f>
        <v>A</v>
      </c>
      <c r="H122" s="78" t="str">
        <f>IF(COPIA!E118=0,"",IF(COPIA!B118="FONDO SVALUTAZIONE CREDITI","RETTIFICA CREDITI",COPIA!E118))</f>
        <v>CONTI D'ORDINE</v>
      </c>
      <c r="I122" s="82" t="str">
        <f>IF(COPIA!F118=0,"",COPIA!F118)</f>
        <v/>
      </c>
      <c r="J122" s="253"/>
      <c r="K122" s="253"/>
      <c r="L122" s="253"/>
    </row>
    <row r="123" spans="1:12" ht="20.100000000000001" customHeight="1">
      <c r="A123" s="232"/>
      <c r="B123" s="232"/>
      <c r="C123" s="232" t="s">
        <v>426</v>
      </c>
      <c r="D123" s="78" t="str">
        <f>IF(COPIA!A119=0,"",COPIA!A119)</f>
        <v>19.21</v>
      </c>
      <c r="E123" s="81" t="str">
        <f>IF(COPIA!B119=0,"",COPIA!B119)</f>
        <v>RISCHI PER FIDEIUSSIONI</v>
      </c>
      <c r="F123" s="82" t="str">
        <f>IF(COPIA!C119=0,"",COPIA!C119)</f>
        <v/>
      </c>
      <c r="G123" s="82" t="str">
        <f>IF(COPIA!D119=0,"",COPIA!D119)</f>
        <v>D</v>
      </c>
      <c r="H123" s="78" t="str">
        <f>IF(COPIA!E119=0,"",IF(COPIA!B119="FONDO SVALUTAZIONE CREDITI","RETTIFICA CREDITI",COPIA!E119))</f>
        <v>CONTI D'ORDINE</v>
      </c>
      <c r="I123" s="82" t="str">
        <f>IF(COPIA!F119=0,"",COPIA!F119)</f>
        <v/>
      </c>
      <c r="J123" s="253"/>
      <c r="K123" s="253"/>
      <c r="L123" s="253"/>
    </row>
    <row r="124" spans="1:12" ht="20.100000000000001" customHeight="1">
      <c r="A124" s="232"/>
      <c r="B124" s="232"/>
      <c r="C124" s="232" t="s">
        <v>426</v>
      </c>
      <c r="D124" s="78" t="str">
        <f>IF(COPIA!A120=0,"",COPIA!A120)</f>
        <v>19.22</v>
      </c>
      <c r="E124" s="81" t="str">
        <f>IF(COPIA!B120=0,"",COPIA!B120)</f>
        <v>CREDITORI PER FIDEIUSSIONI</v>
      </c>
      <c r="F124" s="82" t="str">
        <f>IF(COPIA!C120=0,"",COPIA!C120)</f>
        <v/>
      </c>
      <c r="G124" s="82" t="str">
        <f>IF(COPIA!D120=0,"",COPIA!D120)</f>
        <v>A</v>
      </c>
      <c r="H124" s="78" t="str">
        <f>IF(COPIA!E120=0,"",IF(COPIA!B120="FONDO SVALUTAZIONE CREDITI","RETTIFICA CREDITI",COPIA!E120))</f>
        <v>CONTI D'ORDINE</v>
      </c>
      <c r="I124" s="82" t="str">
        <f>IF(COPIA!F120=0,"",COPIA!F120)</f>
        <v/>
      </c>
      <c r="J124" s="253"/>
      <c r="K124" s="253"/>
      <c r="L124" s="253"/>
    </row>
    <row r="125" spans="1:12" ht="20.100000000000001" customHeight="1">
      <c r="A125" s="232"/>
      <c r="B125" s="232"/>
      <c r="C125" s="232"/>
      <c r="D125" s="78" t="str">
        <f>IF(COPIA!A121=0,"",COPIA!A121)</f>
        <v>20.00</v>
      </c>
      <c r="E125" s="81" t="str">
        <f>IF(COPIA!B121=0,"",COPIA!B121)</f>
        <v>VALORE DELLA PRODUZIONE</v>
      </c>
      <c r="F125" s="82" t="str">
        <f>IF(COPIA!C121=0,"",COPIA!C121)</f>
        <v/>
      </c>
      <c r="G125" s="82" t="str">
        <f>IF(COPIA!D121=0,"",COPIA!D121)</f>
        <v/>
      </c>
      <c r="H125" s="78" t="str">
        <f>IF(COPIA!E121=0,"",IF(COPIA!B121="FONDO SVALUTAZIONE CREDITI","RETTIFICA CREDITI",COPIA!E121))</f>
        <v/>
      </c>
      <c r="I125" s="82" t="str">
        <f>IF(COPIA!F121=0,"",COPIA!F121)</f>
        <v/>
      </c>
      <c r="J125" s="253"/>
      <c r="K125" s="253"/>
      <c r="L125" s="253"/>
    </row>
    <row r="126" spans="1:12" ht="20.100000000000001" customHeight="1">
      <c r="A126" s="232" t="s">
        <v>426</v>
      </c>
      <c r="B126" s="232" t="s">
        <v>426</v>
      </c>
      <c r="C126" s="232" t="s">
        <v>426</v>
      </c>
      <c r="D126" s="78" t="str">
        <f>IF(COPIA!A122=0,"",COPIA!A122)</f>
        <v>20.01</v>
      </c>
      <c r="E126" s="81" t="str">
        <f>IF(COPIA!B122=0,"",COPIA!B122)</f>
        <v>MERCI C/VENDITE</v>
      </c>
      <c r="F126" s="82" t="str">
        <f>IF(COPIA!C122=0,"",COPIA!C122)</f>
        <v>E</v>
      </c>
      <c r="G126" s="82" t="str">
        <f>IF(COPIA!D122=0,"",COPIA!D122)</f>
        <v>A</v>
      </c>
      <c r="H126" s="78" t="str">
        <f>IF(COPIA!E122=0,"",IF(COPIA!B122="FONDO SVALUTAZIONE CREDITI","RETTIFICA CREDITI",COPIA!E122))</f>
        <v>RICAVI D'ESERCIZIO</v>
      </c>
      <c r="I126" s="82" t="str">
        <f>IF(COPIA!F122=0,"",COPIA!F122)</f>
        <v>SE AVERE</v>
      </c>
      <c r="J126" s="253"/>
      <c r="K126" s="253"/>
      <c r="L126" s="253"/>
    </row>
    <row r="127" spans="1:12" ht="20.100000000000001" customHeight="1">
      <c r="A127" s="232" t="s">
        <v>426</v>
      </c>
      <c r="B127" s="232" t="s">
        <v>426</v>
      </c>
      <c r="C127" s="232" t="s">
        <v>426</v>
      </c>
      <c r="D127" s="78" t="str">
        <f>IF(COPIA!A123=0,"",COPIA!A123)</f>
        <v>20.02</v>
      </c>
      <c r="E127" s="81" t="str">
        <f>IF(COPIA!B123=0,"",COPIA!B123)</f>
        <v>MERCI C/VENDITE ON LINE</v>
      </c>
      <c r="F127" s="82" t="str">
        <f>IF(COPIA!C123=0,"",COPIA!C123)</f>
        <v>E</v>
      </c>
      <c r="G127" s="82" t="str">
        <f>IF(COPIA!D123=0,"",COPIA!D123)</f>
        <v>A</v>
      </c>
      <c r="H127" s="78" t="str">
        <f>IF(COPIA!E123=0,"",IF(COPIA!B123="FONDO SVALUTAZIONE CREDITI","RETTIFICA CREDITI",COPIA!E123))</f>
        <v>RICAVI D'ESERCIZIO</v>
      </c>
      <c r="I127" s="82" t="str">
        <f>IF(COPIA!F123=0,"",COPIA!F123)</f>
        <v>SE AVERE</v>
      </c>
      <c r="J127" s="253"/>
      <c r="K127" s="253"/>
      <c r="L127" s="253"/>
    </row>
    <row r="128" spans="1:12" ht="20.100000000000001" customHeight="1">
      <c r="A128" s="232" t="s">
        <v>426</v>
      </c>
      <c r="B128" s="232" t="s">
        <v>426</v>
      </c>
      <c r="C128" s="232" t="s">
        <v>426</v>
      </c>
      <c r="D128" s="78" t="str">
        <f>IF(COPIA!A124=0,"",COPIA!A124)</f>
        <v>20.03</v>
      </c>
      <c r="E128" s="81" t="str">
        <f>IF(COPIA!B124=0,"",COPIA!B124)</f>
        <v>SERVIZI ON LINE</v>
      </c>
      <c r="F128" s="82" t="str">
        <f>IF(COPIA!C124=0,"",COPIA!C124)</f>
        <v>E</v>
      </c>
      <c r="G128" s="82" t="str">
        <f>IF(COPIA!D124=0,"",COPIA!D124)</f>
        <v>A</v>
      </c>
      <c r="H128" s="78" t="str">
        <f>IF(COPIA!E124=0,"",IF(COPIA!B124="FONDO SVALUTAZIONE CREDITI","RETTIFICA CREDITI",COPIA!E124))</f>
        <v>RICAVI D'ESERCIZIO</v>
      </c>
      <c r="I128" s="82" t="str">
        <f>IF(COPIA!F124=0,"",COPIA!F124)</f>
        <v>SE AVERE</v>
      </c>
      <c r="J128" s="253"/>
      <c r="K128" s="253"/>
      <c r="L128" s="253"/>
    </row>
    <row r="129" spans="1:12" ht="20.100000000000001" customHeight="1">
      <c r="A129" s="232" t="s">
        <v>426</v>
      </c>
      <c r="B129" s="232" t="s">
        <v>426</v>
      </c>
      <c r="C129" s="232" t="s">
        <v>426</v>
      </c>
      <c r="D129" s="78" t="str">
        <f>IF(COPIA!A125=0,"",COPIA!A125)</f>
        <v>20.10</v>
      </c>
      <c r="E129" s="81" t="str">
        <f>IF(COPIA!B125=0,"",COPIA!B125)</f>
        <v>RESI SU VENDITE</v>
      </c>
      <c r="F129" s="82" t="str">
        <f>IF(COPIA!C125=0,"",COPIA!C125)</f>
        <v>E</v>
      </c>
      <c r="G129" s="82" t="str">
        <f>IF(COPIA!D125=0,"",COPIA!D125)</f>
        <v>D</v>
      </c>
      <c r="H129" s="78" t="str">
        <f>IF(COPIA!E125=0,"",IF(COPIA!B125="FONDO SVALUTAZIONE CREDITI","RETTIFICA CREDITI",COPIA!E125))</f>
        <v>RETTIFICHE RICAVI D'ESERCIZIO</v>
      </c>
      <c r="I129" s="82" t="str">
        <f>IF(COPIA!F125=0,"",COPIA!F125)</f>
        <v>SE DARE</v>
      </c>
      <c r="J129" s="253"/>
      <c r="K129" s="253"/>
      <c r="L129" s="253"/>
    </row>
    <row r="130" spans="1:12" ht="20.100000000000001" customHeight="1">
      <c r="A130" s="232" t="s">
        <v>426</v>
      </c>
      <c r="B130" s="232" t="s">
        <v>426</v>
      </c>
      <c r="C130" s="232" t="s">
        <v>426</v>
      </c>
      <c r="D130" s="78" t="str">
        <f>IF(COPIA!A126=0,"",COPIA!A126)</f>
        <v>20.11</v>
      </c>
      <c r="E130" s="81" t="str">
        <f>IF(COPIA!B126=0,"",COPIA!B126)</f>
        <v>RIBASSI E ABBUONI PASSIVI</v>
      </c>
      <c r="F130" s="82" t="str">
        <f>IF(COPIA!C126=0,"",COPIA!C126)</f>
        <v>E</v>
      </c>
      <c r="G130" s="82" t="str">
        <f>IF(COPIA!D126=0,"",COPIA!D126)</f>
        <v>D</v>
      </c>
      <c r="H130" s="78" t="str">
        <f>IF(COPIA!E126=0,"",IF(COPIA!B126="FONDO SVALUTAZIONE CREDITI","RETTIFICA CREDITI",COPIA!E126))</f>
        <v>RETTIFICHE RICAVI D'ESERCIZIO</v>
      </c>
      <c r="I130" s="82" t="str">
        <f>IF(COPIA!F126=0,"",COPIA!F126)</f>
        <v>SE DARE</v>
      </c>
      <c r="J130" s="253"/>
      <c r="K130" s="253"/>
      <c r="L130" s="253"/>
    </row>
    <row r="131" spans="1:12" ht="20.100000000000001" customHeight="1">
      <c r="A131" s="232" t="s">
        <v>426</v>
      </c>
      <c r="B131" s="232" t="s">
        <v>426</v>
      </c>
      <c r="C131" s="232" t="s">
        <v>426</v>
      </c>
      <c r="D131" s="78" t="str">
        <f>IF(COPIA!A127=0,"",COPIA!A127)</f>
        <v>20.12</v>
      </c>
      <c r="E131" s="81" t="str">
        <f>IF(COPIA!B127=0,"",COPIA!B127)</f>
        <v>PREMI SU VENDITE</v>
      </c>
      <c r="F131" s="82" t="str">
        <f>IF(COPIA!C127=0,"",COPIA!C127)</f>
        <v>E</v>
      </c>
      <c r="G131" s="82" t="str">
        <f>IF(COPIA!D127=0,"",COPIA!D127)</f>
        <v>D</v>
      </c>
      <c r="H131" s="78" t="str">
        <f>IF(COPIA!E127=0,"",IF(COPIA!B127="FONDO SVALUTAZIONE CREDITI","RETTIFICA CREDITI",COPIA!E127))</f>
        <v>RETTIFICHE RICAVI D'ESERCIZIO</v>
      </c>
      <c r="I131" s="82" t="str">
        <f>IF(COPIA!F127=0,"",COPIA!F127)</f>
        <v>SE DARE</v>
      </c>
      <c r="J131" s="253"/>
      <c r="K131" s="253"/>
      <c r="L131" s="253"/>
    </row>
    <row r="132" spans="1:12" ht="20.100000000000001" customHeight="1">
      <c r="A132" s="232" t="s">
        <v>426</v>
      </c>
      <c r="B132" s="232" t="s">
        <v>426</v>
      </c>
      <c r="C132" s="232" t="s">
        <v>426</v>
      </c>
      <c r="D132" s="78" t="str">
        <f>IF(COPIA!A128=0,"",COPIA!A128)</f>
        <v>20.15</v>
      </c>
      <c r="E132" s="81" t="str">
        <f>IF(COPIA!B128=0,"",COPIA!B128)</f>
        <v>FITTI ATTIVI</v>
      </c>
      <c r="F132" s="82" t="str">
        <f>IF(COPIA!C128=0,"",COPIA!C128)</f>
        <v>E</v>
      </c>
      <c r="G132" s="82" t="str">
        <f>IF(COPIA!D128=0,"",COPIA!D128)</f>
        <v>A</v>
      </c>
      <c r="H132" s="78" t="str">
        <f>IF(COPIA!E128=0,"",IF(COPIA!B128="FONDO SVALUTAZIONE CREDITI","RETTIFICA CREDITI",COPIA!E128))</f>
        <v>RICAVI D'ESERCIZIO</v>
      </c>
      <c r="I132" s="82" t="str">
        <f>IF(COPIA!F128=0,"",COPIA!F128)</f>
        <v>SE AVERE</v>
      </c>
      <c r="J132" s="253"/>
      <c r="K132" s="253"/>
      <c r="L132" s="253"/>
    </row>
    <row r="133" spans="1:12" ht="20.100000000000001" customHeight="1">
      <c r="A133" s="232" t="s">
        <v>426</v>
      </c>
      <c r="B133" s="232" t="s">
        <v>426</v>
      </c>
      <c r="C133" s="232" t="s">
        <v>426</v>
      </c>
      <c r="D133" s="78" t="str">
        <f>IF(COPIA!A129=0,"",COPIA!A129)</f>
        <v>20.16</v>
      </c>
      <c r="E133" s="81" t="str">
        <f>IF(COPIA!B129=0,"",COPIA!B129)</f>
        <v>PROVENTI VARI</v>
      </c>
      <c r="F133" s="82" t="str">
        <f>IF(COPIA!C129=0,"",COPIA!C129)</f>
        <v>E</v>
      </c>
      <c r="G133" s="82" t="str">
        <f>IF(COPIA!D129=0,"",COPIA!D129)</f>
        <v>A</v>
      </c>
      <c r="H133" s="78" t="str">
        <f>IF(COPIA!E129=0,"",IF(COPIA!B129="FONDO SVALUTAZIONE CREDITI","RETTIFICA CREDITI",COPIA!E129))</f>
        <v>RICAVI D'ESERCIZIO</v>
      </c>
      <c r="I133" s="82" t="str">
        <f>IF(COPIA!F129=0,"",COPIA!F129)</f>
        <v>SE AVERE</v>
      </c>
      <c r="J133" s="253"/>
      <c r="K133" s="253"/>
      <c r="L133" s="253"/>
    </row>
    <row r="134" spans="1:12" ht="20.100000000000001" customHeight="1">
      <c r="A134" s="232" t="s">
        <v>426</v>
      </c>
      <c r="B134" s="232" t="s">
        <v>426</v>
      </c>
      <c r="C134" s="232" t="s">
        <v>426</v>
      </c>
      <c r="D134" s="78" t="str">
        <f>IF(COPIA!A130=0,"",COPIA!A130)</f>
        <v>20.17</v>
      </c>
      <c r="E134" s="81" t="str">
        <f>IF(COPIA!B130=0,"",COPIA!B130)</f>
        <v>ARROTONDAMENTI ATTIVI</v>
      </c>
      <c r="F134" s="82" t="str">
        <f>IF(COPIA!C130=0,"",COPIA!C130)</f>
        <v>E</v>
      </c>
      <c r="G134" s="82" t="str">
        <f>IF(COPIA!D130=0,"",COPIA!D130)</f>
        <v>A</v>
      </c>
      <c r="H134" s="78" t="str">
        <f>IF(COPIA!E130=0,"",IF(COPIA!B130="FONDO SVALUTAZIONE CREDITI","RETTIFICA CREDITI",COPIA!E130))</f>
        <v>RICAVI D'ESERCIZIO</v>
      </c>
      <c r="I134" s="82" t="str">
        <f>IF(COPIA!F130=0,"",COPIA!F130)</f>
        <v>SE AVERE</v>
      </c>
      <c r="J134" s="253"/>
      <c r="K134" s="253"/>
      <c r="L134" s="253"/>
    </row>
    <row r="135" spans="1:12" ht="20.100000000000001" customHeight="1">
      <c r="A135" s="232"/>
      <c r="B135" s="232" t="s">
        <v>426</v>
      </c>
      <c r="C135" s="232" t="s">
        <v>426</v>
      </c>
      <c r="D135" s="78" t="str">
        <f>IF(COPIA!A131=0,"",COPIA!A131)</f>
        <v>20.20</v>
      </c>
      <c r="E135" s="81" t="str">
        <f>IF(COPIA!B131=0,"",COPIA!B131)</f>
        <v>PLUSVALENZE</v>
      </c>
      <c r="F135" s="82" t="str">
        <f>IF(COPIA!C131=0,"",COPIA!C131)</f>
        <v>E</v>
      </c>
      <c r="G135" s="82" t="str">
        <f>IF(COPIA!D131=0,"",COPIA!D131)</f>
        <v>A</v>
      </c>
      <c r="H135" s="78" t="str">
        <f>IF(COPIA!E131=0,"",IF(COPIA!B131="FONDO SVALUTAZIONE CREDITI","RETTIFICA CREDITI",COPIA!E131))</f>
        <v>RICAVI D'ESERCIZIO</v>
      </c>
      <c r="I135" s="82" t="str">
        <f>IF(COPIA!F131=0,"",COPIA!F131)</f>
        <v>SE AVERE</v>
      </c>
      <c r="J135" s="253"/>
      <c r="K135" s="253"/>
      <c r="L135" s="253"/>
    </row>
    <row r="136" spans="1:12" ht="20.100000000000001" customHeight="1">
      <c r="A136" s="232"/>
      <c r="B136" s="232" t="s">
        <v>426</v>
      </c>
      <c r="C136" s="232" t="s">
        <v>426</v>
      </c>
      <c r="D136" s="78" t="str">
        <f>IF(COPIA!A132=0,"",COPIA!A132)</f>
        <v>20.21</v>
      </c>
      <c r="E136" s="81" t="str">
        <f>IF(COPIA!B132=0,"",COPIA!B132)</f>
        <v>SOPRAVVENIENZE ATTIVE</v>
      </c>
      <c r="F136" s="82" t="str">
        <f>IF(COPIA!C132=0,"",COPIA!C132)</f>
        <v>E</v>
      </c>
      <c r="G136" s="82" t="str">
        <f>IF(COPIA!D132=0,"",COPIA!D132)</f>
        <v>A</v>
      </c>
      <c r="H136" s="78" t="str">
        <f>IF(COPIA!E132=0,"",IF(COPIA!B132="FONDO SVALUTAZIONE CREDITI","RETTIFICA CREDITI",COPIA!E132))</f>
        <v>RICAVI D'ESERCIZIO</v>
      </c>
      <c r="I136" s="82" t="str">
        <f>IF(COPIA!F132=0,"",COPIA!F132)</f>
        <v>SE AVERE</v>
      </c>
      <c r="J136" s="253"/>
      <c r="K136" s="253"/>
      <c r="L136" s="253"/>
    </row>
    <row r="137" spans="1:12" ht="20.100000000000001" customHeight="1">
      <c r="A137" s="232"/>
      <c r="B137" s="232" t="s">
        <v>426</v>
      </c>
      <c r="C137" s="232" t="s">
        <v>426</v>
      </c>
      <c r="D137" s="78" t="str">
        <f>IF(COPIA!A133=0,"",COPIA!A133)</f>
        <v>20.22</v>
      </c>
      <c r="E137" s="81" t="str">
        <f>IF(COPIA!B133=0,"",COPIA!B133)</f>
        <v>INSUSSISTENZE ATTIVE</v>
      </c>
      <c r="F137" s="82" t="str">
        <f>IF(COPIA!C133=0,"",COPIA!C133)</f>
        <v>E</v>
      </c>
      <c r="G137" s="82" t="str">
        <f>IF(COPIA!D133=0,"",COPIA!D133)</f>
        <v>A</v>
      </c>
      <c r="H137" s="78" t="str">
        <f>IF(COPIA!E133=0,"",IF(COPIA!B133="FONDO SVALUTAZIONE CREDITI","RETTIFICA CREDITI",COPIA!E133))</f>
        <v>RICAVI D'ESERCIZIO</v>
      </c>
      <c r="I137" s="82" t="str">
        <f>IF(COPIA!F133=0,"",COPIA!F133)</f>
        <v>SE AVERE</v>
      </c>
      <c r="J137" s="253"/>
      <c r="K137" s="253"/>
      <c r="L137" s="253"/>
    </row>
    <row r="138" spans="1:12" ht="20.100000000000001" customHeight="1">
      <c r="A138" s="232" t="s">
        <v>426</v>
      </c>
      <c r="B138" s="232" t="s">
        <v>426</v>
      </c>
      <c r="C138" s="232" t="s">
        <v>426</v>
      </c>
      <c r="D138" s="78" t="str">
        <f>IF(COPIA!A134=0,"",COPIA!A134)</f>
        <v>20.30</v>
      </c>
      <c r="E138" s="81" t="str">
        <f>IF(COPIA!B134=0,"",COPIA!B134)</f>
        <v>RIMBORSI COSTI DI VENDITA</v>
      </c>
      <c r="F138" s="82" t="str">
        <f>IF(COPIA!C134=0,"",COPIA!C134)</f>
        <v>E</v>
      </c>
      <c r="G138" s="82" t="str">
        <f>IF(COPIA!D134=0,"",COPIA!D134)</f>
        <v>A</v>
      </c>
      <c r="H138" s="78" t="str">
        <f>IF(COPIA!E134=0,"",IF(COPIA!B134="FONDO SVALUTAZIONE CREDITI","RETTIFICA CREDITI",COPIA!E134))</f>
        <v>RICAVI D'ESERCIZIO</v>
      </c>
      <c r="I138" s="82" t="str">
        <f>IF(COPIA!F134=0,"",COPIA!F134)</f>
        <v>SE AVERE</v>
      </c>
      <c r="J138" s="253"/>
      <c r="K138" s="253"/>
      <c r="L138" s="253"/>
    </row>
    <row r="139" spans="1:12" ht="20.100000000000001" customHeight="1">
      <c r="A139" s="232"/>
      <c r="B139" s="232"/>
      <c r="C139" s="232"/>
      <c r="D139" s="78" t="str">
        <f>IF(COPIA!A135=0,"",COPIA!A135)</f>
        <v>30.00</v>
      </c>
      <c r="E139" s="81" t="str">
        <f>IF(COPIA!B135=0,"",COPIA!B135)</f>
        <v>COSTI PER MERCI E MATERIE DI CONSUMO</v>
      </c>
      <c r="F139" s="82" t="str">
        <f>IF(COPIA!C135=0,"",COPIA!C135)</f>
        <v/>
      </c>
      <c r="G139" s="82" t="str">
        <f>IF(COPIA!D135=0,"",COPIA!D135)</f>
        <v/>
      </c>
      <c r="H139" s="78" t="str">
        <f>IF(COPIA!E135=0,"",IF(COPIA!B135="FONDO SVALUTAZIONE CREDITI","RETTIFICA CREDITI",COPIA!E135))</f>
        <v/>
      </c>
      <c r="I139" s="82" t="str">
        <f>IF(COPIA!F135=0,"",COPIA!F135)</f>
        <v/>
      </c>
      <c r="J139" s="253"/>
      <c r="K139" s="253"/>
      <c r="L139" s="253"/>
    </row>
    <row r="140" spans="1:12" ht="20.100000000000001" customHeight="1">
      <c r="A140" s="232" t="s">
        <v>426</v>
      </c>
      <c r="B140" s="232" t="s">
        <v>426</v>
      </c>
      <c r="C140" s="232" t="s">
        <v>426</v>
      </c>
      <c r="D140" s="78" t="str">
        <f>IF(COPIA!A136=0,"",COPIA!A136)</f>
        <v>30.01</v>
      </c>
      <c r="E140" s="81" t="str">
        <f>IF(COPIA!B136=0,"",COPIA!B136)</f>
        <v>MERCI C/ACQUISTI</v>
      </c>
      <c r="F140" s="82" t="str">
        <f>IF(COPIA!C136=0,"",COPIA!C136)</f>
        <v>E</v>
      </c>
      <c r="G140" s="82" t="str">
        <f>IF(COPIA!D136=0,"",COPIA!D136)</f>
        <v>D</v>
      </c>
      <c r="H140" s="78" t="str">
        <f>IF(COPIA!E136=0,"",IF(COPIA!B136="FONDO SVALUTAZIONE CREDITI","RETTIFICA CREDITI",COPIA!E136))</f>
        <v>COSTI D'ESERCIZIO</v>
      </c>
      <c r="I140" s="82" t="str">
        <f>IF(COPIA!F136=0,"",COPIA!F136)</f>
        <v>SE DARE</v>
      </c>
      <c r="J140" s="253"/>
      <c r="K140" s="253"/>
      <c r="L140" s="253"/>
    </row>
    <row r="141" spans="1:12" ht="20.100000000000001" customHeight="1">
      <c r="A141" s="232" t="s">
        <v>426</v>
      </c>
      <c r="B141" s="232" t="s">
        <v>426</v>
      </c>
      <c r="C141" s="232" t="s">
        <v>426</v>
      </c>
      <c r="D141" s="78" t="str">
        <f>IF(COPIA!A137=0,"",COPIA!A137)</f>
        <v>30.02</v>
      </c>
      <c r="E141" s="81" t="str">
        <f>IF(COPIA!B137=0,"",COPIA!B137)</f>
        <v>MATERIE DI CONSUMO C/ACQUISTI</v>
      </c>
      <c r="F141" s="82" t="str">
        <f>IF(COPIA!C137=0,"",COPIA!C137)</f>
        <v>E</v>
      </c>
      <c r="G141" s="82" t="str">
        <f>IF(COPIA!D137=0,"",COPIA!D137)</f>
        <v>D</v>
      </c>
      <c r="H141" s="78" t="str">
        <f>IF(COPIA!E137=0,"",IF(COPIA!B137="FONDO SVALUTAZIONE CREDITI","RETTIFICA CREDITI",COPIA!E137))</f>
        <v>COSTI D'ESERCIZIO</v>
      </c>
      <c r="I141" s="82" t="str">
        <f>IF(COPIA!F137=0,"",COPIA!F137)</f>
        <v>SE DARE</v>
      </c>
      <c r="J141" s="253"/>
      <c r="K141" s="253"/>
      <c r="L141" s="253"/>
    </row>
    <row r="142" spans="1:12" ht="20.100000000000001" customHeight="1">
      <c r="A142" s="232" t="s">
        <v>426</v>
      </c>
      <c r="B142" s="232" t="s">
        <v>426</v>
      </c>
      <c r="C142" s="232" t="s">
        <v>426</v>
      </c>
      <c r="D142" s="78" t="str">
        <f>IF(COPIA!A138=0,"",COPIA!A138)</f>
        <v>30.05</v>
      </c>
      <c r="E142" s="81" t="str">
        <f>IF(COPIA!B138=0,"",COPIA!B138)</f>
        <v>MERCI C/APPORTI</v>
      </c>
      <c r="F142" s="82" t="str">
        <f>IF(COPIA!C138=0,"",COPIA!C138)</f>
        <v>E</v>
      </c>
      <c r="G142" s="82" t="str">
        <f>IF(COPIA!D138=0,"",COPIA!D138)</f>
        <v>D</v>
      </c>
      <c r="H142" s="78" t="str">
        <f>IF(COPIA!E138=0,"",IF(COPIA!B138="FONDO SVALUTAZIONE CREDITI","RETTIFICA CREDITI",COPIA!E138))</f>
        <v>COSTI D'ESERCIZIO</v>
      </c>
      <c r="I142" s="82" t="str">
        <f>IF(COPIA!F138=0,"",COPIA!F138)</f>
        <v>SE DARE</v>
      </c>
      <c r="J142" s="253"/>
      <c r="K142" s="253"/>
      <c r="L142" s="253"/>
    </row>
    <row r="143" spans="1:12" ht="20.100000000000001" customHeight="1">
      <c r="A143" s="232" t="s">
        <v>426</v>
      </c>
      <c r="B143" s="232" t="s">
        <v>426</v>
      </c>
      <c r="C143" s="232" t="s">
        <v>426</v>
      </c>
      <c r="D143" s="78" t="str">
        <f>IF(COPIA!A139=0,"",COPIA!A139)</f>
        <v>30.10</v>
      </c>
      <c r="E143" s="81" t="str">
        <f>IF(COPIA!B139=0,"",COPIA!B139)</f>
        <v>RESI SU ACQUISTI</v>
      </c>
      <c r="F143" s="82" t="str">
        <f>IF(COPIA!C139=0,"",COPIA!C139)</f>
        <v>E</v>
      </c>
      <c r="G143" s="82" t="str">
        <f>IF(COPIA!D139=0,"",COPIA!D139)</f>
        <v>A</v>
      </c>
      <c r="H143" s="78" t="str">
        <f>IF(COPIA!E139=0,"",IF(COPIA!B139="FONDO SVALUTAZIONE CREDITI","RETTIFICA CREDITI",COPIA!E139))</f>
        <v>RETTIFICHE COSTI D'ESERCIZIO</v>
      </c>
      <c r="I143" s="82" t="str">
        <f>IF(COPIA!F139=0,"",COPIA!F139)</f>
        <v>SE AVERE</v>
      </c>
      <c r="J143" s="253"/>
      <c r="K143" s="253"/>
      <c r="L143" s="253"/>
    </row>
    <row r="144" spans="1:12" ht="20.100000000000001" customHeight="1">
      <c r="A144" s="232" t="s">
        <v>426</v>
      </c>
      <c r="B144" s="232" t="s">
        <v>426</v>
      </c>
      <c r="C144" s="232" t="s">
        <v>426</v>
      </c>
      <c r="D144" s="78" t="str">
        <f>IF(COPIA!A140=0,"",COPIA!A140)</f>
        <v>30.11</v>
      </c>
      <c r="E144" s="81" t="str">
        <f>IF(COPIA!B140=0,"",COPIA!B140)</f>
        <v>RIBASSI E ABBUONI ATTIVI</v>
      </c>
      <c r="F144" s="82" t="str">
        <f>IF(COPIA!C140=0,"",COPIA!C140)</f>
        <v>E</v>
      </c>
      <c r="G144" s="82" t="str">
        <f>IF(COPIA!D140=0,"",COPIA!D140)</f>
        <v>A</v>
      </c>
      <c r="H144" s="78" t="str">
        <f>IF(COPIA!E140=0,"",IF(COPIA!B140="FONDO SVALUTAZIONE CREDITI","RETTIFICA CREDITI",COPIA!E140))</f>
        <v>RETTIFICHE COSTI D'ESERCIZIO</v>
      </c>
      <c r="I144" s="82" t="str">
        <f>IF(COPIA!F140=0,"",COPIA!F140)</f>
        <v>SE AVERE</v>
      </c>
      <c r="J144" s="253"/>
      <c r="K144" s="253"/>
      <c r="L144" s="253"/>
    </row>
    <row r="145" spans="1:12" ht="20.100000000000001" customHeight="1">
      <c r="A145" s="232" t="s">
        <v>426</v>
      </c>
      <c r="B145" s="232" t="s">
        <v>426</v>
      </c>
      <c r="C145" s="232" t="s">
        <v>426</v>
      </c>
      <c r="D145" s="78" t="str">
        <f>IF(COPIA!A141=0,"",COPIA!A141)</f>
        <v>30.12</v>
      </c>
      <c r="E145" s="81" t="str">
        <f>IF(COPIA!B141=0,"",COPIA!B141)</f>
        <v>PREMI SU ACQUISTI</v>
      </c>
      <c r="F145" s="82" t="str">
        <f>IF(COPIA!C141=0,"",COPIA!C141)</f>
        <v>E</v>
      </c>
      <c r="G145" s="82" t="str">
        <f>IF(COPIA!D141=0,"",COPIA!D141)</f>
        <v>A</v>
      </c>
      <c r="H145" s="78" t="str">
        <f>IF(COPIA!E141=0,"",IF(COPIA!B141="FONDO SVALUTAZIONE CREDITI","RETTIFICA CREDITI",COPIA!E141))</f>
        <v>RETTIFICHE COSTI D'ESERCIZIO</v>
      </c>
      <c r="I145" s="82" t="str">
        <f>IF(COPIA!F141=0,"",COPIA!F141)</f>
        <v>SE AVERE</v>
      </c>
      <c r="J145" s="253"/>
      <c r="K145" s="253"/>
      <c r="L145" s="253"/>
    </row>
    <row r="146" spans="1:12" ht="20.100000000000001" customHeight="1">
      <c r="A146" s="232"/>
      <c r="B146" s="232"/>
      <c r="C146" s="232"/>
      <c r="D146" s="78" t="str">
        <f>IF(COPIA!A142=0,"",COPIA!A142)</f>
        <v>31.00</v>
      </c>
      <c r="E146" s="81" t="str">
        <f>IF(COPIA!B142=0,"",COPIA!B142)</f>
        <v>COSTI PER SERVIZI</v>
      </c>
      <c r="F146" s="82" t="str">
        <f>IF(COPIA!C142=0,"",COPIA!C142)</f>
        <v/>
      </c>
      <c r="G146" s="82" t="str">
        <f>IF(COPIA!D142=0,"",COPIA!D142)</f>
        <v/>
      </c>
      <c r="H146" s="78" t="str">
        <f>IF(COPIA!E142=0,"",IF(COPIA!B142="FONDO SVALUTAZIONE CREDITI","RETTIFICA CREDITI",COPIA!E142))</f>
        <v/>
      </c>
      <c r="I146" s="82" t="str">
        <f>IF(COPIA!F142=0,"",COPIA!F142)</f>
        <v/>
      </c>
      <c r="J146" s="253"/>
      <c r="K146" s="253"/>
      <c r="L146" s="253"/>
    </row>
    <row r="147" spans="1:12" ht="20.100000000000001" customHeight="1">
      <c r="A147" s="232" t="s">
        <v>426</v>
      </c>
      <c r="B147" s="232" t="s">
        <v>426</v>
      </c>
      <c r="C147" s="232" t="s">
        <v>426</v>
      </c>
      <c r="D147" s="78" t="str">
        <f>IF(COPIA!A143=0,"",COPIA!A143)</f>
        <v>31.01</v>
      </c>
      <c r="E147" s="81" t="str">
        <f>IF(COPIA!B143=0,"",COPIA!B143)</f>
        <v>COSTI DI TRASPORTO</v>
      </c>
      <c r="F147" s="82" t="str">
        <f>IF(COPIA!C143=0,"",COPIA!C143)</f>
        <v>E</v>
      </c>
      <c r="G147" s="82" t="str">
        <f>IF(COPIA!D143=0,"",COPIA!D143)</f>
        <v>D</v>
      </c>
      <c r="H147" s="78" t="str">
        <f>IF(COPIA!E143=0,"",IF(COPIA!B143="FONDO SVALUTAZIONE CREDITI","RETTIFICA CREDITI",COPIA!E143))</f>
        <v>COSTI D'ESERCIZIO</v>
      </c>
      <c r="I147" s="82" t="str">
        <f>IF(COPIA!F143=0,"",COPIA!F143)</f>
        <v>SE DARE</v>
      </c>
      <c r="J147" s="253"/>
      <c r="K147" s="253"/>
      <c r="L147" s="253"/>
    </row>
    <row r="148" spans="1:12" ht="20.100000000000001" customHeight="1">
      <c r="A148" s="232" t="s">
        <v>426</v>
      </c>
      <c r="B148" s="232" t="s">
        <v>426</v>
      </c>
      <c r="C148" s="232" t="s">
        <v>426</v>
      </c>
      <c r="D148" s="78" t="str">
        <f>IF(COPIA!A144=0,"",COPIA!A144)</f>
        <v>31.02</v>
      </c>
      <c r="E148" s="81" t="str">
        <f>IF(COPIA!B144=0,"",COPIA!B144)</f>
        <v>COSTI PER ENERGIA</v>
      </c>
      <c r="F148" s="82" t="str">
        <f>IF(COPIA!C144=0,"",COPIA!C144)</f>
        <v>E</v>
      </c>
      <c r="G148" s="82" t="str">
        <f>IF(COPIA!D144=0,"",COPIA!D144)</f>
        <v>D</v>
      </c>
      <c r="H148" s="78" t="str">
        <f>IF(COPIA!E144=0,"",IF(COPIA!B144="FONDO SVALUTAZIONE CREDITI","RETTIFICA CREDITI",COPIA!E144))</f>
        <v>COSTI D'ESERCIZIO</v>
      </c>
      <c r="I148" s="82" t="str">
        <f>IF(COPIA!F144=0,"",COPIA!F144)</f>
        <v>SE DARE</v>
      </c>
      <c r="J148" s="253"/>
      <c r="K148" s="253"/>
      <c r="L148" s="253"/>
    </row>
    <row r="149" spans="1:12" ht="20.100000000000001" customHeight="1">
      <c r="A149" s="232" t="s">
        <v>426</v>
      </c>
      <c r="B149" s="232" t="s">
        <v>426</v>
      </c>
      <c r="C149" s="232" t="s">
        <v>426</v>
      </c>
      <c r="D149" s="78" t="str">
        <f>IF(COPIA!A145=0,"",COPIA!A145)</f>
        <v>31.03</v>
      </c>
      <c r="E149" s="81" t="str">
        <f>IF(COPIA!B145=0,"",COPIA!B145)</f>
        <v>PUBBLICITÀ</v>
      </c>
      <c r="F149" s="82" t="str">
        <f>IF(COPIA!C145=0,"",COPIA!C145)</f>
        <v>E</v>
      </c>
      <c r="G149" s="82" t="str">
        <f>IF(COPIA!D145=0,"",COPIA!D145)</f>
        <v>D</v>
      </c>
      <c r="H149" s="78" t="str">
        <f>IF(COPIA!E145=0,"",IF(COPIA!B145="FONDO SVALUTAZIONE CREDITI","RETTIFICA CREDITI",COPIA!E145))</f>
        <v>COSTI D'ESERCIZIO</v>
      </c>
      <c r="I149" s="82" t="str">
        <f>IF(COPIA!F145=0,"",COPIA!F145)</f>
        <v>SE DARE</v>
      </c>
      <c r="J149" s="253"/>
      <c r="K149" s="253"/>
      <c r="L149" s="253"/>
    </row>
    <row r="150" spans="1:12" ht="20.100000000000001" customHeight="1">
      <c r="A150" s="232" t="s">
        <v>426</v>
      </c>
      <c r="B150" s="232" t="s">
        <v>426</v>
      </c>
      <c r="C150" s="232" t="s">
        <v>426</v>
      </c>
      <c r="D150" s="78" t="str">
        <f>IF(COPIA!A146=0,"",COPIA!A146)</f>
        <v>31.04</v>
      </c>
      <c r="E150" s="81" t="str">
        <f>IF(COPIA!B146=0,"",COPIA!B146)</f>
        <v>CONSULENZE</v>
      </c>
      <c r="F150" s="82" t="str">
        <f>IF(COPIA!C146=0,"",COPIA!C146)</f>
        <v>E</v>
      </c>
      <c r="G150" s="82" t="str">
        <f>IF(COPIA!D146=0,"",COPIA!D146)</f>
        <v>D</v>
      </c>
      <c r="H150" s="78" t="str">
        <f>IF(COPIA!E146=0,"",IF(COPIA!B146="FONDO SVALUTAZIONE CREDITI","RETTIFICA CREDITI",COPIA!E146))</f>
        <v>COSTI D'ESERCIZIO</v>
      </c>
      <c r="I150" s="82" t="str">
        <f>IF(COPIA!F146=0,"",COPIA!F146)</f>
        <v>SE DARE</v>
      </c>
      <c r="J150" s="253"/>
      <c r="K150" s="253"/>
      <c r="L150" s="253"/>
    </row>
    <row r="151" spans="1:12" ht="20.100000000000001" customHeight="1">
      <c r="A151" s="232" t="s">
        <v>426</v>
      </c>
      <c r="B151" s="232" t="s">
        <v>426</v>
      </c>
      <c r="C151" s="232" t="s">
        <v>426</v>
      </c>
      <c r="D151" s="78" t="str">
        <f>IF(COPIA!A147=0,"",COPIA!A147)</f>
        <v>31.05</v>
      </c>
      <c r="E151" s="81" t="str">
        <f>IF(COPIA!B147=0,"",COPIA!B147)</f>
        <v>COSTI TELEFONICI</v>
      </c>
      <c r="F151" s="82" t="str">
        <f>IF(COPIA!C147=0,"",COPIA!C147)</f>
        <v>E</v>
      </c>
      <c r="G151" s="82" t="str">
        <f>IF(COPIA!D147=0,"",COPIA!D147)</f>
        <v>D</v>
      </c>
      <c r="H151" s="78" t="str">
        <f>IF(COPIA!E147=0,"",IF(COPIA!B147="FONDO SVALUTAZIONE CREDITI","RETTIFICA CREDITI",COPIA!E147))</f>
        <v>COSTI D'ESERCIZIO</v>
      </c>
      <c r="I151" s="82" t="str">
        <f>IF(COPIA!F147=0,"",COPIA!F147)</f>
        <v>SE DARE</v>
      </c>
      <c r="J151" s="253"/>
      <c r="K151" s="253"/>
      <c r="L151" s="253"/>
    </row>
    <row r="152" spans="1:12" ht="20.100000000000001" customHeight="1">
      <c r="A152" s="232" t="s">
        <v>426</v>
      </c>
      <c r="B152" s="232" t="s">
        <v>426</v>
      </c>
      <c r="C152" s="232" t="s">
        <v>426</v>
      </c>
      <c r="D152" s="78" t="str">
        <f>IF(COPIA!A148=0,"",COPIA!A148)</f>
        <v>31.06</v>
      </c>
      <c r="E152" s="81" t="str">
        <f>IF(COPIA!B148=0,"",COPIA!B148)</f>
        <v>COSTI DI VIGILANZA</v>
      </c>
      <c r="F152" s="82" t="str">
        <f>IF(COPIA!C148=0,"",COPIA!C148)</f>
        <v>E</v>
      </c>
      <c r="G152" s="82" t="str">
        <f>IF(COPIA!D148=0,"",COPIA!D148)</f>
        <v>D</v>
      </c>
      <c r="H152" s="78" t="str">
        <f>IF(COPIA!E148=0,"",IF(COPIA!B148="FONDO SVALUTAZIONE CREDITI","RETTIFICA CREDITI",COPIA!E148))</f>
        <v>COSTI D'ESERCIZIO</v>
      </c>
      <c r="I152" s="82" t="str">
        <f>IF(COPIA!F148=0,"",COPIA!F148)</f>
        <v>SE DARE</v>
      </c>
      <c r="J152" s="253"/>
      <c r="K152" s="253"/>
      <c r="L152" s="253"/>
    </row>
    <row r="153" spans="1:12" ht="20.100000000000001" customHeight="1">
      <c r="A153" s="232" t="s">
        <v>426</v>
      </c>
      <c r="B153" s="232" t="s">
        <v>426</v>
      </c>
      <c r="C153" s="232" t="s">
        <v>426</v>
      </c>
      <c r="D153" s="78" t="str">
        <f>IF(COPIA!A149=0,"",COPIA!A149)</f>
        <v>31.07</v>
      </c>
      <c r="E153" s="81" t="str">
        <f>IF(COPIA!B149=0,"",COPIA!B149)</f>
        <v>COSTI POSTALI</v>
      </c>
      <c r="F153" s="82" t="str">
        <f>IF(COPIA!C149=0,"",COPIA!C149)</f>
        <v>E</v>
      </c>
      <c r="G153" s="82" t="str">
        <f>IF(COPIA!D149=0,"",COPIA!D149)</f>
        <v>D</v>
      </c>
      <c r="H153" s="78" t="str">
        <f>IF(COPIA!E149=0,"",IF(COPIA!B149="FONDO SVALUTAZIONE CREDITI","RETTIFICA CREDITI",COPIA!E149))</f>
        <v>COSTI D'ESERCIZIO</v>
      </c>
      <c r="I153" s="82" t="str">
        <f>IF(COPIA!F149=0,"",COPIA!F149)</f>
        <v>SE DARE</v>
      </c>
      <c r="J153" s="253"/>
      <c r="K153" s="253"/>
      <c r="L153" s="253"/>
    </row>
    <row r="154" spans="1:12" ht="20.100000000000001" customHeight="1">
      <c r="A154" s="232" t="s">
        <v>426</v>
      </c>
      <c r="B154" s="232" t="s">
        <v>426</v>
      </c>
      <c r="C154" s="232" t="s">
        <v>426</v>
      </c>
      <c r="D154" s="78" t="str">
        <f>IF(COPIA!A150=0,"",COPIA!A150)</f>
        <v>31.08</v>
      </c>
      <c r="E154" s="81" t="str">
        <f>IF(COPIA!B150=0,"",COPIA!B150)</f>
        <v>ASSICURAZIONI</v>
      </c>
      <c r="F154" s="82" t="str">
        <f>IF(COPIA!C150=0,"",COPIA!C150)</f>
        <v>E</v>
      </c>
      <c r="G154" s="82" t="str">
        <f>IF(COPIA!D150=0,"",COPIA!D150)</f>
        <v>D</v>
      </c>
      <c r="H154" s="78" t="str">
        <f>IF(COPIA!E150=0,"",IF(COPIA!B150="FONDO SVALUTAZIONE CREDITI","RETTIFICA CREDITI",COPIA!E150))</f>
        <v>COSTI D'ESERCIZIO</v>
      </c>
      <c r="I154" s="82" t="str">
        <f>IF(COPIA!F150=0,"",COPIA!F150)</f>
        <v>SE DARE</v>
      </c>
      <c r="J154" s="253"/>
      <c r="K154" s="253"/>
      <c r="L154" s="253"/>
    </row>
    <row r="155" spans="1:12" ht="20.100000000000001" customHeight="1">
      <c r="A155" s="232" t="s">
        <v>426</v>
      </c>
      <c r="B155" s="232" t="s">
        <v>426</v>
      </c>
      <c r="C155" s="232" t="s">
        <v>426</v>
      </c>
      <c r="D155" s="78" t="str">
        <f>IF(COPIA!A151=0,"",COPIA!A151)</f>
        <v>31.09</v>
      </c>
      <c r="E155" s="81" t="str">
        <f>IF(COPIA!B151=0,"",COPIA!B151)</f>
        <v>COSTI PER I LOCALI</v>
      </c>
      <c r="F155" s="82" t="str">
        <f>IF(COPIA!C151=0,"",COPIA!C151)</f>
        <v>E</v>
      </c>
      <c r="G155" s="82" t="str">
        <f>IF(COPIA!D151=0,"",COPIA!D151)</f>
        <v>D</v>
      </c>
      <c r="H155" s="78" t="str">
        <f>IF(COPIA!E151=0,"",IF(COPIA!B151="FONDO SVALUTAZIONE CREDITI","RETTIFICA CREDITI",COPIA!E151))</f>
        <v>COSTI D'ESERCIZIO</v>
      </c>
      <c r="I155" s="82" t="str">
        <f>IF(COPIA!F151=0,"",COPIA!F151)</f>
        <v>SE DARE</v>
      </c>
      <c r="J155" s="253"/>
      <c r="K155" s="253"/>
      <c r="L155" s="253"/>
    </row>
    <row r="156" spans="1:12" ht="20.100000000000001" customHeight="1">
      <c r="A156" s="232" t="s">
        <v>426</v>
      </c>
      <c r="B156" s="232" t="s">
        <v>426</v>
      </c>
      <c r="C156" s="232" t="s">
        <v>426</v>
      </c>
      <c r="D156" s="78" t="str">
        <f>IF(COPIA!A152=0,"",COPIA!A152)</f>
        <v>31.10</v>
      </c>
      <c r="E156" s="81" t="str">
        <f>IF(COPIA!B152=0,"",COPIA!B152)</f>
        <v>MANUTENZIONI E RIPARAZIONI</v>
      </c>
      <c r="F156" s="82" t="str">
        <f>IF(COPIA!C152=0,"",COPIA!C152)</f>
        <v>E</v>
      </c>
      <c r="G156" s="82" t="str">
        <f>IF(COPIA!D152=0,"",COPIA!D152)</f>
        <v>D</v>
      </c>
      <c r="H156" s="78" t="str">
        <f>IF(COPIA!E152=0,"",IF(COPIA!B152="FONDO SVALUTAZIONE CREDITI","RETTIFICA CREDITI",COPIA!E152))</f>
        <v>COSTI D'ESERCIZIO</v>
      </c>
      <c r="I156" s="82" t="str">
        <f>IF(COPIA!F152=0,"",COPIA!F152)</f>
        <v>SE DARE</v>
      </c>
      <c r="J156" s="253"/>
      <c r="K156" s="253"/>
      <c r="L156" s="253"/>
    </row>
    <row r="157" spans="1:12" ht="20.100000000000001" customHeight="1">
      <c r="A157" s="232" t="s">
        <v>426</v>
      </c>
      <c r="B157" s="232" t="s">
        <v>426</v>
      </c>
      <c r="C157" s="232" t="s">
        <v>426</v>
      </c>
      <c r="D157" s="78" t="str">
        <f>IF(COPIA!A153=0,"",COPIA!A153)</f>
        <v>31.11</v>
      </c>
      <c r="E157" s="81" t="str">
        <f>IF(COPIA!B153=0,"",COPIA!B153)</f>
        <v>COSTI DI ETICHETTATURA</v>
      </c>
      <c r="F157" s="82" t="str">
        <f>IF(COPIA!C153=0,"",COPIA!C153)</f>
        <v>E</v>
      </c>
      <c r="G157" s="82" t="str">
        <f>IF(COPIA!D153=0,"",COPIA!D153)</f>
        <v>D</v>
      </c>
      <c r="H157" s="78" t="str">
        <f>IF(COPIA!E153=0,"",IF(COPIA!B153="FONDO SVALUTAZIONE CREDITI","RETTIFICA CREDITI",COPIA!E153))</f>
        <v>COSTI D'ESERCIZIO</v>
      </c>
      <c r="I157" s="82" t="str">
        <f>IF(COPIA!F153=0,"",COPIA!F153)</f>
        <v>SE DARE</v>
      </c>
      <c r="J157" s="253"/>
      <c r="K157" s="253"/>
      <c r="L157" s="253"/>
    </row>
    <row r="158" spans="1:12" ht="20.100000000000001" customHeight="1">
      <c r="A158" s="232" t="s">
        <v>426</v>
      </c>
      <c r="B158" s="232" t="s">
        <v>426</v>
      </c>
      <c r="C158" s="232" t="s">
        <v>426</v>
      </c>
      <c r="D158" s="78" t="str">
        <f>IF(COPIA!A154=0,"",COPIA!A154)</f>
        <v>31.13</v>
      </c>
      <c r="E158" s="81" t="str">
        <f>IF(COPIA!B154=0,"",COPIA!B154)</f>
        <v>PROVVIGIONI PASSIVE</v>
      </c>
      <c r="F158" s="82" t="str">
        <f>IF(COPIA!C154=0,"",COPIA!C154)</f>
        <v>E</v>
      </c>
      <c r="G158" s="82" t="str">
        <f>IF(COPIA!D154=0,"",COPIA!D154)</f>
        <v>D</v>
      </c>
      <c r="H158" s="78" t="str">
        <f>IF(COPIA!E154=0,"",IF(COPIA!B154="FONDO SVALUTAZIONE CREDITI","RETTIFICA CREDITI",COPIA!E154))</f>
        <v>COSTI D'ESERCIZIO</v>
      </c>
      <c r="I158" s="82" t="str">
        <f>IF(COPIA!F154=0,"",COPIA!F154)</f>
        <v>SE DARE</v>
      </c>
      <c r="J158" s="253"/>
      <c r="K158" s="253"/>
      <c r="L158" s="253"/>
    </row>
    <row r="159" spans="1:12" ht="20.100000000000001" customHeight="1">
      <c r="A159" s="232" t="s">
        <v>426</v>
      </c>
      <c r="B159" s="232" t="s">
        <v>426</v>
      </c>
      <c r="C159" s="232" t="s">
        <v>426</v>
      </c>
      <c r="D159" s="78" t="str">
        <f>IF(COPIA!A155=0,"",COPIA!A155)</f>
        <v>31.14</v>
      </c>
      <c r="E159" s="81" t="str">
        <f>IF(COPIA!B155=0,"",COPIA!B155)</f>
        <v>COSTI DI INCASSO</v>
      </c>
      <c r="F159" s="82" t="str">
        <f>IF(COPIA!C155=0,"",COPIA!C155)</f>
        <v>E</v>
      </c>
      <c r="G159" s="82" t="str">
        <f>IF(COPIA!D155=0,"",COPIA!D155)</f>
        <v>D</v>
      </c>
      <c r="H159" s="78" t="str">
        <f>IF(COPIA!E155=0,"",IF(COPIA!B155="FONDO SVALUTAZIONE CREDITI","RETTIFICA CREDITI",COPIA!E155))</f>
        <v>COSTI D'ESERCIZIO</v>
      </c>
      <c r="I159" s="82" t="str">
        <f>IF(COPIA!F155=0,"",COPIA!F155)</f>
        <v>SE DARE</v>
      </c>
      <c r="J159" s="253"/>
      <c r="K159" s="253"/>
      <c r="L159" s="253"/>
    </row>
    <row r="160" spans="1:12" ht="20.100000000000001" customHeight="1">
      <c r="A160" s="232" t="s">
        <v>426</v>
      </c>
      <c r="B160" s="232" t="s">
        <v>426</v>
      </c>
      <c r="C160" s="232" t="s">
        <v>426</v>
      </c>
      <c r="D160" s="78" t="str">
        <f>IF(COPIA!A156=0,"",COPIA!A156)</f>
        <v>31.15</v>
      </c>
      <c r="E160" s="81" t="str">
        <f>IF(COPIA!B156=0,"",COPIA!B156)</f>
        <v>COMMISSIONI BANCARIE</v>
      </c>
      <c r="F160" s="82" t="str">
        <f>IF(COPIA!C156=0,"",COPIA!C156)</f>
        <v>E</v>
      </c>
      <c r="G160" s="82" t="str">
        <f>IF(COPIA!D156=0,"",COPIA!D156)</f>
        <v>D</v>
      </c>
      <c r="H160" s="78" t="str">
        <f>IF(COPIA!E156=0,"",IF(COPIA!B156="FONDO SVALUTAZIONE CREDITI","RETTIFICA CREDITI",COPIA!E156))</f>
        <v>COSTI D'ESERCIZIO</v>
      </c>
      <c r="I160" s="82" t="str">
        <f>IF(COPIA!F156=0,"",COPIA!F156)</f>
        <v>SE DARE</v>
      </c>
      <c r="J160" s="253"/>
      <c r="K160" s="253"/>
      <c r="L160" s="253"/>
    </row>
    <row r="161" spans="1:12" ht="20.100000000000001" customHeight="1">
      <c r="A161" s="232" t="s">
        <v>426</v>
      </c>
      <c r="B161" s="232" t="s">
        <v>426</v>
      </c>
      <c r="C161" s="232" t="s">
        <v>426</v>
      </c>
      <c r="D161" s="78" t="str">
        <f>IF(COPIA!A157=0,"",COPIA!A157)</f>
        <v>31.16</v>
      </c>
      <c r="E161" s="81" t="str">
        <f>IF(COPIA!B157=0,"",COPIA!B157)</f>
        <v>COSTI DI TENUTA C/C</v>
      </c>
      <c r="F161" s="82" t="str">
        <f>IF(COPIA!C157=0,"",COPIA!C157)</f>
        <v>E</v>
      </c>
      <c r="G161" s="82" t="str">
        <f>IF(COPIA!D157=0,"",COPIA!D157)</f>
        <v>D</v>
      </c>
      <c r="H161" s="78" t="str">
        <f>IF(COPIA!E157=0,"",IF(COPIA!B157="FONDO SVALUTAZIONE CREDITI","RETTIFICA CREDITI",COPIA!E157))</f>
        <v>COSTI D'ESERCIZIO</v>
      </c>
      <c r="I161" s="82" t="str">
        <f>IF(COPIA!F157=0,"",COPIA!F157)</f>
        <v>SE DARE</v>
      </c>
      <c r="J161" s="253"/>
      <c r="K161" s="253"/>
      <c r="L161" s="253"/>
    </row>
    <row r="162" spans="1:12" ht="20.100000000000001" customHeight="1">
      <c r="A162" s="232" t="s">
        <v>426</v>
      </c>
      <c r="B162" s="232" t="s">
        <v>426</v>
      </c>
      <c r="C162" s="232" t="s">
        <v>426</v>
      </c>
      <c r="D162" s="78" t="str">
        <f>IF(COPIA!A158=0,"",COPIA!A158)</f>
        <v>31.90</v>
      </c>
      <c r="E162" s="81" t="str">
        <f>IF(COPIA!B158=0,"",COPIA!B158)</f>
        <v>COSTI PER SERVIZI</v>
      </c>
      <c r="F162" s="82" t="str">
        <f>IF(COPIA!C158=0,"",COPIA!C158)</f>
        <v>E</v>
      </c>
      <c r="G162" s="82" t="str">
        <f>IF(COPIA!D158=0,"",COPIA!D158)</f>
        <v>D</v>
      </c>
      <c r="H162" s="78" t="str">
        <f>IF(COPIA!E158=0,"",IF(COPIA!B158="FONDO SVALUTAZIONE CREDITI","RETTIFICA CREDITI",COPIA!E158))</f>
        <v>COSTI D'ESERCIZIO</v>
      </c>
      <c r="I162" s="82" t="str">
        <f>IF(COPIA!F158=0,"",COPIA!F158)</f>
        <v>SE DARE</v>
      </c>
      <c r="J162" s="253"/>
      <c r="K162" s="253"/>
      <c r="L162" s="253"/>
    </row>
    <row r="163" spans="1:12" ht="20.100000000000001" customHeight="1">
      <c r="A163" s="232"/>
      <c r="B163" s="232"/>
      <c r="C163" s="232"/>
      <c r="D163" s="78" t="str">
        <f>IF(COPIA!A159=0,"",COPIA!A159)</f>
        <v>32.00</v>
      </c>
      <c r="E163" s="81" t="str">
        <f>IF(COPIA!B159=0,"",COPIA!B159)</f>
        <v>COSTI PER GODIMENTO BENI DI TERZI</v>
      </c>
      <c r="F163" s="82" t="str">
        <f>IF(COPIA!C159=0,"",COPIA!C159)</f>
        <v/>
      </c>
      <c r="G163" s="82" t="str">
        <f>IF(COPIA!D159=0,"",COPIA!D159)</f>
        <v/>
      </c>
      <c r="H163" s="78" t="str">
        <f>IF(COPIA!E159=0,"",IF(COPIA!B159="FONDO SVALUTAZIONE CREDITI","RETTIFICA CREDITI",COPIA!E159))</f>
        <v/>
      </c>
      <c r="I163" s="82" t="str">
        <f>IF(COPIA!F159=0,"",COPIA!F159)</f>
        <v/>
      </c>
      <c r="J163" s="253"/>
      <c r="K163" s="253"/>
      <c r="L163" s="253"/>
    </row>
    <row r="164" spans="1:12" ht="20.100000000000001" customHeight="1">
      <c r="A164" s="232" t="s">
        <v>426</v>
      </c>
      <c r="B164" s="232" t="s">
        <v>426</v>
      </c>
      <c r="C164" s="232" t="s">
        <v>426</v>
      </c>
      <c r="D164" s="78" t="str">
        <f>IF(COPIA!A160=0,"",COPIA!A160)</f>
        <v>32.01</v>
      </c>
      <c r="E164" s="81" t="str">
        <f>IF(COPIA!B160=0,"",COPIA!B160)</f>
        <v>FITTI PASSIVI</v>
      </c>
      <c r="F164" s="82" t="str">
        <f>IF(COPIA!C160=0,"",COPIA!C160)</f>
        <v>E</v>
      </c>
      <c r="G164" s="82" t="str">
        <f>IF(COPIA!D160=0,"",COPIA!D160)</f>
        <v>D</v>
      </c>
      <c r="H164" s="78" t="str">
        <f>IF(COPIA!E160=0,"",IF(COPIA!B160="FONDO SVALUTAZIONE CREDITI","RETTIFICA CREDITI",COPIA!E160))</f>
        <v>COSTI D'ESERCIZIO</v>
      </c>
      <c r="I164" s="82" t="str">
        <f>IF(COPIA!F160=0,"",COPIA!F160)</f>
        <v>SE DARE</v>
      </c>
      <c r="J164" s="253"/>
      <c r="K164" s="253"/>
      <c r="L164" s="253"/>
    </row>
    <row r="165" spans="1:12" ht="20.100000000000001" customHeight="1">
      <c r="A165" s="232" t="s">
        <v>426</v>
      </c>
      <c r="B165" s="232" t="s">
        <v>426</v>
      </c>
      <c r="C165" s="232" t="s">
        <v>426</v>
      </c>
      <c r="D165" s="78" t="str">
        <f>IF(COPIA!A161=0,"",COPIA!A161)</f>
        <v>32.02</v>
      </c>
      <c r="E165" s="81" t="str">
        <f>IF(COPIA!B161=0,"",COPIA!B161)</f>
        <v>CANONI DI LEASING</v>
      </c>
      <c r="F165" s="82" t="str">
        <f>IF(COPIA!C161=0,"",COPIA!C161)</f>
        <v>E</v>
      </c>
      <c r="G165" s="82" t="str">
        <f>IF(COPIA!D161=0,"",COPIA!D161)</f>
        <v>D</v>
      </c>
      <c r="H165" s="78" t="str">
        <f>IF(COPIA!E161=0,"",IF(COPIA!B161="FONDO SVALUTAZIONE CREDITI","RETTIFICA CREDITI",COPIA!E161))</f>
        <v>COSTI D'ESERCIZIO</v>
      </c>
      <c r="I165" s="82" t="str">
        <f>IF(COPIA!F161=0,"",COPIA!F161)</f>
        <v>SE DARE</v>
      </c>
      <c r="J165" s="253"/>
      <c r="K165" s="253"/>
      <c r="L165" s="253"/>
    </row>
    <row r="166" spans="1:12" ht="20.100000000000001" customHeight="1">
      <c r="A166" s="232"/>
      <c r="B166" s="232"/>
      <c r="C166" s="232"/>
      <c r="D166" s="78" t="str">
        <f>IF(COPIA!A162=0,"",COPIA!A162)</f>
        <v>33.00</v>
      </c>
      <c r="E166" s="81" t="str">
        <f>IF(COPIA!B162=0,"",COPIA!B162)</f>
        <v>COSTI PER IL PERSONALE</v>
      </c>
      <c r="F166" s="82" t="str">
        <f>IF(COPIA!C162=0,"",COPIA!C162)</f>
        <v/>
      </c>
      <c r="G166" s="82" t="str">
        <f>IF(COPIA!D162=0,"",COPIA!D162)</f>
        <v/>
      </c>
      <c r="H166" s="78" t="str">
        <f>IF(COPIA!E162=0,"",IF(COPIA!B162="FONDO SVALUTAZIONE CREDITI","RETTIFICA CREDITI",COPIA!E162))</f>
        <v/>
      </c>
      <c r="I166" s="82" t="str">
        <f>IF(COPIA!F162=0,"",COPIA!F162)</f>
        <v/>
      </c>
      <c r="J166" s="253"/>
      <c r="K166" s="253"/>
      <c r="L166" s="253"/>
    </row>
    <row r="167" spans="1:12" ht="20.100000000000001" customHeight="1">
      <c r="A167" s="232"/>
      <c r="B167" s="232" t="s">
        <v>426</v>
      </c>
      <c r="C167" s="232" t="s">
        <v>426</v>
      </c>
      <c r="D167" s="78" t="str">
        <f>IF(COPIA!A163=0,"",COPIA!A163)</f>
        <v>33.01</v>
      </c>
      <c r="E167" s="81" t="str">
        <f>IF(COPIA!B163=0,"",COPIA!B163)</f>
        <v>SALARI E STIPENDI</v>
      </c>
      <c r="F167" s="82" t="str">
        <f>IF(COPIA!C163=0,"",COPIA!C163)</f>
        <v>E</v>
      </c>
      <c r="G167" s="82" t="str">
        <f>IF(COPIA!D163=0,"",COPIA!D163)</f>
        <v>D</v>
      </c>
      <c r="H167" s="78" t="str">
        <f>IF(COPIA!E163=0,"",IF(COPIA!B163="FONDO SVALUTAZIONE CREDITI","RETTIFICA CREDITI",COPIA!E163))</f>
        <v>COSTI D'ESERCIZIO</v>
      </c>
      <c r="I167" s="82" t="str">
        <f>IF(COPIA!F163=0,"",COPIA!F163)</f>
        <v>SE DARE</v>
      </c>
      <c r="J167" s="253"/>
      <c r="K167" s="253"/>
      <c r="L167" s="253"/>
    </row>
    <row r="168" spans="1:12" ht="20.100000000000001" customHeight="1">
      <c r="A168" s="232"/>
      <c r="B168" s="232" t="s">
        <v>426</v>
      </c>
      <c r="C168" s="232" t="s">
        <v>426</v>
      </c>
      <c r="D168" s="78" t="str">
        <f>IF(COPIA!A164=0,"",COPIA!A164)</f>
        <v>33.02</v>
      </c>
      <c r="E168" s="81" t="str">
        <f>IF(COPIA!B164=0,"",COPIA!B164)</f>
        <v>ONERI SOCIALI</v>
      </c>
      <c r="F168" s="82" t="str">
        <f>IF(COPIA!C164=0,"",COPIA!C164)</f>
        <v>E</v>
      </c>
      <c r="G168" s="82" t="str">
        <f>IF(COPIA!D164=0,"",COPIA!D164)</f>
        <v>D</v>
      </c>
      <c r="H168" s="78" t="str">
        <f>IF(COPIA!E164=0,"",IF(COPIA!B164="FONDO SVALUTAZIONE CREDITI","RETTIFICA CREDITI",COPIA!E164))</f>
        <v>COSTI D'ESERCIZIO</v>
      </c>
      <c r="I168" s="82" t="str">
        <f>IF(COPIA!F164=0,"",COPIA!F164)</f>
        <v>SE DARE</v>
      </c>
      <c r="J168" s="253"/>
      <c r="K168" s="253"/>
      <c r="L168" s="253"/>
    </row>
    <row r="169" spans="1:12" ht="20.100000000000001" customHeight="1">
      <c r="A169" s="232"/>
      <c r="B169" s="232"/>
      <c r="C169" s="232" t="s">
        <v>426</v>
      </c>
      <c r="D169" s="78" t="str">
        <f>IF(COPIA!A165=0,"",COPIA!A165)</f>
        <v>33.03</v>
      </c>
      <c r="E169" s="81" t="str">
        <f>IF(COPIA!B165=0,"",COPIA!B165)</f>
        <v>TFR</v>
      </c>
      <c r="F169" s="82" t="str">
        <f>IF(COPIA!C165=0,"",COPIA!C165)</f>
        <v>E</v>
      </c>
      <c r="G169" s="82" t="str">
        <f>IF(COPIA!D165=0,"",COPIA!D165)</f>
        <v>D</v>
      </c>
      <c r="H169" s="78" t="str">
        <f>IF(COPIA!E165=0,"",IF(COPIA!B165="FONDO SVALUTAZIONE CREDITI","RETTIFICA CREDITI",COPIA!E165))</f>
        <v>COSTI D'ESERCIZIO</v>
      </c>
      <c r="I169" s="82" t="str">
        <f>IF(COPIA!F165=0,"",COPIA!F165)</f>
        <v>SE DARE</v>
      </c>
      <c r="J169" s="253"/>
      <c r="K169" s="253"/>
      <c r="L169" s="253"/>
    </row>
    <row r="170" spans="1:12" ht="20.100000000000001" customHeight="1">
      <c r="A170" s="232"/>
      <c r="B170" s="232"/>
      <c r="C170" s="232"/>
      <c r="D170" s="78" t="str">
        <f>IF(COPIA!A166=0,"",COPIA!A166)</f>
        <v>34.00</v>
      </c>
      <c r="E170" s="81" t="str">
        <f>IF(COPIA!B166=0,"",COPIA!B166)</f>
        <v>AMMORTAMENTI IMMOBILIZZAZIONI IMMATERIALI</v>
      </c>
      <c r="F170" s="82" t="str">
        <f>IF(COPIA!C166=0,"",COPIA!C166)</f>
        <v/>
      </c>
      <c r="G170" s="82" t="str">
        <f>IF(COPIA!D166=0,"",COPIA!D166)</f>
        <v/>
      </c>
      <c r="H170" s="78" t="str">
        <f>IF(COPIA!E166=0,"",IF(COPIA!B166="FONDO SVALUTAZIONE CREDITI","RETTIFICA CREDITI",COPIA!E166))</f>
        <v/>
      </c>
      <c r="I170" s="82" t="str">
        <f>IF(COPIA!F166=0,"",COPIA!F166)</f>
        <v/>
      </c>
      <c r="J170" s="253"/>
      <c r="K170" s="253"/>
      <c r="L170" s="253"/>
    </row>
    <row r="171" spans="1:12" ht="20.100000000000001" customHeight="1">
      <c r="A171" s="232"/>
      <c r="B171" s="232"/>
      <c r="C171" s="232" t="s">
        <v>426</v>
      </c>
      <c r="D171" s="78" t="str">
        <f>IF(COPIA!A167=0,"",COPIA!A167)</f>
        <v>34.01</v>
      </c>
      <c r="E171" s="81" t="str">
        <f>IF(COPIA!B167=0,"",COPIA!B167)</f>
        <v>AMMORTAMENTO COSTI DI IMPIANTO</v>
      </c>
      <c r="F171" s="82" t="str">
        <f>IF(COPIA!C167=0,"",COPIA!C167)</f>
        <v>E</v>
      </c>
      <c r="G171" s="82" t="str">
        <f>IF(COPIA!D167=0,"",COPIA!D167)</f>
        <v>D</v>
      </c>
      <c r="H171" s="78" t="str">
        <f>IF(COPIA!E167=0,"",IF(COPIA!B167="FONDO SVALUTAZIONE CREDITI","RETTIFICA CREDITI",COPIA!E167))</f>
        <v>COSTI D'ESERCIZIO</v>
      </c>
      <c r="I171" s="82" t="str">
        <f>IF(COPIA!F167=0,"",COPIA!F167)</f>
        <v>SE DARE</v>
      </c>
      <c r="J171" s="253"/>
      <c r="K171" s="253"/>
      <c r="L171" s="253"/>
    </row>
    <row r="172" spans="1:12" ht="20.100000000000001" customHeight="1">
      <c r="A172" s="232"/>
      <c r="B172" s="232"/>
      <c r="C172" s="232" t="s">
        <v>426</v>
      </c>
      <c r="D172" s="78" t="str">
        <f>IF(COPIA!A168=0,"",COPIA!A168)</f>
        <v>34.03</v>
      </c>
      <c r="E172" s="81" t="str">
        <f>IF(COPIA!B168=0,"",COPIA!B168)</f>
        <v>AMMORTAMENTO BREVETTI</v>
      </c>
      <c r="F172" s="82" t="str">
        <f>IF(COPIA!C168=0,"",COPIA!C168)</f>
        <v>E</v>
      </c>
      <c r="G172" s="82" t="str">
        <f>IF(COPIA!D168=0,"",COPIA!D168)</f>
        <v>D</v>
      </c>
      <c r="H172" s="78" t="str">
        <f>IF(COPIA!E168=0,"",IF(COPIA!B168="FONDO SVALUTAZIONE CREDITI","RETTIFICA CREDITI",COPIA!E168))</f>
        <v>COSTI D'ESERCIZIO</v>
      </c>
      <c r="I172" s="82" t="str">
        <f>IF(COPIA!F168=0,"",COPIA!F168)</f>
        <v>SE DARE</v>
      </c>
      <c r="J172" s="253"/>
      <c r="K172" s="253"/>
      <c r="L172" s="253"/>
    </row>
    <row r="173" spans="1:12" ht="20.100000000000001" customHeight="1">
      <c r="A173" s="232"/>
      <c r="B173" s="232"/>
      <c r="C173" s="232" t="s">
        <v>426</v>
      </c>
      <c r="D173" s="78" t="str">
        <f>IF(COPIA!A169=0,"",COPIA!A169)</f>
        <v>34.04</v>
      </c>
      <c r="E173" s="81" t="str">
        <f>IF(COPIA!B169=0,"",COPIA!B169)</f>
        <v>AMMORTAMENTO SOFTWARE</v>
      </c>
      <c r="F173" s="82" t="str">
        <f>IF(COPIA!C169=0,"",COPIA!C169)</f>
        <v>E</v>
      </c>
      <c r="G173" s="82" t="str">
        <f>IF(COPIA!D169=0,"",COPIA!D169)</f>
        <v>D</v>
      </c>
      <c r="H173" s="78" t="str">
        <f>IF(COPIA!E169=0,"",IF(COPIA!B169="FONDO SVALUTAZIONE CREDITI","RETTIFICA CREDITI",COPIA!E169))</f>
        <v>COSTI D'ESERCIZIO</v>
      </c>
      <c r="I173" s="82" t="str">
        <f>IF(COPIA!F169=0,"",COPIA!F169)</f>
        <v>SE DARE</v>
      </c>
      <c r="J173" s="253"/>
      <c r="K173" s="253"/>
      <c r="L173" s="253"/>
    </row>
    <row r="174" spans="1:12" ht="20.100000000000001" customHeight="1">
      <c r="A174" s="232"/>
      <c r="B174" s="232"/>
      <c r="C174" s="232" t="s">
        <v>426</v>
      </c>
      <c r="D174" s="78" t="str">
        <f>IF(COPIA!A170=0,"",COPIA!A170)</f>
        <v>34.05</v>
      </c>
      <c r="E174" s="81" t="str">
        <f>IF(COPIA!B170=0,"",COPIA!B170)</f>
        <v>AMMORTAMENTO AVVIAMENTO</v>
      </c>
      <c r="F174" s="82" t="str">
        <f>IF(COPIA!C170=0,"",COPIA!C170)</f>
        <v>E</v>
      </c>
      <c r="G174" s="82" t="str">
        <f>IF(COPIA!D170=0,"",COPIA!D170)</f>
        <v>D</v>
      </c>
      <c r="H174" s="78" t="str">
        <f>IF(COPIA!E170=0,"",IF(COPIA!B170="FONDO SVALUTAZIONE CREDITI","RETTIFICA CREDITI",COPIA!E170))</f>
        <v>COSTI D'ESERCIZIO</v>
      </c>
      <c r="I174" s="82" t="str">
        <f>IF(COPIA!F170=0,"",COPIA!F170)</f>
        <v>SE DARE</v>
      </c>
      <c r="J174" s="253"/>
      <c r="K174" s="253"/>
      <c r="L174" s="253"/>
    </row>
    <row r="175" spans="1:12" ht="20.100000000000001" customHeight="1">
      <c r="A175" s="232"/>
      <c r="B175" s="232"/>
      <c r="C175" s="232"/>
      <c r="D175" s="78" t="str">
        <f>IF(COPIA!A171=0,"",COPIA!A171)</f>
        <v>35.00</v>
      </c>
      <c r="E175" s="81" t="str">
        <f>IF(COPIA!B171=0,"",COPIA!B171)</f>
        <v>AMMORTAMENTI IMMOBILIZZAZIONI MATERIALI</v>
      </c>
      <c r="F175" s="82" t="str">
        <f>IF(COPIA!C171=0,"",COPIA!C171)</f>
        <v/>
      </c>
      <c r="G175" s="82" t="str">
        <f>IF(COPIA!D171=0,"",COPIA!D171)</f>
        <v/>
      </c>
      <c r="H175" s="78" t="str">
        <f>IF(COPIA!E171=0,"",IF(COPIA!B171="FONDO SVALUTAZIONE CREDITI","RETTIFICA CREDITI",COPIA!E171))</f>
        <v/>
      </c>
      <c r="I175" s="82" t="str">
        <f>IF(COPIA!F171=0,"",COPIA!F171)</f>
        <v/>
      </c>
      <c r="J175" s="253"/>
      <c r="K175" s="253"/>
      <c r="L175" s="253"/>
    </row>
    <row r="176" spans="1:12" ht="20.100000000000001" customHeight="1">
      <c r="A176" s="232"/>
      <c r="B176" s="232"/>
      <c r="C176" s="232" t="s">
        <v>426</v>
      </c>
      <c r="D176" s="78" t="str">
        <f>IF(COPIA!A172=0,"",COPIA!A172)</f>
        <v>35.01</v>
      </c>
      <c r="E176" s="81" t="str">
        <f>IF(COPIA!B172=0,"",COPIA!B172)</f>
        <v>AMMORTAMENTO FABBRICATI</v>
      </c>
      <c r="F176" s="82" t="str">
        <f>IF(COPIA!C172=0,"",COPIA!C172)</f>
        <v>E</v>
      </c>
      <c r="G176" s="82" t="str">
        <f>IF(COPIA!D172=0,"",COPIA!D172)</f>
        <v>D</v>
      </c>
      <c r="H176" s="78" t="str">
        <f>IF(COPIA!E172=0,"",IF(COPIA!B172="FONDO SVALUTAZIONE CREDITI","RETTIFICA CREDITI",COPIA!E172))</f>
        <v>COSTI D'ESERCIZIO</v>
      </c>
      <c r="I176" s="82" t="str">
        <f>IF(COPIA!F172=0,"",COPIA!F172)</f>
        <v>SE DARE</v>
      </c>
      <c r="J176" s="253"/>
      <c r="K176" s="253"/>
      <c r="L176" s="253"/>
    </row>
    <row r="177" spans="1:12" ht="20.100000000000001" customHeight="1">
      <c r="A177" s="232"/>
      <c r="B177" s="232"/>
      <c r="C177" s="232" t="s">
        <v>426</v>
      </c>
      <c r="D177" s="78" t="str">
        <f>IF(COPIA!A173=0,"",COPIA!A173)</f>
        <v>35.02</v>
      </c>
      <c r="E177" s="81" t="str">
        <f>IF(COPIA!B173=0,"",COPIA!B173)</f>
        <v>AMMORTAMENTO IMPIANTI E MACCHINARI</v>
      </c>
      <c r="F177" s="82" t="str">
        <f>IF(COPIA!C173=0,"",COPIA!C173)</f>
        <v>E</v>
      </c>
      <c r="G177" s="82" t="str">
        <f>IF(COPIA!D173=0,"",COPIA!D173)</f>
        <v>D</v>
      </c>
      <c r="H177" s="78" t="str">
        <f>IF(COPIA!E173=0,"",IF(COPIA!B173="FONDO SVALUTAZIONE CREDITI","RETTIFICA CREDITI",COPIA!E173))</f>
        <v>COSTI D'ESERCIZIO</v>
      </c>
      <c r="I177" s="82" t="str">
        <f>IF(COPIA!F173=0,"",COPIA!F173)</f>
        <v>SE DARE</v>
      </c>
      <c r="J177" s="253"/>
      <c r="K177" s="253"/>
      <c r="L177" s="253"/>
    </row>
    <row r="178" spans="1:12" ht="20.100000000000001" customHeight="1">
      <c r="A178" s="232"/>
      <c r="B178" s="232"/>
      <c r="C178" s="232" t="s">
        <v>426</v>
      </c>
      <c r="D178" s="78" t="str">
        <f>IF(COPIA!A174=0,"",COPIA!A174)</f>
        <v>35.04</v>
      </c>
      <c r="E178" s="81" t="str">
        <f>IF(COPIA!B174=0,"",COPIA!B174)</f>
        <v>AMMORTAMENTO ATTREZZATURE COMMERCIALI</v>
      </c>
      <c r="F178" s="82" t="str">
        <f>IF(COPIA!C174=0,"",COPIA!C174)</f>
        <v>E</v>
      </c>
      <c r="G178" s="82" t="str">
        <f>IF(COPIA!D174=0,"",COPIA!D174)</f>
        <v>D</v>
      </c>
      <c r="H178" s="78" t="str">
        <f>IF(COPIA!E174=0,"",IF(COPIA!B174="FONDO SVALUTAZIONE CREDITI","RETTIFICA CREDITI",COPIA!E174))</f>
        <v>COSTI D'ESERCIZIO</v>
      </c>
      <c r="I178" s="82" t="str">
        <f>IF(COPIA!F174=0,"",COPIA!F174)</f>
        <v>SE DARE</v>
      </c>
      <c r="J178" s="253"/>
      <c r="K178" s="253"/>
      <c r="L178" s="253"/>
    </row>
    <row r="179" spans="1:12" ht="20.100000000000001" customHeight="1">
      <c r="A179" s="232"/>
      <c r="B179" s="232"/>
      <c r="C179" s="232" t="s">
        <v>426</v>
      </c>
      <c r="D179" s="78" t="str">
        <f>IF(COPIA!A175=0,"",COPIA!A175)</f>
        <v>35.05</v>
      </c>
      <c r="E179" s="81" t="str">
        <f>IF(COPIA!B175=0,"",COPIA!B175)</f>
        <v>AMMORTAMENTO MACCHINE D'UFFICIO</v>
      </c>
      <c r="F179" s="82" t="str">
        <f>IF(COPIA!C175=0,"",COPIA!C175)</f>
        <v>E</v>
      </c>
      <c r="G179" s="82" t="str">
        <f>IF(COPIA!D175=0,"",COPIA!D175)</f>
        <v>D</v>
      </c>
      <c r="H179" s="78" t="str">
        <f>IF(COPIA!E175=0,"",IF(COPIA!B175="FONDO SVALUTAZIONE CREDITI","RETTIFICA CREDITI",COPIA!E175))</f>
        <v>COSTI D'ESERCIZIO</v>
      </c>
      <c r="I179" s="82" t="str">
        <f>IF(COPIA!F175=0,"",COPIA!F175)</f>
        <v>SE DARE</v>
      </c>
      <c r="J179" s="253"/>
      <c r="K179" s="253"/>
      <c r="L179" s="253"/>
    </row>
    <row r="180" spans="1:12" ht="20.100000000000001" customHeight="1">
      <c r="A180" s="232"/>
      <c r="B180" s="232"/>
      <c r="C180" s="232" t="s">
        <v>426</v>
      </c>
      <c r="D180" s="78" t="str">
        <f>IF(COPIA!A176=0,"",COPIA!A176)</f>
        <v>35.06</v>
      </c>
      <c r="E180" s="81" t="str">
        <f>IF(COPIA!B176=0,"",COPIA!B176)</f>
        <v>AMMORTAMENTO ARREDAMENTO</v>
      </c>
      <c r="F180" s="82" t="str">
        <f>IF(COPIA!C176=0,"",COPIA!C176)</f>
        <v>E</v>
      </c>
      <c r="G180" s="82" t="str">
        <f>IF(COPIA!D176=0,"",COPIA!D176)</f>
        <v>D</v>
      </c>
      <c r="H180" s="78" t="str">
        <f>IF(COPIA!E176=0,"",IF(COPIA!B176="FONDO SVALUTAZIONE CREDITI","RETTIFICA CREDITI",COPIA!E176))</f>
        <v>COSTI D'ESERCIZIO</v>
      </c>
      <c r="I180" s="82" t="str">
        <f>IF(COPIA!F176=0,"",COPIA!F176)</f>
        <v>SE DARE</v>
      </c>
      <c r="J180" s="253"/>
      <c r="K180" s="253"/>
      <c r="L180" s="253"/>
    </row>
    <row r="181" spans="1:12" ht="20.100000000000001" customHeight="1">
      <c r="A181" s="232"/>
      <c r="B181" s="232"/>
      <c r="C181" s="232" t="s">
        <v>426</v>
      </c>
      <c r="D181" s="78" t="str">
        <f>IF(COPIA!A177=0,"",COPIA!A177)</f>
        <v>35.07</v>
      </c>
      <c r="E181" s="81" t="str">
        <f>IF(COPIA!B177=0,"",COPIA!B177)</f>
        <v>AMMORTAMENTO AUTOMEZZI</v>
      </c>
      <c r="F181" s="82" t="str">
        <f>IF(COPIA!C177=0,"",COPIA!C177)</f>
        <v>E</v>
      </c>
      <c r="G181" s="82" t="str">
        <f>IF(COPIA!D177=0,"",COPIA!D177)</f>
        <v>D</v>
      </c>
      <c r="H181" s="78" t="str">
        <f>IF(COPIA!E177=0,"",IF(COPIA!B177="FONDO SVALUTAZIONE CREDITI","RETTIFICA CREDITI",COPIA!E177))</f>
        <v>COSTI D'ESERCIZIO</v>
      </c>
      <c r="I181" s="82" t="str">
        <f>IF(COPIA!F177=0,"",COPIA!F177)</f>
        <v>SE DARE</v>
      </c>
      <c r="J181" s="253"/>
      <c r="K181" s="253"/>
      <c r="L181" s="253"/>
    </row>
    <row r="182" spans="1:12" ht="20.100000000000001" customHeight="1">
      <c r="A182" s="232"/>
      <c r="B182" s="232"/>
      <c r="C182" s="232" t="s">
        <v>426</v>
      </c>
      <c r="D182" s="78" t="str">
        <f>IF(COPIA!A178=0,"",COPIA!A178)</f>
        <v>35.08</v>
      </c>
      <c r="E182" s="81" t="str">
        <f>IF(COPIA!B178=0,"",COPIA!B178)</f>
        <v>AMMORTAMENTO IMBALLAGGI DUREVOLI</v>
      </c>
      <c r="F182" s="82" t="str">
        <f>IF(COPIA!C178=0,"",COPIA!C178)</f>
        <v>E</v>
      </c>
      <c r="G182" s="82" t="str">
        <f>IF(COPIA!D178=0,"",COPIA!D178)</f>
        <v>D</v>
      </c>
      <c r="H182" s="78" t="str">
        <f>IF(COPIA!E178=0,"",IF(COPIA!B178="FONDO SVALUTAZIONE CREDITI","RETTIFICA CREDITI",COPIA!E178))</f>
        <v>COSTI D'ESERCIZIO</v>
      </c>
      <c r="I182" s="82" t="str">
        <f>IF(COPIA!F178=0,"",COPIA!F178)</f>
        <v>SE DARE</v>
      </c>
      <c r="J182" s="253"/>
      <c r="K182" s="253"/>
      <c r="L182" s="253"/>
    </row>
    <row r="183" spans="1:12" ht="20.100000000000001" customHeight="1">
      <c r="A183" s="232"/>
      <c r="B183" s="232"/>
      <c r="C183" s="232"/>
      <c r="D183" s="78" t="str">
        <f>IF(COPIA!A179=0,"",COPIA!A179)</f>
        <v>36.00</v>
      </c>
      <c r="E183" s="81" t="str">
        <f>IF(COPIA!B179=0,"",COPIA!B179)</f>
        <v>SVALUTAZIONI</v>
      </c>
      <c r="F183" s="82" t="str">
        <f>IF(COPIA!C179=0,"",COPIA!C179)</f>
        <v/>
      </c>
      <c r="G183" s="82" t="str">
        <f>IF(COPIA!D179=0,"",COPIA!D179)</f>
        <v/>
      </c>
      <c r="H183" s="78" t="str">
        <f>IF(COPIA!E179=0,"",IF(COPIA!B179="FONDO SVALUTAZIONE CREDITI","RETTIFICA CREDITI",COPIA!E179))</f>
        <v/>
      </c>
      <c r="I183" s="82" t="str">
        <f>IF(COPIA!F179=0,"",COPIA!F179)</f>
        <v/>
      </c>
      <c r="J183" s="253"/>
      <c r="K183" s="253"/>
      <c r="L183" s="253"/>
    </row>
    <row r="184" spans="1:12" ht="20.100000000000001" customHeight="1">
      <c r="A184" s="232"/>
      <c r="B184" s="232"/>
      <c r="C184" s="232" t="s">
        <v>426</v>
      </c>
      <c r="D184" s="78" t="str">
        <f>IF(COPIA!A180=0,"",COPIA!A180)</f>
        <v>36.20</v>
      </c>
      <c r="E184" s="81" t="str">
        <f>IF(COPIA!B180=0,"",COPIA!B180)</f>
        <v>SVALUTAZIONE CREDITI</v>
      </c>
      <c r="F184" s="82" t="str">
        <f>IF(COPIA!C180=0,"",COPIA!C180)</f>
        <v>E</v>
      </c>
      <c r="G184" s="82" t="str">
        <f>IF(COPIA!D180=0,"",COPIA!D180)</f>
        <v>D</v>
      </c>
      <c r="H184" s="78" t="str">
        <f>IF(COPIA!E180=0,"",IF(COPIA!B180="FONDO SVALUTAZIONE CREDITI","RETTIFICA CREDITI",COPIA!E180))</f>
        <v>COSTI D'ESERCIZIO</v>
      </c>
      <c r="I184" s="82" t="str">
        <f>IF(COPIA!F180=0,"",COPIA!F180)</f>
        <v>SE DARE</v>
      </c>
      <c r="J184" s="253"/>
      <c r="K184" s="253"/>
      <c r="L184" s="253"/>
    </row>
    <row r="185" spans="1:12" ht="20.100000000000001" customHeight="1">
      <c r="A185" s="232"/>
      <c r="B185" s="232"/>
      <c r="C185" s="232"/>
      <c r="D185" s="78" t="str">
        <f>IF(COPIA!A181=0,"",COPIA!A181)</f>
        <v>37.00</v>
      </c>
      <c r="E185" s="81" t="str">
        <f>IF(COPIA!B181=0,"",COPIA!B181)</f>
        <v>VARIAZIONI RIMANENZE MERCI E MATERIE DI CONSUMO</v>
      </c>
      <c r="F185" s="82" t="str">
        <f>IF(COPIA!C181=0,"",COPIA!C181)</f>
        <v/>
      </c>
      <c r="G185" s="82" t="str">
        <f>IF(COPIA!D181=0,"",COPIA!D181)</f>
        <v/>
      </c>
      <c r="H185" s="78" t="str">
        <f>IF(COPIA!E181=0,"",IF(COPIA!B181="FONDO SVALUTAZIONE CREDITI","RETTIFICA CREDITI",COPIA!E181))</f>
        <v/>
      </c>
      <c r="I185" s="82" t="str">
        <f>IF(COPIA!F181=0,"",COPIA!F181)</f>
        <v/>
      </c>
      <c r="J185" s="253"/>
      <c r="K185" s="253"/>
      <c r="L185" s="253"/>
    </row>
    <row r="186" spans="1:12" ht="20.100000000000001" customHeight="1">
      <c r="A186" s="232"/>
      <c r="B186" s="232"/>
      <c r="C186" s="232" t="s">
        <v>426</v>
      </c>
      <c r="D186" s="78" t="str">
        <f>IF(COPIA!A182=0,"",COPIA!A182)</f>
        <v>37.01</v>
      </c>
      <c r="E186" s="81" t="str">
        <f>IF(COPIA!B182=0,"",COPIA!B182)</f>
        <v>MERCI C/ESISTENZE INIZIALI</v>
      </c>
      <c r="F186" s="82" t="str">
        <f>IF(COPIA!C182=0,"",COPIA!C182)</f>
        <v>E</v>
      </c>
      <c r="G186" s="82" t="str">
        <f>IF(COPIA!D182=0,"",COPIA!D182)</f>
        <v>D</v>
      </c>
      <c r="H186" s="78" t="str">
        <f>IF(COPIA!E182=0,"",IF(COPIA!B182="FONDO SVALUTAZIONE CREDITI","RETTIFICA CREDITI",COPIA!E182))</f>
        <v>COSTI D'ESERCIZIO</v>
      </c>
      <c r="I186" s="82" t="str">
        <f>IF(COPIA!F182=0,"",COPIA!F182)</f>
        <v>SE DARE</v>
      </c>
    </row>
    <row r="187" spans="1:12" ht="20.100000000000001" customHeight="1">
      <c r="A187" s="232"/>
      <c r="B187" s="232"/>
      <c r="C187" s="232" t="s">
        <v>426</v>
      </c>
      <c r="D187" s="78" t="str">
        <f>IF(COPIA!A183=0,"",COPIA!A183)</f>
        <v>37.02</v>
      </c>
      <c r="E187" s="81" t="str">
        <f>IF(COPIA!B183=0,"",COPIA!B183)</f>
        <v>MATERIE DI CONSUMO C/ESISTENZE INIZIALI</v>
      </c>
      <c r="F187" s="82" t="str">
        <f>IF(COPIA!C183=0,"",COPIA!C183)</f>
        <v>E</v>
      </c>
      <c r="G187" s="82" t="str">
        <f>IF(COPIA!D183=0,"",COPIA!D183)</f>
        <v>D</v>
      </c>
      <c r="H187" s="78" t="str">
        <f>IF(COPIA!E183=0,"",IF(COPIA!B183="FONDO SVALUTAZIONE CREDITI","RETTIFICA CREDITI",COPIA!E183))</f>
        <v>COSTI D'ESERCIZIO</v>
      </c>
      <c r="I187" s="82" t="str">
        <f>IF(COPIA!F183=0,"",COPIA!F183)</f>
        <v>SE DARE</v>
      </c>
    </row>
    <row r="188" spans="1:12" ht="20.100000000000001" customHeight="1">
      <c r="A188" s="232"/>
      <c r="B188" s="232"/>
      <c r="C188" s="232" t="s">
        <v>426</v>
      </c>
      <c r="D188" s="78" t="str">
        <f>IF(COPIA!A184=0,"",COPIA!A184)</f>
        <v>37.10</v>
      </c>
      <c r="E188" s="81" t="str">
        <f>IF(COPIA!B184=0,"",COPIA!B184)</f>
        <v>MERCI C/RIMANENZE FINALI</v>
      </c>
      <c r="F188" s="82" t="str">
        <f>IF(COPIA!C184=0,"",COPIA!C184)</f>
        <v>E</v>
      </c>
      <c r="G188" s="82" t="str">
        <f>IF(COPIA!D184=0,"",COPIA!D184)</f>
        <v>A</v>
      </c>
      <c r="H188" s="78" t="str">
        <f>IF(COPIA!E184=0,"",IF(COPIA!B184="FONDO SVALUTAZIONE CREDITI","RETTIFICA CREDITI",COPIA!E184))</f>
        <v>RETTIFICHE COSTI D'ESERCIZIO</v>
      </c>
      <c r="I188" s="82" t="str">
        <f>IF(COPIA!F184=0,"",COPIA!F184)</f>
        <v>SE AVERE</v>
      </c>
    </row>
    <row r="189" spans="1:12" ht="20.100000000000001" customHeight="1">
      <c r="A189" s="232"/>
      <c r="B189" s="232"/>
      <c r="C189" s="232" t="s">
        <v>426</v>
      </c>
      <c r="D189" s="78" t="str">
        <f>IF(COPIA!A185=0,"",COPIA!A185)</f>
        <v>37.11</v>
      </c>
      <c r="E189" s="81" t="str">
        <f>IF(COPIA!B185=0,"",COPIA!B185)</f>
        <v>MATERIE DI CONSUMO C/RIMANENZE FINALI</v>
      </c>
      <c r="F189" s="82" t="str">
        <f>IF(COPIA!C185=0,"",COPIA!C185)</f>
        <v>E</v>
      </c>
      <c r="G189" s="82" t="str">
        <f>IF(COPIA!D185=0,"",COPIA!D185)</f>
        <v>A</v>
      </c>
      <c r="H189" s="78" t="str">
        <f>IF(COPIA!E185=0,"",IF(COPIA!B185="FONDO SVALUTAZIONE CREDITI","RETTIFICA CREDITI",COPIA!E185))</f>
        <v>RETTIFICHE COSTI D'ESERCIZIO</v>
      </c>
      <c r="I189" s="82" t="str">
        <f>IF(COPIA!F185=0,"",COPIA!F185)</f>
        <v>SE AVERE</v>
      </c>
    </row>
    <row r="190" spans="1:12" ht="20.100000000000001" customHeight="1">
      <c r="A190" s="232"/>
      <c r="B190" s="232"/>
      <c r="C190" s="232"/>
      <c r="D190" s="78" t="str">
        <f>IF(COPIA!A186=0,"",COPIA!A186)</f>
        <v>38.00</v>
      </c>
      <c r="E190" s="81" t="str">
        <f>IF(COPIA!B186=0,"",COPIA!B186)</f>
        <v xml:space="preserve">ACCANTONAMENTI </v>
      </c>
      <c r="F190" s="82" t="str">
        <f>IF(COPIA!C186=0,"",COPIA!C186)</f>
        <v/>
      </c>
      <c r="G190" s="82" t="str">
        <f>IF(COPIA!D186=0,"",COPIA!D186)</f>
        <v/>
      </c>
      <c r="H190" s="78" t="str">
        <f>IF(COPIA!E186=0,"",IF(COPIA!B186="FONDO SVALUTAZIONE CREDITI","RETTIFICA CREDITI",COPIA!E186))</f>
        <v/>
      </c>
      <c r="I190" s="82" t="str">
        <f>IF(COPIA!F186=0,"",COPIA!F186)</f>
        <v/>
      </c>
    </row>
    <row r="191" spans="1:12" ht="20.100000000000001" customHeight="1">
      <c r="A191" s="232"/>
      <c r="B191" s="232"/>
      <c r="C191" s="232" t="s">
        <v>426</v>
      </c>
      <c r="D191" s="78" t="str">
        <f>IF(COPIA!A187=0,"",COPIA!A187)</f>
        <v>38.01</v>
      </c>
      <c r="E191" s="81" t="str">
        <f>IF(COPIA!B187=0,"",COPIA!B187)</f>
        <v>ACCANTONAMENTO PER RESPONSABILITÀ CIVILE</v>
      </c>
      <c r="F191" s="82" t="str">
        <f>IF(COPIA!C187=0,"",COPIA!C187)</f>
        <v>E</v>
      </c>
      <c r="G191" s="82" t="str">
        <f>IF(COPIA!D187=0,"",COPIA!D187)</f>
        <v>D</v>
      </c>
      <c r="H191" s="78" t="str">
        <f>IF(COPIA!E187=0,"",IF(COPIA!B187="FONDO SVALUTAZIONE CREDITI","RETTIFICA CREDITI",COPIA!E187))</f>
        <v>COSTI D'ESERCIZIO</v>
      </c>
      <c r="I191" s="82" t="str">
        <f>IF(COPIA!F187=0,"",COPIA!F187)</f>
        <v>SE DARE</v>
      </c>
    </row>
    <row r="192" spans="1:12" ht="20.100000000000001" customHeight="1">
      <c r="A192" s="232"/>
      <c r="B192" s="232"/>
      <c r="C192" s="232" t="s">
        <v>426</v>
      </c>
      <c r="D192" s="78" t="str">
        <f>IF(COPIA!A188=0,"",COPIA!A188)</f>
        <v>38.10</v>
      </c>
      <c r="E192" s="81" t="str">
        <f>IF(COPIA!B188=0,"",COPIA!B188)</f>
        <v>ACCANTONAMENTO PER MANUTENZIONI PROGRAMMATE</v>
      </c>
      <c r="F192" s="82" t="str">
        <f>IF(COPIA!C188=0,"",COPIA!C188)</f>
        <v>E</v>
      </c>
      <c r="G192" s="82" t="str">
        <f>IF(COPIA!D188=0,"",COPIA!D188)</f>
        <v>D</v>
      </c>
      <c r="H192" s="78" t="str">
        <f>IF(COPIA!E188=0,"",IF(COPIA!B188="FONDO SVALUTAZIONE CREDITI","RETTIFICA CREDITI",COPIA!E188))</f>
        <v>COSTI D'ESERCIZIO</v>
      </c>
      <c r="I192" s="82" t="str">
        <f>IF(COPIA!F188=0,"",COPIA!F188)</f>
        <v>SE DARE</v>
      </c>
    </row>
    <row r="193" spans="1:9" ht="20.100000000000001" customHeight="1">
      <c r="A193" s="232"/>
      <c r="B193" s="232"/>
      <c r="C193" s="232"/>
      <c r="D193" s="78" t="str">
        <f>IF(COPIA!A189=0,"",COPIA!A189)</f>
        <v>39.00</v>
      </c>
      <c r="E193" s="81" t="str">
        <f>IF(COPIA!B189=0,"",COPIA!B189)</f>
        <v>ONERI DIVERSI</v>
      </c>
      <c r="F193" s="82" t="str">
        <f>IF(COPIA!C189=0,"",COPIA!C189)</f>
        <v/>
      </c>
      <c r="G193" s="82" t="str">
        <f>IF(COPIA!D189=0,"",COPIA!D189)</f>
        <v/>
      </c>
      <c r="H193" s="78" t="str">
        <f>IF(COPIA!E189=0,"",IF(COPIA!B189="FONDO SVALUTAZIONE CREDITI","RETTIFICA CREDITI",COPIA!E189))</f>
        <v/>
      </c>
      <c r="I193" s="82" t="str">
        <f>IF(COPIA!F189=0,"",COPIA!F189)</f>
        <v/>
      </c>
    </row>
    <row r="194" spans="1:9" ht="20.100000000000001" customHeight="1">
      <c r="A194" s="232" t="s">
        <v>426</v>
      </c>
      <c r="B194" s="232" t="s">
        <v>426</v>
      </c>
      <c r="C194" s="232" t="s">
        <v>426</v>
      </c>
      <c r="D194" s="78" t="str">
        <f>IF(COPIA!A190=0,"",COPIA!A190)</f>
        <v>39.01</v>
      </c>
      <c r="E194" s="81" t="str">
        <f>IF(COPIA!B190=0,"",COPIA!B190)</f>
        <v>ARROTONDAMENTI PASSIVI</v>
      </c>
      <c r="F194" s="82" t="str">
        <f>IF(COPIA!C190=0,"",COPIA!C190)</f>
        <v>E</v>
      </c>
      <c r="G194" s="82" t="str">
        <f>IF(COPIA!D190=0,"",COPIA!D190)</f>
        <v>D</v>
      </c>
      <c r="H194" s="78" t="str">
        <f>IF(COPIA!E190=0,"",IF(COPIA!B190="FONDO SVALUTAZIONE CREDITI","RETTIFICA CREDITI",COPIA!E190))</f>
        <v>COSTI D'ESERCIZIO</v>
      </c>
      <c r="I194" s="82" t="str">
        <f>IF(COPIA!F190=0,"",COPIA!F190)</f>
        <v>SE DARE</v>
      </c>
    </row>
    <row r="195" spans="1:9" ht="20.100000000000001" customHeight="1">
      <c r="A195" s="232" t="s">
        <v>426</v>
      </c>
      <c r="B195" s="232" t="s">
        <v>426</v>
      </c>
      <c r="C195" s="232" t="s">
        <v>426</v>
      </c>
      <c r="D195" s="78" t="str">
        <f>IF(COPIA!A191=0,"",COPIA!A191)</f>
        <v>39.02</v>
      </c>
      <c r="E195" s="81" t="str">
        <f>IF(COPIA!B191=0,"",COPIA!B191)</f>
        <v>ONERI FISCALI DIVERSI</v>
      </c>
      <c r="F195" s="82" t="str">
        <f>IF(COPIA!C191=0,"",COPIA!C191)</f>
        <v>E</v>
      </c>
      <c r="G195" s="82" t="str">
        <f>IF(COPIA!D191=0,"",COPIA!D191)</f>
        <v>D</v>
      </c>
      <c r="H195" s="78" t="str">
        <f>IF(COPIA!E191=0,"",IF(COPIA!B191="FONDO SVALUTAZIONE CREDITI","RETTIFICA CREDITI",COPIA!E191))</f>
        <v>COSTI D'ESERCIZIO</v>
      </c>
      <c r="I195" s="82" t="str">
        <f>IF(COPIA!F191=0,"",COPIA!F191)</f>
        <v>SE DARE</v>
      </c>
    </row>
    <row r="196" spans="1:9" ht="20.100000000000001" customHeight="1">
      <c r="A196" s="232" t="s">
        <v>426</v>
      </c>
      <c r="B196" s="232" t="s">
        <v>426</v>
      </c>
      <c r="C196" s="232" t="s">
        <v>426</v>
      </c>
      <c r="D196" s="78" t="str">
        <f>IF(COPIA!A192=0,"",COPIA!A192)</f>
        <v>39.05</v>
      </c>
      <c r="E196" s="81" t="str">
        <f>IF(COPIA!B192=0,"",COPIA!B192)</f>
        <v>PERDITE SU CREDITI</v>
      </c>
      <c r="F196" s="82" t="str">
        <f>IF(COPIA!C192=0,"",COPIA!C192)</f>
        <v>E</v>
      </c>
      <c r="G196" s="82" t="str">
        <f>IF(COPIA!D192=0,"",COPIA!D192)</f>
        <v>D</v>
      </c>
      <c r="H196" s="78" t="str">
        <f>IF(COPIA!E192=0,"",IF(COPIA!B192="FONDO SVALUTAZIONE CREDITI","RETTIFICA CREDITI",COPIA!E192))</f>
        <v>COSTI D'ESERCIZIO</v>
      </c>
      <c r="I196" s="82" t="str">
        <f>IF(COPIA!F192=0,"",COPIA!F192)</f>
        <v>SE DARE</v>
      </c>
    </row>
    <row r="197" spans="1:9" ht="20.100000000000001" customHeight="1">
      <c r="A197" s="232"/>
      <c r="B197" s="232"/>
      <c r="C197" s="232" t="s">
        <v>426</v>
      </c>
      <c r="D197" s="78" t="str">
        <f>IF(COPIA!A193=0,"",COPIA!A193)</f>
        <v>39.06</v>
      </c>
      <c r="E197" s="81" t="str">
        <f>IF(COPIA!B193=0,"",COPIA!B193)</f>
        <v>ACCANTONAMENTO PER IMPOSTE INDIRETTE</v>
      </c>
      <c r="F197" s="82" t="str">
        <f>IF(COPIA!C193=0,"",COPIA!C193)</f>
        <v>E</v>
      </c>
      <c r="G197" s="82" t="str">
        <f>IF(COPIA!D193=0,"",COPIA!D193)</f>
        <v>D</v>
      </c>
      <c r="H197" s="78" t="str">
        <f>IF(COPIA!E193=0,"",IF(COPIA!B193="FONDO SVALUTAZIONE CREDITI","RETTIFICA CREDITI",COPIA!E193))</f>
        <v>COSTI D'ESERCIZIO</v>
      </c>
      <c r="I197" s="82" t="str">
        <f>IF(COPIA!F193=0,"",COPIA!F193)</f>
        <v>SE DARE</v>
      </c>
    </row>
    <row r="198" spans="1:9" ht="20.100000000000001" customHeight="1">
      <c r="A198" s="232"/>
      <c r="B198" s="232" t="s">
        <v>426</v>
      </c>
      <c r="C198" s="232" t="s">
        <v>426</v>
      </c>
      <c r="D198" s="78" t="str">
        <f>IF(COPIA!A194=0,"",COPIA!A194)</f>
        <v>39.10</v>
      </c>
      <c r="E198" s="81" t="str">
        <f>IF(COPIA!B194=0,"",COPIA!B194)</f>
        <v>MINUSVALENZE</v>
      </c>
      <c r="F198" s="82" t="str">
        <f>IF(COPIA!C194=0,"",COPIA!C194)</f>
        <v>E</v>
      </c>
      <c r="G198" s="82" t="str">
        <f>IF(COPIA!D194=0,"",COPIA!D194)</f>
        <v>D</v>
      </c>
      <c r="H198" s="78" t="str">
        <f>IF(COPIA!E194=0,"",IF(COPIA!B194="FONDO SVALUTAZIONE CREDITI","RETTIFICA CREDITI",COPIA!E194))</f>
        <v>COSTI D'ESERCIZIO</v>
      </c>
      <c r="I198" s="82" t="str">
        <f>IF(COPIA!F194=0,"",COPIA!F194)</f>
        <v>SE DARE</v>
      </c>
    </row>
    <row r="199" spans="1:9" ht="20.100000000000001" customHeight="1">
      <c r="A199" s="232"/>
      <c r="B199" s="232" t="s">
        <v>426</v>
      </c>
      <c r="C199" s="232" t="s">
        <v>426</v>
      </c>
      <c r="D199" s="78" t="str">
        <f>IF(COPIA!A195=0,"",COPIA!A195)</f>
        <v>39.11</v>
      </c>
      <c r="E199" s="81" t="str">
        <f>IF(COPIA!B195=0,"",COPIA!B195)</f>
        <v>SOPRAVVENIENZE PASSIVE</v>
      </c>
      <c r="F199" s="82" t="str">
        <f>IF(COPIA!C195=0,"",COPIA!C195)</f>
        <v>E</v>
      </c>
      <c r="G199" s="82" t="str">
        <f>IF(COPIA!D195=0,"",COPIA!D195)</f>
        <v>D</v>
      </c>
      <c r="H199" s="78" t="str">
        <f>IF(COPIA!E195=0,"",IF(COPIA!B195="FONDO SVALUTAZIONE CREDITI","RETTIFICA CREDITI",COPIA!E195))</f>
        <v>COSTI D'ESERCIZIO</v>
      </c>
      <c r="I199" s="82" t="str">
        <f>IF(COPIA!F195=0,"",COPIA!F195)</f>
        <v>SE DARE</v>
      </c>
    </row>
    <row r="200" spans="1:9" ht="20.100000000000001" customHeight="1">
      <c r="A200" s="232"/>
      <c r="B200" s="232" t="s">
        <v>426</v>
      </c>
      <c r="C200" s="232" t="s">
        <v>426</v>
      </c>
      <c r="D200" s="78" t="str">
        <f>IF(COPIA!A196=0,"",COPIA!A196)</f>
        <v>39.12</v>
      </c>
      <c r="E200" s="81" t="str">
        <f>IF(COPIA!B196=0,"",COPIA!B196)</f>
        <v>INSUSSISTENZE PASSIVE</v>
      </c>
      <c r="F200" s="82" t="str">
        <f>IF(COPIA!C196=0,"",COPIA!C196)</f>
        <v>E</v>
      </c>
      <c r="G200" s="82" t="str">
        <f>IF(COPIA!D196=0,"",COPIA!D196)</f>
        <v>D</v>
      </c>
      <c r="H200" s="78" t="str">
        <f>IF(COPIA!E196=0,"",IF(COPIA!B196="FONDO SVALUTAZIONE CREDITI","RETTIFICA CREDITI",COPIA!E196))</f>
        <v>COSTI D'ESERCIZIO</v>
      </c>
      <c r="I200" s="82" t="str">
        <f>IF(COPIA!F196=0,"",COPIA!F196)</f>
        <v>SE DARE</v>
      </c>
    </row>
    <row r="201" spans="1:9" ht="20.100000000000001" customHeight="1">
      <c r="A201" s="232"/>
      <c r="B201" s="232"/>
      <c r="C201" s="232"/>
      <c r="D201" s="78" t="str">
        <f>IF(COPIA!A197=0,"",COPIA!A197)</f>
        <v>40.00</v>
      </c>
      <c r="E201" s="81" t="str">
        <f>IF(COPIA!B197=0,"",COPIA!B197)</f>
        <v>PROVENTI FINANZIARI</v>
      </c>
      <c r="F201" s="82" t="str">
        <f>IF(COPIA!C197=0,"",COPIA!C197)</f>
        <v/>
      </c>
      <c r="G201" s="82" t="str">
        <f>IF(COPIA!D197=0,"",COPIA!D197)</f>
        <v/>
      </c>
      <c r="H201" s="78" t="str">
        <f>IF(COPIA!E197=0,"",IF(COPIA!B197="FONDO SVALUTAZIONE CREDITI","RETTIFICA CREDITI",COPIA!E197))</f>
        <v/>
      </c>
      <c r="I201" s="82" t="str">
        <f>IF(COPIA!F197=0,"",COPIA!F197)</f>
        <v/>
      </c>
    </row>
    <row r="202" spans="1:9" ht="20.100000000000001" customHeight="1">
      <c r="A202" s="232" t="s">
        <v>426</v>
      </c>
      <c r="B202" s="232" t="s">
        <v>426</v>
      </c>
      <c r="C202" s="232" t="s">
        <v>426</v>
      </c>
      <c r="D202" s="78" t="str">
        <f>IF(COPIA!A198=0,"",COPIA!A198)</f>
        <v>40.01</v>
      </c>
      <c r="E202" s="81" t="str">
        <f>IF(COPIA!B198=0,"",COPIA!B198)</f>
        <v>INTERESSI ATTIVI DA CLIENTI</v>
      </c>
      <c r="F202" s="82" t="str">
        <f>IF(COPIA!C198=0,"",COPIA!C198)</f>
        <v>E</v>
      </c>
      <c r="G202" s="82" t="str">
        <f>IF(COPIA!D198=0,"",COPIA!D198)</f>
        <v>A</v>
      </c>
      <c r="H202" s="78" t="str">
        <f>IF(COPIA!E198=0,"",IF(COPIA!B198="FONDO SVALUTAZIONE CREDITI","RETTIFICA CREDITI",COPIA!E198))</f>
        <v>RICAVI D'ESERCIZIO</v>
      </c>
      <c r="I202" s="82" t="str">
        <f>IF(COPIA!F198=0,"",COPIA!F198)</f>
        <v>SE AVERE</v>
      </c>
    </row>
    <row r="203" spans="1:9" ht="20.100000000000001" customHeight="1">
      <c r="A203" s="232" t="s">
        <v>426</v>
      </c>
      <c r="B203" s="232" t="s">
        <v>426</v>
      </c>
      <c r="C203" s="232" t="s">
        <v>426</v>
      </c>
      <c r="D203" s="78" t="str">
        <f>IF(COPIA!A199=0,"",COPIA!A199)</f>
        <v>40.02</v>
      </c>
      <c r="E203" s="81" t="str">
        <f>IF(COPIA!B199=0,"",COPIA!B199)</f>
        <v>INTERESSI ATTIVI BANCARI</v>
      </c>
      <c r="F203" s="82" t="str">
        <f>IF(COPIA!C199=0,"",COPIA!C199)</f>
        <v>E</v>
      </c>
      <c r="G203" s="82" t="str">
        <f>IF(COPIA!D199=0,"",COPIA!D199)</f>
        <v>A</v>
      </c>
      <c r="H203" s="78" t="str">
        <f>IF(COPIA!E199=0,"",IF(COPIA!B199="FONDO SVALUTAZIONE CREDITI","RETTIFICA CREDITI",COPIA!E199))</f>
        <v>RICAVI D'ESERCIZIO</v>
      </c>
      <c r="I203" s="82" t="str">
        <f>IF(COPIA!F199=0,"",COPIA!F199)</f>
        <v>SE AVERE</v>
      </c>
    </row>
    <row r="204" spans="1:9" ht="20.100000000000001" customHeight="1">
      <c r="A204" s="232" t="s">
        <v>426</v>
      </c>
      <c r="B204" s="232" t="s">
        <v>426</v>
      </c>
      <c r="C204" s="232" t="s">
        <v>426</v>
      </c>
      <c r="D204" s="78" t="str">
        <f>IF(COPIA!A200=0,"",COPIA!A200)</f>
        <v>40.03</v>
      </c>
      <c r="E204" s="81" t="str">
        <f>IF(COPIA!B200=0,"",COPIA!B200)</f>
        <v>INTERESSI ATTIVI POSTALI</v>
      </c>
      <c r="F204" s="82" t="str">
        <f>IF(COPIA!C200=0,"",COPIA!C200)</f>
        <v>E</v>
      </c>
      <c r="G204" s="82" t="str">
        <f>IF(COPIA!D200=0,"",COPIA!D200)</f>
        <v>A</v>
      </c>
      <c r="H204" s="78" t="str">
        <f>IF(COPIA!E200=0,"",IF(COPIA!B200="FONDO SVALUTAZIONE CREDITI","RETTIFICA CREDITI",COPIA!E200))</f>
        <v>RICAVI D'ESERCIZIO</v>
      </c>
      <c r="I204" s="82" t="str">
        <f>IF(COPIA!F200=0,"",COPIA!F200)</f>
        <v>SE AVERE</v>
      </c>
    </row>
    <row r="205" spans="1:9" ht="20.100000000000001" customHeight="1">
      <c r="A205" s="232" t="s">
        <v>426</v>
      </c>
      <c r="B205" s="232" t="s">
        <v>426</v>
      </c>
      <c r="C205" s="232" t="s">
        <v>426</v>
      </c>
      <c r="D205" s="78" t="str">
        <f>IF(COPIA!A201=0,"",COPIA!A201)</f>
        <v>40.20</v>
      </c>
      <c r="E205" s="81" t="str">
        <f>IF(COPIA!B201=0,"",COPIA!B201)</f>
        <v>PROVENTI FINANZIARI DIVERSI</v>
      </c>
      <c r="F205" s="82" t="str">
        <f>IF(COPIA!C201=0,"",COPIA!C201)</f>
        <v>E</v>
      </c>
      <c r="G205" s="82" t="str">
        <f>IF(COPIA!D201=0,"",COPIA!D201)</f>
        <v>A</v>
      </c>
      <c r="H205" s="78" t="str">
        <f>IF(COPIA!E201=0,"",IF(COPIA!B201="FONDO SVALUTAZIONE CREDITI","RETTIFICA CREDITI",COPIA!E201))</f>
        <v>RICAVI D'ESERCIZIO</v>
      </c>
      <c r="I205" s="82" t="str">
        <f>IF(COPIA!F201=0,"",COPIA!F201)</f>
        <v>SE AVERE</v>
      </c>
    </row>
    <row r="206" spans="1:9" ht="20.100000000000001" customHeight="1">
      <c r="A206" s="232"/>
      <c r="B206" s="232"/>
      <c r="C206" s="232"/>
      <c r="D206" s="78" t="str">
        <f>IF(COPIA!A202=0,"",COPIA!A202)</f>
        <v>41.00</v>
      </c>
      <c r="E206" s="81" t="str">
        <f>IF(COPIA!B202=0,"",COPIA!B202)</f>
        <v>ONERI FINANZIARI</v>
      </c>
      <c r="F206" s="82" t="str">
        <f>IF(COPIA!C202=0,"",COPIA!C202)</f>
        <v/>
      </c>
      <c r="G206" s="82" t="str">
        <f>IF(COPIA!D202=0,"",COPIA!D202)</f>
        <v/>
      </c>
      <c r="H206" s="78" t="str">
        <f>IF(COPIA!E202=0,"",IF(COPIA!B202="FONDO SVALUTAZIONE CREDITI","RETTIFICA CREDITI",COPIA!E202))</f>
        <v/>
      </c>
      <c r="I206" s="82" t="str">
        <f>IF(COPIA!F202=0,"",COPIA!F202)</f>
        <v/>
      </c>
    </row>
    <row r="207" spans="1:9" ht="20.100000000000001" customHeight="1">
      <c r="A207" s="232" t="s">
        <v>426</v>
      </c>
      <c r="B207" s="232" t="s">
        <v>426</v>
      </c>
      <c r="C207" s="232" t="s">
        <v>426</v>
      </c>
      <c r="D207" s="78" t="str">
        <f>IF(COPIA!A203=0,"",COPIA!A203)</f>
        <v>41.01</v>
      </c>
      <c r="E207" s="81" t="str">
        <f>IF(COPIA!B203=0,"",COPIA!B203)</f>
        <v>INTERESSI PASSIVI A FORNITORI</v>
      </c>
      <c r="F207" s="82" t="str">
        <f>IF(COPIA!C203=0,"",COPIA!C203)</f>
        <v>E</v>
      </c>
      <c r="G207" s="82" t="str">
        <f>IF(COPIA!D203=0,"",COPIA!D203)</f>
        <v>D</v>
      </c>
      <c r="H207" s="78" t="str">
        <f>IF(COPIA!E203=0,"",IF(COPIA!B203="FONDO SVALUTAZIONE CREDITI","RETTIFICA CREDITI",COPIA!E203))</f>
        <v>COSTI D'ESERCIZIO</v>
      </c>
      <c r="I207" s="82" t="str">
        <f>IF(COPIA!F203=0,"",COPIA!F203)</f>
        <v>SE DARE</v>
      </c>
    </row>
    <row r="208" spans="1:9" ht="20.100000000000001" customHeight="1">
      <c r="A208" s="232" t="s">
        <v>426</v>
      </c>
      <c r="B208" s="232" t="s">
        <v>426</v>
      </c>
      <c r="C208" s="232" t="s">
        <v>426</v>
      </c>
      <c r="D208" s="78" t="str">
        <f>IF(COPIA!A204=0,"",COPIA!A204)</f>
        <v>41.02</v>
      </c>
      <c r="E208" s="81" t="str">
        <f>IF(COPIA!B204=0,"",COPIA!B204)</f>
        <v>INTERESSI PASSIVI BANCARI</v>
      </c>
      <c r="F208" s="82" t="str">
        <f>IF(COPIA!C204=0,"",COPIA!C204)</f>
        <v>E</v>
      </c>
      <c r="G208" s="82" t="str">
        <f>IF(COPIA!D204=0,"",COPIA!D204)</f>
        <v>D</v>
      </c>
      <c r="H208" s="78" t="str">
        <f>IF(COPIA!E204=0,"",IF(COPIA!B204="FONDO SVALUTAZIONE CREDITI","RETTIFICA CREDITI",COPIA!E204))</f>
        <v>COSTI D'ESERCIZIO</v>
      </c>
      <c r="I208" s="82" t="str">
        <f>IF(COPIA!F204=0,"",COPIA!F204)</f>
        <v>SE DARE</v>
      </c>
    </row>
    <row r="209" spans="1:9" ht="20.100000000000001" customHeight="1">
      <c r="A209" s="232"/>
      <c r="B209" s="232" t="s">
        <v>426</v>
      </c>
      <c r="C209" s="232" t="s">
        <v>426</v>
      </c>
      <c r="D209" s="78" t="str">
        <f>IF(COPIA!A205=0,"",COPIA!A205)</f>
        <v>41.03</v>
      </c>
      <c r="E209" s="81" t="str">
        <f>IF(COPIA!B205=0,"",COPIA!B205)</f>
        <v>SCONTI PASSIVI BANCARI</v>
      </c>
      <c r="F209" s="82" t="str">
        <f>IF(COPIA!C205=0,"",COPIA!C205)</f>
        <v>E</v>
      </c>
      <c r="G209" s="82" t="str">
        <f>IF(COPIA!D205=0,"",COPIA!D205)</f>
        <v>D</v>
      </c>
      <c r="H209" s="78" t="str">
        <f>IF(COPIA!E205=0,"",IF(COPIA!B205="FONDO SVALUTAZIONE CREDITI","RETTIFICA CREDITI",COPIA!E205))</f>
        <v>COSTI D'ESERCIZIO</v>
      </c>
      <c r="I209" s="82" t="str">
        <f>IF(COPIA!F205=0,"",COPIA!F205)</f>
        <v>SE DARE</v>
      </c>
    </row>
    <row r="210" spans="1:9" ht="20.100000000000001" customHeight="1">
      <c r="A210" s="232" t="s">
        <v>426</v>
      </c>
      <c r="B210" s="232" t="s">
        <v>426</v>
      </c>
      <c r="C210" s="232" t="s">
        <v>426</v>
      </c>
      <c r="D210" s="78" t="str">
        <f>IF(COPIA!A206=0,"",COPIA!A206)</f>
        <v>41.04</v>
      </c>
      <c r="E210" s="81" t="str">
        <f>IF(COPIA!B206=0,"",COPIA!B206)</f>
        <v>INTERESSI PASSIVI SU MUTUI</v>
      </c>
      <c r="F210" s="82" t="str">
        <f>IF(COPIA!C206=0,"",COPIA!C206)</f>
        <v>E</v>
      </c>
      <c r="G210" s="82" t="str">
        <f>IF(COPIA!D206=0,"",COPIA!D206)</f>
        <v>D</v>
      </c>
      <c r="H210" s="78" t="str">
        <f>IF(COPIA!E206=0,"",IF(COPIA!B206="FONDO SVALUTAZIONE CREDITI","RETTIFICA CREDITI",COPIA!E206))</f>
        <v>COSTI D'ESERCIZIO</v>
      </c>
      <c r="I210" s="82" t="str">
        <f>IF(COPIA!F206=0,"",COPIA!F206)</f>
        <v>SE DARE</v>
      </c>
    </row>
    <row r="211" spans="1:9" ht="20.100000000000001" customHeight="1">
      <c r="A211" s="232" t="s">
        <v>426</v>
      </c>
      <c r="B211" s="232" t="s">
        <v>426</v>
      </c>
      <c r="C211" s="232" t="s">
        <v>426</v>
      </c>
      <c r="D211" s="78" t="str">
        <f>IF(COPIA!A207=0,"",COPIA!A207)</f>
        <v>41.20</v>
      </c>
      <c r="E211" s="81" t="str">
        <f>IF(COPIA!B207=0,"",COPIA!B207)</f>
        <v>ONERI FINANZIARI DIVERSI</v>
      </c>
      <c r="F211" s="82" t="str">
        <f>IF(COPIA!C207=0,"",COPIA!C207)</f>
        <v>E</v>
      </c>
      <c r="G211" s="82" t="str">
        <f>IF(COPIA!D207=0,"",COPIA!D207)</f>
        <v>D</v>
      </c>
      <c r="H211" s="78" t="str">
        <f>IF(COPIA!E207=0,"",IF(COPIA!B207="FONDO SVALUTAZIONE CREDITI","RETTIFICA CREDITI",COPIA!E207))</f>
        <v>COSTI D'ESERCIZIO</v>
      </c>
      <c r="I211" s="82" t="str">
        <f>IF(COPIA!F207=0,"",COPIA!F207)</f>
        <v>SE DARE</v>
      </c>
    </row>
    <row r="212" spans="1:9" ht="20.100000000000001" customHeight="1">
      <c r="A212" s="232"/>
      <c r="B212" s="232"/>
      <c r="C212" s="232"/>
      <c r="D212" s="78" t="str">
        <f>IF(COPIA!A208=0,"",COPIA!A208)</f>
        <v>90.00</v>
      </c>
      <c r="E212" s="81" t="str">
        <f>IF(COPIA!B208=0,"",COPIA!B208)</f>
        <v>CONTI DI RISULTATO</v>
      </c>
      <c r="F212" s="82" t="str">
        <f>IF(COPIA!C208=0,"",COPIA!C208)</f>
        <v/>
      </c>
      <c r="G212" s="82" t="str">
        <f>IF(COPIA!D208=0,"",COPIA!D208)</f>
        <v/>
      </c>
      <c r="H212" s="78" t="str">
        <f>IF(COPIA!E208=0,"",IF(COPIA!B208="FONDO SVALUTAZIONE CREDITI","RETTIFICA CREDITI",COPIA!E208))</f>
        <v/>
      </c>
      <c r="I212" s="82" t="str">
        <f>IF(COPIA!F208=0,"",COPIA!F208)</f>
        <v/>
      </c>
    </row>
    <row r="213" spans="1:9" ht="20.100000000000001" customHeight="1">
      <c r="A213" s="232"/>
      <c r="B213" s="232"/>
      <c r="C213" s="232"/>
      <c r="D213" s="78" t="str">
        <f>IF(COPIA!A209=0,"",COPIA!A209)</f>
        <v>90.01</v>
      </c>
      <c r="E213" s="81" t="str">
        <f>IF(COPIA!B209=0,"",COPIA!B209)</f>
        <v>CONTO DI RISULTATO ECONOMICO</v>
      </c>
      <c r="F213" s="82" t="str">
        <f>IF(COPIA!C209=0,"",COPIA!C209)</f>
        <v>E</v>
      </c>
      <c r="G213" s="82" t="str">
        <f>IF(COPIA!D209=0,"",COPIA!D209)</f>
        <v>D/A</v>
      </c>
      <c r="H213" s="78" t="str">
        <f>IF(COPIA!E209=0,"",IF(COPIA!B209="FONDO SVALUTAZIONE CREDITI","RETTIFICA CREDITI",COPIA!E209))</f>
        <v>CONTO DI RISULTATO ECONOMICO</v>
      </c>
      <c r="I213" s="82" t="str">
        <f>IF(COPIA!F209=0,"",COPIA!F209)</f>
        <v/>
      </c>
    </row>
    <row r="214" spans="1:9" ht="20.100000000000001" customHeight="1">
      <c r="A214" s="253"/>
      <c r="B214" s="253"/>
      <c r="C214" s="253"/>
      <c r="D214" s="78" t="str">
        <f>IF(COPIA!A210=0,"",COPIA!A210)</f>
        <v/>
      </c>
      <c r="E214" s="81" t="str">
        <f>IF(COPIA!B210=0,"",COPIA!B210)</f>
        <v/>
      </c>
      <c r="F214" s="82" t="str">
        <f>IF(COPIA!C210=0,"",COPIA!C210)</f>
        <v/>
      </c>
      <c r="G214" s="82" t="str">
        <f>IF(COPIA!D210=0,"",COPIA!D210)</f>
        <v/>
      </c>
      <c r="H214" s="78" t="str">
        <f>IF(COPIA!E210=0,"",IF(COPIA!B210="FONDO SVALUTAZIONE CREDITI","RETTIFICA CREDITI",COPIA!E210))</f>
        <v/>
      </c>
      <c r="I214" s="82" t="str">
        <f>IF(COPIA!F210=0,"",COPIA!F210)</f>
        <v/>
      </c>
    </row>
  </sheetData>
  <sheetProtection algorithmName="SHA-512" hashValue="QfvEEF7M++xtgbBTabBoTyMQaoi0sP1Ey6caXGJF8FD/OLHMlYlupAUTSYQ/d5XUDiUhDA566WvPnvWaqtROtQ==" saltValue="A1uibqJUQ/dC/VfV9PuPgA==" spinCount="100000" sheet="1" objects="1" scenarios="1"/>
  <sortState xmlns:xlrd2="http://schemas.microsoft.com/office/spreadsheetml/2017/richdata2" ref="E2:I52">
    <sortCondition ref="E2"/>
  </sortState>
  <mergeCells count="11">
    <mergeCell ref="N10:O10"/>
    <mergeCell ref="A1:G1"/>
    <mergeCell ref="A6:C6"/>
    <mergeCell ref="J6:L6"/>
    <mergeCell ref="F2:H2"/>
    <mergeCell ref="I2:N2"/>
    <mergeCell ref="F3:H3"/>
    <mergeCell ref="I3:N3"/>
    <mergeCell ref="A5:M5"/>
    <mergeCell ref="H1:N1"/>
    <mergeCell ref="A2:E3"/>
  </mergeCells>
  <conditionalFormatting sqref="D7:I214">
    <cfRule type="expression" dxfId="147" priority="7">
      <formula>AND(MID($D7,4,2)&lt;&gt;"00",$D7&lt;&gt;"")</formula>
    </cfRule>
    <cfRule type="expression" dxfId="146" priority="8">
      <formula>MID($D7,4,2)="00"</formula>
    </cfRule>
  </conditionalFormatting>
  <conditionalFormatting sqref="F8:I214">
    <cfRule type="expression" dxfId="145" priority="3">
      <formula>$N$5="TE213FA"</formula>
    </cfRule>
  </conditionalFormatting>
  <dataValidations count="2">
    <dataValidation type="list" allowBlank="1" showInputMessage="1" showErrorMessage="1" sqref="F3:H3" xr:uid="{00000000-0002-0000-0000-000001000000}">
      <formula1>"A - COSTITUZIONE - ACQUISTI - VENDITE,B - ALTRE OPERAZIONI DI GESTIONE,C - SCRITTURE DI ASSESTAMENTO"</formula1>
    </dataValidation>
    <dataValidation type="list" allowBlank="1" showDropDown="1" showInputMessage="1" showErrorMessage="1" error="Inserire una X" sqref="A8:C214" xr:uid="{00000000-0002-0000-0000-000000000000}">
      <formula1>"X,x"</formula1>
    </dataValidation>
  </dataValidations>
  <printOptions horizontalCentered="1" verticalCentered="1"/>
  <pageMargins left="0.11811023622047245" right="0.11811023622047245" top="0.98425196850393704" bottom="0.55118110236220474" header="0.39370078740157483" footer="0.11811023622047245"/>
  <pageSetup paperSize="9" orientation="landscape" r:id="rId1"/>
  <headerFooter>
    <oddHeader>&amp;L&amp;"Arial Narrow,Grassetto"&amp;10&amp;K08-044&amp;A&amp;R&amp;G</oddHeader>
    <oddFooter>&amp;L&amp;"Arial Narrow,Grassetto"&amp;10&amp;Y&amp;K08-048FUTURO IMPRESA 3 - T-SMART - AUTORE: Biagio PALACINO&amp;C&amp;"Arial Narrow,Grassetto"&amp;10&amp;K08-048&amp;D&amp;R&amp;"Arial Narrow,Grassetto"&amp;10&amp;K08-046pag. &amp;P di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309"/>
  <sheetViews>
    <sheetView showGridLines="0" showRowColHeaders="0" tabSelected="1" zoomScale="120" zoomScaleNormal="120" workbookViewId="0">
      <pane ySplit="10" topLeftCell="A11" activePane="bottomLeft" state="frozen"/>
      <selection pane="bottomLeft" activeCell="G11" sqref="G11"/>
    </sheetView>
  </sheetViews>
  <sheetFormatPr defaultRowHeight="15.6"/>
  <cols>
    <col min="1" max="1" width="2.59765625" customWidth="1"/>
    <col min="2" max="2" width="7.3984375" style="1" customWidth="1"/>
    <col min="3" max="3" width="6.19921875" style="1" customWidth="1"/>
    <col min="4" max="4" width="8.59765625" style="1" customWidth="1"/>
    <col min="5" max="5" width="47.3984375" style="2" customWidth="1"/>
    <col min="6" max="6" width="37.69921875" customWidth="1"/>
    <col min="7" max="7" width="13.69921875" style="3" customWidth="1"/>
    <col min="8" max="8" width="13.09765625" style="3" customWidth="1"/>
    <col min="9" max="9" width="34.59765625" style="107" customWidth="1"/>
    <col min="10" max="10" width="16.5" style="203" customWidth="1"/>
    <col min="11" max="11" width="9" style="6" customWidth="1"/>
    <col min="12" max="12" width="10.3984375" style="6" customWidth="1"/>
    <col min="13" max="16" width="9" style="6" customWidth="1"/>
    <col min="17" max="17" width="32.59765625" style="95" customWidth="1"/>
    <col min="18" max="18" width="15.69921875" style="95" customWidth="1"/>
  </cols>
  <sheetData>
    <row r="1" spans="1:18" ht="22.5" customHeight="1">
      <c r="B1" s="284" t="s">
        <v>699</v>
      </c>
      <c r="C1" s="285"/>
      <c r="D1" s="285"/>
      <c r="E1" s="285"/>
      <c r="F1" s="77"/>
      <c r="G1" s="129"/>
      <c r="H1" s="129"/>
      <c r="J1" s="197"/>
    </row>
    <row r="2" spans="1:18" ht="16.5" customHeight="1">
      <c r="B2" s="289" t="s">
        <v>437</v>
      </c>
      <c r="C2" s="289"/>
      <c r="D2" s="289"/>
      <c r="E2" s="196" t="s">
        <v>282</v>
      </c>
      <c r="F2" s="226" t="str">
        <f ca="1">IF(COPIA!CH1=0,"",CONCATENATE("Articoli registrati: ",COUNTIFS(K11:K308,"="&amp;0)))</f>
        <v/>
      </c>
      <c r="G2" s="153" t="s">
        <v>421</v>
      </c>
      <c r="H2" s="154" t="s">
        <v>422</v>
      </c>
      <c r="I2" s="106"/>
      <c r="J2" s="197"/>
    </row>
    <row r="3" spans="1:18" ht="16.5" customHeight="1">
      <c r="A3" s="6">
        <f ca="1">IF(INDIRECT(ADDRESS(3,2,,,))="Cloud: Office 365",2,1)</f>
        <v>1</v>
      </c>
      <c r="B3" s="290" t="s">
        <v>697</v>
      </c>
      <c r="C3" s="290"/>
      <c r="D3" s="290"/>
      <c r="E3" s="257" t="str">
        <f ca="1">IF(A3=2,"VERSIONE OFFICE 365","")</f>
        <v/>
      </c>
      <c r="F3" s="213" t="str">
        <f ca="1">COPIA!JM1</f>
        <v/>
      </c>
      <c r="G3" s="286" t="str">
        <f ca="1">$L$4</f>
        <v>esercizio n</v>
      </c>
      <c r="H3" s="287"/>
      <c r="I3" s="106"/>
      <c r="J3" s="197"/>
    </row>
    <row r="4" spans="1:18" ht="16.5" customHeight="1">
      <c r="A4" s="14"/>
      <c r="B4" s="291" t="s">
        <v>433</v>
      </c>
      <c r="C4" s="291"/>
      <c r="D4" s="291"/>
      <c r="E4" s="148"/>
      <c r="F4" s="211" t="str">
        <f ca="1">I4</f>
        <v/>
      </c>
      <c r="G4" s="155">
        <f ca="1">IFERROR(ROUND(SUMIFS(COPIA!$FB$103:$FB$400,COPIA!$EW$103:$EW$400,1,COPIA!$EY$103:$EY$400,"&gt;="&amp;INIZIO_AC,COPIA!$EY$103:$EY$400,"&lt;="&amp;FINE_AC),2),0)</f>
        <v>0</v>
      </c>
      <c r="H4" s="156">
        <f ca="1">IFERROR(ROUND(SUMIFS(COPIA!$FC$103:$FC$400,COPIA!$EW$103:$EW$400,1,COPIA!$EY$103:$EY$400,"&gt;="&amp;INIZIO_AC,COPIA!$EY$103:$EY$400,"&lt;="&amp;FINE_AC),2),0)</f>
        <v>0</v>
      </c>
      <c r="I4" s="105" t="str">
        <f ca="1">IF(VALORI_INIZIALI!H3&lt;&gt;VALORI_INIZIALI!I3,"I valori iniziali non bilanciano.",IF(AND(VALORI_INIZIALI!H3=VALORI_INIZIALI!I3,VALORI_INIZIALI!H3&gt;0,VALORI_INIZIALI!I3&gt;0),"Sono presenti valori iniziali.",""))</f>
        <v/>
      </c>
      <c r="J4" s="198">
        <f ca="1">COPIA!CW1</f>
        <v>2026</v>
      </c>
      <c r="K4" s="199">
        <f ca="1">J4+1</f>
        <v>2027</v>
      </c>
      <c r="L4" s="200" t="str">
        <f ca="1">CONCATENATE("esercizio ",COPIA!EW1)</f>
        <v>esercizio n</v>
      </c>
      <c r="P4" s="6">
        <f ca="1">INDEX($L$11:$M$308,MATCH(MAX($L$11:$L$308),$L$11:$L$308,0),2)</f>
        <v>0</v>
      </c>
    </row>
    <row r="5" spans="1:18" ht="4.5" customHeight="1">
      <c r="A5" s="14"/>
      <c r="B5" s="292"/>
      <c r="C5" s="292"/>
      <c r="D5" s="292"/>
      <c r="E5" s="111"/>
      <c r="F5" s="214"/>
      <c r="G5" s="288"/>
      <c r="H5" s="288"/>
      <c r="I5" s="105"/>
      <c r="J5" s="198"/>
      <c r="K5" s="199"/>
      <c r="L5" s="200"/>
    </row>
    <row r="6" spans="1:18" ht="21.75" customHeight="1">
      <c r="A6" s="14"/>
      <c r="B6" s="205">
        <v>31</v>
      </c>
      <c r="C6" s="206">
        <v>12</v>
      </c>
      <c r="D6" s="205" t="s">
        <v>274</v>
      </c>
      <c r="E6" s="204" t="str">
        <f>IF(B3="desktop: Office - Libre office","ATTIVA LA VERSIONE ONLINE","")</f>
        <v/>
      </c>
      <c r="F6" s="152" t="s">
        <v>442</v>
      </c>
      <c r="G6" s="191" t="s">
        <v>423</v>
      </c>
      <c r="H6" s="151" t="s">
        <v>270</v>
      </c>
      <c r="I6" s="105"/>
      <c r="J6" s="198"/>
      <c r="K6" s="199"/>
      <c r="L6" s="200"/>
    </row>
    <row r="7" spans="1:18" ht="9.75" customHeight="1">
      <c r="A7" s="14"/>
      <c r="B7" s="149" t="s">
        <v>468</v>
      </c>
      <c r="C7" s="149" t="s">
        <v>469</v>
      </c>
      <c r="D7" s="149" t="s">
        <v>470</v>
      </c>
      <c r="E7" s="111"/>
      <c r="F7" s="149" t="s">
        <v>440</v>
      </c>
      <c r="G7" s="283" t="s">
        <v>441</v>
      </c>
      <c r="H7" s="283"/>
      <c r="I7" s="105"/>
      <c r="J7" s="198"/>
      <c r="K7" s="199"/>
      <c r="L7" s="200"/>
    </row>
    <row r="8" spans="1:18" ht="15" customHeight="1">
      <c r="A8" s="14"/>
      <c r="B8" s="212"/>
      <c r="C8" s="212"/>
      <c r="D8" s="212"/>
      <c r="E8" s="150"/>
      <c r="F8" s="235"/>
      <c r="G8" s="281"/>
      <c r="H8" s="282"/>
      <c r="I8" s="105"/>
      <c r="J8" s="198"/>
      <c r="K8" s="199"/>
      <c r="L8" s="200"/>
    </row>
    <row r="9" spans="1:18" ht="4.5" customHeight="1">
      <c r="A9" s="14"/>
      <c r="B9" s="218"/>
      <c r="C9" s="128"/>
      <c r="D9" s="219"/>
      <c r="E9" s="192" t="s">
        <v>449</v>
      </c>
      <c r="F9" s="215"/>
      <c r="G9" s="216"/>
      <c r="H9" s="217"/>
      <c r="I9" s="105"/>
      <c r="J9" s="198"/>
      <c r="K9" s="199"/>
      <c r="L9" s="200"/>
    </row>
    <row r="10" spans="1:18" ht="17.25" customHeight="1">
      <c r="A10" s="6">
        <f ca="1">COPIA!EX3</f>
        <v>0</v>
      </c>
      <c r="B10" s="136" t="s">
        <v>10</v>
      </c>
      <c r="C10" s="136" t="s">
        <v>261</v>
      </c>
      <c r="D10" s="137" t="s">
        <v>0</v>
      </c>
      <c r="E10" s="138" t="s">
        <v>260</v>
      </c>
      <c r="F10" s="137" t="s">
        <v>1</v>
      </c>
      <c r="G10" s="139" t="s">
        <v>2</v>
      </c>
      <c r="H10" s="139" t="s">
        <v>3</v>
      </c>
      <c r="I10" s="106"/>
      <c r="J10" s="197"/>
      <c r="P10" s="6">
        <f ca="1">IFERROR(INDEX($L$11:$M$308,MATCH(MAX($L$11:$L$308)-1,$L$11:$L$308,0),2),0)</f>
        <v>0</v>
      </c>
    </row>
    <row r="11" spans="1:18" ht="24" customHeight="1">
      <c r="B11" s="30" t="str">
        <f t="shared" ref="B11:B74" ca="1" si="0">IF(D11&lt;&gt;"",IFERROR(IF(C11&lt;&gt;"",INDEX(PIANO_DEI_CONTI,MATCH(INDIRECT(ADDRESS(ROW(),5,,,)),DENOMINAZIONE,0),1),""),""),"")</f>
        <v/>
      </c>
      <c r="C11" s="31" t="str">
        <f ca="1">IF(D11&lt;&gt;"",IF(INDIRECT(ADDRESS(ROW(),5,,,))&lt;&gt;"",ROW()-10,""),"")</f>
        <v/>
      </c>
      <c r="D11" s="32"/>
      <c r="E11" s="33"/>
      <c r="F11" s="33"/>
      <c r="G11" s="35"/>
      <c r="H11" s="35"/>
      <c r="I11" s="157"/>
      <c r="J11" s="201"/>
      <c r="K11" s="202" t="str">
        <f ca="1">IF(IF(COPIA!$J$3=TRUE,IF(OR(G11&lt;&gt;0,H11&lt;&gt;0),ROUND(SUM(COPIA!$FB$103:FB103),2)-ROUND(SUM(COPIA!$FC$103:FC103),2),""),"")&lt;&gt;0,"",0)</f>
        <v/>
      </c>
      <c r="L11" s="6">
        <f ca="1">IFERROR(IF(AND(INDIRECT(ADDRESS(ROW(),4,,,))&lt;=COPIA!$DA$1,K11=0,COPIA!$EX$1&gt;1,ROW()&lt;=COPIA!$EX$1),MAX($L$10:L10)+1,IF(AND(INDIRECT(ADDRESS(ROW(),4,,,))&lt;=COPIA!$DA$1,K11=0,COPIA!$EX$1=1),MAX($L$10:L10)+1,0)),0)</f>
        <v>0</v>
      </c>
      <c r="M11" s="6">
        <f ca="1">IF(AND(COPIA!$EX$1=1,L11&lt;&gt;0),ROW()-10,IF(AND(COPIA!$EX$1&gt;1,ROW()&gt;COPIA!$EX$1,L11&lt;&gt;0),0,IF(AND(COPIA!$EX$1&gt;1,ROW()&lt;=COPIA!$EX$1,L11&lt;&gt;0),ROW()-10,0)))</f>
        <v>0</v>
      </c>
      <c r="N11" s="6">
        <f ca="1">IF(AND($P$4=0,ROW()-10&lt;=$P$10),MAX($N$10:N10)+1,IF(AND(ROW()-10&gt;$P$10,ROW()-10&lt;=$P$4),ROW()-10,0))</f>
        <v>0</v>
      </c>
      <c r="O11" s="6">
        <f ca="1">IF(N11&gt;0,MAX($O$10:O10)+1,0)</f>
        <v>0</v>
      </c>
      <c r="Q11" s="84"/>
      <c r="R11" s="84"/>
    </row>
    <row r="12" spans="1:18" ht="24" customHeight="1">
      <c r="A12" s="6"/>
      <c r="B12" s="30" t="str">
        <f t="shared" ca="1" si="0"/>
        <v/>
      </c>
      <c r="C12" s="31" t="str">
        <f t="shared" ref="C12:C75" ca="1" si="1">IF(D12&lt;&gt;"",IF(INDIRECT(ADDRESS(ROW(),5,,,))&lt;&gt;"",ROW()-10,""),"")</f>
        <v/>
      </c>
      <c r="D12" s="32"/>
      <c r="E12" s="33"/>
      <c r="F12" s="33"/>
      <c r="G12" s="34"/>
      <c r="H12" s="35"/>
      <c r="I12" s="157"/>
      <c r="J12" s="201"/>
      <c r="K12" s="202" t="str">
        <f ca="1">IF(IF(COPIA!$J$3=TRUE,IF(OR(G12&lt;&gt;0,H12&lt;&gt;0),ROUND(SUM(COPIA!$FB$103:FB104),2)-ROUND(SUM(COPIA!$FC$103:FC104),2),""),"")&lt;&gt;0,"",0)</f>
        <v/>
      </c>
      <c r="L12" s="6">
        <f ca="1">IFERROR(IF(AND(INDIRECT(ADDRESS(ROW(),4,,,))&lt;=COPIA!$DA$1,K12=0,COPIA!$EX$1&gt;1,ROW()&lt;=COPIA!$EX$1),MAX($L$10:L11)+1,IF(AND(INDIRECT(ADDRESS(ROW(),4,,,))&lt;=COPIA!$DA$1,K12=0,COPIA!$EX$1=1),MAX($L$10:L11)+1,0)),0)</f>
        <v>0</v>
      </c>
      <c r="M12" s="6">
        <f ca="1">IF(AND(COPIA!$EX$1=1,L12&lt;&gt;0),ROW()-10,IF(AND(COPIA!$EX$1&gt;1,ROW()&gt;COPIA!$EX$1,L12&lt;&gt;0),0,IF(AND(COPIA!$EX$1&gt;1,ROW()&lt;=COPIA!$EX$1,L12&lt;&gt;0),ROW()-10,0)))</f>
        <v>0</v>
      </c>
      <c r="N12" s="6">
        <f ca="1">IF(AND($P$4=0,ROW()-10&lt;=$P$10),MAX($N$10:N11)+1,IF(AND(ROW()-10&gt;$P$10,ROW()-10&lt;=$P$4),ROW()-10,0))</f>
        <v>0</v>
      </c>
      <c r="O12" s="6">
        <f ca="1">IF(N12&gt;0,MAX($O$10:O11)+1,0)</f>
        <v>0</v>
      </c>
      <c r="Q12" s="84"/>
      <c r="R12" s="84"/>
    </row>
    <row r="13" spans="1:18" ht="24" customHeight="1">
      <c r="B13" s="30" t="str">
        <f t="shared" ca="1" si="0"/>
        <v/>
      </c>
      <c r="C13" s="31" t="str">
        <f t="shared" ca="1" si="1"/>
        <v/>
      </c>
      <c r="D13" s="32"/>
      <c r="E13" s="33"/>
      <c r="F13" s="33"/>
      <c r="G13" s="34"/>
      <c r="H13" s="35"/>
      <c r="I13" s="157"/>
      <c r="J13" s="201"/>
      <c r="K13" s="202" t="str">
        <f ca="1">IF(IF(COPIA!$J$3=TRUE,IF(OR(G13&lt;&gt;0,H13&lt;&gt;0),ROUND(SUM(COPIA!$FB$103:FB105),2)-ROUND(SUM(COPIA!$FC$103:FC105),2),""),"")&lt;&gt;0,"",0)</f>
        <v/>
      </c>
      <c r="L13" s="6">
        <f ca="1">IFERROR(IF(AND(INDIRECT(ADDRESS(ROW(),4,,,))&lt;=COPIA!$DA$1,K13=0,COPIA!$EX$1&gt;1,ROW()&lt;=COPIA!$EX$1),MAX($L$10:L12)+1,IF(AND(INDIRECT(ADDRESS(ROW(),4,,,))&lt;=COPIA!$DA$1,K13=0,COPIA!$EX$1=1),MAX($L$10:L12)+1,0)),0)</f>
        <v>0</v>
      </c>
      <c r="M13" s="6">
        <f ca="1">IF(AND(COPIA!$EX$1=1,L13&lt;&gt;0),ROW()-10,IF(AND(COPIA!$EX$1&gt;1,ROW()&gt;COPIA!$EX$1,L13&lt;&gt;0),0,IF(AND(COPIA!$EX$1&gt;1,ROW()&lt;=COPIA!$EX$1,L13&lt;&gt;0),ROW()-10,0)))</f>
        <v>0</v>
      </c>
      <c r="N13" s="6">
        <f ca="1">IF(AND($P$4=0,ROW()-10&lt;=$P$10),MAX($N$10:N12)+1,IF(AND(ROW()-10&gt;$P$10,ROW()-10&lt;=$P$4),ROW()-10,0))</f>
        <v>0</v>
      </c>
      <c r="O13" s="6">
        <f ca="1">IF(N13&gt;0,MAX($O$10:O12)+1,0)</f>
        <v>0</v>
      </c>
      <c r="Q13" s="84"/>
      <c r="R13" s="84"/>
    </row>
    <row r="14" spans="1:18" ht="24" customHeight="1">
      <c r="B14" s="30" t="str">
        <f t="shared" ca="1" si="0"/>
        <v/>
      </c>
      <c r="C14" s="31" t="str">
        <f t="shared" ca="1" si="1"/>
        <v/>
      </c>
      <c r="D14" s="32"/>
      <c r="E14" s="33"/>
      <c r="F14" s="33"/>
      <c r="G14" s="34"/>
      <c r="H14" s="35"/>
      <c r="I14" s="157"/>
      <c r="J14" s="201"/>
      <c r="K14" s="202" t="str">
        <f ca="1">IF(IF(COPIA!$J$3=TRUE,IF(OR(G14&lt;&gt;0,H14&lt;&gt;0),ROUND(SUM(COPIA!$FB$103:FB106),2)-ROUND(SUM(COPIA!$FC$103:FC106),2),""),"")&lt;&gt;0,"",0)</f>
        <v/>
      </c>
      <c r="L14" s="6">
        <f ca="1">IFERROR(IF(AND(INDIRECT(ADDRESS(ROW(),4,,,))&lt;=COPIA!$DA$1,K14=0,COPIA!$EX$1&gt;1,ROW()&lt;=COPIA!$EX$1),MAX($L$10:L13)+1,IF(AND(INDIRECT(ADDRESS(ROW(),4,,,))&lt;=COPIA!$DA$1,K14=0,COPIA!$EX$1=1),MAX($L$10:L13)+1,0)),0)</f>
        <v>0</v>
      </c>
      <c r="M14" s="6">
        <f ca="1">IF(AND(COPIA!$EX$1=1,L14&lt;&gt;0),ROW()-10,IF(AND(COPIA!$EX$1&gt;1,ROW()&gt;COPIA!$EX$1,L14&lt;&gt;0),0,IF(AND(COPIA!$EX$1&gt;1,ROW()&lt;=COPIA!$EX$1,L14&lt;&gt;0),ROW()-10,0)))</f>
        <v>0</v>
      </c>
      <c r="N14" s="6">
        <f ca="1">IF(AND($P$4=0,ROW()-10&lt;=$P$10),MAX($N$10:N13)+1,IF(AND(ROW()-10&gt;$P$10,ROW()-10&lt;=$P$4),ROW()-10,0))</f>
        <v>0</v>
      </c>
      <c r="O14" s="6">
        <f ca="1">IF(N14&gt;0,MAX($O$10:O13)+1,0)</f>
        <v>0</v>
      </c>
      <c r="Q14" s="84"/>
      <c r="R14" s="84"/>
    </row>
    <row r="15" spans="1:18" ht="24" customHeight="1">
      <c r="B15" s="30" t="str">
        <f t="shared" ca="1" si="0"/>
        <v/>
      </c>
      <c r="C15" s="31" t="str">
        <f t="shared" ca="1" si="1"/>
        <v/>
      </c>
      <c r="D15" s="32"/>
      <c r="E15" s="33"/>
      <c r="F15" s="33"/>
      <c r="G15" s="34"/>
      <c r="H15" s="35"/>
      <c r="I15" s="157"/>
      <c r="J15" s="201"/>
      <c r="K15" s="202" t="str">
        <f ca="1">IF(IF(COPIA!$J$3=TRUE,IF(OR(G15&lt;&gt;0,H15&lt;&gt;0),ROUND(SUM(COPIA!$FB$103:FB107),2)-ROUND(SUM(COPIA!$FC$103:FC107),2),""),"")&lt;&gt;0,"",0)</f>
        <v/>
      </c>
      <c r="L15" s="6">
        <f ca="1">IFERROR(IF(AND(INDIRECT(ADDRESS(ROW(),4,,,))&lt;=COPIA!$DA$1,K15=0,COPIA!$EX$1&gt;1,ROW()&lt;=COPIA!$EX$1),MAX($L$10:L14)+1,IF(AND(INDIRECT(ADDRESS(ROW(),4,,,))&lt;=COPIA!$DA$1,K15=0,COPIA!$EX$1=1),MAX($L$10:L14)+1,0)),0)</f>
        <v>0</v>
      </c>
      <c r="M15" s="6">
        <f ca="1">IF(AND(COPIA!$EX$1=1,L15&lt;&gt;0),ROW()-10,IF(AND(COPIA!$EX$1&gt;1,ROW()&gt;COPIA!$EX$1,L15&lt;&gt;0),0,IF(AND(COPIA!$EX$1&gt;1,ROW()&lt;=COPIA!$EX$1,L15&lt;&gt;0),ROW()-10,0)))</f>
        <v>0</v>
      </c>
      <c r="N15" s="6">
        <f ca="1">IF(AND($P$4=0,ROW()-10&lt;=$P$10),MAX($N$10:N14)+1,IF(AND(ROW()-10&gt;$P$10,ROW()-10&lt;=$P$4),ROW()-10,0))</f>
        <v>0</v>
      </c>
      <c r="O15" s="6">
        <f ca="1">IF(N15&gt;0,MAX($O$10:O14)+1,0)</f>
        <v>0</v>
      </c>
      <c r="Q15" s="84"/>
      <c r="R15" s="84"/>
    </row>
    <row r="16" spans="1:18" ht="24" customHeight="1">
      <c r="B16" s="30" t="str">
        <f t="shared" ca="1" si="0"/>
        <v/>
      </c>
      <c r="C16" s="31" t="str">
        <f t="shared" ca="1" si="1"/>
        <v/>
      </c>
      <c r="D16" s="32"/>
      <c r="E16" s="33"/>
      <c r="F16" s="33"/>
      <c r="G16" s="34"/>
      <c r="H16" s="35"/>
      <c r="I16" s="157"/>
      <c r="J16" s="201"/>
      <c r="K16" s="202" t="str">
        <f ca="1">IF(IF(COPIA!$J$3=TRUE,IF(OR(G16&lt;&gt;0,H16&lt;&gt;0),ROUND(SUM(COPIA!$FB$103:FB108),2)-ROUND(SUM(COPIA!$FC$103:FC108),2),""),"")&lt;&gt;0,"",0)</f>
        <v/>
      </c>
      <c r="L16" s="6">
        <f ca="1">IFERROR(IF(AND(INDIRECT(ADDRESS(ROW(),4,,,))&lt;=COPIA!$DA$1,K16=0,COPIA!$EX$1&gt;1,ROW()&lt;=COPIA!$EX$1),MAX($L$10:L15)+1,IF(AND(INDIRECT(ADDRESS(ROW(),4,,,))&lt;=COPIA!$DA$1,K16=0,COPIA!$EX$1=1),MAX($L$10:L15)+1,0)),0)</f>
        <v>0</v>
      </c>
      <c r="M16" s="6">
        <f ca="1">IF(AND(COPIA!$EX$1=1,L16&lt;&gt;0),ROW()-10,IF(AND(COPIA!$EX$1&gt;1,ROW()&gt;COPIA!$EX$1,L16&lt;&gt;0),0,IF(AND(COPIA!$EX$1&gt;1,ROW()&lt;=COPIA!$EX$1,L16&lt;&gt;0),ROW()-10,0)))</f>
        <v>0</v>
      </c>
      <c r="N16" s="6">
        <f ca="1">IF(AND($P$4=0,ROW()-10&lt;=$P$10),MAX($N$10:N15)+1,IF(AND(ROW()-10&gt;$P$10,ROW()-10&lt;=$P$4),ROW()-10,0))</f>
        <v>0</v>
      </c>
      <c r="O16" s="6">
        <f ca="1">IF(N16&gt;0,MAX($O$10:O15)+1,0)</f>
        <v>0</v>
      </c>
      <c r="Q16" s="84"/>
      <c r="R16" s="84"/>
    </row>
    <row r="17" spans="2:18" ht="24" customHeight="1">
      <c r="B17" s="30" t="str">
        <f t="shared" ca="1" si="0"/>
        <v/>
      </c>
      <c r="C17" s="31" t="str">
        <f t="shared" ca="1" si="1"/>
        <v/>
      </c>
      <c r="D17" s="32"/>
      <c r="E17" s="33"/>
      <c r="F17" s="33"/>
      <c r="G17" s="34"/>
      <c r="H17" s="35"/>
      <c r="I17" s="157"/>
      <c r="J17" s="201"/>
      <c r="K17" s="202" t="str">
        <f ca="1">IF(IF(COPIA!$J$3=TRUE,IF(OR(G17&lt;&gt;0,H17&lt;&gt;0),ROUND(SUM(COPIA!$FB$103:FB109),2)-ROUND(SUM(COPIA!$FC$103:FC109),2),""),"")&lt;&gt;0,"",0)</f>
        <v/>
      </c>
      <c r="L17" s="6">
        <f ca="1">IFERROR(IF(AND(INDIRECT(ADDRESS(ROW(),4,,,))&lt;=COPIA!$DA$1,K17=0,COPIA!$EX$1&gt;1,ROW()&lt;=COPIA!$EX$1),MAX($L$10:L16)+1,IF(AND(INDIRECT(ADDRESS(ROW(),4,,,))&lt;=COPIA!$DA$1,K17=0,COPIA!$EX$1=1),MAX($L$10:L16)+1,0)),0)</f>
        <v>0</v>
      </c>
      <c r="M17" s="6">
        <f ca="1">IF(AND(COPIA!$EX$1=1,L17&lt;&gt;0),ROW()-10,IF(AND(COPIA!$EX$1&gt;1,ROW()&gt;COPIA!$EX$1,L17&lt;&gt;0),0,IF(AND(COPIA!$EX$1&gt;1,ROW()&lt;=COPIA!$EX$1,L17&lt;&gt;0),ROW()-10,0)))</f>
        <v>0</v>
      </c>
      <c r="N17" s="6">
        <f ca="1">IF(AND($P$4=0,ROW()-10&lt;=$P$10),MAX($N$10:N16)+1,IF(AND(ROW()-10&gt;$P$10,ROW()-10&lt;=$P$4),ROW()-10,0))</f>
        <v>0</v>
      </c>
      <c r="O17" s="6">
        <f ca="1">IF(N17&gt;0,MAX($O$10:O16)+1,0)</f>
        <v>0</v>
      </c>
      <c r="Q17" s="84"/>
      <c r="R17" s="84"/>
    </row>
    <row r="18" spans="2:18" ht="24" customHeight="1">
      <c r="B18" s="30" t="str">
        <f t="shared" ca="1" si="0"/>
        <v/>
      </c>
      <c r="C18" s="31" t="str">
        <f t="shared" ca="1" si="1"/>
        <v/>
      </c>
      <c r="D18" s="32"/>
      <c r="E18" s="33"/>
      <c r="F18" s="33"/>
      <c r="G18" s="34"/>
      <c r="H18" s="35"/>
      <c r="I18" s="157"/>
      <c r="J18" s="201"/>
      <c r="K18" s="202" t="str">
        <f ca="1">IF(IF(COPIA!$J$3=TRUE,IF(OR(G18&lt;&gt;0,H18&lt;&gt;0),ROUND(SUM(COPIA!$FB$103:FB110),2)-ROUND(SUM(COPIA!$FC$103:FC110),2),""),"")&lt;&gt;0,"",0)</f>
        <v/>
      </c>
      <c r="L18" s="6">
        <f ca="1">IFERROR(IF(AND(INDIRECT(ADDRESS(ROW(),4,,,))&lt;=COPIA!$DA$1,K18=0,COPIA!$EX$1&gt;1,ROW()&lt;=COPIA!$EX$1),MAX($L$10:L17)+1,IF(AND(INDIRECT(ADDRESS(ROW(),4,,,))&lt;=COPIA!$DA$1,K18=0,COPIA!$EX$1=1),MAX($L$10:L17)+1,0)),0)</f>
        <v>0</v>
      </c>
      <c r="M18" s="6">
        <f ca="1">IF(AND(COPIA!$EX$1=1,L18&lt;&gt;0),ROW()-10,IF(AND(COPIA!$EX$1&gt;1,ROW()&gt;COPIA!$EX$1,L18&lt;&gt;0),0,IF(AND(COPIA!$EX$1&gt;1,ROW()&lt;=COPIA!$EX$1,L18&lt;&gt;0),ROW()-10,0)))</f>
        <v>0</v>
      </c>
      <c r="N18" s="6">
        <f ca="1">IF(AND($P$4=0,ROW()-10&lt;=$P$10),MAX($N$10:N17)+1,IF(AND(ROW()-10&gt;$P$10,ROW()-10&lt;=$P$4),ROW()-10,0))</f>
        <v>0</v>
      </c>
      <c r="O18" s="6">
        <f ca="1">IF(N18&gt;0,MAX($O$10:O17)+1,0)</f>
        <v>0</v>
      </c>
      <c r="Q18" s="84"/>
      <c r="R18" s="84"/>
    </row>
    <row r="19" spans="2:18" ht="24" customHeight="1">
      <c r="B19" s="30" t="str">
        <f t="shared" ca="1" si="0"/>
        <v/>
      </c>
      <c r="C19" s="31" t="str">
        <f t="shared" ca="1" si="1"/>
        <v/>
      </c>
      <c r="D19" s="32"/>
      <c r="E19" s="33"/>
      <c r="F19" s="33"/>
      <c r="G19" s="34"/>
      <c r="H19" s="35"/>
      <c r="I19" s="157"/>
      <c r="J19" s="201"/>
      <c r="K19" s="202" t="str">
        <f ca="1">IF(IF(COPIA!$J$3=TRUE,IF(OR(G19&lt;&gt;0,H19&lt;&gt;0),ROUND(SUM(COPIA!$FB$103:FB111),2)-ROUND(SUM(COPIA!$FC$103:FC111),2),""),"")&lt;&gt;0,"",0)</f>
        <v/>
      </c>
      <c r="L19" s="6">
        <f ca="1">IFERROR(IF(AND(INDIRECT(ADDRESS(ROW(),4,,,))&lt;=COPIA!$DA$1,K19=0,COPIA!$EX$1&gt;1,ROW()&lt;=COPIA!$EX$1),MAX($L$10:L18)+1,IF(AND(INDIRECT(ADDRESS(ROW(),4,,,))&lt;=COPIA!$DA$1,K19=0,COPIA!$EX$1=1),MAX($L$10:L18)+1,0)),0)</f>
        <v>0</v>
      </c>
      <c r="M19" s="6">
        <f ca="1">IF(AND(COPIA!$EX$1=1,L19&lt;&gt;0),ROW()-10,IF(AND(COPIA!$EX$1&gt;1,ROW()&gt;COPIA!$EX$1,L19&lt;&gt;0),0,IF(AND(COPIA!$EX$1&gt;1,ROW()&lt;=COPIA!$EX$1,L19&lt;&gt;0),ROW()-10,0)))</f>
        <v>0</v>
      </c>
      <c r="N19" s="6">
        <f ca="1">IF(AND($P$4=0,ROW()-10&lt;=$P$10),MAX($N$10:N18)+1,IF(AND(ROW()-10&gt;$P$10,ROW()-10&lt;=$P$4),ROW()-10,0))</f>
        <v>0</v>
      </c>
      <c r="O19" s="6">
        <f ca="1">IF(N19&gt;0,MAX($O$10:O18)+1,0)</f>
        <v>0</v>
      </c>
      <c r="Q19" s="84"/>
      <c r="R19" s="84"/>
    </row>
    <row r="20" spans="2:18" ht="24" customHeight="1">
      <c r="B20" s="30" t="str">
        <f t="shared" ca="1" si="0"/>
        <v/>
      </c>
      <c r="C20" s="31" t="str">
        <f t="shared" ca="1" si="1"/>
        <v/>
      </c>
      <c r="D20" s="32"/>
      <c r="E20" s="33"/>
      <c r="F20" s="33"/>
      <c r="G20" s="34"/>
      <c r="H20" s="35"/>
      <c r="I20" s="157"/>
      <c r="J20" s="201"/>
      <c r="K20" s="202" t="str">
        <f ca="1">IF(IF(COPIA!$J$3=TRUE,IF(OR(G20&lt;&gt;0,H20&lt;&gt;0),ROUND(SUM(COPIA!$FB$103:FB112),2)-ROUND(SUM(COPIA!$FC$103:FC112),2),""),"")&lt;&gt;0,"",0)</f>
        <v/>
      </c>
      <c r="L20" s="6">
        <f ca="1">IFERROR(IF(AND(INDIRECT(ADDRESS(ROW(),4,,,))&lt;=COPIA!$DA$1,K20=0,COPIA!$EX$1&gt;1,ROW()&lt;=COPIA!$EX$1),MAX($L$10:L19)+1,IF(AND(INDIRECT(ADDRESS(ROW(),4,,,))&lt;=COPIA!$DA$1,K20=0,COPIA!$EX$1=1),MAX($L$10:L19)+1,0)),0)</f>
        <v>0</v>
      </c>
      <c r="M20" s="6">
        <f ca="1">IF(AND(COPIA!$EX$1=1,L20&lt;&gt;0),ROW()-10,IF(AND(COPIA!$EX$1&gt;1,ROW()&gt;COPIA!$EX$1,L20&lt;&gt;0),0,IF(AND(COPIA!$EX$1&gt;1,ROW()&lt;=COPIA!$EX$1,L20&lt;&gt;0),ROW()-10,0)))</f>
        <v>0</v>
      </c>
      <c r="N20" s="6">
        <f ca="1">IF(AND($P$4=0,ROW()-10&lt;=$P$10),MAX($N$10:N19)+1,IF(AND(ROW()-10&gt;$P$10,ROW()-10&lt;=$P$4),ROW()-10,0))</f>
        <v>0</v>
      </c>
      <c r="O20" s="6">
        <f ca="1">IF(N20&gt;0,MAX($O$10:O19)+1,0)</f>
        <v>0</v>
      </c>
      <c r="Q20" s="84"/>
      <c r="R20" s="84"/>
    </row>
    <row r="21" spans="2:18" ht="24" customHeight="1">
      <c r="B21" s="30" t="str">
        <f t="shared" ca="1" si="0"/>
        <v/>
      </c>
      <c r="C21" s="31" t="str">
        <f t="shared" ca="1" si="1"/>
        <v/>
      </c>
      <c r="D21" s="32"/>
      <c r="E21" s="33"/>
      <c r="F21" s="33"/>
      <c r="G21" s="34"/>
      <c r="H21" s="35"/>
      <c r="I21" s="157"/>
      <c r="J21" s="201"/>
      <c r="K21" s="202" t="str">
        <f ca="1">IF(IF(COPIA!$J$3=TRUE,IF(OR(G21&lt;&gt;0,H21&lt;&gt;0),ROUND(SUM(COPIA!$FB$103:FB113),2)-ROUND(SUM(COPIA!$FC$103:FC113),2),""),"")&lt;&gt;0,"",0)</f>
        <v/>
      </c>
      <c r="L21" s="6">
        <f ca="1">IFERROR(IF(AND(INDIRECT(ADDRESS(ROW(),4,,,))&lt;=COPIA!$DA$1,K21=0,COPIA!$EX$1&gt;1,ROW()&lt;=COPIA!$EX$1),MAX($L$10:L20)+1,IF(AND(INDIRECT(ADDRESS(ROW(),4,,,))&lt;=COPIA!$DA$1,K21=0,COPIA!$EX$1=1),MAX($L$10:L20)+1,0)),0)</f>
        <v>0</v>
      </c>
      <c r="M21" s="6">
        <f ca="1">IF(AND(COPIA!$EX$1=1,L21&lt;&gt;0),ROW()-10,IF(AND(COPIA!$EX$1&gt;1,ROW()&gt;COPIA!$EX$1,L21&lt;&gt;0),0,IF(AND(COPIA!$EX$1&gt;1,ROW()&lt;=COPIA!$EX$1,L21&lt;&gt;0),ROW()-10,0)))</f>
        <v>0</v>
      </c>
      <c r="N21" s="6">
        <f ca="1">IF(AND($P$4=0,ROW()-10&lt;=$P$10),MAX($N$10:N20)+1,IF(AND(ROW()-10&gt;$P$10,ROW()-10&lt;=$P$4),ROW()-10,0))</f>
        <v>0</v>
      </c>
      <c r="O21" s="6">
        <f ca="1">IF(N21&gt;0,MAX($O$10:O20)+1,0)</f>
        <v>0</v>
      </c>
      <c r="Q21" s="84"/>
      <c r="R21" s="84"/>
    </row>
    <row r="22" spans="2:18" ht="24" customHeight="1">
      <c r="B22" s="30" t="str">
        <f t="shared" ca="1" si="0"/>
        <v/>
      </c>
      <c r="C22" s="31" t="str">
        <f t="shared" ca="1" si="1"/>
        <v/>
      </c>
      <c r="D22" s="32"/>
      <c r="E22" s="33"/>
      <c r="F22" s="33"/>
      <c r="G22" s="34"/>
      <c r="H22" s="35"/>
      <c r="I22" s="157"/>
      <c r="J22" s="201"/>
      <c r="K22" s="202" t="str">
        <f ca="1">IF(IF(COPIA!$J$3=TRUE,IF(OR(G22&lt;&gt;0,H22&lt;&gt;0),ROUND(SUM(COPIA!$FB$103:FB114),2)-ROUND(SUM(COPIA!$FC$103:FC114),2),""),"")&lt;&gt;0,"",0)</f>
        <v/>
      </c>
      <c r="L22" s="6">
        <f ca="1">IFERROR(IF(AND(INDIRECT(ADDRESS(ROW(),4,,,))&lt;=COPIA!$DA$1,K22=0,COPIA!$EX$1&gt;1,ROW()&lt;=COPIA!$EX$1),MAX($L$10:L21)+1,IF(AND(INDIRECT(ADDRESS(ROW(),4,,,))&lt;=COPIA!$DA$1,K22=0,COPIA!$EX$1=1),MAX($L$10:L21)+1,0)),0)</f>
        <v>0</v>
      </c>
      <c r="M22" s="6">
        <f ca="1">IF(AND(COPIA!$EX$1=1,L22&lt;&gt;0),ROW()-10,IF(AND(COPIA!$EX$1&gt;1,ROW()&gt;COPIA!$EX$1,L22&lt;&gt;0),0,IF(AND(COPIA!$EX$1&gt;1,ROW()&lt;=COPIA!$EX$1,L22&lt;&gt;0),ROW()-10,0)))</f>
        <v>0</v>
      </c>
      <c r="N22" s="6">
        <f ca="1">IF(AND($P$4=0,ROW()-10&lt;=$P$10),MAX($N$10:N21)+1,IF(AND(ROW()-10&gt;$P$10,ROW()-10&lt;=$P$4),ROW()-10,0))</f>
        <v>0</v>
      </c>
      <c r="O22" s="6">
        <f ca="1">IF(N22&gt;0,MAX($O$10:O21)+1,0)</f>
        <v>0</v>
      </c>
      <c r="Q22" s="84"/>
      <c r="R22" s="84"/>
    </row>
    <row r="23" spans="2:18" ht="24" customHeight="1">
      <c r="B23" s="30" t="str">
        <f t="shared" ca="1" si="0"/>
        <v/>
      </c>
      <c r="C23" s="31" t="str">
        <f t="shared" ca="1" si="1"/>
        <v/>
      </c>
      <c r="D23" s="32"/>
      <c r="E23" s="33"/>
      <c r="F23" s="33"/>
      <c r="G23" s="34"/>
      <c r="H23" s="35"/>
      <c r="I23" s="157"/>
      <c r="J23" s="201"/>
      <c r="K23" s="202" t="str">
        <f ca="1">IF(IF(COPIA!$J$3=TRUE,IF(OR(G23&lt;&gt;0,H23&lt;&gt;0),ROUND(SUM(COPIA!$FB$103:FB115),2)-ROUND(SUM(COPIA!$FC$103:FC115),2),""),"")&lt;&gt;0,"",0)</f>
        <v/>
      </c>
      <c r="L23" s="6">
        <f ca="1">IFERROR(IF(AND(INDIRECT(ADDRESS(ROW(),4,,,))&lt;=COPIA!$DA$1,K23=0,COPIA!$EX$1&gt;1,ROW()&lt;=COPIA!$EX$1),MAX($L$10:L22)+1,IF(AND(INDIRECT(ADDRESS(ROW(),4,,,))&lt;=COPIA!$DA$1,K23=0,COPIA!$EX$1=1),MAX($L$10:L22)+1,0)),0)</f>
        <v>0</v>
      </c>
      <c r="M23" s="6">
        <f ca="1">IF(AND(COPIA!$EX$1=1,L23&lt;&gt;0),ROW()-10,IF(AND(COPIA!$EX$1&gt;1,ROW()&gt;COPIA!$EX$1,L23&lt;&gt;0),0,IF(AND(COPIA!$EX$1&gt;1,ROW()&lt;=COPIA!$EX$1,L23&lt;&gt;0),ROW()-10,0)))</f>
        <v>0</v>
      </c>
      <c r="N23" s="6">
        <f ca="1">IF(AND($P$4=0,ROW()-10&lt;=$P$10),MAX($N$10:N22)+1,IF(AND(ROW()-10&gt;$P$10,ROW()-10&lt;=$P$4),ROW()-10,0))</f>
        <v>0</v>
      </c>
      <c r="O23" s="6">
        <f ca="1">IF(N23&gt;0,MAX($O$10:O22)+1,0)</f>
        <v>0</v>
      </c>
      <c r="Q23" s="84"/>
      <c r="R23" s="84"/>
    </row>
    <row r="24" spans="2:18" ht="24" customHeight="1">
      <c r="B24" s="30" t="str">
        <f t="shared" ca="1" si="0"/>
        <v/>
      </c>
      <c r="C24" s="31" t="str">
        <f t="shared" ca="1" si="1"/>
        <v/>
      </c>
      <c r="D24" s="32"/>
      <c r="E24" s="33"/>
      <c r="F24" s="33"/>
      <c r="G24" s="34"/>
      <c r="H24" s="35"/>
      <c r="I24" s="157"/>
      <c r="J24" s="201"/>
      <c r="K24" s="202" t="str">
        <f ca="1">IF(IF(COPIA!$J$3=TRUE,IF(OR(G24&lt;&gt;0,H24&lt;&gt;0),ROUND(SUM(COPIA!$FB$103:FB116),2)-ROUND(SUM(COPIA!$FC$103:FC116),2),""),"")&lt;&gt;0,"",0)</f>
        <v/>
      </c>
      <c r="L24" s="6">
        <f ca="1">IFERROR(IF(AND(INDIRECT(ADDRESS(ROW(),4,,,))&lt;=COPIA!$DA$1,K24=0,COPIA!$EX$1&gt;1,ROW()&lt;=COPIA!$EX$1),MAX($L$10:L23)+1,IF(AND(INDIRECT(ADDRESS(ROW(),4,,,))&lt;=COPIA!$DA$1,K24=0,COPIA!$EX$1=1),MAX($L$10:L23)+1,0)),0)</f>
        <v>0</v>
      </c>
      <c r="M24" s="6">
        <f ca="1">IF(AND(COPIA!$EX$1=1,L24&lt;&gt;0),ROW()-10,IF(AND(COPIA!$EX$1&gt;1,ROW()&gt;COPIA!$EX$1,L24&lt;&gt;0),0,IF(AND(COPIA!$EX$1&gt;1,ROW()&lt;=COPIA!$EX$1,L24&lt;&gt;0),ROW()-10,0)))</f>
        <v>0</v>
      </c>
      <c r="N24" s="6">
        <f ca="1">IF(AND($P$4=0,ROW()-10&lt;=$P$10),MAX($N$10:N23)+1,IF(AND(ROW()-10&gt;$P$10,ROW()-10&lt;=$P$4),ROW()-10,0))</f>
        <v>0</v>
      </c>
      <c r="O24" s="6">
        <f ca="1">IF(N24&gt;0,MAX($O$10:O23)+1,0)</f>
        <v>0</v>
      </c>
      <c r="Q24" s="84"/>
      <c r="R24" s="84"/>
    </row>
    <row r="25" spans="2:18" ht="24" customHeight="1">
      <c r="B25" s="30" t="str">
        <f t="shared" ca="1" si="0"/>
        <v/>
      </c>
      <c r="C25" s="31" t="str">
        <f t="shared" ca="1" si="1"/>
        <v/>
      </c>
      <c r="D25" s="32"/>
      <c r="E25" s="33"/>
      <c r="F25" s="33"/>
      <c r="G25" s="34"/>
      <c r="H25" s="35"/>
      <c r="I25" s="157"/>
      <c r="J25" s="201"/>
      <c r="K25" s="202" t="str">
        <f ca="1">IF(IF(COPIA!$J$3=TRUE,IF(OR(G25&lt;&gt;0,H25&lt;&gt;0),ROUND(SUM(COPIA!$FB$103:FB117),2)-ROUND(SUM(COPIA!$FC$103:FC117),2),""),"")&lt;&gt;0,"",0)</f>
        <v/>
      </c>
      <c r="L25" s="6">
        <f ca="1">IFERROR(IF(AND(INDIRECT(ADDRESS(ROW(),4,,,))&lt;=COPIA!$DA$1,K25=0,COPIA!$EX$1&gt;1,ROW()&lt;=COPIA!$EX$1),MAX($L$10:L24)+1,IF(AND(INDIRECT(ADDRESS(ROW(),4,,,))&lt;=COPIA!$DA$1,K25=0,COPIA!$EX$1=1),MAX($L$10:L24)+1,0)),0)</f>
        <v>0</v>
      </c>
      <c r="M25" s="6">
        <f ca="1">IF(AND(COPIA!$EX$1=1,L25&lt;&gt;0),ROW()-10,IF(AND(COPIA!$EX$1&gt;1,ROW()&gt;COPIA!$EX$1,L25&lt;&gt;0),0,IF(AND(COPIA!$EX$1&gt;1,ROW()&lt;=COPIA!$EX$1,L25&lt;&gt;0),ROW()-10,0)))</f>
        <v>0</v>
      </c>
      <c r="N25" s="6">
        <f ca="1">IF(AND($P$4=0,ROW()-10&lt;=$P$10),MAX($N$10:N24)+1,IF(AND(ROW()-10&gt;$P$10,ROW()-10&lt;=$P$4),ROW()-10,0))</f>
        <v>0</v>
      </c>
      <c r="O25" s="6">
        <f ca="1">IF(N25&gt;0,MAX($O$10:O24)+1,0)</f>
        <v>0</v>
      </c>
      <c r="Q25" s="84"/>
      <c r="R25" s="84"/>
    </row>
    <row r="26" spans="2:18" ht="24" customHeight="1">
      <c r="B26" s="30" t="str">
        <f t="shared" ca="1" si="0"/>
        <v/>
      </c>
      <c r="C26" s="31" t="str">
        <f t="shared" ca="1" si="1"/>
        <v/>
      </c>
      <c r="D26" s="32"/>
      <c r="E26" s="33"/>
      <c r="F26" s="33"/>
      <c r="G26" s="34"/>
      <c r="H26" s="35"/>
      <c r="I26" s="157"/>
      <c r="J26" s="201"/>
      <c r="K26" s="202" t="str">
        <f ca="1">IF(IF(COPIA!$J$3=TRUE,IF(OR(G26&lt;&gt;0,H26&lt;&gt;0),ROUND(SUM(COPIA!$FB$103:FB118),2)-ROUND(SUM(COPIA!$FC$103:FC118),2),""),"")&lt;&gt;0,"",0)</f>
        <v/>
      </c>
      <c r="L26" s="6">
        <f ca="1">IFERROR(IF(AND(INDIRECT(ADDRESS(ROW(),4,,,))&lt;=COPIA!$DA$1,K26=0,COPIA!$EX$1&gt;1,ROW()&lt;=COPIA!$EX$1),MAX($L$10:L25)+1,IF(AND(INDIRECT(ADDRESS(ROW(),4,,,))&lt;=COPIA!$DA$1,K26=0,COPIA!$EX$1=1),MAX($L$10:L25)+1,0)),0)</f>
        <v>0</v>
      </c>
      <c r="M26" s="6">
        <f ca="1">IF(AND(COPIA!$EX$1=1,L26&lt;&gt;0),ROW()-10,IF(AND(COPIA!$EX$1&gt;1,ROW()&gt;COPIA!$EX$1,L26&lt;&gt;0),0,IF(AND(COPIA!$EX$1&gt;1,ROW()&lt;=COPIA!$EX$1,L26&lt;&gt;0),ROW()-10,0)))</f>
        <v>0</v>
      </c>
      <c r="N26" s="6">
        <f ca="1">IF(AND($P$4=0,ROW()-10&lt;=$P$10),MAX($N$10:N25)+1,IF(AND(ROW()-10&gt;$P$10,ROW()-10&lt;=$P$4),ROW()-10,0))</f>
        <v>0</v>
      </c>
      <c r="O26" s="6">
        <f ca="1">IF(N26&gt;0,MAX($O$10:O25)+1,0)</f>
        <v>0</v>
      </c>
      <c r="Q26" s="84"/>
      <c r="R26" s="84"/>
    </row>
    <row r="27" spans="2:18" ht="24" customHeight="1">
      <c r="B27" s="30" t="str">
        <f t="shared" ca="1" si="0"/>
        <v/>
      </c>
      <c r="C27" s="31" t="str">
        <f t="shared" ca="1" si="1"/>
        <v/>
      </c>
      <c r="D27" s="32"/>
      <c r="E27" s="33"/>
      <c r="F27" s="33"/>
      <c r="G27" s="34"/>
      <c r="H27" s="35"/>
      <c r="I27" s="157"/>
      <c r="J27" s="201"/>
      <c r="K27" s="202" t="str">
        <f ca="1">IF(IF(COPIA!$J$3=TRUE,IF(OR(G27&lt;&gt;0,H27&lt;&gt;0),ROUND(SUM(COPIA!$FB$103:FB119),2)-ROUND(SUM(COPIA!$FC$103:FC119),2),""),"")&lt;&gt;0,"",0)</f>
        <v/>
      </c>
      <c r="L27" s="6">
        <f ca="1">IFERROR(IF(AND(INDIRECT(ADDRESS(ROW(),4,,,))&lt;=COPIA!$DA$1,K27=0,COPIA!$EX$1&gt;1,ROW()&lt;=COPIA!$EX$1),MAX($L$10:L26)+1,IF(AND(INDIRECT(ADDRESS(ROW(),4,,,))&lt;=COPIA!$DA$1,K27=0,COPIA!$EX$1=1),MAX($L$10:L26)+1,0)),0)</f>
        <v>0</v>
      </c>
      <c r="M27" s="6">
        <f ca="1">IF(AND(COPIA!$EX$1=1,L27&lt;&gt;0),ROW()-10,IF(AND(COPIA!$EX$1&gt;1,ROW()&gt;COPIA!$EX$1,L27&lt;&gt;0),0,IF(AND(COPIA!$EX$1&gt;1,ROW()&lt;=COPIA!$EX$1,L27&lt;&gt;0),ROW()-10,0)))</f>
        <v>0</v>
      </c>
      <c r="N27" s="6">
        <f ca="1">IF(AND($P$4=0,ROW()-10&lt;=$P$10),MAX($N$10:N26)+1,IF(AND(ROW()-10&gt;$P$10,ROW()-10&lt;=$P$4),ROW()-10,0))</f>
        <v>0</v>
      </c>
      <c r="O27" s="6">
        <f ca="1">IF(N27&gt;0,MAX($O$10:O26)+1,0)</f>
        <v>0</v>
      </c>
      <c r="Q27" s="84"/>
      <c r="R27" s="84"/>
    </row>
    <row r="28" spans="2:18" ht="24" customHeight="1">
      <c r="B28" s="30" t="str">
        <f t="shared" ca="1" si="0"/>
        <v/>
      </c>
      <c r="C28" s="31" t="str">
        <f t="shared" ca="1" si="1"/>
        <v/>
      </c>
      <c r="D28" s="32"/>
      <c r="E28" s="33"/>
      <c r="F28" s="33"/>
      <c r="G28" s="34"/>
      <c r="H28" s="35"/>
      <c r="I28" s="157"/>
      <c r="J28" s="201"/>
      <c r="K28" s="202" t="str">
        <f ca="1">IF(IF(COPIA!$J$3=TRUE,IF(OR(G28&lt;&gt;0,H28&lt;&gt;0),ROUND(SUM(COPIA!$FB$103:FB120),2)-ROUND(SUM(COPIA!$FC$103:FC120),2),""),"")&lt;&gt;0,"",0)</f>
        <v/>
      </c>
      <c r="L28" s="6">
        <f ca="1">IFERROR(IF(AND(INDIRECT(ADDRESS(ROW(),4,,,))&lt;=COPIA!$DA$1,K28=0,COPIA!$EX$1&gt;1,ROW()&lt;=COPIA!$EX$1),MAX($L$10:L27)+1,IF(AND(INDIRECT(ADDRESS(ROW(),4,,,))&lt;=COPIA!$DA$1,K28=0,COPIA!$EX$1=1),MAX($L$10:L27)+1,0)),0)</f>
        <v>0</v>
      </c>
      <c r="M28" s="6">
        <f ca="1">IF(AND(COPIA!$EX$1=1,L28&lt;&gt;0),ROW()-10,IF(AND(COPIA!$EX$1&gt;1,ROW()&gt;COPIA!$EX$1,L28&lt;&gt;0),0,IF(AND(COPIA!$EX$1&gt;1,ROW()&lt;=COPIA!$EX$1,L28&lt;&gt;0),ROW()-10,0)))</f>
        <v>0</v>
      </c>
      <c r="N28" s="6">
        <f ca="1">IF(AND($P$4=0,ROW()-10&lt;=$P$10),MAX($N$10:N27)+1,IF(AND(ROW()-10&gt;$P$10,ROW()-10&lt;=$P$4),ROW()-10,0))</f>
        <v>0</v>
      </c>
      <c r="O28" s="6">
        <f ca="1">IF(N28&gt;0,MAX($O$10:O27)+1,0)</f>
        <v>0</v>
      </c>
      <c r="Q28" s="84"/>
      <c r="R28" s="84"/>
    </row>
    <row r="29" spans="2:18" ht="24" customHeight="1">
      <c r="B29" s="30" t="str">
        <f t="shared" ca="1" si="0"/>
        <v/>
      </c>
      <c r="C29" s="31" t="str">
        <f t="shared" ca="1" si="1"/>
        <v/>
      </c>
      <c r="D29" s="32"/>
      <c r="E29" s="33"/>
      <c r="F29" s="33"/>
      <c r="G29" s="34"/>
      <c r="H29" s="35"/>
      <c r="I29" s="157"/>
      <c r="J29" s="201"/>
      <c r="K29" s="202" t="str">
        <f ca="1">IF(IF(COPIA!$J$3=TRUE,IF(OR(G29&lt;&gt;0,H29&lt;&gt;0),ROUND(SUM(COPIA!$FB$103:FB121),2)-ROUND(SUM(COPIA!$FC$103:FC121),2),""),"")&lt;&gt;0,"",0)</f>
        <v/>
      </c>
      <c r="L29" s="6">
        <f ca="1">IFERROR(IF(AND(INDIRECT(ADDRESS(ROW(),4,,,))&lt;=COPIA!$DA$1,K29=0,COPIA!$EX$1&gt;1,ROW()&lt;=COPIA!$EX$1),MAX($L$10:L28)+1,IF(AND(INDIRECT(ADDRESS(ROW(),4,,,))&lt;=COPIA!$DA$1,K29=0,COPIA!$EX$1=1),MAX($L$10:L28)+1,0)),0)</f>
        <v>0</v>
      </c>
      <c r="M29" s="6">
        <f ca="1">IF(AND(COPIA!$EX$1=1,L29&lt;&gt;0),ROW()-10,IF(AND(COPIA!$EX$1&gt;1,ROW()&gt;COPIA!$EX$1,L29&lt;&gt;0),0,IF(AND(COPIA!$EX$1&gt;1,ROW()&lt;=COPIA!$EX$1,L29&lt;&gt;0),ROW()-10,0)))</f>
        <v>0</v>
      </c>
      <c r="N29" s="6">
        <f ca="1">IF(AND($P$4=0,ROW()-10&lt;=$P$10),MAX($N$10:N28)+1,IF(AND(ROW()-10&gt;$P$10,ROW()-10&lt;=$P$4),ROW()-10,0))</f>
        <v>0</v>
      </c>
      <c r="O29" s="6">
        <f ca="1">IF(N29&gt;0,MAX($O$10:O28)+1,0)</f>
        <v>0</v>
      </c>
      <c r="Q29" s="84"/>
      <c r="R29" s="84"/>
    </row>
    <row r="30" spans="2:18" ht="24" customHeight="1">
      <c r="B30" s="30" t="str">
        <f t="shared" ca="1" si="0"/>
        <v/>
      </c>
      <c r="C30" s="31" t="str">
        <f t="shared" ca="1" si="1"/>
        <v/>
      </c>
      <c r="D30" s="32"/>
      <c r="E30" s="88"/>
      <c r="F30" s="33"/>
      <c r="G30" s="34"/>
      <c r="H30" s="35"/>
      <c r="I30" s="157"/>
      <c r="J30" s="201"/>
      <c r="K30" s="202" t="str">
        <f ca="1">IF(IF(COPIA!$J$3=TRUE,IF(OR(G30&lt;&gt;0,H30&lt;&gt;0),ROUND(SUM(COPIA!$FB$103:FB122),2)-ROUND(SUM(COPIA!$FC$103:FC122),2),""),"")&lt;&gt;0,"",0)</f>
        <v/>
      </c>
      <c r="L30" s="6">
        <f ca="1">IFERROR(IF(AND(INDIRECT(ADDRESS(ROW(),4,,,))&lt;=COPIA!$DA$1,K30=0,COPIA!$EX$1&gt;1,ROW()&lt;=COPIA!$EX$1),MAX($L$10:L29)+1,IF(AND(INDIRECT(ADDRESS(ROW(),4,,,))&lt;=COPIA!$DA$1,K30=0,COPIA!$EX$1=1),MAX($L$10:L29)+1,0)),0)</f>
        <v>0</v>
      </c>
      <c r="M30" s="6">
        <f ca="1">IF(AND(COPIA!$EX$1=1,L30&lt;&gt;0),ROW()-10,IF(AND(COPIA!$EX$1&gt;1,ROW()&gt;COPIA!$EX$1,L30&lt;&gt;0),0,IF(AND(COPIA!$EX$1&gt;1,ROW()&lt;=COPIA!$EX$1,L30&lt;&gt;0),ROW()-10,0)))</f>
        <v>0</v>
      </c>
      <c r="N30" s="6">
        <f ca="1">IF(AND($P$4=0,ROW()-10&lt;=$P$10),MAX($N$10:N29)+1,IF(AND(ROW()-10&gt;$P$10,ROW()-10&lt;=$P$4),ROW()-10,0))</f>
        <v>0</v>
      </c>
      <c r="O30" s="6">
        <f ca="1">IF(N30&gt;0,MAX($O$10:O29)+1,0)</f>
        <v>0</v>
      </c>
      <c r="Q30" s="84"/>
      <c r="R30" s="84"/>
    </row>
    <row r="31" spans="2:18" ht="24" customHeight="1">
      <c r="B31" s="30" t="str">
        <f t="shared" ca="1" si="0"/>
        <v/>
      </c>
      <c r="C31" s="31" t="str">
        <f t="shared" ca="1" si="1"/>
        <v/>
      </c>
      <c r="D31" s="32"/>
      <c r="E31" s="33"/>
      <c r="F31" s="33"/>
      <c r="G31" s="34"/>
      <c r="H31" s="35"/>
      <c r="I31" s="157"/>
      <c r="J31" s="201"/>
      <c r="K31" s="202" t="str">
        <f ca="1">IF(IF(COPIA!$J$3=TRUE,IF(OR(G31&lt;&gt;0,H31&lt;&gt;0),ROUND(SUM(COPIA!$FB$103:FB123),2)-ROUND(SUM(COPIA!$FC$103:FC123),2),""),"")&lt;&gt;0,"",0)</f>
        <v/>
      </c>
      <c r="L31" s="6">
        <f ca="1">IFERROR(IF(AND(INDIRECT(ADDRESS(ROW(),4,,,))&lt;=COPIA!$DA$1,K31=0,COPIA!$EX$1&gt;1,ROW()&lt;=COPIA!$EX$1),MAX($L$10:L30)+1,IF(AND(INDIRECT(ADDRESS(ROW(),4,,,))&lt;=COPIA!$DA$1,K31=0,COPIA!$EX$1=1),MAX($L$10:L30)+1,0)),0)</f>
        <v>0</v>
      </c>
      <c r="M31" s="6">
        <f ca="1">IF(AND(COPIA!$EX$1=1,L31&lt;&gt;0),ROW()-10,IF(AND(COPIA!$EX$1&gt;1,ROW()&gt;COPIA!$EX$1,L31&lt;&gt;0),0,IF(AND(COPIA!$EX$1&gt;1,ROW()&lt;=COPIA!$EX$1,L31&lt;&gt;0),ROW()-10,0)))</f>
        <v>0</v>
      </c>
      <c r="N31" s="6">
        <f ca="1">IF(AND($P$4=0,ROW()-10&lt;=$P$10),MAX($N$10:N30)+1,IF(AND(ROW()-10&gt;$P$10,ROW()-10&lt;=$P$4),ROW()-10,0))</f>
        <v>0</v>
      </c>
      <c r="O31" s="6">
        <f ca="1">IF(N31&gt;0,MAX($O$10:O30)+1,0)</f>
        <v>0</v>
      </c>
      <c r="Q31" s="84"/>
      <c r="R31" s="84"/>
    </row>
    <row r="32" spans="2:18" ht="24" customHeight="1">
      <c r="B32" s="30" t="str">
        <f t="shared" ca="1" si="0"/>
        <v/>
      </c>
      <c r="C32" s="31" t="str">
        <f t="shared" ca="1" si="1"/>
        <v/>
      </c>
      <c r="D32" s="32"/>
      <c r="E32" s="33"/>
      <c r="F32" s="33"/>
      <c r="G32" s="34"/>
      <c r="H32" s="35"/>
      <c r="I32" s="157"/>
      <c r="J32" s="201"/>
      <c r="K32" s="202" t="str">
        <f ca="1">IF(IF(COPIA!$J$3=TRUE,IF(OR(G32&lt;&gt;0,H32&lt;&gt;0),ROUND(SUM(COPIA!$FB$103:FB124),2)-ROUND(SUM(COPIA!$FC$103:FC124),2),""),"")&lt;&gt;0,"",0)</f>
        <v/>
      </c>
      <c r="L32" s="6">
        <f ca="1">IFERROR(IF(AND(INDIRECT(ADDRESS(ROW(),4,,,))&lt;=COPIA!$DA$1,K32=0,COPIA!$EX$1&gt;1,ROW()&lt;=COPIA!$EX$1),MAX($L$10:L31)+1,IF(AND(INDIRECT(ADDRESS(ROW(),4,,,))&lt;=COPIA!$DA$1,K32=0,COPIA!$EX$1=1),MAX($L$10:L31)+1,0)),0)</f>
        <v>0</v>
      </c>
      <c r="M32" s="6">
        <f ca="1">IF(AND(COPIA!$EX$1=1,L32&lt;&gt;0),ROW()-10,IF(AND(COPIA!$EX$1&gt;1,ROW()&gt;COPIA!$EX$1,L32&lt;&gt;0),0,IF(AND(COPIA!$EX$1&gt;1,ROW()&lt;=COPIA!$EX$1,L32&lt;&gt;0),ROW()-10,0)))</f>
        <v>0</v>
      </c>
      <c r="N32" s="6">
        <f ca="1">IF(AND($P$4=0,ROW()-10&lt;=$P$10),MAX($N$10:N31)+1,IF(AND(ROW()-10&gt;$P$10,ROW()-10&lt;=$P$4),ROW()-10,0))</f>
        <v>0</v>
      </c>
      <c r="O32" s="6">
        <f ca="1">IF(N32&gt;0,MAX($O$10:O31)+1,0)</f>
        <v>0</v>
      </c>
      <c r="Q32" s="84"/>
      <c r="R32" s="84"/>
    </row>
    <row r="33" spans="2:18" ht="24" customHeight="1">
      <c r="B33" s="30" t="str">
        <f t="shared" ca="1" si="0"/>
        <v/>
      </c>
      <c r="C33" s="31" t="str">
        <f t="shared" ca="1" si="1"/>
        <v/>
      </c>
      <c r="D33" s="32"/>
      <c r="E33" s="33"/>
      <c r="F33" s="33"/>
      <c r="G33" s="34"/>
      <c r="H33" s="35"/>
      <c r="I33" s="157"/>
      <c r="J33" s="201"/>
      <c r="K33" s="202" t="str">
        <f ca="1">IF(IF(COPIA!$J$3=TRUE,IF(OR(G33&lt;&gt;0,H33&lt;&gt;0),ROUND(SUM(COPIA!$FB$103:FB125),2)-ROUND(SUM(COPIA!$FC$103:FC125),2),""),"")&lt;&gt;0,"",0)</f>
        <v/>
      </c>
      <c r="L33" s="6">
        <f ca="1">IFERROR(IF(AND(INDIRECT(ADDRESS(ROW(),4,,,))&lt;=COPIA!$DA$1,K33=0,COPIA!$EX$1&gt;1,ROW()&lt;=COPIA!$EX$1),MAX($L$10:L32)+1,IF(AND(INDIRECT(ADDRESS(ROW(),4,,,))&lt;=COPIA!$DA$1,K33=0,COPIA!$EX$1=1),MAX($L$10:L32)+1,0)),0)</f>
        <v>0</v>
      </c>
      <c r="M33" s="6">
        <f ca="1">IF(AND(COPIA!$EX$1=1,L33&lt;&gt;0),ROW()-10,IF(AND(COPIA!$EX$1&gt;1,ROW()&gt;COPIA!$EX$1,L33&lt;&gt;0),0,IF(AND(COPIA!$EX$1&gt;1,ROW()&lt;=COPIA!$EX$1,L33&lt;&gt;0),ROW()-10,0)))</f>
        <v>0</v>
      </c>
      <c r="N33" s="6">
        <f ca="1">IF(AND($P$4=0,ROW()-10&lt;=$P$10),MAX($N$10:N32)+1,IF(AND(ROW()-10&gt;$P$10,ROW()-10&lt;=$P$4),ROW()-10,0))</f>
        <v>0</v>
      </c>
      <c r="O33" s="6">
        <f ca="1">IF(N33&gt;0,MAX($O$10:O32)+1,0)</f>
        <v>0</v>
      </c>
      <c r="Q33" s="84"/>
      <c r="R33" s="84"/>
    </row>
    <row r="34" spans="2:18" ht="24" customHeight="1">
      <c r="B34" s="30" t="str">
        <f t="shared" ca="1" si="0"/>
        <v/>
      </c>
      <c r="C34" s="31" t="str">
        <f t="shared" ca="1" si="1"/>
        <v/>
      </c>
      <c r="D34" s="32"/>
      <c r="E34" s="33"/>
      <c r="F34" s="33"/>
      <c r="G34" s="34"/>
      <c r="H34" s="35"/>
      <c r="I34" s="157"/>
      <c r="J34" s="201"/>
      <c r="K34" s="202" t="str">
        <f ca="1">IF(IF(COPIA!$J$3=TRUE,IF(OR(G34&lt;&gt;0,H34&lt;&gt;0),ROUND(SUM(COPIA!$FB$103:FB126),2)-ROUND(SUM(COPIA!$FC$103:FC126),2),""),"")&lt;&gt;0,"",0)</f>
        <v/>
      </c>
      <c r="L34" s="6">
        <f ca="1">IFERROR(IF(AND(INDIRECT(ADDRESS(ROW(),4,,,))&lt;=COPIA!$DA$1,K34=0,COPIA!$EX$1&gt;1,ROW()&lt;=COPIA!$EX$1),MAX($L$10:L33)+1,IF(AND(INDIRECT(ADDRESS(ROW(),4,,,))&lt;=COPIA!$DA$1,K34=0,COPIA!$EX$1=1),MAX($L$10:L33)+1,0)),0)</f>
        <v>0</v>
      </c>
      <c r="M34" s="6">
        <f ca="1">IF(AND(COPIA!$EX$1=1,L34&lt;&gt;0),ROW()-10,IF(AND(COPIA!$EX$1&gt;1,ROW()&gt;COPIA!$EX$1,L34&lt;&gt;0),0,IF(AND(COPIA!$EX$1&gt;1,ROW()&lt;=COPIA!$EX$1,L34&lt;&gt;0),ROW()-10,0)))</f>
        <v>0</v>
      </c>
      <c r="N34" s="6">
        <f ca="1">IF(AND($P$4=0,ROW()-10&lt;=$P$10),MAX($N$10:N33)+1,IF(AND(ROW()-10&gt;$P$10,ROW()-10&lt;=$P$4),ROW()-10,0))</f>
        <v>0</v>
      </c>
      <c r="O34" s="6">
        <f ca="1">IF(N34&gt;0,MAX($O$10:O33)+1,0)</f>
        <v>0</v>
      </c>
      <c r="Q34" s="84"/>
      <c r="R34" s="84"/>
    </row>
    <row r="35" spans="2:18" ht="24" customHeight="1">
      <c r="B35" s="30" t="str">
        <f t="shared" ca="1" si="0"/>
        <v/>
      </c>
      <c r="C35" s="31" t="str">
        <f t="shared" ca="1" si="1"/>
        <v/>
      </c>
      <c r="D35" s="32"/>
      <c r="E35" s="33"/>
      <c r="F35" s="33"/>
      <c r="G35" s="34"/>
      <c r="H35" s="35"/>
      <c r="I35" s="157"/>
      <c r="J35" s="201"/>
      <c r="K35" s="202" t="str">
        <f ca="1">IF(IF(COPIA!$J$3=TRUE,IF(OR(G35&lt;&gt;0,H35&lt;&gt;0),ROUND(SUM(COPIA!$FB$103:FB127),2)-ROUND(SUM(COPIA!$FC$103:FC127),2),""),"")&lt;&gt;0,"",0)</f>
        <v/>
      </c>
      <c r="L35" s="6">
        <f ca="1">IFERROR(IF(AND(INDIRECT(ADDRESS(ROW(),4,,,))&lt;=COPIA!$DA$1,K35=0,COPIA!$EX$1&gt;1,ROW()&lt;=COPIA!$EX$1),MAX($L$10:L34)+1,IF(AND(INDIRECT(ADDRESS(ROW(),4,,,))&lt;=COPIA!$DA$1,K35=0,COPIA!$EX$1=1),MAX($L$10:L34)+1,0)),0)</f>
        <v>0</v>
      </c>
      <c r="M35" s="6">
        <f ca="1">IF(AND(COPIA!$EX$1=1,L35&lt;&gt;0),ROW()-10,IF(AND(COPIA!$EX$1&gt;1,ROW()&gt;COPIA!$EX$1,L35&lt;&gt;0),0,IF(AND(COPIA!$EX$1&gt;1,ROW()&lt;=COPIA!$EX$1,L35&lt;&gt;0),ROW()-10,0)))</f>
        <v>0</v>
      </c>
      <c r="N35" s="6">
        <f ca="1">IF(AND($P$4=0,ROW()-10&lt;=$P$10),MAX($N$10:N34)+1,IF(AND(ROW()-10&gt;$P$10,ROW()-10&lt;=$P$4),ROW()-10,0))</f>
        <v>0</v>
      </c>
      <c r="O35" s="6">
        <f ca="1">IF(N35&gt;0,MAX($O$10:O34)+1,0)</f>
        <v>0</v>
      </c>
      <c r="Q35" s="84"/>
      <c r="R35" s="84"/>
    </row>
    <row r="36" spans="2:18" ht="24" customHeight="1">
      <c r="B36" s="30" t="str">
        <f t="shared" ca="1" si="0"/>
        <v/>
      </c>
      <c r="C36" s="31" t="str">
        <f t="shared" ca="1" si="1"/>
        <v/>
      </c>
      <c r="D36" s="32"/>
      <c r="E36" s="33"/>
      <c r="F36" s="33"/>
      <c r="G36" s="34"/>
      <c r="H36" s="35"/>
      <c r="I36" s="157"/>
      <c r="J36" s="201"/>
      <c r="K36" s="202" t="str">
        <f ca="1">IF(IF(COPIA!$J$3=TRUE,IF(OR(G36&lt;&gt;0,H36&lt;&gt;0),ROUND(SUM(COPIA!$FB$103:FB128),2)-ROUND(SUM(COPIA!$FC$103:FC128),2),""),"")&lt;&gt;0,"",0)</f>
        <v/>
      </c>
      <c r="L36" s="6">
        <f ca="1">IFERROR(IF(AND(INDIRECT(ADDRESS(ROW(),4,,,))&lt;=COPIA!$DA$1,K36=0,COPIA!$EX$1&gt;1,ROW()&lt;=COPIA!$EX$1),MAX($L$10:L35)+1,IF(AND(INDIRECT(ADDRESS(ROW(),4,,,))&lt;=COPIA!$DA$1,K36=0,COPIA!$EX$1=1),MAX($L$10:L35)+1,0)),0)</f>
        <v>0</v>
      </c>
      <c r="M36" s="6">
        <f ca="1">IF(AND(COPIA!$EX$1=1,L36&lt;&gt;0),ROW()-10,IF(AND(COPIA!$EX$1&gt;1,ROW()&gt;COPIA!$EX$1,L36&lt;&gt;0),0,IF(AND(COPIA!$EX$1&gt;1,ROW()&lt;=COPIA!$EX$1,L36&lt;&gt;0),ROW()-10,0)))</f>
        <v>0</v>
      </c>
      <c r="N36" s="6">
        <f ca="1">IF(AND($P$4=0,ROW()-10&lt;=$P$10),MAX($N$10:N35)+1,IF(AND(ROW()-10&gt;$P$10,ROW()-10&lt;=$P$4),ROW()-10,0))</f>
        <v>0</v>
      </c>
      <c r="O36" s="6">
        <f ca="1">IF(N36&gt;0,MAX($O$10:O35)+1,0)</f>
        <v>0</v>
      </c>
      <c r="Q36" s="84"/>
      <c r="R36" s="84"/>
    </row>
    <row r="37" spans="2:18" ht="24" customHeight="1">
      <c r="B37" s="30" t="str">
        <f t="shared" ca="1" si="0"/>
        <v/>
      </c>
      <c r="C37" s="31" t="str">
        <f t="shared" ca="1" si="1"/>
        <v/>
      </c>
      <c r="D37" s="32"/>
      <c r="E37" s="33"/>
      <c r="F37" s="33"/>
      <c r="G37" s="34"/>
      <c r="H37" s="35"/>
      <c r="I37" s="157"/>
      <c r="J37" s="201"/>
      <c r="K37" s="202" t="str">
        <f ca="1">IF(IF(COPIA!$J$3=TRUE,IF(OR(G37&lt;&gt;0,H37&lt;&gt;0),ROUND(SUM(COPIA!$FB$103:FB129),2)-ROUND(SUM(COPIA!$FC$103:FC129),2),""),"")&lt;&gt;0,"",0)</f>
        <v/>
      </c>
      <c r="L37" s="6">
        <f ca="1">IFERROR(IF(AND(INDIRECT(ADDRESS(ROW(),4,,,))&lt;=COPIA!$DA$1,K37=0,COPIA!$EX$1&gt;1,ROW()&lt;=COPIA!$EX$1),MAX($L$10:L36)+1,IF(AND(INDIRECT(ADDRESS(ROW(),4,,,))&lt;=COPIA!$DA$1,K37=0,COPIA!$EX$1=1),MAX($L$10:L36)+1,0)),0)</f>
        <v>0</v>
      </c>
      <c r="M37" s="6">
        <f ca="1">IF(AND(COPIA!$EX$1=1,L37&lt;&gt;0),ROW()-10,IF(AND(COPIA!$EX$1&gt;1,ROW()&gt;COPIA!$EX$1,L37&lt;&gt;0),0,IF(AND(COPIA!$EX$1&gt;1,ROW()&lt;=COPIA!$EX$1,L37&lt;&gt;0),ROW()-10,0)))</f>
        <v>0</v>
      </c>
      <c r="N37" s="6">
        <f ca="1">IF(AND($P$4=0,ROW()-10&lt;=$P$10),MAX($N$10:N36)+1,IF(AND(ROW()-10&gt;$P$10,ROW()-10&lt;=$P$4),ROW()-10,0))</f>
        <v>0</v>
      </c>
      <c r="O37" s="6">
        <f ca="1">IF(N37&gt;0,MAX($O$10:O36)+1,0)</f>
        <v>0</v>
      </c>
      <c r="Q37" s="84"/>
      <c r="R37" s="84"/>
    </row>
    <row r="38" spans="2:18" ht="24" customHeight="1">
      <c r="B38" s="30" t="str">
        <f t="shared" ca="1" si="0"/>
        <v/>
      </c>
      <c r="C38" s="31" t="str">
        <f t="shared" ca="1" si="1"/>
        <v/>
      </c>
      <c r="D38" s="32"/>
      <c r="E38" s="33"/>
      <c r="F38" s="33"/>
      <c r="G38" s="34"/>
      <c r="H38" s="35"/>
      <c r="I38" s="157"/>
      <c r="J38" s="201"/>
      <c r="K38" s="202" t="str">
        <f ca="1">IF(IF(COPIA!$J$3=TRUE,IF(OR(G38&lt;&gt;0,H38&lt;&gt;0),ROUND(SUM(COPIA!$FB$103:FB130),2)-ROUND(SUM(COPIA!$FC$103:FC130),2),""),"")&lt;&gt;0,"",0)</f>
        <v/>
      </c>
      <c r="L38" s="6">
        <f ca="1">IFERROR(IF(AND(INDIRECT(ADDRESS(ROW(),4,,,))&lt;=COPIA!$DA$1,K38=0,COPIA!$EX$1&gt;1,ROW()&lt;=COPIA!$EX$1),MAX($L$10:L37)+1,IF(AND(INDIRECT(ADDRESS(ROW(),4,,,))&lt;=COPIA!$DA$1,K38=0,COPIA!$EX$1=1),MAX($L$10:L37)+1,0)),0)</f>
        <v>0</v>
      </c>
      <c r="M38" s="6">
        <f ca="1">IF(AND(COPIA!$EX$1=1,L38&lt;&gt;0),ROW()-10,IF(AND(COPIA!$EX$1&gt;1,ROW()&gt;COPIA!$EX$1,L38&lt;&gt;0),0,IF(AND(COPIA!$EX$1&gt;1,ROW()&lt;=COPIA!$EX$1,L38&lt;&gt;0),ROW()-10,0)))</f>
        <v>0</v>
      </c>
      <c r="N38" s="6">
        <f ca="1">IF(AND($P$4=0,ROW()-10&lt;=$P$10),MAX($N$10:N37)+1,IF(AND(ROW()-10&gt;$P$10,ROW()-10&lt;=$P$4),ROW()-10,0))</f>
        <v>0</v>
      </c>
      <c r="O38" s="6">
        <f ca="1">IF(N38&gt;0,MAX($O$10:O37)+1,0)</f>
        <v>0</v>
      </c>
      <c r="Q38" s="84"/>
      <c r="R38" s="84"/>
    </row>
    <row r="39" spans="2:18" ht="24" customHeight="1">
      <c r="B39" s="30" t="str">
        <f t="shared" ca="1" si="0"/>
        <v/>
      </c>
      <c r="C39" s="31" t="str">
        <f t="shared" ca="1" si="1"/>
        <v/>
      </c>
      <c r="D39" s="32"/>
      <c r="E39" s="33"/>
      <c r="F39" s="33"/>
      <c r="G39" s="34"/>
      <c r="H39" s="35"/>
      <c r="I39" s="157"/>
      <c r="J39" s="201"/>
      <c r="K39" s="202" t="str">
        <f ca="1">IF(IF(COPIA!$J$3=TRUE,IF(OR(G39&lt;&gt;0,H39&lt;&gt;0),ROUND(SUM(COPIA!$FB$103:FB131),2)-ROUND(SUM(COPIA!$FC$103:FC131),2),""),"")&lt;&gt;0,"",0)</f>
        <v/>
      </c>
      <c r="L39" s="6">
        <f ca="1">IFERROR(IF(AND(INDIRECT(ADDRESS(ROW(),4,,,))&lt;=COPIA!$DA$1,K39=0,COPIA!$EX$1&gt;1,ROW()&lt;=COPIA!$EX$1),MAX($L$10:L38)+1,IF(AND(INDIRECT(ADDRESS(ROW(),4,,,))&lt;=COPIA!$DA$1,K39=0,COPIA!$EX$1=1),MAX($L$10:L38)+1,0)),0)</f>
        <v>0</v>
      </c>
      <c r="M39" s="6">
        <f ca="1">IF(AND(COPIA!$EX$1=1,L39&lt;&gt;0),ROW()-10,IF(AND(COPIA!$EX$1&gt;1,ROW()&gt;COPIA!$EX$1,L39&lt;&gt;0),0,IF(AND(COPIA!$EX$1&gt;1,ROW()&lt;=COPIA!$EX$1,L39&lt;&gt;0),ROW()-10,0)))</f>
        <v>0</v>
      </c>
      <c r="N39" s="6">
        <f ca="1">IF(AND($P$4=0,ROW()-10&lt;=$P$10),MAX($N$10:N38)+1,IF(AND(ROW()-10&gt;$P$10,ROW()-10&lt;=$P$4),ROW()-10,0))</f>
        <v>0</v>
      </c>
      <c r="O39" s="6">
        <f ca="1">IF(N39&gt;0,MAX($O$10:O38)+1,0)</f>
        <v>0</v>
      </c>
      <c r="Q39" s="84"/>
      <c r="R39" s="84"/>
    </row>
    <row r="40" spans="2:18" ht="24" customHeight="1">
      <c r="B40" s="30" t="str">
        <f t="shared" ca="1" si="0"/>
        <v/>
      </c>
      <c r="C40" s="31" t="str">
        <f t="shared" ca="1" si="1"/>
        <v/>
      </c>
      <c r="D40" s="32"/>
      <c r="E40" s="33"/>
      <c r="F40" s="33"/>
      <c r="G40" s="34"/>
      <c r="H40" s="35"/>
      <c r="I40" s="157"/>
      <c r="J40" s="201"/>
      <c r="K40" s="202" t="str">
        <f ca="1">IF(IF(COPIA!$J$3=TRUE,IF(OR(G40&lt;&gt;0,H40&lt;&gt;0),ROUND(SUM(COPIA!$FB$103:FB132),2)-ROUND(SUM(COPIA!$FC$103:FC132),2),""),"")&lt;&gt;0,"",0)</f>
        <v/>
      </c>
      <c r="L40" s="6">
        <f ca="1">IFERROR(IF(AND(INDIRECT(ADDRESS(ROW(),4,,,))&lt;=COPIA!$DA$1,K40=0,COPIA!$EX$1&gt;1,ROW()&lt;=COPIA!$EX$1),MAX($L$10:L39)+1,IF(AND(INDIRECT(ADDRESS(ROW(),4,,,))&lt;=COPIA!$DA$1,K40=0,COPIA!$EX$1=1),MAX($L$10:L39)+1,0)),0)</f>
        <v>0</v>
      </c>
      <c r="M40" s="6">
        <f ca="1">IF(AND(COPIA!$EX$1=1,L40&lt;&gt;0),ROW()-10,IF(AND(COPIA!$EX$1&gt;1,ROW()&gt;COPIA!$EX$1,L40&lt;&gt;0),0,IF(AND(COPIA!$EX$1&gt;1,ROW()&lt;=COPIA!$EX$1,L40&lt;&gt;0),ROW()-10,0)))</f>
        <v>0</v>
      </c>
      <c r="N40" s="6">
        <f ca="1">IF(AND($P$4=0,ROW()-10&lt;=$P$10),MAX($N$10:N39)+1,IF(AND(ROW()-10&gt;$P$10,ROW()-10&lt;=$P$4),ROW()-10,0))</f>
        <v>0</v>
      </c>
      <c r="O40" s="6">
        <f ca="1">IF(N40&gt;0,MAX($O$10:O39)+1,0)</f>
        <v>0</v>
      </c>
      <c r="Q40" s="84"/>
      <c r="R40" s="84"/>
    </row>
    <row r="41" spans="2:18" ht="24" customHeight="1">
      <c r="B41" s="30" t="str">
        <f t="shared" ca="1" si="0"/>
        <v/>
      </c>
      <c r="C41" s="31" t="str">
        <f t="shared" ca="1" si="1"/>
        <v/>
      </c>
      <c r="D41" s="32"/>
      <c r="E41" s="33"/>
      <c r="F41" s="33"/>
      <c r="G41" s="34"/>
      <c r="H41" s="35"/>
      <c r="I41" s="157"/>
      <c r="J41" s="201"/>
      <c r="K41" s="202" t="str">
        <f ca="1">IF(IF(COPIA!$J$3=TRUE,IF(OR(G41&lt;&gt;0,H41&lt;&gt;0),ROUND(SUM(COPIA!$FB$103:FB133),2)-ROUND(SUM(COPIA!$FC$103:FC133),2),""),"")&lt;&gt;0,"",0)</f>
        <v/>
      </c>
      <c r="L41" s="6">
        <f ca="1">IFERROR(IF(AND(INDIRECT(ADDRESS(ROW(),4,,,))&lt;=COPIA!$DA$1,K41=0,COPIA!$EX$1&gt;1,ROW()&lt;=COPIA!$EX$1),MAX($L$10:L40)+1,IF(AND(INDIRECT(ADDRESS(ROW(),4,,,))&lt;=COPIA!$DA$1,K41=0,COPIA!$EX$1=1),MAX($L$10:L40)+1,0)),0)</f>
        <v>0</v>
      </c>
      <c r="M41" s="6">
        <f ca="1">IF(AND(COPIA!$EX$1=1,L41&lt;&gt;0),ROW()-10,IF(AND(COPIA!$EX$1&gt;1,ROW()&gt;COPIA!$EX$1,L41&lt;&gt;0),0,IF(AND(COPIA!$EX$1&gt;1,ROW()&lt;=COPIA!$EX$1,L41&lt;&gt;0),ROW()-10,0)))</f>
        <v>0</v>
      </c>
      <c r="N41" s="6">
        <f ca="1">IF(AND($P$4=0,ROW()-10&lt;=$P$10),MAX($N$10:N40)+1,IF(AND(ROW()-10&gt;$P$10,ROW()-10&lt;=$P$4),ROW()-10,0))</f>
        <v>0</v>
      </c>
      <c r="O41" s="6">
        <f ca="1">IF(N41&gt;0,MAX($O$10:O40)+1,0)</f>
        <v>0</v>
      </c>
      <c r="Q41" s="84"/>
      <c r="R41" s="84"/>
    </row>
    <row r="42" spans="2:18" ht="24" customHeight="1">
      <c r="B42" s="30" t="str">
        <f t="shared" ca="1" si="0"/>
        <v/>
      </c>
      <c r="C42" s="31" t="str">
        <f t="shared" ca="1" si="1"/>
        <v/>
      </c>
      <c r="D42" s="32"/>
      <c r="E42" s="33"/>
      <c r="F42" s="33"/>
      <c r="G42" s="34"/>
      <c r="H42" s="35"/>
      <c r="I42" s="157"/>
      <c r="J42" s="201"/>
      <c r="K42" s="202" t="str">
        <f ca="1">IF(IF(COPIA!$J$3=TRUE,IF(OR(G42&lt;&gt;0,H42&lt;&gt;0),ROUND(SUM(COPIA!$FB$103:FB134),2)-ROUND(SUM(COPIA!$FC$103:FC134),2),""),"")&lt;&gt;0,"",0)</f>
        <v/>
      </c>
      <c r="L42" s="6">
        <f ca="1">IFERROR(IF(AND(INDIRECT(ADDRESS(ROW(),4,,,))&lt;=COPIA!$DA$1,K42=0,COPIA!$EX$1&gt;1,ROW()&lt;=COPIA!$EX$1),MAX($L$10:L41)+1,IF(AND(INDIRECT(ADDRESS(ROW(),4,,,))&lt;=COPIA!$DA$1,K42=0,COPIA!$EX$1=1),MAX($L$10:L41)+1,0)),0)</f>
        <v>0</v>
      </c>
      <c r="M42" s="6">
        <f ca="1">IF(AND(COPIA!$EX$1=1,L42&lt;&gt;0),ROW()-10,IF(AND(COPIA!$EX$1&gt;1,ROW()&gt;COPIA!$EX$1,L42&lt;&gt;0),0,IF(AND(COPIA!$EX$1&gt;1,ROW()&lt;=COPIA!$EX$1,L42&lt;&gt;0),ROW()-10,0)))</f>
        <v>0</v>
      </c>
      <c r="N42" s="6">
        <f ca="1">IF(AND($P$4=0,ROW()-10&lt;=$P$10),MAX($N$10:N41)+1,IF(AND(ROW()-10&gt;$P$10,ROW()-10&lt;=$P$4),ROW()-10,0))</f>
        <v>0</v>
      </c>
      <c r="O42" s="6">
        <f ca="1">IF(N42&gt;0,MAX($O$10:O41)+1,0)</f>
        <v>0</v>
      </c>
      <c r="Q42" s="84"/>
      <c r="R42" s="84"/>
    </row>
    <row r="43" spans="2:18" ht="24" customHeight="1">
      <c r="B43" s="30" t="str">
        <f t="shared" ca="1" si="0"/>
        <v/>
      </c>
      <c r="C43" s="31" t="str">
        <f t="shared" ca="1" si="1"/>
        <v/>
      </c>
      <c r="D43" s="32"/>
      <c r="E43" s="33"/>
      <c r="F43" s="33"/>
      <c r="G43" s="34"/>
      <c r="H43" s="35"/>
      <c r="I43" s="157"/>
      <c r="J43" s="201"/>
      <c r="K43" s="202" t="str">
        <f ca="1">IF(IF(COPIA!$J$3=TRUE,IF(OR(G43&lt;&gt;0,H43&lt;&gt;0),ROUND(SUM(COPIA!$FB$103:FB135),2)-ROUND(SUM(COPIA!$FC$103:FC135),2),""),"")&lt;&gt;0,"",0)</f>
        <v/>
      </c>
      <c r="L43" s="6">
        <f ca="1">IFERROR(IF(AND(INDIRECT(ADDRESS(ROW(),4,,,))&lt;=COPIA!$DA$1,K43=0,COPIA!$EX$1&gt;1,ROW()&lt;=COPIA!$EX$1),MAX($L$10:L42)+1,IF(AND(INDIRECT(ADDRESS(ROW(),4,,,))&lt;=COPIA!$DA$1,K43=0,COPIA!$EX$1=1),MAX($L$10:L42)+1,0)),0)</f>
        <v>0</v>
      </c>
      <c r="M43" s="6">
        <f ca="1">IF(AND(COPIA!$EX$1=1,L43&lt;&gt;0),ROW()-10,IF(AND(COPIA!$EX$1&gt;1,ROW()&gt;COPIA!$EX$1,L43&lt;&gt;0),0,IF(AND(COPIA!$EX$1&gt;1,ROW()&lt;=COPIA!$EX$1,L43&lt;&gt;0),ROW()-10,0)))</f>
        <v>0</v>
      </c>
      <c r="N43" s="6">
        <f ca="1">IF(AND($P$4=0,ROW()-10&lt;=$P$10),MAX($N$10:N42)+1,IF(AND(ROW()-10&gt;$P$10,ROW()-10&lt;=$P$4),ROW()-10,0))</f>
        <v>0</v>
      </c>
      <c r="O43" s="6">
        <f ca="1">IF(N43&gt;0,MAX($O$10:O42)+1,0)</f>
        <v>0</v>
      </c>
      <c r="Q43" s="84"/>
      <c r="R43" s="84"/>
    </row>
    <row r="44" spans="2:18" ht="24" customHeight="1">
      <c r="B44" s="30" t="str">
        <f t="shared" ca="1" si="0"/>
        <v/>
      </c>
      <c r="C44" s="31" t="str">
        <f t="shared" ca="1" si="1"/>
        <v/>
      </c>
      <c r="D44" s="32"/>
      <c r="E44" s="33"/>
      <c r="F44" s="33"/>
      <c r="G44" s="34"/>
      <c r="H44" s="35"/>
      <c r="I44" s="157"/>
      <c r="J44" s="201"/>
      <c r="K44" s="202" t="str">
        <f ca="1">IF(IF(COPIA!$J$3=TRUE,IF(OR(G44&lt;&gt;0,H44&lt;&gt;0),ROUND(SUM(COPIA!$FB$103:FB136),2)-ROUND(SUM(COPIA!$FC$103:FC136),2),""),"")&lt;&gt;0,"",0)</f>
        <v/>
      </c>
      <c r="L44" s="6">
        <f ca="1">IFERROR(IF(AND(INDIRECT(ADDRESS(ROW(),4,,,))&lt;=COPIA!$DA$1,K44=0,COPIA!$EX$1&gt;1,ROW()&lt;=COPIA!$EX$1),MAX($L$10:L43)+1,IF(AND(INDIRECT(ADDRESS(ROW(),4,,,))&lt;=COPIA!$DA$1,K44=0,COPIA!$EX$1=1),MAX($L$10:L43)+1,0)),0)</f>
        <v>0</v>
      </c>
      <c r="M44" s="6">
        <f ca="1">IF(AND(COPIA!$EX$1=1,L44&lt;&gt;0),ROW()-10,IF(AND(COPIA!$EX$1&gt;1,ROW()&gt;COPIA!$EX$1,L44&lt;&gt;0),0,IF(AND(COPIA!$EX$1&gt;1,ROW()&lt;=COPIA!$EX$1,L44&lt;&gt;0),ROW()-10,0)))</f>
        <v>0</v>
      </c>
      <c r="N44" s="6">
        <f ca="1">IF(AND($P$4=0,ROW()-10&lt;=$P$10),MAX($N$10:N43)+1,IF(AND(ROW()-10&gt;$P$10,ROW()-10&lt;=$P$4),ROW()-10,0))</f>
        <v>0</v>
      </c>
      <c r="O44" s="6">
        <f ca="1">IF(N44&gt;0,MAX($O$10:O43)+1,0)</f>
        <v>0</v>
      </c>
      <c r="Q44" s="84"/>
      <c r="R44" s="84"/>
    </row>
    <row r="45" spans="2:18" ht="24" customHeight="1">
      <c r="B45" s="30" t="str">
        <f t="shared" ca="1" si="0"/>
        <v/>
      </c>
      <c r="C45" s="31" t="str">
        <f t="shared" ca="1" si="1"/>
        <v/>
      </c>
      <c r="D45" s="32"/>
      <c r="E45" s="33"/>
      <c r="F45" s="33"/>
      <c r="G45" s="34"/>
      <c r="H45" s="35"/>
      <c r="I45" s="157"/>
      <c r="J45" s="201"/>
      <c r="K45" s="202" t="str">
        <f ca="1">IF(IF(COPIA!$J$3=TRUE,IF(OR(G45&lt;&gt;0,H45&lt;&gt;0),ROUND(SUM(COPIA!$FB$103:FB137),2)-ROUND(SUM(COPIA!$FC$103:FC137),2),""),"")&lt;&gt;0,"",0)</f>
        <v/>
      </c>
      <c r="L45" s="6">
        <f ca="1">IFERROR(IF(AND(INDIRECT(ADDRESS(ROW(),4,,,))&lt;=COPIA!$DA$1,K45=0,COPIA!$EX$1&gt;1,ROW()&lt;=COPIA!$EX$1),MAX($L$10:L44)+1,IF(AND(INDIRECT(ADDRESS(ROW(),4,,,))&lt;=COPIA!$DA$1,K45=0,COPIA!$EX$1=1),MAX($L$10:L44)+1,0)),0)</f>
        <v>0</v>
      </c>
      <c r="M45" s="6">
        <f ca="1">IF(AND(COPIA!$EX$1=1,L45&lt;&gt;0),ROW()-10,IF(AND(COPIA!$EX$1&gt;1,ROW()&gt;COPIA!$EX$1,L45&lt;&gt;0),0,IF(AND(COPIA!$EX$1&gt;1,ROW()&lt;=COPIA!$EX$1,L45&lt;&gt;0),ROW()-10,0)))</f>
        <v>0</v>
      </c>
      <c r="N45" s="6">
        <f ca="1">IF(AND($P$4=0,ROW()-10&lt;=$P$10),MAX($N$10:N44)+1,IF(AND(ROW()-10&gt;$P$10,ROW()-10&lt;=$P$4),ROW()-10,0))</f>
        <v>0</v>
      </c>
      <c r="O45" s="6">
        <f ca="1">IF(N45&gt;0,MAX($O$10:O44)+1,0)</f>
        <v>0</v>
      </c>
      <c r="Q45" s="84"/>
      <c r="R45" s="84"/>
    </row>
    <row r="46" spans="2:18" ht="24" customHeight="1">
      <c r="B46" s="30" t="str">
        <f t="shared" ca="1" si="0"/>
        <v/>
      </c>
      <c r="C46" s="31" t="str">
        <f t="shared" ca="1" si="1"/>
        <v/>
      </c>
      <c r="D46" s="32"/>
      <c r="E46" s="33"/>
      <c r="F46" s="33"/>
      <c r="G46" s="34"/>
      <c r="H46" s="35"/>
      <c r="I46" s="157"/>
      <c r="J46" s="201"/>
      <c r="K46" s="202" t="str">
        <f ca="1">IF(IF(COPIA!$J$3=TRUE,IF(OR(G46&lt;&gt;0,H46&lt;&gt;0),ROUND(SUM(COPIA!$FB$103:FB138),2)-ROUND(SUM(COPIA!$FC$103:FC138),2),""),"")&lt;&gt;0,"",0)</f>
        <v/>
      </c>
      <c r="L46" s="6">
        <f ca="1">IFERROR(IF(AND(INDIRECT(ADDRESS(ROW(),4,,,))&lt;=COPIA!$DA$1,K46=0,COPIA!$EX$1&gt;1,ROW()&lt;=COPIA!$EX$1),MAX($L$10:L45)+1,IF(AND(INDIRECT(ADDRESS(ROW(),4,,,))&lt;=COPIA!$DA$1,K46=0,COPIA!$EX$1=1),MAX($L$10:L45)+1,0)),0)</f>
        <v>0</v>
      </c>
      <c r="M46" s="6">
        <f ca="1">IF(AND(COPIA!$EX$1=1,L46&lt;&gt;0),ROW()-10,IF(AND(COPIA!$EX$1&gt;1,ROW()&gt;COPIA!$EX$1,L46&lt;&gt;0),0,IF(AND(COPIA!$EX$1&gt;1,ROW()&lt;=COPIA!$EX$1,L46&lt;&gt;0),ROW()-10,0)))</f>
        <v>0</v>
      </c>
      <c r="N46" s="6">
        <f ca="1">IF(AND($P$4=0,ROW()-10&lt;=$P$10),MAX($N$10:N45)+1,IF(AND(ROW()-10&gt;$P$10,ROW()-10&lt;=$P$4),ROW()-10,0))</f>
        <v>0</v>
      </c>
      <c r="O46" s="6">
        <f ca="1">IF(N46&gt;0,MAX($O$10:O45)+1,0)</f>
        <v>0</v>
      </c>
      <c r="Q46" s="84"/>
      <c r="R46" s="84"/>
    </row>
    <row r="47" spans="2:18" ht="24" customHeight="1">
      <c r="B47" s="30" t="str">
        <f t="shared" ca="1" si="0"/>
        <v/>
      </c>
      <c r="C47" s="31" t="str">
        <f t="shared" ca="1" si="1"/>
        <v/>
      </c>
      <c r="D47" s="32"/>
      <c r="E47" s="33"/>
      <c r="F47" s="33"/>
      <c r="G47" s="34"/>
      <c r="H47" s="35"/>
      <c r="I47" s="157"/>
      <c r="J47" s="201"/>
      <c r="K47" s="202" t="str">
        <f ca="1">IF(IF(COPIA!$J$3=TRUE,IF(OR(G47&lt;&gt;0,H47&lt;&gt;0),ROUND(SUM(COPIA!$FB$103:FB139),2)-ROUND(SUM(COPIA!$FC$103:FC139),2),""),"")&lt;&gt;0,"",0)</f>
        <v/>
      </c>
      <c r="L47" s="6">
        <f ca="1">IFERROR(IF(AND(INDIRECT(ADDRESS(ROW(),4,,,))&lt;=COPIA!$DA$1,K47=0,COPIA!$EX$1&gt;1,ROW()&lt;=COPIA!$EX$1),MAX($L$10:L46)+1,IF(AND(INDIRECT(ADDRESS(ROW(),4,,,))&lt;=COPIA!$DA$1,K47=0,COPIA!$EX$1=1),MAX($L$10:L46)+1,0)),0)</f>
        <v>0</v>
      </c>
      <c r="M47" s="6">
        <f ca="1">IF(AND(COPIA!$EX$1=1,L47&lt;&gt;0),ROW()-10,IF(AND(COPIA!$EX$1&gt;1,ROW()&gt;COPIA!$EX$1,L47&lt;&gt;0),0,IF(AND(COPIA!$EX$1&gt;1,ROW()&lt;=COPIA!$EX$1,L47&lt;&gt;0),ROW()-10,0)))</f>
        <v>0</v>
      </c>
      <c r="N47" s="6">
        <f ca="1">IF(AND($P$4=0,ROW()-10&lt;=$P$10),MAX($N$10:N46)+1,IF(AND(ROW()-10&gt;$P$10,ROW()-10&lt;=$P$4),ROW()-10,0))</f>
        <v>0</v>
      </c>
      <c r="O47" s="6">
        <f ca="1">IF(N47&gt;0,MAX($O$10:O46)+1,0)</f>
        <v>0</v>
      </c>
      <c r="Q47" s="84"/>
      <c r="R47" s="84"/>
    </row>
    <row r="48" spans="2:18" ht="24" customHeight="1">
      <c r="B48" s="30" t="str">
        <f t="shared" ca="1" si="0"/>
        <v/>
      </c>
      <c r="C48" s="31" t="str">
        <f t="shared" ca="1" si="1"/>
        <v/>
      </c>
      <c r="D48" s="32"/>
      <c r="E48" s="33"/>
      <c r="F48" s="33"/>
      <c r="G48" s="34"/>
      <c r="H48" s="35"/>
      <c r="I48" s="157"/>
      <c r="J48" s="201"/>
      <c r="K48" s="202" t="str">
        <f ca="1">IF(IF(COPIA!$J$3=TRUE,IF(OR(G48&lt;&gt;0,H48&lt;&gt;0),ROUND(SUM(COPIA!$FB$103:FB140),2)-ROUND(SUM(COPIA!$FC$103:FC140),2),""),"")&lt;&gt;0,"",0)</f>
        <v/>
      </c>
      <c r="L48" s="6">
        <f ca="1">IFERROR(IF(AND(INDIRECT(ADDRESS(ROW(),4,,,))&lt;=COPIA!$DA$1,K48=0,COPIA!$EX$1&gt;1,ROW()&lt;=COPIA!$EX$1),MAX($L$10:L47)+1,IF(AND(INDIRECT(ADDRESS(ROW(),4,,,))&lt;=COPIA!$DA$1,K48=0,COPIA!$EX$1=1),MAX($L$10:L47)+1,0)),0)</f>
        <v>0</v>
      </c>
      <c r="M48" s="6">
        <f ca="1">IF(AND(COPIA!$EX$1=1,L48&lt;&gt;0),ROW()-10,IF(AND(COPIA!$EX$1&gt;1,ROW()&gt;COPIA!$EX$1,L48&lt;&gt;0),0,IF(AND(COPIA!$EX$1&gt;1,ROW()&lt;=COPIA!$EX$1,L48&lt;&gt;0),ROW()-10,0)))</f>
        <v>0</v>
      </c>
      <c r="N48" s="6">
        <f ca="1">IF(AND($P$4=0,ROW()-10&lt;=$P$10),MAX($N$10:N47)+1,IF(AND(ROW()-10&gt;$P$10,ROW()-10&lt;=$P$4),ROW()-10,0))</f>
        <v>0</v>
      </c>
      <c r="O48" s="6">
        <f ca="1">IF(N48&gt;0,MAX($O$10:O47)+1,0)</f>
        <v>0</v>
      </c>
      <c r="Q48" s="84"/>
      <c r="R48" s="84"/>
    </row>
    <row r="49" spans="2:18" ht="24" customHeight="1">
      <c r="B49" s="30" t="str">
        <f t="shared" ref="B49:B58" ca="1" si="2">IF(D49&lt;&gt;"",IFERROR(IF(C49&lt;&gt;"",INDEX(PIANO_DEI_CONTI,MATCH(INDIRECT(ADDRESS(ROW(),5,,,)),DENOMINAZIONE,0),1),""),""),"")</f>
        <v/>
      </c>
      <c r="C49" s="31" t="str">
        <f t="shared" ref="C49:C58" ca="1" si="3">IF(D49&lt;&gt;"",IF(INDIRECT(ADDRESS(ROW(),5,,,))&lt;&gt;"",ROW()-10,""),"")</f>
        <v/>
      </c>
      <c r="D49" s="32"/>
      <c r="E49" s="33"/>
      <c r="F49" s="33"/>
      <c r="G49" s="34"/>
      <c r="H49" s="35"/>
      <c r="I49" s="157"/>
      <c r="J49" s="201"/>
      <c r="K49" s="202" t="str">
        <f ca="1">IF(IF(COPIA!$J$3=TRUE,IF(OR(G49&lt;&gt;0,H49&lt;&gt;0),ROUND(SUM(COPIA!$FB$103:FB141),2)-ROUND(SUM(COPIA!$FC$103:FC141),2),""),"")&lt;&gt;0,"",0)</f>
        <v/>
      </c>
      <c r="L49" s="6">
        <f ca="1">IFERROR(IF(AND(INDIRECT(ADDRESS(ROW(),4,,,))&lt;=COPIA!$DA$1,K49=0,COPIA!$EX$1&gt;1,ROW()&lt;=COPIA!$EX$1),MAX($L$10:L48)+1,IF(AND(INDIRECT(ADDRESS(ROW(),4,,,))&lt;=COPIA!$DA$1,K49=0,COPIA!$EX$1=1),MAX($L$10:L48)+1,0)),0)</f>
        <v>0</v>
      </c>
      <c r="M49" s="6">
        <f ca="1">IF(AND(COPIA!$EX$1=1,L49&lt;&gt;0),ROW()-10,IF(AND(COPIA!$EX$1&gt;1,ROW()&gt;COPIA!$EX$1,L49&lt;&gt;0),0,IF(AND(COPIA!$EX$1&gt;1,ROW()&lt;=COPIA!$EX$1,L49&lt;&gt;0),ROW()-10,0)))</f>
        <v>0</v>
      </c>
      <c r="N49" s="6">
        <f ca="1">IF(AND($P$4=0,ROW()-10&lt;=$P$10),MAX($N$10:N48)+1,IF(AND(ROW()-10&gt;$P$10,ROW()-10&lt;=$P$4),ROW()-10,0))</f>
        <v>0</v>
      </c>
      <c r="O49" s="6">
        <f ca="1">IF(N49&gt;0,MAX($O$10:O48)+1,0)</f>
        <v>0</v>
      </c>
      <c r="Q49" s="84"/>
      <c r="R49" s="84"/>
    </row>
    <row r="50" spans="2:18" ht="24" customHeight="1">
      <c r="B50" s="30" t="str">
        <f t="shared" ca="1" si="2"/>
        <v/>
      </c>
      <c r="C50" s="31" t="str">
        <f t="shared" ca="1" si="3"/>
        <v/>
      </c>
      <c r="D50" s="32"/>
      <c r="E50" s="33"/>
      <c r="F50" s="33"/>
      <c r="G50" s="34"/>
      <c r="H50" s="35"/>
      <c r="I50" s="157"/>
      <c r="J50" s="201"/>
      <c r="K50" s="202" t="str">
        <f ca="1">IF(IF(COPIA!$J$3=TRUE,IF(OR(G50&lt;&gt;0,H50&lt;&gt;0),ROUND(SUM(COPIA!$FB$103:FB142),2)-ROUND(SUM(COPIA!$FC$103:FC142),2),""),"")&lt;&gt;0,"",0)</f>
        <v/>
      </c>
      <c r="L50" s="6">
        <f ca="1">IFERROR(IF(AND(INDIRECT(ADDRESS(ROW(),4,,,))&lt;=COPIA!$DA$1,K50=0,COPIA!$EX$1&gt;1,ROW()&lt;=COPIA!$EX$1),MAX($L$10:L49)+1,IF(AND(INDIRECT(ADDRESS(ROW(),4,,,))&lt;=COPIA!$DA$1,K50=0,COPIA!$EX$1=1),MAX($L$10:L49)+1,0)),0)</f>
        <v>0</v>
      </c>
      <c r="M50" s="6">
        <f ca="1">IF(AND(COPIA!$EX$1=1,L50&lt;&gt;0),ROW()-10,IF(AND(COPIA!$EX$1&gt;1,ROW()&gt;COPIA!$EX$1,L50&lt;&gt;0),0,IF(AND(COPIA!$EX$1&gt;1,ROW()&lt;=COPIA!$EX$1,L50&lt;&gt;0),ROW()-10,0)))</f>
        <v>0</v>
      </c>
      <c r="N50" s="6">
        <f ca="1">IF(AND($P$4=0,ROW()-10&lt;=$P$10),MAX($N$10:N49)+1,IF(AND(ROW()-10&gt;$P$10,ROW()-10&lt;=$P$4),ROW()-10,0))</f>
        <v>0</v>
      </c>
      <c r="O50" s="6">
        <f ca="1">IF(N50&gt;0,MAX($O$10:O49)+1,0)</f>
        <v>0</v>
      </c>
      <c r="Q50" s="84"/>
      <c r="R50" s="84"/>
    </row>
    <row r="51" spans="2:18" ht="24" customHeight="1">
      <c r="B51" s="30" t="str">
        <f t="shared" ca="1" si="2"/>
        <v/>
      </c>
      <c r="C51" s="31" t="str">
        <f t="shared" ca="1" si="3"/>
        <v/>
      </c>
      <c r="D51" s="32"/>
      <c r="E51" s="33"/>
      <c r="F51" s="33"/>
      <c r="G51" s="34"/>
      <c r="H51" s="35"/>
      <c r="I51" s="157"/>
      <c r="J51" s="201"/>
      <c r="K51" s="202" t="str">
        <f ca="1">IF(IF(COPIA!$J$3=TRUE,IF(OR(G51&lt;&gt;0,H51&lt;&gt;0),ROUND(SUM(COPIA!$FB$103:FB143),2)-ROUND(SUM(COPIA!$FC$103:FC143),2),""),"")&lt;&gt;0,"",0)</f>
        <v/>
      </c>
      <c r="L51" s="6">
        <f ca="1">IFERROR(IF(AND(INDIRECT(ADDRESS(ROW(),4,,,))&lt;=COPIA!$DA$1,K51=0,COPIA!$EX$1&gt;1,ROW()&lt;=COPIA!$EX$1),MAX($L$10:L50)+1,IF(AND(INDIRECT(ADDRESS(ROW(),4,,,))&lt;=COPIA!$DA$1,K51=0,COPIA!$EX$1=1),MAX($L$10:L50)+1,0)),0)</f>
        <v>0</v>
      </c>
      <c r="M51" s="6">
        <f ca="1">IF(AND(COPIA!$EX$1=1,L51&lt;&gt;0),ROW()-10,IF(AND(COPIA!$EX$1&gt;1,ROW()&gt;COPIA!$EX$1,L51&lt;&gt;0),0,IF(AND(COPIA!$EX$1&gt;1,ROW()&lt;=COPIA!$EX$1,L51&lt;&gt;0),ROW()-10,0)))</f>
        <v>0</v>
      </c>
      <c r="N51" s="6">
        <f ca="1">IF(AND($P$4=0,ROW()-10&lt;=$P$10),MAX($N$10:N50)+1,IF(AND(ROW()-10&gt;$P$10,ROW()-10&lt;=$P$4),ROW()-10,0))</f>
        <v>0</v>
      </c>
      <c r="O51" s="6">
        <f ca="1">IF(N51&gt;0,MAX($O$10:O50)+1,0)</f>
        <v>0</v>
      </c>
      <c r="Q51" s="84"/>
      <c r="R51" s="84"/>
    </row>
    <row r="52" spans="2:18" ht="24" customHeight="1">
      <c r="B52" s="30" t="str">
        <f t="shared" ca="1" si="2"/>
        <v/>
      </c>
      <c r="C52" s="31" t="str">
        <f t="shared" ca="1" si="3"/>
        <v/>
      </c>
      <c r="D52" s="32"/>
      <c r="E52" s="33"/>
      <c r="F52" s="33"/>
      <c r="G52" s="34"/>
      <c r="H52" s="35"/>
      <c r="I52" s="157"/>
      <c r="J52" s="201"/>
      <c r="K52" s="202" t="str">
        <f ca="1">IF(IF(COPIA!$J$3=TRUE,IF(OR(G52&lt;&gt;0,H52&lt;&gt;0),ROUND(SUM(COPIA!$FB$103:FB144),2)-ROUND(SUM(COPIA!$FC$103:FC144),2),""),"")&lt;&gt;0,"",0)</f>
        <v/>
      </c>
      <c r="L52" s="6">
        <f ca="1">IFERROR(IF(AND(INDIRECT(ADDRESS(ROW(),4,,,))&lt;=COPIA!$DA$1,K52=0,COPIA!$EX$1&gt;1,ROW()&lt;=COPIA!$EX$1),MAX($L$10:L51)+1,IF(AND(INDIRECT(ADDRESS(ROW(),4,,,))&lt;=COPIA!$DA$1,K52=0,COPIA!$EX$1=1),MAX($L$10:L51)+1,0)),0)</f>
        <v>0</v>
      </c>
      <c r="M52" s="6">
        <f ca="1">IF(AND(COPIA!$EX$1=1,L52&lt;&gt;0),ROW()-10,IF(AND(COPIA!$EX$1&gt;1,ROW()&gt;COPIA!$EX$1,L52&lt;&gt;0),0,IF(AND(COPIA!$EX$1&gt;1,ROW()&lt;=COPIA!$EX$1,L52&lt;&gt;0),ROW()-10,0)))</f>
        <v>0</v>
      </c>
      <c r="N52" s="6">
        <f ca="1">IF(AND($P$4=0,ROW()-10&lt;=$P$10),MAX($N$10:N51)+1,IF(AND(ROW()-10&gt;$P$10,ROW()-10&lt;=$P$4),ROW()-10,0))</f>
        <v>0</v>
      </c>
      <c r="O52" s="6">
        <f ca="1">IF(N52&gt;0,MAX($O$10:O51)+1,0)</f>
        <v>0</v>
      </c>
      <c r="Q52" s="84"/>
      <c r="R52" s="84"/>
    </row>
    <row r="53" spans="2:18" ht="24" customHeight="1">
      <c r="B53" s="30" t="str">
        <f t="shared" ca="1" si="2"/>
        <v/>
      </c>
      <c r="C53" s="31" t="str">
        <f t="shared" ca="1" si="3"/>
        <v/>
      </c>
      <c r="D53" s="32"/>
      <c r="E53" s="33"/>
      <c r="F53" s="33"/>
      <c r="G53" s="34"/>
      <c r="H53" s="35"/>
      <c r="I53" s="157"/>
      <c r="J53" s="201"/>
      <c r="K53" s="202" t="str">
        <f ca="1">IF(IF(COPIA!$J$3=TRUE,IF(OR(G53&lt;&gt;0,H53&lt;&gt;0),ROUND(SUM(COPIA!$FB$103:FB145),2)-ROUND(SUM(COPIA!$FC$103:FC145),2),""),"")&lt;&gt;0,"",0)</f>
        <v/>
      </c>
      <c r="L53" s="6">
        <f ca="1">IFERROR(IF(AND(INDIRECT(ADDRESS(ROW(),4,,,))&lt;=COPIA!$DA$1,K53=0,COPIA!$EX$1&gt;1,ROW()&lt;=COPIA!$EX$1),MAX($L$10:L52)+1,IF(AND(INDIRECT(ADDRESS(ROW(),4,,,))&lt;=COPIA!$DA$1,K53=0,COPIA!$EX$1=1),MAX($L$10:L52)+1,0)),0)</f>
        <v>0</v>
      </c>
      <c r="M53" s="6">
        <f ca="1">IF(AND(COPIA!$EX$1=1,L53&lt;&gt;0),ROW()-10,IF(AND(COPIA!$EX$1&gt;1,ROW()&gt;COPIA!$EX$1,L53&lt;&gt;0),0,IF(AND(COPIA!$EX$1&gt;1,ROW()&lt;=COPIA!$EX$1,L53&lt;&gt;0),ROW()-10,0)))</f>
        <v>0</v>
      </c>
      <c r="N53" s="6">
        <f ca="1">IF(AND($P$4=0,ROW()-10&lt;=$P$10),MAX($N$10:N52)+1,IF(AND(ROW()-10&gt;$P$10,ROW()-10&lt;=$P$4),ROW()-10,0))</f>
        <v>0</v>
      </c>
      <c r="O53" s="6">
        <f ca="1">IF(N53&gt;0,MAX($O$10:O52)+1,0)</f>
        <v>0</v>
      </c>
      <c r="Q53" s="84"/>
      <c r="R53" s="84"/>
    </row>
    <row r="54" spans="2:18" ht="24" customHeight="1">
      <c r="B54" s="30" t="str">
        <f t="shared" ca="1" si="2"/>
        <v/>
      </c>
      <c r="C54" s="31" t="str">
        <f t="shared" ca="1" si="3"/>
        <v/>
      </c>
      <c r="D54" s="32"/>
      <c r="E54" s="33"/>
      <c r="F54" s="33"/>
      <c r="G54" s="34"/>
      <c r="H54" s="35"/>
      <c r="I54" s="157"/>
      <c r="J54" s="201"/>
      <c r="K54" s="202" t="str">
        <f ca="1">IF(IF(COPIA!$J$3=TRUE,IF(OR(G54&lt;&gt;0,H54&lt;&gt;0),ROUND(SUM(COPIA!$FB$103:FB146),2)-ROUND(SUM(COPIA!$FC$103:FC146),2),""),"")&lt;&gt;0,"",0)</f>
        <v/>
      </c>
      <c r="L54" s="6">
        <f ca="1">IFERROR(IF(AND(INDIRECT(ADDRESS(ROW(),4,,,))&lt;=COPIA!$DA$1,K54=0,COPIA!$EX$1&gt;1,ROW()&lt;=COPIA!$EX$1),MAX($L$10:L53)+1,IF(AND(INDIRECT(ADDRESS(ROW(),4,,,))&lt;=COPIA!$DA$1,K54=0,COPIA!$EX$1=1),MAX($L$10:L53)+1,0)),0)</f>
        <v>0</v>
      </c>
      <c r="M54" s="6">
        <f ca="1">IF(AND(COPIA!$EX$1=1,L54&lt;&gt;0),ROW()-10,IF(AND(COPIA!$EX$1&gt;1,ROW()&gt;COPIA!$EX$1,L54&lt;&gt;0),0,IF(AND(COPIA!$EX$1&gt;1,ROW()&lt;=COPIA!$EX$1,L54&lt;&gt;0),ROW()-10,0)))</f>
        <v>0</v>
      </c>
      <c r="N54" s="6">
        <f ca="1">IF(AND($P$4=0,ROW()-10&lt;=$P$10),MAX($N$10:N53)+1,IF(AND(ROW()-10&gt;$P$10,ROW()-10&lt;=$P$4),ROW()-10,0))</f>
        <v>0</v>
      </c>
      <c r="O54" s="6">
        <f ca="1">IF(N54&gt;0,MAX($O$10:O53)+1,0)</f>
        <v>0</v>
      </c>
      <c r="Q54" s="84"/>
      <c r="R54" s="84"/>
    </row>
    <row r="55" spans="2:18" ht="24" customHeight="1">
      <c r="B55" s="30" t="str">
        <f t="shared" ca="1" si="2"/>
        <v/>
      </c>
      <c r="C55" s="31" t="str">
        <f t="shared" ca="1" si="3"/>
        <v/>
      </c>
      <c r="D55" s="32"/>
      <c r="E55" s="33"/>
      <c r="F55" s="33"/>
      <c r="G55" s="34"/>
      <c r="H55" s="35"/>
      <c r="I55" s="157"/>
      <c r="J55" s="201"/>
      <c r="K55" s="202" t="str">
        <f ca="1">IF(IF(COPIA!$J$3=TRUE,IF(OR(G55&lt;&gt;0,H55&lt;&gt;0),ROUND(SUM(COPIA!$FB$103:FB147),2)-ROUND(SUM(COPIA!$FC$103:FC147),2),""),"")&lt;&gt;0,"",0)</f>
        <v/>
      </c>
      <c r="L55" s="6">
        <f ca="1">IFERROR(IF(AND(INDIRECT(ADDRESS(ROW(),4,,,))&lt;=COPIA!$DA$1,K55=0,COPIA!$EX$1&gt;1,ROW()&lt;=COPIA!$EX$1),MAX($L$10:L54)+1,IF(AND(INDIRECT(ADDRESS(ROW(),4,,,))&lt;=COPIA!$DA$1,K55=0,COPIA!$EX$1=1),MAX($L$10:L54)+1,0)),0)</f>
        <v>0</v>
      </c>
      <c r="M55" s="6">
        <f ca="1">IF(AND(COPIA!$EX$1=1,L55&lt;&gt;0),ROW()-10,IF(AND(COPIA!$EX$1&gt;1,ROW()&gt;COPIA!$EX$1,L55&lt;&gt;0),0,IF(AND(COPIA!$EX$1&gt;1,ROW()&lt;=COPIA!$EX$1,L55&lt;&gt;0),ROW()-10,0)))</f>
        <v>0</v>
      </c>
      <c r="N55" s="6">
        <f ca="1">IF(AND($P$4=0,ROW()-10&lt;=$P$10),MAX($N$10:N54)+1,IF(AND(ROW()-10&gt;$P$10,ROW()-10&lt;=$P$4),ROW()-10,0))</f>
        <v>0</v>
      </c>
      <c r="O55" s="6">
        <f ca="1">IF(N55&gt;0,MAX($O$10:O54)+1,0)</f>
        <v>0</v>
      </c>
      <c r="Q55" s="84"/>
      <c r="R55" s="84"/>
    </row>
    <row r="56" spans="2:18" ht="24" customHeight="1">
      <c r="B56" s="30" t="str">
        <f t="shared" ca="1" si="2"/>
        <v/>
      </c>
      <c r="C56" s="31" t="str">
        <f t="shared" ca="1" si="3"/>
        <v/>
      </c>
      <c r="D56" s="32"/>
      <c r="E56" s="33"/>
      <c r="F56" s="33"/>
      <c r="G56" s="34"/>
      <c r="H56" s="35"/>
      <c r="I56" s="157"/>
      <c r="J56" s="201"/>
      <c r="K56" s="202" t="str">
        <f ca="1">IF(IF(COPIA!$J$3=TRUE,IF(OR(G56&lt;&gt;0,H56&lt;&gt;0),ROUND(SUM(COPIA!$FB$103:FB148),2)-ROUND(SUM(COPIA!$FC$103:FC148),2),""),"")&lt;&gt;0,"",0)</f>
        <v/>
      </c>
      <c r="L56" s="6">
        <f ca="1">IFERROR(IF(AND(INDIRECT(ADDRESS(ROW(),4,,,))&lt;=COPIA!$DA$1,K56=0,COPIA!$EX$1&gt;1,ROW()&lt;=COPIA!$EX$1),MAX($L$10:L55)+1,IF(AND(INDIRECT(ADDRESS(ROW(),4,,,))&lt;=COPIA!$DA$1,K56=0,COPIA!$EX$1=1),MAX($L$10:L55)+1,0)),0)</f>
        <v>0</v>
      </c>
      <c r="M56" s="6">
        <f ca="1">IF(AND(COPIA!$EX$1=1,L56&lt;&gt;0),ROW()-10,IF(AND(COPIA!$EX$1&gt;1,ROW()&gt;COPIA!$EX$1,L56&lt;&gt;0),0,IF(AND(COPIA!$EX$1&gt;1,ROW()&lt;=COPIA!$EX$1,L56&lt;&gt;0),ROW()-10,0)))</f>
        <v>0</v>
      </c>
      <c r="N56" s="6">
        <f ca="1">IF(AND($P$4=0,ROW()-10&lt;=$P$10),MAX($N$10:N55)+1,IF(AND(ROW()-10&gt;$P$10,ROW()-10&lt;=$P$4),ROW()-10,0))</f>
        <v>0</v>
      </c>
      <c r="O56" s="6">
        <f ca="1">IF(N56&gt;0,MAX($O$10:O55)+1,0)</f>
        <v>0</v>
      </c>
      <c r="Q56" s="84"/>
      <c r="R56" s="84"/>
    </row>
    <row r="57" spans="2:18" ht="24" customHeight="1">
      <c r="B57" s="30" t="str">
        <f t="shared" ca="1" si="2"/>
        <v/>
      </c>
      <c r="C57" s="31" t="str">
        <f t="shared" ca="1" si="3"/>
        <v/>
      </c>
      <c r="D57" s="32"/>
      <c r="E57" s="33"/>
      <c r="F57" s="33"/>
      <c r="G57" s="34"/>
      <c r="H57" s="35"/>
      <c r="I57" s="157"/>
      <c r="J57" s="201"/>
      <c r="K57" s="202" t="str">
        <f ca="1">IF(IF(COPIA!$J$3=TRUE,IF(OR(G57&lt;&gt;0,H57&lt;&gt;0),ROUND(SUM(COPIA!$FB$103:FB149),2)-ROUND(SUM(COPIA!$FC$103:FC149),2),""),"")&lt;&gt;0,"",0)</f>
        <v/>
      </c>
      <c r="L57" s="6">
        <f ca="1">IFERROR(IF(AND(INDIRECT(ADDRESS(ROW(),4,,,))&lt;=COPIA!$DA$1,K57=0,COPIA!$EX$1&gt;1,ROW()&lt;=COPIA!$EX$1),MAX($L$10:L56)+1,IF(AND(INDIRECT(ADDRESS(ROW(),4,,,))&lt;=COPIA!$DA$1,K57=0,COPIA!$EX$1=1),MAX($L$10:L56)+1,0)),0)</f>
        <v>0</v>
      </c>
      <c r="M57" s="6">
        <f ca="1">IF(AND(COPIA!$EX$1=1,L57&lt;&gt;0),ROW()-10,IF(AND(COPIA!$EX$1&gt;1,ROW()&gt;COPIA!$EX$1,L57&lt;&gt;0),0,IF(AND(COPIA!$EX$1&gt;1,ROW()&lt;=COPIA!$EX$1,L57&lt;&gt;0),ROW()-10,0)))</f>
        <v>0</v>
      </c>
      <c r="N57" s="6">
        <f ca="1">IF(AND($P$4=0,ROW()-10&lt;=$P$10),MAX($N$10:N56)+1,IF(AND(ROW()-10&gt;$P$10,ROW()-10&lt;=$P$4),ROW()-10,0))</f>
        <v>0</v>
      </c>
      <c r="O57" s="6">
        <f ca="1">IF(N57&gt;0,MAX($O$10:O56)+1,0)</f>
        <v>0</v>
      </c>
      <c r="Q57" s="84"/>
      <c r="R57" s="84"/>
    </row>
    <row r="58" spans="2:18" ht="24" customHeight="1">
      <c r="B58" s="30" t="str">
        <f t="shared" ca="1" si="2"/>
        <v/>
      </c>
      <c r="C58" s="31" t="str">
        <f t="shared" ca="1" si="3"/>
        <v/>
      </c>
      <c r="D58" s="32"/>
      <c r="E58" s="33"/>
      <c r="F58" s="33"/>
      <c r="G58" s="34"/>
      <c r="H58" s="35"/>
      <c r="I58" s="157"/>
      <c r="J58" s="201"/>
      <c r="K58" s="202" t="str">
        <f ca="1">IF(IF(COPIA!$J$3=TRUE,IF(OR(G58&lt;&gt;0,H58&lt;&gt;0),ROUND(SUM(COPIA!$FB$103:FB150),2)-ROUND(SUM(COPIA!$FC$103:FC150),2),""),"")&lt;&gt;0,"",0)</f>
        <v/>
      </c>
      <c r="L58" s="6">
        <f ca="1">IFERROR(IF(AND(INDIRECT(ADDRESS(ROW(),4,,,))&lt;=COPIA!$DA$1,K58=0,COPIA!$EX$1&gt;1,ROW()&lt;=COPIA!$EX$1),MAX($L$10:L57)+1,IF(AND(INDIRECT(ADDRESS(ROW(),4,,,))&lt;=COPIA!$DA$1,K58=0,COPIA!$EX$1=1),MAX($L$10:L57)+1,0)),0)</f>
        <v>0</v>
      </c>
      <c r="M58" s="6">
        <f ca="1">IF(AND(COPIA!$EX$1=1,L58&lt;&gt;0),ROW()-10,IF(AND(COPIA!$EX$1&gt;1,ROW()&gt;COPIA!$EX$1,L58&lt;&gt;0),0,IF(AND(COPIA!$EX$1&gt;1,ROW()&lt;=COPIA!$EX$1,L58&lt;&gt;0),ROW()-10,0)))</f>
        <v>0</v>
      </c>
      <c r="N58" s="6">
        <f ca="1">IF(AND($P$4=0,ROW()-10&lt;=$P$10),MAX($N$10:N57)+1,IF(AND(ROW()-10&gt;$P$10,ROW()-10&lt;=$P$4),ROW()-10,0))</f>
        <v>0</v>
      </c>
      <c r="O58" s="6">
        <f ca="1">IF(N58&gt;0,MAX($O$10:O57)+1,0)</f>
        <v>0</v>
      </c>
      <c r="Q58" s="84"/>
      <c r="R58" s="84"/>
    </row>
    <row r="59" spans="2:18" ht="24" customHeight="1">
      <c r="B59" s="30" t="str">
        <f t="shared" ca="1" si="0"/>
        <v/>
      </c>
      <c r="C59" s="31" t="str">
        <f t="shared" ca="1" si="1"/>
        <v/>
      </c>
      <c r="D59" s="32"/>
      <c r="E59" s="33"/>
      <c r="F59" s="33"/>
      <c r="G59" s="34"/>
      <c r="H59" s="35"/>
      <c r="I59" s="157"/>
      <c r="J59" s="201"/>
      <c r="K59" s="202" t="str">
        <f ca="1">IF(IF(COPIA!$J$3=TRUE,IF(OR(G59&lt;&gt;0,H59&lt;&gt;0),ROUND(SUM(COPIA!$FB$103:FB151),2)-ROUND(SUM(COPIA!$FC$103:FC151),2),""),"")&lt;&gt;0,"",0)</f>
        <v/>
      </c>
      <c r="L59" s="6">
        <f ca="1">IFERROR(IF(AND(INDIRECT(ADDRESS(ROW(),4,,,))&lt;=COPIA!$DA$1,K59=0,COPIA!$EX$1&gt;1,ROW()&lt;=COPIA!$EX$1),MAX($L$10:L58)+1,IF(AND(INDIRECT(ADDRESS(ROW(),4,,,))&lt;=COPIA!$DA$1,K59=0,COPIA!$EX$1=1),MAX($L$10:L58)+1,0)),0)</f>
        <v>0</v>
      </c>
      <c r="M59" s="6">
        <f ca="1">IF(AND(COPIA!$EX$1=1,L59&lt;&gt;0),ROW()-10,IF(AND(COPIA!$EX$1&gt;1,ROW()&gt;COPIA!$EX$1,L59&lt;&gt;0),0,IF(AND(COPIA!$EX$1&gt;1,ROW()&lt;=COPIA!$EX$1,L59&lt;&gt;0),ROW()-10,0)))</f>
        <v>0</v>
      </c>
      <c r="N59" s="6">
        <f ca="1">IF(AND($P$4=0,ROW()-10&lt;=$P$10),MAX($N$10:N58)+1,IF(AND(ROW()-10&gt;$P$10,ROW()-10&lt;=$P$4),ROW()-10,0))</f>
        <v>0</v>
      </c>
      <c r="O59" s="6">
        <f ca="1">IF(N59&gt;0,MAX($O$10:O58)+1,0)</f>
        <v>0</v>
      </c>
      <c r="Q59" s="84"/>
      <c r="R59" s="84"/>
    </row>
    <row r="60" spans="2:18" ht="24" customHeight="1">
      <c r="B60" s="30" t="str">
        <f t="shared" ca="1" si="0"/>
        <v/>
      </c>
      <c r="C60" s="31" t="str">
        <f t="shared" ca="1" si="1"/>
        <v/>
      </c>
      <c r="D60" s="32"/>
      <c r="E60" s="33"/>
      <c r="F60" s="33"/>
      <c r="G60" s="34"/>
      <c r="H60" s="35"/>
      <c r="I60" s="157"/>
      <c r="J60" s="201"/>
      <c r="K60" s="202" t="str">
        <f ca="1">IF(IF(COPIA!$J$3=TRUE,IF(OR(G60&lt;&gt;0,H60&lt;&gt;0),ROUND(SUM(COPIA!$FB$103:FB152),2)-ROUND(SUM(COPIA!$FC$103:FC152),2),""),"")&lt;&gt;0,"",0)</f>
        <v/>
      </c>
      <c r="L60" s="6">
        <f ca="1">IFERROR(IF(AND(INDIRECT(ADDRESS(ROW(),4,,,))&lt;=COPIA!$DA$1,K60=0,COPIA!$EX$1&gt;1,ROW()&lt;=COPIA!$EX$1),MAX($L$10:L59)+1,IF(AND(INDIRECT(ADDRESS(ROW(),4,,,))&lt;=COPIA!$DA$1,K60=0,COPIA!$EX$1=1),MAX($L$10:L59)+1,0)),0)</f>
        <v>0</v>
      </c>
      <c r="M60" s="6">
        <f ca="1">IF(AND(COPIA!$EX$1=1,L60&lt;&gt;0),ROW()-10,IF(AND(COPIA!$EX$1&gt;1,ROW()&gt;COPIA!$EX$1,L60&lt;&gt;0),0,IF(AND(COPIA!$EX$1&gt;1,ROW()&lt;=COPIA!$EX$1,L60&lt;&gt;0),ROW()-10,0)))</f>
        <v>0</v>
      </c>
      <c r="N60" s="6">
        <f ca="1">IF(AND($P$4=0,ROW()-10&lt;=$P$10),MAX($N$10:N59)+1,IF(AND(ROW()-10&gt;$P$10,ROW()-10&lt;=$P$4),ROW()-10,0))</f>
        <v>0</v>
      </c>
      <c r="O60" s="6">
        <f ca="1">IF(N60&gt;0,MAX($O$10:O59)+1,0)</f>
        <v>0</v>
      </c>
      <c r="Q60" s="84"/>
      <c r="R60" s="84"/>
    </row>
    <row r="61" spans="2:18" ht="24" customHeight="1">
      <c r="B61" s="30" t="str">
        <f t="shared" ca="1" si="0"/>
        <v/>
      </c>
      <c r="C61" s="31" t="str">
        <f t="shared" ca="1" si="1"/>
        <v/>
      </c>
      <c r="D61" s="32"/>
      <c r="E61" s="33"/>
      <c r="F61" s="33"/>
      <c r="G61" s="34"/>
      <c r="H61" s="35"/>
      <c r="I61" s="157"/>
      <c r="J61" s="201"/>
      <c r="K61" s="202" t="str">
        <f ca="1">IF(IF(COPIA!$J$3=TRUE,IF(OR(G61&lt;&gt;0,H61&lt;&gt;0),ROUND(SUM(COPIA!$FB$103:FB153),2)-ROUND(SUM(COPIA!$FC$103:FC153),2),""),"")&lt;&gt;0,"",0)</f>
        <v/>
      </c>
      <c r="L61" s="6">
        <f ca="1">IFERROR(IF(AND(INDIRECT(ADDRESS(ROW(),4,,,))&lt;=COPIA!$DA$1,K61=0,COPIA!$EX$1&gt;1,ROW()&lt;=COPIA!$EX$1),MAX($L$10:L60)+1,IF(AND(INDIRECT(ADDRESS(ROW(),4,,,))&lt;=COPIA!$DA$1,K61=0,COPIA!$EX$1=1),MAX($L$10:L60)+1,0)),0)</f>
        <v>0</v>
      </c>
      <c r="M61" s="6">
        <f ca="1">IF(AND(COPIA!$EX$1=1,L61&lt;&gt;0),ROW()-10,IF(AND(COPIA!$EX$1&gt;1,ROW()&gt;COPIA!$EX$1,L61&lt;&gt;0),0,IF(AND(COPIA!$EX$1&gt;1,ROW()&lt;=COPIA!$EX$1,L61&lt;&gt;0),ROW()-10,0)))</f>
        <v>0</v>
      </c>
      <c r="N61" s="6">
        <f ca="1">IF(AND($P$4=0,ROW()-10&lt;=$P$10),MAX($N$10:N60)+1,IF(AND(ROW()-10&gt;$P$10,ROW()-10&lt;=$P$4),ROW()-10,0))</f>
        <v>0</v>
      </c>
      <c r="O61" s="6">
        <f ca="1">IF(N61&gt;0,MAX($O$10:O60)+1,0)</f>
        <v>0</v>
      </c>
      <c r="Q61" s="84"/>
      <c r="R61" s="84"/>
    </row>
    <row r="62" spans="2:18" ht="24" customHeight="1">
      <c r="B62" s="30" t="str">
        <f t="shared" ca="1" si="0"/>
        <v/>
      </c>
      <c r="C62" s="31" t="str">
        <f t="shared" ca="1" si="1"/>
        <v/>
      </c>
      <c r="D62" s="32"/>
      <c r="E62" s="33"/>
      <c r="F62" s="33"/>
      <c r="G62" s="34"/>
      <c r="H62" s="35"/>
      <c r="I62" s="157"/>
      <c r="J62" s="201"/>
      <c r="K62" s="202" t="str">
        <f ca="1">IF(IF(COPIA!$J$3=TRUE,IF(OR(G62&lt;&gt;0,H62&lt;&gt;0),ROUND(SUM(COPIA!$FB$103:FB154),2)-ROUND(SUM(COPIA!$FC$103:FC154),2),""),"")&lt;&gt;0,"",0)</f>
        <v/>
      </c>
      <c r="L62" s="6">
        <f ca="1">IFERROR(IF(AND(INDIRECT(ADDRESS(ROW(),4,,,))&lt;=COPIA!$DA$1,K62=0,COPIA!$EX$1&gt;1,ROW()&lt;=COPIA!$EX$1),MAX($L$10:L61)+1,IF(AND(INDIRECT(ADDRESS(ROW(),4,,,))&lt;=COPIA!$DA$1,K62=0,COPIA!$EX$1=1),MAX($L$10:L61)+1,0)),0)</f>
        <v>0</v>
      </c>
      <c r="M62" s="6">
        <f ca="1">IF(AND(COPIA!$EX$1=1,L62&lt;&gt;0),ROW()-10,IF(AND(COPIA!$EX$1&gt;1,ROW()&gt;COPIA!$EX$1,L62&lt;&gt;0),0,IF(AND(COPIA!$EX$1&gt;1,ROW()&lt;=COPIA!$EX$1,L62&lt;&gt;0),ROW()-10,0)))</f>
        <v>0</v>
      </c>
      <c r="N62" s="6">
        <f ca="1">IF(AND($P$4=0,ROW()-10&lt;=$P$10),MAX($N$10:N61)+1,IF(AND(ROW()-10&gt;$P$10,ROW()-10&lt;=$P$4),ROW()-10,0))</f>
        <v>0</v>
      </c>
      <c r="O62" s="6">
        <f ca="1">IF(N62&gt;0,MAX($O$10:O61)+1,0)</f>
        <v>0</v>
      </c>
      <c r="Q62" s="84"/>
      <c r="R62" s="84"/>
    </row>
    <row r="63" spans="2:18" ht="24" customHeight="1">
      <c r="B63" s="30" t="str">
        <f t="shared" ca="1" si="0"/>
        <v/>
      </c>
      <c r="C63" s="31" t="str">
        <f t="shared" ca="1" si="1"/>
        <v/>
      </c>
      <c r="D63" s="32"/>
      <c r="E63" s="33"/>
      <c r="F63" s="33"/>
      <c r="G63" s="34"/>
      <c r="H63" s="35"/>
      <c r="I63" s="157"/>
      <c r="J63" s="201"/>
      <c r="K63" s="202" t="str">
        <f ca="1">IF(IF(COPIA!$J$3=TRUE,IF(OR(G63&lt;&gt;0,H63&lt;&gt;0),ROUND(SUM(COPIA!$FB$103:FB155),2)-ROUND(SUM(COPIA!$FC$103:FC155),2),""),"")&lt;&gt;0,"",0)</f>
        <v/>
      </c>
      <c r="L63" s="6">
        <f ca="1">IFERROR(IF(AND(INDIRECT(ADDRESS(ROW(),4,,,))&lt;=COPIA!$DA$1,K63=0,COPIA!$EX$1&gt;1,ROW()&lt;=COPIA!$EX$1),MAX($L$10:L62)+1,IF(AND(INDIRECT(ADDRESS(ROW(),4,,,))&lt;=COPIA!$DA$1,K63=0,COPIA!$EX$1=1),MAX($L$10:L62)+1,0)),0)</f>
        <v>0</v>
      </c>
      <c r="M63" s="6">
        <f ca="1">IF(AND(COPIA!$EX$1=1,L63&lt;&gt;0),ROW()-10,IF(AND(COPIA!$EX$1&gt;1,ROW()&gt;COPIA!$EX$1,L63&lt;&gt;0),0,IF(AND(COPIA!$EX$1&gt;1,ROW()&lt;=COPIA!$EX$1,L63&lt;&gt;0),ROW()-10,0)))</f>
        <v>0</v>
      </c>
      <c r="N63" s="6">
        <f ca="1">IF(AND($P$4=0,ROW()-10&lt;=$P$10),MAX($N$10:N62)+1,IF(AND(ROW()-10&gt;$P$10,ROW()-10&lt;=$P$4),ROW()-10,0))</f>
        <v>0</v>
      </c>
      <c r="O63" s="6">
        <f ca="1">IF(N63&gt;0,MAX($O$10:O62)+1,0)</f>
        <v>0</v>
      </c>
      <c r="Q63" s="84"/>
      <c r="R63" s="84"/>
    </row>
    <row r="64" spans="2:18" ht="24" customHeight="1">
      <c r="B64" s="30" t="str">
        <f t="shared" ca="1" si="0"/>
        <v/>
      </c>
      <c r="C64" s="31" t="str">
        <f t="shared" ca="1" si="1"/>
        <v/>
      </c>
      <c r="D64" s="32"/>
      <c r="E64" s="33"/>
      <c r="F64" s="33"/>
      <c r="G64" s="34"/>
      <c r="H64" s="35"/>
      <c r="I64" s="157"/>
      <c r="J64" s="201"/>
      <c r="K64" s="202" t="str">
        <f ca="1">IF(IF(COPIA!$J$3=TRUE,IF(OR(G64&lt;&gt;0,H64&lt;&gt;0),ROUND(SUM(COPIA!$FB$103:FB156),2)-ROUND(SUM(COPIA!$FC$103:FC156),2),""),"")&lt;&gt;0,"",0)</f>
        <v/>
      </c>
      <c r="L64" s="6">
        <f ca="1">IFERROR(IF(AND(INDIRECT(ADDRESS(ROW(),4,,,))&lt;=COPIA!$DA$1,K64=0,COPIA!$EX$1&gt;1,ROW()&lt;=COPIA!$EX$1),MAX($L$10:L63)+1,IF(AND(INDIRECT(ADDRESS(ROW(),4,,,))&lt;=COPIA!$DA$1,K64=0,COPIA!$EX$1=1),MAX($L$10:L63)+1,0)),0)</f>
        <v>0</v>
      </c>
      <c r="M64" s="6">
        <f ca="1">IF(AND(COPIA!$EX$1=1,L64&lt;&gt;0),ROW()-10,IF(AND(COPIA!$EX$1&gt;1,ROW()&gt;COPIA!$EX$1,L64&lt;&gt;0),0,IF(AND(COPIA!$EX$1&gt;1,ROW()&lt;=COPIA!$EX$1,L64&lt;&gt;0),ROW()-10,0)))</f>
        <v>0</v>
      </c>
      <c r="N64" s="6">
        <f ca="1">IF(AND($P$4=0,ROW()-10&lt;=$P$10),MAX($N$10:N63)+1,IF(AND(ROW()-10&gt;$P$10,ROW()-10&lt;=$P$4),ROW()-10,0))</f>
        <v>0</v>
      </c>
      <c r="O64" s="6">
        <f ca="1">IF(N64&gt;0,MAX($O$10:O63)+1,0)</f>
        <v>0</v>
      </c>
      <c r="Q64" s="84"/>
      <c r="R64" s="84"/>
    </row>
    <row r="65" spans="2:18" ht="24" customHeight="1">
      <c r="B65" s="30" t="str">
        <f t="shared" ca="1" si="0"/>
        <v/>
      </c>
      <c r="C65" s="31" t="str">
        <f t="shared" ca="1" si="1"/>
        <v/>
      </c>
      <c r="D65" s="32"/>
      <c r="E65" s="33"/>
      <c r="F65" s="33"/>
      <c r="G65" s="34"/>
      <c r="H65" s="35"/>
      <c r="I65" s="157"/>
      <c r="J65" s="201"/>
      <c r="K65" s="202" t="str">
        <f ca="1">IF(IF(COPIA!$J$3=TRUE,IF(OR(G65&lt;&gt;0,H65&lt;&gt;0),ROUND(SUM(COPIA!$FB$103:FB157),2)-ROUND(SUM(COPIA!$FC$103:FC157),2),""),"")&lt;&gt;0,"",0)</f>
        <v/>
      </c>
      <c r="L65" s="6">
        <f ca="1">IFERROR(IF(AND(INDIRECT(ADDRESS(ROW(),4,,,))&lt;=COPIA!$DA$1,K65=0,COPIA!$EX$1&gt;1,ROW()&lt;=COPIA!$EX$1),MAX($L$10:L64)+1,IF(AND(INDIRECT(ADDRESS(ROW(),4,,,))&lt;=COPIA!$DA$1,K65=0,COPIA!$EX$1=1),MAX($L$10:L64)+1,0)),0)</f>
        <v>0</v>
      </c>
      <c r="M65" s="6">
        <f ca="1">IF(AND(COPIA!$EX$1=1,L65&lt;&gt;0),ROW()-10,IF(AND(COPIA!$EX$1&gt;1,ROW()&gt;COPIA!$EX$1,L65&lt;&gt;0),0,IF(AND(COPIA!$EX$1&gt;1,ROW()&lt;=COPIA!$EX$1,L65&lt;&gt;0),ROW()-10,0)))</f>
        <v>0</v>
      </c>
      <c r="N65" s="6">
        <f ca="1">IF(AND($P$4=0,ROW()-10&lt;=$P$10),MAX($N$10:N64)+1,IF(AND(ROW()-10&gt;$P$10,ROW()-10&lt;=$P$4),ROW()-10,0))</f>
        <v>0</v>
      </c>
      <c r="O65" s="6">
        <f ca="1">IF(N65&gt;0,MAX($O$10:O64)+1,0)</f>
        <v>0</v>
      </c>
      <c r="Q65" s="84"/>
      <c r="R65" s="84"/>
    </row>
    <row r="66" spans="2:18" ht="24" customHeight="1">
      <c r="B66" s="30" t="str">
        <f t="shared" ca="1" si="0"/>
        <v/>
      </c>
      <c r="C66" s="31" t="str">
        <f t="shared" ca="1" si="1"/>
        <v/>
      </c>
      <c r="D66" s="32"/>
      <c r="E66" s="33"/>
      <c r="F66" s="33"/>
      <c r="G66" s="34"/>
      <c r="H66" s="35"/>
      <c r="I66" s="157"/>
      <c r="J66" s="201"/>
      <c r="K66" s="202" t="str">
        <f ca="1">IF(IF(COPIA!$J$3=TRUE,IF(OR(G66&lt;&gt;0,H66&lt;&gt;0),ROUND(SUM(COPIA!$FB$103:FB158),2)-ROUND(SUM(COPIA!$FC$103:FC158),2),""),"")&lt;&gt;0,"",0)</f>
        <v/>
      </c>
      <c r="L66" s="6">
        <f ca="1">IFERROR(IF(AND(INDIRECT(ADDRESS(ROW(),4,,,))&lt;=COPIA!$DA$1,K66=0,COPIA!$EX$1&gt;1,ROW()&lt;=COPIA!$EX$1),MAX($L$10:L65)+1,IF(AND(INDIRECT(ADDRESS(ROW(),4,,,))&lt;=COPIA!$DA$1,K66=0,COPIA!$EX$1=1),MAX($L$10:L65)+1,0)),0)</f>
        <v>0</v>
      </c>
      <c r="M66" s="6">
        <f ca="1">IF(AND(COPIA!$EX$1=1,L66&lt;&gt;0),ROW()-10,IF(AND(COPIA!$EX$1&gt;1,ROW()&gt;COPIA!$EX$1,L66&lt;&gt;0),0,IF(AND(COPIA!$EX$1&gt;1,ROW()&lt;=COPIA!$EX$1,L66&lt;&gt;0),ROW()-10,0)))</f>
        <v>0</v>
      </c>
      <c r="N66" s="6">
        <f ca="1">IF(AND($P$4=0,ROW()-10&lt;=$P$10),MAX($N$10:N65)+1,IF(AND(ROW()-10&gt;$P$10,ROW()-10&lt;=$P$4),ROW()-10,0))</f>
        <v>0</v>
      </c>
      <c r="O66" s="6">
        <f ca="1">IF(N66&gt;0,MAX($O$10:O65)+1,0)</f>
        <v>0</v>
      </c>
      <c r="Q66" s="84"/>
      <c r="R66" s="84"/>
    </row>
    <row r="67" spans="2:18" ht="24" customHeight="1">
      <c r="B67" s="30" t="str">
        <f t="shared" ca="1" si="0"/>
        <v/>
      </c>
      <c r="C67" s="31" t="str">
        <f t="shared" ca="1" si="1"/>
        <v/>
      </c>
      <c r="D67" s="32"/>
      <c r="E67" s="33"/>
      <c r="F67" s="33"/>
      <c r="G67" s="34"/>
      <c r="H67" s="35"/>
      <c r="I67" s="157"/>
      <c r="J67" s="201"/>
      <c r="K67" s="202" t="str">
        <f ca="1">IF(IF(COPIA!$J$3=TRUE,IF(OR(G67&lt;&gt;0,H67&lt;&gt;0),ROUND(SUM(COPIA!$FB$103:FB159),2)-ROUND(SUM(COPIA!$FC$103:FC159),2),""),"")&lt;&gt;0,"",0)</f>
        <v/>
      </c>
      <c r="L67" s="6">
        <f ca="1">IFERROR(IF(AND(INDIRECT(ADDRESS(ROW(),4,,,))&lt;=COPIA!$DA$1,K67=0,COPIA!$EX$1&gt;1,ROW()&lt;=COPIA!$EX$1),MAX($L$10:L66)+1,IF(AND(INDIRECT(ADDRESS(ROW(),4,,,))&lt;=COPIA!$DA$1,K67=0,COPIA!$EX$1=1),MAX($L$10:L66)+1,0)),0)</f>
        <v>0</v>
      </c>
      <c r="M67" s="6">
        <f ca="1">IF(AND(COPIA!$EX$1=1,L67&lt;&gt;0),ROW()-10,IF(AND(COPIA!$EX$1&gt;1,ROW()&gt;COPIA!$EX$1,L67&lt;&gt;0),0,IF(AND(COPIA!$EX$1&gt;1,ROW()&lt;=COPIA!$EX$1,L67&lt;&gt;0),ROW()-10,0)))</f>
        <v>0</v>
      </c>
      <c r="N67" s="6">
        <f ca="1">IF(AND($P$4=0,ROW()-10&lt;=$P$10),MAX($N$10:N66)+1,IF(AND(ROW()-10&gt;$P$10,ROW()-10&lt;=$P$4),ROW()-10,0))</f>
        <v>0</v>
      </c>
      <c r="O67" s="6">
        <f ca="1">IF(N67&gt;0,MAX($O$10:O66)+1,0)</f>
        <v>0</v>
      </c>
      <c r="Q67" s="84"/>
      <c r="R67" s="84"/>
    </row>
    <row r="68" spans="2:18" ht="24" customHeight="1">
      <c r="B68" s="30" t="str">
        <f t="shared" ca="1" si="0"/>
        <v/>
      </c>
      <c r="C68" s="31" t="str">
        <f t="shared" ca="1" si="1"/>
        <v/>
      </c>
      <c r="D68" s="32"/>
      <c r="E68" s="33"/>
      <c r="F68" s="33"/>
      <c r="G68" s="34"/>
      <c r="H68" s="35"/>
      <c r="I68" s="157"/>
      <c r="J68" s="201"/>
      <c r="K68" s="202" t="str">
        <f ca="1">IF(IF(COPIA!$J$3=TRUE,IF(OR(G68&lt;&gt;0,H68&lt;&gt;0),ROUND(SUM(COPIA!$FB$103:FB160),2)-ROUND(SUM(COPIA!$FC$103:FC160),2),""),"")&lt;&gt;0,"",0)</f>
        <v/>
      </c>
      <c r="L68" s="6">
        <f ca="1">IFERROR(IF(AND(INDIRECT(ADDRESS(ROW(),4,,,))&lt;=COPIA!$DA$1,K68=0,COPIA!$EX$1&gt;1,ROW()&lt;=COPIA!$EX$1),MAX($L$10:L67)+1,IF(AND(INDIRECT(ADDRESS(ROW(),4,,,))&lt;=COPIA!$DA$1,K68=0,COPIA!$EX$1=1),MAX($L$10:L67)+1,0)),0)</f>
        <v>0</v>
      </c>
      <c r="M68" s="6">
        <f ca="1">IF(AND(COPIA!$EX$1=1,L68&lt;&gt;0),ROW()-10,IF(AND(COPIA!$EX$1&gt;1,ROW()&gt;COPIA!$EX$1,L68&lt;&gt;0),0,IF(AND(COPIA!$EX$1&gt;1,ROW()&lt;=COPIA!$EX$1,L68&lt;&gt;0),ROW()-10,0)))</f>
        <v>0</v>
      </c>
      <c r="N68" s="6">
        <f ca="1">IF(AND($P$4=0,ROW()-10&lt;=$P$10),MAX($N$10:N67)+1,IF(AND(ROW()-10&gt;$P$10,ROW()-10&lt;=$P$4),ROW()-10,0))</f>
        <v>0</v>
      </c>
      <c r="O68" s="6">
        <f ca="1">IF(N68&gt;0,MAX($O$10:O67)+1,0)</f>
        <v>0</v>
      </c>
      <c r="Q68" s="84"/>
      <c r="R68" s="84"/>
    </row>
    <row r="69" spans="2:18" ht="24" customHeight="1">
      <c r="B69" s="30" t="str">
        <f t="shared" ca="1" si="0"/>
        <v/>
      </c>
      <c r="C69" s="31" t="str">
        <f t="shared" ca="1" si="1"/>
        <v/>
      </c>
      <c r="D69" s="32"/>
      <c r="E69" s="33"/>
      <c r="F69" s="33"/>
      <c r="G69" s="34"/>
      <c r="H69" s="35"/>
      <c r="I69" s="157"/>
      <c r="J69" s="201"/>
      <c r="K69" s="202" t="str">
        <f ca="1">IF(IF(COPIA!$J$3=TRUE,IF(OR(G69&lt;&gt;0,H69&lt;&gt;0),ROUND(SUM(COPIA!$FB$103:FB161),2)-ROUND(SUM(COPIA!$FC$103:FC161),2),""),"")&lt;&gt;0,"",0)</f>
        <v/>
      </c>
      <c r="L69" s="6">
        <f ca="1">IFERROR(IF(AND(INDIRECT(ADDRESS(ROW(),4,,,))&lt;=COPIA!$DA$1,K69=0,COPIA!$EX$1&gt;1,ROW()&lt;=COPIA!$EX$1),MAX($L$10:L68)+1,IF(AND(INDIRECT(ADDRESS(ROW(),4,,,))&lt;=COPIA!$DA$1,K69=0,COPIA!$EX$1=1),MAX($L$10:L68)+1,0)),0)</f>
        <v>0</v>
      </c>
      <c r="M69" s="6">
        <f ca="1">IF(AND(COPIA!$EX$1=1,L69&lt;&gt;0),ROW()-10,IF(AND(COPIA!$EX$1&gt;1,ROW()&gt;COPIA!$EX$1,L69&lt;&gt;0),0,IF(AND(COPIA!$EX$1&gt;1,ROW()&lt;=COPIA!$EX$1,L69&lt;&gt;0),ROW()-10,0)))</f>
        <v>0</v>
      </c>
      <c r="N69" s="6">
        <f ca="1">IF(AND($P$4=0,ROW()-10&lt;=$P$10),MAX($N$10:N68)+1,IF(AND(ROW()-10&gt;$P$10,ROW()-10&lt;=$P$4),ROW()-10,0))</f>
        <v>0</v>
      </c>
      <c r="O69" s="6">
        <f ca="1">IF(N69&gt;0,MAX($O$10:O68)+1,0)</f>
        <v>0</v>
      </c>
      <c r="Q69" s="84"/>
      <c r="R69" s="84"/>
    </row>
    <row r="70" spans="2:18" ht="24" customHeight="1">
      <c r="B70" s="30" t="str">
        <f t="shared" ca="1" si="0"/>
        <v/>
      </c>
      <c r="C70" s="31" t="str">
        <f t="shared" ca="1" si="1"/>
        <v/>
      </c>
      <c r="D70" s="32"/>
      <c r="E70" s="33"/>
      <c r="F70" s="33"/>
      <c r="G70" s="34"/>
      <c r="H70" s="35"/>
      <c r="I70" s="157"/>
      <c r="J70" s="201"/>
      <c r="K70" s="202" t="str">
        <f ca="1">IF(IF(COPIA!$J$3=TRUE,IF(OR(G70&lt;&gt;0,H70&lt;&gt;0),ROUND(SUM(COPIA!$FB$103:FB162),2)-ROUND(SUM(COPIA!$FC$103:FC162),2),""),"")&lt;&gt;0,"",0)</f>
        <v/>
      </c>
      <c r="L70" s="6">
        <f ca="1">IFERROR(IF(AND(INDIRECT(ADDRESS(ROW(),4,,,))&lt;=COPIA!$DA$1,K70=0,COPIA!$EX$1&gt;1,ROW()&lt;=COPIA!$EX$1),MAX($L$10:L69)+1,IF(AND(INDIRECT(ADDRESS(ROW(),4,,,))&lt;=COPIA!$DA$1,K70=0,COPIA!$EX$1=1),MAX($L$10:L69)+1,0)),0)</f>
        <v>0</v>
      </c>
      <c r="M70" s="6">
        <f ca="1">IF(AND(COPIA!$EX$1=1,L70&lt;&gt;0),ROW()-10,IF(AND(COPIA!$EX$1&gt;1,ROW()&gt;COPIA!$EX$1,L70&lt;&gt;0),0,IF(AND(COPIA!$EX$1&gt;1,ROW()&lt;=COPIA!$EX$1,L70&lt;&gt;0),ROW()-10,0)))</f>
        <v>0</v>
      </c>
      <c r="N70" s="6">
        <f ca="1">IF(AND($P$4=0,ROW()-10&lt;=$P$10),MAX($N$10:N69)+1,IF(AND(ROW()-10&gt;$P$10,ROW()-10&lt;=$P$4),ROW()-10,0))</f>
        <v>0</v>
      </c>
      <c r="O70" s="6">
        <f ca="1">IF(N70&gt;0,MAX($O$10:O69)+1,0)</f>
        <v>0</v>
      </c>
      <c r="Q70" s="84"/>
      <c r="R70" s="84"/>
    </row>
    <row r="71" spans="2:18" ht="24" customHeight="1">
      <c r="B71" s="30" t="str">
        <f t="shared" ca="1" si="0"/>
        <v/>
      </c>
      <c r="C71" s="31" t="str">
        <f t="shared" ca="1" si="1"/>
        <v/>
      </c>
      <c r="D71" s="32"/>
      <c r="E71" s="33"/>
      <c r="F71" s="33"/>
      <c r="G71" s="34"/>
      <c r="H71" s="35"/>
      <c r="I71" s="157"/>
      <c r="J71" s="201"/>
      <c r="K71" s="202" t="str">
        <f ca="1">IF(IF(COPIA!$J$3=TRUE,IF(OR(G71&lt;&gt;0,H71&lt;&gt;0),ROUND(SUM(COPIA!$FB$103:FB163),2)-ROUND(SUM(COPIA!$FC$103:FC163),2),""),"")&lt;&gt;0,"",0)</f>
        <v/>
      </c>
      <c r="L71" s="6">
        <f ca="1">IFERROR(IF(AND(INDIRECT(ADDRESS(ROW(),4,,,))&lt;=COPIA!$DA$1,K71=0,COPIA!$EX$1&gt;1,ROW()&lt;=COPIA!$EX$1),MAX($L$10:L70)+1,IF(AND(INDIRECT(ADDRESS(ROW(),4,,,))&lt;=COPIA!$DA$1,K71=0,COPIA!$EX$1=1),MAX($L$10:L70)+1,0)),0)</f>
        <v>0</v>
      </c>
      <c r="M71" s="6">
        <f ca="1">IF(AND(COPIA!$EX$1=1,L71&lt;&gt;0),ROW()-10,IF(AND(COPIA!$EX$1&gt;1,ROW()&gt;COPIA!$EX$1,L71&lt;&gt;0),0,IF(AND(COPIA!$EX$1&gt;1,ROW()&lt;=COPIA!$EX$1,L71&lt;&gt;0),ROW()-10,0)))</f>
        <v>0</v>
      </c>
      <c r="N71" s="6">
        <f ca="1">IF(AND($P$4=0,ROW()-10&lt;=$P$10),MAX($N$10:N70)+1,IF(AND(ROW()-10&gt;$P$10,ROW()-10&lt;=$P$4),ROW()-10,0))</f>
        <v>0</v>
      </c>
      <c r="O71" s="6">
        <f ca="1">IF(N71&gt;0,MAX($O$10:O70)+1,0)</f>
        <v>0</v>
      </c>
      <c r="Q71" s="84"/>
      <c r="R71" s="84"/>
    </row>
    <row r="72" spans="2:18" ht="24" customHeight="1">
      <c r="B72" s="30" t="str">
        <f t="shared" ca="1" si="0"/>
        <v/>
      </c>
      <c r="C72" s="31" t="str">
        <f t="shared" ca="1" si="1"/>
        <v/>
      </c>
      <c r="D72" s="32"/>
      <c r="E72" s="33"/>
      <c r="F72" s="33"/>
      <c r="G72" s="34"/>
      <c r="H72" s="35"/>
      <c r="I72" s="157"/>
      <c r="J72" s="201"/>
      <c r="K72" s="202" t="str">
        <f ca="1">IF(IF(COPIA!$J$3=TRUE,IF(OR(G72&lt;&gt;0,H72&lt;&gt;0),ROUND(SUM(COPIA!$FB$103:FB164),2)-ROUND(SUM(COPIA!$FC$103:FC164),2),""),"")&lt;&gt;0,"",0)</f>
        <v/>
      </c>
      <c r="L72" s="6">
        <f ca="1">IFERROR(IF(AND(INDIRECT(ADDRESS(ROW(),4,,,))&lt;=COPIA!$DA$1,K72=0,COPIA!$EX$1&gt;1,ROW()&lt;=COPIA!$EX$1),MAX($L$10:L71)+1,IF(AND(INDIRECT(ADDRESS(ROW(),4,,,))&lt;=COPIA!$DA$1,K72=0,COPIA!$EX$1=1),MAX($L$10:L71)+1,0)),0)</f>
        <v>0</v>
      </c>
      <c r="M72" s="6">
        <f ca="1">IF(AND(COPIA!$EX$1=1,L72&lt;&gt;0),ROW()-10,IF(AND(COPIA!$EX$1&gt;1,ROW()&gt;COPIA!$EX$1,L72&lt;&gt;0),0,IF(AND(COPIA!$EX$1&gt;1,ROW()&lt;=COPIA!$EX$1,L72&lt;&gt;0),ROW()-10,0)))</f>
        <v>0</v>
      </c>
      <c r="N72" s="6">
        <f ca="1">IF(AND($P$4=0,ROW()-10&lt;=$P$10),MAX($N$10:N71)+1,IF(AND(ROW()-10&gt;$P$10,ROW()-10&lt;=$P$4),ROW()-10,0))</f>
        <v>0</v>
      </c>
      <c r="O72" s="6">
        <f ca="1">IF(N72&gt;0,MAX($O$10:O71)+1,0)</f>
        <v>0</v>
      </c>
      <c r="Q72" s="84"/>
      <c r="R72" s="84"/>
    </row>
    <row r="73" spans="2:18" ht="24" customHeight="1">
      <c r="B73" s="30" t="str">
        <f t="shared" ca="1" si="0"/>
        <v/>
      </c>
      <c r="C73" s="31" t="str">
        <f t="shared" ca="1" si="1"/>
        <v/>
      </c>
      <c r="D73" s="32"/>
      <c r="E73" s="33"/>
      <c r="F73" s="33"/>
      <c r="G73" s="34"/>
      <c r="H73" s="35"/>
      <c r="I73" s="157"/>
      <c r="J73" s="201"/>
      <c r="K73" s="202" t="str">
        <f ca="1">IF(IF(COPIA!$J$3=TRUE,IF(OR(G73&lt;&gt;0,H73&lt;&gt;0),ROUND(SUM(COPIA!$FB$103:FB165),2)-ROUND(SUM(COPIA!$FC$103:FC165),2),""),"")&lt;&gt;0,"",0)</f>
        <v/>
      </c>
      <c r="L73" s="6">
        <f ca="1">IFERROR(IF(AND(INDIRECT(ADDRESS(ROW(),4,,,))&lt;=COPIA!$DA$1,K73=0,COPIA!$EX$1&gt;1,ROW()&lt;=COPIA!$EX$1),MAX($L$10:L72)+1,IF(AND(INDIRECT(ADDRESS(ROW(),4,,,))&lt;=COPIA!$DA$1,K73=0,COPIA!$EX$1=1),MAX($L$10:L72)+1,0)),0)</f>
        <v>0</v>
      </c>
      <c r="M73" s="6">
        <f ca="1">IF(AND(COPIA!$EX$1=1,L73&lt;&gt;0),ROW()-10,IF(AND(COPIA!$EX$1&gt;1,ROW()&gt;COPIA!$EX$1,L73&lt;&gt;0),0,IF(AND(COPIA!$EX$1&gt;1,ROW()&lt;=COPIA!$EX$1,L73&lt;&gt;0),ROW()-10,0)))</f>
        <v>0</v>
      </c>
      <c r="N73" s="6">
        <f ca="1">IF(AND($P$4=0,ROW()-10&lt;=$P$10),MAX($N$10:N72)+1,IF(AND(ROW()-10&gt;$P$10,ROW()-10&lt;=$P$4),ROW()-10,0))</f>
        <v>0</v>
      </c>
      <c r="O73" s="6">
        <f ca="1">IF(N73&gt;0,MAX($O$10:O72)+1,0)</f>
        <v>0</v>
      </c>
      <c r="Q73" s="84"/>
      <c r="R73" s="84"/>
    </row>
    <row r="74" spans="2:18" ht="24" customHeight="1">
      <c r="B74" s="30" t="str">
        <f t="shared" ca="1" si="0"/>
        <v/>
      </c>
      <c r="C74" s="31" t="str">
        <f t="shared" ca="1" si="1"/>
        <v/>
      </c>
      <c r="D74" s="32"/>
      <c r="E74" s="33"/>
      <c r="F74" s="33"/>
      <c r="G74" s="34"/>
      <c r="H74" s="35"/>
      <c r="I74" s="157"/>
      <c r="J74" s="201"/>
      <c r="K74" s="202" t="str">
        <f ca="1">IF(IF(COPIA!$J$3=TRUE,IF(OR(G74&lt;&gt;0,H74&lt;&gt;0),ROUND(SUM(COPIA!$FB$103:FB166),2)-ROUND(SUM(COPIA!$FC$103:FC166),2),""),"")&lt;&gt;0,"",0)</f>
        <v/>
      </c>
      <c r="L74" s="6">
        <f ca="1">IFERROR(IF(AND(INDIRECT(ADDRESS(ROW(),4,,,))&lt;=COPIA!$DA$1,K74=0,COPIA!$EX$1&gt;1,ROW()&lt;=COPIA!$EX$1),MAX($L$10:L73)+1,IF(AND(INDIRECT(ADDRESS(ROW(),4,,,))&lt;=COPIA!$DA$1,K74=0,COPIA!$EX$1=1),MAX($L$10:L73)+1,0)),0)</f>
        <v>0</v>
      </c>
      <c r="M74" s="6">
        <f ca="1">IF(AND(COPIA!$EX$1=1,L74&lt;&gt;0),ROW()-10,IF(AND(COPIA!$EX$1&gt;1,ROW()&gt;COPIA!$EX$1,L74&lt;&gt;0),0,IF(AND(COPIA!$EX$1&gt;1,ROW()&lt;=COPIA!$EX$1,L74&lt;&gt;0),ROW()-10,0)))</f>
        <v>0</v>
      </c>
      <c r="N74" s="6">
        <f ca="1">IF(AND($P$4=0,ROW()-10&lt;=$P$10),MAX($N$10:N73)+1,IF(AND(ROW()-10&gt;$P$10,ROW()-10&lt;=$P$4),ROW()-10,0))</f>
        <v>0</v>
      </c>
      <c r="O74" s="6">
        <f ca="1">IF(N74&gt;0,MAX($O$10:O73)+1,0)</f>
        <v>0</v>
      </c>
      <c r="Q74" s="84"/>
      <c r="R74" s="84"/>
    </row>
    <row r="75" spans="2:18" ht="24" customHeight="1">
      <c r="B75" s="30" t="str">
        <f t="shared" ref="B75:B138" ca="1" si="4">IF(D75&lt;&gt;"",IFERROR(IF(C75&lt;&gt;"",INDEX(PIANO_DEI_CONTI,MATCH(INDIRECT(ADDRESS(ROW(),5,,,)),DENOMINAZIONE,0),1),""),""),"")</f>
        <v/>
      </c>
      <c r="C75" s="31" t="str">
        <f t="shared" ca="1" si="1"/>
        <v/>
      </c>
      <c r="D75" s="32"/>
      <c r="E75" s="33"/>
      <c r="F75" s="33"/>
      <c r="G75" s="34"/>
      <c r="H75" s="35"/>
      <c r="I75" s="157"/>
      <c r="J75" s="201"/>
      <c r="K75" s="202" t="str">
        <f ca="1">IF(IF(COPIA!$J$3=TRUE,IF(OR(G75&lt;&gt;0,H75&lt;&gt;0),ROUND(SUM(COPIA!$FB$103:FB167),2)-ROUND(SUM(COPIA!$FC$103:FC167),2),""),"")&lt;&gt;0,"",0)</f>
        <v/>
      </c>
      <c r="L75" s="6">
        <f ca="1">IFERROR(IF(AND(INDIRECT(ADDRESS(ROW(),4,,,))&lt;=COPIA!$DA$1,K75=0,COPIA!$EX$1&gt;1,ROW()&lt;=COPIA!$EX$1),MAX($L$10:L74)+1,IF(AND(INDIRECT(ADDRESS(ROW(),4,,,))&lt;=COPIA!$DA$1,K75=0,COPIA!$EX$1=1),MAX($L$10:L74)+1,0)),0)</f>
        <v>0</v>
      </c>
      <c r="M75" s="6">
        <f ca="1">IF(AND(COPIA!$EX$1=1,L75&lt;&gt;0),ROW()-10,IF(AND(COPIA!$EX$1&gt;1,ROW()&gt;COPIA!$EX$1,L75&lt;&gt;0),0,IF(AND(COPIA!$EX$1&gt;1,ROW()&lt;=COPIA!$EX$1,L75&lt;&gt;0),ROW()-10,0)))</f>
        <v>0</v>
      </c>
      <c r="N75" s="6">
        <f ca="1">IF(AND($P$4=0,ROW()-10&lt;=$P$10),MAX($N$10:N74)+1,IF(AND(ROW()-10&gt;$P$10,ROW()-10&lt;=$P$4),ROW()-10,0))</f>
        <v>0</v>
      </c>
      <c r="O75" s="6">
        <f ca="1">IF(N75&gt;0,MAX($O$10:O74)+1,0)</f>
        <v>0</v>
      </c>
      <c r="Q75" s="84"/>
      <c r="R75" s="84"/>
    </row>
    <row r="76" spans="2:18" ht="24" customHeight="1">
      <c r="B76" s="30" t="str">
        <f t="shared" ca="1" si="4"/>
        <v/>
      </c>
      <c r="C76" s="31" t="str">
        <f t="shared" ref="C76:C139" ca="1" si="5">IF(D76&lt;&gt;"",IF(INDIRECT(ADDRESS(ROW(),5,,,))&lt;&gt;"",ROW()-10,""),"")</f>
        <v/>
      </c>
      <c r="D76" s="32"/>
      <c r="E76" s="33"/>
      <c r="F76" s="33"/>
      <c r="G76" s="34"/>
      <c r="H76" s="35"/>
      <c r="I76" s="157"/>
      <c r="J76" s="201"/>
      <c r="K76" s="202" t="str">
        <f ca="1">IF(IF(COPIA!$J$3=TRUE,IF(OR(G76&lt;&gt;0,H76&lt;&gt;0),ROUND(SUM(COPIA!$FB$103:FB168),2)-ROUND(SUM(COPIA!$FC$103:FC168),2),""),"")&lt;&gt;0,"",0)</f>
        <v/>
      </c>
      <c r="L76" s="6">
        <f ca="1">IFERROR(IF(AND(INDIRECT(ADDRESS(ROW(),4,,,))&lt;=COPIA!$DA$1,K76=0,COPIA!$EX$1&gt;1,ROW()&lt;=COPIA!$EX$1),MAX($L$10:L75)+1,IF(AND(INDIRECT(ADDRESS(ROW(),4,,,))&lt;=COPIA!$DA$1,K76=0,COPIA!$EX$1=1),MAX($L$10:L75)+1,0)),0)</f>
        <v>0</v>
      </c>
      <c r="M76" s="6">
        <f ca="1">IF(AND(COPIA!$EX$1=1,L76&lt;&gt;0),ROW()-10,IF(AND(COPIA!$EX$1&gt;1,ROW()&gt;COPIA!$EX$1,L76&lt;&gt;0),0,IF(AND(COPIA!$EX$1&gt;1,ROW()&lt;=COPIA!$EX$1,L76&lt;&gt;0),ROW()-10,0)))</f>
        <v>0</v>
      </c>
      <c r="N76" s="6">
        <f ca="1">IF(AND($P$4=0,ROW()-10&lt;=$P$10),MAX($N$10:N75)+1,IF(AND(ROW()-10&gt;$P$10,ROW()-10&lt;=$P$4),ROW()-10,0))</f>
        <v>0</v>
      </c>
      <c r="O76" s="6">
        <f ca="1">IF(N76&gt;0,MAX($O$10:O75)+1,0)</f>
        <v>0</v>
      </c>
      <c r="Q76" s="84"/>
      <c r="R76" s="84"/>
    </row>
    <row r="77" spans="2:18" ht="24" customHeight="1">
      <c r="B77" s="30" t="str">
        <f t="shared" ca="1" si="4"/>
        <v/>
      </c>
      <c r="C77" s="31" t="str">
        <f t="shared" ca="1" si="5"/>
        <v/>
      </c>
      <c r="D77" s="32"/>
      <c r="E77" s="33"/>
      <c r="F77" s="33"/>
      <c r="G77" s="34"/>
      <c r="H77" s="35"/>
      <c r="I77" s="157"/>
      <c r="J77" s="201"/>
      <c r="K77" s="202" t="str">
        <f ca="1">IF(IF(COPIA!$J$3=TRUE,IF(OR(G77&lt;&gt;0,H77&lt;&gt;0),ROUND(SUM(COPIA!$FB$103:FB169),2)-ROUND(SUM(COPIA!$FC$103:FC169),2),""),"")&lt;&gt;0,"",0)</f>
        <v/>
      </c>
      <c r="L77" s="6">
        <f ca="1">IFERROR(IF(AND(INDIRECT(ADDRESS(ROW(),4,,,))&lt;=COPIA!$DA$1,K77=0,COPIA!$EX$1&gt;1,ROW()&lt;=COPIA!$EX$1),MAX($L$10:L76)+1,IF(AND(INDIRECT(ADDRESS(ROW(),4,,,))&lt;=COPIA!$DA$1,K77=0,COPIA!$EX$1=1),MAX($L$10:L76)+1,0)),0)</f>
        <v>0</v>
      </c>
      <c r="M77" s="6">
        <f ca="1">IF(AND(COPIA!$EX$1=1,L77&lt;&gt;0),ROW()-10,IF(AND(COPIA!$EX$1&gt;1,ROW()&gt;COPIA!$EX$1,L77&lt;&gt;0),0,IF(AND(COPIA!$EX$1&gt;1,ROW()&lt;=COPIA!$EX$1,L77&lt;&gt;0),ROW()-10,0)))</f>
        <v>0</v>
      </c>
      <c r="N77" s="6">
        <f ca="1">IF(AND($P$4=0,ROW()-10&lt;=$P$10),MAX($N$10:N76)+1,IF(AND(ROW()-10&gt;$P$10,ROW()-10&lt;=$P$4),ROW()-10,0))</f>
        <v>0</v>
      </c>
      <c r="O77" s="6">
        <f ca="1">IF(N77&gt;0,MAX($O$10:O76)+1,0)</f>
        <v>0</v>
      </c>
      <c r="Q77" s="84"/>
      <c r="R77" s="84"/>
    </row>
    <row r="78" spans="2:18" ht="24" customHeight="1">
      <c r="B78" s="30" t="str">
        <f t="shared" ca="1" si="4"/>
        <v/>
      </c>
      <c r="C78" s="31" t="str">
        <f t="shared" ca="1" si="5"/>
        <v/>
      </c>
      <c r="D78" s="32"/>
      <c r="E78" s="33"/>
      <c r="F78" s="33"/>
      <c r="G78" s="34"/>
      <c r="H78" s="35"/>
      <c r="I78" s="157"/>
      <c r="J78" s="201"/>
      <c r="K78" s="202" t="str">
        <f ca="1">IF(IF(COPIA!$J$3=TRUE,IF(OR(G78&lt;&gt;0,H78&lt;&gt;0),ROUND(SUM(COPIA!$FB$103:FB170),2)-ROUND(SUM(COPIA!$FC$103:FC170),2),""),"")&lt;&gt;0,"",0)</f>
        <v/>
      </c>
      <c r="L78" s="6">
        <f ca="1">IFERROR(IF(AND(INDIRECT(ADDRESS(ROW(),4,,,))&lt;=COPIA!$DA$1,K78=0,COPIA!$EX$1&gt;1,ROW()&lt;=COPIA!$EX$1),MAX($L$10:L77)+1,IF(AND(INDIRECT(ADDRESS(ROW(),4,,,))&lt;=COPIA!$DA$1,K78=0,COPIA!$EX$1=1),MAX($L$10:L77)+1,0)),0)</f>
        <v>0</v>
      </c>
      <c r="M78" s="6">
        <f ca="1">IF(AND(COPIA!$EX$1=1,L78&lt;&gt;0),ROW()-10,IF(AND(COPIA!$EX$1&gt;1,ROW()&gt;COPIA!$EX$1,L78&lt;&gt;0),0,IF(AND(COPIA!$EX$1&gt;1,ROW()&lt;=COPIA!$EX$1,L78&lt;&gt;0),ROW()-10,0)))</f>
        <v>0</v>
      </c>
      <c r="N78" s="6">
        <f ca="1">IF(AND($P$4=0,ROW()-10&lt;=$P$10),MAX($N$10:N77)+1,IF(AND(ROW()-10&gt;$P$10,ROW()-10&lt;=$P$4),ROW()-10,0))</f>
        <v>0</v>
      </c>
      <c r="O78" s="6">
        <f ca="1">IF(N78&gt;0,MAX($O$10:O77)+1,0)</f>
        <v>0</v>
      </c>
      <c r="Q78" s="84"/>
      <c r="R78" s="84"/>
    </row>
    <row r="79" spans="2:18" ht="24" customHeight="1">
      <c r="B79" s="30" t="str">
        <f t="shared" ca="1" si="4"/>
        <v/>
      </c>
      <c r="C79" s="31" t="str">
        <f t="shared" ca="1" si="5"/>
        <v/>
      </c>
      <c r="D79" s="32"/>
      <c r="E79" s="33"/>
      <c r="F79" s="33"/>
      <c r="G79" s="34"/>
      <c r="H79" s="35"/>
      <c r="I79" s="157"/>
      <c r="J79" s="201"/>
      <c r="K79" s="202" t="str">
        <f ca="1">IF(IF(COPIA!$J$3=TRUE,IF(OR(G79&lt;&gt;0,H79&lt;&gt;0),ROUND(SUM(COPIA!$FB$103:FB171),2)-ROUND(SUM(COPIA!$FC$103:FC171),2),""),"")&lt;&gt;0,"",0)</f>
        <v/>
      </c>
      <c r="L79" s="6">
        <f ca="1">IFERROR(IF(AND(INDIRECT(ADDRESS(ROW(),4,,,))&lt;=COPIA!$DA$1,K79=0,COPIA!$EX$1&gt;1,ROW()&lt;=COPIA!$EX$1),MAX($L$10:L78)+1,IF(AND(INDIRECT(ADDRESS(ROW(),4,,,))&lt;=COPIA!$DA$1,K79=0,COPIA!$EX$1=1),MAX($L$10:L78)+1,0)),0)</f>
        <v>0</v>
      </c>
      <c r="M79" s="6">
        <f ca="1">IF(AND(COPIA!$EX$1=1,L79&lt;&gt;0),ROW()-10,IF(AND(COPIA!$EX$1&gt;1,ROW()&gt;COPIA!$EX$1,L79&lt;&gt;0),0,IF(AND(COPIA!$EX$1&gt;1,ROW()&lt;=COPIA!$EX$1,L79&lt;&gt;0),ROW()-10,0)))</f>
        <v>0</v>
      </c>
      <c r="N79" s="6">
        <f ca="1">IF(AND($P$4=0,ROW()-10&lt;=$P$10),MAX($N$10:N78)+1,IF(AND(ROW()-10&gt;$P$10,ROW()-10&lt;=$P$4),ROW()-10,0))</f>
        <v>0</v>
      </c>
      <c r="O79" s="6">
        <f ca="1">IF(N79&gt;0,MAX($O$10:O78)+1,0)</f>
        <v>0</v>
      </c>
      <c r="Q79" s="84"/>
      <c r="R79" s="84"/>
    </row>
    <row r="80" spans="2:18" ht="24" customHeight="1">
      <c r="B80" s="30" t="str">
        <f t="shared" ca="1" si="4"/>
        <v/>
      </c>
      <c r="C80" s="31" t="str">
        <f t="shared" ca="1" si="5"/>
        <v/>
      </c>
      <c r="D80" s="32"/>
      <c r="E80" s="33"/>
      <c r="F80" s="33"/>
      <c r="G80" s="34"/>
      <c r="H80" s="35"/>
      <c r="I80" s="157"/>
      <c r="J80" s="201"/>
      <c r="K80" s="202" t="str">
        <f ca="1">IF(IF(COPIA!$J$3=TRUE,IF(OR(G80&lt;&gt;0,H80&lt;&gt;0),ROUND(SUM(COPIA!$FB$103:FB172),2)-ROUND(SUM(COPIA!$FC$103:FC172),2),""),"")&lt;&gt;0,"",0)</f>
        <v/>
      </c>
      <c r="L80" s="6">
        <f ca="1">IFERROR(IF(AND(INDIRECT(ADDRESS(ROW(),4,,,))&lt;=COPIA!$DA$1,K80=0,COPIA!$EX$1&gt;1,ROW()&lt;=COPIA!$EX$1),MAX($L$10:L79)+1,IF(AND(INDIRECT(ADDRESS(ROW(),4,,,))&lt;=COPIA!$DA$1,K80=0,COPIA!$EX$1=1),MAX($L$10:L79)+1,0)),0)</f>
        <v>0</v>
      </c>
      <c r="M80" s="6">
        <f ca="1">IF(AND(COPIA!$EX$1=1,L80&lt;&gt;0),ROW()-10,IF(AND(COPIA!$EX$1&gt;1,ROW()&gt;COPIA!$EX$1,L80&lt;&gt;0),0,IF(AND(COPIA!$EX$1&gt;1,ROW()&lt;=COPIA!$EX$1,L80&lt;&gt;0),ROW()-10,0)))</f>
        <v>0</v>
      </c>
      <c r="N80" s="6">
        <f ca="1">IF(AND($P$4=0,ROW()-10&lt;=$P$10),MAX($N$10:N79)+1,IF(AND(ROW()-10&gt;$P$10,ROW()-10&lt;=$P$4),ROW()-10,0))</f>
        <v>0</v>
      </c>
      <c r="O80" s="6">
        <f ca="1">IF(N80&gt;0,MAX($O$10:O79)+1,0)</f>
        <v>0</v>
      </c>
      <c r="Q80" s="84"/>
      <c r="R80" s="84"/>
    </row>
    <row r="81" spans="2:18" ht="24" customHeight="1">
      <c r="B81" s="30" t="str">
        <f t="shared" ca="1" si="4"/>
        <v/>
      </c>
      <c r="C81" s="31" t="str">
        <f t="shared" ca="1" si="5"/>
        <v/>
      </c>
      <c r="D81" s="32"/>
      <c r="E81" s="33"/>
      <c r="F81" s="33"/>
      <c r="G81" s="34"/>
      <c r="H81" s="35"/>
      <c r="I81" s="157"/>
      <c r="J81" s="201"/>
      <c r="K81" s="202" t="str">
        <f ca="1">IF(IF(COPIA!$J$3=TRUE,IF(OR(G81&lt;&gt;0,H81&lt;&gt;0),ROUND(SUM(COPIA!$FB$103:FB173),2)-ROUND(SUM(COPIA!$FC$103:FC173),2),""),"")&lt;&gt;0,"",0)</f>
        <v/>
      </c>
      <c r="L81" s="6">
        <f ca="1">IFERROR(IF(AND(INDIRECT(ADDRESS(ROW(),4,,,))&lt;=COPIA!$DA$1,K81=0,COPIA!$EX$1&gt;1,ROW()&lt;=COPIA!$EX$1),MAX($L$10:L80)+1,IF(AND(INDIRECT(ADDRESS(ROW(),4,,,))&lt;=COPIA!$DA$1,K81=0,COPIA!$EX$1=1),MAX($L$10:L80)+1,0)),0)</f>
        <v>0</v>
      </c>
      <c r="M81" s="6">
        <f ca="1">IF(AND(COPIA!$EX$1=1,L81&lt;&gt;0),ROW()-10,IF(AND(COPIA!$EX$1&gt;1,ROW()&gt;COPIA!$EX$1,L81&lt;&gt;0),0,IF(AND(COPIA!$EX$1&gt;1,ROW()&lt;=COPIA!$EX$1,L81&lt;&gt;0),ROW()-10,0)))</f>
        <v>0</v>
      </c>
      <c r="N81" s="6">
        <f ca="1">IF(AND($P$4=0,ROW()-10&lt;=$P$10),MAX($N$10:N80)+1,IF(AND(ROW()-10&gt;$P$10,ROW()-10&lt;=$P$4),ROW()-10,0))</f>
        <v>0</v>
      </c>
      <c r="O81" s="6">
        <f ca="1">IF(N81&gt;0,MAX($O$10:O80)+1,0)</f>
        <v>0</v>
      </c>
      <c r="Q81" s="84"/>
      <c r="R81" s="84"/>
    </row>
    <row r="82" spans="2:18" ht="24" customHeight="1">
      <c r="B82" s="30" t="str">
        <f t="shared" ca="1" si="4"/>
        <v/>
      </c>
      <c r="C82" s="31" t="str">
        <f t="shared" ca="1" si="5"/>
        <v/>
      </c>
      <c r="D82" s="32"/>
      <c r="E82" s="33"/>
      <c r="F82" s="33"/>
      <c r="G82" s="34"/>
      <c r="H82" s="35"/>
      <c r="I82" s="157"/>
      <c r="J82" s="201"/>
      <c r="K82" s="202" t="str">
        <f ca="1">IF(IF(COPIA!$J$3=TRUE,IF(OR(G82&lt;&gt;0,H82&lt;&gt;0),ROUND(SUM(COPIA!$FB$103:FB174),2)-ROUND(SUM(COPIA!$FC$103:FC174),2),""),"")&lt;&gt;0,"",0)</f>
        <v/>
      </c>
      <c r="L82" s="6">
        <f ca="1">IFERROR(IF(AND(INDIRECT(ADDRESS(ROW(),4,,,))&lt;=COPIA!$DA$1,K82=0,COPIA!$EX$1&gt;1,ROW()&lt;=COPIA!$EX$1),MAX($L$10:L81)+1,IF(AND(INDIRECT(ADDRESS(ROW(),4,,,))&lt;=COPIA!$DA$1,K82=0,COPIA!$EX$1=1),MAX($L$10:L81)+1,0)),0)</f>
        <v>0</v>
      </c>
      <c r="M82" s="6">
        <f ca="1">IF(AND(COPIA!$EX$1=1,L82&lt;&gt;0),ROW()-10,IF(AND(COPIA!$EX$1&gt;1,ROW()&gt;COPIA!$EX$1,L82&lt;&gt;0),0,IF(AND(COPIA!$EX$1&gt;1,ROW()&lt;=COPIA!$EX$1,L82&lt;&gt;0),ROW()-10,0)))</f>
        <v>0</v>
      </c>
      <c r="N82" s="6">
        <f ca="1">IF(AND($P$4=0,ROW()-10&lt;=$P$10),MAX($N$10:N81)+1,IF(AND(ROW()-10&gt;$P$10,ROW()-10&lt;=$P$4),ROW()-10,0))</f>
        <v>0</v>
      </c>
      <c r="O82" s="6">
        <f ca="1">IF(N82&gt;0,MAX($O$10:O81)+1,0)</f>
        <v>0</v>
      </c>
      <c r="Q82" s="84"/>
      <c r="R82" s="84"/>
    </row>
    <row r="83" spans="2:18" ht="24" customHeight="1">
      <c r="B83" s="30" t="str">
        <f t="shared" ca="1" si="4"/>
        <v/>
      </c>
      <c r="C83" s="31" t="str">
        <f t="shared" ca="1" si="5"/>
        <v/>
      </c>
      <c r="D83" s="32"/>
      <c r="E83" s="33"/>
      <c r="F83" s="33"/>
      <c r="G83" s="34"/>
      <c r="H83" s="35"/>
      <c r="I83" s="157"/>
      <c r="J83" s="201"/>
      <c r="K83" s="202" t="str">
        <f ca="1">IF(IF(COPIA!$J$3=TRUE,IF(OR(G83&lt;&gt;0,H83&lt;&gt;0),ROUND(SUM(COPIA!$FB$103:FB175),2)-ROUND(SUM(COPIA!$FC$103:FC175),2),""),"")&lt;&gt;0,"",0)</f>
        <v/>
      </c>
      <c r="L83" s="6">
        <f ca="1">IFERROR(IF(AND(INDIRECT(ADDRESS(ROW(),4,,,))&lt;=COPIA!$DA$1,K83=0,COPIA!$EX$1&gt;1,ROW()&lt;=COPIA!$EX$1),MAX($L$10:L82)+1,IF(AND(INDIRECT(ADDRESS(ROW(),4,,,))&lt;=COPIA!$DA$1,K83=0,COPIA!$EX$1=1),MAX($L$10:L82)+1,0)),0)</f>
        <v>0</v>
      </c>
      <c r="M83" s="6">
        <f ca="1">IF(AND(COPIA!$EX$1=1,L83&lt;&gt;0),ROW()-10,IF(AND(COPIA!$EX$1&gt;1,ROW()&gt;COPIA!$EX$1,L83&lt;&gt;0),0,IF(AND(COPIA!$EX$1&gt;1,ROW()&lt;=COPIA!$EX$1,L83&lt;&gt;0),ROW()-10,0)))</f>
        <v>0</v>
      </c>
      <c r="N83" s="6">
        <f ca="1">IF(AND($P$4=0,ROW()-10&lt;=$P$10),MAX($N$10:N82)+1,IF(AND(ROW()-10&gt;$P$10,ROW()-10&lt;=$P$4),ROW()-10,0))</f>
        <v>0</v>
      </c>
      <c r="O83" s="6">
        <f ca="1">IF(N83&gt;0,MAX($O$10:O82)+1,0)</f>
        <v>0</v>
      </c>
      <c r="Q83" s="84"/>
      <c r="R83" s="84"/>
    </row>
    <row r="84" spans="2:18" ht="24" customHeight="1">
      <c r="B84" s="30" t="str">
        <f t="shared" ca="1" si="4"/>
        <v/>
      </c>
      <c r="C84" s="31" t="str">
        <f t="shared" ca="1" si="5"/>
        <v/>
      </c>
      <c r="D84" s="32"/>
      <c r="E84" s="33"/>
      <c r="F84" s="33"/>
      <c r="G84" s="34"/>
      <c r="H84" s="35"/>
      <c r="I84" s="157"/>
      <c r="J84" s="201"/>
      <c r="K84" s="202" t="str">
        <f ca="1">IF(IF(COPIA!$J$3=TRUE,IF(OR(G84&lt;&gt;0,H84&lt;&gt;0),ROUND(SUM(COPIA!$FB$103:FB176),2)-ROUND(SUM(COPIA!$FC$103:FC176),2),""),"")&lt;&gt;0,"",0)</f>
        <v/>
      </c>
      <c r="L84" s="6">
        <f ca="1">IFERROR(IF(AND(INDIRECT(ADDRESS(ROW(),4,,,))&lt;=COPIA!$DA$1,K84=0,COPIA!$EX$1&gt;1,ROW()&lt;=COPIA!$EX$1),MAX($L$10:L83)+1,IF(AND(INDIRECT(ADDRESS(ROW(),4,,,))&lt;=COPIA!$DA$1,K84=0,COPIA!$EX$1=1),MAX($L$10:L83)+1,0)),0)</f>
        <v>0</v>
      </c>
      <c r="M84" s="6">
        <f ca="1">IF(AND(COPIA!$EX$1=1,L84&lt;&gt;0),ROW()-10,IF(AND(COPIA!$EX$1&gt;1,ROW()&gt;COPIA!$EX$1,L84&lt;&gt;0),0,IF(AND(COPIA!$EX$1&gt;1,ROW()&lt;=COPIA!$EX$1,L84&lt;&gt;0),ROW()-10,0)))</f>
        <v>0</v>
      </c>
      <c r="N84" s="6">
        <f ca="1">IF(AND($P$4=0,ROW()-10&lt;=$P$10),MAX($N$10:N83)+1,IF(AND(ROW()-10&gt;$P$10,ROW()-10&lt;=$P$4),ROW()-10,0))</f>
        <v>0</v>
      </c>
      <c r="O84" s="6">
        <f ca="1">IF(N84&gt;0,MAX($O$10:O83)+1,0)</f>
        <v>0</v>
      </c>
      <c r="Q84" s="84"/>
      <c r="R84" s="84"/>
    </row>
    <row r="85" spans="2:18" ht="24" customHeight="1">
      <c r="B85" s="30" t="str">
        <f t="shared" ca="1" si="4"/>
        <v/>
      </c>
      <c r="C85" s="31" t="str">
        <f t="shared" ca="1" si="5"/>
        <v/>
      </c>
      <c r="D85" s="32"/>
      <c r="E85" s="33"/>
      <c r="F85" s="33"/>
      <c r="G85" s="34"/>
      <c r="H85" s="35"/>
      <c r="I85" s="157"/>
      <c r="J85" s="201"/>
      <c r="K85" s="202" t="str">
        <f ca="1">IF(IF(COPIA!$J$3=TRUE,IF(OR(G85&lt;&gt;0,H85&lt;&gt;0),ROUND(SUM(COPIA!$FB$103:FB177),2)-ROUND(SUM(COPIA!$FC$103:FC177),2),""),"")&lt;&gt;0,"",0)</f>
        <v/>
      </c>
      <c r="L85" s="6">
        <f ca="1">IFERROR(IF(AND(INDIRECT(ADDRESS(ROW(),4,,,))&lt;=COPIA!$DA$1,K85=0,COPIA!$EX$1&gt;1,ROW()&lt;=COPIA!$EX$1),MAX($L$10:L84)+1,IF(AND(INDIRECT(ADDRESS(ROW(),4,,,))&lt;=COPIA!$DA$1,K85=0,COPIA!$EX$1=1),MAX($L$10:L84)+1,0)),0)</f>
        <v>0</v>
      </c>
      <c r="M85" s="6">
        <f ca="1">IF(AND(COPIA!$EX$1=1,L85&lt;&gt;0),ROW()-10,IF(AND(COPIA!$EX$1&gt;1,ROW()&gt;COPIA!$EX$1,L85&lt;&gt;0),0,IF(AND(COPIA!$EX$1&gt;1,ROW()&lt;=COPIA!$EX$1,L85&lt;&gt;0),ROW()-10,0)))</f>
        <v>0</v>
      </c>
      <c r="N85" s="6">
        <f ca="1">IF(AND($P$4=0,ROW()-10&lt;=$P$10),MAX($N$10:N84)+1,IF(AND(ROW()-10&gt;$P$10,ROW()-10&lt;=$P$4),ROW()-10,0))</f>
        <v>0</v>
      </c>
      <c r="O85" s="6">
        <f ca="1">IF(N85&gt;0,MAX($O$10:O84)+1,0)</f>
        <v>0</v>
      </c>
      <c r="Q85" s="84"/>
      <c r="R85" s="84"/>
    </row>
    <row r="86" spans="2:18" ht="24" customHeight="1">
      <c r="B86" s="30" t="str">
        <f t="shared" ca="1" si="4"/>
        <v/>
      </c>
      <c r="C86" s="31" t="str">
        <f t="shared" ca="1" si="5"/>
        <v/>
      </c>
      <c r="D86" s="32"/>
      <c r="E86" s="33"/>
      <c r="F86" s="33"/>
      <c r="G86" s="34"/>
      <c r="H86" s="35"/>
      <c r="I86" s="157"/>
      <c r="J86" s="201"/>
      <c r="K86" s="202" t="str">
        <f ca="1">IF(IF(COPIA!$J$3=TRUE,IF(OR(G86&lt;&gt;0,H86&lt;&gt;0),ROUND(SUM(COPIA!$FB$103:FB178),2)-ROUND(SUM(COPIA!$FC$103:FC178),2),""),"")&lt;&gt;0,"",0)</f>
        <v/>
      </c>
      <c r="L86" s="6">
        <f ca="1">IFERROR(IF(AND(INDIRECT(ADDRESS(ROW(),4,,,))&lt;=COPIA!$DA$1,K86=0,COPIA!$EX$1&gt;1,ROW()&lt;=COPIA!$EX$1),MAX($L$10:L85)+1,IF(AND(INDIRECT(ADDRESS(ROW(),4,,,))&lt;=COPIA!$DA$1,K86=0,COPIA!$EX$1=1),MAX($L$10:L85)+1,0)),0)</f>
        <v>0</v>
      </c>
      <c r="M86" s="6">
        <f ca="1">IF(AND(COPIA!$EX$1=1,L86&lt;&gt;0),ROW()-10,IF(AND(COPIA!$EX$1&gt;1,ROW()&gt;COPIA!$EX$1,L86&lt;&gt;0),0,IF(AND(COPIA!$EX$1&gt;1,ROW()&lt;=COPIA!$EX$1,L86&lt;&gt;0),ROW()-10,0)))</f>
        <v>0</v>
      </c>
      <c r="N86" s="6">
        <f ca="1">IF(AND($P$4=0,ROW()-10&lt;=$P$10),MAX($N$10:N85)+1,IF(AND(ROW()-10&gt;$P$10,ROW()-10&lt;=$P$4),ROW()-10,0))</f>
        <v>0</v>
      </c>
      <c r="O86" s="6">
        <f ca="1">IF(N86&gt;0,MAX($O$10:O85)+1,0)</f>
        <v>0</v>
      </c>
      <c r="Q86" s="84"/>
      <c r="R86" s="84"/>
    </row>
    <row r="87" spans="2:18" ht="24" customHeight="1">
      <c r="B87" s="30" t="str">
        <f t="shared" ca="1" si="4"/>
        <v/>
      </c>
      <c r="C87" s="31" t="str">
        <f t="shared" ca="1" si="5"/>
        <v/>
      </c>
      <c r="D87" s="32"/>
      <c r="E87" s="33"/>
      <c r="F87" s="33"/>
      <c r="G87" s="34"/>
      <c r="H87" s="35"/>
      <c r="I87" s="157"/>
      <c r="J87" s="201"/>
      <c r="K87" s="202" t="str">
        <f ca="1">IF(IF(COPIA!$J$3=TRUE,IF(OR(G87&lt;&gt;0,H87&lt;&gt;0),ROUND(SUM(COPIA!$FB$103:FB179),2)-ROUND(SUM(COPIA!$FC$103:FC179),2),""),"")&lt;&gt;0,"",0)</f>
        <v/>
      </c>
      <c r="L87" s="6">
        <f ca="1">IFERROR(IF(AND(INDIRECT(ADDRESS(ROW(),4,,,))&lt;=COPIA!$DA$1,K87=0,COPIA!$EX$1&gt;1,ROW()&lt;=COPIA!$EX$1),MAX($L$10:L86)+1,IF(AND(INDIRECT(ADDRESS(ROW(),4,,,))&lt;=COPIA!$DA$1,K87=0,COPIA!$EX$1=1),MAX($L$10:L86)+1,0)),0)</f>
        <v>0</v>
      </c>
      <c r="M87" s="6">
        <f ca="1">IF(AND(COPIA!$EX$1=1,L87&lt;&gt;0),ROW()-10,IF(AND(COPIA!$EX$1&gt;1,ROW()&gt;COPIA!$EX$1,L87&lt;&gt;0),0,IF(AND(COPIA!$EX$1&gt;1,ROW()&lt;=COPIA!$EX$1,L87&lt;&gt;0),ROW()-10,0)))</f>
        <v>0</v>
      </c>
      <c r="N87" s="6">
        <f ca="1">IF(AND($P$4=0,ROW()-10&lt;=$P$10),MAX($N$10:N86)+1,IF(AND(ROW()-10&gt;$P$10,ROW()-10&lt;=$P$4),ROW()-10,0))</f>
        <v>0</v>
      </c>
      <c r="O87" s="6">
        <f ca="1">IF(N87&gt;0,MAX($O$10:O86)+1,0)</f>
        <v>0</v>
      </c>
      <c r="Q87" s="84"/>
      <c r="R87" s="84"/>
    </row>
    <row r="88" spans="2:18" ht="24" customHeight="1">
      <c r="B88" s="30" t="str">
        <f t="shared" ca="1" si="4"/>
        <v/>
      </c>
      <c r="C88" s="31" t="str">
        <f t="shared" ca="1" si="5"/>
        <v/>
      </c>
      <c r="D88" s="32"/>
      <c r="E88" s="33"/>
      <c r="F88" s="33"/>
      <c r="G88" s="34"/>
      <c r="H88" s="35"/>
      <c r="I88" s="157"/>
      <c r="J88" s="201"/>
      <c r="K88" s="202" t="str">
        <f ca="1">IF(IF(COPIA!$J$3=TRUE,IF(OR(G88&lt;&gt;0,H88&lt;&gt;0),ROUND(SUM(COPIA!$FB$103:FB180),2)-ROUND(SUM(COPIA!$FC$103:FC180),2),""),"")&lt;&gt;0,"",0)</f>
        <v/>
      </c>
      <c r="L88" s="6">
        <f ca="1">IFERROR(IF(AND(INDIRECT(ADDRESS(ROW(),4,,,))&lt;=COPIA!$DA$1,K88=0,COPIA!$EX$1&gt;1,ROW()&lt;=COPIA!$EX$1),MAX($L$10:L87)+1,IF(AND(INDIRECT(ADDRESS(ROW(),4,,,))&lt;=COPIA!$DA$1,K88=0,COPIA!$EX$1=1),MAX($L$10:L87)+1,0)),0)</f>
        <v>0</v>
      </c>
      <c r="M88" s="6">
        <f ca="1">IF(AND(COPIA!$EX$1=1,L88&lt;&gt;0),ROW()-10,IF(AND(COPIA!$EX$1&gt;1,ROW()&gt;COPIA!$EX$1,L88&lt;&gt;0),0,IF(AND(COPIA!$EX$1&gt;1,ROW()&lt;=COPIA!$EX$1,L88&lt;&gt;0),ROW()-10,0)))</f>
        <v>0</v>
      </c>
      <c r="N88" s="6">
        <f ca="1">IF(AND($P$4=0,ROW()-10&lt;=$P$10),MAX($N$10:N87)+1,IF(AND(ROW()-10&gt;$P$10,ROW()-10&lt;=$P$4),ROW()-10,0))</f>
        <v>0</v>
      </c>
      <c r="O88" s="6">
        <f ca="1">IF(N88&gt;0,MAX($O$10:O87)+1,0)</f>
        <v>0</v>
      </c>
      <c r="Q88" s="84"/>
      <c r="R88" s="84"/>
    </row>
    <row r="89" spans="2:18" ht="24" customHeight="1">
      <c r="B89" s="30" t="str">
        <f t="shared" ca="1" si="4"/>
        <v/>
      </c>
      <c r="C89" s="31" t="str">
        <f t="shared" ca="1" si="5"/>
        <v/>
      </c>
      <c r="D89" s="32"/>
      <c r="E89" s="33"/>
      <c r="F89" s="33"/>
      <c r="G89" s="34"/>
      <c r="H89" s="35"/>
      <c r="I89" s="157"/>
      <c r="J89" s="201"/>
      <c r="K89" s="202" t="str">
        <f ca="1">IF(IF(COPIA!$J$3=TRUE,IF(OR(G89&lt;&gt;0,H89&lt;&gt;0),ROUND(SUM(COPIA!$FB$103:FB181),2)-ROUND(SUM(COPIA!$FC$103:FC181),2),""),"")&lt;&gt;0,"",0)</f>
        <v/>
      </c>
      <c r="L89" s="6">
        <f ca="1">IFERROR(IF(AND(INDIRECT(ADDRESS(ROW(),4,,,))&lt;=COPIA!$DA$1,K89=0,COPIA!$EX$1&gt;1,ROW()&lt;=COPIA!$EX$1),MAX($L$10:L88)+1,IF(AND(INDIRECT(ADDRESS(ROW(),4,,,))&lt;=COPIA!$DA$1,K89=0,COPIA!$EX$1=1),MAX($L$10:L88)+1,0)),0)</f>
        <v>0</v>
      </c>
      <c r="M89" s="6">
        <f ca="1">IF(AND(COPIA!$EX$1=1,L89&lt;&gt;0),ROW()-10,IF(AND(COPIA!$EX$1&gt;1,ROW()&gt;COPIA!$EX$1,L89&lt;&gt;0),0,IF(AND(COPIA!$EX$1&gt;1,ROW()&lt;=COPIA!$EX$1,L89&lt;&gt;0),ROW()-10,0)))</f>
        <v>0</v>
      </c>
      <c r="N89" s="6">
        <f ca="1">IF(AND($P$4=0,ROW()-10&lt;=$P$10),MAX($N$10:N88)+1,IF(AND(ROW()-10&gt;$P$10,ROW()-10&lt;=$P$4),ROW()-10,0))</f>
        <v>0</v>
      </c>
      <c r="O89" s="6">
        <f ca="1">IF(N89&gt;0,MAX($O$10:O88)+1,0)</f>
        <v>0</v>
      </c>
      <c r="Q89" s="84"/>
      <c r="R89" s="84"/>
    </row>
    <row r="90" spans="2:18" ht="24" customHeight="1">
      <c r="B90" s="30" t="str">
        <f t="shared" ca="1" si="4"/>
        <v/>
      </c>
      <c r="C90" s="31" t="str">
        <f t="shared" ca="1" si="5"/>
        <v/>
      </c>
      <c r="D90" s="32"/>
      <c r="E90" s="33"/>
      <c r="F90" s="33"/>
      <c r="G90" s="34"/>
      <c r="H90" s="35"/>
      <c r="I90" s="157"/>
      <c r="J90" s="201"/>
      <c r="K90" s="202" t="str">
        <f ca="1">IF(IF(COPIA!$J$3=TRUE,IF(OR(G90&lt;&gt;0,H90&lt;&gt;0),ROUND(SUM(COPIA!$FB$103:FB182),2)-ROUND(SUM(COPIA!$FC$103:FC182),2),""),"")&lt;&gt;0,"",0)</f>
        <v/>
      </c>
      <c r="L90" s="6">
        <f ca="1">IFERROR(IF(AND(INDIRECT(ADDRESS(ROW(),4,,,))&lt;=COPIA!$DA$1,K90=0,COPIA!$EX$1&gt;1,ROW()&lt;=COPIA!$EX$1),MAX($L$10:L89)+1,IF(AND(INDIRECT(ADDRESS(ROW(),4,,,))&lt;=COPIA!$DA$1,K90=0,COPIA!$EX$1=1),MAX($L$10:L89)+1,0)),0)</f>
        <v>0</v>
      </c>
      <c r="M90" s="6">
        <f ca="1">IF(AND(COPIA!$EX$1=1,L90&lt;&gt;0),ROW()-10,IF(AND(COPIA!$EX$1&gt;1,ROW()&gt;COPIA!$EX$1,L90&lt;&gt;0),0,IF(AND(COPIA!$EX$1&gt;1,ROW()&lt;=COPIA!$EX$1,L90&lt;&gt;0),ROW()-10,0)))</f>
        <v>0</v>
      </c>
      <c r="N90" s="6">
        <f ca="1">IF(AND($P$4=0,ROW()-10&lt;=$P$10),MAX($N$10:N89)+1,IF(AND(ROW()-10&gt;$P$10,ROW()-10&lt;=$P$4),ROW()-10,0))</f>
        <v>0</v>
      </c>
      <c r="O90" s="6">
        <f ca="1">IF(N90&gt;0,MAX($O$10:O89)+1,0)</f>
        <v>0</v>
      </c>
      <c r="Q90" s="84"/>
      <c r="R90" s="84"/>
    </row>
    <row r="91" spans="2:18" ht="24" customHeight="1">
      <c r="B91" s="30" t="str">
        <f t="shared" ca="1" si="4"/>
        <v/>
      </c>
      <c r="C91" s="31" t="str">
        <f t="shared" ca="1" si="5"/>
        <v/>
      </c>
      <c r="D91" s="32"/>
      <c r="E91" s="33"/>
      <c r="F91" s="33"/>
      <c r="G91" s="34"/>
      <c r="H91" s="35"/>
      <c r="I91" s="157"/>
      <c r="J91" s="201"/>
      <c r="K91" s="202" t="str">
        <f ca="1">IF(IF(COPIA!$J$3=TRUE,IF(OR(G91&lt;&gt;0,H91&lt;&gt;0),ROUND(SUM(COPIA!$FB$103:FB183),2)-ROUND(SUM(COPIA!$FC$103:FC183),2),""),"")&lt;&gt;0,"",0)</f>
        <v/>
      </c>
      <c r="L91" s="6">
        <f ca="1">IFERROR(IF(AND(INDIRECT(ADDRESS(ROW(),4,,,))&lt;=COPIA!$DA$1,K91=0,COPIA!$EX$1&gt;1,ROW()&lt;=COPIA!$EX$1),MAX($L$10:L90)+1,IF(AND(INDIRECT(ADDRESS(ROW(),4,,,))&lt;=COPIA!$DA$1,K91=0,COPIA!$EX$1=1),MAX($L$10:L90)+1,0)),0)</f>
        <v>0</v>
      </c>
      <c r="M91" s="6">
        <f ca="1">IF(AND(COPIA!$EX$1=1,L91&lt;&gt;0),ROW()-10,IF(AND(COPIA!$EX$1&gt;1,ROW()&gt;COPIA!$EX$1,L91&lt;&gt;0),0,IF(AND(COPIA!$EX$1&gt;1,ROW()&lt;=COPIA!$EX$1,L91&lt;&gt;0),ROW()-10,0)))</f>
        <v>0</v>
      </c>
      <c r="N91" s="6">
        <f ca="1">IF(AND($P$4=0,ROW()-10&lt;=$P$10),MAX($N$10:N90)+1,IF(AND(ROW()-10&gt;$P$10,ROW()-10&lt;=$P$4),ROW()-10,0))</f>
        <v>0</v>
      </c>
      <c r="O91" s="6">
        <f ca="1">IF(N91&gt;0,MAX($O$10:O90)+1,0)</f>
        <v>0</v>
      </c>
      <c r="Q91" s="84"/>
      <c r="R91" s="84"/>
    </row>
    <row r="92" spans="2:18" ht="24" customHeight="1">
      <c r="B92" s="30" t="str">
        <f t="shared" ca="1" si="4"/>
        <v/>
      </c>
      <c r="C92" s="31" t="str">
        <f t="shared" ca="1" si="5"/>
        <v/>
      </c>
      <c r="D92" s="32"/>
      <c r="E92" s="33"/>
      <c r="F92" s="33"/>
      <c r="G92" s="34"/>
      <c r="H92" s="35"/>
      <c r="I92" s="157"/>
      <c r="J92" s="201"/>
      <c r="K92" s="202" t="str">
        <f ca="1">IF(IF(COPIA!$J$3=TRUE,IF(OR(G92&lt;&gt;0,H92&lt;&gt;0),ROUND(SUM(COPIA!$FB$103:FB184),2)-ROUND(SUM(COPIA!$FC$103:FC184),2),""),"")&lt;&gt;0,"",0)</f>
        <v/>
      </c>
      <c r="L92" s="6">
        <f ca="1">IFERROR(IF(AND(INDIRECT(ADDRESS(ROW(),4,,,))&lt;=COPIA!$DA$1,K92=0,COPIA!$EX$1&gt;1,ROW()&lt;=COPIA!$EX$1),MAX($L$10:L91)+1,IF(AND(INDIRECT(ADDRESS(ROW(),4,,,))&lt;=COPIA!$DA$1,K92=0,COPIA!$EX$1=1),MAX($L$10:L91)+1,0)),0)</f>
        <v>0</v>
      </c>
      <c r="M92" s="6">
        <f ca="1">IF(AND(COPIA!$EX$1=1,L92&lt;&gt;0),ROW()-10,IF(AND(COPIA!$EX$1&gt;1,ROW()&gt;COPIA!$EX$1,L92&lt;&gt;0),0,IF(AND(COPIA!$EX$1&gt;1,ROW()&lt;=COPIA!$EX$1,L92&lt;&gt;0),ROW()-10,0)))</f>
        <v>0</v>
      </c>
      <c r="N92" s="6">
        <f ca="1">IF(AND($P$4=0,ROW()-10&lt;=$P$10),MAX($N$10:N91)+1,IF(AND(ROW()-10&gt;$P$10,ROW()-10&lt;=$P$4),ROW()-10,0))</f>
        <v>0</v>
      </c>
      <c r="O92" s="6">
        <f ca="1">IF(N92&gt;0,MAX($O$10:O91)+1,0)</f>
        <v>0</v>
      </c>
      <c r="Q92" s="84"/>
      <c r="R92" s="84"/>
    </row>
    <row r="93" spans="2:18" ht="24" customHeight="1">
      <c r="B93" s="30" t="str">
        <f t="shared" ca="1" si="4"/>
        <v/>
      </c>
      <c r="C93" s="31" t="str">
        <f t="shared" ca="1" si="5"/>
        <v/>
      </c>
      <c r="D93" s="32"/>
      <c r="E93" s="33"/>
      <c r="F93" s="33"/>
      <c r="G93" s="34"/>
      <c r="H93" s="35"/>
      <c r="I93" s="157"/>
      <c r="J93" s="201"/>
      <c r="K93" s="202" t="str">
        <f ca="1">IF(IF(COPIA!$J$3=TRUE,IF(OR(G93&lt;&gt;0,H93&lt;&gt;0),ROUND(SUM(COPIA!$FB$103:FB185),2)-ROUND(SUM(COPIA!$FC$103:FC185),2),""),"")&lt;&gt;0,"",0)</f>
        <v/>
      </c>
      <c r="L93" s="6">
        <f ca="1">IFERROR(IF(AND(INDIRECT(ADDRESS(ROW(),4,,,))&lt;=COPIA!$DA$1,K93=0,COPIA!$EX$1&gt;1,ROW()&lt;=COPIA!$EX$1),MAX($L$10:L92)+1,IF(AND(INDIRECT(ADDRESS(ROW(),4,,,))&lt;=COPIA!$DA$1,K93=0,COPIA!$EX$1=1),MAX($L$10:L92)+1,0)),0)</f>
        <v>0</v>
      </c>
      <c r="M93" s="6">
        <f ca="1">IF(AND(COPIA!$EX$1=1,L93&lt;&gt;0),ROW()-10,IF(AND(COPIA!$EX$1&gt;1,ROW()&gt;COPIA!$EX$1,L93&lt;&gt;0),0,IF(AND(COPIA!$EX$1&gt;1,ROW()&lt;=COPIA!$EX$1,L93&lt;&gt;0),ROW()-10,0)))</f>
        <v>0</v>
      </c>
      <c r="N93" s="6">
        <f ca="1">IF(AND($P$4=0,ROW()-10&lt;=$P$10),MAX($N$10:N92)+1,IF(AND(ROW()-10&gt;$P$10,ROW()-10&lt;=$P$4),ROW()-10,0))</f>
        <v>0</v>
      </c>
      <c r="O93" s="6">
        <f ca="1">IF(N93&gt;0,MAX($O$10:O92)+1,0)</f>
        <v>0</v>
      </c>
      <c r="Q93" s="84"/>
      <c r="R93" s="84"/>
    </row>
    <row r="94" spans="2:18" ht="24" customHeight="1">
      <c r="B94" s="30" t="str">
        <f t="shared" ca="1" si="4"/>
        <v/>
      </c>
      <c r="C94" s="31" t="str">
        <f t="shared" ca="1" si="5"/>
        <v/>
      </c>
      <c r="D94" s="32"/>
      <c r="E94" s="33"/>
      <c r="F94" s="33"/>
      <c r="G94" s="34"/>
      <c r="H94" s="35"/>
      <c r="I94" s="157"/>
      <c r="J94" s="201"/>
      <c r="K94" s="202" t="str">
        <f ca="1">IF(IF(COPIA!$J$3=TRUE,IF(OR(G94&lt;&gt;0,H94&lt;&gt;0),ROUND(SUM(COPIA!$FB$103:FB186),2)-ROUND(SUM(COPIA!$FC$103:FC186),2),""),"")&lt;&gt;0,"",0)</f>
        <v/>
      </c>
      <c r="L94" s="6">
        <f ca="1">IFERROR(IF(AND(INDIRECT(ADDRESS(ROW(),4,,,))&lt;=COPIA!$DA$1,K94=0,COPIA!$EX$1&gt;1,ROW()&lt;=COPIA!$EX$1),MAX($L$10:L93)+1,IF(AND(INDIRECT(ADDRESS(ROW(),4,,,))&lt;=COPIA!$DA$1,K94=0,COPIA!$EX$1=1),MAX($L$10:L93)+1,0)),0)</f>
        <v>0</v>
      </c>
      <c r="M94" s="6">
        <f ca="1">IF(AND(COPIA!$EX$1=1,L94&lt;&gt;0),ROW()-10,IF(AND(COPIA!$EX$1&gt;1,ROW()&gt;COPIA!$EX$1,L94&lt;&gt;0),0,IF(AND(COPIA!$EX$1&gt;1,ROW()&lt;=COPIA!$EX$1,L94&lt;&gt;0),ROW()-10,0)))</f>
        <v>0</v>
      </c>
      <c r="N94" s="6">
        <f ca="1">IF(AND($P$4=0,ROW()-10&lt;=$P$10),MAX($N$10:N93)+1,IF(AND(ROW()-10&gt;$P$10,ROW()-10&lt;=$P$4),ROW()-10,0))</f>
        <v>0</v>
      </c>
      <c r="O94" s="6">
        <f ca="1">IF(N94&gt;0,MAX($O$10:O93)+1,0)</f>
        <v>0</v>
      </c>
      <c r="Q94" s="84"/>
      <c r="R94" s="84"/>
    </row>
    <row r="95" spans="2:18" ht="24" customHeight="1">
      <c r="B95" s="30" t="str">
        <f t="shared" ca="1" si="4"/>
        <v/>
      </c>
      <c r="C95" s="31" t="str">
        <f t="shared" ca="1" si="5"/>
        <v/>
      </c>
      <c r="D95" s="32"/>
      <c r="E95" s="33"/>
      <c r="F95" s="33"/>
      <c r="G95" s="34"/>
      <c r="H95" s="35"/>
      <c r="I95" s="157"/>
      <c r="J95" s="201"/>
      <c r="K95" s="202" t="str">
        <f ca="1">IF(IF(COPIA!$J$3=TRUE,IF(OR(G95&lt;&gt;0,H95&lt;&gt;0),ROUND(SUM(COPIA!$FB$103:FB187),2)-ROUND(SUM(COPIA!$FC$103:FC187),2),""),"")&lt;&gt;0,"",0)</f>
        <v/>
      </c>
      <c r="L95" s="6">
        <f ca="1">IFERROR(IF(AND(INDIRECT(ADDRESS(ROW(),4,,,))&lt;=COPIA!$DA$1,K95=0,COPIA!$EX$1&gt;1,ROW()&lt;=COPIA!$EX$1),MAX($L$10:L94)+1,IF(AND(INDIRECT(ADDRESS(ROW(),4,,,))&lt;=COPIA!$DA$1,K95=0,COPIA!$EX$1=1),MAX($L$10:L94)+1,0)),0)</f>
        <v>0</v>
      </c>
      <c r="M95" s="6">
        <f ca="1">IF(AND(COPIA!$EX$1=1,L95&lt;&gt;0),ROW()-10,IF(AND(COPIA!$EX$1&gt;1,ROW()&gt;COPIA!$EX$1,L95&lt;&gt;0),0,IF(AND(COPIA!$EX$1&gt;1,ROW()&lt;=COPIA!$EX$1,L95&lt;&gt;0),ROW()-10,0)))</f>
        <v>0</v>
      </c>
      <c r="N95" s="6">
        <f ca="1">IF(AND($P$4=0,ROW()-10&lt;=$P$10),MAX($N$10:N94)+1,IF(AND(ROW()-10&gt;$P$10,ROW()-10&lt;=$P$4),ROW()-10,0))</f>
        <v>0</v>
      </c>
      <c r="O95" s="6">
        <f ca="1">IF(N95&gt;0,MAX($O$10:O94)+1,0)</f>
        <v>0</v>
      </c>
      <c r="Q95" s="84"/>
      <c r="R95" s="84"/>
    </row>
    <row r="96" spans="2:18" ht="24" customHeight="1">
      <c r="B96" s="30" t="str">
        <f t="shared" ca="1" si="4"/>
        <v/>
      </c>
      <c r="C96" s="31" t="str">
        <f t="shared" ca="1" si="5"/>
        <v/>
      </c>
      <c r="D96" s="32"/>
      <c r="E96" s="33"/>
      <c r="F96" s="33"/>
      <c r="G96" s="34"/>
      <c r="H96" s="35"/>
      <c r="I96" s="157"/>
      <c r="J96" s="201"/>
      <c r="K96" s="202" t="str">
        <f ca="1">IF(IF(COPIA!$J$3=TRUE,IF(OR(G96&lt;&gt;0,H96&lt;&gt;0),ROUND(SUM(COPIA!$FB$103:FB188),2)-ROUND(SUM(COPIA!$FC$103:FC188),2),""),"")&lt;&gt;0,"",0)</f>
        <v/>
      </c>
      <c r="L96" s="6">
        <f ca="1">IFERROR(IF(AND(INDIRECT(ADDRESS(ROW(),4,,,))&lt;=COPIA!$DA$1,K96=0,COPIA!$EX$1&gt;1,ROW()&lt;=COPIA!$EX$1),MAX($L$10:L95)+1,IF(AND(INDIRECT(ADDRESS(ROW(),4,,,))&lt;=COPIA!$DA$1,K96=0,COPIA!$EX$1=1),MAX($L$10:L95)+1,0)),0)</f>
        <v>0</v>
      </c>
      <c r="M96" s="6">
        <f ca="1">IF(AND(COPIA!$EX$1=1,L96&lt;&gt;0),ROW()-10,IF(AND(COPIA!$EX$1&gt;1,ROW()&gt;COPIA!$EX$1,L96&lt;&gt;0),0,IF(AND(COPIA!$EX$1&gt;1,ROW()&lt;=COPIA!$EX$1,L96&lt;&gt;0),ROW()-10,0)))</f>
        <v>0</v>
      </c>
      <c r="N96" s="6">
        <f ca="1">IF(AND($P$4=0,ROW()-10&lt;=$P$10),MAX($N$10:N95)+1,IF(AND(ROW()-10&gt;$P$10,ROW()-10&lt;=$P$4),ROW()-10,0))</f>
        <v>0</v>
      </c>
      <c r="O96" s="6">
        <f ca="1">IF(N96&gt;0,MAX($O$10:O95)+1,0)</f>
        <v>0</v>
      </c>
      <c r="Q96" s="84"/>
      <c r="R96" s="84"/>
    </row>
    <row r="97" spans="2:18" ht="24" customHeight="1">
      <c r="B97" s="30" t="str">
        <f t="shared" ca="1" si="4"/>
        <v/>
      </c>
      <c r="C97" s="31" t="str">
        <f t="shared" ca="1" si="5"/>
        <v/>
      </c>
      <c r="D97" s="32"/>
      <c r="E97" s="33"/>
      <c r="F97" s="33"/>
      <c r="G97" s="34"/>
      <c r="H97" s="35"/>
      <c r="I97" s="157"/>
      <c r="J97" s="201"/>
      <c r="K97" s="202" t="str">
        <f ca="1">IF(IF(COPIA!$J$3=TRUE,IF(OR(G97&lt;&gt;0,H97&lt;&gt;0),ROUND(SUM(COPIA!$FB$103:FB189),2)-ROUND(SUM(COPIA!$FC$103:FC189),2),""),"")&lt;&gt;0,"",0)</f>
        <v/>
      </c>
      <c r="L97" s="6">
        <f ca="1">IFERROR(IF(AND(INDIRECT(ADDRESS(ROW(),4,,,))&lt;=COPIA!$DA$1,K97=0,COPIA!$EX$1&gt;1,ROW()&lt;=COPIA!$EX$1),MAX($L$10:L96)+1,IF(AND(INDIRECT(ADDRESS(ROW(),4,,,))&lt;=COPIA!$DA$1,K97=0,COPIA!$EX$1=1),MAX($L$10:L96)+1,0)),0)</f>
        <v>0</v>
      </c>
      <c r="M97" s="6">
        <f ca="1">IF(AND(COPIA!$EX$1=1,L97&lt;&gt;0),ROW()-10,IF(AND(COPIA!$EX$1&gt;1,ROW()&gt;COPIA!$EX$1,L97&lt;&gt;0),0,IF(AND(COPIA!$EX$1&gt;1,ROW()&lt;=COPIA!$EX$1,L97&lt;&gt;0),ROW()-10,0)))</f>
        <v>0</v>
      </c>
      <c r="N97" s="6">
        <f ca="1">IF(AND($P$4=0,ROW()-10&lt;=$P$10),MAX($N$10:N96)+1,IF(AND(ROW()-10&gt;$P$10,ROW()-10&lt;=$P$4),ROW()-10,0))</f>
        <v>0</v>
      </c>
      <c r="O97" s="6">
        <f ca="1">IF(N97&gt;0,MAX($O$10:O96)+1,0)</f>
        <v>0</v>
      </c>
      <c r="Q97" s="84"/>
      <c r="R97" s="84"/>
    </row>
    <row r="98" spans="2:18" ht="24" customHeight="1">
      <c r="B98" s="30" t="str">
        <f t="shared" ca="1" si="4"/>
        <v/>
      </c>
      <c r="C98" s="31" t="str">
        <f t="shared" ca="1" si="5"/>
        <v/>
      </c>
      <c r="D98" s="32"/>
      <c r="E98" s="33"/>
      <c r="F98" s="33"/>
      <c r="G98" s="34"/>
      <c r="H98" s="35"/>
      <c r="I98" s="157"/>
      <c r="J98" s="201"/>
      <c r="K98" s="202" t="str">
        <f ca="1">IF(IF(COPIA!$J$3=TRUE,IF(OR(G98&lt;&gt;0,H98&lt;&gt;0),ROUND(SUM(COPIA!$FB$103:FB190),2)-ROUND(SUM(COPIA!$FC$103:FC190),2),""),"")&lt;&gt;0,"",0)</f>
        <v/>
      </c>
      <c r="L98" s="6">
        <f ca="1">IFERROR(IF(AND(INDIRECT(ADDRESS(ROW(),4,,,))&lt;=COPIA!$DA$1,K98=0,COPIA!$EX$1&gt;1,ROW()&lt;=COPIA!$EX$1),MAX($L$10:L97)+1,IF(AND(INDIRECT(ADDRESS(ROW(),4,,,))&lt;=COPIA!$DA$1,K98=0,COPIA!$EX$1=1),MAX($L$10:L97)+1,0)),0)</f>
        <v>0</v>
      </c>
      <c r="M98" s="6">
        <f ca="1">IF(AND(COPIA!$EX$1=1,L98&lt;&gt;0),ROW()-10,IF(AND(COPIA!$EX$1&gt;1,ROW()&gt;COPIA!$EX$1,L98&lt;&gt;0),0,IF(AND(COPIA!$EX$1&gt;1,ROW()&lt;=COPIA!$EX$1,L98&lt;&gt;0),ROW()-10,0)))</f>
        <v>0</v>
      </c>
      <c r="N98" s="6">
        <f ca="1">IF(AND($P$4=0,ROW()-10&lt;=$P$10),MAX($N$10:N97)+1,IF(AND(ROW()-10&gt;$P$10,ROW()-10&lt;=$P$4),ROW()-10,0))</f>
        <v>0</v>
      </c>
      <c r="O98" s="6">
        <f ca="1">IF(N98&gt;0,MAX($O$10:O97)+1,0)</f>
        <v>0</v>
      </c>
      <c r="Q98" s="84"/>
      <c r="R98" s="84"/>
    </row>
    <row r="99" spans="2:18" ht="24" customHeight="1">
      <c r="B99" s="30" t="str">
        <f t="shared" ca="1" si="4"/>
        <v/>
      </c>
      <c r="C99" s="31" t="str">
        <f t="shared" ca="1" si="5"/>
        <v/>
      </c>
      <c r="D99" s="32"/>
      <c r="E99" s="33"/>
      <c r="F99" s="33"/>
      <c r="G99" s="34"/>
      <c r="H99" s="35"/>
      <c r="I99" s="157"/>
      <c r="J99" s="201"/>
      <c r="K99" s="202" t="str">
        <f ca="1">IF(IF(COPIA!$J$3=TRUE,IF(OR(G99&lt;&gt;0,H99&lt;&gt;0),ROUND(SUM(COPIA!$FB$103:FB191),2)-ROUND(SUM(COPIA!$FC$103:FC191),2),""),"")&lt;&gt;0,"",0)</f>
        <v/>
      </c>
      <c r="L99" s="6">
        <f ca="1">IFERROR(IF(AND(INDIRECT(ADDRESS(ROW(),4,,,))&lt;=COPIA!$DA$1,K99=0,COPIA!$EX$1&gt;1,ROW()&lt;=COPIA!$EX$1),MAX($L$10:L98)+1,IF(AND(INDIRECT(ADDRESS(ROW(),4,,,))&lt;=COPIA!$DA$1,K99=0,COPIA!$EX$1=1),MAX($L$10:L98)+1,0)),0)</f>
        <v>0</v>
      </c>
      <c r="M99" s="6">
        <f ca="1">IF(AND(COPIA!$EX$1=1,L99&lt;&gt;0),ROW()-10,IF(AND(COPIA!$EX$1&gt;1,ROW()&gt;COPIA!$EX$1,L99&lt;&gt;0),0,IF(AND(COPIA!$EX$1&gt;1,ROW()&lt;=COPIA!$EX$1,L99&lt;&gt;0),ROW()-10,0)))</f>
        <v>0</v>
      </c>
      <c r="N99" s="6">
        <f ca="1">IF(AND($P$4=0,ROW()-10&lt;=$P$10),MAX($N$10:N98)+1,IF(AND(ROW()-10&gt;$P$10,ROW()-10&lt;=$P$4),ROW()-10,0))</f>
        <v>0</v>
      </c>
      <c r="O99" s="6">
        <f ca="1">IF(N99&gt;0,MAX($O$10:O98)+1,0)</f>
        <v>0</v>
      </c>
      <c r="Q99" s="84"/>
      <c r="R99" s="84"/>
    </row>
    <row r="100" spans="2:18" ht="24" customHeight="1">
      <c r="B100" s="30" t="str">
        <f t="shared" ca="1" si="4"/>
        <v/>
      </c>
      <c r="C100" s="31" t="str">
        <f t="shared" ca="1" si="5"/>
        <v/>
      </c>
      <c r="D100" s="32"/>
      <c r="E100" s="33"/>
      <c r="F100" s="33"/>
      <c r="G100" s="34"/>
      <c r="H100" s="35"/>
      <c r="I100" s="157"/>
      <c r="J100" s="201"/>
      <c r="K100" s="202" t="str">
        <f ca="1">IF(IF(COPIA!$J$3=TRUE,IF(OR(G100&lt;&gt;0,H100&lt;&gt;0),ROUND(SUM(COPIA!$FB$103:FB192),2)-ROUND(SUM(COPIA!$FC$103:FC192),2),""),"")&lt;&gt;0,"",0)</f>
        <v/>
      </c>
      <c r="L100" s="6">
        <f ca="1">IFERROR(IF(AND(INDIRECT(ADDRESS(ROW(),4,,,))&lt;=COPIA!$DA$1,K100=0,COPIA!$EX$1&gt;1,ROW()&lt;=COPIA!$EX$1),MAX($L$10:L99)+1,IF(AND(INDIRECT(ADDRESS(ROW(),4,,,))&lt;=COPIA!$DA$1,K100=0,COPIA!$EX$1=1),MAX($L$10:L99)+1,0)),0)</f>
        <v>0</v>
      </c>
      <c r="M100" s="6">
        <f ca="1">IF(AND(COPIA!$EX$1=1,L100&lt;&gt;0),ROW()-10,IF(AND(COPIA!$EX$1&gt;1,ROW()&gt;COPIA!$EX$1,L100&lt;&gt;0),0,IF(AND(COPIA!$EX$1&gt;1,ROW()&lt;=COPIA!$EX$1,L100&lt;&gt;0),ROW()-10,0)))</f>
        <v>0</v>
      </c>
      <c r="N100" s="6">
        <f ca="1">IF(AND($P$4=0,ROW()-10&lt;=$P$10),MAX($N$10:N99)+1,IF(AND(ROW()-10&gt;$P$10,ROW()-10&lt;=$P$4),ROW()-10,0))</f>
        <v>0</v>
      </c>
      <c r="O100" s="6">
        <f ca="1">IF(N100&gt;0,MAX($O$10:O99)+1,0)</f>
        <v>0</v>
      </c>
      <c r="Q100" s="84"/>
      <c r="R100" s="84"/>
    </row>
    <row r="101" spans="2:18" ht="24" customHeight="1">
      <c r="B101" s="30" t="str">
        <f t="shared" ca="1" si="4"/>
        <v/>
      </c>
      <c r="C101" s="31" t="str">
        <f t="shared" ca="1" si="5"/>
        <v/>
      </c>
      <c r="D101" s="32"/>
      <c r="E101" s="33"/>
      <c r="F101" s="33"/>
      <c r="G101" s="34"/>
      <c r="H101" s="35"/>
      <c r="I101" s="157"/>
      <c r="J101" s="201"/>
      <c r="K101" s="202" t="str">
        <f ca="1">IF(IF(COPIA!$J$3=TRUE,IF(OR(G101&lt;&gt;0,H101&lt;&gt;0),ROUND(SUM(COPIA!$FB$103:FB193),2)-ROUND(SUM(COPIA!$FC$103:FC193),2),""),"")&lt;&gt;0,"",0)</f>
        <v/>
      </c>
      <c r="L101" s="6">
        <f ca="1">IFERROR(IF(AND(INDIRECT(ADDRESS(ROW(),4,,,))&lt;=COPIA!$DA$1,K101=0,COPIA!$EX$1&gt;1,ROW()&lt;=COPIA!$EX$1),MAX($L$10:L100)+1,IF(AND(INDIRECT(ADDRESS(ROW(),4,,,))&lt;=COPIA!$DA$1,K101=0,COPIA!$EX$1=1),MAX($L$10:L100)+1,0)),0)</f>
        <v>0</v>
      </c>
      <c r="M101" s="6">
        <f ca="1">IF(AND(COPIA!$EX$1=1,L101&lt;&gt;0),ROW()-10,IF(AND(COPIA!$EX$1&gt;1,ROW()&gt;COPIA!$EX$1,L101&lt;&gt;0),0,IF(AND(COPIA!$EX$1&gt;1,ROW()&lt;=COPIA!$EX$1,L101&lt;&gt;0),ROW()-10,0)))</f>
        <v>0</v>
      </c>
      <c r="N101" s="6">
        <f ca="1">IF(AND($P$4=0,ROW()-10&lt;=$P$10),MAX($N$10:N100)+1,IF(AND(ROW()-10&gt;$P$10,ROW()-10&lt;=$P$4),ROW()-10,0))</f>
        <v>0</v>
      </c>
      <c r="O101" s="6">
        <f ca="1">IF(N101&gt;0,MAX($O$10:O100)+1,0)</f>
        <v>0</v>
      </c>
      <c r="Q101" s="84"/>
      <c r="R101" s="84"/>
    </row>
    <row r="102" spans="2:18" ht="24" customHeight="1">
      <c r="B102" s="30" t="str">
        <f t="shared" ca="1" si="4"/>
        <v/>
      </c>
      <c r="C102" s="31" t="str">
        <f t="shared" ca="1" si="5"/>
        <v/>
      </c>
      <c r="D102" s="32"/>
      <c r="E102" s="33"/>
      <c r="F102" s="33"/>
      <c r="G102" s="34"/>
      <c r="H102" s="35"/>
      <c r="I102" s="157"/>
      <c r="J102" s="201"/>
      <c r="K102" s="202" t="str">
        <f ca="1">IF(IF(COPIA!$J$3=TRUE,IF(OR(G102&lt;&gt;0,H102&lt;&gt;0),ROUND(SUM(COPIA!$FB$103:FB194),2)-ROUND(SUM(COPIA!$FC$103:FC194),2),""),"")&lt;&gt;0,"",0)</f>
        <v/>
      </c>
      <c r="L102" s="6">
        <f ca="1">IFERROR(IF(AND(INDIRECT(ADDRESS(ROW(),4,,,))&lt;=COPIA!$DA$1,K102=0,COPIA!$EX$1&gt;1,ROW()&lt;=COPIA!$EX$1),MAX($L$10:L101)+1,IF(AND(INDIRECT(ADDRESS(ROW(),4,,,))&lt;=COPIA!$DA$1,K102=0,COPIA!$EX$1=1),MAX($L$10:L101)+1,0)),0)</f>
        <v>0</v>
      </c>
      <c r="M102" s="6">
        <f ca="1">IF(AND(COPIA!$EX$1=1,L102&lt;&gt;0),ROW()-10,IF(AND(COPIA!$EX$1&gt;1,ROW()&gt;COPIA!$EX$1,L102&lt;&gt;0),0,IF(AND(COPIA!$EX$1&gt;1,ROW()&lt;=COPIA!$EX$1,L102&lt;&gt;0),ROW()-10,0)))</f>
        <v>0</v>
      </c>
      <c r="N102" s="6">
        <f ca="1">IF(AND($P$4=0,ROW()-10&lt;=$P$10),MAX($N$10:N101)+1,IF(AND(ROW()-10&gt;$P$10,ROW()-10&lt;=$P$4),ROW()-10,0))</f>
        <v>0</v>
      </c>
      <c r="O102" s="6">
        <f ca="1">IF(N102&gt;0,MAX($O$10:O101)+1,0)</f>
        <v>0</v>
      </c>
      <c r="Q102" s="84"/>
      <c r="R102" s="84"/>
    </row>
    <row r="103" spans="2:18" ht="24" customHeight="1">
      <c r="B103" s="30" t="str">
        <f t="shared" ca="1" si="4"/>
        <v/>
      </c>
      <c r="C103" s="31" t="str">
        <f t="shared" ca="1" si="5"/>
        <v/>
      </c>
      <c r="D103" s="32"/>
      <c r="E103" s="33"/>
      <c r="F103" s="33"/>
      <c r="G103" s="34"/>
      <c r="H103" s="35"/>
      <c r="I103" s="157"/>
      <c r="J103" s="201"/>
      <c r="K103" s="202" t="str">
        <f ca="1">IF(IF(COPIA!$J$3=TRUE,IF(OR(G103&lt;&gt;0,H103&lt;&gt;0),ROUND(SUM(COPIA!$FB$103:FB195),2)-ROUND(SUM(COPIA!$FC$103:FC195),2),""),"")&lt;&gt;0,"",0)</f>
        <v/>
      </c>
      <c r="L103" s="6">
        <f ca="1">IFERROR(IF(AND(INDIRECT(ADDRESS(ROW(),4,,,))&lt;=COPIA!$DA$1,K103=0,COPIA!$EX$1&gt;1,ROW()&lt;=COPIA!$EX$1),MAX($L$10:L102)+1,IF(AND(INDIRECT(ADDRESS(ROW(),4,,,))&lt;=COPIA!$DA$1,K103=0,COPIA!$EX$1=1),MAX($L$10:L102)+1,0)),0)</f>
        <v>0</v>
      </c>
      <c r="M103" s="6">
        <f ca="1">IF(AND(COPIA!$EX$1=1,L103&lt;&gt;0),ROW()-10,IF(AND(COPIA!$EX$1&gt;1,ROW()&gt;COPIA!$EX$1,L103&lt;&gt;0),0,IF(AND(COPIA!$EX$1&gt;1,ROW()&lt;=COPIA!$EX$1,L103&lt;&gt;0),ROW()-10,0)))</f>
        <v>0</v>
      </c>
      <c r="N103" s="6">
        <f ca="1">IF(AND($P$4=0,ROW()-10&lt;=$P$10),MAX($N$10:N102)+1,IF(AND(ROW()-10&gt;$P$10,ROW()-10&lt;=$P$4),ROW()-10,0))</f>
        <v>0</v>
      </c>
      <c r="O103" s="6">
        <f ca="1">IF(N103&gt;0,MAX($O$10:O102)+1,0)</f>
        <v>0</v>
      </c>
      <c r="Q103" s="84"/>
      <c r="R103" s="84"/>
    </row>
    <row r="104" spans="2:18" ht="24" customHeight="1">
      <c r="B104" s="30" t="str">
        <f t="shared" ca="1" si="4"/>
        <v/>
      </c>
      <c r="C104" s="31" t="str">
        <f t="shared" ca="1" si="5"/>
        <v/>
      </c>
      <c r="D104" s="32"/>
      <c r="E104" s="33"/>
      <c r="F104" s="33"/>
      <c r="G104" s="34"/>
      <c r="H104" s="35"/>
      <c r="I104" s="157"/>
      <c r="J104" s="201"/>
      <c r="K104" s="202" t="str">
        <f ca="1">IF(IF(COPIA!$J$3=TRUE,IF(OR(G104&lt;&gt;0,H104&lt;&gt;0),ROUND(SUM(COPIA!$FB$103:FB196),2)-ROUND(SUM(COPIA!$FC$103:FC196),2),""),"")&lt;&gt;0,"",0)</f>
        <v/>
      </c>
      <c r="L104" s="6">
        <f ca="1">IFERROR(IF(AND(INDIRECT(ADDRESS(ROW(),4,,,))&lt;=COPIA!$DA$1,K104=0,COPIA!$EX$1&gt;1,ROW()&lt;=COPIA!$EX$1),MAX($L$10:L103)+1,IF(AND(INDIRECT(ADDRESS(ROW(),4,,,))&lt;=COPIA!$DA$1,K104=0,COPIA!$EX$1=1),MAX($L$10:L103)+1,0)),0)</f>
        <v>0</v>
      </c>
      <c r="M104" s="6">
        <f ca="1">IF(AND(COPIA!$EX$1=1,L104&lt;&gt;0),ROW()-10,IF(AND(COPIA!$EX$1&gt;1,ROW()&gt;COPIA!$EX$1,L104&lt;&gt;0),0,IF(AND(COPIA!$EX$1&gt;1,ROW()&lt;=COPIA!$EX$1,L104&lt;&gt;0),ROW()-10,0)))</f>
        <v>0</v>
      </c>
      <c r="N104" s="6">
        <f ca="1">IF(AND($P$4=0,ROW()-10&lt;=$P$10),MAX($N$10:N103)+1,IF(AND(ROW()-10&gt;$P$10,ROW()-10&lt;=$P$4),ROW()-10,0))</f>
        <v>0</v>
      </c>
      <c r="O104" s="6">
        <f ca="1">IF(N104&gt;0,MAX($O$10:O103)+1,0)</f>
        <v>0</v>
      </c>
      <c r="Q104" s="84"/>
      <c r="R104" s="84"/>
    </row>
    <row r="105" spans="2:18" ht="24" customHeight="1">
      <c r="B105" s="30" t="str">
        <f t="shared" ca="1" si="4"/>
        <v/>
      </c>
      <c r="C105" s="31" t="str">
        <f t="shared" ca="1" si="5"/>
        <v/>
      </c>
      <c r="D105" s="32"/>
      <c r="E105" s="33"/>
      <c r="F105" s="33"/>
      <c r="G105" s="34"/>
      <c r="H105" s="35"/>
      <c r="I105" s="157"/>
      <c r="J105" s="201"/>
      <c r="K105" s="202" t="str">
        <f ca="1">IF(IF(COPIA!$J$3=TRUE,IF(OR(G105&lt;&gt;0,H105&lt;&gt;0),ROUND(SUM(COPIA!$FB$103:FB197),2)-ROUND(SUM(COPIA!$FC$103:FC197),2),""),"")&lt;&gt;0,"",0)</f>
        <v/>
      </c>
      <c r="L105" s="6">
        <f ca="1">IFERROR(IF(AND(INDIRECT(ADDRESS(ROW(),4,,,))&lt;=COPIA!$DA$1,K105=0,COPIA!$EX$1&gt;1,ROW()&lt;=COPIA!$EX$1),MAX($L$10:L104)+1,IF(AND(INDIRECT(ADDRESS(ROW(),4,,,))&lt;=COPIA!$DA$1,K105=0,COPIA!$EX$1=1),MAX($L$10:L104)+1,0)),0)</f>
        <v>0</v>
      </c>
      <c r="M105" s="6">
        <f ca="1">IF(AND(COPIA!$EX$1=1,L105&lt;&gt;0),ROW()-10,IF(AND(COPIA!$EX$1&gt;1,ROW()&gt;COPIA!$EX$1,L105&lt;&gt;0),0,IF(AND(COPIA!$EX$1&gt;1,ROW()&lt;=COPIA!$EX$1,L105&lt;&gt;0),ROW()-10,0)))</f>
        <v>0</v>
      </c>
      <c r="N105" s="6">
        <f ca="1">IF(AND($P$4=0,ROW()-10&lt;=$P$10),MAX($N$10:N104)+1,IF(AND(ROW()-10&gt;$P$10,ROW()-10&lt;=$P$4),ROW()-10,0))</f>
        <v>0</v>
      </c>
      <c r="O105" s="6">
        <f ca="1">IF(N105&gt;0,MAX($O$10:O104)+1,0)</f>
        <v>0</v>
      </c>
      <c r="Q105" s="84"/>
      <c r="R105" s="84"/>
    </row>
    <row r="106" spans="2:18" ht="24" customHeight="1">
      <c r="B106" s="30" t="str">
        <f t="shared" ca="1" si="4"/>
        <v/>
      </c>
      <c r="C106" s="31" t="str">
        <f t="shared" ca="1" si="5"/>
        <v/>
      </c>
      <c r="D106" s="32"/>
      <c r="E106" s="33"/>
      <c r="F106" s="33"/>
      <c r="G106" s="34"/>
      <c r="H106" s="35"/>
      <c r="I106" s="157"/>
      <c r="J106" s="201"/>
      <c r="K106" s="202" t="str">
        <f ca="1">IF(IF(COPIA!$J$3=TRUE,IF(OR(G106&lt;&gt;0,H106&lt;&gt;0),ROUND(SUM(COPIA!$FB$103:FB198),2)-ROUND(SUM(COPIA!$FC$103:FC198),2),""),"")&lt;&gt;0,"",0)</f>
        <v/>
      </c>
      <c r="L106" s="6">
        <f ca="1">IFERROR(IF(AND(INDIRECT(ADDRESS(ROW(),4,,,))&lt;=COPIA!$DA$1,K106=0,COPIA!$EX$1&gt;1,ROW()&lt;=COPIA!$EX$1),MAX($L$10:L105)+1,IF(AND(INDIRECT(ADDRESS(ROW(),4,,,))&lt;=COPIA!$DA$1,K106=0,COPIA!$EX$1=1),MAX($L$10:L105)+1,0)),0)</f>
        <v>0</v>
      </c>
      <c r="M106" s="6">
        <f ca="1">IF(AND(COPIA!$EX$1=1,L106&lt;&gt;0),ROW()-10,IF(AND(COPIA!$EX$1&gt;1,ROW()&gt;COPIA!$EX$1,L106&lt;&gt;0),0,IF(AND(COPIA!$EX$1&gt;1,ROW()&lt;=COPIA!$EX$1,L106&lt;&gt;0),ROW()-10,0)))</f>
        <v>0</v>
      </c>
      <c r="N106" s="6">
        <f ca="1">IF(AND($P$4=0,ROW()-10&lt;=$P$10),MAX($N$10:N105)+1,IF(AND(ROW()-10&gt;$P$10,ROW()-10&lt;=$P$4),ROW()-10,0))</f>
        <v>0</v>
      </c>
      <c r="O106" s="6">
        <f ca="1">IF(N106&gt;0,MAX($O$10:O105)+1,0)</f>
        <v>0</v>
      </c>
      <c r="Q106" s="84"/>
      <c r="R106" s="84"/>
    </row>
    <row r="107" spans="2:18" ht="24" customHeight="1">
      <c r="B107" s="30" t="str">
        <f t="shared" ca="1" si="4"/>
        <v/>
      </c>
      <c r="C107" s="31" t="str">
        <f t="shared" ca="1" si="5"/>
        <v/>
      </c>
      <c r="D107" s="32"/>
      <c r="E107" s="33"/>
      <c r="F107" s="33"/>
      <c r="G107" s="34"/>
      <c r="H107" s="35"/>
      <c r="I107" s="157"/>
      <c r="J107" s="201"/>
      <c r="K107" s="202" t="str">
        <f ca="1">IF(IF(COPIA!$J$3=TRUE,IF(OR(G107&lt;&gt;0,H107&lt;&gt;0),ROUND(SUM(COPIA!$FB$103:FB199),2)-ROUND(SUM(COPIA!$FC$103:FC199),2),""),"")&lt;&gt;0,"",0)</f>
        <v/>
      </c>
      <c r="L107" s="6">
        <f ca="1">IFERROR(IF(AND(INDIRECT(ADDRESS(ROW(),4,,,))&lt;=COPIA!$DA$1,K107=0,COPIA!$EX$1&gt;1,ROW()&lt;=COPIA!$EX$1),MAX($L$10:L106)+1,IF(AND(INDIRECT(ADDRESS(ROW(),4,,,))&lt;=COPIA!$DA$1,K107=0,COPIA!$EX$1=1),MAX($L$10:L106)+1,0)),0)</f>
        <v>0</v>
      </c>
      <c r="M107" s="6">
        <f ca="1">IF(AND(COPIA!$EX$1=1,L107&lt;&gt;0),ROW()-10,IF(AND(COPIA!$EX$1&gt;1,ROW()&gt;COPIA!$EX$1,L107&lt;&gt;0),0,IF(AND(COPIA!$EX$1&gt;1,ROW()&lt;=COPIA!$EX$1,L107&lt;&gt;0),ROW()-10,0)))</f>
        <v>0</v>
      </c>
      <c r="N107" s="6">
        <f ca="1">IF(AND($P$4=0,ROW()-10&lt;=$P$10),MAX($N$10:N106)+1,IF(AND(ROW()-10&gt;$P$10,ROW()-10&lt;=$P$4),ROW()-10,0))</f>
        <v>0</v>
      </c>
      <c r="O107" s="6">
        <f ca="1">IF(N107&gt;0,MAX($O$10:O106)+1,0)</f>
        <v>0</v>
      </c>
      <c r="Q107" s="84"/>
      <c r="R107" s="84"/>
    </row>
    <row r="108" spans="2:18" ht="24" customHeight="1">
      <c r="B108" s="30" t="str">
        <f t="shared" ca="1" si="4"/>
        <v/>
      </c>
      <c r="C108" s="31" t="str">
        <f t="shared" ca="1" si="5"/>
        <v/>
      </c>
      <c r="D108" s="32"/>
      <c r="E108" s="33"/>
      <c r="F108" s="33"/>
      <c r="G108" s="34"/>
      <c r="H108" s="35"/>
      <c r="I108" s="157"/>
      <c r="J108" s="201"/>
      <c r="K108" s="202" t="str">
        <f ca="1">IF(IF(COPIA!$J$3=TRUE,IF(OR(G108&lt;&gt;0,H108&lt;&gt;0),ROUND(SUM(COPIA!$FB$103:FB200),2)-ROUND(SUM(COPIA!$FC$103:FC200),2),""),"")&lt;&gt;0,"",0)</f>
        <v/>
      </c>
      <c r="L108" s="6">
        <f ca="1">IFERROR(IF(AND(INDIRECT(ADDRESS(ROW(),4,,,))&lt;=COPIA!$DA$1,K108=0,COPIA!$EX$1&gt;1,ROW()&lt;=COPIA!$EX$1),MAX($L$10:L107)+1,IF(AND(INDIRECT(ADDRESS(ROW(),4,,,))&lt;=COPIA!$DA$1,K108=0,COPIA!$EX$1=1),MAX($L$10:L107)+1,0)),0)</f>
        <v>0</v>
      </c>
      <c r="M108" s="6">
        <f ca="1">IF(AND(COPIA!$EX$1=1,L108&lt;&gt;0),ROW()-10,IF(AND(COPIA!$EX$1&gt;1,ROW()&gt;COPIA!$EX$1,L108&lt;&gt;0),0,IF(AND(COPIA!$EX$1&gt;1,ROW()&lt;=COPIA!$EX$1,L108&lt;&gt;0),ROW()-10,0)))</f>
        <v>0</v>
      </c>
      <c r="N108" s="6">
        <f ca="1">IF(AND($P$4=0,ROW()-10&lt;=$P$10),MAX($N$10:N107)+1,IF(AND(ROW()-10&gt;$P$10,ROW()-10&lt;=$P$4),ROW()-10,0))</f>
        <v>0</v>
      </c>
      <c r="O108" s="6">
        <f ca="1">IF(N108&gt;0,MAX($O$10:O107)+1,0)</f>
        <v>0</v>
      </c>
      <c r="Q108" s="84"/>
      <c r="R108" s="84"/>
    </row>
    <row r="109" spans="2:18" ht="24" customHeight="1">
      <c r="B109" s="30" t="str">
        <f t="shared" ca="1" si="4"/>
        <v/>
      </c>
      <c r="C109" s="31" t="str">
        <f t="shared" ca="1" si="5"/>
        <v/>
      </c>
      <c r="D109" s="32"/>
      <c r="E109" s="33"/>
      <c r="F109" s="36"/>
      <c r="G109" s="34"/>
      <c r="H109" s="34"/>
      <c r="I109" s="157"/>
      <c r="J109" s="201"/>
      <c r="K109" s="202" t="str">
        <f ca="1">IF(IF(COPIA!$J$3=TRUE,IF(OR(G109&lt;&gt;0,H109&lt;&gt;0),ROUND(SUM(COPIA!$FB$103:FB201),2)-ROUND(SUM(COPIA!$FC$103:FC201),2),""),"")&lt;&gt;0,"",0)</f>
        <v/>
      </c>
      <c r="L109" s="6">
        <f ca="1">IFERROR(IF(AND(INDIRECT(ADDRESS(ROW(),4,,,))&lt;=COPIA!$DA$1,K109=0,COPIA!$EX$1&gt;1,ROW()&lt;=COPIA!$EX$1),MAX($L$10:L108)+1,IF(AND(INDIRECT(ADDRESS(ROW(),4,,,))&lt;=COPIA!$DA$1,K109=0,COPIA!$EX$1=1),MAX($L$10:L108)+1,0)),0)</f>
        <v>0</v>
      </c>
      <c r="M109" s="6">
        <f ca="1">IF(AND(COPIA!$EX$1=1,L109&lt;&gt;0),ROW()-10,IF(AND(COPIA!$EX$1&gt;1,ROW()&gt;COPIA!$EX$1,L109&lt;&gt;0),0,IF(AND(COPIA!$EX$1&gt;1,ROW()&lt;=COPIA!$EX$1,L109&lt;&gt;0),ROW()-10,0)))</f>
        <v>0</v>
      </c>
      <c r="N109" s="6">
        <f ca="1">IF(AND($P$4=0,ROW()-10&lt;=$P$10),MAX($N$10:N108)+1,IF(AND(ROW()-10&gt;$P$10,ROW()-10&lt;=$P$4),ROW()-10,0))</f>
        <v>0</v>
      </c>
      <c r="O109" s="6">
        <f ca="1">IF(N109&gt;0,MAX($O$10:O108)+1,0)</f>
        <v>0</v>
      </c>
      <c r="Q109" s="84"/>
      <c r="R109" s="84"/>
    </row>
    <row r="110" spans="2:18" ht="24" customHeight="1">
      <c r="B110" s="30" t="str">
        <f t="shared" ca="1" si="4"/>
        <v/>
      </c>
      <c r="C110" s="31" t="str">
        <f t="shared" ca="1" si="5"/>
        <v/>
      </c>
      <c r="D110" s="32"/>
      <c r="E110" s="33"/>
      <c r="F110" s="36"/>
      <c r="G110" s="34"/>
      <c r="H110" s="34"/>
      <c r="I110" s="157"/>
      <c r="J110" s="201"/>
      <c r="K110" s="202" t="str">
        <f ca="1">IF(IF(COPIA!$J$3=TRUE,IF(OR(G110&lt;&gt;0,H110&lt;&gt;0),ROUND(SUM(COPIA!$FB$103:FB202),2)-ROUND(SUM(COPIA!$FC$103:FC202),2),""),"")&lt;&gt;0,"",0)</f>
        <v/>
      </c>
      <c r="L110" s="6">
        <f ca="1">IFERROR(IF(AND(INDIRECT(ADDRESS(ROW(),4,,,))&lt;=COPIA!$DA$1,K110=0,COPIA!$EX$1&gt;1,ROW()&lt;=COPIA!$EX$1),MAX($L$10:L109)+1,IF(AND(INDIRECT(ADDRESS(ROW(),4,,,))&lt;=COPIA!$DA$1,K110=0,COPIA!$EX$1=1),MAX($L$10:L109)+1,0)),0)</f>
        <v>0</v>
      </c>
      <c r="M110" s="6">
        <f ca="1">IF(AND(COPIA!$EX$1=1,L110&lt;&gt;0),ROW()-10,IF(AND(COPIA!$EX$1&gt;1,ROW()&gt;COPIA!$EX$1,L110&lt;&gt;0),0,IF(AND(COPIA!$EX$1&gt;1,ROW()&lt;=COPIA!$EX$1,L110&lt;&gt;0),ROW()-10,0)))</f>
        <v>0</v>
      </c>
      <c r="N110" s="6">
        <f ca="1">IF(AND($P$4=0,ROW()-10&lt;=$P$10),MAX($N$10:N109)+1,IF(AND(ROW()-10&gt;$P$10,ROW()-10&lt;=$P$4),ROW()-10,0))</f>
        <v>0</v>
      </c>
      <c r="O110" s="6">
        <f ca="1">IF(N110&gt;0,MAX($O$10:O109)+1,0)</f>
        <v>0</v>
      </c>
      <c r="Q110" s="84"/>
      <c r="R110" s="84"/>
    </row>
    <row r="111" spans="2:18" ht="24" customHeight="1">
      <c r="B111" s="30" t="str">
        <f t="shared" ca="1" si="4"/>
        <v/>
      </c>
      <c r="C111" s="31" t="str">
        <f t="shared" ca="1" si="5"/>
        <v/>
      </c>
      <c r="D111" s="32"/>
      <c r="E111" s="33"/>
      <c r="F111" s="36"/>
      <c r="G111" s="34"/>
      <c r="H111" s="34"/>
      <c r="I111" s="157"/>
      <c r="J111" s="201"/>
      <c r="K111" s="202" t="str">
        <f ca="1">IF(IF(COPIA!$J$3=TRUE,IF(OR(G111&lt;&gt;0,H111&lt;&gt;0),ROUND(SUM(COPIA!$FB$103:FB203),2)-ROUND(SUM(COPIA!$FC$103:FC203),2),""),"")&lt;&gt;0,"",0)</f>
        <v/>
      </c>
      <c r="L111" s="6">
        <f ca="1">IFERROR(IF(AND(INDIRECT(ADDRESS(ROW(),4,,,))&lt;=COPIA!$DA$1,K111=0,COPIA!$EX$1&gt;1,ROW()&lt;=COPIA!$EX$1),MAX($L$10:L110)+1,IF(AND(INDIRECT(ADDRESS(ROW(),4,,,))&lt;=COPIA!$DA$1,K111=0,COPIA!$EX$1=1),MAX($L$10:L110)+1,0)),0)</f>
        <v>0</v>
      </c>
      <c r="M111" s="6">
        <f ca="1">IF(AND(COPIA!$EX$1=1,L111&lt;&gt;0),ROW()-10,IF(AND(COPIA!$EX$1&gt;1,ROW()&gt;COPIA!$EX$1,L111&lt;&gt;0),0,IF(AND(COPIA!$EX$1&gt;1,ROW()&lt;=COPIA!$EX$1,L111&lt;&gt;0),ROW()-10,0)))</f>
        <v>0</v>
      </c>
      <c r="N111" s="6">
        <f ca="1">IF(AND($P$4=0,ROW()-10&lt;=$P$10),MAX($N$10:N110)+1,IF(AND(ROW()-10&gt;$P$10,ROW()-10&lt;=$P$4),ROW()-10,0))</f>
        <v>0</v>
      </c>
      <c r="O111" s="6">
        <f ca="1">IF(N111&gt;0,MAX($O$10:O110)+1,0)</f>
        <v>0</v>
      </c>
      <c r="Q111" s="84"/>
      <c r="R111" s="84"/>
    </row>
    <row r="112" spans="2:18" ht="24" customHeight="1">
      <c r="B112" s="30" t="str">
        <f t="shared" ca="1" si="4"/>
        <v/>
      </c>
      <c r="C112" s="31" t="str">
        <f t="shared" ca="1" si="5"/>
        <v/>
      </c>
      <c r="D112" s="32"/>
      <c r="E112" s="33"/>
      <c r="F112" s="36"/>
      <c r="G112" s="34"/>
      <c r="H112" s="34"/>
      <c r="I112" s="157"/>
      <c r="J112" s="201"/>
      <c r="K112" s="202" t="str">
        <f ca="1">IF(IF(COPIA!$J$3=TRUE,IF(OR(G112&lt;&gt;0,H112&lt;&gt;0),ROUND(SUM(COPIA!$FB$103:FB204),2)-ROUND(SUM(COPIA!$FC$103:FC204),2),""),"")&lt;&gt;0,"",0)</f>
        <v/>
      </c>
      <c r="L112" s="6">
        <f ca="1">IFERROR(IF(AND(INDIRECT(ADDRESS(ROW(),4,,,))&lt;=COPIA!$DA$1,K112=0,COPIA!$EX$1&gt;1,ROW()&lt;=COPIA!$EX$1),MAX($L$10:L111)+1,IF(AND(INDIRECT(ADDRESS(ROW(),4,,,))&lt;=COPIA!$DA$1,K112=0,COPIA!$EX$1=1),MAX($L$10:L111)+1,0)),0)</f>
        <v>0</v>
      </c>
      <c r="M112" s="6">
        <f ca="1">IF(AND(COPIA!$EX$1=1,L112&lt;&gt;0),ROW()-10,IF(AND(COPIA!$EX$1&gt;1,ROW()&gt;COPIA!$EX$1,L112&lt;&gt;0),0,IF(AND(COPIA!$EX$1&gt;1,ROW()&lt;=COPIA!$EX$1,L112&lt;&gt;0),ROW()-10,0)))</f>
        <v>0</v>
      </c>
      <c r="N112" s="6">
        <f ca="1">IF(AND($P$4=0,ROW()-10&lt;=$P$10),MAX($N$10:N111)+1,IF(AND(ROW()-10&gt;$P$10,ROW()-10&lt;=$P$4),ROW()-10,0))</f>
        <v>0</v>
      </c>
      <c r="O112" s="6">
        <f ca="1">IF(N112&gt;0,MAX($O$10:O111)+1,0)</f>
        <v>0</v>
      </c>
      <c r="Q112" s="84"/>
      <c r="R112" s="84"/>
    </row>
    <row r="113" spans="2:18" ht="24" customHeight="1">
      <c r="B113" s="30" t="str">
        <f t="shared" ca="1" si="4"/>
        <v/>
      </c>
      <c r="C113" s="31" t="str">
        <f t="shared" ca="1" si="5"/>
        <v/>
      </c>
      <c r="D113" s="32"/>
      <c r="E113" s="33"/>
      <c r="F113" s="36"/>
      <c r="G113" s="34"/>
      <c r="H113" s="34"/>
      <c r="I113" s="157"/>
      <c r="J113" s="201"/>
      <c r="K113" s="202" t="str">
        <f ca="1">IF(IF(COPIA!$J$3=TRUE,IF(OR(G113&lt;&gt;0,H113&lt;&gt;0),ROUND(SUM(COPIA!$FB$103:FB205),2)-ROUND(SUM(COPIA!$FC$103:FC205),2),""),"")&lt;&gt;0,"",0)</f>
        <v/>
      </c>
      <c r="L113" s="6">
        <f ca="1">IFERROR(IF(AND(INDIRECT(ADDRESS(ROW(),4,,,))&lt;=COPIA!$DA$1,K113=0,COPIA!$EX$1&gt;1,ROW()&lt;=COPIA!$EX$1),MAX($L$10:L112)+1,IF(AND(INDIRECT(ADDRESS(ROW(),4,,,))&lt;=COPIA!$DA$1,K113=0,COPIA!$EX$1=1),MAX($L$10:L112)+1,0)),0)</f>
        <v>0</v>
      </c>
      <c r="M113" s="6">
        <f ca="1">IF(AND(COPIA!$EX$1=1,L113&lt;&gt;0),ROW()-10,IF(AND(COPIA!$EX$1&gt;1,ROW()&gt;COPIA!$EX$1,L113&lt;&gt;0),0,IF(AND(COPIA!$EX$1&gt;1,ROW()&lt;=COPIA!$EX$1,L113&lt;&gt;0),ROW()-10,0)))</f>
        <v>0</v>
      </c>
      <c r="N113" s="6">
        <f ca="1">IF(AND($P$4=0,ROW()-10&lt;=$P$10),MAX($N$10:N112)+1,IF(AND(ROW()-10&gt;$P$10,ROW()-10&lt;=$P$4),ROW()-10,0))</f>
        <v>0</v>
      </c>
      <c r="O113" s="6">
        <f ca="1">IF(N113&gt;0,MAX($O$10:O112)+1,0)</f>
        <v>0</v>
      </c>
      <c r="Q113" s="84"/>
      <c r="R113" s="84"/>
    </row>
    <row r="114" spans="2:18" ht="24" customHeight="1">
      <c r="B114" s="30" t="str">
        <f t="shared" ca="1" si="4"/>
        <v/>
      </c>
      <c r="C114" s="31" t="str">
        <f t="shared" ca="1" si="5"/>
        <v/>
      </c>
      <c r="D114" s="32"/>
      <c r="E114" s="33"/>
      <c r="F114" s="36"/>
      <c r="G114" s="34"/>
      <c r="H114" s="34"/>
      <c r="I114" s="157"/>
      <c r="J114" s="201"/>
      <c r="K114" s="202" t="str">
        <f ca="1">IF(IF(COPIA!$J$3=TRUE,IF(OR(G114&lt;&gt;0,H114&lt;&gt;0),ROUND(SUM(COPIA!$FB$103:FB206),2)-ROUND(SUM(COPIA!$FC$103:FC206),2),""),"")&lt;&gt;0,"",0)</f>
        <v/>
      </c>
      <c r="L114" s="6">
        <f ca="1">IFERROR(IF(AND(INDIRECT(ADDRESS(ROW(),4,,,))&lt;=COPIA!$DA$1,K114=0,COPIA!$EX$1&gt;1,ROW()&lt;=COPIA!$EX$1),MAX($L$10:L113)+1,IF(AND(INDIRECT(ADDRESS(ROW(),4,,,))&lt;=COPIA!$DA$1,K114=0,COPIA!$EX$1=1),MAX($L$10:L113)+1,0)),0)</f>
        <v>0</v>
      </c>
      <c r="M114" s="6">
        <f ca="1">IF(AND(COPIA!$EX$1=1,L114&lt;&gt;0),ROW()-10,IF(AND(COPIA!$EX$1&gt;1,ROW()&gt;COPIA!$EX$1,L114&lt;&gt;0),0,IF(AND(COPIA!$EX$1&gt;1,ROW()&lt;=COPIA!$EX$1,L114&lt;&gt;0),ROW()-10,0)))</f>
        <v>0</v>
      </c>
      <c r="N114" s="6">
        <f ca="1">IF(AND($P$4=0,ROW()-10&lt;=$P$10),MAX($N$10:N113)+1,IF(AND(ROW()-10&gt;$P$10,ROW()-10&lt;=$P$4),ROW()-10,0))</f>
        <v>0</v>
      </c>
      <c r="O114" s="6">
        <f ca="1">IF(N114&gt;0,MAX($O$10:O113)+1,0)</f>
        <v>0</v>
      </c>
      <c r="Q114" s="84"/>
      <c r="R114" s="84"/>
    </row>
    <row r="115" spans="2:18" ht="24" customHeight="1">
      <c r="B115" s="30" t="str">
        <f t="shared" ca="1" si="4"/>
        <v/>
      </c>
      <c r="C115" s="31" t="str">
        <f t="shared" ca="1" si="5"/>
        <v/>
      </c>
      <c r="D115" s="32"/>
      <c r="E115" s="33"/>
      <c r="F115" s="36"/>
      <c r="G115" s="34"/>
      <c r="H115" s="34"/>
      <c r="I115" s="157"/>
      <c r="J115" s="201"/>
      <c r="K115" s="202" t="str">
        <f ca="1">IF(IF(COPIA!$J$3=TRUE,IF(OR(G115&lt;&gt;0,H115&lt;&gt;0),ROUND(SUM(COPIA!$FB$103:FB207),2)-ROUND(SUM(COPIA!$FC$103:FC207),2),""),"")&lt;&gt;0,"",0)</f>
        <v/>
      </c>
      <c r="L115" s="6">
        <f ca="1">IFERROR(IF(AND(INDIRECT(ADDRESS(ROW(),4,,,))&lt;=COPIA!$DA$1,K115=0,COPIA!$EX$1&gt;1,ROW()&lt;=COPIA!$EX$1),MAX($L$10:L114)+1,IF(AND(INDIRECT(ADDRESS(ROW(),4,,,))&lt;=COPIA!$DA$1,K115=0,COPIA!$EX$1=1),MAX($L$10:L114)+1,0)),0)</f>
        <v>0</v>
      </c>
      <c r="M115" s="6">
        <f ca="1">IF(AND(COPIA!$EX$1=1,L115&lt;&gt;0),ROW()-10,IF(AND(COPIA!$EX$1&gt;1,ROW()&gt;COPIA!$EX$1,L115&lt;&gt;0),0,IF(AND(COPIA!$EX$1&gt;1,ROW()&lt;=COPIA!$EX$1,L115&lt;&gt;0),ROW()-10,0)))</f>
        <v>0</v>
      </c>
      <c r="N115" s="6">
        <f ca="1">IF(AND($P$4=0,ROW()-10&lt;=$P$10),MAX($N$10:N114)+1,IF(AND(ROW()-10&gt;$P$10,ROW()-10&lt;=$P$4),ROW()-10,0))</f>
        <v>0</v>
      </c>
      <c r="O115" s="6">
        <f ca="1">IF(N115&gt;0,MAX($O$10:O114)+1,0)</f>
        <v>0</v>
      </c>
      <c r="Q115" s="84"/>
      <c r="R115" s="84"/>
    </row>
    <row r="116" spans="2:18" ht="24" customHeight="1">
      <c r="B116" s="30" t="str">
        <f t="shared" ca="1" si="4"/>
        <v/>
      </c>
      <c r="C116" s="31" t="str">
        <f t="shared" ca="1" si="5"/>
        <v/>
      </c>
      <c r="D116" s="32"/>
      <c r="E116" s="33"/>
      <c r="F116" s="36"/>
      <c r="G116" s="34"/>
      <c r="H116" s="34"/>
      <c r="I116" s="157"/>
      <c r="J116" s="201"/>
      <c r="K116" s="202" t="str">
        <f ca="1">IF(IF(COPIA!$J$3=TRUE,IF(OR(G116&lt;&gt;0,H116&lt;&gt;0),ROUND(SUM(COPIA!$FB$103:FB208),2)-ROUND(SUM(COPIA!$FC$103:FC208),2),""),"")&lt;&gt;0,"",0)</f>
        <v/>
      </c>
      <c r="L116" s="6">
        <f ca="1">IFERROR(IF(AND(INDIRECT(ADDRESS(ROW(),4,,,))&lt;=COPIA!$DA$1,K116=0,COPIA!$EX$1&gt;1,ROW()&lt;=COPIA!$EX$1),MAX($L$10:L115)+1,IF(AND(INDIRECT(ADDRESS(ROW(),4,,,))&lt;=COPIA!$DA$1,K116=0,COPIA!$EX$1=1),MAX($L$10:L115)+1,0)),0)</f>
        <v>0</v>
      </c>
      <c r="M116" s="6">
        <f ca="1">IF(AND(COPIA!$EX$1=1,L116&lt;&gt;0),ROW()-10,IF(AND(COPIA!$EX$1&gt;1,ROW()&gt;COPIA!$EX$1,L116&lt;&gt;0),0,IF(AND(COPIA!$EX$1&gt;1,ROW()&lt;=COPIA!$EX$1,L116&lt;&gt;0),ROW()-10,0)))</f>
        <v>0</v>
      </c>
      <c r="N116" s="6">
        <f ca="1">IF(AND($P$4=0,ROW()-10&lt;=$P$10),MAX($N$10:N115)+1,IF(AND(ROW()-10&gt;$P$10,ROW()-10&lt;=$P$4),ROW()-10,0))</f>
        <v>0</v>
      </c>
      <c r="O116" s="6">
        <f ca="1">IF(N116&gt;0,MAX($O$10:O115)+1,0)</f>
        <v>0</v>
      </c>
      <c r="Q116" s="84"/>
      <c r="R116" s="84"/>
    </row>
    <row r="117" spans="2:18" ht="24" customHeight="1">
      <c r="B117" s="30" t="str">
        <f t="shared" ca="1" si="4"/>
        <v/>
      </c>
      <c r="C117" s="31" t="str">
        <f t="shared" ca="1" si="5"/>
        <v/>
      </c>
      <c r="D117" s="32"/>
      <c r="E117" s="33"/>
      <c r="F117" s="36"/>
      <c r="G117" s="34"/>
      <c r="H117" s="34"/>
      <c r="I117" s="157"/>
      <c r="J117" s="201"/>
      <c r="K117" s="202" t="str">
        <f ca="1">IF(IF(COPIA!$J$3=TRUE,IF(OR(G117&lt;&gt;0,H117&lt;&gt;0),ROUND(SUM(COPIA!$FB$103:FB209),2)-ROUND(SUM(COPIA!$FC$103:FC209),2),""),"")&lt;&gt;0,"",0)</f>
        <v/>
      </c>
      <c r="L117" s="6">
        <f ca="1">IFERROR(IF(AND(INDIRECT(ADDRESS(ROW(),4,,,))&lt;=COPIA!$DA$1,K117=0,COPIA!$EX$1&gt;1,ROW()&lt;=COPIA!$EX$1),MAX($L$10:L116)+1,IF(AND(INDIRECT(ADDRESS(ROW(),4,,,))&lt;=COPIA!$DA$1,K117=0,COPIA!$EX$1=1),MAX($L$10:L116)+1,0)),0)</f>
        <v>0</v>
      </c>
      <c r="M117" s="6">
        <f ca="1">IF(AND(COPIA!$EX$1=1,L117&lt;&gt;0),ROW()-10,IF(AND(COPIA!$EX$1&gt;1,ROW()&gt;COPIA!$EX$1,L117&lt;&gt;0),0,IF(AND(COPIA!$EX$1&gt;1,ROW()&lt;=COPIA!$EX$1,L117&lt;&gt;0),ROW()-10,0)))</f>
        <v>0</v>
      </c>
      <c r="N117" s="6">
        <f ca="1">IF(AND($P$4=0,ROW()-10&lt;=$P$10),MAX($N$10:N116)+1,IF(AND(ROW()-10&gt;$P$10,ROW()-10&lt;=$P$4),ROW()-10,0))</f>
        <v>0</v>
      </c>
      <c r="O117" s="6">
        <f ca="1">IF(N117&gt;0,MAX($O$10:O116)+1,0)</f>
        <v>0</v>
      </c>
      <c r="Q117" s="84"/>
      <c r="R117" s="84"/>
    </row>
    <row r="118" spans="2:18" ht="24" customHeight="1">
      <c r="B118" s="30" t="str">
        <f t="shared" ca="1" si="4"/>
        <v/>
      </c>
      <c r="C118" s="31" t="str">
        <f t="shared" ca="1" si="5"/>
        <v/>
      </c>
      <c r="D118" s="32"/>
      <c r="E118" s="33"/>
      <c r="F118" s="36"/>
      <c r="G118" s="34"/>
      <c r="H118" s="34"/>
      <c r="I118" s="157"/>
      <c r="J118" s="201"/>
      <c r="K118" s="202" t="str">
        <f ca="1">IF(IF(COPIA!$J$3=TRUE,IF(OR(G118&lt;&gt;0,H118&lt;&gt;0),ROUND(SUM(COPIA!$FB$103:FB210),2)-ROUND(SUM(COPIA!$FC$103:FC210),2),""),"")&lt;&gt;0,"",0)</f>
        <v/>
      </c>
      <c r="L118" s="6">
        <f ca="1">IFERROR(IF(AND(INDIRECT(ADDRESS(ROW(),4,,,))&lt;=COPIA!$DA$1,K118=0,COPIA!$EX$1&gt;1,ROW()&lt;=COPIA!$EX$1),MAX($L$10:L117)+1,IF(AND(INDIRECT(ADDRESS(ROW(),4,,,))&lt;=COPIA!$DA$1,K118=0,COPIA!$EX$1=1),MAX($L$10:L117)+1,0)),0)</f>
        <v>0</v>
      </c>
      <c r="M118" s="6">
        <f ca="1">IF(AND(COPIA!$EX$1=1,L118&lt;&gt;0),ROW()-10,IF(AND(COPIA!$EX$1&gt;1,ROW()&gt;COPIA!$EX$1,L118&lt;&gt;0),0,IF(AND(COPIA!$EX$1&gt;1,ROW()&lt;=COPIA!$EX$1,L118&lt;&gt;0),ROW()-10,0)))</f>
        <v>0</v>
      </c>
      <c r="N118" s="6">
        <f ca="1">IF(AND($P$4=0,ROW()-10&lt;=$P$10),MAX($N$10:N117)+1,IF(AND(ROW()-10&gt;$P$10,ROW()-10&lt;=$P$4),ROW()-10,0))</f>
        <v>0</v>
      </c>
      <c r="O118" s="6">
        <f ca="1">IF(N118&gt;0,MAX($O$10:O117)+1,0)</f>
        <v>0</v>
      </c>
      <c r="Q118" s="84"/>
      <c r="R118" s="84"/>
    </row>
    <row r="119" spans="2:18" ht="24" customHeight="1">
      <c r="B119" s="30" t="str">
        <f t="shared" ca="1" si="4"/>
        <v/>
      </c>
      <c r="C119" s="31" t="str">
        <f t="shared" ca="1" si="5"/>
        <v/>
      </c>
      <c r="D119" s="32"/>
      <c r="E119" s="33"/>
      <c r="F119" s="36"/>
      <c r="G119" s="34"/>
      <c r="H119" s="34"/>
      <c r="I119" s="157"/>
      <c r="J119" s="201"/>
      <c r="K119" s="202" t="str">
        <f ca="1">IF(IF(COPIA!$J$3=TRUE,IF(OR(G119&lt;&gt;0,H119&lt;&gt;0),ROUND(SUM(COPIA!$FB$103:FB211),2)-ROUND(SUM(COPIA!$FC$103:FC211),2),""),"")&lt;&gt;0,"",0)</f>
        <v/>
      </c>
      <c r="L119" s="6">
        <f ca="1">IFERROR(IF(AND(INDIRECT(ADDRESS(ROW(),4,,,))&lt;=COPIA!$DA$1,K119=0,COPIA!$EX$1&gt;1,ROW()&lt;=COPIA!$EX$1),MAX($L$10:L118)+1,IF(AND(INDIRECT(ADDRESS(ROW(),4,,,))&lt;=COPIA!$DA$1,K119=0,COPIA!$EX$1=1),MAX($L$10:L118)+1,0)),0)</f>
        <v>0</v>
      </c>
      <c r="M119" s="6">
        <f ca="1">IF(AND(COPIA!$EX$1=1,L119&lt;&gt;0),ROW()-10,IF(AND(COPIA!$EX$1&gt;1,ROW()&gt;COPIA!$EX$1,L119&lt;&gt;0),0,IF(AND(COPIA!$EX$1&gt;1,ROW()&lt;=COPIA!$EX$1,L119&lt;&gt;0),ROW()-10,0)))</f>
        <v>0</v>
      </c>
      <c r="N119" s="6">
        <f ca="1">IF(AND($P$4=0,ROW()-10&lt;=$P$10),MAX($N$10:N118)+1,IF(AND(ROW()-10&gt;$P$10,ROW()-10&lt;=$P$4),ROW()-10,0))</f>
        <v>0</v>
      </c>
      <c r="O119" s="6">
        <f ca="1">IF(N119&gt;0,MAX($O$10:O118)+1,0)</f>
        <v>0</v>
      </c>
      <c r="Q119" s="84"/>
      <c r="R119" s="84"/>
    </row>
    <row r="120" spans="2:18" ht="24" customHeight="1">
      <c r="B120" s="30" t="str">
        <f t="shared" ca="1" si="4"/>
        <v/>
      </c>
      <c r="C120" s="31" t="str">
        <f t="shared" ca="1" si="5"/>
        <v/>
      </c>
      <c r="D120" s="32"/>
      <c r="E120" s="33"/>
      <c r="F120" s="36"/>
      <c r="G120" s="34"/>
      <c r="H120" s="34"/>
      <c r="I120" s="157"/>
      <c r="J120" s="201"/>
      <c r="K120" s="202" t="str">
        <f ca="1">IF(IF(COPIA!$J$3=TRUE,IF(OR(G120&lt;&gt;0,H120&lt;&gt;0),ROUND(SUM(COPIA!$FB$103:FB212),2)-ROUND(SUM(COPIA!$FC$103:FC212),2),""),"")&lt;&gt;0,"",0)</f>
        <v/>
      </c>
      <c r="L120" s="6">
        <f ca="1">IFERROR(IF(AND(INDIRECT(ADDRESS(ROW(),4,,,))&lt;=COPIA!$DA$1,K120=0,COPIA!$EX$1&gt;1,ROW()&lt;=COPIA!$EX$1),MAX($L$10:L119)+1,IF(AND(INDIRECT(ADDRESS(ROW(),4,,,))&lt;=COPIA!$DA$1,K120=0,COPIA!$EX$1=1),MAX($L$10:L119)+1,0)),0)</f>
        <v>0</v>
      </c>
      <c r="M120" s="6">
        <f ca="1">IF(AND(COPIA!$EX$1=1,L120&lt;&gt;0),ROW()-10,IF(AND(COPIA!$EX$1&gt;1,ROW()&gt;COPIA!$EX$1,L120&lt;&gt;0),0,IF(AND(COPIA!$EX$1&gt;1,ROW()&lt;=COPIA!$EX$1,L120&lt;&gt;0),ROW()-10,0)))</f>
        <v>0</v>
      </c>
      <c r="N120" s="6">
        <f ca="1">IF(AND($P$4=0,ROW()-10&lt;=$P$10),MAX($N$10:N119)+1,IF(AND(ROW()-10&gt;$P$10,ROW()-10&lt;=$P$4),ROW()-10,0))</f>
        <v>0</v>
      </c>
      <c r="O120" s="6">
        <f ca="1">IF(N120&gt;0,MAX($O$10:O119)+1,0)</f>
        <v>0</v>
      </c>
      <c r="Q120" s="84"/>
      <c r="R120" s="84"/>
    </row>
    <row r="121" spans="2:18" ht="24" customHeight="1">
      <c r="B121" s="30" t="str">
        <f t="shared" ca="1" si="4"/>
        <v/>
      </c>
      <c r="C121" s="31" t="str">
        <f t="shared" ca="1" si="5"/>
        <v/>
      </c>
      <c r="D121" s="32"/>
      <c r="E121" s="33"/>
      <c r="F121" s="36"/>
      <c r="G121" s="34"/>
      <c r="H121" s="34"/>
      <c r="I121" s="157"/>
      <c r="J121" s="201"/>
      <c r="K121" s="202" t="str">
        <f ca="1">IF(IF(COPIA!$J$3=TRUE,IF(OR(G121&lt;&gt;0,H121&lt;&gt;0),ROUND(SUM(COPIA!$FB$103:FB213),2)-ROUND(SUM(COPIA!$FC$103:FC213),2),""),"")&lt;&gt;0,"",0)</f>
        <v/>
      </c>
      <c r="L121" s="6">
        <f ca="1">IFERROR(IF(AND(INDIRECT(ADDRESS(ROW(),4,,,))&lt;=COPIA!$DA$1,K121=0,COPIA!$EX$1&gt;1,ROW()&lt;=COPIA!$EX$1),MAX($L$10:L120)+1,IF(AND(INDIRECT(ADDRESS(ROW(),4,,,))&lt;=COPIA!$DA$1,K121=0,COPIA!$EX$1=1),MAX($L$10:L120)+1,0)),0)</f>
        <v>0</v>
      </c>
      <c r="M121" s="6">
        <f ca="1">IF(AND(COPIA!$EX$1=1,L121&lt;&gt;0),ROW()-10,IF(AND(COPIA!$EX$1&gt;1,ROW()&gt;COPIA!$EX$1,L121&lt;&gt;0),0,IF(AND(COPIA!$EX$1&gt;1,ROW()&lt;=COPIA!$EX$1,L121&lt;&gt;0),ROW()-10,0)))</f>
        <v>0</v>
      </c>
      <c r="N121" s="6">
        <f ca="1">IF(AND($P$4=0,ROW()-10&lt;=$P$10),MAX($N$10:N120)+1,IF(AND(ROW()-10&gt;$P$10,ROW()-10&lt;=$P$4),ROW()-10,0))</f>
        <v>0</v>
      </c>
      <c r="O121" s="6">
        <f ca="1">IF(N121&gt;0,MAX($O$10:O120)+1,0)</f>
        <v>0</v>
      </c>
      <c r="Q121" s="84"/>
      <c r="R121" s="84"/>
    </row>
    <row r="122" spans="2:18" ht="24" customHeight="1">
      <c r="B122" s="30" t="str">
        <f t="shared" ca="1" si="4"/>
        <v/>
      </c>
      <c r="C122" s="31" t="str">
        <f t="shared" ca="1" si="5"/>
        <v/>
      </c>
      <c r="D122" s="32"/>
      <c r="E122" s="33"/>
      <c r="F122" s="36"/>
      <c r="G122" s="34"/>
      <c r="H122" s="34"/>
      <c r="I122" s="157"/>
      <c r="J122" s="201"/>
      <c r="K122" s="202" t="str">
        <f ca="1">IF(IF(COPIA!$J$3=TRUE,IF(OR(G122&lt;&gt;0,H122&lt;&gt;0),ROUND(SUM(COPIA!$FB$103:FB214),2)-ROUND(SUM(COPIA!$FC$103:FC214),2),""),"")&lt;&gt;0,"",0)</f>
        <v/>
      </c>
      <c r="L122" s="6">
        <f ca="1">IFERROR(IF(AND(INDIRECT(ADDRESS(ROW(),4,,,))&lt;=COPIA!$DA$1,K122=0,COPIA!$EX$1&gt;1,ROW()&lt;=COPIA!$EX$1),MAX($L$10:L121)+1,IF(AND(INDIRECT(ADDRESS(ROW(),4,,,))&lt;=COPIA!$DA$1,K122=0,COPIA!$EX$1=1),MAX($L$10:L121)+1,0)),0)</f>
        <v>0</v>
      </c>
      <c r="M122" s="6">
        <f ca="1">IF(AND(COPIA!$EX$1=1,L122&lt;&gt;0),ROW()-10,IF(AND(COPIA!$EX$1&gt;1,ROW()&gt;COPIA!$EX$1,L122&lt;&gt;0),0,IF(AND(COPIA!$EX$1&gt;1,ROW()&lt;=COPIA!$EX$1,L122&lt;&gt;0),ROW()-10,0)))</f>
        <v>0</v>
      </c>
      <c r="N122" s="6">
        <f ca="1">IF(AND($P$4=0,ROW()-10&lt;=$P$10),MAX($N$10:N121)+1,IF(AND(ROW()-10&gt;$P$10,ROW()-10&lt;=$P$4),ROW()-10,0))</f>
        <v>0</v>
      </c>
      <c r="O122" s="6">
        <f ca="1">IF(N122&gt;0,MAX($O$10:O121)+1,0)</f>
        <v>0</v>
      </c>
      <c r="Q122" s="84"/>
      <c r="R122" s="84"/>
    </row>
    <row r="123" spans="2:18" ht="24" customHeight="1">
      <c r="B123" s="30" t="str">
        <f t="shared" ca="1" si="4"/>
        <v/>
      </c>
      <c r="C123" s="31" t="str">
        <f t="shared" ca="1" si="5"/>
        <v/>
      </c>
      <c r="D123" s="32"/>
      <c r="E123" s="33"/>
      <c r="F123" s="36"/>
      <c r="G123" s="34"/>
      <c r="H123" s="34"/>
      <c r="I123" s="157"/>
      <c r="J123" s="201"/>
      <c r="K123" s="202" t="str">
        <f ca="1">IF(IF(COPIA!$J$3=TRUE,IF(OR(G123&lt;&gt;0,H123&lt;&gt;0),ROUND(SUM(COPIA!$FB$103:FB215),2)-ROUND(SUM(COPIA!$FC$103:FC215),2),""),"")&lt;&gt;0,"",0)</f>
        <v/>
      </c>
      <c r="L123" s="6">
        <f ca="1">IFERROR(IF(AND(INDIRECT(ADDRESS(ROW(),4,,,))&lt;=COPIA!$DA$1,K123=0,COPIA!$EX$1&gt;1,ROW()&lt;=COPIA!$EX$1),MAX($L$10:L122)+1,IF(AND(INDIRECT(ADDRESS(ROW(),4,,,))&lt;=COPIA!$DA$1,K123=0,COPIA!$EX$1=1),MAX($L$10:L122)+1,0)),0)</f>
        <v>0</v>
      </c>
      <c r="M123" s="6">
        <f ca="1">IF(AND(COPIA!$EX$1=1,L123&lt;&gt;0),ROW()-10,IF(AND(COPIA!$EX$1&gt;1,ROW()&gt;COPIA!$EX$1,L123&lt;&gt;0),0,IF(AND(COPIA!$EX$1&gt;1,ROW()&lt;=COPIA!$EX$1,L123&lt;&gt;0),ROW()-10,0)))</f>
        <v>0</v>
      </c>
      <c r="N123" s="6">
        <f ca="1">IF(AND($P$4=0,ROW()-10&lt;=$P$10),MAX($N$10:N122)+1,IF(AND(ROW()-10&gt;$P$10,ROW()-10&lt;=$P$4),ROW()-10,0))</f>
        <v>0</v>
      </c>
      <c r="O123" s="6">
        <f ca="1">IF(N123&gt;0,MAX($O$10:O122)+1,0)</f>
        <v>0</v>
      </c>
      <c r="Q123" s="84"/>
      <c r="R123" s="84"/>
    </row>
    <row r="124" spans="2:18" ht="24" customHeight="1">
      <c r="B124" s="30" t="str">
        <f t="shared" ca="1" si="4"/>
        <v/>
      </c>
      <c r="C124" s="31" t="str">
        <f t="shared" ca="1" si="5"/>
        <v/>
      </c>
      <c r="D124" s="32"/>
      <c r="E124" s="33"/>
      <c r="F124" s="36"/>
      <c r="G124" s="34"/>
      <c r="H124" s="34"/>
      <c r="I124" s="157"/>
      <c r="J124" s="201"/>
      <c r="K124" s="202" t="str">
        <f ca="1">IF(IF(COPIA!$J$3=TRUE,IF(OR(G124&lt;&gt;0,H124&lt;&gt;0),ROUND(SUM(COPIA!$FB$103:FB216),2)-ROUND(SUM(COPIA!$FC$103:FC216),2),""),"")&lt;&gt;0,"",0)</f>
        <v/>
      </c>
      <c r="L124" s="6">
        <f ca="1">IFERROR(IF(AND(INDIRECT(ADDRESS(ROW(),4,,,))&lt;=COPIA!$DA$1,K124=0,COPIA!$EX$1&gt;1,ROW()&lt;=COPIA!$EX$1),MAX($L$10:L123)+1,IF(AND(INDIRECT(ADDRESS(ROW(),4,,,))&lt;=COPIA!$DA$1,K124=0,COPIA!$EX$1=1),MAX($L$10:L123)+1,0)),0)</f>
        <v>0</v>
      </c>
      <c r="M124" s="6">
        <f ca="1">IF(AND(COPIA!$EX$1=1,L124&lt;&gt;0),ROW()-10,IF(AND(COPIA!$EX$1&gt;1,ROW()&gt;COPIA!$EX$1,L124&lt;&gt;0),0,IF(AND(COPIA!$EX$1&gt;1,ROW()&lt;=COPIA!$EX$1,L124&lt;&gt;0),ROW()-10,0)))</f>
        <v>0</v>
      </c>
      <c r="N124" s="6">
        <f ca="1">IF(AND($P$4=0,ROW()-10&lt;=$P$10),MAX($N$10:N123)+1,IF(AND(ROW()-10&gt;$P$10,ROW()-10&lt;=$P$4),ROW()-10,0))</f>
        <v>0</v>
      </c>
      <c r="O124" s="6">
        <f ca="1">IF(N124&gt;0,MAX($O$10:O123)+1,0)</f>
        <v>0</v>
      </c>
      <c r="Q124" s="84"/>
      <c r="R124" s="84"/>
    </row>
    <row r="125" spans="2:18" ht="24" customHeight="1">
      <c r="B125" s="30" t="str">
        <f t="shared" ca="1" si="4"/>
        <v/>
      </c>
      <c r="C125" s="31" t="str">
        <f t="shared" ca="1" si="5"/>
        <v/>
      </c>
      <c r="D125" s="32"/>
      <c r="E125" s="33"/>
      <c r="F125" s="36"/>
      <c r="G125" s="34"/>
      <c r="H125" s="34"/>
      <c r="I125" s="157"/>
      <c r="J125" s="201"/>
      <c r="K125" s="202" t="str">
        <f ca="1">IF(IF(COPIA!$J$3=TRUE,IF(OR(G125&lt;&gt;0,H125&lt;&gt;0),ROUND(SUM(COPIA!$FB$103:FB217),2)-ROUND(SUM(COPIA!$FC$103:FC217),2),""),"")&lt;&gt;0,"",0)</f>
        <v/>
      </c>
      <c r="L125" s="6">
        <f ca="1">IFERROR(IF(AND(INDIRECT(ADDRESS(ROW(),4,,,))&lt;=COPIA!$DA$1,K125=0,COPIA!$EX$1&gt;1,ROW()&lt;=COPIA!$EX$1),MAX($L$10:L124)+1,IF(AND(INDIRECT(ADDRESS(ROW(),4,,,))&lt;=COPIA!$DA$1,K125=0,COPIA!$EX$1=1),MAX($L$10:L124)+1,0)),0)</f>
        <v>0</v>
      </c>
      <c r="M125" s="6">
        <f ca="1">IF(AND(COPIA!$EX$1=1,L125&lt;&gt;0),ROW()-10,IF(AND(COPIA!$EX$1&gt;1,ROW()&gt;COPIA!$EX$1,L125&lt;&gt;0),0,IF(AND(COPIA!$EX$1&gt;1,ROW()&lt;=COPIA!$EX$1,L125&lt;&gt;0),ROW()-10,0)))</f>
        <v>0</v>
      </c>
      <c r="N125" s="6">
        <f ca="1">IF(AND($P$4=0,ROW()-10&lt;=$P$10),MAX($N$10:N124)+1,IF(AND(ROW()-10&gt;$P$10,ROW()-10&lt;=$P$4),ROW()-10,0))</f>
        <v>0</v>
      </c>
      <c r="O125" s="6">
        <f ca="1">IF(N125&gt;0,MAX($O$10:O124)+1,0)</f>
        <v>0</v>
      </c>
      <c r="Q125" s="84"/>
      <c r="R125" s="84"/>
    </row>
    <row r="126" spans="2:18" ht="24" customHeight="1">
      <c r="B126" s="30" t="str">
        <f t="shared" ca="1" si="4"/>
        <v/>
      </c>
      <c r="C126" s="31" t="str">
        <f t="shared" ca="1" si="5"/>
        <v/>
      </c>
      <c r="D126" s="32"/>
      <c r="E126" s="33"/>
      <c r="F126" s="36"/>
      <c r="G126" s="34"/>
      <c r="H126" s="34"/>
      <c r="I126" s="157"/>
      <c r="J126" s="201"/>
      <c r="K126" s="202" t="str">
        <f ca="1">IF(IF(COPIA!$J$3=TRUE,IF(OR(G126&lt;&gt;0,H126&lt;&gt;0),ROUND(SUM(COPIA!$FB$103:FB218),2)-ROUND(SUM(COPIA!$FC$103:FC218),2),""),"")&lt;&gt;0,"",0)</f>
        <v/>
      </c>
      <c r="L126" s="6">
        <f ca="1">IFERROR(IF(AND(INDIRECT(ADDRESS(ROW(),4,,,))&lt;=COPIA!$DA$1,K126=0,COPIA!$EX$1&gt;1,ROW()&lt;=COPIA!$EX$1),MAX($L$10:L125)+1,IF(AND(INDIRECT(ADDRESS(ROW(),4,,,))&lt;=COPIA!$DA$1,K126=0,COPIA!$EX$1=1),MAX($L$10:L125)+1,0)),0)</f>
        <v>0</v>
      </c>
      <c r="M126" s="6">
        <f ca="1">IF(AND(COPIA!$EX$1=1,L126&lt;&gt;0),ROW()-10,IF(AND(COPIA!$EX$1&gt;1,ROW()&gt;COPIA!$EX$1,L126&lt;&gt;0),0,IF(AND(COPIA!$EX$1&gt;1,ROW()&lt;=COPIA!$EX$1,L126&lt;&gt;0),ROW()-10,0)))</f>
        <v>0</v>
      </c>
      <c r="N126" s="6">
        <f ca="1">IF(AND($P$4=0,ROW()-10&lt;=$P$10),MAX($N$10:N125)+1,IF(AND(ROW()-10&gt;$P$10,ROW()-10&lt;=$P$4),ROW()-10,0))</f>
        <v>0</v>
      </c>
      <c r="O126" s="6">
        <f ca="1">IF(N126&gt;0,MAX($O$10:O125)+1,0)</f>
        <v>0</v>
      </c>
      <c r="Q126" s="84"/>
      <c r="R126" s="84"/>
    </row>
    <row r="127" spans="2:18" ht="24" customHeight="1">
      <c r="B127" s="30" t="str">
        <f t="shared" ca="1" si="4"/>
        <v/>
      </c>
      <c r="C127" s="31" t="str">
        <f t="shared" ca="1" si="5"/>
        <v/>
      </c>
      <c r="D127" s="32"/>
      <c r="E127" s="33"/>
      <c r="F127" s="36"/>
      <c r="G127" s="34"/>
      <c r="H127" s="34"/>
      <c r="I127" s="157"/>
      <c r="J127" s="201"/>
      <c r="K127" s="202" t="str">
        <f ca="1">IF(IF(COPIA!$J$3=TRUE,IF(OR(G127&lt;&gt;0,H127&lt;&gt;0),ROUND(SUM(COPIA!$FB$103:FB219),2)-ROUND(SUM(COPIA!$FC$103:FC219),2),""),"")&lt;&gt;0,"",0)</f>
        <v/>
      </c>
      <c r="L127" s="6">
        <f ca="1">IFERROR(IF(AND(INDIRECT(ADDRESS(ROW(),4,,,))&lt;=COPIA!$DA$1,K127=0,COPIA!$EX$1&gt;1,ROW()&lt;=COPIA!$EX$1),MAX($L$10:L126)+1,IF(AND(INDIRECT(ADDRESS(ROW(),4,,,))&lt;=COPIA!$DA$1,K127=0,COPIA!$EX$1=1),MAX($L$10:L126)+1,0)),0)</f>
        <v>0</v>
      </c>
      <c r="M127" s="6">
        <f ca="1">IF(AND(COPIA!$EX$1=1,L127&lt;&gt;0),ROW()-10,IF(AND(COPIA!$EX$1&gt;1,ROW()&gt;COPIA!$EX$1,L127&lt;&gt;0),0,IF(AND(COPIA!$EX$1&gt;1,ROW()&lt;=COPIA!$EX$1,L127&lt;&gt;0),ROW()-10,0)))</f>
        <v>0</v>
      </c>
      <c r="N127" s="6">
        <f ca="1">IF(AND($P$4=0,ROW()-10&lt;=$P$10),MAX($N$10:N126)+1,IF(AND(ROW()-10&gt;$P$10,ROW()-10&lt;=$P$4),ROW()-10,0))</f>
        <v>0</v>
      </c>
      <c r="O127" s="6">
        <f ca="1">IF(N127&gt;0,MAX($O$10:O126)+1,0)</f>
        <v>0</v>
      </c>
      <c r="Q127" s="84"/>
      <c r="R127" s="84"/>
    </row>
    <row r="128" spans="2:18" ht="24" customHeight="1">
      <c r="B128" s="30" t="str">
        <f t="shared" ca="1" si="4"/>
        <v/>
      </c>
      <c r="C128" s="31" t="str">
        <f t="shared" ca="1" si="5"/>
        <v/>
      </c>
      <c r="D128" s="32"/>
      <c r="E128" s="33"/>
      <c r="F128" s="36"/>
      <c r="G128" s="34"/>
      <c r="H128" s="34"/>
      <c r="I128" s="157"/>
      <c r="J128" s="201"/>
      <c r="K128" s="202" t="str">
        <f ca="1">IF(IF(COPIA!$J$3=TRUE,IF(OR(G128&lt;&gt;0,H128&lt;&gt;0),ROUND(SUM(COPIA!$FB$103:FB220),2)-ROUND(SUM(COPIA!$FC$103:FC220),2),""),"")&lt;&gt;0,"",0)</f>
        <v/>
      </c>
      <c r="L128" s="6">
        <f ca="1">IFERROR(IF(AND(INDIRECT(ADDRESS(ROW(),4,,,))&lt;=COPIA!$DA$1,K128=0,COPIA!$EX$1&gt;1,ROW()&lt;=COPIA!$EX$1),MAX($L$10:L127)+1,IF(AND(INDIRECT(ADDRESS(ROW(),4,,,))&lt;=COPIA!$DA$1,K128=0,COPIA!$EX$1=1),MAX($L$10:L127)+1,0)),0)</f>
        <v>0</v>
      </c>
      <c r="M128" s="6">
        <f ca="1">IF(AND(COPIA!$EX$1=1,L128&lt;&gt;0),ROW()-10,IF(AND(COPIA!$EX$1&gt;1,ROW()&gt;COPIA!$EX$1,L128&lt;&gt;0),0,IF(AND(COPIA!$EX$1&gt;1,ROW()&lt;=COPIA!$EX$1,L128&lt;&gt;0),ROW()-10,0)))</f>
        <v>0</v>
      </c>
      <c r="N128" s="6">
        <f ca="1">IF(AND($P$4=0,ROW()-10&lt;=$P$10),MAX($N$10:N127)+1,IF(AND(ROW()-10&gt;$P$10,ROW()-10&lt;=$P$4),ROW()-10,0))</f>
        <v>0</v>
      </c>
      <c r="O128" s="6">
        <f ca="1">IF(N128&gt;0,MAX($O$10:O127)+1,0)</f>
        <v>0</v>
      </c>
      <c r="Q128" s="84"/>
      <c r="R128" s="84"/>
    </row>
    <row r="129" spans="2:18" ht="24" customHeight="1">
      <c r="B129" s="30" t="str">
        <f t="shared" ca="1" si="4"/>
        <v/>
      </c>
      <c r="C129" s="31" t="str">
        <f t="shared" ca="1" si="5"/>
        <v/>
      </c>
      <c r="D129" s="32"/>
      <c r="E129" s="33"/>
      <c r="F129" s="36"/>
      <c r="G129" s="34"/>
      <c r="H129" s="34"/>
      <c r="I129" s="157"/>
      <c r="J129" s="201"/>
      <c r="K129" s="202" t="str">
        <f ca="1">IF(IF(COPIA!$J$3=TRUE,IF(OR(G129&lt;&gt;0,H129&lt;&gt;0),ROUND(SUM(COPIA!$FB$103:FB221),2)-ROUND(SUM(COPIA!$FC$103:FC221),2),""),"")&lt;&gt;0,"",0)</f>
        <v/>
      </c>
      <c r="L129" s="6">
        <f ca="1">IFERROR(IF(AND(INDIRECT(ADDRESS(ROW(),4,,,))&lt;=COPIA!$DA$1,K129=0,COPIA!$EX$1&gt;1,ROW()&lt;=COPIA!$EX$1),MAX($L$10:L128)+1,IF(AND(INDIRECT(ADDRESS(ROW(),4,,,))&lt;=COPIA!$DA$1,K129=0,COPIA!$EX$1=1),MAX($L$10:L128)+1,0)),0)</f>
        <v>0</v>
      </c>
      <c r="M129" s="6">
        <f ca="1">IF(AND(COPIA!$EX$1=1,L129&lt;&gt;0),ROW()-10,IF(AND(COPIA!$EX$1&gt;1,ROW()&gt;COPIA!$EX$1,L129&lt;&gt;0),0,IF(AND(COPIA!$EX$1&gt;1,ROW()&lt;=COPIA!$EX$1,L129&lt;&gt;0),ROW()-10,0)))</f>
        <v>0</v>
      </c>
      <c r="N129" s="6">
        <f ca="1">IF(AND($P$4=0,ROW()-10&lt;=$P$10),MAX($N$10:N128)+1,IF(AND(ROW()-10&gt;$P$10,ROW()-10&lt;=$P$4),ROW()-10,0))</f>
        <v>0</v>
      </c>
      <c r="O129" s="6">
        <f ca="1">IF(N129&gt;0,MAX($O$10:O128)+1,0)</f>
        <v>0</v>
      </c>
      <c r="Q129" s="84"/>
      <c r="R129" s="84"/>
    </row>
    <row r="130" spans="2:18" ht="24" customHeight="1">
      <c r="B130" s="30" t="str">
        <f t="shared" ca="1" si="4"/>
        <v/>
      </c>
      <c r="C130" s="31" t="str">
        <f t="shared" ca="1" si="5"/>
        <v/>
      </c>
      <c r="D130" s="32"/>
      <c r="E130" s="33"/>
      <c r="F130" s="36"/>
      <c r="G130" s="34"/>
      <c r="H130" s="34"/>
      <c r="I130" s="157"/>
      <c r="J130" s="201"/>
      <c r="K130" s="202" t="str">
        <f ca="1">IF(IF(COPIA!$J$3=TRUE,IF(OR(G130&lt;&gt;0,H130&lt;&gt;0),ROUND(SUM(COPIA!$FB$103:FB222),2)-ROUND(SUM(COPIA!$FC$103:FC222),2),""),"")&lt;&gt;0,"",0)</f>
        <v/>
      </c>
      <c r="L130" s="6">
        <f ca="1">IFERROR(IF(AND(INDIRECT(ADDRESS(ROW(),4,,,))&lt;=COPIA!$DA$1,K130=0,COPIA!$EX$1&gt;1,ROW()&lt;=COPIA!$EX$1),MAX($L$10:L129)+1,IF(AND(INDIRECT(ADDRESS(ROW(),4,,,))&lt;=COPIA!$DA$1,K130=0,COPIA!$EX$1=1),MAX($L$10:L129)+1,0)),0)</f>
        <v>0</v>
      </c>
      <c r="M130" s="6">
        <f ca="1">IF(AND(COPIA!$EX$1=1,L130&lt;&gt;0),ROW()-10,IF(AND(COPIA!$EX$1&gt;1,ROW()&gt;COPIA!$EX$1,L130&lt;&gt;0),0,IF(AND(COPIA!$EX$1&gt;1,ROW()&lt;=COPIA!$EX$1,L130&lt;&gt;0),ROW()-10,0)))</f>
        <v>0</v>
      </c>
      <c r="N130" s="6">
        <f ca="1">IF(AND($P$4=0,ROW()-10&lt;=$P$10),MAX($N$10:N129)+1,IF(AND(ROW()-10&gt;$P$10,ROW()-10&lt;=$P$4),ROW()-10,0))</f>
        <v>0</v>
      </c>
      <c r="O130" s="6">
        <f ca="1">IF(N130&gt;0,MAX($O$10:O129)+1,0)</f>
        <v>0</v>
      </c>
      <c r="Q130" s="84"/>
      <c r="R130" s="84"/>
    </row>
    <row r="131" spans="2:18" ht="24" customHeight="1">
      <c r="B131" s="30" t="str">
        <f t="shared" ca="1" si="4"/>
        <v/>
      </c>
      <c r="C131" s="31" t="str">
        <f t="shared" ca="1" si="5"/>
        <v/>
      </c>
      <c r="D131" s="32"/>
      <c r="E131" s="33"/>
      <c r="F131" s="36"/>
      <c r="G131" s="34"/>
      <c r="H131" s="34"/>
      <c r="I131" s="157"/>
      <c r="J131" s="201"/>
      <c r="K131" s="202" t="str">
        <f ca="1">IF(IF(COPIA!$J$3=TRUE,IF(OR(G131&lt;&gt;0,H131&lt;&gt;0),ROUND(SUM(COPIA!$FB$103:FB223),2)-ROUND(SUM(COPIA!$FC$103:FC223),2),""),"")&lt;&gt;0,"",0)</f>
        <v/>
      </c>
      <c r="L131" s="6">
        <f ca="1">IFERROR(IF(AND(INDIRECT(ADDRESS(ROW(),4,,,))&lt;=COPIA!$DA$1,K131=0,COPIA!$EX$1&gt;1,ROW()&lt;=COPIA!$EX$1),MAX($L$10:L130)+1,IF(AND(INDIRECT(ADDRESS(ROW(),4,,,))&lt;=COPIA!$DA$1,K131=0,COPIA!$EX$1=1),MAX($L$10:L130)+1,0)),0)</f>
        <v>0</v>
      </c>
      <c r="M131" s="6">
        <f ca="1">IF(AND(COPIA!$EX$1=1,L131&lt;&gt;0),ROW()-10,IF(AND(COPIA!$EX$1&gt;1,ROW()&gt;COPIA!$EX$1,L131&lt;&gt;0),0,IF(AND(COPIA!$EX$1&gt;1,ROW()&lt;=COPIA!$EX$1,L131&lt;&gt;0),ROW()-10,0)))</f>
        <v>0</v>
      </c>
      <c r="N131" s="6">
        <f ca="1">IF(AND($P$4=0,ROW()-10&lt;=$P$10),MAX($N$10:N130)+1,IF(AND(ROW()-10&gt;$P$10,ROW()-10&lt;=$P$4),ROW()-10,0))</f>
        <v>0</v>
      </c>
      <c r="O131" s="6">
        <f ca="1">IF(N131&gt;0,MAX($O$10:O130)+1,0)</f>
        <v>0</v>
      </c>
      <c r="Q131" s="84"/>
      <c r="R131" s="84"/>
    </row>
    <row r="132" spans="2:18" ht="24" customHeight="1">
      <c r="B132" s="30" t="str">
        <f t="shared" ca="1" si="4"/>
        <v/>
      </c>
      <c r="C132" s="31" t="str">
        <f t="shared" ca="1" si="5"/>
        <v/>
      </c>
      <c r="D132" s="32"/>
      <c r="E132" s="33"/>
      <c r="F132" s="36"/>
      <c r="G132" s="34"/>
      <c r="H132" s="34"/>
      <c r="I132" s="157"/>
      <c r="J132" s="201"/>
      <c r="K132" s="202" t="str">
        <f ca="1">IF(IF(COPIA!$J$3=TRUE,IF(OR(G132&lt;&gt;0,H132&lt;&gt;0),ROUND(SUM(COPIA!$FB$103:FB224),2)-ROUND(SUM(COPIA!$FC$103:FC224),2),""),"")&lt;&gt;0,"",0)</f>
        <v/>
      </c>
      <c r="L132" s="6">
        <f ca="1">IFERROR(IF(AND(INDIRECT(ADDRESS(ROW(),4,,,))&lt;=COPIA!$DA$1,K132=0,COPIA!$EX$1&gt;1,ROW()&lt;=COPIA!$EX$1),MAX($L$10:L131)+1,IF(AND(INDIRECT(ADDRESS(ROW(),4,,,))&lt;=COPIA!$DA$1,K132=0,COPIA!$EX$1=1),MAX($L$10:L131)+1,0)),0)</f>
        <v>0</v>
      </c>
      <c r="M132" s="6">
        <f ca="1">IF(AND(COPIA!$EX$1=1,L132&lt;&gt;0),ROW()-10,IF(AND(COPIA!$EX$1&gt;1,ROW()&gt;COPIA!$EX$1,L132&lt;&gt;0),0,IF(AND(COPIA!$EX$1&gt;1,ROW()&lt;=COPIA!$EX$1,L132&lt;&gt;0),ROW()-10,0)))</f>
        <v>0</v>
      </c>
      <c r="N132" s="6">
        <f ca="1">IF(AND($P$4=0,ROW()-10&lt;=$P$10),MAX($N$10:N131)+1,IF(AND(ROW()-10&gt;$P$10,ROW()-10&lt;=$P$4),ROW()-10,0))</f>
        <v>0</v>
      </c>
      <c r="O132" s="6">
        <f ca="1">IF(N132&gt;0,MAX($O$10:O131)+1,0)</f>
        <v>0</v>
      </c>
      <c r="Q132" s="84"/>
      <c r="R132" s="84"/>
    </row>
    <row r="133" spans="2:18" ht="24" customHeight="1">
      <c r="B133" s="30" t="str">
        <f t="shared" ca="1" si="4"/>
        <v/>
      </c>
      <c r="C133" s="31" t="str">
        <f t="shared" ca="1" si="5"/>
        <v/>
      </c>
      <c r="D133" s="32"/>
      <c r="E133" s="33"/>
      <c r="F133" s="36"/>
      <c r="G133" s="34"/>
      <c r="H133" s="34"/>
      <c r="I133" s="157"/>
      <c r="J133" s="201"/>
      <c r="K133" s="202" t="str">
        <f ca="1">IF(IF(COPIA!$J$3=TRUE,IF(OR(G133&lt;&gt;0,H133&lt;&gt;0),ROUND(SUM(COPIA!$FB$103:FB225),2)-ROUND(SUM(COPIA!$FC$103:FC225),2),""),"")&lt;&gt;0,"",0)</f>
        <v/>
      </c>
      <c r="L133" s="6">
        <f ca="1">IFERROR(IF(AND(INDIRECT(ADDRESS(ROW(),4,,,))&lt;=COPIA!$DA$1,K133=0,COPIA!$EX$1&gt;1,ROW()&lt;=COPIA!$EX$1),MAX($L$10:L132)+1,IF(AND(INDIRECT(ADDRESS(ROW(),4,,,))&lt;=COPIA!$DA$1,K133=0,COPIA!$EX$1=1),MAX($L$10:L132)+1,0)),0)</f>
        <v>0</v>
      </c>
      <c r="M133" s="6">
        <f ca="1">IF(AND(COPIA!$EX$1=1,L133&lt;&gt;0),ROW()-10,IF(AND(COPIA!$EX$1&gt;1,ROW()&gt;COPIA!$EX$1,L133&lt;&gt;0),0,IF(AND(COPIA!$EX$1&gt;1,ROW()&lt;=COPIA!$EX$1,L133&lt;&gt;0),ROW()-10,0)))</f>
        <v>0</v>
      </c>
      <c r="N133" s="6">
        <f ca="1">IF(AND($P$4=0,ROW()-10&lt;=$P$10),MAX($N$10:N132)+1,IF(AND(ROW()-10&gt;$P$10,ROW()-10&lt;=$P$4),ROW()-10,0))</f>
        <v>0</v>
      </c>
      <c r="O133" s="6">
        <f ca="1">IF(N133&gt;0,MAX($O$10:O132)+1,0)</f>
        <v>0</v>
      </c>
      <c r="Q133" s="84"/>
      <c r="R133" s="84"/>
    </row>
    <row r="134" spans="2:18" ht="24" customHeight="1">
      <c r="B134" s="30" t="str">
        <f t="shared" ca="1" si="4"/>
        <v/>
      </c>
      <c r="C134" s="31" t="str">
        <f t="shared" ca="1" si="5"/>
        <v/>
      </c>
      <c r="D134" s="32"/>
      <c r="E134" s="33"/>
      <c r="F134" s="36"/>
      <c r="G134" s="34"/>
      <c r="H134" s="34"/>
      <c r="I134" s="157"/>
      <c r="J134" s="201"/>
      <c r="K134" s="202" t="str">
        <f ca="1">IF(IF(COPIA!$J$3=TRUE,IF(OR(G134&lt;&gt;0,H134&lt;&gt;0),ROUND(SUM(COPIA!$FB$103:FB226),2)-ROUND(SUM(COPIA!$FC$103:FC226),2),""),"")&lt;&gt;0,"",0)</f>
        <v/>
      </c>
      <c r="L134" s="6">
        <f ca="1">IFERROR(IF(AND(INDIRECT(ADDRESS(ROW(),4,,,))&lt;=COPIA!$DA$1,K134=0,COPIA!$EX$1&gt;1,ROW()&lt;=COPIA!$EX$1),MAX($L$10:L133)+1,IF(AND(INDIRECT(ADDRESS(ROW(),4,,,))&lt;=COPIA!$DA$1,K134=0,COPIA!$EX$1=1),MAX($L$10:L133)+1,0)),0)</f>
        <v>0</v>
      </c>
      <c r="M134" s="6">
        <f ca="1">IF(AND(COPIA!$EX$1=1,L134&lt;&gt;0),ROW()-10,IF(AND(COPIA!$EX$1&gt;1,ROW()&gt;COPIA!$EX$1,L134&lt;&gt;0),0,IF(AND(COPIA!$EX$1&gt;1,ROW()&lt;=COPIA!$EX$1,L134&lt;&gt;0),ROW()-10,0)))</f>
        <v>0</v>
      </c>
      <c r="N134" s="6">
        <f ca="1">IF(AND($P$4=0,ROW()-10&lt;=$P$10),MAX($N$10:N133)+1,IF(AND(ROW()-10&gt;$P$10,ROW()-10&lt;=$P$4),ROW()-10,0))</f>
        <v>0</v>
      </c>
      <c r="O134" s="6">
        <f ca="1">IF(N134&gt;0,MAX($O$10:O133)+1,0)</f>
        <v>0</v>
      </c>
      <c r="Q134" s="84"/>
      <c r="R134" s="84"/>
    </row>
    <row r="135" spans="2:18" ht="24" customHeight="1">
      <c r="B135" s="30" t="str">
        <f t="shared" ca="1" si="4"/>
        <v/>
      </c>
      <c r="C135" s="31" t="str">
        <f t="shared" ca="1" si="5"/>
        <v/>
      </c>
      <c r="D135" s="32"/>
      <c r="E135" s="33"/>
      <c r="F135" s="36"/>
      <c r="G135" s="34"/>
      <c r="H135" s="34"/>
      <c r="I135" s="157"/>
      <c r="J135" s="201"/>
      <c r="K135" s="202" t="str">
        <f ca="1">IF(IF(COPIA!$J$3=TRUE,IF(OR(G135&lt;&gt;0,H135&lt;&gt;0),ROUND(SUM(COPIA!$FB$103:FB227),2)-ROUND(SUM(COPIA!$FC$103:FC227),2),""),"")&lt;&gt;0,"",0)</f>
        <v/>
      </c>
      <c r="L135" s="6">
        <f ca="1">IFERROR(IF(AND(INDIRECT(ADDRESS(ROW(),4,,,))&lt;=COPIA!$DA$1,K135=0,COPIA!$EX$1&gt;1,ROW()&lt;=COPIA!$EX$1),MAX($L$10:L134)+1,IF(AND(INDIRECT(ADDRESS(ROW(),4,,,))&lt;=COPIA!$DA$1,K135=0,COPIA!$EX$1=1),MAX($L$10:L134)+1,0)),0)</f>
        <v>0</v>
      </c>
      <c r="M135" s="6">
        <f ca="1">IF(AND(COPIA!$EX$1=1,L135&lt;&gt;0),ROW()-10,IF(AND(COPIA!$EX$1&gt;1,ROW()&gt;COPIA!$EX$1,L135&lt;&gt;0),0,IF(AND(COPIA!$EX$1&gt;1,ROW()&lt;=COPIA!$EX$1,L135&lt;&gt;0),ROW()-10,0)))</f>
        <v>0</v>
      </c>
      <c r="N135" s="6">
        <f ca="1">IF(AND($P$4=0,ROW()-10&lt;=$P$10),MAX($N$10:N134)+1,IF(AND(ROW()-10&gt;$P$10,ROW()-10&lt;=$P$4),ROW()-10,0))</f>
        <v>0</v>
      </c>
      <c r="O135" s="6">
        <f ca="1">IF(N135&gt;0,MAX($O$10:O134)+1,0)</f>
        <v>0</v>
      </c>
      <c r="Q135" s="84"/>
      <c r="R135" s="84"/>
    </row>
    <row r="136" spans="2:18" ht="24" customHeight="1">
      <c r="B136" s="30" t="str">
        <f t="shared" ca="1" si="4"/>
        <v/>
      </c>
      <c r="C136" s="31" t="str">
        <f t="shared" ca="1" si="5"/>
        <v/>
      </c>
      <c r="D136" s="32"/>
      <c r="E136" s="33"/>
      <c r="F136" s="36"/>
      <c r="G136" s="34"/>
      <c r="H136" s="34"/>
      <c r="I136" s="157"/>
      <c r="J136" s="201"/>
      <c r="K136" s="202" t="str">
        <f ca="1">IF(IF(COPIA!$J$3=TRUE,IF(OR(G136&lt;&gt;0,H136&lt;&gt;0),ROUND(SUM(COPIA!$FB$103:FB228),2)-ROUND(SUM(COPIA!$FC$103:FC228),2),""),"")&lt;&gt;0,"",0)</f>
        <v/>
      </c>
      <c r="L136" s="6">
        <f ca="1">IFERROR(IF(AND(INDIRECT(ADDRESS(ROW(),4,,,))&lt;=COPIA!$DA$1,K136=0,COPIA!$EX$1&gt;1,ROW()&lt;=COPIA!$EX$1),MAX($L$10:L135)+1,IF(AND(INDIRECT(ADDRESS(ROW(),4,,,))&lt;=COPIA!$DA$1,K136=0,COPIA!$EX$1=1),MAX($L$10:L135)+1,0)),0)</f>
        <v>0</v>
      </c>
      <c r="M136" s="6">
        <f ca="1">IF(AND(COPIA!$EX$1=1,L136&lt;&gt;0),ROW()-10,IF(AND(COPIA!$EX$1&gt;1,ROW()&gt;COPIA!$EX$1,L136&lt;&gt;0),0,IF(AND(COPIA!$EX$1&gt;1,ROW()&lt;=COPIA!$EX$1,L136&lt;&gt;0),ROW()-10,0)))</f>
        <v>0</v>
      </c>
      <c r="N136" s="6">
        <f ca="1">IF(AND($P$4=0,ROW()-10&lt;=$P$10),MAX($N$10:N135)+1,IF(AND(ROW()-10&gt;$P$10,ROW()-10&lt;=$P$4),ROW()-10,0))</f>
        <v>0</v>
      </c>
      <c r="O136" s="6">
        <f ca="1">IF(N136&gt;0,MAX($O$10:O135)+1,0)</f>
        <v>0</v>
      </c>
      <c r="Q136" s="84"/>
      <c r="R136" s="84"/>
    </row>
    <row r="137" spans="2:18" ht="24" customHeight="1">
      <c r="B137" s="30" t="str">
        <f t="shared" ca="1" si="4"/>
        <v/>
      </c>
      <c r="C137" s="31" t="str">
        <f t="shared" ca="1" si="5"/>
        <v/>
      </c>
      <c r="D137" s="32"/>
      <c r="E137" s="33"/>
      <c r="F137" s="36"/>
      <c r="G137" s="34"/>
      <c r="H137" s="34"/>
      <c r="I137" s="157"/>
      <c r="J137" s="201"/>
      <c r="K137" s="202" t="str">
        <f ca="1">IF(IF(COPIA!$J$3=TRUE,IF(OR(G137&lt;&gt;0,H137&lt;&gt;0),ROUND(SUM(COPIA!$FB$103:FB229),2)-ROUND(SUM(COPIA!$FC$103:FC229),2),""),"")&lt;&gt;0,"",0)</f>
        <v/>
      </c>
      <c r="L137" s="6">
        <f ca="1">IFERROR(IF(AND(INDIRECT(ADDRESS(ROW(),4,,,))&lt;=COPIA!$DA$1,K137=0,COPIA!$EX$1&gt;1,ROW()&lt;=COPIA!$EX$1),MAX($L$10:L136)+1,IF(AND(INDIRECT(ADDRESS(ROW(),4,,,))&lt;=COPIA!$DA$1,K137=0,COPIA!$EX$1=1),MAX($L$10:L136)+1,0)),0)</f>
        <v>0</v>
      </c>
      <c r="M137" s="6">
        <f ca="1">IF(AND(COPIA!$EX$1=1,L137&lt;&gt;0),ROW()-10,IF(AND(COPIA!$EX$1&gt;1,ROW()&gt;COPIA!$EX$1,L137&lt;&gt;0),0,IF(AND(COPIA!$EX$1&gt;1,ROW()&lt;=COPIA!$EX$1,L137&lt;&gt;0),ROW()-10,0)))</f>
        <v>0</v>
      </c>
      <c r="N137" s="6">
        <f ca="1">IF(AND($P$4=0,ROW()-10&lt;=$P$10),MAX($N$10:N136)+1,IF(AND(ROW()-10&gt;$P$10,ROW()-10&lt;=$P$4),ROW()-10,0))</f>
        <v>0</v>
      </c>
      <c r="O137" s="6">
        <f ca="1">IF(N137&gt;0,MAX($O$10:O136)+1,0)</f>
        <v>0</v>
      </c>
      <c r="Q137" s="84"/>
      <c r="R137" s="84"/>
    </row>
    <row r="138" spans="2:18" ht="24" customHeight="1">
      <c r="B138" s="30" t="str">
        <f t="shared" ca="1" si="4"/>
        <v/>
      </c>
      <c r="C138" s="31" t="str">
        <f t="shared" ca="1" si="5"/>
        <v/>
      </c>
      <c r="D138" s="32"/>
      <c r="E138" s="33"/>
      <c r="F138" s="36"/>
      <c r="G138" s="34"/>
      <c r="H138" s="34"/>
      <c r="I138" s="157"/>
      <c r="J138" s="201"/>
      <c r="K138" s="202" t="str">
        <f ca="1">IF(IF(COPIA!$J$3=TRUE,IF(OR(G138&lt;&gt;0,H138&lt;&gt;0),ROUND(SUM(COPIA!$FB$103:FB230),2)-ROUND(SUM(COPIA!$FC$103:FC230),2),""),"")&lt;&gt;0,"",0)</f>
        <v/>
      </c>
      <c r="L138" s="6">
        <f ca="1">IFERROR(IF(AND(INDIRECT(ADDRESS(ROW(),4,,,))&lt;=COPIA!$DA$1,K138=0,COPIA!$EX$1&gt;1,ROW()&lt;=COPIA!$EX$1),MAX($L$10:L137)+1,IF(AND(INDIRECT(ADDRESS(ROW(),4,,,))&lt;=COPIA!$DA$1,K138=0,COPIA!$EX$1=1),MAX($L$10:L137)+1,0)),0)</f>
        <v>0</v>
      </c>
      <c r="M138" s="6">
        <f ca="1">IF(AND(COPIA!$EX$1=1,L138&lt;&gt;0),ROW()-10,IF(AND(COPIA!$EX$1&gt;1,ROW()&gt;COPIA!$EX$1,L138&lt;&gt;0),0,IF(AND(COPIA!$EX$1&gt;1,ROW()&lt;=COPIA!$EX$1,L138&lt;&gt;0),ROW()-10,0)))</f>
        <v>0</v>
      </c>
      <c r="N138" s="6">
        <f ca="1">IF(AND($P$4=0,ROW()-10&lt;=$P$10),MAX($N$10:N137)+1,IF(AND(ROW()-10&gt;$P$10,ROW()-10&lt;=$P$4),ROW()-10,0))</f>
        <v>0</v>
      </c>
      <c r="O138" s="6">
        <f ca="1">IF(N138&gt;0,MAX($O$10:O137)+1,0)</f>
        <v>0</v>
      </c>
      <c r="Q138" s="84"/>
      <c r="R138" s="84"/>
    </row>
    <row r="139" spans="2:18" ht="24" customHeight="1">
      <c r="B139" s="30" t="str">
        <f t="shared" ref="B139:B202" ca="1" si="6">IF(D139&lt;&gt;"",IFERROR(IF(C139&lt;&gt;"",INDEX(PIANO_DEI_CONTI,MATCH(INDIRECT(ADDRESS(ROW(),5,,,)),DENOMINAZIONE,0),1),""),""),"")</f>
        <v/>
      </c>
      <c r="C139" s="31" t="str">
        <f t="shared" ca="1" si="5"/>
        <v/>
      </c>
      <c r="D139" s="32"/>
      <c r="E139" s="33"/>
      <c r="F139" s="36"/>
      <c r="G139" s="34"/>
      <c r="H139" s="34"/>
      <c r="I139" s="157"/>
      <c r="J139" s="201"/>
      <c r="K139" s="202" t="str">
        <f ca="1">IF(IF(COPIA!$J$3=TRUE,IF(OR(G139&lt;&gt;0,H139&lt;&gt;0),ROUND(SUM(COPIA!$FB$103:FB231),2)-ROUND(SUM(COPIA!$FC$103:FC231),2),""),"")&lt;&gt;0,"",0)</f>
        <v/>
      </c>
      <c r="L139" s="6">
        <f ca="1">IFERROR(IF(AND(INDIRECT(ADDRESS(ROW(),4,,,))&lt;=COPIA!$DA$1,K139=0,COPIA!$EX$1&gt;1,ROW()&lt;=COPIA!$EX$1),MAX($L$10:L138)+1,IF(AND(INDIRECT(ADDRESS(ROW(),4,,,))&lt;=COPIA!$DA$1,K139=0,COPIA!$EX$1=1),MAX($L$10:L138)+1,0)),0)</f>
        <v>0</v>
      </c>
      <c r="M139" s="6">
        <f ca="1">IF(AND(COPIA!$EX$1=1,L139&lt;&gt;0),ROW()-10,IF(AND(COPIA!$EX$1&gt;1,ROW()&gt;COPIA!$EX$1,L139&lt;&gt;0),0,IF(AND(COPIA!$EX$1&gt;1,ROW()&lt;=COPIA!$EX$1,L139&lt;&gt;0),ROW()-10,0)))</f>
        <v>0</v>
      </c>
      <c r="N139" s="6">
        <f ca="1">IF(AND($P$4=0,ROW()-10&lt;=$P$10),MAX($N$10:N138)+1,IF(AND(ROW()-10&gt;$P$10,ROW()-10&lt;=$P$4),ROW()-10,0))</f>
        <v>0</v>
      </c>
      <c r="O139" s="6">
        <f ca="1">IF(N139&gt;0,MAX($O$10:O138)+1,0)</f>
        <v>0</v>
      </c>
      <c r="Q139" s="84"/>
      <c r="R139" s="84"/>
    </row>
    <row r="140" spans="2:18" ht="24" customHeight="1">
      <c r="B140" s="30" t="str">
        <f t="shared" ca="1" si="6"/>
        <v/>
      </c>
      <c r="C140" s="31" t="str">
        <f t="shared" ref="C140:C203" ca="1" si="7">IF(D140&lt;&gt;"",IF(INDIRECT(ADDRESS(ROW(),5,,,))&lt;&gt;"",ROW()-10,""),"")</f>
        <v/>
      </c>
      <c r="D140" s="32"/>
      <c r="E140" s="33"/>
      <c r="F140" s="36"/>
      <c r="G140" s="34"/>
      <c r="H140" s="34"/>
      <c r="I140" s="157"/>
      <c r="J140" s="201"/>
      <c r="K140" s="202" t="str">
        <f ca="1">IF(IF(COPIA!$J$3=TRUE,IF(OR(G140&lt;&gt;0,H140&lt;&gt;0),ROUND(SUM(COPIA!$FB$103:FB232),2)-ROUND(SUM(COPIA!$FC$103:FC232),2),""),"")&lt;&gt;0,"",0)</f>
        <v/>
      </c>
      <c r="L140" s="6">
        <f ca="1">IFERROR(IF(AND(INDIRECT(ADDRESS(ROW(),4,,,))&lt;=COPIA!$DA$1,K140=0,COPIA!$EX$1&gt;1,ROW()&lt;=COPIA!$EX$1),MAX($L$10:L139)+1,IF(AND(INDIRECT(ADDRESS(ROW(),4,,,))&lt;=COPIA!$DA$1,K140=0,COPIA!$EX$1=1),MAX($L$10:L139)+1,0)),0)</f>
        <v>0</v>
      </c>
      <c r="M140" s="6">
        <f ca="1">IF(AND(COPIA!$EX$1=1,L140&lt;&gt;0),ROW()-10,IF(AND(COPIA!$EX$1&gt;1,ROW()&gt;COPIA!$EX$1,L140&lt;&gt;0),0,IF(AND(COPIA!$EX$1&gt;1,ROW()&lt;=COPIA!$EX$1,L140&lt;&gt;0),ROW()-10,0)))</f>
        <v>0</v>
      </c>
      <c r="N140" s="6">
        <f ca="1">IF(AND($P$4=0,ROW()-10&lt;=$P$10),MAX($N$10:N139)+1,IF(AND(ROW()-10&gt;$P$10,ROW()-10&lt;=$P$4),ROW()-10,0))</f>
        <v>0</v>
      </c>
      <c r="O140" s="6">
        <f ca="1">IF(N140&gt;0,MAX($O$10:O139)+1,0)</f>
        <v>0</v>
      </c>
      <c r="Q140" s="84"/>
      <c r="R140" s="84"/>
    </row>
    <row r="141" spans="2:18" ht="24" customHeight="1">
      <c r="B141" s="30" t="str">
        <f t="shared" ca="1" si="6"/>
        <v/>
      </c>
      <c r="C141" s="31" t="str">
        <f t="shared" ca="1" si="7"/>
        <v/>
      </c>
      <c r="D141" s="32"/>
      <c r="E141" s="33"/>
      <c r="F141" s="36"/>
      <c r="G141" s="34"/>
      <c r="H141" s="34"/>
      <c r="I141" s="157"/>
      <c r="J141" s="201"/>
      <c r="K141" s="202" t="str">
        <f ca="1">IF(IF(COPIA!$J$3=TRUE,IF(OR(G141&lt;&gt;0,H141&lt;&gt;0),ROUND(SUM(COPIA!$FB$103:FB233),2)-ROUND(SUM(COPIA!$FC$103:FC233),2),""),"")&lt;&gt;0,"",0)</f>
        <v/>
      </c>
      <c r="L141" s="6">
        <f ca="1">IFERROR(IF(AND(INDIRECT(ADDRESS(ROW(),4,,,))&lt;=COPIA!$DA$1,K141=0,COPIA!$EX$1&gt;1,ROW()&lt;=COPIA!$EX$1),MAX($L$10:L140)+1,IF(AND(INDIRECT(ADDRESS(ROW(),4,,,))&lt;=COPIA!$DA$1,K141=0,COPIA!$EX$1=1),MAX($L$10:L140)+1,0)),0)</f>
        <v>0</v>
      </c>
      <c r="M141" s="6">
        <f ca="1">IF(AND(COPIA!$EX$1=1,L141&lt;&gt;0),ROW()-10,IF(AND(COPIA!$EX$1&gt;1,ROW()&gt;COPIA!$EX$1,L141&lt;&gt;0),0,IF(AND(COPIA!$EX$1&gt;1,ROW()&lt;=COPIA!$EX$1,L141&lt;&gt;0),ROW()-10,0)))</f>
        <v>0</v>
      </c>
      <c r="N141" s="6">
        <f ca="1">IF(AND($P$4=0,ROW()-10&lt;=$P$10),MAX($N$10:N140)+1,IF(AND(ROW()-10&gt;$P$10,ROW()-10&lt;=$P$4),ROW()-10,0))</f>
        <v>0</v>
      </c>
      <c r="O141" s="6">
        <f ca="1">IF(N141&gt;0,MAX($O$10:O140)+1,0)</f>
        <v>0</v>
      </c>
      <c r="Q141" s="84"/>
      <c r="R141" s="84"/>
    </row>
    <row r="142" spans="2:18" ht="24" customHeight="1">
      <c r="B142" s="30" t="str">
        <f t="shared" ca="1" si="6"/>
        <v/>
      </c>
      <c r="C142" s="31" t="str">
        <f t="shared" ca="1" si="7"/>
        <v/>
      </c>
      <c r="D142" s="32"/>
      <c r="E142" s="33"/>
      <c r="F142" s="36"/>
      <c r="G142" s="34"/>
      <c r="H142" s="34"/>
      <c r="I142" s="157"/>
      <c r="J142" s="201"/>
      <c r="K142" s="202" t="str">
        <f ca="1">IF(IF(COPIA!$J$3=TRUE,IF(OR(G142&lt;&gt;0,H142&lt;&gt;0),ROUND(SUM(COPIA!$FB$103:FB234),2)-ROUND(SUM(COPIA!$FC$103:FC234),2),""),"")&lt;&gt;0,"",0)</f>
        <v/>
      </c>
      <c r="L142" s="6">
        <f ca="1">IFERROR(IF(AND(INDIRECT(ADDRESS(ROW(),4,,,))&lt;=COPIA!$DA$1,K142=0,COPIA!$EX$1&gt;1,ROW()&lt;=COPIA!$EX$1),MAX($L$10:L141)+1,IF(AND(INDIRECT(ADDRESS(ROW(),4,,,))&lt;=COPIA!$DA$1,K142=0,COPIA!$EX$1=1),MAX($L$10:L141)+1,0)),0)</f>
        <v>0</v>
      </c>
      <c r="M142" s="6">
        <f ca="1">IF(AND(COPIA!$EX$1=1,L142&lt;&gt;0),ROW()-10,IF(AND(COPIA!$EX$1&gt;1,ROW()&gt;COPIA!$EX$1,L142&lt;&gt;0),0,IF(AND(COPIA!$EX$1&gt;1,ROW()&lt;=COPIA!$EX$1,L142&lt;&gt;0),ROW()-10,0)))</f>
        <v>0</v>
      </c>
      <c r="N142" s="6">
        <f ca="1">IF(AND($P$4=0,ROW()-10&lt;=$P$10),MAX($N$10:N141)+1,IF(AND(ROW()-10&gt;$P$10,ROW()-10&lt;=$P$4),ROW()-10,0))</f>
        <v>0</v>
      </c>
      <c r="O142" s="6">
        <f ca="1">IF(N142&gt;0,MAX($O$10:O141)+1,0)</f>
        <v>0</v>
      </c>
      <c r="Q142" s="84"/>
      <c r="R142" s="84"/>
    </row>
    <row r="143" spans="2:18" ht="24" customHeight="1">
      <c r="B143" s="30" t="str">
        <f t="shared" ca="1" si="6"/>
        <v/>
      </c>
      <c r="C143" s="31" t="str">
        <f t="shared" ca="1" si="7"/>
        <v/>
      </c>
      <c r="D143" s="32"/>
      <c r="E143" s="33"/>
      <c r="F143" s="36"/>
      <c r="G143" s="34"/>
      <c r="H143" s="34"/>
      <c r="I143" s="157"/>
      <c r="J143" s="201"/>
      <c r="K143" s="202" t="str">
        <f ca="1">IF(IF(COPIA!$J$3=TRUE,IF(OR(G143&lt;&gt;0,H143&lt;&gt;0),ROUND(SUM(COPIA!$FB$103:FB235),2)-ROUND(SUM(COPIA!$FC$103:FC235),2),""),"")&lt;&gt;0,"",0)</f>
        <v/>
      </c>
      <c r="L143" s="6">
        <f ca="1">IFERROR(IF(AND(INDIRECT(ADDRESS(ROW(),4,,,))&lt;=COPIA!$DA$1,K143=0,COPIA!$EX$1&gt;1,ROW()&lt;=COPIA!$EX$1),MAX($L$10:L142)+1,IF(AND(INDIRECT(ADDRESS(ROW(),4,,,))&lt;=COPIA!$DA$1,K143=0,COPIA!$EX$1=1),MAX($L$10:L142)+1,0)),0)</f>
        <v>0</v>
      </c>
      <c r="M143" s="6">
        <f ca="1">IF(AND(COPIA!$EX$1=1,L143&lt;&gt;0),ROW()-10,IF(AND(COPIA!$EX$1&gt;1,ROW()&gt;COPIA!$EX$1,L143&lt;&gt;0),0,IF(AND(COPIA!$EX$1&gt;1,ROW()&lt;=COPIA!$EX$1,L143&lt;&gt;0),ROW()-10,0)))</f>
        <v>0</v>
      </c>
      <c r="N143" s="6">
        <f ca="1">IF(AND($P$4=0,ROW()-10&lt;=$P$10),MAX($N$10:N142)+1,IF(AND(ROW()-10&gt;$P$10,ROW()-10&lt;=$P$4),ROW()-10,0))</f>
        <v>0</v>
      </c>
      <c r="O143" s="6">
        <f ca="1">IF(N143&gt;0,MAX($O$10:O142)+1,0)</f>
        <v>0</v>
      </c>
      <c r="Q143" s="84"/>
      <c r="R143" s="84"/>
    </row>
    <row r="144" spans="2:18" ht="24" customHeight="1">
      <c r="B144" s="30" t="str">
        <f t="shared" ca="1" si="6"/>
        <v/>
      </c>
      <c r="C144" s="31" t="str">
        <f t="shared" ca="1" si="7"/>
        <v/>
      </c>
      <c r="D144" s="32"/>
      <c r="E144" s="33"/>
      <c r="F144" s="36"/>
      <c r="G144" s="34"/>
      <c r="H144" s="34"/>
      <c r="I144" s="157"/>
      <c r="J144" s="201"/>
      <c r="K144" s="202" t="str">
        <f ca="1">IF(IF(COPIA!$J$3=TRUE,IF(OR(G144&lt;&gt;0,H144&lt;&gt;0),ROUND(SUM(COPIA!$FB$103:FB236),2)-ROUND(SUM(COPIA!$FC$103:FC236),2),""),"")&lt;&gt;0,"",0)</f>
        <v/>
      </c>
      <c r="L144" s="6">
        <f ca="1">IFERROR(IF(AND(INDIRECT(ADDRESS(ROW(),4,,,))&lt;=COPIA!$DA$1,K144=0,COPIA!$EX$1&gt;1,ROW()&lt;=COPIA!$EX$1),MAX($L$10:L143)+1,IF(AND(INDIRECT(ADDRESS(ROW(),4,,,))&lt;=COPIA!$DA$1,K144=0,COPIA!$EX$1=1),MAX($L$10:L143)+1,0)),0)</f>
        <v>0</v>
      </c>
      <c r="M144" s="6">
        <f ca="1">IF(AND(COPIA!$EX$1=1,L144&lt;&gt;0),ROW()-10,IF(AND(COPIA!$EX$1&gt;1,ROW()&gt;COPIA!$EX$1,L144&lt;&gt;0),0,IF(AND(COPIA!$EX$1&gt;1,ROW()&lt;=COPIA!$EX$1,L144&lt;&gt;0),ROW()-10,0)))</f>
        <v>0</v>
      </c>
      <c r="N144" s="6">
        <f ca="1">IF(AND($P$4=0,ROW()-10&lt;=$P$10),MAX($N$10:N143)+1,IF(AND(ROW()-10&gt;$P$10,ROW()-10&lt;=$P$4),ROW()-10,0))</f>
        <v>0</v>
      </c>
      <c r="O144" s="6">
        <f ca="1">IF(N144&gt;0,MAX($O$10:O143)+1,0)</f>
        <v>0</v>
      </c>
      <c r="Q144" s="84"/>
      <c r="R144" s="84"/>
    </row>
    <row r="145" spans="2:18" ht="24" customHeight="1">
      <c r="B145" s="30" t="str">
        <f t="shared" ca="1" si="6"/>
        <v/>
      </c>
      <c r="C145" s="31" t="str">
        <f t="shared" ca="1" si="7"/>
        <v/>
      </c>
      <c r="D145" s="32"/>
      <c r="E145" s="33"/>
      <c r="F145" s="36"/>
      <c r="G145" s="34"/>
      <c r="H145" s="34"/>
      <c r="I145" s="157"/>
      <c r="J145" s="201"/>
      <c r="K145" s="202" t="str">
        <f ca="1">IF(IF(COPIA!$J$3=TRUE,IF(OR(G145&lt;&gt;0,H145&lt;&gt;0),ROUND(SUM(COPIA!$FB$103:FB237),2)-ROUND(SUM(COPIA!$FC$103:FC237),2),""),"")&lt;&gt;0,"",0)</f>
        <v/>
      </c>
      <c r="L145" s="6">
        <f ca="1">IFERROR(IF(AND(INDIRECT(ADDRESS(ROW(),4,,,))&lt;=COPIA!$DA$1,K145=0,COPIA!$EX$1&gt;1,ROW()&lt;=COPIA!$EX$1),MAX($L$10:L144)+1,IF(AND(INDIRECT(ADDRESS(ROW(),4,,,))&lt;=COPIA!$DA$1,K145=0,COPIA!$EX$1=1),MAX($L$10:L144)+1,0)),0)</f>
        <v>0</v>
      </c>
      <c r="M145" s="6">
        <f ca="1">IF(AND(COPIA!$EX$1=1,L145&lt;&gt;0),ROW()-10,IF(AND(COPIA!$EX$1&gt;1,ROW()&gt;COPIA!$EX$1,L145&lt;&gt;0),0,IF(AND(COPIA!$EX$1&gt;1,ROW()&lt;=COPIA!$EX$1,L145&lt;&gt;0),ROW()-10,0)))</f>
        <v>0</v>
      </c>
      <c r="N145" s="6">
        <f ca="1">IF(AND($P$4=0,ROW()-10&lt;=$P$10),MAX($N$10:N144)+1,IF(AND(ROW()-10&gt;$P$10,ROW()-10&lt;=$P$4),ROW()-10,0))</f>
        <v>0</v>
      </c>
      <c r="O145" s="6">
        <f ca="1">IF(N145&gt;0,MAX($O$10:O144)+1,0)</f>
        <v>0</v>
      </c>
      <c r="Q145" s="84"/>
      <c r="R145" s="84"/>
    </row>
    <row r="146" spans="2:18" ht="24" customHeight="1">
      <c r="B146" s="30" t="str">
        <f t="shared" ca="1" si="6"/>
        <v/>
      </c>
      <c r="C146" s="31" t="str">
        <f t="shared" ca="1" si="7"/>
        <v/>
      </c>
      <c r="D146" s="32"/>
      <c r="E146" s="33"/>
      <c r="F146" s="36"/>
      <c r="G146" s="34"/>
      <c r="H146" s="34"/>
      <c r="I146" s="157"/>
      <c r="J146" s="201"/>
      <c r="K146" s="202" t="str">
        <f ca="1">IF(IF(COPIA!$J$3=TRUE,IF(OR(G146&lt;&gt;0,H146&lt;&gt;0),ROUND(SUM(COPIA!$FB$103:FB238),2)-ROUND(SUM(COPIA!$FC$103:FC238),2),""),"")&lt;&gt;0,"",0)</f>
        <v/>
      </c>
      <c r="L146" s="6">
        <f ca="1">IFERROR(IF(AND(INDIRECT(ADDRESS(ROW(),4,,,))&lt;=COPIA!$DA$1,K146=0,COPIA!$EX$1&gt;1,ROW()&lt;=COPIA!$EX$1),MAX($L$10:L145)+1,IF(AND(INDIRECT(ADDRESS(ROW(),4,,,))&lt;=COPIA!$DA$1,K146=0,COPIA!$EX$1=1),MAX($L$10:L145)+1,0)),0)</f>
        <v>0</v>
      </c>
      <c r="M146" s="6">
        <f ca="1">IF(AND(COPIA!$EX$1=1,L146&lt;&gt;0),ROW()-10,IF(AND(COPIA!$EX$1&gt;1,ROW()&gt;COPIA!$EX$1,L146&lt;&gt;0),0,IF(AND(COPIA!$EX$1&gt;1,ROW()&lt;=COPIA!$EX$1,L146&lt;&gt;0),ROW()-10,0)))</f>
        <v>0</v>
      </c>
      <c r="N146" s="6">
        <f ca="1">IF(AND($P$4=0,ROW()-10&lt;=$P$10),MAX($N$10:N145)+1,IF(AND(ROW()-10&gt;$P$10,ROW()-10&lt;=$P$4),ROW()-10,0))</f>
        <v>0</v>
      </c>
      <c r="O146" s="6">
        <f ca="1">IF(N146&gt;0,MAX($O$10:O145)+1,0)</f>
        <v>0</v>
      </c>
      <c r="Q146" s="84"/>
      <c r="R146" s="84"/>
    </row>
    <row r="147" spans="2:18" ht="24" customHeight="1">
      <c r="B147" s="30" t="str">
        <f t="shared" ca="1" si="6"/>
        <v/>
      </c>
      <c r="C147" s="31" t="str">
        <f t="shared" ca="1" si="7"/>
        <v/>
      </c>
      <c r="D147" s="32"/>
      <c r="E147" s="33"/>
      <c r="F147" s="36"/>
      <c r="G147" s="34"/>
      <c r="H147" s="34"/>
      <c r="I147" s="157"/>
      <c r="J147" s="201"/>
      <c r="K147" s="202" t="str">
        <f ca="1">IF(IF(COPIA!$J$3=TRUE,IF(OR(G147&lt;&gt;0,H147&lt;&gt;0),ROUND(SUM(COPIA!$FB$103:FB239),2)-ROUND(SUM(COPIA!$FC$103:FC239),2),""),"")&lt;&gt;0,"",0)</f>
        <v/>
      </c>
      <c r="L147" s="6">
        <f ca="1">IFERROR(IF(AND(INDIRECT(ADDRESS(ROW(),4,,,))&lt;=COPIA!$DA$1,K147=0,COPIA!$EX$1&gt;1,ROW()&lt;=COPIA!$EX$1),MAX($L$10:L146)+1,IF(AND(INDIRECT(ADDRESS(ROW(),4,,,))&lt;=COPIA!$DA$1,K147=0,COPIA!$EX$1=1),MAX($L$10:L146)+1,0)),0)</f>
        <v>0</v>
      </c>
      <c r="M147" s="6">
        <f ca="1">IF(AND(COPIA!$EX$1=1,L147&lt;&gt;0),ROW()-10,IF(AND(COPIA!$EX$1&gt;1,ROW()&gt;COPIA!$EX$1,L147&lt;&gt;0),0,IF(AND(COPIA!$EX$1&gt;1,ROW()&lt;=COPIA!$EX$1,L147&lt;&gt;0),ROW()-10,0)))</f>
        <v>0</v>
      </c>
      <c r="N147" s="6">
        <f ca="1">IF(AND($P$4=0,ROW()-10&lt;=$P$10),MAX($N$10:N146)+1,IF(AND(ROW()-10&gt;$P$10,ROW()-10&lt;=$P$4),ROW()-10,0))</f>
        <v>0</v>
      </c>
      <c r="O147" s="6">
        <f ca="1">IF(N147&gt;0,MAX($O$10:O146)+1,0)</f>
        <v>0</v>
      </c>
      <c r="Q147" s="84"/>
      <c r="R147" s="84"/>
    </row>
    <row r="148" spans="2:18" ht="24" customHeight="1">
      <c r="B148" s="30" t="str">
        <f t="shared" ca="1" si="6"/>
        <v/>
      </c>
      <c r="C148" s="31" t="str">
        <f t="shared" ca="1" si="7"/>
        <v/>
      </c>
      <c r="D148" s="32"/>
      <c r="E148" s="33"/>
      <c r="F148" s="36"/>
      <c r="G148" s="34"/>
      <c r="H148" s="34"/>
      <c r="I148" s="157"/>
      <c r="J148" s="201"/>
      <c r="K148" s="202" t="str">
        <f ca="1">IF(IF(COPIA!$J$3=TRUE,IF(OR(G148&lt;&gt;0,H148&lt;&gt;0),ROUND(SUM(COPIA!$FB$103:FB240),2)-ROUND(SUM(COPIA!$FC$103:FC240),2),""),"")&lt;&gt;0,"",0)</f>
        <v/>
      </c>
      <c r="L148" s="6">
        <f ca="1">IFERROR(IF(AND(INDIRECT(ADDRESS(ROW(),4,,,))&lt;=COPIA!$DA$1,K148=0,COPIA!$EX$1&gt;1,ROW()&lt;=COPIA!$EX$1),MAX($L$10:L147)+1,IF(AND(INDIRECT(ADDRESS(ROW(),4,,,))&lt;=COPIA!$DA$1,K148=0,COPIA!$EX$1=1),MAX($L$10:L147)+1,0)),0)</f>
        <v>0</v>
      </c>
      <c r="M148" s="6">
        <f ca="1">IF(AND(COPIA!$EX$1=1,L148&lt;&gt;0),ROW()-10,IF(AND(COPIA!$EX$1&gt;1,ROW()&gt;COPIA!$EX$1,L148&lt;&gt;0),0,IF(AND(COPIA!$EX$1&gt;1,ROW()&lt;=COPIA!$EX$1,L148&lt;&gt;0),ROW()-10,0)))</f>
        <v>0</v>
      </c>
      <c r="N148" s="6">
        <f ca="1">IF(AND($P$4=0,ROW()-10&lt;=$P$10),MAX($N$10:N147)+1,IF(AND(ROW()-10&gt;$P$10,ROW()-10&lt;=$P$4),ROW()-10,0))</f>
        <v>0</v>
      </c>
      <c r="O148" s="6">
        <f ca="1">IF(N148&gt;0,MAX($O$10:O147)+1,0)</f>
        <v>0</v>
      </c>
      <c r="Q148" s="84"/>
      <c r="R148" s="84"/>
    </row>
    <row r="149" spans="2:18" ht="24" customHeight="1">
      <c r="B149" s="30" t="str">
        <f t="shared" ca="1" si="6"/>
        <v/>
      </c>
      <c r="C149" s="31" t="str">
        <f t="shared" ca="1" si="7"/>
        <v/>
      </c>
      <c r="D149" s="32"/>
      <c r="E149" s="33"/>
      <c r="F149" s="36"/>
      <c r="G149" s="34"/>
      <c r="H149" s="34"/>
      <c r="I149" s="157"/>
      <c r="J149" s="201"/>
      <c r="K149" s="202" t="str">
        <f ca="1">IF(IF(COPIA!$J$3=TRUE,IF(OR(G149&lt;&gt;0,H149&lt;&gt;0),ROUND(SUM(COPIA!$FB$103:FB241),2)-ROUND(SUM(COPIA!$FC$103:FC241),2),""),"")&lt;&gt;0,"",0)</f>
        <v/>
      </c>
      <c r="L149" s="6">
        <f ca="1">IFERROR(IF(AND(INDIRECT(ADDRESS(ROW(),4,,,))&lt;=COPIA!$DA$1,K149=0,COPIA!$EX$1&gt;1,ROW()&lt;=COPIA!$EX$1),MAX($L$10:L148)+1,IF(AND(INDIRECT(ADDRESS(ROW(),4,,,))&lt;=COPIA!$DA$1,K149=0,COPIA!$EX$1=1),MAX($L$10:L148)+1,0)),0)</f>
        <v>0</v>
      </c>
      <c r="M149" s="6">
        <f ca="1">IF(AND(COPIA!$EX$1=1,L149&lt;&gt;0),ROW()-10,IF(AND(COPIA!$EX$1&gt;1,ROW()&gt;COPIA!$EX$1,L149&lt;&gt;0),0,IF(AND(COPIA!$EX$1&gt;1,ROW()&lt;=COPIA!$EX$1,L149&lt;&gt;0),ROW()-10,0)))</f>
        <v>0</v>
      </c>
      <c r="N149" s="6">
        <f ca="1">IF(AND($P$4=0,ROW()-10&lt;=$P$10),MAX($N$10:N148)+1,IF(AND(ROW()-10&gt;$P$10,ROW()-10&lt;=$P$4),ROW()-10,0))</f>
        <v>0</v>
      </c>
      <c r="O149" s="6">
        <f ca="1">IF(N149&gt;0,MAX($O$10:O148)+1,0)</f>
        <v>0</v>
      </c>
      <c r="Q149" s="84"/>
      <c r="R149" s="84"/>
    </row>
    <row r="150" spans="2:18" ht="24" customHeight="1">
      <c r="B150" s="30" t="str">
        <f t="shared" ca="1" si="6"/>
        <v/>
      </c>
      <c r="C150" s="31" t="str">
        <f t="shared" ca="1" si="7"/>
        <v/>
      </c>
      <c r="D150" s="32"/>
      <c r="E150" s="33"/>
      <c r="F150" s="36"/>
      <c r="G150" s="34"/>
      <c r="H150" s="34"/>
      <c r="I150" s="157"/>
      <c r="J150" s="201"/>
      <c r="K150" s="202" t="str">
        <f ca="1">IF(IF(COPIA!$J$3=TRUE,IF(OR(G150&lt;&gt;0,H150&lt;&gt;0),ROUND(SUM(COPIA!$FB$103:FB242),2)-ROUND(SUM(COPIA!$FC$103:FC242),2),""),"")&lt;&gt;0,"",0)</f>
        <v/>
      </c>
      <c r="L150" s="6">
        <f ca="1">IFERROR(IF(AND(INDIRECT(ADDRESS(ROW(),4,,,))&lt;=COPIA!$DA$1,K150=0,COPIA!$EX$1&gt;1,ROW()&lt;=COPIA!$EX$1),MAX($L$10:L149)+1,IF(AND(INDIRECT(ADDRESS(ROW(),4,,,))&lt;=COPIA!$DA$1,K150=0,COPIA!$EX$1=1),MAX($L$10:L149)+1,0)),0)</f>
        <v>0</v>
      </c>
      <c r="M150" s="6">
        <f ca="1">IF(AND(COPIA!$EX$1=1,L150&lt;&gt;0),ROW()-10,IF(AND(COPIA!$EX$1&gt;1,ROW()&gt;COPIA!$EX$1,L150&lt;&gt;0),0,IF(AND(COPIA!$EX$1&gt;1,ROW()&lt;=COPIA!$EX$1,L150&lt;&gt;0),ROW()-10,0)))</f>
        <v>0</v>
      </c>
      <c r="N150" s="6">
        <f ca="1">IF(AND($P$4=0,ROW()-10&lt;=$P$10),MAX($N$10:N149)+1,IF(AND(ROW()-10&gt;$P$10,ROW()-10&lt;=$P$4),ROW()-10,0))</f>
        <v>0</v>
      </c>
      <c r="O150" s="6">
        <f ca="1">IF(N150&gt;0,MAX($O$10:O149)+1,0)</f>
        <v>0</v>
      </c>
      <c r="Q150" s="84"/>
      <c r="R150" s="84"/>
    </row>
    <row r="151" spans="2:18" ht="24" customHeight="1">
      <c r="B151" s="30" t="str">
        <f t="shared" ca="1" si="6"/>
        <v/>
      </c>
      <c r="C151" s="31" t="str">
        <f t="shared" ca="1" si="7"/>
        <v/>
      </c>
      <c r="D151" s="32"/>
      <c r="E151" s="33"/>
      <c r="F151" s="36"/>
      <c r="G151" s="34"/>
      <c r="H151" s="34"/>
      <c r="I151" s="157"/>
      <c r="J151" s="201"/>
      <c r="K151" s="202" t="str">
        <f ca="1">IF(IF(COPIA!$J$3=TRUE,IF(OR(G151&lt;&gt;0,H151&lt;&gt;0),ROUND(SUM(COPIA!$FB$103:FB243),2)-ROUND(SUM(COPIA!$FC$103:FC243),2),""),"")&lt;&gt;0,"",0)</f>
        <v/>
      </c>
      <c r="L151" s="6">
        <f ca="1">IFERROR(IF(AND(INDIRECT(ADDRESS(ROW(),4,,,))&lt;=COPIA!$DA$1,K151=0,COPIA!$EX$1&gt;1,ROW()&lt;=COPIA!$EX$1),MAX($L$10:L150)+1,IF(AND(INDIRECT(ADDRESS(ROW(),4,,,))&lt;=COPIA!$DA$1,K151=0,COPIA!$EX$1=1),MAX($L$10:L150)+1,0)),0)</f>
        <v>0</v>
      </c>
      <c r="M151" s="6">
        <f ca="1">IF(AND(COPIA!$EX$1=1,L151&lt;&gt;0),ROW()-10,IF(AND(COPIA!$EX$1&gt;1,ROW()&gt;COPIA!$EX$1,L151&lt;&gt;0),0,IF(AND(COPIA!$EX$1&gt;1,ROW()&lt;=COPIA!$EX$1,L151&lt;&gt;0),ROW()-10,0)))</f>
        <v>0</v>
      </c>
      <c r="N151" s="6">
        <f ca="1">IF(AND($P$4=0,ROW()-10&lt;=$P$10),MAX($N$10:N150)+1,IF(AND(ROW()-10&gt;$P$10,ROW()-10&lt;=$P$4),ROW()-10,0))</f>
        <v>0</v>
      </c>
      <c r="O151" s="6">
        <f ca="1">IF(N151&gt;0,MAX($O$10:O150)+1,0)</f>
        <v>0</v>
      </c>
      <c r="Q151" s="84"/>
      <c r="R151" s="84"/>
    </row>
    <row r="152" spans="2:18" ht="24" customHeight="1">
      <c r="B152" s="30" t="str">
        <f t="shared" ca="1" si="6"/>
        <v/>
      </c>
      <c r="C152" s="31" t="str">
        <f t="shared" ca="1" si="7"/>
        <v/>
      </c>
      <c r="D152" s="32"/>
      <c r="E152" s="33"/>
      <c r="F152" s="36"/>
      <c r="G152" s="34"/>
      <c r="H152" s="34"/>
      <c r="I152" s="157"/>
      <c r="J152" s="201"/>
      <c r="K152" s="202" t="str">
        <f ca="1">IF(IF(COPIA!$J$3=TRUE,IF(OR(G152&lt;&gt;0,H152&lt;&gt;0),ROUND(SUM(COPIA!$FB$103:FB244),2)-ROUND(SUM(COPIA!$FC$103:FC244),2),""),"")&lt;&gt;0,"",0)</f>
        <v/>
      </c>
      <c r="L152" s="6">
        <f ca="1">IFERROR(IF(AND(INDIRECT(ADDRESS(ROW(),4,,,))&lt;=COPIA!$DA$1,K152=0,COPIA!$EX$1&gt;1,ROW()&lt;=COPIA!$EX$1),MAX($L$10:L151)+1,IF(AND(INDIRECT(ADDRESS(ROW(),4,,,))&lt;=COPIA!$DA$1,K152=0,COPIA!$EX$1=1),MAX($L$10:L151)+1,0)),0)</f>
        <v>0</v>
      </c>
      <c r="M152" s="6">
        <f ca="1">IF(AND(COPIA!$EX$1=1,L152&lt;&gt;0),ROW()-10,IF(AND(COPIA!$EX$1&gt;1,ROW()&gt;COPIA!$EX$1,L152&lt;&gt;0),0,IF(AND(COPIA!$EX$1&gt;1,ROW()&lt;=COPIA!$EX$1,L152&lt;&gt;0),ROW()-10,0)))</f>
        <v>0</v>
      </c>
      <c r="N152" s="6">
        <f ca="1">IF(AND($P$4=0,ROW()-10&lt;=$P$10),MAX($N$10:N151)+1,IF(AND(ROW()-10&gt;$P$10,ROW()-10&lt;=$P$4),ROW()-10,0))</f>
        <v>0</v>
      </c>
      <c r="O152" s="6">
        <f ca="1">IF(N152&gt;0,MAX($O$10:O151)+1,0)</f>
        <v>0</v>
      </c>
      <c r="Q152" s="84"/>
      <c r="R152" s="84"/>
    </row>
    <row r="153" spans="2:18" ht="24" customHeight="1">
      <c r="B153" s="30" t="str">
        <f t="shared" ca="1" si="6"/>
        <v/>
      </c>
      <c r="C153" s="31" t="str">
        <f t="shared" ca="1" si="7"/>
        <v/>
      </c>
      <c r="D153" s="32"/>
      <c r="E153" s="33"/>
      <c r="F153" s="36"/>
      <c r="G153" s="34"/>
      <c r="H153" s="34"/>
      <c r="I153" s="157"/>
      <c r="J153" s="201"/>
      <c r="K153" s="202" t="str">
        <f ca="1">IF(IF(COPIA!$J$3=TRUE,IF(OR(G153&lt;&gt;0,H153&lt;&gt;0),ROUND(SUM(COPIA!$FB$103:FB245),2)-ROUND(SUM(COPIA!$FC$103:FC245),2),""),"")&lt;&gt;0,"",0)</f>
        <v/>
      </c>
      <c r="L153" s="6">
        <f ca="1">IFERROR(IF(AND(INDIRECT(ADDRESS(ROW(),4,,,))&lt;=COPIA!$DA$1,K153=0,COPIA!$EX$1&gt;1,ROW()&lt;=COPIA!$EX$1),MAX($L$10:L152)+1,IF(AND(INDIRECT(ADDRESS(ROW(),4,,,))&lt;=COPIA!$DA$1,K153=0,COPIA!$EX$1=1),MAX($L$10:L152)+1,0)),0)</f>
        <v>0</v>
      </c>
      <c r="M153" s="6">
        <f ca="1">IF(AND(COPIA!$EX$1=1,L153&lt;&gt;0),ROW()-10,IF(AND(COPIA!$EX$1&gt;1,ROW()&gt;COPIA!$EX$1,L153&lt;&gt;0),0,IF(AND(COPIA!$EX$1&gt;1,ROW()&lt;=COPIA!$EX$1,L153&lt;&gt;0),ROW()-10,0)))</f>
        <v>0</v>
      </c>
      <c r="N153" s="6">
        <f ca="1">IF(AND($P$4=0,ROW()-10&lt;=$P$10),MAX($N$10:N152)+1,IF(AND(ROW()-10&gt;$P$10,ROW()-10&lt;=$P$4),ROW()-10,0))</f>
        <v>0</v>
      </c>
      <c r="O153" s="6">
        <f ca="1">IF(N153&gt;0,MAX($O$10:O152)+1,0)</f>
        <v>0</v>
      </c>
      <c r="Q153" s="84"/>
      <c r="R153" s="84"/>
    </row>
    <row r="154" spans="2:18" ht="24" customHeight="1">
      <c r="B154" s="30" t="str">
        <f t="shared" ca="1" si="6"/>
        <v/>
      </c>
      <c r="C154" s="31" t="str">
        <f t="shared" ca="1" si="7"/>
        <v/>
      </c>
      <c r="D154" s="32"/>
      <c r="E154" s="33"/>
      <c r="F154" s="36"/>
      <c r="G154" s="34"/>
      <c r="H154" s="34"/>
      <c r="I154" s="157"/>
      <c r="J154" s="201"/>
      <c r="K154" s="202" t="str">
        <f ca="1">IF(IF(COPIA!$J$3=TRUE,IF(OR(G154&lt;&gt;0,H154&lt;&gt;0),ROUND(SUM(COPIA!$FB$103:FB246),2)-ROUND(SUM(COPIA!$FC$103:FC246),2),""),"")&lt;&gt;0,"",0)</f>
        <v/>
      </c>
      <c r="L154" s="6">
        <f ca="1">IFERROR(IF(AND(INDIRECT(ADDRESS(ROW(),4,,,))&lt;=COPIA!$DA$1,K154=0,COPIA!$EX$1&gt;1,ROW()&lt;=COPIA!$EX$1),MAX($L$10:L153)+1,IF(AND(INDIRECT(ADDRESS(ROW(),4,,,))&lt;=COPIA!$DA$1,K154=0,COPIA!$EX$1=1),MAX($L$10:L153)+1,0)),0)</f>
        <v>0</v>
      </c>
      <c r="M154" s="6">
        <f ca="1">IF(AND(COPIA!$EX$1=1,L154&lt;&gt;0),ROW()-10,IF(AND(COPIA!$EX$1&gt;1,ROW()&gt;COPIA!$EX$1,L154&lt;&gt;0),0,IF(AND(COPIA!$EX$1&gt;1,ROW()&lt;=COPIA!$EX$1,L154&lt;&gt;0),ROW()-10,0)))</f>
        <v>0</v>
      </c>
      <c r="N154" s="6">
        <f ca="1">IF(AND($P$4=0,ROW()-10&lt;=$P$10),MAX($N$10:N153)+1,IF(AND(ROW()-10&gt;$P$10,ROW()-10&lt;=$P$4),ROW()-10,0))</f>
        <v>0</v>
      </c>
      <c r="O154" s="6">
        <f ca="1">IF(N154&gt;0,MAX($O$10:O153)+1,0)</f>
        <v>0</v>
      </c>
      <c r="Q154" s="84"/>
      <c r="R154" s="84"/>
    </row>
    <row r="155" spans="2:18" ht="24" customHeight="1">
      <c r="B155" s="30" t="str">
        <f t="shared" ca="1" si="6"/>
        <v/>
      </c>
      <c r="C155" s="31" t="str">
        <f t="shared" ca="1" si="7"/>
        <v/>
      </c>
      <c r="D155" s="32"/>
      <c r="E155" s="33"/>
      <c r="F155" s="36"/>
      <c r="G155" s="34"/>
      <c r="H155" s="34"/>
      <c r="I155" s="157"/>
      <c r="J155" s="201"/>
      <c r="K155" s="202" t="str">
        <f ca="1">IF(IF(COPIA!$J$3=TRUE,IF(OR(G155&lt;&gt;0,H155&lt;&gt;0),ROUND(SUM(COPIA!$FB$103:FB247),2)-ROUND(SUM(COPIA!$FC$103:FC247),2),""),"")&lt;&gt;0,"",0)</f>
        <v/>
      </c>
      <c r="L155" s="6">
        <f ca="1">IFERROR(IF(AND(INDIRECT(ADDRESS(ROW(),4,,,))&lt;=COPIA!$DA$1,K155=0,COPIA!$EX$1&gt;1,ROW()&lt;=COPIA!$EX$1),MAX($L$10:L154)+1,IF(AND(INDIRECT(ADDRESS(ROW(),4,,,))&lt;=COPIA!$DA$1,K155=0,COPIA!$EX$1=1),MAX($L$10:L154)+1,0)),0)</f>
        <v>0</v>
      </c>
      <c r="M155" s="6">
        <f ca="1">IF(AND(COPIA!$EX$1=1,L155&lt;&gt;0),ROW()-10,IF(AND(COPIA!$EX$1&gt;1,ROW()&gt;COPIA!$EX$1,L155&lt;&gt;0),0,IF(AND(COPIA!$EX$1&gt;1,ROW()&lt;=COPIA!$EX$1,L155&lt;&gt;0),ROW()-10,0)))</f>
        <v>0</v>
      </c>
      <c r="N155" s="6">
        <f ca="1">IF(AND($P$4=0,ROW()-10&lt;=$P$10),MAX($N$10:N154)+1,IF(AND(ROW()-10&gt;$P$10,ROW()-10&lt;=$P$4),ROW()-10,0))</f>
        <v>0</v>
      </c>
      <c r="O155" s="6">
        <f ca="1">IF(N155&gt;0,MAX($O$10:O154)+1,0)</f>
        <v>0</v>
      </c>
      <c r="Q155" s="84"/>
      <c r="R155" s="84"/>
    </row>
    <row r="156" spans="2:18" ht="24" customHeight="1">
      <c r="B156" s="30" t="str">
        <f t="shared" ca="1" si="6"/>
        <v/>
      </c>
      <c r="C156" s="31" t="str">
        <f t="shared" ca="1" si="7"/>
        <v/>
      </c>
      <c r="D156" s="32"/>
      <c r="E156" s="33"/>
      <c r="F156" s="36"/>
      <c r="G156" s="34"/>
      <c r="H156" s="34"/>
      <c r="I156" s="157"/>
      <c r="J156" s="201"/>
      <c r="K156" s="202" t="str">
        <f ca="1">IF(IF(COPIA!$J$3=TRUE,IF(OR(G156&lt;&gt;0,H156&lt;&gt;0),ROUND(SUM(COPIA!$FB$103:FB248),2)-ROUND(SUM(COPIA!$FC$103:FC248),2),""),"")&lt;&gt;0,"",0)</f>
        <v/>
      </c>
      <c r="L156" s="6">
        <f ca="1">IFERROR(IF(AND(INDIRECT(ADDRESS(ROW(),4,,,))&lt;=COPIA!$DA$1,K156=0,COPIA!$EX$1&gt;1,ROW()&lt;=COPIA!$EX$1),MAX($L$10:L155)+1,IF(AND(INDIRECT(ADDRESS(ROW(),4,,,))&lt;=COPIA!$DA$1,K156=0,COPIA!$EX$1=1),MAX($L$10:L155)+1,0)),0)</f>
        <v>0</v>
      </c>
      <c r="M156" s="6">
        <f ca="1">IF(AND(COPIA!$EX$1=1,L156&lt;&gt;0),ROW()-10,IF(AND(COPIA!$EX$1&gt;1,ROW()&gt;COPIA!$EX$1,L156&lt;&gt;0),0,IF(AND(COPIA!$EX$1&gt;1,ROW()&lt;=COPIA!$EX$1,L156&lt;&gt;0),ROW()-10,0)))</f>
        <v>0</v>
      </c>
      <c r="N156" s="6">
        <f ca="1">IF(AND($P$4=0,ROW()-10&lt;=$P$10),MAX($N$10:N155)+1,IF(AND(ROW()-10&gt;$P$10,ROW()-10&lt;=$P$4),ROW()-10,0))</f>
        <v>0</v>
      </c>
      <c r="O156" s="6">
        <f ca="1">IF(N156&gt;0,MAX($O$10:O155)+1,0)</f>
        <v>0</v>
      </c>
      <c r="Q156" s="84"/>
      <c r="R156" s="84"/>
    </row>
    <row r="157" spans="2:18" ht="24" customHeight="1">
      <c r="B157" s="30" t="str">
        <f t="shared" ca="1" si="6"/>
        <v/>
      </c>
      <c r="C157" s="31" t="str">
        <f t="shared" ca="1" si="7"/>
        <v/>
      </c>
      <c r="D157" s="32"/>
      <c r="E157" s="33"/>
      <c r="F157" s="36"/>
      <c r="G157" s="34"/>
      <c r="H157" s="34"/>
      <c r="I157" s="157"/>
      <c r="J157" s="201"/>
      <c r="K157" s="202" t="str">
        <f ca="1">IF(IF(COPIA!$J$3=TRUE,IF(OR(G157&lt;&gt;0,H157&lt;&gt;0),ROUND(SUM(COPIA!$FB$103:FB249),2)-ROUND(SUM(COPIA!$FC$103:FC249),2),""),"")&lt;&gt;0,"",0)</f>
        <v/>
      </c>
      <c r="L157" s="6">
        <f ca="1">IFERROR(IF(AND(INDIRECT(ADDRESS(ROW(),4,,,))&lt;=COPIA!$DA$1,K157=0,COPIA!$EX$1&gt;1,ROW()&lt;=COPIA!$EX$1),MAX($L$10:L156)+1,IF(AND(INDIRECT(ADDRESS(ROW(),4,,,))&lt;=COPIA!$DA$1,K157=0,COPIA!$EX$1=1),MAX($L$10:L156)+1,0)),0)</f>
        <v>0</v>
      </c>
      <c r="M157" s="6">
        <f ca="1">IF(AND(COPIA!$EX$1=1,L157&lt;&gt;0),ROW()-10,IF(AND(COPIA!$EX$1&gt;1,ROW()&gt;COPIA!$EX$1,L157&lt;&gt;0),0,IF(AND(COPIA!$EX$1&gt;1,ROW()&lt;=COPIA!$EX$1,L157&lt;&gt;0),ROW()-10,0)))</f>
        <v>0</v>
      </c>
      <c r="N157" s="6">
        <f ca="1">IF(AND($P$4=0,ROW()-10&lt;=$P$10),MAX($N$10:N156)+1,IF(AND(ROW()-10&gt;$P$10,ROW()-10&lt;=$P$4),ROW()-10,0))</f>
        <v>0</v>
      </c>
      <c r="O157" s="6">
        <f ca="1">IF(N157&gt;0,MAX($O$10:O156)+1,0)</f>
        <v>0</v>
      </c>
      <c r="Q157" s="84"/>
      <c r="R157" s="84"/>
    </row>
    <row r="158" spans="2:18" ht="24" customHeight="1">
      <c r="B158" s="30" t="str">
        <f t="shared" ca="1" si="6"/>
        <v/>
      </c>
      <c r="C158" s="31" t="str">
        <f t="shared" ca="1" si="7"/>
        <v/>
      </c>
      <c r="D158" s="32"/>
      <c r="E158" s="33"/>
      <c r="F158" s="36"/>
      <c r="G158" s="34"/>
      <c r="H158" s="34"/>
      <c r="I158" s="157"/>
      <c r="J158" s="201"/>
      <c r="K158" s="202" t="str">
        <f ca="1">IF(IF(COPIA!$J$3=TRUE,IF(OR(G158&lt;&gt;0,H158&lt;&gt;0),ROUND(SUM(COPIA!$FB$103:FB250),2)-ROUND(SUM(COPIA!$FC$103:FC250),2),""),"")&lt;&gt;0,"",0)</f>
        <v/>
      </c>
      <c r="L158" s="6">
        <f ca="1">IFERROR(IF(AND(INDIRECT(ADDRESS(ROW(),4,,,))&lt;=COPIA!$DA$1,K158=0,COPIA!$EX$1&gt;1,ROW()&lt;=COPIA!$EX$1),MAX($L$10:L157)+1,IF(AND(INDIRECT(ADDRESS(ROW(),4,,,))&lt;=COPIA!$DA$1,K158=0,COPIA!$EX$1=1),MAX($L$10:L157)+1,0)),0)</f>
        <v>0</v>
      </c>
      <c r="M158" s="6">
        <f ca="1">IF(AND(COPIA!$EX$1=1,L158&lt;&gt;0),ROW()-10,IF(AND(COPIA!$EX$1&gt;1,ROW()&gt;COPIA!$EX$1,L158&lt;&gt;0),0,IF(AND(COPIA!$EX$1&gt;1,ROW()&lt;=COPIA!$EX$1,L158&lt;&gt;0),ROW()-10,0)))</f>
        <v>0</v>
      </c>
      <c r="N158" s="6">
        <f ca="1">IF(AND($P$4=0,ROW()-10&lt;=$P$10),MAX($N$10:N157)+1,IF(AND(ROW()-10&gt;$P$10,ROW()-10&lt;=$P$4),ROW()-10,0))</f>
        <v>0</v>
      </c>
      <c r="O158" s="6">
        <f ca="1">IF(N158&gt;0,MAX($O$10:O157)+1,0)</f>
        <v>0</v>
      </c>
      <c r="Q158" s="84"/>
      <c r="R158" s="84"/>
    </row>
    <row r="159" spans="2:18" ht="24" customHeight="1">
      <c r="B159" s="30" t="str">
        <f t="shared" ca="1" si="6"/>
        <v/>
      </c>
      <c r="C159" s="31" t="str">
        <f t="shared" ca="1" si="7"/>
        <v/>
      </c>
      <c r="D159" s="32"/>
      <c r="E159" s="33"/>
      <c r="F159" s="36"/>
      <c r="G159" s="34"/>
      <c r="H159" s="34"/>
      <c r="I159" s="157"/>
      <c r="J159" s="201"/>
      <c r="K159" s="202" t="str">
        <f ca="1">IF(IF(COPIA!$J$3=TRUE,IF(OR(G159&lt;&gt;0,H159&lt;&gt;0),ROUND(SUM(COPIA!$FB$103:FB251),2)-ROUND(SUM(COPIA!$FC$103:FC251),2),""),"")&lt;&gt;0,"",0)</f>
        <v/>
      </c>
      <c r="L159" s="6">
        <f ca="1">IFERROR(IF(AND(INDIRECT(ADDRESS(ROW(),4,,,))&lt;=COPIA!$DA$1,K159=0,COPIA!$EX$1&gt;1,ROW()&lt;=COPIA!$EX$1),MAX($L$10:L158)+1,IF(AND(INDIRECT(ADDRESS(ROW(),4,,,))&lt;=COPIA!$DA$1,K159=0,COPIA!$EX$1=1),MAX($L$10:L158)+1,0)),0)</f>
        <v>0</v>
      </c>
      <c r="M159" s="6">
        <f ca="1">IF(AND(COPIA!$EX$1=1,L159&lt;&gt;0),ROW()-10,IF(AND(COPIA!$EX$1&gt;1,ROW()&gt;COPIA!$EX$1,L159&lt;&gt;0),0,IF(AND(COPIA!$EX$1&gt;1,ROW()&lt;=COPIA!$EX$1,L159&lt;&gt;0),ROW()-10,0)))</f>
        <v>0</v>
      </c>
      <c r="N159" s="6">
        <f ca="1">IF(AND($P$4=0,ROW()-10&lt;=$P$10),MAX($N$10:N158)+1,IF(AND(ROW()-10&gt;$P$10,ROW()-10&lt;=$P$4),ROW()-10,0))</f>
        <v>0</v>
      </c>
      <c r="O159" s="6">
        <f ca="1">IF(N159&gt;0,MAX($O$10:O158)+1,0)</f>
        <v>0</v>
      </c>
      <c r="Q159" s="84"/>
      <c r="R159" s="84"/>
    </row>
    <row r="160" spans="2:18" ht="24" customHeight="1">
      <c r="B160" s="30" t="str">
        <f t="shared" ca="1" si="6"/>
        <v/>
      </c>
      <c r="C160" s="31" t="str">
        <f t="shared" ca="1" si="7"/>
        <v/>
      </c>
      <c r="D160" s="32"/>
      <c r="E160" s="33"/>
      <c r="F160" s="36"/>
      <c r="G160" s="34"/>
      <c r="H160" s="34"/>
      <c r="I160" s="157"/>
      <c r="J160" s="201"/>
      <c r="K160" s="202" t="str">
        <f ca="1">IF(IF(COPIA!$J$3=TRUE,IF(OR(G160&lt;&gt;0,H160&lt;&gt;0),ROUND(SUM(COPIA!$FB$103:FB252),2)-ROUND(SUM(COPIA!$FC$103:FC252),2),""),"")&lt;&gt;0,"",0)</f>
        <v/>
      </c>
      <c r="L160" s="6">
        <f ca="1">IFERROR(IF(AND(INDIRECT(ADDRESS(ROW(),4,,,))&lt;=COPIA!$DA$1,K160=0,COPIA!$EX$1&gt;1,ROW()&lt;=COPIA!$EX$1),MAX($L$10:L159)+1,IF(AND(INDIRECT(ADDRESS(ROW(),4,,,))&lt;=COPIA!$DA$1,K160=0,COPIA!$EX$1=1),MAX($L$10:L159)+1,0)),0)</f>
        <v>0</v>
      </c>
      <c r="M160" s="6">
        <f ca="1">IF(AND(COPIA!$EX$1=1,L160&lt;&gt;0),ROW()-10,IF(AND(COPIA!$EX$1&gt;1,ROW()&gt;COPIA!$EX$1,L160&lt;&gt;0),0,IF(AND(COPIA!$EX$1&gt;1,ROW()&lt;=COPIA!$EX$1,L160&lt;&gt;0),ROW()-10,0)))</f>
        <v>0</v>
      </c>
      <c r="N160" s="6">
        <f ca="1">IF(AND($P$4=0,ROW()-10&lt;=$P$10),MAX($N$10:N159)+1,IF(AND(ROW()-10&gt;$P$10,ROW()-10&lt;=$P$4),ROW()-10,0))</f>
        <v>0</v>
      </c>
      <c r="O160" s="6">
        <f ca="1">IF(N160&gt;0,MAX($O$10:O159)+1,0)</f>
        <v>0</v>
      </c>
      <c r="Q160" s="84"/>
      <c r="R160" s="84"/>
    </row>
    <row r="161" spans="2:18" ht="24" customHeight="1">
      <c r="B161" s="30" t="str">
        <f t="shared" ca="1" si="6"/>
        <v/>
      </c>
      <c r="C161" s="31" t="str">
        <f t="shared" ca="1" si="7"/>
        <v/>
      </c>
      <c r="D161" s="32"/>
      <c r="E161" s="33"/>
      <c r="F161" s="36"/>
      <c r="G161" s="34"/>
      <c r="H161" s="34"/>
      <c r="I161" s="157"/>
      <c r="J161" s="201"/>
      <c r="K161" s="202" t="str">
        <f ca="1">IF(IF(COPIA!$J$3=TRUE,IF(OR(G161&lt;&gt;0,H161&lt;&gt;0),ROUND(SUM(COPIA!$FB$103:FB253),2)-ROUND(SUM(COPIA!$FC$103:FC253),2),""),"")&lt;&gt;0,"",0)</f>
        <v/>
      </c>
      <c r="L161" s="6">
        <f ca="1">IFERROR(IF(AND(INDIRECT(ADDRESS(ROW(),4,,,))&lt;=COPIA!$DA$1,K161=0,COPIA!$EX$1&gt;1,ROW()&lt;=COPIA!$EX$1),MAX($L$10:L160)+1,IF(AND(INDIRECT(ADDRESS(ROW(),4,,,))&lt;=COPIA!$DA$1,K161=0,COPIA!$EX$1=1),MAX($L$10:L160)+1,0)),0)</f>
        <v>0</v>
      </c>
      <c r="M161" s="6">
        <f ca="1">IF(AND(COPIA!$EX$1=1,L161&lt;&gt;0),ROW()-10,IF(AND(COPIA!$EX$1&gt;1,ROW()&gt;COPIA!$EX$1,L161&lt;&gt;0),0,IF(AND(COPIA!$EX$1&gt;1,ROW()&lt;=COPIA!$EX$1,L161&lt;&gt;0),ROW()-10,0)))</f>
        <v>0</v>
      </c>
      <c r="N161" s="6">
        <f ca="1">IF(AND($P$4=0,ROW()-10&lt;=$P$10),MAX($N$10:N160)+1,IF(AND(ROW()-10&gt;$P$10,ROW()-10&lt;=$P$4),ROW()-10,0))</f>
        <v>0</v>
      </c>
      <c r="O161" s="6">
        <f ca="1">IF(N161&gt;0,MAX($O$10:O160)+1,0)</f>
        <v>0</v>
      </c>
      <c r="Q161" s="84"/>
      <c r="R161" s="84"/>
    </row>
    <row r="162" spans="2:18" ht="24" customHeight="1">
      <c r="B162" s="30" t="str">
        <f t="shared" ca="1" si="6"/>
        <v/>
      </c>
      <c r="C162" s="31" t="str">
        <f t="shared" ca="1" si="7"/>
        <v/>
      </c>
      <c r="D162" s="32"/>
      <c r="E162" s="33"/>
      <c r="F162" s="36"/>
      <c r="G162" s="34"/>
      <c r="H162" s="34"/>
      <c r="I162" s="157"/>
      <c r="J162" s="201"/>
      <c r="K162" s="202" t="str">
        <f ca="1">IF(IF(COPIA!$J$3=TRUE,IF(OR(G162&lt;&gt;0,H162&lt;&gt;0),ROUND(SUM(COPIA!$FB$103:FB254),2)-ROUND(SUM(COPIA!$FC$103:FC254),2),""),"")&lt;&gt;0,"",0)</f>
        <v/>
      </c>
      <c r="L162" s="6">
        <f ca="1">IFERROR(IF(AND(INDIRECT(ADDRESS(ROW(),4,,,))&lt;=COPIA!$DA$1,K162=0,COPIA!$EX$1&gt;1,ROW()&lt;=COPIA!$EX$1),MAX($L$10:L161)+1,IF(AND(INDIRECT(ADDRESS(ROW(),4,,,))&lt;=COPIA!$DA$1,K162=0,COPIA!$EX$1=1),MAX($L$10:L161)+1,0)),0)</f>
        <v>0</v>
      </c>
      <c r="M162" s="6">
        <f ca="1">IF(AND(COPIA!$EX$1=1,L162&lt;&gt;0),ROW()-10,IF(AND(COPIA!$EX$1&gt;1,ROW()&gt;COPIA!$EX$1,L162&lt;&gt;0),0,IF(AND(COPIA!$EX$1&gt;1,ROW()&lt;=COPIA!$EX$1,L162&lt;&gt;0),ROW()-10,0)))</f>
        <v>0</v>
      </c>
      <c r="N162" s="6">
        <f ca="1">IF(AND($P$4=0,ROW()-10&lt;=$P$10),MAX($N$10:N161)+1,IF(AND(ROW()-10&gt;$P$10,ROW()-10&lt;=$P$4),ROW()-10,0))</f>
        <v>0</v>
      </c>
      <c r="O162" s="6">
        <f ca="1">IF(N162&gt;0,MAX($O$10:O161)+1,0)</f>
        <v>0</v>
      </c>
      <c r="Q162" s="84"/>
      <c r="R162" s="84"/>
    </row>
    <row r="163" spans="2:18" ht="24" customHeight="1">
      <c r="B163" s="30" t="str">
        <f t="shared" ca="1" si="6"/>
        <v/>
      </c>
      <c r="C163" s="31" t="str">
        <f t="shared" ca="1" si="7"/>
        <v/>
      </c>
      <c r="D163" s="32"/>
      <c r="E163" s="33"/>
      <c r="F163" s="36"/>
      <c r="G163" s="34"/>
      <c r="H163" s="34"/>
      <c r="I163" s="157"/>
      <c r="J163" s="201"/>
      <c r="K163" s="202" t="str">
        <f ca="1">IF(IF(COPIA!$J$3=TRUE,IF(OR(G163&lt;&gt;0,H163&lt;&gt;0),ROUND(SUM(COPIA!$FB$103:FB255),2)-ROUND(SUM(COPIA!$FC$103:FC255),2),""),"")&lt;&gt;0,"",0)</f>
        <v/>
      </c>
      <c r="L163" s="6">
        <f ca="1">IFERROR(IF(AND(INDIRECT(ADDRESS(ROW(),4,,,))&lt;=COPIA!$DA$1,K163=0,COPIA!$EX$1&gt;1,ROW()&lt;=COPIA!$EX$1),MAX($L$10:L162)+1,IF(AND(INDIRECT(ADDRESS(ROW(),4,,,))&lt;=COPIA!$DA$1,K163=0,COPIA!$EX$1=1),MAX($L$10:L162)+1,0)),0)</f>
        <v>0</v>
      </c>
      <c r="M163" s="6">
        <f ca="1">IF(AND(COPIA!$EX$1=1,L163&lt;&gt;0),ROW()-10,IF(AND(COPIA!$EX$1&gt;1,ROW()&gt;COPIA!$EX$1,L163&lt;&gt;0),0,IF(AND(COPIA!$EX$1&gt;1,ROW()&lt;=COPIA!$EX$1,L163&lt;&gt;0),ROW()-10,0)))</f>
        <v>0</v>
      </c>
      <c r="N163" s="6">
        <f ca="1">IF(AND($P$4=0,ROW()-10&lt;=$P$10),MAX($N$10:N162)+1,IF(AND(ROW()-10&gt;$P$10,ROW()-10&lt;=$P$4),ROW()-10,0))</f>
        <v>0</v>
      </c>
      <c r="O163" s="6">
        <f ca="1">IF(N163&gt;0,MAX($O$10:O162)+1,0)</f>
        <v>0</v>
      </c>
      <c r="Q163" s="84"/>
      <c r="R163" s="84"/>
    </row>
    <row r="164" spans="2:18" ht="24" customHeight="1">
      <c r="B164" s="30" t="str">
        <f t="shared" ca="1" si="6"/>
        <v/>
      </c>
      <c r="C164" s="31" t="str">
        <f t="shared" ca="1" si="7"/>
        <v/>
      </c>
      <c r="D164" s="32"/>
      <c r="E164" s="33"/>
      <c r="F164" s="36"/>
      <c r="G164" s="34"/>
      <c r="H164" s="34"/>
      <c r="I164" s="157"/>
      <c r="J164" s="201"/>
      <c r="K164" s="202" t="str">
        <f ca="1">IF(IF(COPIA!$J$3=TRUE,IF(OR(G164&lt;&gt;0,H164&lt;&gt;0),ROUND(SUM(COPIA!$FB$103:FB256),2)-ROUND(SUM(COPIA!$FC$103:FC256),2),""),"")&lt;&gt;0,"",0)</f>
        <v/>
      </c>
      <c r="L164" s="6">
        <f ca="1">IFERROR(IF(AND(INDIRECT(ADDRESS(ROW(),4,,,))&lt;=COPIA!$DA$1,K164=0,COPIA!$EX$1&gt;1,ROW()&lt;=COPIA!$EX$1),MAX($L$10:L163)+1,IF(AND(INDIRECT(ADDRESS(ROW(),4,,,))&lt;=COPIA!$DA$1,K164=0,COPIA!$EX$1=1),MAX($L$10:L163)+1,0)),0)</f>
        <v>0</v>
      </c>
      <c r="M164" s="6">
        <f ca="1">IF(AND(COPIA!$EX$1=1,L164&lt;&gt;0),ROW()-10,IF(AND(COPIA!$EX$1&gt;1,ROW()&gt;COPIA!$EX$1,L164&lt;&gt;0),0,IF(AND(COPIA!$EX$1&gt;1,ROW()&lt;=COPIA!$EX$1,L164&lt;&gt;0),ROW()-10,0)))</f>
        <v>0</v>
      </c>
      <c r="N164" s="6">
        <f ca="1">IF(AND($P$4=0,ROW()-10&lt;=$P$10),MAX($N$10:N163)+1,IF(AND(ROW()-10&gt;$P$10,ROW()-10&lt;=$P$4),ROW()-10,0))</f>
        <v>0</v>
      </c>
      <c r="O164" s="6">
        <f ca="1">IF(N164&gt;0,MAX($O$10:O163)+1,0)</f>
        <v>0</v>
      </c>
      <c r="Q164" s="84"/>
      <c r="R164" s="84"/>
    </row>
    <row r="165" spans="2:18" ht="24" customHeight="1">
      <c r="B165" s="30" t="str">
        <f t="shared" ca="1" si="6"/>
        <v/>
      </c>
      <c r="C165" s="31" t="str">
        <f t="shared" ca="1" si="7"/>
        <v/>
      </c>
      <c r="D165" s="32"/>
      <c r="E165" s="33"/>
      <c r="F165" s="36"/>
      <c r="G165" s="34"/>
      <c r="H165" s="34"/>
      <c r="I165" s="157"/>
      <c r="J165" s="201"/>
      <c r="K165" s="202" t="str">
        <f ca="1">IF(IF(COPIA!$J$3=TRUE,IF(OR(G165&lt;&gt;0,H165&lt;&gt;0),ROUND(SUM(COPIA!$FB$103:FB257),2)-ROUND(SUM(COPIA!$FC$103:FC257),2),""),"")&lt;&gt;0,"",0)</f>
        <v/>
      </c>
      <c r="L165" s="6">
        <f ca="1">IFERROR(IF(AND(INDIRECT(ADDRESS(ROW(),4,,,))&lt;=COPIA!$DA$1,K165=0,COPIA!$EX$1&gt;1,ROW()&lt;=COPIA!$EX$1),MAX($L$10:L164)+1,IF(AND(INDIRECT(ADDRESS(ROW(),4,,,))&lt;=COPIA!$DA$1,K165=0,COPIA!$EX$1=1),MAX($L$10:L164)+1,0)),0)</f>
        <v>0</v>
      </c>
      <c r="M165" s="6">
        <f ca="1">IF(AND(COPIA!$EX$1=1,L165&lt;&gt;0),ROW()-10,IF(AND(COPIA!$EX$1&gt;1,ROW()&gt;COPIA!$EX$1,L165&lt;&gt;0),0,IF(AND(COPIA!$EX$1&gt;1,ROW()&lt;=COPIA!$EX$1,L165&lt;&gt;0),ROW()-10,0)))</f>
        <v>0</v>
      </c>
      <c r="N165" s="6">
        <f ca="1">IF(AND($P$4=0,ROW()-10&lt;=$P$10),MAX($N$10:N164)+1,IF(AND(ROW()-10&gt;$P$10,ROW()-10&lt;=$P$4),ROW()-10,0))</f>
        <v>0</v>
      </c>
      <c r="O165" s="6">
        <f ca="1">IF(N165&gt;0,MAX($O$10:O164)+1,0)</f>
        <v>0</v>
      </c>
      <c r="Q165" s="84"/>
      <c r="R165" s="84"/>
    </row>
    <row r="166" spans="2:18" ht="24" customHeight="1">
      <c r="B166" s="30" t="str">
        <f t="shared" ca="1" si="6"/>
        <v/>
      </c>
      <c r="C166" s="31" t="str">
        <f t="shared" ca="1" si="7"/>
        <v/>
      </c>
      <c r="D166" s="32"/>
      <c r="E166" s="33"/>
      <c r="F166" s="36"/>
      <c r="G166" s="34"/>
      <c r="H166" s="34"/>
      <c r="I166" s="157"/>
      <c r="J166" s="201"/>
      <c r="K166" s="202" t="str">
        <f ca="1">IF(IF(COPIA!$J$3=TRUE,IF(OR(G166&lt;&gt;0,H166&lt;&gt;0),ROUND(SUM(COPIA!$FB$103:FB258),2)-ROUND(SUM(COPIA!$FC$103:FC258),2),""),"")&lt;&gt;0,"",0)</f>
        <v/>
      </c>
      <c r="L166" s="6">
        <f ca="1">IFERROR(IF(AND(INDIRECT(ADDRESS(ROW(),4,,,))&lt;=COPIA!$DA$1,K166=0,COPIA!$EX$1&gt;1,ROW()&lt;=COPIA!$EX$1),MAX($L$10:L165)+1,IF(AND(INDIRECT(ADDRESS(ROW(),4,,,))&lt;=COPIA!$DA$1,K166=0,COPIA!$EX$1=1),MAX($L$10:L165)+1,0)),0)</f>
        <v>0</v>
      </c>
      <c r="M166" s="6">
        <f ca="1">IF(AND(COPIA!$EX$1=1,L166&lt;&gt;0),ROW()-10,IF(AND(COPIA!$EX$1&gt;1,ROW()&gt;COPIA!$EX$1,L166&lt;&gt;0),0,IF(AND(COPIA!$EX$1&gt;1,ROW()&lt;=COPIA!$EX$1,L166&lt;&gt;0),ROW()-10,0)))</f>
        <v>0</v>
      </c>
      <c r="N166" s="6">
        <f ca="1">IF(AND($P$4=0,ROW()-10&lt;=$P$10),MAX($N$10:N165)+1,IF(AND(ROW()-10&gt;$P$10,ROW()-10&lt;=$P$4),ROW()-10,0))</f>
        <v>0</v>
      </c>
      <c r="O166" s="6">
        <f ca="1">IF(N166&gt;0,MAX($O$10:O165)+1,0)</f>
        <v>0</v>
      </c>
      <c r="Q166" s="84"/>
      <c r="R166" s="84"/>
    </row>
    <row r="167" spans="2:18" ht="24" customHeight="1">
      <c r="B167" s="30" t="str">
        <f t="shared" ca="1" si="6"/>
        <v/>
      </c>
      <c r="C167" s="31" t="str">
        <f t="shared" ca="1" si="7"/>
        <v/>
      </c>
      <c r="D167" s="32"/>
      <c r="E167" s="33"/>
      <c r="F167" s="36"/>
      <c r="G167" s="34"/>
      <c r="H167" s="34"/>
      <c r="I167" s="157"/>
      <c r="J167" s="201"/>
      <c r="K167" s="202" t="str">
        <f ca="1">IF(IF(COPIA!$J$3=TRUE,IF(OR(G167&lt;&gt;0,H167&lt;&gt;0),ROUND(SUM(COPIA!$FB$103:FB259),2)-ROUND(SUM(COPIA!$FC$103:FC259),2),""),"")&lt;&gt;0,"",0)</f>
        <v/>
      </c>
      <c r="L167" s="6">
        <f ca="1">IFERROR(IF(AND(INDIRECT(ADDRESS(ROW(),4,,,))&lt;=COPIA!$DA$1,K167=0,COPIA!$EX$1&gt;1,ROW()&lt;=COPIA!$EX$1),MAX($L$10:L166)+1,IF(AND(INDIRECT(ADDRESS(ROW(),4,,,))&lt;=COPIA!$DA$1,K167=0,COPIA!$EX$1=1),MAX($L$10:L166)+1,0)),0)</f>
        <v>0</v>
      </c>
      <c r="M167" s="6">
        <f ca="1">IF(AND(COPIA!$EX$1=1,L167&lt;&gt;0),ROW()-10,IF(AND(COPIA!$EX$1&gt;1,ROW()&gt;COPIA!$EX$1,L167&lt;&gt;0),0,IF(AND(COPIA!$EX$1&gt;1,ROW()&lt;=COPIA!$EX$1,L167&lt;&gt;0),ROW()-10,0)))</f>
        <v>0</v>
      </c>
      <c r="N167" s="6">
        <f ca="1">IF(AND($P$4=0,ROW()-10&lt;=$P$10),MAX($N$10:N166)+1,IF(AND(ROW()-10&gt;$P$10,ROW()-10&lt;=$P$4),ROW()-10,0))</f>
        <v>0</v>
      </c>
      <c r="O167" s="6">
        <f ca="1">IF(N167&gt;0,MAX($O$10:O166)+1,0)</f>
        <v>0</v>
      </c>
      <c r="Q167" s="84"/>
      <c r="R167" s="84"/>
    </row>
    <row r="168" spans="2:18" ht="24" customHeight="1">
      <c r="B168" s="30" t="str">
        <f t="shared" ca="1" si="6"/>
        <v/>
      </c>
      <c r="C168" s="31" t="str">
        <f t="shared" ca="1" si="7"/>
        <v/>
      </c>
      <c r="D168" s="32"/>
      <c r="E168" s="33"/>
      <c r="F168" s="36"/>
      <c r="G168" s="34"/>
      <c r="H168" s="34"/>
      <c r="I168" s="157"/>
      <c r="J168" s="201"/>
      <c r="K168" s="202" t="str">
        <f ca="1">IF(IF(COPIA!$J$3=TRUE,IF(OR(G168&lt;&gt;0,H168&lt;&gt;0),ROUND(SUM(COPIA!$FB$103:FB260),2)-ROUND(SUM(COPIA!$FC$103:FC260),2),""),"")&lt;&gt;0,"",0)</f>
        <v/>
      </c>
      <c r="L168" s="6">
        <f ca="1">IFERROR(IF(AND(INDIRECT(ADDRESS(ROW(),4,,,))&lt;=COPIA!$DA$1,K168=0,COPIA!$EX$1&gt;1,ROW()&lt;=COPIA!$EX$1),MAX($L$10:L167)+1,IF(AND(INDIRECT(ADDRESS(ROW(),4,,,))&lt;=COPIA!$DA$1,K168=0,COPIA!$EX$1=1),MAX($L$10:L167)+1,0)),0)</f>
        <v>0</v>
      </c>
      <c r="M168" s="6">
        <f ca="1">IF(AND(COPIA!$EX$1=1,L168&lt;&gt;0),ROW()-10,IF(AND(COPIA!$EX$1&gt;1,ROW()&gt;COPIA!$EX$1,L168&lt;&gt;0),0,IF(AND(COPIA!$EX$1&gt;1,ROW()&lt;=COPIA!$EX$1,L168&lt;&gt;0),ROW()-10,0)))</f>
        <v>0</v>
      </c>
      <c r="N168" s="6">
        <f ca="1">IF(AND($P$4=0,ROW()-10&lt;=$P$10),MAX($N$10:N167)+1,IF(AND(ROW()-10&gt;$P$10,ROW()-10&lt;=$P$4),ROW()-10,0))</f>
        <v>0</v>
      </c>
      <c r="O168" s="6">
        <f ca="1">IF(N168&gt;0,MAX($O$10:O167)+1,0)</f>
        <v>0</v>
      </c>
      <c r="Q168" s="84"/>
      <c r="R168" s="84"/>
    </row>
    <row r="169" spans="2:18" ht="24" customHeight="1">
      <c r="B169" s="30" t="str">
        <f t="shared" ca="1" si="6"/>
        <v/>
      </c>
      <c r="C169" s="31" t="str">
        <f t="shared" ca="1" si="7"/>
        <v/>
      </c>
      <c r="D169" s="32"/>
      <c r="E169" s="33"/>
      <c r="F169" s="36"/>
      <c r="G169" s="34"/>
      <c r="H169" s="34"/>
      <c r="I169" s="157"/>
      <c r="J169" s="201"/>
      <c r="K169" s="202" t="str">
        <f ca="1">IF(IF(COPIA!$J$3=TRUE,IF(OR(G169&lt;&gt;0,H169&lt;&gt;0),ROUND(SUM(COPIA!$FB$103:FB261),2)-ROUND(SUM(COPIA!$FC$103:FC261),2),""),"")&lt;&gt;0,"",0)</f>
        <v/>
      </c>
      <c r="L169" s="6">
        <f ca="1">IFERROR(IF(AND(INDIRECT(ADDRESS(ROW(),4,,,))&lt;=COPIA!$DA$1,K169=0,COPIA!$EX$1&gt;1,ROW()&lt;=COPIA!$EX$1),MAX($L$10:L168)+1,IF(AND(INDIRECT(ADDRESS(ROW(),4,,,))&lt;=COPIA!$DA$1,K169=0,COPIA!$EX$1=1),MAX($L$10:L168)+1,0)),0)</f>
        <v>0</v>
      </c>
      <c r="M169" s="6">
        <f ca="1">IF(AND(COPIA!$EX$1=1,L169&lt;&gt;0),ROW()-10,IF(AND(COPIA!$EX$1&gt;1,ROW()&gt;COPIA!$EX$1,L169&lt;&gt;0),0,IF(AND(COPIA!$EX$1&gt;1,ROW()&lt;=COPIA!$EX$1,L169&lt;&gt;0),ROW()-10,0)))</f>
        <v>0</v>
      </c>
      <c r="N169" s="6">
        <f ca="1">IF(AND($P$4=0,ROW()-10&lt;=$P$10),MAX($N$10:N168)+1,IF(AND(ROW()-10&gt;$P$10,ROW()-10&lt;=$P$4),ROW()-10,0))</f>
        <v>0</v>
      </c>
      <c r="O169" s="6">
        <f ca="1">IF(N169&gt;0,MAX($O$10:O168)+1,0)</f>
        <v>0</v>
      </c>
      <c r="Q169" s="84"/>
      <c r="R169" s="84"/>
    </row>
    <row r="170" spans="2:18" ht="24" customHeight="1">
      <c r="B170" s="30" t="str">
        <f t="shared" ca="1" si="6"/>
        <v/>
      </c>
      <c r="C170" s="31" t="str">
        <f t="shared" ca="1" si="7"/>
        <v/>
      </c>
      <c r="D170" s="32"/>
      <c r="E170" s="33"/>
      <c r="F170" s="36"/>
      <c r="G170" s="34"/>
      <c r="H170" s="34"/>
      <c r="I170" s="157"/>
      <c r="J170" s="201"/>
      <c r="K170" s="202" t="str">
        <f ca="1">IF(IF(COPIA!$J$3=TRUE,IF(OR(G170&lt;&gt;0,H170&lt;&gt;0),ROUND(SUM(COPIA!$FB$103:FB262),2)-ROUND(SUM(COPIA!$FC$103:FC262),2),""),"")&lt;&gt;0,"",0)</f>
        <v/>
      </c>
      <c r="L170" s="6">
        <f ca="1">IFERROR(IF(AND(INDIRECT(ADDRESS(ROW(),4,,,))&lt;=COPIA!$DA$1,K170=0,COPIA!$EX$1&gt;1,ROW()&lt;=COPIA!$EX$1),MAX($L$10:L169)+1,IF(AND(INDIRECT(ADDRESS(ROW(),4,,,))&lt;=COPIA!$DA$1,K170=0,COPIA!$EX$1=1),MAX($L$10:L169)+1,0)),0)</f>
        <v>0</v>
      </c>
      <c r="M170" s="6">
        <f ca="1">IF(AND(COPIA!$EX$1=1,L170&lt;&gt;0),ROW()-10,IF(AND(COPIA!$EX$1&gt;1,ROW()&gt;COPIA!$EX$1,L170&lt;&gt;0),0,IF(AND(COPIA!$EX$1&gt;1,ROW()&lt;=COPIA!$EX$1,L170&lt;&gt;0),ROW()-10,0)))</f>
        <v>0</v>
      </c>
      <c r="N170" s="6">
        <f ca="1">IF(AND($P$4=0,ROW()-10&lt;=$P$10),MAX($N$10:N169)+1,IF(AND(ROW()-10&gt;$P$10,ROW()-10&lt;=$P$4),ROW()-10,0))</f>
        <v>0</v>
      </c>
      <c r="O170" s="6">
        <f ca="1">IF(N170&gt;0,MAX($O$10:O169)+1,0)</f>
        <v>0</v>
      </c>
      <c r="Q170" s="84"/>
      <c r="R170" s="84"/>
    </row>
    <row r="171" spans="2:18" ht="24" customHeight="1">
      <c r="B171" s="30" t="str">
        <f t="shared" ca="1" si="6"/>
        <v/>
      </c>
      <c r="C171" s="31" t="str">
        <f t="shared" ca="1" si="7"/>
        <v/>
      </c>
      <c r="D171" s="32"/>
      <c r="E171" s="33"/>
      <c r="F171" s="36"/>
      <c r="G171" s="34"/>
      <c r="H171" s="34"/>
      <c r="I171" s="157"/>
      <c r="J171" s="201"/>
      <c r="K171" s="202" t="str">
        <f ca="1">IF(IF(COPIA!$J$3=TRUE,IF(OR(G171&lt;&gt;0,H171&lt;&gt;0),ROUND(SUM(COPIA!$FB$103:FB263),2)-ROUND(SUM(COPIA!$FC$103:FC263),2),""),"")&lt;&gt;0,"",0)</f>
        <v/>
      </c>
      <c r="L171" s="6">
        <f ca="1">IFERROR(IF(AND(INDIRECT(ADDRESS(ROW(),4,,,))&lt;=COPIA!$DA$1,K171=0,COPIA!$EX$1&gt;1,ROW()&lt;=COPIA!$EX$1),MAX($L$10:L170)+1,IF(AND(INDIRECT(ADDRESS(ROW(),4,,,))&lt;=COPIA!$DA$1,K171=0,COPIA!$EX$1=1),MAX($L$10:L170)+1,0)),0)</f>
        <v>0</v>
      </c>
      <c r="M171" s="6">
        <f ca="1">IF(AND(COPIA!$EX$1=1,L171&lt;&gt;0),ROW()-10,IF(AND(COPIA!$EX$1&gt;1,ROW()&gt;COPIA!$EX$1,L171&lt;&gt;0),0,IF(AND(COPIA!$EX$1&gt;1,ROW()&lt;=COPIA!$EX$1,L171&lt;&gt;0),ROW()-10,0)))</f>
        <v>0</v>
      </c>
      <c r="N171" s="6">
        <f ca="1">IF(AND($P$4=0,ROW()-10&lt;=$P$10),MAX($N$10:N170)+1,IF(AND(ROW()-10&gt;$P$10,ROW()-10&lt;=$P$4),ROW()-10,0))</f>
        <v>0</v>
      </c>
      <c r="O171" s="6">
        <f ca="1">IF(N171&gt;0,MAX($O$10:O170)+1,0)</f>
        <v>0</v>
      </c>
      <c r="Q171" s="84"/>
      <c r="R171" s="84"/>
    </row>
    <row r="172" spans="2:18" ht="24" customHeight="1">
      <c r="B172" s="30" t="str">
        <f t="shared" ca="1" si="6"/>
        <v/>
      </c>
      <c r="C172" s="31" t="str">
        <f t="shared" ca="1" si="7"/>
        <v/>
      </c>
      <c r="D172" s="32"/>
      <c r="E172" s="33"/>
      <c r="F172" s="36"/>
      <c r="G172" s="34"/>
      <c r="H172" s="34"/>
      <c r="I172" s="157"/>
      <c r="J172" s="201"/>
      <c r="K172" s="202" t="str">
        <f ca="1">IF(IF(COPIA!$J$3=TRUE,IF(OR(G172&lt;&gt;0,H172&lt;&gt;0),ROUND(SUM(COPIA!$FB$103:FB264),2)-ROUND(SUM(COPIA!$FC$103:FC264),2),""),"")&lt;&gt;0,"",0)</f>
        <v/>
      </c>
      <c r="L172" s="6">
        <f ca="1">IFERROR(IF(AND(INDIRECT(ADDRESS(ROW(),4,,,))&lt;=COPIA!$DA$1,K172=0,COPIA!$EX$1&gt;1,ROW()&lt;=COPIA!$EX$1),MAX($L$10:L171)+1,IF(AND(INDIRECT(ADDRESS(ROW(),4,,,))&lt;=COPIA!$DA$1,K172=0,COPIA!$EX$1=1),MAX($L$10:L171)+1,0)),0)</f>
        <v>0</v>
      </c>
      <c r="M172" s="6">
        <f ca="1">IF(AND(COPIA!$EX$1=1,L172&lt;&gt;0),ROW()-10,IF(AND(COPIA!$EX$1&gt;1,ROW()&gt;COPIA!$EX$1,L172&lt;&gt;0),0,IF(AND(COPIA!$EX$1&gt;1,ROW()&lt;=COPIA!$EX$1,L172&lt;&gt;0),ROW()-10,0)))</f>
        <v>0</v>
      </c>
      <c r="N172" s="6">
        <f ca="1">IF(AND($P$4=0,ROW()-10&lt;=$P$10),MAX($N$10:N171)+1,IF(AND(ROW()-10&gt;$P$10,ROW()-10&lt;=$P$4),ROW()-10,0))</f>
        <v>0</v>
      </c>
      <c r="O172" s="6">
        <f ca="1">IF(N172&gt;0,MAX($O$10:O171)+1,0)</f>
        <v>0</v>
      </c>
      <c r="Q172" s="84"/>
      <c r="R172" s="84"/>
    </row>
    <row r="173" spans="2:18" ht="24" customHeight="1">
      <c r="B173" s="30" t="str">
        <f t="shared" ca="1" si="6"/>
        <v/>
      </c>
      <c r="C173" s="31" t="str">
        <f t="shared" ca="1" si="7"/>
        <v/>
      </c>
      <c r="D173" s="32"/>
      <c r="E173" s="33"/>
      <c r="F173" s="36"/>
      <c r="G173" s="34"/>
      <c r="H173" s="34"/>
      <c r="I173" s="157"/>
      <c r="J173" s="201"/>
      <c r="K173" s="202" t="str">
        <f ca="1">IF(IF(COPIA!$J$3=TRUE,IF(OR(G173&lt;&gt;0,H173&lt;&gt;0),ROUND(SUM(COPIA!$FB$103:FB265),2)-ROUND(SUM(COPIA!$FC$103:FC265),2),""),"")&lt;&gt;0,"",0)</f>
        <v/>
      </c>
      <c r="L173" s="6">
        <f ca="1">IFERROR(IF(AND(INDIRECT(ADDRESS(ROW(),4,,,))&lt;=COPIA!$DA$1,K173=0,COPIA!$EX$1&gt;1,ROW()&lt;=COPIA!$EX$1),MAX($L$10:L172)+1,IF(AND(INDIRECT(ADDRESS(ROW(),4,,,))&lt;=COPIA!$DA$1,K173=0,COPIA!$EX$1=1),MAX($L$10:L172)+1,0)),0)</f>
        <v>0</v>
      </c>
      <c r="M173" s="6">
        <f ca="1">IF(AND(COPIA!$EX$1=1,L173&lt;&gt;0),ROW()-10,IF(AND(COPIA!$EX$1&gt;1,ROW()&gt;COPIA!$EX$1,L173&lt;&gt;0),0,IF(AND(COPIA!$EX$1&gt;1,ROW()&lt;=COPIA!$EX$1,L173&lt;&gt;0),ROW()-10,0)))</f>
        <v>0</v>
      </c>
      <c r="N173" s="6">
        <f ca="1">IF(AND($P$4=0,ROW()-10&lt;=$P$10),MAX($N$10:N172)+1,IF(AND(ROW()-10&gt;$P$10,ROW()-10&lt;=$P$4),ROW()-10,0))</f>
        <v>0</v>
      </c>
      <c r="O173" s="6">
        <f ca="1">IF(N173&gt;0,MAX($O$10:O172)+1,0)</f>
        <v>0</v>
      </c>
      <c r="Q173" s="84"/>
      <c r="R173" s="84"/>
    </row>
    <row r="174" spans="2:18" ht="24" customHeight="1">
      <c r="B174" s="30" t="str">
        <f t="shared" ca="1" si="6"/>
        <v/>
      </c>
      <c r="C174" s="31" t="str">
        <f t="shared" ca="1" si="7"/>
        <v/>
      </c>
      <c r="D174" s="32"/>
      <c r="E174" s="33"/>
      <c r="F174" s="36"/>
      <c r="G174" s="34"/>
      <c r="H174" s="34"/>
      <c r="I174" s="157"/>
      <c r="J174" s="201"/>
      <c r="K174" s="202" t="str">
        <f ca="1">IF(IF(COPIA!$J$3=TRUE,IF(OR(G174&lt;&gt;0,H174&lt;&gt;0),ROUND(SUM(COPIA!$FB$103:FB266),2)-ROUND(SUM(COPIA!$FC$103:FC266),2),""),"")&lt;&gt;0,"",0)</f>
        <v/>
      </c>
      <c r="L174" s="6">
        <f ca="1">IFERROR(IF(AND(INDIRECT(ADDRESS(ROW(),4,,,))&lt;=COPIA!$DA$1,K174=0,COPIA!$EX$1&gt;1,ROW()&lt;=COPIA!$EX$1),MAX($L$10:L173)+1,IF(AND(INDIRECT(ADDRESS(ROW(),4,,,))&lt;=COPIA!$DA$1,K174=0,COPIA!$EX$1=1),MAX($L$10:L173)+1,0)),0)</f>
        <v>0</v>
      </c>
      <c r="M174" s="6">
        <f ca="1">IF(AND(COPIA!$EX$1=1,L174&lt;&gt;0),ROW()-10,IF(AND(COPIA!$EX$1&gt;1,ROW()&gt;COPIA!$EX$1,L174&lt;&gt;0),0,IF(AND(COPIA!$EX$1&gt;1,ROW()&lt;=COPIA!$EX$1,L174&lt;&gt;0),ROW()-10,0)))</f>
        <v>0</v>
      </c>
      <c r="N174" s="6">
        <f ca="1">IF(AND($P$4=0,ROW()-10&lt;=$P$10),MAX($N$10:N173)+1,IF(AND(ROW()-10&gt;$P$10,ROW()-10&lt;=$P$4),ROW()-10,0))</f>
        <v>0</v>
      </c>
      <c r="O174" s="6">
        <f ca="1">IF(N174&gt;0,MAX($O$10:O173)+1,0)</f>
        <v>0</v>
      </c>
      <c r="Q174" s="84"/>
      <c r="R174" s="84"/>
    </row>
    <row r="175" spans="2:18" ht="24" customHeight="1">
      <c r="B175" s="30" t="str">
        <f t="shared" ca="1" si="6"/>
        <v/>
      </c>
      <c r="C175" s="31" t="str">
        <f t="shared" ca="1" si="7"/>
        <v/>
      </c>
      <c r="D175" s="32"/>
      <c r="E175" s="33"/>
      <c r="F175" s="36"/>
      <c r="G175" s="34"/>
      <c r="H175" s="34"/>
      <c r="I175" s="157"/>
      <c r="J175" s="201"/>
      <c r="K175" s="202" t="str">
        <f ca="1">IF(IF(COPIA!$J$3=TRUE,IF(OR(G175&lt;&gt;0,H175&lt;&gt;0),ROUND(SUM(COPIA!$FB$103:FB267),2)-ROUND(SUM(COPIA!$FC$103:FC267),2),""),"")&lt;&gt;0,"",0)</f>
        <v/>
      </c>
      <c r="L175" s="6">
        <f ca="1">IFERROR(IF(AND(INDIRECT(ADDRESS(ROW(),4,,,))&lt;=COPIA!$DA$1,K175=0,COPIA!$EX$1&gt;1,ROW()&lt;=COPIA!$EX$1),MAX($L$10:L174)+1,IF(AND(INDIRECT(ADDRESS(ROW(),4,,,))&lt;=COPIA!$DA$1,K175=0,COPIA!$EX$1=1),MAX($L$10:L174)+1,0)),0)</f>
        <v>0</v>
      </c>
      <c r="M175" s="6">
        <f ca="1">IF(AND(COPIA!$EX$1=1,L175&lt;&gt;0),ROW()-10,IF(AND(COPIA!$EX$1&gt;1,ROW()&gt;COPIA!$EX$1,L175&lt;&gt;0),0,IF(AND(COPIA!$EX$1&gt;1,ROW()&lt;=COPIA!$EX$1,L175&lt;&gt;0),ROW()-10,0)))</f>
        <v>0</v>
      </c>
      <c r="N175" s="6">
        <f ca="1">IF(AND($P$4=0,ROW()-10&lt;=$P$10),MAX($N$10:N174)+1,IF(AND(ROW()-10&gt;$P$10,ROW()-10&lt;=$P$4),ROW()-10,0))</f>
        <v>0</v>
      </c>
      <c r="O175" s="6">
        <f ca="1">IF(N175&gt;0,MAX($O$10:O174)+1,0)</f>
        <v>0</v>
      </c>
      <c r="Q175" s="84"/>
      <c r="R175" s="84"/>
    </row>
    <row r="176" spans="2:18" ht="24" customHeight="1">
      <c r="B176" s="30" t="str">
        <f t="shared" ca="1" si="6"/>
        <v/>
      </c>
      <c r="C176" s="31" t="str">
        <f t="shared" ca="1" si="7"/>
        <v/>
      </c>
      <c r="D176" s="32"/>
      <c r="E176" s="33"/>
      <c r="F176" s="36"/>
      <c r="G176" s="34"/>
      <c r="H176" s="34"/>
      <c r="I176" s="157"/>
      <c r="J176" s="201"/>
      <c r="K176" s="202" t="str">
        <f ca="1">IF(IF(COPIA!$J$3=TRUE,IF(OR(G176&lt;&gt;0,H176&lt;&gt;0),ROUND(SUM(COPIA!$FB$103:FB268),2)-ROUND(SUM(COPIA!$FC$103:FC268),2),""),"")&lt;&gt;0,"",0)</f>
        <v/>
      </c>
      <c r="L176" s="6">
        <f ca="1">IFERROR(IF(AND(INDIRECT(ADDRESS(ROW(),4,,,))&lt;=COPIA!$DA$1,K176=0,COPIA!$EX$1&gt;1,ROW()&lt;=COPIA!$EX$1),MAX($L$10:L175)+1,IF(AND(INDIRECT(ADDRESS(ROW(),4,,,))&lt;=COPIA!$DA$1,K176=0,COPIA!$EX$1=1),MAX($L$10:L175)+1,0)),0)</f>
        <v>0</v>
      </c>
      <c r="M176" s="6">
        <f ca="1">IF(AND(COPIA!$EX$1=1,L176&lt;&gt;0),ROW()-10,IF(AND(COPIA!$EX$1&gt;1,ROW()&gt;COPIA!$EX$1,L176&lt;&gt;0),0,IF(AND(COPIA!$EX$1&gt;1,ROW()&lt;=COPIA!$EX$1,L176&lt;&gt;0),ROW()-10,0)))</f>
        <v>0</v>
      </c>
      <c r="N176" s="6">
        <f ca="1">IF(AND($P$4=0,ROW()-10&lt;=$P$10),MAX($N$10:N175)+1,IF(AND(ROW()-10&gt;$P$10,ROW()-10&lt;=$P$4),ROW()-10,0))</f>
        <v>0</v>
      </c>
      <c r="O176" s="6">
        <f ca="1">IF(N176&gt;0,MAX($O$10:O175)+1,0)</f>
        <v>0</v>
      </c>
      <c r="Q176" s="84"/>
      <c r="R176" s="84"/>
    </row>
    <row r="177" spans="2:18" ht="24" customHeight="1">
      <c r="B177" s="30" t="str">
        <f t="shared" ca="1" si="6"/>
        <v/>
      </c>
      <c r="C177" s="31" t="str">
        <f t="shared" ca="1" si="7"/>
        <v/>
      </c>
      <c r="D177" s="32"/>
      <c r="E177" s="33"/>
      <c r="F177" s="36"/>
      <c r="G177" s="34"/>
      <c r="H177" s="34"/>
      <c r="I177" s="157"/>
      <c r="J177" s="201"/>
      <c r="K177" s="202" t="str">
        <f ca="1">IF(IF(COPIA!$J$3=TRUE,IF(OR(G177&lt;&gt;0,H177&lt;&gt;0),ROUND(SUM(COPIA!$FB$103:FB269),2)-ROUND(SUM(COPIA!$FC$103:FC269),2),""),"")&lt;&gt;0,"",0)</f>
        <v/>
      </c>
      <c r="L177" s="6">
        <f ca="1">IFERROR(IF(AND(INDIRECT(ADDRESS(ROW(),4,,,))&lt;=COPIA!$DA$1,K177=0,COPIA!$EX$1&gt;1,ROW()&lt;=COPIA!$EX$1),MAX($L$10:L176)+1,IF(AND(INDIRECT(ADDRESS(ROW(),4,,,))&lt;=COPIA!$DA$1,K177=0,COPIA!$EX$1=1),MAX($L$10:L176)+1,0)),0)</f>
        <v>0</v>
      </c>
      <c r="M177" s="6">
        <f ca="1">IF(AND(COPIA!$EX$1=1,L177&lt;&gt;0),ROW()-10,IF(AND(COPIA!$EX$1&gt;1,ROW()&gt;COPIA!$EX$1,L177&lt;&gt;0),0,IF(AND(COPIA!$EX$1&gt;1,ROW()&lt;=COPIA!$EX$1,L177&lt;&gt;0),ROW()-10,0)))</f>
        <v>0</v>
      </c>
      <c r="N177" s="6">
        <f ca="1">IF(AND($P$4=0,ROW()-10&lt;=$P$10),MAX($N$10:N176)+1,IF(AND(ROW()-10&gt;$P$10,ROW()-10&lt;=$P$4),ROW()-10,0))</f>
        <v>0</v>
      </c>
      <c r="O177" s="6">
        <f ca="1">IF(N177&gt;0,MAX($O$10:O176)+1,0)</f>
        <v>0</v>
      </c>
      <c r="Q177" s="84"/>
      <c r="R177" s="84"/>
    </row>
    <row r="178" spans="2:18" ht="24" customHeight="1">
      <c r="B178" s="30" t="str">
        <f t="shared" ca="1" si="6"/>
        <v/>
      </c>
      <c r="C178" s="31" t="str">
        <f t="shared" ca="1" si="7"/>
        <v/>
      </c>
      <c r="D178" s="32"/>
      <c r="E178" s="33"/>
      <c r="F178" s="36"/>
      <c r="G178" s="34"/>
      <c r="H178" s="34"/>
      <c r="I178" s="157"/>
      <c r="J178" s="201"/>
      <c r="K178" s="202" t="str">
        <f ca="1">IF(IF(COPIA!$J$3=TRUE,IF(OR(G178&lt;&gt;0,H178&lt;&gt;0),ROUND(SUM(COPIA!$FB$103:FB270),2)-ROUND(SUM(COPIA!$FC$103:FC270),2),""),"")&lt;&gt;0,"",0)</f>
        <v/>
      </c>
      <c r="L178" s="6">
        <f ca="1">IFERROR(IF(AND(INDIRECT(ADDRESS(ROW(),4,,,))&lt;=COPIA!$DA$1,K178=0,COPIA!$EX$1&gt;1,ROW()&lt;=COPIA!$EX$1),MAX($L$10:L177)+1,IF(AND(INDIRECT(ADDRESS(ROW(),4,,,))&lt;=COPIA!$DA$1,K178=0,COPIA!$EX$1=1),MAX($L$10:L177)+1,0)),0)</f>
        <v>0</v>
      </c>
      <c r="M178" s="6">
        <f ca="1">IF(AND(COPIA!$EX$1=1,L178&lt;&gt;0),ROW()-10,IF(AND(COPIA!$EX$1&gt;1,ROW()&gt;COPIA!$EX$1,L178&lt;&gt;0),0,IF(AND(COPIA!$EX$1&gt;1,ROW()&lt;=COPIA!$EX$1,L178&lt;&gt;0),ROW()-10,0)))</f>
        <v>0</v>
      </c>
      <c r="N178" s="6">
        <f ca="1">IF(AND($P$4=0,ROW()-10&lt;=$P$10),MAX($N$10:N177)+1,IF(AND(ROW()-10&gt;$P$10,ROW()-10&lt;=$P$4),ROW()-10,0))</f>
        <v>0</v>
      </c>
      <c r="O178" s="6">
        <f ca="1">IF(N178&gt;0,MAX($O$10:O177)+1,0)</f>
        <v>0</v>
      </c>
      <c r="Q178" s="84"/>
      <c r="R178" s="84"/>
    </row>
    <row r="179" spans="2:18" ht="24" customHeight="1">
      <c r="B179" s="30" t="str">
        <f t="shared" ca="1" si="6"/>
        <v/>
      </c>
      <c r="C179" s="31" t="str">
        <f t="shared" ca="1" si="7"/>
        <v/>
      </c>
      <c r="D179" s="32"/>
      <c r="E179" s="33"/>
      <c r="F179" s="36"/>
      <c r="G179" s="34"/>
      <c r="H179" s="34"/>
      <c r="I179" s="157"/>
      <c r="J179" s="201"/>
      <c r="K179" s="202" t="str">
        <f ca="1">IF(IF(COPIA!$J$3=TRUE,IF(OR(G179&lt;&gt;0,H179&lt;&gt;0),ROUND(SUM(COPIA!$FB$103:FB271),2)-ROUND(SUM(COPIA!$FC$103:FC271),2),""),"")&lt;&gt;0,"",0)</f>
        <v/>
      </c>
      <c r="L179" s="6">
        <f ca="1">IFERROR(IF(AND(INDIRECT(ADDRESS(ROW(),4,,,))&lt;=COPIA!$DA$1,K179=0,COPIA!$EX$1&gt;1,ROW()&lt;=COPIA!$EX$1),MAX($L$10:L178)+1,IF(AND(INDIRECT(ADDRESS(ROW(),4,,,))&lt;=COPIA!$DA$1,K179=0,COPIA!$EX$1=1),MAX($L$10:L178)+1,0)),0)</f>
        <v>0</v>
      </c>
      <c r="M179" s="6">
        <f ca="1">IF(AND(COPIA!$EX$1=1,L179&lt;&gt;0),ROW()-10,IF(AND(COPIA!$EX$1&gt;1,ROW()&gt;COPIA!$EX$1,L179&lt;&gt;0),0,IF(AND(COPIA!$EX$1&gt;1,ROW()&lt;=COPIA!$EX$1,L179&lt;&gt;0),ROW()-10,0)))</f>
        <v>0</v>
      </c>
      <c r="N179" s="6">
        <f ca="1">IF(AND($P$4=0,ROW()-10&lt;=$P$10),MAX($N$10:N178)+1,IF(AND(ROW()-10&gt;$P$10,ROW()-10&lt;=$P$4),ROW()-10,0))</f>
        <v>0</v>
      </c>
      <c r="O179" s="6">
        <f ca="1">IF(N179&gt;0,MAX($O$10:O178)+1,0)</f>
        <v>0</v>
      </c>
      <c r="Q179" s="84"/>
      <c r="R179" s="84"/>
    </row>
    <row r="180" spans="2:18" ht="24" customHeight="1">
      <c r="B180" s="30" t="str">
        <f t="shared" ca="1" si="6"/>
        <v/>
      </c>
      <c r="C180" s="31" t="str">
        <f t="shared" ca="1" si="7"/>
        <v/>
      </c>
      <c r="D180" s="32"/>
      <c r="E180" s="33"/>
      <c r="F180" s="36"/>
      <c r="G180" s="34"/>
      <c r="H180" s="34"/>
      <c r="I180" s="157"/>
      <c r="J180" s="201"/>
      <c r="K180" s="202" t="str">
        <f ca="1">IF(IF(COPIA!$J$3=TRUE,IF(OR(G180&lt;&gt;0,H180&lt;&gt;0),ROUND(SUM(COPIA!$FB$103:FB272),2)-ROUND(SUM(COPIA!$FC$103:FC272),2),""),"")&lt;&gt;0,"",0)</f>
        <v/>
      </c>
      <c r="L180" s="6">
        <f ca="1">IFERROR(IF(AND(INDIRECT(ADDRESS(ROW(),4,,,))&lt;=COPIA!$DA$1,K180=0,COPIA!$EX$1&gt;1,ROW()&lt;=COPIA!$EX$1),MAX($L$10:L179)+1,IF(AND(INDIRECT(ADDRESS(ROW(),4,,,))&lt;=COPIA!$DA$1,K180=0,COPIA!$EX$1=1),MAX($L$10:L179)+1,0)),0)</f>
        <v>0</v>
      </c>
      <c r="M180" s="6">
        <f ca="1">IF(AND(COPIA!$EX$1=1,L180&lt;&gt;0),ROW()-10,IF(AND(COPIA!$EX$1&gt;1,ROW()&gt;COPIA!$EX$1,L180&lt;&gt;0),0,IF(AND(COPIA!$EX$1&gt;1,ROW()&lt;=COPIA!$EX$1,L180&lt;&gt;0),ROW()-10,0)))</f>
        <v>0</v>
      </c>
      <c r="N180" s="6">
        <f ca="1">IF(AND($P$4=0,ROW()-10&lt;=$P$10),MAX($N$10:N179)+1,IF(AND(ROW()-10&gt;$P$10,ROW()-10&lt;=$P$4),ROW()-10,0))</f>
        <v>0</v>
      </c>
      <c r="O180" s="6">
        <f ca="1">IF(N180&gt;0,MAX($O$10:O179)+1,0)</f>
        <v>0</v>
      </c>
      <c r="Q180" s="84"/>
      <c r="R180" s="84"/>
    </row>
    <row r="181" spans="2:18" ht="24" customHeight="1">
      <c r="B181" s="30" t="str">
        <f t="shared" ca="1" si="6"/>
        <v/>
      </c>
      <c r="C181" s="31" t="str">
        <f t="shared" ca="1" si="7"/>
        <v/>
      </c>
      <c r="D181" s="32"/>
      <c r="E181" s="33"/>
      <c r="F181" s="36"/>
      <c r="G181" s="34"/>
      <c r="H181" s="34"/>
      <c r="I181" s="157"/>
      <c r="J181" s="201"/>
      <c r="K181" s="202" t="str">
        <f ca="1">IF(IF(COPIA!$J$3=TRUE,IF(OR(G181&lt;&gt;0,H181&lt;&gt;0),ROUND(SUM(COPIA!$FB$103:FB273),2)-ROUND(SUM(COPIA!$FC$103:FC273),2),""),"")&lt;&gt;0,"",0)</f>
        <v/>
      </c>
      <c r="L181" s="6">
        <f ca="1">IFERROR(IF(AND(INDIRECT(ADDRESS(ROW(),4,,,))&lt;=COPIA!$DA$1,K181=0,COPIA!$EX$1&gt;1,ROW()&lt;=COPIA!$EX$1),MAX($L$10:L180)+1,IF(AND(INDIRECT(ADDRESS(ROW(),4,,,))&lt;=COPIA!$DA$1,K181=0,COPIA!$EX$1=1),MAX($L$10:L180)+1,0)),0)</f>
        <v>0</v>
      </c>
      <c r="M181" s="6">
        <f ca="1">IF(AND(COPIA!$EX$1=1,L181&lt;&gt;0),ROW()-10,IF(AND(COPIA!$EX$1&gt;1,ROW()&gt;COPIA!$EX$1,L181&lt;&gt;0),0,IF(AND(COPIA!$EX$1&gt;1,ROW()&lt;=COPIA!$EX$1,L181&lt;&gt;0),ROW()-10,0)))</f>
        <v>0</v>
      </c>
      <c r="N181" s="6">
        <f ca="1">IF(AND($P$4=0,ROW()-10&lt;=$P$10),MAX($N$10:N180)+1,IF(AND(ROW()-10&gt;$P$10,ROW()-10&lt;=$P$4),ROW()-10,0))</f>
        <v>0</v>
      </c>
      <c r="O181" s="6">
        <f ca="1">IF(N181&gt;0,MAX($O$10:O180)+1,0)</f>
        <v>0</v>
      </c>
      <c r="Q181" s="84"/>
      <c r="R181" s="84"/>
    </row>
    <row r="182" spans="2:18" ht="24" customHeight="1">
      <c r="B182" s="30" t="str">
        <f t="shared" ca="1" si="6"/>
        <v/>
      </c>
      <c r="C182" s="31" t="str">
        <f t="shared" ca="1" si="7"/>
        <v/>
      </c>
      <c r="D182" s="32"/>
      <c r="E182" s="33"/>
      <c r="F182" s="36"/>
      <c r="G182" s="34"/>
      <c r="H182" s="34"/>
      <c r="I182" s="157"/>
      <c r="J182" s="201"/>
      <c r="K182" s="202" t="str">
        <f ca="1">IF(IF(COPIA!$J$3=TRUE,IF(OR(G182&lt;&gt;0,H182&lt;&gt;0),ROUND(SUM(COPIA!$FB$103:FB274),2)-ROUND(SUM(COPIA!$FC$103:FC274),2),""),"")&lt;&gt;0,"",0)</f>
        <v/>
      </c>
      <c r="L182" s="6">
        <f ca="1">IFERROR(IF(AND(INDIRECT(ADDRESS(ROW(),4,,,))&lt;=COPIA!$DA$1,K182=0,COPIA!$EX$1&gt;1,ROW()&lt;=COPIA!$EX$1),MAX($L$10:L181)+1,IF(AND(INDIRECT(ADDRESS(ROW(),4,,,))&lt;=COPIA!$DA$1,K182=0,COPIA!$EX$1=1),MAX($L$10:L181)+1,0)),0)</f>
        <v>0</v>
      </c>
      <c r="M182" s="6">
        <f ca="1">IF(AND(COPIA!$EX$1=1,L182&lt;&gt;0),ROW()-10,IF(AND(COPIA!$EX$1&gt;1,ROW()&gt;COPIA!$EX$1,L182&lt;&gt;0),0,IF(AND(COPIA!$EX$1&gt;1,ROW()&lt;=COPIA!$EX$1,L182&lt;&gt;0),ROW()-10,0)))</f>
        <v>0</v>
      </c>
      <c r="N182" s="6">
        <f ca="1">IF(AND($P$4=0,ROW()-10&lt;=$P$10),MAX($N$10:N181)+1,IF(AND(ROW()-10&gt;$P$10,ROW()-10&lt;=$P$4),ROW()-10,0))</f>
        <v>0</v>
      </c>
      <c r="O182" s="6">
        <f ca="1">IF(N182&gt;0,MAX($O$10:O181)+1,0)</f>
        <v>0</v>
      </c>
      <c r="Q182" s="84"/>
      <c r="R182" s="84"/>
    </row>
    <row r="183" spans="2:18" ht="24" customHeight="1">
      <c r="B183" s="30" t="str">
        <f t="shared" ca="1" si="6"/>
        <v/>
      </c>
      <c r="C183" s="31" t="str">
        <f t="shared" ca="1" si="7"/>
        <v/>
      </c>
      <c r="D183" s="32"/>
      <c r="E183" s="33"/>
      <c r="F183" s="36"/>
      <c r="G183" s="34"/>
      <c r="H183" s="34"/>
      <c r="I183" s="157"/>
      <c r="J183" s="201"/>
      <c r="K183" s="202" t="str">
        <f ca="1">IF(IF(COPIA!$J$3=TRUE,IF(OR(G183&lt;&gt;0,H183&lt;&gt;0),ROUND(SUM(COPIA!$FB$103:FB275),2)-ROUND(SUM(COPIA!$FC$103:FC275),2),""),"")&lt;&gt;0,"",0)</f>
        <v/>
      </c>
      <c r="L183" s="6">
        <f ca="1">IFERROR(IF(AND(INDIRECT(ADDRESS(ROW(),4,,,))&lt;=COPIA!$DA$1,K183=0,COPIA!$EX$1&gt;1,ROW()&lt;=COPIA!$EX$1),MAX($L$10:L182)+1,IF(AND(INDIRECT(ADDRESS(ROW(),4,,,))&lt;=COPIA!$DA$1,K183=0,COPIA!$EX$1=1),MAX($L$10:L182)+1,0)),0)</f>
        <v>0</v>
      </c>
      <c r="M183" s="6">
        <f ca="1">IF(AND(COPIA!$EX$1=1,L183&lt;&gt;0),ROW()-10,IF(AND(COPIA!$EX$1&gt;1,ROW()&gt;COPIA!$EX$1,L183&lt;&gt;0),0,IF(AND(COPIA!$EX$1&gt;1,ROW()&lt;=COPIA!$EX$1,L183&lt;&gt;0),ROW()-10,0)))</f>
        <v>0</v>
      </c>
      <c r="N183" s="6">
        <f ca="1">IF(AND($P$4=0,ROW()-10&lt;=$P$10),MAX($N$10:N182)+1,IF(AND(ROW()-10&gt;$P$10,ROW()-10&lt;=$P$4),ROW()-10,0))</f>
        <v>0</v>
      </c>
      <c r="O183" s="6">
        <f ca="1">IF(N183&gt;0,MAX($O$10:O182)+1,0)</f>
        <v>0</v>
      </c>
      <c r="Q183" s="84"/>
      <c r="R183" s="84"/>
    </row>
    <row r="184" spans="2:18" ht="24" customHeight="1">
      <c r="B184" s="30" t="str">
        <f t="shared" ca="1" si="6"/>
        <v/>
      </c>
      <c r="C184" s="31" t="str">
        <f t="shared" ca="1" si="7"/>
        <v/>
      </c>
      <c r="D184" s="32"/>
      <c r="E184" s="33"/>
      <c r="F184" s="36"/>
      <c r="G184" s="34"/>
      <c r="H184" s="34"/>
      <c r="I184" s="157"/>
      <c r="J184" s="201"/>
      <c r="K184" s="202" t="str">
        <f ca="1">IF(IF(COPIA!$J$3=TRUE,IF(OR(G184&lt;&gt;0,H184&lt;&gt;0),ROUND(SUM(COPIA!$FB$103:FB276),2)-ROUND(SUM(COPIA!$FC$103:FC276),2),""),"")&lt;&gt;0,"",0)</f>
        <v/>
      </c>
      <c r="L184" s="6">
        <f ca="1">IFERROR(IF(AND(INDIRECT(ADDRESS(ROW(),4,,,))&lt;=COPIA!$DA$1,K184=0,COPIA!$EX$1&gt;1,ROW()&lt;=COPIA!$EX$1),MAX($L$10:L183)+1,IF(AND(INDIRECT(ADDRESS(ROW(),4,,,))&lt;=COPIA!$DA$1,K184=0,COPIA!$EX$1=1),MAX($L$10:L183)+1,0)),0)</f>
        <v>0</v>
      </c>
      <c r="M184" s="6">
        <f ca="1">IF(AND(COPIA!$EX$1=1,L184&lt;&gt;0),ROW()-10,IF(AND(COPIA!$EX$1&gt;1,ROW()&gt;COPIA!$EX$1,L184&lt;&gt;0),0,IF(AND(COPIA!$EX$1&gt;1,ROW()&lt;=COPIA!$EX$1,L184&lt;&gt;0),ROW()-10,0)))</f>
        <v>0</v>
      </c>
      <c r="N184" s="6">
        <f ca="1">IF(AND($P$4=0,ROW()-10&lt;=$P$10),MAX($N$10:N183)+1,IF(AND(ROW()-10&gt;$P$10,ROW()-10&lt;=$P$4),ROW()-10,0))</f>
        <v>0</v>
      </c>
      <c r="O184" s="6">
        <f ca="1">IF(N184&gt;0,MAX($O$10:O183)+1,0)</f>
        <v>0</v>
      </c>
      <c r="Q184" s="84"/>
      <c r="R184" s="84"/>
    </row>
    <row r="185" spans="2:18" ht="24" customHeight="1">
      <c r="B185" s="30" t="str">
        <f t="shared" ca="1" si="6"/>
        <v/>
      </c>
      <c r="C185" s="31" t="str">
        <f t="shared" ca="1" si="7"/>
        <v/>
      </c>
      <c r="D185" s="32"/>
      <c r="E185" s="33"/>
      <c r="F185" s="36"/>
      <c r="G185" s="34"/>
      <c r="H185" s="34"/>
      <c r="I185" s="157"/>
      <c r="J185" s="201"/>
      <c r="K185" s="202" t="str">
        <f ca="1">IF(IF(COPIA!$J$3=TRUE,IF(OR(G185&lt;&gt;0,H185&lt;&gt;0),ROUND(SUM(COPIA!$FB$103:FB277),2)-ROUND(SUM(COPIA!$FC$103:FC277),2),""),"")&lt;&gt;0,"",0)</f>
        <v/>
      </c>
      <c r="L185" s="6">
        <f ca="1">IFERROR(IF(AND(INDIRECT(ADDRESS(ROW(),4,,,))&lt;=COPIA!$DA$1,K185=0,COPIA!$EX$1&gt;1,ROW()&lt;=COPIA!$EX$1),MAX($L$10:L184)+1,IF(AND(INDIRECT(ADDRESS(ROW(),4,,,))&lt;=COPIA!$DA$1,K185=0,COPIA!$EX$1=1),MAX($L$10:L184)+1,0)),0)</f>
        <v>0</v>
      </c>
      <c r="M185" s="6">
        <f ca="1">IF(AND(COPIA!$EX$1=1,L185&lt;&gt;0),ROW()-10,IF(AND(COPIA!$EX$1&gt;1,ROW()&gt;COPIA!$EX$1,L185&lt;&gt;0),0,IF(AND(COPIA!$EX$1&gt;1,ROW()&lt;=COPIA!$EX$1,L185&lt;&gt;0),ROW()-10,0)))</f>
        <v>0</v>
      </c>
      <c r="N185" s="6">
        <f ca="1">IF(AND($P$4=0,ROW()-10&lt;=$P$10),MAX($N$10:N184)+1,IF(AND(ROW()-10&gt;$P$10,ROW()-10&lt;=$P$4),ROW()-10,0))</f>
        <v>0</v>
      </c>
      <c r="O185" s="6">
        <f ca="1">IF(N185&gt;0,MAX($O$10:O184)+1,0)</f>
        <v>0</v>
      </c>
      <c r="Q185" s="84"/>
      <c r="R185" s="84"/>
    </row>
    <row r="186" spans="2:18" ht="24" customHeight="1">
      <c r="B186" s="30" t="str">
        <f t="shared" ca="1" si="6"/>
        <v/>
      </c>
      <c r="C186" s="31" t="str">
        <f t="shared" ca="1" si="7"/>
        <v/>
      </c>
      <c r="D186" s="32"/>
      <c r="E186" s="33"/>
      <c r="F186" s="36"/>
      <c r="G186" s="34"/>
      <c r="H186" s="34"/>
      <c r="I186" s="157"/>
      <c r="J186" s="201"/>
      <c r="K186" s="202" t="str">
        <f ca="1">IF(IF(COPIA!$J$3=TRUE,IF(OR(G186&lt;&gt;0,H186&lt;&gt;0),ROUND(SUM(COPIA!$FB$103:FB278),2)-ROUND(SUM(COPIA!$FC$103:FC278),2),""),"")&lt;&gt;0,"",0)</f>
        <v/>
      </c>
      <c r="L186" s="6">
        <f ca="1">IFERROR(IF(AND(INDIRECT(ADDRESS(ROW(),4,,,))&lt;=COPIA!$DA$1,K186=0,COPIA!$EX$1&gt;1,ROW()&lt;=COPIA!$EX$1),MAX($L$10:L185)+1,IF(AND(INDIRECT(ADDRESS(ROW(),4,,,))&lt;=COPIA!$DA$1,K186=0,COPIA!$EX$1=1),MAX($L$10:L185)+1,0)),0)</f>
        <v>0</v>
      </c>
      <c r="M186" s="6">
        <f ca="1">IF(AND(COPIA!$EX$1=1,L186&lt;&gt;0),ROW()-10,IF(AND(COPIA!$EX$1&gt;1,ROW()&gt;COPIA!$EX$1,L186&lt;&gt;0),0,IF(AND(COPIA!$EX$1&gt;1,ROW()&lt;=COPIA!$EX$1,L186&lt;&gt;0),ROW()-10,0)))</f>
        <v>0</v>
      </c>
      <c r="N186" s="6">
        <f ca="1">IF(AND($P$4=0,ROW()-10&lt;=$P$10),MAX($N$10:N185)+1,IF(AND(ROW()-10&gt;$P$10,ROW()-10&lt;=$P$4),ROW()-10,0))</f>
        <v>0</v>
      </c>
      <c r="O186" s="6">
        <f ca="1">IF(N186&gt;0,MAX($O$10:O185)+1,0)</f>
        <v>0</v>
      </c>
      <c r="Q186" s="84"/>
      <c r="R186" s="84"/>
    </row>
    <row r="187" spans="2:18" ht="24" customHeight="1">
      <c r="B187" s="30" t="str">
        <f t="shared" ca="1" si="6"/>
        <v/>
      </c>
      <c r="C187" s="31" t="str">
        <f t="shared" ca="1" si="7"/>
        <v/>
      </c>
      <c r="D187" s="32"/>
      <c r="E187" s="33"/>
      <c r="F187" s="36"/>
      <c r="G187" s="34"/>
      <c r="H187" s="34"/>
      <c r="I187" s="157"/>
      <c r="J187" s="201"/>
      <c r="K187" s="202" t="str">
        <f ca="1">IF(IF(COPIA!$J$3=TRUE,IF(OR(G187&lt;&gt;0,H187&lt;&gt;0),ROUND(SUM(COPIA!$FB$103:FB279),2)-ROUND(SUM(COPIA!$FC$103:FC279),2),""),"")&lt;&gt;0,"",0)</f>
        <v/>
      </c>
      <c r="L187" s="6">
        <f ca="1">IFERROR(IF(AND(INDIRECT(ADDRESS(ROW(),4,,,))&lt;=COPIA!$DA$1,K187=0,COPIA!$EX$1&gt;1,ROW()&lt;=COPIA!$EX$1),MAX($L$10:L186)+1,IF(AND(INDIRECT(ADDRESS(ROW(),4,,,))&lt;=COPIA!$DA$1,K187=0,COPIA!$EX$1=1),MAX($L$10:L186)+1,0)),0)</f>
        <v>0</v>
      </c>
      <c r="M187" s="6">
        <f ca="1">IF(AND(COPIA!$EX$1=1,L187&lt;&gt;0),ROW()-10,IF(AND(COPIA!$EX$1&gt;1,ROW()&gt;COPIA!$EX$1,L187&lt;&gt;0),0,IF(AND(COPIA!$EX$1&gt;1,ROW()&lt;=COPIA!$EX$1,L187&lt;&gt;0),ROW()-10,0)))</f>
        <v>0</v>
      </c>
      <c r="N187" s="6">
        <f ca="1">IF(AND($P$4=0,ROW()-10&lt;=$P$10),MAX($N$10:N186)+1,IF(AND(ROW()-10&gt;$P$10,ROW()-10&lt;=$P$4),ROW()-10,0))</f>
        <v>0</v>
      </c>
      <c r="O187" s="6">
        <f ca="1">IF(N187&gt;0,MAX($O$10:O186)+1,0)</f>
        <v>0</v>
      </c>
      <c r="Q187" s="84"/>
      <c r="R187" s="84"/>
    </row>
    <row r="188" spans="2:18" ht="24" customHeight="1">
      <c r="B188" s="30" t="str">
        <f t="shared" ca="1" si="6"/>
        <v/>
      </c>
      <c r="C188" s="31" t="str">
        <f t="shared" ca="1" si="7"/>
        <v/>
      </c>
      <c r="D188" s="32"/>
      <c r="E188" s="33"/>
      <c r="F188" s="36"/>
      <c r="G188" s="34"/>
      <c r="H188" s="34"/>
      <c r="I188" s="157"/>
      <c r="J188" s="201"/>
      <c r="K188" s="202" t="str">
        <f ca="1">IF(IF(COPIA!$J$3=TRUE,IF(OR(G188&lt;&gt;0,H188&lt;&gt;0),ROUND(SUM(COPIA!$FB$103:FB280),2)-ROUND(SUM(COPIA!$FC$103:FC280),2),""),"")&lt;&gt;0,"",0)</f>
        <v/>
      </c>
      <c r="L188" s="6">
        <f ca="1">IFERROR(IF(AND(INDIRECT(ADDRESS(ROW(),4,,,))&lt;=COPIA!$DA$1,K188=0,COPIA!$EX$1&gt;1,ROW()&lt;=COPIA!$EX$1),MAX($L$10:L187)+1,IF(AND(INDIRECT(ADDRESS(ROW(),4,,,))&lt;=COPIA!$DA$1,K188=0,COPIA!$EX$1=1),MAX($L$10:L187)+1,0)),0)</f>
        <v>0</v>
      </c>
      <c r="M188" s="6">
        <f ca="1">IF(AND(COPIA!$EX$1=1,L188&lt;&gt;0),ROW()-10,IF(AND(COPIA!$EX$1&gt;1,ROW()&gt;COPIA!$EX$1,L188&lt;&gt;0),0,IF(AND(COPIA!$EX$1&gt;1,ROW()&lt;=COPIA!$EX$1,L188&lt;&gt;0),ROW()-10,0)))</f>
        <v>0</v>
      </c>
      <c r="N188" s="6">
        <f ca="1">IF(AND($P$4=0,ROW()-10&lt;=$P$10),MAX($N$10:N187)+1,IF(AND(ROW()-10&gt;$P$10,ROW()-10&lt;=$P$4),ROW()-10,0))</f>
        <v>0</v>
      </c>
      <c r="O188" s="6">
        <f ca="1">IF(N188&gt;0,MAX($O$10:O187)+1,0)</f>
        <v>0</v>
      </c>
      <c r="Q188" s="84"/>
      <c r="R188" s="84"/>
    </row>
    <row r="189" spans="2:18" ht="24" customHeight="1">
      <c r="B189" s="30" t="str">
        <f t="shared" ca="1" si="6"/>
        <v/>
      </c>
      <c r="C189" s="31" t="str">
        <f t="shared" ca="1" si="7"/>
        <v/>
      </c>
      <c r="D189" s="32"/>
      <c r="E189" s="33"/>
      <c r="F189" s="36"/>
      <c r="G189" s="34"/>
      <c r="H189" s="34"/>
      <c r="I189" s="157"/>
      <c r="J189" s="201"/>
      <c r="K189" s="202" t="str">
        <f ca="1">IF(IF(COPIA!$J$3=TRUE,IF(OR(G189&lt;&gt;0,H189&lt;&gt;0),ROUND(SUM(COPIA!$FB$103:FB281),2)-ROUND(SUM(COPIA!$FC$103:FC281),2),""),"")&lt;&gt;0,"",0)</f>
        <v/>
      </c>
      <c r="L189" s="6">
        <f ca="1">IFERROR(IF(AND(INDIRECT(ADDRESS(ROW(),4,,,))&lt;=COPIA!$DA$1,K189=0,COPIA!$EX$1&gt;1,ROW()&lt;=COPIA!$EX$1),MAX($L$10:L188)+1,IF(AND(INDIRECT(ADDRESS(ROW(),4,,,))&lt;=COPIA!$DA$1,K189=0,COPIA!$EX$1=1),MAX($L$10:L188)+1,0)),0)</f>
        <v>0</v>
      </c>
      <c r="M189" s="6">
        <f ca="1">IF(AND(COPIA!$EX$1=1,L189&lt;&gt;0),ROW()-10,IF(AND(COPIA!$EX$1&gt;1,ROW()&gt;COPIA!$EX$1,L189&lt;&gt;0),0,IF(AND(COPIA!$EX$1&gt;1,ROW()&lt;=COPIA!$EX$1,L189&lt;&gt;0),ROW()-10,0)))</f>
        <v>0</v>
      </c>
      <c r="N189" s="6">
        <f ca="1">IF(AND($P$4=0,ROW()-10&lt;=$P$10),MAX($N$10:N188)+1,IF(AND(ROW()-10&gt;$P$10,ROW()-10&lt;=$P$4),ROW()-10,0))</f>
        <v>0</v>
      </c>
      <c r="O189" s="6">
        <f ca="1">IF(N189&gt;0,MAX($O$10:O188)+1,0)</f>
        <v>0</v>
      </c>
      <c r="Q189" s="84"/>
      <c r="R189" s="84"/>
    </row>
    <row r="190" spans="2:18" ht="24" customHeight="1">
      <c r="B190" s="30" t="str">
        <f t="shared" ca="1" si="6"/>
        <v/>
      </c>
      <c r="C190" s="31" t="str">
        <f t="shared" ca="1" si="7"/>
        <v/>
      </c>
      <c r="D190" s="32"/>
      <c r="E190" s="33"/>
      <c r="F190" s="36"/>
      <c r="G190" s="34"/>
      <c r="H190" s="34"/>
      <c r="I190" s="157"/>
      <c r="J190" s="201"/>
      <c r="K190" s="202" t="str">
        <f ca="1">IF(IF(COPIA!$J$3=TRUE,IF(OR(G190&lt;&gt;0,H190&lt;&gt;0),ROUND(SUM(COPIA!$FB$103:FB282),2)-ROUND(SUM(COPIA!$FC$103:FC282),2),""),"")&lt;&gt;0,"",0)</f>
        <v/>
      </c>
      <c r="L190" s="6">
        <f ca="1">IFERROR(IF(AND(INDIRECT(ADDRESS(ROW(),4,,,))&lt;=COPIA!$DA$1,K190=0,COPIA!$EX$1&gt;1,ROW()&lt;=COPIA!$EX$1),MAX($L$10:L189)+1,IF(AND(INDIRECT(ADDRESS(ROW(),4,,,))&lt;=COPIA!$DA$1,K190=0,COPIA!$EX$1=1),MAX($L$10:L189)+1,0)),0)</f>
        <v>0</v>
      </c>
      <c r="M190" s="6">
        <f ca="1">IF(AND(COPIA!$EX$1=1,L190&lt;&gt;0),ROW()-10,IF(AND(COPIA!$EX$1&gt;1,ROW()&gt;COPIA!$EX$1,L190&lt;&gt;0),0,IF(AND(COPIA!$EX$1&gt;1,ROW()&lt;=COPIA!$EX$1,L190&lt;&gt;0),ROW()-10,0)))</f>
        <v>0</v>
      </c>
      <c r="N190" s="6">
        <f ca="1">IF(AND($P$4=0,ROW()-10&lt;=$P$10),MAX($N$10:N189)+1,IF(AND(ROW()-10&gt;$P$10,ROW()-10&lt;=$P$4),ROW()-10,0))</f>
        <v>0</v>
      </c>
      <c r="O190" s="6">
        <f ca="1">IF(N190&gt;0,MAX($O$10:O189)+1,0)</f>
        <v>0</v>
      </c>
      <c r="Q190" s="84"/>
      <c r="R190" s="84"/>
    </row>
    <row r="191" spans="2:18" ht="24" customHeight="1">
      <c r="B191" s="30" t="str">
        <f t="shared" ca="1" si="6"/>
        <v/>
      </c>
      <c r="C191" s="31" t="str">
        <f t="shared" ca="1" si="7"/>
        <v/>
      </c>
      <c r="D191" s="32"/>
      <c r="E191" s="33"/>
      <c r="F191" s="36"/>
      <c r="G191" s="34"/>
      <c r="H191" s="34"/>
      <c r="I191" s="157"/>
      <c r="J191" s="201"/>
      <c r="K191" s="202" t="str">
        <f ca="1">IF(IF(COPIA!$J$3=TRUE,IF(OR(G191&lt;&gt;0,H191&lt;&gt;0),ROUND(SUM(COPIA!$FB$103:FB283),2)-ROUND(SUM(COPIA!$FC$103:FC283),2),""),"")&lt;&gt;0,"",0)</f>
        <v/>
      </c>
      <c r="L191" s="6">
        <f ca="1">IFERROR(IF(AND(INDIRECT(ADDRESS(ROW(),4,,,))&lt;=COPIA!$DA$1,K191=0,COPIA!$EX$1&gt;1,ROW()&lt;=COPIA!$EX$1),MAX($L$10:L190)+1,IF(AND(INDIRECT(ADDRESS(ROW(),4,,,))&lt;=COPIA!$DA$1,K191=0,COPIA!$EX$1=1),MAX($L$10:L190)+1,0)),0)</f>
        <v>0</v>
      </c>
      <c r="M191" s="6">
        <f ca="1">IF(AND(COPIA!$EX$1=1,L191&lt;&gt;0),ROW()-10,IF(AND(COPIA!$EX$1&gt;1,ROW()&gt;COPIA!$EX$1,L191&lt;&gt;0),0,IF(AND(COPIA!$EX$1&gt;1,ROW()&lt;=COPIA!$EX$1,L191&lt;&gt;0),ROW()-10,0)))</f>
        <v>0</v>
      </c>
      <c r="N191" s="6">
        <f ca="1">IF(AND($P$4=0,ROW()-10&lt;=$P$10),MAX($N$10:N190)+1,IF(AND(ROW()-10&gt;$P$10,ROW()-10&lt;=$P$4),ROW()-10,0))</f>
        <v>0</v>
      </c>
      <c r="O191" s="6">
        <f ca="1">IF(N191&gt;0,MAX($O$10:O190)+1,0)</f>
        <v>0</v>
      </c>
      <c r="Q191" s="84"/>
      <c r="R191" s="84"/>
    </row>
    <row r="192" spans="2:18" ht="24" customHeight="1">
      <c r="B192" s="30" t="str">
        <f t="shared" ca="1" si="6"/>
        <v/>
      </c>
      <c r="C192" s="31" t="str">
        <f t="shared" ca="1" si="7"/>
        <v/>
      </c>
      <c r="D192" s="32"/>
      <c r="E192" s="33"/>
      <c r="F192" s="36"/>
      <c r="G192" s="34"/>
      <c r="H192" s="34"/>
      <c r="I192" s="157"/>
      <c r="J192" s="201"/>
      <c r="K192" s="202" t="str">
        <f ca="1">IF(IF(COPIA!$J$3=TRUE,IF(OR(G192&lt;&gt;0,H192&lt;&gt;0),ROUND(SUM(COPIA!$FB$103:FB284),2)-ROUND(SUM(COPIA!$FC$103:FC284),2),""),"")&lt;&gt;0,"",0)</f>
        <v/>
      </c>
      <c r="L192" s="6">
        <f ca="1">IFERROR(IF(AND(INDIRECT(ADDRESS(ROW(),4,,,))&lt;=COPIA!$DA$1,K192=0,COPIA!$EX$1&gt;1,ROW()&lt;=COPIA!$EX$1),MAX($L$10:L191)+1,IF(AND(INDIRECT(ADDRESS(ROW(),4,,,))&lt;=COPIA!$DA$1,K192=0,COPIA!$EX$1=1),MAX($L$10:L191)+1,0)),0)</f>
        <v>0</v>
      </c>
      <c r="M192" s="6">
        <f ca="1">IF(AND(COPIA!$EX$1=1,L192&lt;&gt;0),ROW()-10,IF(AND(COPIA!$EX$1&gt;1,ROW()&gt;COPIA!$EX$1,L192&lt;&gt;0),0,IF(AND(COPIA!$EX$1&gt;1,ROW()&lt;=COPIA!$EX$1,L192&lt;&gt;0),ROW()-10,0)))</f>
        <v>0</v>
      </c>
      <c r="N192" s="6">
        <f ca="1">IF(AND($P$4=0,ROW()-10&lt;=$P$10),MAX($N$10:N191)+1,IF(AND(ROW()-10&gt;$P$10,ROW()-10&lt;=$P$4),ROW()-10,0))</f>
        <v>0</v>
      </c>
      <c r="O192" s="6">
        <f ca="1">IF(N192&gt;0,MAX($O$10:O191)+1,0)</f>
        <v>0</v>
      </c>
      <c r="Q192" s="84"/>
      <c r="R192" s="84"/>
    </row>
    <row r="193" spans="2:18" ht="24" customHeight="1">
      <c r="B193" s="30" t="str">
        <f t="shared" ca="1" si="6"/>
        <v/>
      </c>
      <c r="C193" s="31" t="str">
        <f t="shared" ca="1" si="7"/>
        <v/>
      </c>
      <c r="D193" s="32"/>
      <c r="E193" s="33"/>
      <c r="F193" s="36"/>
      <c r="G193" s="34"/>
      <c r="H193" s="34"/>
      <c r="I193" s="157"/>
      <c r="J193" s="201"/>
      <c r="K193" s="202" t="str">
        <f ca="1">IF(IF(COPIA!$J$3=TRUE,IF(OR(G193&lt;&gt;0,H193&lt;&gt;0),ROUND(SUM(COPIA!$FB$103:FB285),2)-ROUND(SUM(COPIA!$FC$103:FC285),2),""),"")&lt;&gt;0,"",0)</f>
        <v/>
      </c>
      <c r="L193" s="6">
        <f ca="1">IFERROR(IF(AND(INDIRECT(ADDRESS(ROW(),4,,,))&lt;=COPIA!$DA$1,K193=0,COPIA!$EX$1&gt;1,ROW()&lt;=COPIA!$EX$1),MAX($L$10:L192)+1,IF(AND(INDIRECT(ADDRESS(ROW(),4,,,))&lt;=COPIA!$DA$1,K193=0,COPIA!$EX$1=1),MAX($L$10:L192)+1,0)),0)</f>
        <v>0</v>
      </c>
      <c r="M193" s="6">
        <f ca="1">IF(AND(COPIA!$EX$1=1,L193&lt;&gt;0),ROW()-10,IF(AND(COPIA!$EX$1&gt;1,ROW()&gt;COPIA!$EX$1,L193&lt;&gt;0),0,IF(AND(COPIA!$EX$1&gt;1,ROW()&lt;=COPIA!$EX$1,L193&lt;&gt;0),ROW()-10,0)))</f>
        <v>0</v>
      </c>
      <c r="N193" s="6">
        <f ca="1">IF(AND($P$4=0,ROW()-10&lt;=$P$10),MAX($N$10:N192)+1,IF(AND(ROW()-10&gt;$P$10,ROW()-10&lt;=$P$4),ROW()-10,0))</f>
        <v>0</v>
      </c>
      <c r="O193" s="6">
        <f ca="1">IF(N193&gt;0,MAX($O$10:O192)+1,0)</f>
        <v>0</v>
      </c>
      <c r="Q193" s="84"/>
      <c r="R193" s="84"/>
    </row>
    <row r="194" spans="2:18" ht="24" customHeight="1">
      <c r="B194" s="30" t="str">
        <f t="shared" ca="1" si="6"/>
        <v/>
      </c>
      <c r="C194" s="31" t="str">
        <f t="shared" ca="1" si="7"/>
        <v/>
      </c>
      <c r="D194" s="32"/>
      <c r="E194" s="33"/>
      <c r="F194" s="36"/>
      <c r="G194" s="34"/>
      <c r="H194" s="34"/>
      <c r="I194" s="157"/>
      <c r="J194" s="201"/>
      <c r="K194" s="202" t="str">
        <f ca="1">IF(IF(COPIA!$J$3=TRUE,IF(OR(G194&lt;&gt;0,H194&lt;&gt;0),ROUND(SUM(COPIA!$FB$103:FB286),2)-ROUND(SUM(COPIA!$FC$103:FC286),2),""),"")&lt;&gt;0,"",0)</f>
        <v/>
      </c>
      <c r="L194" s="6">
        <f ca="1">IFERROR(IF(AND(INDIRECT(ADDRESS(ROW(),4,,,))&lt;=COPIA!$DA$1,K194=0,COPIA!$EX$1&gt;1,ROW()&lt;=COPIA!$EX$1),MAX($L$10:L193)+1,IF(AND(INDIRECT(ADDRESS(ROW(),4,,,))&lt;=COPIA!$DA$1,K194=0,COPIA!$EX$1=1),MAX($L$10:L193)+1,0)),0)</f>
        <v>0</v>
      </c>
      <c r="M194" s="6">
        <f ca="1">IF(AND(COPIA!$EX$1=1,L194&lt;&gt;0),ROW()-10,IF(AND(COPIA!$EX$1&gt;1,ROW()&gt;COPIA!$EX$1,L194&lt;&gt;0),0,IF(AND(COPIA!$EX$1&gt;1,ROW()&lt;=COPIA!$EX$1,L194&lt;&gt;0),ROW()-10,0)))</f>
        <v>0</v>
      </c>
      <c r="N194" s="6">
        <f ca="1">IF(AND($P$4=0,ROW()-10&lt;=$P$10),MAX($N$10:N193)+1,IF(AND(ROW()-10&gt;$P$10,ROW()-10&lt;=$P$4),ROW()-10,0))</f>
        <v>0</v>
      </c>
      <c r="O194" s="6">
        <f ca="1">IF(N194&gt;0,MAX($O$10:O193)+1,0)</f>
        <v>0</v>
      </c>
      <c r="Q194" s="84"/>
      <c r="R194" s="84"/>
    </row>
    <row r="195" spans="2:18" ht="24" customHeight="1">
      <c r="B195" s="30" t="str">
        <f t="shared" ca="1" si="6"/>
        <v/>
      </c>
      <c r="C195" s="31" t="str">
        <f t="shared" ca="1" si="7"/>
        <v/>
      </c>
      <c r="D195" s="32"/>
      <c r="E195" s="33"/>
      <c r="F195" s="36"/>
      <c r="G195" s="34"/>
      <c r="H195" s="34"/>
      <c r="I195" s="157"/>
      <c r="J195" s="201"/>
      <c r="K195" s="202" t="str">
        <f ca="1">IF(IF(COPIA!$J$3=TRUE,IF(OR(G195&lt;&gt;0,H195&lt;&gt;0),ROUND(SUM(COPIA!$FB$103:FB287),2)-ROUND(SUM(COPIA!$FC$103:FC287),2),""),"")&lt;&gt;0,"",0)</f>
        <v/>
      </c>
      <c r="L195" s="6">
        <f ca="1">IFERROR(IF(AND(INDIRECT(ADDRESS(ROW(),4,,,))&lt;=COPIA!$DA$1,K195=0,COPIA!$EX$1&gt;1,ROW()&lt;=COPIA!$EX$1),MAX($L$10:L194)+1,IF(AND(INDIRECT(ADDRESS(ROW(),4,,,))&lt;=COPIA!$DA$1,K195=0,COPIA!$EX$1=1),MAX($L$10:L194)+1,0)),0)</f>
        <v>0</v>
      </c>
      <c r="M195" s="6">
        <f ca="1">IF(AND(COPIA!$EX$1=1,L195&lt;&gt;0),ROW()-10,IF(AND(COPIA!$EX$1&gt;1,ROW()&gt;COPIA!$EX$1,L195&lt;&gt;0),0,IF(AND(COPIA!$EX$1&gt;1,ROW()&lt;=COPIA!$EX$1,L195&lt;&gt;0),ROW()-10,0)))</f>
        <v>0</v>
      </c>
      <c r="N195" s="6">
        <f ca="1">IF(AND($P$4=0,ROW()-10&lt;=$P$10),MAX($N$10:N194)+1,IF(AND(ROW()-10&gt;$P$10,ROW()-10&lt;=$P$4),ROW()-10,0))</f>
        <v>0</v>
      </c>
      <c r="O195" s="6">
        <f ca="1">IF(N195&gt;0,MAX($O$10:O194)+1,0)</f>
        <v>0</v>
      </c>
      <c r="Q195" s="84"/>
      <c r="R195" s="84"/>
    </row>
    <row r="196" spans="2:18" ht="24" customHeight="1">
      <c r="B196" s="30" t="str">
        <f t="shared" ca="1" si="6"/>
        <v/>
      </c>
      <c r="C196" s="31" t="str">
        <f t="shared" ca="1" si="7"/>
        <v/>
      </c>
      <c r="D196" s="32"/>
      <c r="E196" s="33"/>
      <c r="F196" s="36"/>
      <c r="G196" s="34"/>
      <c r="H196" s="34"/>
      <c r="I196" s="157"/>
      <c r="J196" s="201"/>
      <c r="K196" s="202" t="str">
        <f ca="1">IF(IF(COPIA!$J$3=TRUE,IF(OR(G196&lt;&gt;0,H196&lt;&gt;0),ROUND(SUM(COPIA!$FB$103:FB288),2)-ROUND(SUM(COPIA!$FC$103:FC288),2),""),"")&lt;&gt;0,"",0)</f>
        <v/>
      </c>
      <c r="L196" s="6">
        <f ca="1">IFERROR(IF(AND(INDIRECT(ADDRESS(ROW(),4,,,))&lt;=COPIA!$DA$1,K196=0,COPIA!$EX$1&gt;1,ROW()&lt;=COPIA!$EX$1),MAX($L$10:L195)+1,IF(AND(INDIRECT(ADDRESS(ROW(),4,,,))&lt;=COPIA!$DA$1,K196=0,COPIA!$EX$1=1),MAX($L$10:L195)+1,0)),0)</f>
        <v>0</v>
      </c>
      <c r="M196" s="6">
        <f ca="1">IF(AND(COPIA!$EX$1=1,L196&lt;&gt;0),ROW()-10,IF(AND(COPIA!$EX$1&gt;1,ROW()&gt;COPIA!$EX$1,L196&lt;&gt;0),0,IF(AND(COPIA!$EX$1&gt;1,ROW()&lt;=COPIA!$EX$1,L196&lt;&gt;0),ROW()-10,0)))</f>
        <v>0</v>
      </c>
      <c r="N196" s="6">
        <f ca="1">IF(AND($P$4=0,ROW()-10&lt;=$P$10),MAX($N$10:N195)+1,IF(AND(ROW()-10&gt;$P$10,ROW()-10&lt;=$P$4),ROW()-10,0))</f>
        <v>0</v>
      </c>
      <c r="O196" s="6">
        <f ca="1">IF(N196&gt;0,MAX($O$10:O195)+1,0)</f>
        <v>0</v>
      </c>
      <c r="Q196" s="84"/>
      <c r="R196" s="84"/>
    </row>
    <row r="197" spans="2:18" ht="24" customHeight="1">
      <c r="B197" s="30" t="str">
        <f t="shared" ca="1" si="6"/>
        <v/>
      </c>
      <c r="C197" s="31" t="str">
        <f t="shared" ca="1" si="7"/>
        <v/>
      </c>
      <c r="D197" s="32"/>
      <c r="E197" s="33"/>
      <c r="F197" s="36"/>
      <c r="G197" s="34"/>
      <c r="H197" s="34"/>
      <c r="I197" s="157"/>
      <c r="J197" s="201"/>
      <c r="K197" s="202" t="str">
        <f ca="1">IF(IF(COPIA!$J$3=TRUE,IF(OR(G197&lt;&gt;0,H197&lt;&gt;0),ROUND(SUM(COPIA!$FB$103:FB289),2)-ROUND(SUM(COPIA!$FC$103:FC289),2),""),"")&lt;&gt;0,"",0)</f>
        <v/>
      </c>
      <c r="L197" s="6">
        <f ca="1">IFERROR(IF(AND(INDIRECT(ADDRESS(ROW(),4,,,))&lt;=COPIA!$DA$1,K197=0,COPIA!$EX$1&gt;1,ROW()&lt;=COPIA!$EX$1),MAX($L$10:L196)+1,IF(AND(INDIRECT(ADDRESS(ROW(),4,,,))&lt;=COPIA!$DA$1,K197=0,COPIA!$EX$1=1),MAX($L$10:L196)+1,0)),0)</f>
        <v>0</v>
      </c>
      <c r="M197" s="6">
        <f ca="1">IF(AND(COPIA!$EX$1=1,L197&lt;&gt;0),ROW()-10,IF(AND(COPIA!$EX$1&gt;1,ROW()&gt;COPIA!$EX$1,L197&lt;&gt;0),0,IF(AND(COPIA!$EX$1&gt;1,ROW()&lt;=COPIA!$EX$1,L197&lt;&gt;0),ROW()-10,0)))</f>
        <v>0</v>
      </c>
      <c r="N197" s="6">
        <f ca="1">IF(AND($P$4=0,ROW()-10&lt;=$P$10),MAX($N$10:N196)+1,IF(AND(ROW()-10&gt;$P$10,ROW()-10&lt;=$P$4),ROW()-10,0))</f>
        <v>0</v>
      </c>
      <c r="O197" s="6">
        <f ca="1">IF(N197&gt;0,MAX($O$10:O196)+1,0)</f>
        <v>0</v>
      </c>
      <c r="Q197" s="84"/>
      <c r="R197" s="84"/>
    </row>
    <row r="198" spans="2:18" ht="24" customHeight="1">
      <c r="B198" s="30" t="str">
        <f t="shared" ca="1" si="6"/>
        <v/>
      </c>
      <c r="C198" s="31" t="str">
        <f t="shared" ca="1" si="7"/>
        <v/>
      </c>
      <c r="D198" s="32"/>
      <c r="E198" s="33"/>
      <c r="F198" s="36"/>
      <c r="G198" s="34"/>
      <c r="H198" s="34"/>
      <c r="I198" s="157"/>
      <c r="J198" s="201"/>
      <c r="K198" s="202" t="str">
        <f ca="1">IF(IF(COPIA!$J$3=TRUE,IF(OR(G198&lt;&gt;0,H198&lt;&gt;0),ROUND(SUM(COPIA!$FB$103:FB290),2)-ROUND(SUM(COPIA!$FC$103:FC290),2),""),"")&lt;&gt;0,"",0)</f>
        <v/>
      </c>
      <c r="L198" s="6">
        <f ca="1">IFERROR(IF(AND(INDIRECT(ADDRESS(ROW(),4,,,))&lt;=COPIA!$DA$1,K198=0,COPIA!$EX$1&gt;1,ROW()&lt;=COPIA!$EX$1),MAX($L$10:L197)+1,IF(AND(INDIRECT(ADDRESS(ROW(),4,,,))&lt;=COPIA!$DA$1,K198=0,COPIA!$EX$1=1),MAX($L$10:L197)+1,0)),0)</f>
        <v>0</v>
      </c>
      <c r="M198" s="6">
        <f ca="1">IF(AND(COPIA!$EX$1=1,L198&lt;&gt;0),ROW()-10,IF(AND(COPIA!$EX$1&gt;1,ROW()&gt;COPIA!$EX$1,L198&lt;&gt;0),0,IF(AND(COPIA!$EX$1&gt;1,ROW()&lt;=COPIA!$EX$1,L198&lt;&gt;0),ROW()-10,0)))</f>
        <v>0</v>
      </c>
      <c r="N198" s="6">
        <f ca="1">IF(AND($P$4=0,ROW()-10&lt;=$P$10),MAX($N$10:N197)+1,IF(AND(ROW()-10&gt;$P$10,ROW()-10&lt;=$P$4),ROW()-10,0))</f>
        <v>0</v>
      </c>
      <c r="O198" s="6">
        <f ca="1">IF(N198&gt;0,MAX($O$10:O197)+1,0)</f>
        <v>0</v>
      </c>
      <c r="Q198" s="84"/>
      <c r="R198" s="84"/>
    </row>
    <row r="199" spans="2:18" ht="24" customHeight="1">
      <c r="B199" s="30" t="str">
        <f t="shared" ca="1" si="6"/>
        <v/>
      </c>
      <c r="C199" s="31" t="str">
        <f t="shared" ca="1" si="7"/>
        <v/>
      </c>
      <c r="D199" s="32"/>
      <c r="E199" s="33"/>
      <c r="F199" s="36"/>
      <c r="G199" s="34"/>
      <c r="H199" s="34"/>
      <c r="I199" s="157"/>
      <c r="J199" s="201"/>
      <c r="K199" s="202" t="str">
        <f ca="1">IF(IF(COPIA!$J$3=TRUE,IF(OR(G199&lt;&gt;0,H199&lt;&gt;0),ROUND(SUM(COPIA!$FB$103:FB291),2)-ROUND(SUM(COPIA!$FC$103:FC291),2),""),"")&lt;&gt;0,"",0)</f>
        <v/>
      </c>
      <c r="L199" s="6">
        <f ca="1">IFERROR(IF(AND(INDIRECT(ADDRESS(ROW(),4,,,))&lt;=COPIA!$DA$1,K199=0,COPIA!$EX$1&gt;1,ROW()&lt;=COPIA!$EX$1),MAX($L$10:L198)+1,IF(AND(INDIRECT(ADDRESS(ROW(),4,,,))&lt;=COPIA!$DA$1,K199=0,COPIA!$EX$1=1),MAX($L$10:L198)+1,0)),0)</f>
        <v>0</v>
      </c>
      <c r="M199" s="6">
        <f ca="1">IF(AND(COPIA!$EX$1=1,L199&lt;&gt;0),ROW()-10,IF(AND(COPIA!$EX$1&gt;1,ROW()&gt;COPIA!$EX$1,L199&lt;&gt;0),0,IF(AND(COPIA!$EX$1&gt;1,ROW()&lt;=COPIA!$EX$1,L199&lt;&gt;0),ROW()-10,0)))</f>
        <v>0</v>
      </c>
      <c r="N199" s="6">
        <f ca="1">IF(AND($P$4=0,ROW()-10&lt;=$P$10),MAX($N$10:N198)+1,IF(AND(ROW()-10&gt;$P$10,ROW()-10&lt;=$P$4),ROW()-10,0))</f>
        <v>0</v>
      </c>
      <c r="O199" s="6">
        <f ca="1">IF(N199&gt;0,MAX($O$10:O198)+1,0)</f>
        <v>0</v>
      </c>
      <c r="Q199" s="84"/>
      <c r="R199" s="84"/>
    </row>
    <row r="200" spans="2:18" ht="24" customHeight="1">
      <c r="B200" s="30" t="str">
        <f t="shared" ca="1" si="6"/>
        <v/>
      </c>
      <c r="C200" s="31" t="str">
        <f t="shared" ca="1" si="7"/>
        <v/>
      </c>
      <c r="D200" s="32"/>
      <c r="E200" s="33"/>
      <c r="F200" s="36"/>
      <c r="G200" s="34"/>
      <c r="H200" s="34"/>
      <c r="I200" s="157"/>
      <c r="J200" s="201"/>
      <c r="K200" s="202" t="str">
        <f ca="1">IF(IF(COPIA!$J$3=TRUE,IF(OR(G200&lt;&gt;0,H200&lt;&gt;0),ROUND(SUM(COPIA!$FB$103:FB292),2)-ROUND(SUM(COPIA!$FC$103:FC292),2),""),"")&lt;&gt;0,"",0)</f>
        <v/>
      </c>
      <c r="L200" s="6">
        <f ca="1">IFERROR(IF(AND(INDIRECT(ADDRESS(ROW(),4,,,))&lt;=COPIA!$DA$1,K200=0,COPIA!$EX$1&gt;1,ROW()&lt;=COPIA!$EX$1),MAX($L$10:L199)+1,IF(AND(INDIRECT(ADDRESS(ROW(),4,,,))&lt;=COPIA!$DA$1,K200=0,COPIA!$EX$1=1),MAX($L$10:L199)+1,0)),0)</f>
        <v>0</v>
      </c>
      <c r="M200" s="6">
        <f ca="1">IF(AND(COPIA!$EX$1=1,L200&lt;&gt;0),ROW()-10,IF(AND(COPIA!$EX$1&gt;1,ROW()&gt;COPIA!$EX$1,L200&lt;&gt;0),0,IF(AND(COPIA!$EX$1&gt;1,ROW()&lt;=COPIA!$EX$1,L200&lt;&gt;0),ROW()-10,0)))</f>
        <v>0</v>
      </c>
      <c r="N200" s="6">
        <f ca="1">IF(AND($P$4=0,ROW()-10&lt;=$P$10),MAX($N$10:N199)+1,IF(AND(ROW()-10&gt;$P$10,ROW()-10&lt;=$P$4),ROW()-10,0))</f>
        <v>0</v>
      </c>
      <c r="O200" s="6">
        <f ca="1">IF(N200&gt;0,MAX($O$10:O199)+1,0)</f>
        <v>0</v>
      </c>
      <c r="Q200" s="84"/>
      <c r="R200" s="84"/>
    </row>
    <row r="201" spans="2:18" ht="24" customHeight="1">
      <c r="B201" s="30" t="str">
        <f t="shared" ca="1" si="6"/>
        <v/>
      </c>
      <c r="C201" s="31" t="str">
        <f t="shared" ca="1" si="7"/>
        <v/>
      </c>
      <c r="D201" s="32"/>
      <c r="E201" s="33"/>
      <c r="F201" s="36"/>
      <c r="G201" s="34"/>
      <c r="H201" s="34"/>
      <c r="I201" s="157"/>
      <c r="J201" s="201"/>
      <c r="K201" s="202" t="str">
        <f ca="1">IF(IF(COPIA!$J$3=TRUE,IF(OR(G201&lt;&gt;0,H201&lt;&gt;0),ROUND(SUM(COPIA!$FB$103:FB293),2)-ROUND(SUM(COPIA!$FC$103:FC293),2),""),"")&lt;&gt;0,"",0)</f>
        <v/>
      </c>
      <c r="L201" s="6">
        <f ca="1">IFERROR(IF(AND(INDIRECT(ADDRESS(ROW(),4,,,))&lt;=COPIA!$DA$1,K201=0,COPIA!$EX$1&gt;1,ROW()&lt;=COPIA!$EX$1),MAX($L$10:L200)+1,IF(AND(INDIRECT(ADDRESS(ROW(),4,,,))&lt;=COPIA!$DA$1,K201=0,COPIA!$EX$1=1),MAX($L$10:L200)+1,0)),0)</f>
        <v>0</v>
      </c>
      <c r="M201" s="6">
        <f ca="1">IF(AND(COPIA!$EX$1=1,L201&lt;&gt;0),ROW()-10,IF(AND(COPIA!$EX$1&gt;1,ROW()&gt;COPIA!$EX$1,L201&lt;&gt;0),0,IF(AND(COPIA!$EX$1&gt;1,ROW()&lt;=COPIA!$EX$1,L201&lt;&gt;0),ROW()-10,0)))</f>
        <v>0</v>
      </c>
      <c r="N201" s="6">
        <f ca="1">IF(AND($P$4=0,ROW()-10&lt;=$P$10),MAX($N$10:N200)+1,IF(AND(ROW()-10&gt;$P$10,ROW()-10&lt;=$P$4),ROW()-10,0))</f>
        <v>0</v>
      </c>
      <c r="O201" s="6">
        <f ca="1">IF(N201&gt;0,MAX($O$10:O200)+1,0)</f>
        <v>0</v>
      </c>
      <c r="Q201" s="84"/>
      <c r="R201" s="84"/>
    </row>
    <row r="202" spans="2:18" ht="24" customHeight="1">
      <c r="B202" s="30" t="str">
        <f t="shared" ca="1" si="6"/>
        <v/>
      </c>
      <c r="C202" s="31" t="str">
        <f t="shared" ca="1" si="7"/>
        <v/>
      </c>
      <c r="D202" s="32"/>
      <c r="E202" s="33"/>
      <c r="F202" s="36"/>
      <c r="G202" s="34"/>
      <c r="H202" s="34"/>
      <c r="I202" s="157"/>
      <c r="J202" s="201"/>
      <c r="K202" s="202" t="str">
        <f ca="1">IF(IF(COPIA!$J$3=TRUE,IF(OR(G202&lt;&gt;0,H202&lt;&gt;0),ROUND(SUM(COPIA!$FB$103:FB294),2)-ROUND(SUM(COPIA!$FC$103:FC294),2),""),"")&lt;&gt;0,"",0)</f>
        <v/>
      </c>
      <c r="L202" s="6">
        <f ca="1">IFERROR(IF(AND(INDIRECT(ADDRESS(ROW(),4,,,))&lt;=COPIA!$DA$1,K202=0,COPIA!$EX$1&gt;1,ROW()&lt;=COPIA!$EX$1),MAX($L$10:L201)+1,IF(AND(INDIRECT(ADDRESS(ROW(),4,,,))&lt;=COPIA!$DA$1,K202=0,COPIA!$EX$1=1),MAX($L$10:L201)+1,0)),0)</f>
        <v>0</v>
      </c>
      <c r="M202" s="6">
        <f ca="1">IF(AND(COPIA!$EX$1=1,L202&lt;&gt;0),ROW()-10,IF(AND(COPIA!$EX$1&gt;1,ROW()&gt;COPIA!$EX$1,L202&lt;&gt;0),0,IF(AND(COPIA!$EX$1&gt;1,ROW()&lt;=COPIA!$EX$1,L202&lt;&gt;0),ROW()-10,0)))</f>
        <v>0</v>
      </c>
      <c r="N202" s="6">
        <f ca="1">IF(AND($P$4=0,ROW()-10&lt;=$P$10),MAX($N$10:N201)+1,IF(AND(ROW()-10&gt;$P$10,ROW()-10&lt;=$P$4),ROW()-10,0))</f>
        <v>0</v>
      </c>
      <c r="O202" s="6">
        <f ca="1">IF(N202&gt;0,MAX($O$10:O201)+1,0)</f>
        <v>0</v>
      </c>
      <c r="Q202" s="84"/>
      <c r="R202" s="84"/>
    </row>
    <row r="203" spans="2:18" ht="24" customHeight="1">
      <c r="B203" s="30" t="str">
        <f t="shared" ref="B203:B266" ca="1" si="8">IF(D203&lt;&gt;"",IFERROR(IF(C203&lt;&gt;"",INDEX(PIANO_DEI_CONTI,MATCH(INDIRECT(ADDRESS(ROW(),5,,,)),DENOMINAZIONE,0),1),""),""),"")</f>
        <v/>
      </c>
      <c r="C203" s="31" t="str">
        <f t="shared" ca="1" si="7"/>
        <v/>
      </c>
      <c r="D203" s="32"/>
      <c r="E203" s="33"/>
      <c r="F203" s="36"/>
      <c r="G203" s="34"/>
      <c r="H203" s="34"/>
      <c r="I203" s="157"/>
      <c r="J203" s="201"/>
      <c r="K203" s="202" t="str">
        <f ca="1">IF(IF(COPIA!$J$3=TRUE,IF(OR(G203&lt;&gt;0,H203&lt;&gt;0),ROUND(SUM(COPIA!$FB$103:FB295),2)-ROUND(SUM(COPIA!$FC$103:FC295),2),""),"")&lt;&gt;0,"",0)</f>
        <v/>
      </c>
      <c r="L203" s="6">
        <f ca="1">IFERROR(IF(AND(INDIRECT(ADDRESS(ROW(),4,,,))&lt;=COPIA!$DA$1,K203=0,COPIA!$EX$1&gt;1,ROW()&lt;=COPIA!$EX$1),MAX($L$10:L202)+1,IF(AND(INDIRECT(ADDRESS(ROW(),4,,,))&lt;=COPIA!$DA$1,K203=0,COPIA!$EX$1=1),MAX($L$10:L202)+1,0)),0)</f>
        <v>0</v>
      </c>
      <c r="M203" s="6">
        <f ca="1">IF(AND(COPIA!$EX$1=1,L203&lt;&gt;0),ROW()-10,IF(AND(COPIA!$EX$1&gt;1,ROW()&gt;COPIA!$EX$1,L203&lt;&gt;0),0,IF(AND(COPIA!$EX$1&gt;1,ROW()&lt;=COPIA!$EX$1,L203&lt;&gt;0),ROW()-10,0)))</f>
        <v>0</v>
      </c>
      <c r="N203" s="6">
        <f ca="1">IF(AND($P$4=0,ROW()-10&lt;=$P$10),MAX($N$10:N202)+1,IF(AND(ROW()-10&gt;$P$10,ROW()-10&lt;=$P$4),ROW()-10,0))</f>
        <v>0</v>
      </c>
      <c r="O203" s="6">
        <f ca="1">IF(N203&gt;0,MAX($O$10:O202)+1,0)</f>
        <v>0</v>
      </c>
      <c r="Q203" s="84"/>
      <c r="R203" s="84"/>
    </row>
    <row r="204" spans="2:18" ht="24" customHeight="1">
      <c r="B204" s="30" t="str">
        <f t="shared" ca="1" si="8"/>
        <v/>
      </c>
      <c r="C204" s="31" t="str">
        <f t="shared" ref="C204:C267" ca="1" si="9">IF(D204&lt;&gt;"",IF(INDIRECT(ADDRESS(ROW(),5,,,))&lt;&gt;"",ROW()-10,""),"")</f>
        <v/>
      </c>
      <c r="D204" s="32"/>
      <c r="E204" s="33"/>
      <c r="F204" s="36"/>
      <c r="G204" s="34"/>
      <c r="H204" s="34"/>
      <c r="I204" s="157"/>
      <c r="J204" s="201"/>
      <c r="K204" s="202" t="str">
        <f ca="1">IF(IF(COPIA!$J$3=TRUE,IF(OR(G204&lt;&gt;0,H204&lt;&gt;0),ROUND(SUM(COPIA!$FB$103:FB296),2)-ROUND(SUM(COPIA!$FC$103:FC296),2),""),"")&lt;&gt;0,"",0)</f>
        <v/>
      </c>
      <c r="L204" s="6">
        <f ca="1">IFERROR(IF(AND(INDIRECT(ADDRESS(ROW(),4,,,))&lt;=COPIA!$DA$1,K204=0,COPIA!$EX$1&gt;1,ROW()&lt;=COPIA!$EX$1),MAX($L$10:L203)+1,IF(AND(INDIRECT(ADDRESS(ROW(),4,,,))&lt;=COPIA!$DA$1,K204=0,COPIA!$EX$1=1),MAX($L$10:L203)+1,0)),0)</f>
        <v>0</v>
      </c>
      <c r="M204" s="6">
        <f ca="1">IF(AND(COPIA!$EX$1=1,L204&lt;&gt;0),ROW()-10,IF(AND(COPIA!$EX$1&gt;1,ROW()&gt;COPIA!$EX$1,L204&lt;&gt;0),0,IF(AND(COPIA!$EX$1&gt;1,ROW()&lt;=COPIA!$EX$1,L204&lt;&gt;0),ROW()-10,0)))</f>
        <v>0</v>
      </c>
      <c r="N204" s="6">
        <f ca="1">IF(AND($P$4=0,ROW()-10&lt;=$P$10),MAX($N$10:N203)+1,IF(AND(ROW()-10&gt;$P$10,ROW()-10&lt;=$P$4),ROW()-10,0))</f>
        <v>0</v>
      </c>
      <c r="O204" s="6">
        <f ca="1">IF(N204&gt;0,MAX($O$10:O203)+1,0)</f>
        <v>0</v>
      </c>
      <c r="Q204" s="84"/>
      <c r="R204" s="84"/>
    </row>
    <row r="205" spans="2:18" ht="24" customHeight="1">
      <c r="B205" s="30" t="str">
        <f t="shared" ca="1" si="8"/>
        <v/>
      </c>
      <c r="C205" s="31" t="str">
        <f t="shared" ca="1" si="9"/>
        <v/>
      </c>
      <c r="D205" s="32"/>
      <c r="E205" s="33"/>
      <c r="F205" s="36"/>
      <c r="G205" s="34"/>
      <c r="H205" s="34"/>
      <c r="I205" s="157"/>
      <c r="J205" s="201"/>
      <c r="K205" s="202" t="str">
        <f ca="1">IF(IF(COPIA!$J$3=TRUE,IF(OR(G205&lt;&gt;0,H205&lt;&gt;0),ROUND(SUM(COPIA!$FB$103:FB297),2)-ROUND(SUM(COPIA!$FC$103:FC297),2),""),"")&lt;&gt;0,"",0)</f>
        <v/>
      </c>
      <c r="L205" s="6">
        <f ca="1">IFERROR(IF(AND(INDIRECT(ADDRESS(ROW(),4,,,))&lt;=COPIA!$DA$1,K205=0,COPIA!$EX$1&gt;1,ROW()&lt;=COPIA!$EX$1),MAX($L$10:L204)+1,IF(AND(INDIRECT(ADDRESS(ROW(),4,,,))&lt;=COPIA!$DA$1,K205=0,COPIA!$EX$1=1),MAX($L$10:L204)+1,0)),0)</f>
        <v>0</v>
      </c>
      <c r="M205" s="6">
        <f ca="1">IF(AND(COPIA!$EX$1=1,L205&lt;&gt;0),ROW()-10,IF(AND(COPIA!$EX$1&gt;1,ROW()&gt;COPIA!$EX$1,L205&lt;&gt;0),0,IF(AND(COPIA!$EX$1&gt;1,ROW()&lt;=COPIA!$EX$1,L205&lt;&gt;0),ROW()-10,0)))</f>
        <v>0</v>
      </c>
      <c r="N205" s="6">
        <f ca="1">IF(AND($P$4=0,ROW()-10&lt;=$P$10),MAX($N$10:N204)+1,IF(AND(ROW()-10&gt;$P$10,ROW()-10&lt;=$P$4),ROW()-10,0))</f>
        <v>0</v>
      </c>
      <c r="O205" s="6">
        <f ca="1">IF(N205&gt;0,MAX($O$10:O204)+1,0)</f>
        <v>0</v>
      </c>
      <c r="Q205" s="84"/>
      <c r="R205" s="84"/>
    </row>
    <row r="206" spans="2:18" ht="24" customHeight="1">
      <c r="B206" s="30" t="str">
        <f t="shared" ca="1" si="8"/>
        <v/>
      </c>
      <c r="C206" s="31" t="str">
        <f t="shared" ca="1" si="9"/>
        <v/>
      </c>
      <c r="D206" s="32"/>
      <c r="E206" s="33"/>
      <c r="F206" s="36"/>
      <c r="G206" s="34"/>
      <c r="H206" s="34"/>
      <c r="I206" s="157"/>
      <c r="J206" s="201"/>
      <c r="K206" s="202" t="str">
        <f ca="1">IF(IF(COPIA!$J$3=TRUE,IF(OR(G206&lt;&gt;0,H206&lt;&gt;0),ROUND(SUM(COPIA!$FB$103:FB298),2)-ROUND(SUM(COPIA!$FC$103:FC298),2),""),"")&lt;&gt;0,"",0)</f>
        <v/>
      </c>
      <c r="L206" s="6">
        <f ca="1">IFERROR(IF(AND(INDIRECT(ADDRESS(ROW(),4,,,))&lt;=COPIA!$DA$1,K206=0,COPIA!$EX$1&gt;1,ROW()&lt;=COPIA!$EX$1),MAX($L$10:L205)+1,IF(AND(INDIRECT(ADDRESS(ROW(),4,,,))&lt;=COPIA!$DA$1,K206=0,COPIA!$EX$1=1),MAX($L$10:L205)+1,0)),0)</f>
        <v>0</v>
      </c>
      <c r="M206" s="6">
        <f ca="1">IF(AND(COPIA!$EX$1=1,L206&lt;&gt;0),ROW()-10,IF(AND(COPIA!$EX$1&gt;1,ROW()&gt;COPIA!$EX$1,L206&lt;&gt;0),0,IF(AND(COPIA!$EX$1&gt;1,ROW()&lt;=COPIA!$EX$1,L206&lt;&gt;0),ROW()-10,0)))</f>
        <v>0</v>
      </c>
      <c r="N206" s="6">
        <f ca="1">IF(AND($P$4=0,ROW()-10&lt;=$P$10),MAX($N$10:N205)+1,IF(AND(ROW()-10&gt;$P$10,ROW()-10&lt;=$P$4),ROW()-10,0))</f>
        <v>0</v>
      </c>
      <c r="O206" s="6">
        <f ca="1">IF(N206&gt;0,MAX($O$10:O205)+1,0)</f>
        <v>0</v>
      </c>
      <c r="Q206" s="84"/>
      <c r="R206" s="84"/>
    </row>
    <row r="207" spans="2:18" ht="24" customHeight="1">
      <c r="B207" s="30" t="str">
        <f t="shared" ca="1" si="8"/>
        <v/>
      </c>
      <c r="C207" s="31" t="str">
        <f t="shared" ca="1" si="9"/>
        <v/>
      </c>
      <c r="D207" s="32"/>
      <c r="E207" s="33"/>
      <c r="F207" s="36"/>
      <c r="G207" s="34"/>
      <c r="H207" s="34"/>
      <c r="I207" s="157"/>
      <c r="J207" s="201"/>
      <c r="K207" s="202" t="str">
        <f ca="1">IF(IF(COPIA!$J$3=TRUE,IF(OR(G207&lt;&gt;0,H207&lt;&gt;0),ROUND(SUM(COPIA!$FB$103:FB299),2)-ROUND(SUM(COPIA!$FC$103:FC299),2),""),"")&lt;&gt;0,"",0)</f>
        <v/>
      </c>
      <c r="L207" s="6">
        <f ca="1">IFERROR(IF(AND(INDIRECT(ADDRESS(ROW(),4,,,))&lt;=COPIA!$DA$1,K207=0,COPIA!$EX$1&gt;1,ROW()&lt;=COPIA!$EX$1),MAX($L$10:L206)+1,IF(AND(INDIRECT(ADDRESS(ROW(),4,,,))&lt;=COPIA!$DA$1,K207=0,COPIA!$EX$1=1),MAX($L$10:L206)+1,0)),0)</f>
        <v>0</v>
      </c>
      <c r="M207" s="6">
        <f ca="1">IF(AND(COPIA!$EX$1=1,L207&lt;&gt;0),ROW()-10,IF(AND(COPIA!$EX$1&gt;1,ROW()&gt;COPIA!$EX$1,L207&lt;&gt;0),0,IF(AND(COPIA!$EX$1&gt;1,ROW()&lt;=COPIA!$EX$1,L207&lt;&gt;0),ROW()-10,0)))</f>
        <v>0</v>
      </c>
      <c r="N207" s="6">
        <f ca="1">IF(AND($P$4=0,ROW()-10&lt;=$P$10),MAX($N$10:N206)+1,IF(AND(ROW()-10&gt;$P$10,ROW()-10&lt;=$P$4),ROW()-10,0))</f>
        <v>0</v>
      </c>
      <c r="O207" s="6">
        <f ca="1">IF(N207&gt;0,MAX($O$10:O206)+1,0)</f>
        <v>0</v>
      </c>
      <c r="Q207" s="84"/>
      <c r="R207" s="84"/>
    </row>
    <row r="208" spans="2:18" ht="24" customHeight="1">
      <c r="B208" s="30" t="str">
        <f t="shared" ca="1" si="8"/>
        <v/>
      </c>
      <c r="C208" s="31" t="str">
        <f t="shared" ca="1" si="9"/>
        <v/>
      </c>
      <c r="D208" s="32"/>
      <c r="E208" s="33"/>
      <c r="F208" s="36"/>
      <c r="G208" s="34"/>
      <c r="H208" s="34"/>
      <c r="I208" s="157"/>
      <c r="J208" s="201"/>
      <c r="K208" s="202" t="str">
        <f ca="1">IF(IF(COPIA!$J$3=TRUE,IF(OR(G208&lt;&gt;0,H208&lt;&gt;0),ROUND(SUM(COPIA!$FB$103:FB300),2)-ROUND(SUM(COPIA!$FC$103:FC300),2),""),"")&lt;&gt;0,"",0)</f>
        <v/>
      </c>
      <c r="L208" s="6">
        <f ca="1">IFERROR(IF(AND(INDIRECT(ADDRESS(ROW(),4,,,))&lt;=COPIA!$DA$1,K208=0,COPIA!$EX$1&gt;1,ROW()&lt;=COPIA!$EX$1),MAX($L$10:L207)+1,IF(AND(INDIRECT(ADDRESS(ROW(),4,,,))&lt;=COPIA!$DA$1,K208=0,COPIA!$EX$1=1),MAX($L$10:L207)+1,0)),0)</f>
        <v>0</v>
      </c>
      <c r="M208" s="6">
        <f ca="1">IF(AND(COPIA!$EX$1=1,L208&lt;&gt;0),ROW()-10,IF(AND(COPIA!$EX$1&gt;1,ROW()&gt;COPIA!$EX$1,L208&lt;&gt;0),0,IF(AND(COPIA!$EX$1&gt;1,ROW()&lt;=COPIA!$EX$1,L208&lt;&gt;0),ROW()-10,0)))</f>
        <v>0</v>
      </c>
      <c r="N208" s="6">
        <f ca="1">IF(AND($P$4=0,ROW()-10&lt;=$P$10),MAX($N$10:N207)+1,IF(AND(ROW()-10&gt;$P$10,ROW()-10&lt;=$P$4),ROW()-10,0))</f>
        <v>0</v>
      </c>
      <c r="O208" s="6">
        <f ca="1">IF(N208&gt;0,MAX($O$10:O207)+1,0)</f>
        <v>0</v>
      </c>
      <c r="Q208" s="84"/>
      <c r="R208" s="84"/>
    </row>
    <row r="209" spans="2:18" ht="24" customHeight="1">
      <c r="B209" s="30" t="str">
        <f t="shared" ca="1" si="8"/>
        <v/>
      </c>
      <c r="C209" s="31" t="str">
        <f t="shared" ca="1" si="9"/>
        <v/>
      </c>
      <c r="D209" s="32"/>
      <c r="E209" s="33"/>
      <c r="F209" s="36"/>
      <c r="G209" s="34"/>
      <c r="H209" s="34"/>
      <c r="I209" s="157"/>
      <c r="J209" s="201"/>
      <c r="K209" s="202" t="str">
        <f ca="1">IF(IF(COPIA!$J$3=TRUE,IF(OR(G209&lt;&gt;0,H209&lt;&gt;0),ROUND(SUM(COPIA!$FB$103:FB301),2)-ROUND(SUM(COPIA!$FC$103:FC301),2),""),"")&lt;&gt;0,"",0)</f>
        <v/>
      </c>
      <c r="L209" s="6">
        <f ca="1">IFERROR(IF(AND(INDIRECT(ADDRESS(ROW(),4,,,))&lt;=COPIA!$DA$1,K209=0,COPIA!$EX$1&gt;1,ROW()&lt;=COPIA!$EX$1),MAX($L$10:L208)+1,IF(AND(INDIRECT(ADDRESS(ROW(),4,,,))&lt;=COPIA!$DA$1,K209=0,COPIA!$EX$1=1),MAX($L$10:L208)+1,0)),0)</f>
        <v>0</v>
      </c>
      <c r="M209" s="6">
        <f ca="1">IF(AND(COPIA!$EX$1=1,L209&lt;&gt;0),ROW()-10,IF(AND(COPIA!$EX$1&gt;1,ROW()&gt;COPIA!$EX$1,L209&lt;&gt;0),0,IF(AND(COPIA!$EX$1&gt;1,ROW()&lt;=COPIA!$EX$1,L209&lt;&gt;0),ROW()-10,0)))</f>
        <v>0</v>
      </c>
      <c r="N209" s="6">
        <f ca="1">IF(AND($P$4=0,ROW()-10&lt;=$P$10),MAX($N$10:N208)+1,IF(AND(ROW()-10&gt;$P$10,ROW()-10&lt;=$P$4),ROW()-10,0))</f>
        <v>0</v>
      </c>
      <c r="O209" s="6">
        <f ca="1">IF(N209&gt;0,MAX($O$10:O208)+1,0)</f>
        <v>0</v>
      </c>
      <c r="Q209" s="84"/>
      <c r="R209" s="84"/>
    </row>
    <row r="210" spans="2:18" ht="24" customHeight="1">
      <c r="B210" s="30" t="str">
        <f t="shared" ca="1" si="8"/>
        <v/>
      </c>
      <c r="C210" s="31" t="str">
        <f t="shared" ca="1" si="9"/>
        <v/>
      </c>
      <c r="D210" s="32"/>
      <c r="E210" s="33"/>
      <c r="F210" s="36"/>
      <c r="G210" s="34"/>
      <c r="H210" s="34"/>
      <c r="I210" s="157"/>
      <c r="J210" s="201"/>
      <c r="K210" s="202" t="str">
        <f ca="1">IF(IF(COPIA!$J$3=TRUE,IF(OR(G210&lt;&gt;0,H210&lt;&gt;0),ROUND(SUM(COPIA!$FB$103:FB302),2)-ROUND(SUM(COPIA!$FC$103:FC302),2),""),"")&lt;&gt;0,"",0)</f>
        <v/>
      </c>
      <c r="L210" s="6">
        <f ca="1">IFERROR(IF(AND(INDIRECT(ADDRESS(ROW(),4,,,))&lt;=COPIA!$DA$1,K210=0,COPIA!$EX$1&gt;1,ROW()&lt;=COPIA!$EX$1),MAX($L$10:L209)+1,IF(AND(INDIRECT(ADDRESS(ROW(),4,,,))&lt;=COPIA!$DA$1,K210=0,COPIA!$EX$1=1),MAX($L$10:L209)+1,0)),0)</f>
        <v>0</v>
      </c>
      <c r="M210" s="6">
        <f ca="1">IF(AND(COPIA!$EX$1=1,L210&lt;&gt;0),ROW()-10,IF(AND(COPIA!$EX$1&gt;1,ROW()&gt;COPIA!$EX$1,L210&lt;&gt;0),0,IF(AND(COPIA!$EX$1&gt;1,ROW()&lt;=COPIA!$EX$1,L210&lt;&gt;0),ROW()-10,0)))</f>
        <v>0</v>
      </c>
      <c r="N210" s="6">
        <f ca="1">IF(AND($P$4=0,ROW()-10&lt;=$P$10),MAX($N$10:N209)+1,IF(AND(ROW()-10&gt;$P$10,ROW()-10&lt;=$P$4),ROW()-10,0))</f>
        <v>0</v>
      </c>
      <c r="O210" s="6">
        <f ca="1">IF(N210&gt;0,MAX($O$10:O209)+1,0)</f>
        <v>0</v>
      </c>
      <c r="Q210" s="84"/>
      <c r="R210" s="84"/>
    </row>
    <row r="211" spans="2:18" ht="24" customHeight="1">
      <c r="B211" s="30" t="str">
        <f t="shared" ca="1" si="8"/>
        <v/>
      </c>
      <c r="C211" s="31" t="str">
        <f t="shared" ca="1" si="9"/>
        <v/>
      </c>
      <c r="D211" s="32"/>
      <c r="E211" s="33"/>
      <c r="F211" s="36"/>
      <c r="G211" s="34"/>
      <c r="H211" s="34"/>
      <c r="I211" s="157"/>
      <c r="J211" s="201"/>
      <c r="K211" s="202" t="str">
        <f ca="1">IF(IF(COPIA!$J$3=TRUE,IF(OR(G211&lt;&gt;0,H211&lt;&gt;0),ROUND(SUM(COPIA!$FB$103:FB303),2)-ROUND(SUM(COPIA!$FC$103:FC303),2),""),"")&lt;&gt;0,"",0)</f>
        <v/>
      </c>
      <c r="L211" s="6">
        <f ca="1">IFERROR(IF(AND(INDIRECT(ADDRESS(ROW(),4,,,))&lt;=COPIA!$DA$1,K211=0,COPIA!$EX$1&gt;1,ROW()&lt;=COPIA!$EX$1),MAX($L$10:L210)+1,IF(AND(INDIRECT(ADDRESS(ROW(),4,,,))&lt;=COPIA!$DA$1,K211=0,COPIA!$EX$1=1),MAX($L$10:L210)+1,0)),0)</f>
        <v>0</v>
      </c>
      <c r="M211" s="6">
        <f ca="1">IF(AND(COPIA!$EX$1=1,L211&lt;&gt;0),ROW()-10,IF(AND(COPIA!$EX$1&gt;1,ROW()&gt;COPIA!$EX$1,L211&lt;&gt;0),0,IF(AND(COPIA!$EX$1&gt;1,ROW()&lt;=COPIA!$EX$1,L211&lt;&gt;0),ROW()-10,0)))</f>
        <v>0</v>
      </c>
      <c r="N211" s="6">
        <f ca="1">IF(AND($P$4=0,ROW()-10&lt;=$P$10),MAX($N$10:N210)+1,IF(AND(ROW()-10&gt;$P$10,ROW()-10&lt;=$P$4),ROW()-10,0))</f>
        <v>0</v>
      </c>
      <c r="O211" s="6">
        <f ca="1">IF(N211&gt;0,MAX($O$10:O210)+1,0)</f>
        <v>0</v>
      </c>
      <c r="Q211" s="84"/>
      <c r="R211" s="84"/>
    </row>
    <row r="212" spans="2:18" ht="24" customHeight="1">
      <c r="B212" s="30" t="str">
        <f t="shared" ca="1" si="8"/>
        <v/>
      </c>
      <c r="C212" s="31" t="str">
        <f t="shared" ca="1" si="9"/>
        <v/>
      </c>
      <c r="D212" s="32"/>
      <c r="E212" s="33"/>
      <c r="F212" s="36"/>
      <c r="G212" s="34"/>
      <c r="H212" s="34"/>
      <c r="I212" s="157"/>
      <c r="J212" s="201"/>
      <c r="K212" s="202" t="str">
        <f ca="1">IF(IF(COPIA!$J$3=TRUE,IF(OR(G212&lt;&gt;0,H212&lt;&gt;0),ROUND(SUM(COPIA!$FB$103:FB304),2)-ROUND(SUM(COPIA!$FC$103:FC304),2),""),"")&lt;&gt;0,"",0)</f>
        <v/>
      </c>
      <c r="L212" s="6">
        <f ca="1">IFERROR(IF(AND(INDIRECT(ADDRESS(ROW(),4,,,))&lt;=COPIA!$DA$1,K212=0,COPIA!$EX$1&gt;1,ROW()&lt;=COPIA!$EX$1),MAX($L$10:L211)+1,IF(AND(INDIRECT(ADDRESS(ROW(),4,,,))&lt;=COPIA!$DA$1,K212=0,COPIA!$EX$1=1),MAX($L$10:L211)+1,0)),0)</f>
        <v>0</v>
      </c>
      <c r="M212" s="6">
        <f ca="1">IF(AND(COPIA!$EX$1=1,L212&lt;&gt;0),ROW()-10,IF(AND(COPIA!$EX$1&gt;1,ROW()&gt;COPIA!$EX$1,L212&lt;&gt;0),0,IF(AND(COPIA!$EX$1&gt;1,ROW()&lt;=COPIA!$EX$1,L212&lt;&gt;0),ROW()-10,0)))</f>
        <v>0</v>
      </c>
      <c r="N212" s="6">
        <f ca="1">IF(AND($P$4=0,ROW()-10&lt;=$P$10),MAX($N$10:N211)+1,IF(AND(ROW()-10&gt;$P$10,ROW()-10&lt;=$P$4),ROW()-10,0))</f>
        <v>0</v>
      </c>
      <c r="O212" s="6">
        <f ca="1">IF(N212&gt;0,MAX($O$10:O211)+1,0)</f>
        <v>0</v>
      </c>
      <c r="Q212" s="84"/>
      <c r="R212" s="84"/>
    </row>
    <row r="213" spans="2:18" ht="24" customHeight="1">
      <c r="B213" s="30" t="str">
        <f t="shared" ca="1" si="8"/>
        <v/>
      </c>
      <c r="C213" s="31" t="str">
        <f t="shared" ca="1" si="9"/>
        <v/>
      </c>
      <c r="D213" s="32"/>
      <c r="E213" s="33"/>
      <c r="F213" s="36"/>
      <c r="G213" s="34"/>
      <c r="H213" s="34"/>
      <c r="I213" s="157"/>
      <c r="J213" s="201"/>
      <c r="K213" s="202" t="str">
        <f ca="1">IF(IF(COPIA!$J$3=TRUE,IF(OR(G213&lt;&gt;0,H213&lt;&gt;0),ROUND(SUM(COPIA!$FB$103:FB305),2)-ROUND(SUM(COPIA!$FC$103:FC305),2),""),"")&lt;&gt;0,"",0)</f>
        <v/>
      </c>
      <c r="L213" s="6">
        <f ca="1">IFERROR(IF(AND(INDIRECT(ADDRESS(ROW(),4,,,))&lt;=COPIA!$DA$1,K213=0,COPIA!$EX$1&gt;1,ROW()&lt;=COPIA!$EX$1),MAX($L$10:L212)+1,IF(AND(INDIRECT(ADDRESS(ROW(),4,,,))&lt;=COPIA!$DA$1,K213=0,COPIA!$EX$1=1),MAX($L$10:L212)+1,0)),0)</f>
        <v>0</v>
      </c>
      <c r="M213" s="6">
        <f ca="1">IF(AND(COPIA!$EX$1=1,L213&lt;&gt;0),ROW()-10,IF(AND(COPIA!$EX$1&gt;1,ROW()&gt;COPIA!$EX$1,L213&lt;&gt;0),0,IF(AND(COPIA!$EX$1&gt;1,ROW()&lt;=COPIA!$EX$1,L213&lt;&gt;0),ROW()-10,0)))</f>
        <v>0</v>
      </c>
      <c r="N213" s="6">
        <f ca="1">IF(AND($P$4=0,ROW()-10&lt;=$P$10),MAX($N$10:N212)+1,IF(AND(ROW()-10&gt;$P$10,ROW()-10&lt;=$P$4),ROW()-10,0))</f>
        <v>0</v>
      </c>
      <c r="O213" s="6">
        <f ca="1">IF(N213&gt;0,MAX($O$10:O212)+1,0)</f>
        <v>0</v>
      </c>
      <c r="Q213" s="84"/>
      <c r="R213" s="84"/>
    </row>
    <row r="214" spans="2:18" ht="24" customHeight="1">
      <c r="B214" s="30" t="str">
        <f t="shared" ca="1" si="8"/>
        <v/>
      </c>
      <c r="C214" s="31" t="str">
        <f t="shared" ca="1" si="9"/>
        <v/>
      </c>
      <c r="D214" s="32"/>
      <c r="E214" s="33"/>
      <c r="F214" s="36"/>
      <c r="G214" s="34"/>
      <c r="H214" s="34"/>
      <c r="I214" s="157"/>
      <c r="J214" s="201"/>
      <c r="K214" s="202" t="str">
        <f ca="1">IF(IF(COPIA!$J$3=TRUE,IF(OR(G214&lt;&gt;0,H214&lt;&gt;0),ROUND(SUM(COPIA!$FB$103:FB306),2)-ROUND(SUM(COPIA!$FC$103:FC306),2),""),"")&lt;&gt;0,"",0)</f>
        <v/>
      </c>
      <c r="L214" s="6">
        <f ca="1">IFERROR(IF(AND(INDIRECT(ADDRESS(ROW(),4,,,))&lt;=COPIA!$DA$1,K214=0,COPIA!$EX$1&gt;1,ROW()&lt;=COPIA!$EX$1),MAX($L$10:L213)+1,IF(AND(INDIRECT(ADDRESS(ROW(),4,,,))&lt;=COPIA!$DA$1,K214=0,COPIA!$EX$1=1),MAX($L$10:L213)+1,0)),0)</f>
        <v>0</v>
      </c>
      <c r="M214" s="6">
        <f ca="1">IF(AND(COPIA!$EX$1=1,L214&lt;&gt;0),ROW()-10,IF(AND(COPIA!$EX$1&gt;1,ROW()&gt;COPIA!$EX$1,L214&lt;&gt;0),0,IF(AND(COPIA!$EX$1&gt;1,ROW()&lt;=COPIA!$EX$1,L214&lt;&gt;0),ROW()-10,0)))</f>
        <v>0</v>
      </c>
      <c r="N214" s="6">
        <f ca="1">IF(AND($P$4=0,ROW()-10&lt;=$P$10),MAX($N$10:N213)+1,IF(AND(ROW()-10&gt;$P$10,ROW()-10&lt;=$P$4),ROW()-10,0))</f>
        <v>0</v>
      </c>
      <c r="O214" s="6">
        <f ca="1">IF(N214&gt;0,MAX($O$10:O213)+1,0)</f>
        <v>0</v>
      </c>
      <c r="Q214" s="84"/>
      <c r="R214" s="84"/>
    </row>
    <row r="215" spans="2:18" ht="24" customHeight="1">
      <c r="B215" s="30" t="str">
        <f t="shared" ca="1" si="8"/>
        <v/>
      </c>
      <c r="C215" s="31" t="str">
        <f t="shared" ca="1" si="9"/>
        <v/>
      </c>
      <c r="D215" s="32"/>
      <c r="E215" s="33"/>
      <c r="F215" s="36"/>
      <c r="G215" s="34"/>
      <c r="H215" s="34"/>
      <c r="I215" s="157"/>
      <c r="J215" s="201"/>
      <c r="K215" s="202" t="str">
        <f ca="1">IF(IF(COPIA!$J$3=TRUE,IF(OR(G215&lt;&gt;0,H215&lt;&gt;0),ROUND(SUM(COPIA!$FB$103:FB307),2)-ROUND(SUM(COPIA!$FC$103:FC307),2),""),"")&lt;&gt;0,"",0)</f>
        <v/>
      </c>
      <c r="L215" s="6">
        <f ca="1">IFERROR(IF(AND(INDIRECT(ADDRESS(ROW(),4,,,))&lt;=COPIA!$DA$1,K215=0,COPIA!$EX$1&gt;1,ROW()&lt;=COPIA!$EX$1),MAX($L$10:L214)+1,IF(AND(INDIRECT(ADDRESS(ROW(),4,,,))&lt;=COPIA!$DA$1,K215=0,COPIA!$EX$1=1),MAX($L$10:L214)+1,0)),0)</f>
        <v>0</v>
      </c>
      <c r="M215" s="6">
        <f ca="1">IF(AND(COPIA!$EX$1=1,L215&lt;&gt;0),ROW()-10,IF(AND(COPIA!$EX$1&gt;1,ROW()&gt;COPIA!$EX$1,L215&lt;&gt;0),0,IF(AND(COPIA!$EX$1&gt;1,ROW()&lt;=COPIA!$EX$1,L215&lt;&gt;0),ROW()-10,0)))</f>
        <v>0</v>
      </c>
      <c r="N215" s="6">
        <f ca="1">IF(AND($P$4=0,ROW()-10&lt;=$P$10),MAX($N$10:N214)+1,IF(AND(ROW()-10&gt;$P$10,ROW()-10&lt;=$P$4),ROW()-10,0))</f>
        <v>0</v>
      </c>
      <c r="O215" s="6">
        <f ca="1">IF(N215&gt;0,MAX($O$10:O214)+1,0)</f>
        <v>0</v>
      </c>
      <c r="Q215" s="84"/>
      <c r="R215" s="84"/>
    </row>
    <row r="216" spans="2:18" ht="24" customHeight="1">
      <c r="B216" s="30" t="str">
        <f t="shared" ca="1" si="8"/>
        <v/>
      </c>
      <c r="C216" s="31" t="str">
        <f t="shared" ca="1" si="9"/>
        <v/>
      </c>
      <c r="D216" s="32"/>
      <c r="E216" s="33"/>
      <c r="F216" s="36"/>
      <c r="G216" s="34"/>
      <c r="H216" s="34"/>
      <c r="I216" s="157"/>
      <c r="J216" s="201"/>
      <c r="K216" s="202" t="str">
        <f ca="1">IF(IF(COPIA!$J$3=TRUE,IF(OR(G216&lt;&gt;0,H216&lt;&gt;0),ROUND(SUM(COPIA!$FB$103:FB308),2)-ROUND(SUM(COPIA!$FC$103:FC308),2),""),"")&lt;&gt;0,"",0)</f>
        <v/>
      </c>
      <c r="L216" s="6">
        <f ca="1">IFERROR(IF(AND(INDIRECT(ADDRESS(ROW(),4,,,))&lt;=COPIA!$DA$1,K216=0,COPIA!$EX$1&gt;1,ROW()&lt;=COPIA!$EX$1),MAX($L$10:L215)+1,IF(AND(INDIRECT(ADDRESS(ROW(),4,,,))&lt;=COPIA!$DA$1,K216=0,COPIA!$EX$1=1),MAX($L$10:L215)+1,0)),0)</f>
        <v>0</v>
      </c>
      <c r="M216" s="6">
        <f ca="1">IF(AND(COPIA!$EX$1=1,L216&lt;&gt;0),ROW()-10,IF(AND(COPIA!$EX$1&gt;1,ROW()&gt;COPIA!$EX$1,L216&lt;&gt;0),0,IF(AND(COPIA!$EX$1&gt;1,ROW()&lt;=COPIA!$EX$1,L216&lt;&gt;0),ROW()-10,0)))</f>
        <v>0</v>
      </c>
      <c r="N216" s="6">
        <f ca="1">IF(AND($P$4=0,ROW()-10&lt;=$P$10),MAX($N$10:N215)+1,IF(AND(ROW()-10&gt;$P$10,ROW()-10&lt;=$P$4),ROW()-10,0))</f>
        <v>0</v>
      </c>
      <c r="O216" s="6">
        <f ca="1">IF(N216&gt;0,MAX($O$10:O215)+1,0)</f>
        <v>0</v>
      </c>
      <c r="Q216" s="84"/>
      <c r="R216" s="84"/>
    </row>
    <row r="217" spans="2:18" ht="24" customHeight="1">
      <c r="B217" s="30" t="str">
        <f t="shared" ca="1" si="8"/>
        <v/>
      </c>
      <c r="C217" s="31" t="str">
        <f t="shared" ca="1" si="9"/>
        <v/>
      </c>
      <c r="D217" s="32"/>
      <c r="E217" s="33"/>
      <c r="F217" s="36"/>
      <c r="G217" s="34"/>
      <c r="H217" s="34"/>
      <c r="I217" s="157"/>
      <c r="J217" s="201"/>
      <c r="K217" s="202" t="str">
        <f ca="1">IF(IF(COPIA!$J$3=TRUE,IF(OR(G217&lt;&gt;0,H217&lt;&gt;0),ROUND(SUM(COPIA!$FB$103:FB309),2)-ROUND(SUM(COPIA!$FC$103:FC309),2),""),"")&lt;&gt;0,"",0)</f>
        <v/>
      </c>
      <c r="L217" s="6">
        <f ca="1">IFERROR(IF(AND(INDIRECT(ADDRESS(ROW(),4,,,))&lt;=COPIA!$DA$1,K217=0,COPIA!$EX$1&gt;1,ROW()&lt;=COPIA!$EX$1),MAX($L$10:L216)+1,IF(AND(INDIRECT(ADDRESS(ROW(),4,,,))&lt;=COPIA!$DA$1,K217=0,COPIA!$EX$1=1),MAX($L$10:L216)+1,0)),0)</f>
        <v>0</v>
      </c>
      <c r="M217" s="6">
        <f ca="1">IF(AND(COPIA!$EX$1=1,L217&lt;&gt;0),ROW()-10,IF(AND(COPIA!$EX$1&gt;1,ROW()&gt;COPIA!$EX$1,L217&lt;&gt;0),0,IF(AND(COPIA!$EX$1&gt;1,ROW()&lt;=COPIA!$EX$1,L217&lt;&gt;0),ROW()-10,0)))</f>
        <v>0</v>
      </c>
      <c r="N217" s="6">
        <f ca="1">IF(AND($P$4=0,ROW()-10&lt;=$P$10),MAX($N$10:N216)+1,IF(AND(ROW()-10&gt;$P$10,ROW()-10&lt;=$P$4),ROW()-10,0))</f>
        <v>0</v>
      </c>
      <c r="O217" s="6">
        <f ca="1">IF(N217&gt;0,MAX($O$10:O216)+1,0)</f>
        <v>0</v>
      </c>
      <c r="Q217" s="84"/>
      <c r="R217" s="84"/>
    </row>
    <row r="218" spans="2:18" ht="24" customHeight="1">
      <c r="B218" s="30" t="str">
        <f t="shared" ca="1" si="8"/>
        <v/>
      </c>
      <c r="C218" s="31" t="str">
        <f t="shared" ca="1" si="9"/>
        <v/>
      </c>
      <c r="D218" s="32"/>
      <c r="E218" s="33"/>
      <c r="F218" s="36"/>
      <c r="G218" s="34"/>
      <c r="H218" s="34"/>
      <c r="I218" s="157"/>
      <c r="J218" s="201"/>
      <c r="K218" s="202" t="str">
        <f ca="1">IF(IF(COPIA!$J$3=TRUE,IF(OR(G218&lt;&gt;0,H218&lt;&gt;0),ROUND(SUM(COPIA!$FB$103:FB310),2)-ROUND(SUM(COPIA!$FC$103:FC310),2),""),"")&lt;&gt;0,"",0)</f>
        <v/>
      </c>
      <c r="L218" s="6">
        <f ca="1">IFERROR(IF(AND(INDIRECT(ADDRESS(ROW(),4,,,))&lt;=COPIA!$DA$1,K218=0,COPIA!$EX$1&gt;1,ROW()&lt;=COPIA!$EX$1),MAX($L$10:L217)+1,IF(AND(INDIRECT(ADDRESS(ROW(),4,,,))&lt;=COPIA!$DA$1,K218=0,COPIA!$EX$1=1),MAX($L$10:L217)+1,0)),0)</f>
        <v>0</v>
      </c>
      <c r="M218" s="6">
        <f ca="1">IF(AND(COPIA!$EX$1=1,L218&lt;&gt;0),ROW()-10,IF(AND(COPIA!$EX$1&gt;1,ROW()&gt;COPIA!$EX$1,L218&lt;&gt;0),0,IF(AND(COPIA!$EX$1&gt;1,ROW()&lt;=COPIA!$EX$1,L218&lt;&gt;0),ROW()-10,0)))</f>
        <v>0</v>
      </c>
      <c r="N218" s="6">
        <f ca="1">IF(AND($P$4=0,ROW()-10&lt;=$P$10),MAX($N$10:N217)+1,IF(AND(ROW()-10&gt;$P$10,ROW()-10&lt;=$P$4),ROW()-10,0))</f>
        <v>0</v>
      </c>
      <c r="O218" s="6">
        <f ca="1">IF(N218&gt;0,MAX($O$10:O217)+1,0)</f>
        <v>0</v>
      </c>
      <c r="Q218" s="84"/>
      <c r="R218" s="84"/>
    </row>
    <row r="219" spans="2:18" ht="24" customHeight="1">
      <c r="B219" s="30" t="str">
        <f t="shared" ca="1" si="8"/>
        <v/>
      </c>
      <c r="C219" s="31" t="str">
        <f t="shared" ca="1" si="9"/>
        <v/>
      </c>
      <c r="D219" s="32"/>
      <c r="E219" s="33"/>
      <c r="F219" s="36"/>
      <c r="G219" s="34"/>
      <c r="H219" s="34"/>
      <c r="I219" s="157"/>
      <c r="J219" s="201"/>
      <c r="K219" s="202" t="str">
        <f ca="1">IF(IF(COPIA!$J$3=TRUE,IF(OR(G219&lt;&gt;0,H219&lt;&gt;0),ROUND(SUM(COPIA!$FB$103:FB311),2)-ROUND(SUM(COPIA!$FC$103:FC311),2),""),"")&lt;&gt;0,"",0)</f>
        <v/>
      </c>
      <c r="L219" s="6">
        <f ca="1">IFERROR(IF(AND(INDIRECT(ADDRESS(ROW(),4,,,))&lt;=COPIA!$DA$1,K219=0,COPIA!$EX$1&gt;1,ROW()&lt;=COPIA!$EX$1),MAX($L$10:L218)+1,IF(AND(INDIRECT(ADDRESS(ROW(),4,,,))&lt;=COPIA!$DA$1,K219=0,COPIA!$EX$1=1),MAX($L$10:L218)+1,0)),0)</f>
        <v>0</v>
      </c>
      <c r="M219" s="6">
        <f ca="1">IF(AND(COPIA!$EX$1=1,L219&lt;&gt;0),ROW()-10,IF(AND(COPIA!$EX$1&gt;1,ROW()&gt;COPIA!$EX$1,L219&lt;&gt;0),0,IF(AND(COPIA!$EX$1&gt;1,ROW()&lt;=COPIA!$EX$1,L219&lt;&gt;0),ROW()-10,0)))</f>
        <v>0</v>
      </c>
      <c r="N219" s="6">
        <f ca="1">IF(AND($P$4=0,ROW()-10&lt;=$P$10),MAX($N$10:N218)+1,IF(AND(ROW()-10&gt;$P$10,ROW()-10&lt;=$P$4),ROW()-10,0))</f>
        <v>0</v>
      </c>
      <c r="O219" s="6">
        <f ca="1">IF(N219&gt;0,MAX($O$10:O218)+1,0)</f>
        <v>0</v>
      </c>
      <c r="Q219" s="84"/>
      <c r="R219" s="84"/>
    </row>
    <row r="220" spans="2:18" ht="24" customHeight="1">
      <c r="B220" s="30" t="str">
        <f t="shared" ca="1" si="8"/>
        <v/>
      </c>
      <c r="C220" s="31" t="str">
        <f t="shared" ca="1" si="9"/>
        <v/>
      </c>
      <c r="D220" s="32"/>
      <c r="E220" s="33"/>
      <c r="F220" s="36"/>
      <c r="G220" s="34"/>
      <c r="H220" s="34"/>
      <c r="I220" s="157"/>
      <c r="J220" s="201"/>
      <c r="K220" s="202" t="str">
        <f ca="1">IF(IF(COPIA!$J$3=TRUE,IF(OR(G220&lt;&gt;0,H220&lt;&gt;0),ROUND(SUM(COPIA!$FB$103:FB312),2)-ROUND(SUM(COPIA!$FC$103:FC312),2),""),"")&lt;&gt;0,"",0)</f>
        <v/>
      </c>
      <c r="L220" s="6">
        <f ca="1">IFERROR(IF(AND(INDIRECT(ADDRESS(ROW(),4,,,))&lt;=COPIA!$DA$1,K220=0,COPIA!$EX$1&gt;1,ROW()&lt;=COPIA!$EX$1),MAX($L$10:L219)+1,IF(AND(INDIRECT(ADDRESS(ROW(),4,,,))&lt;=COPIA!$DA$1,K220=0,COPIA!$EX$1=1),MAX($L$10:L219)+1,0)),0)</f>
        <v>0</v>
      </c>
      <c r="M220" s="6">
        <f ca="1">IF(AND(COPIA!$EX$1=1,L220&lt;&gt;0),ROW()-10,IF(AND(COPIA!$EX$1&gt;1,ROW()&gt;COPIA!$EX$1,L220&lt;&gt;0),0,IF(AND(COPIA!$EX$1&gt;1,ROW()&lt;=COPIA!$EX$1,L220&lt;&gt;0),ROW()-10,0)))</f>
        <v>0</v>
      </c>
      <c r="N220" s="6">
        <f ca="1">IF(AND($P$4=0,ROW()-10&lt;=$P$10),MAX($N$10:N219)+1,IF(AND(ROW()-10&gt;$P$10,ROW()-10&lt;=$P$4),ROW()-10,0))</f>
        <v>0</v>
      </c>
      <c r="O220" s="6">
        <f ca="1">IF(N220&gt;0,MAX($O$10:O219)+1,0)</f>
        <v>0</v>
      </c>
      <c r="Q220" s="84"/>
      <c r="R220" s="84"/>
    </row>
    <row r="221" spans="2:18" ht="24" customHeight="1">
      <c r="B221" s="30" t="str">
        <f t="shared" ca="1" si="8"/>
        <v/>
      </c>
      <c r="C221" s="31" t="str">
        <f t="shared" ca="1" si="9"/>
        <v/>
      </c>
      <c r="D221" s="32"/>
      <c r="E221" s="33"/>
      <c r="F221" s="36"/>
      <c r="G221" s="34"/>
      <c r="H221" s="34"/>
      <c r="I221" s="157"/>
      <c r="J221" s="201"/>
      <c r="K221" s="202" t="str">
        <f ca="1">IF(IF(COPIA!$J$3=TRUE,IF(OR(G221&lt;&gt;0,H221&lt;&gt;0),ROUND(SUM(COPIA!$FB$103:FB313),2)-ROUND(SUM(COPIA!$FC$103:FC313),2),""),"")&lt;&gt;0,"",0)</f>
        <v/>
      </c>
      <c r="L221" s="6">
        <f ca="1">IFERROR(IF(AND(INDIRECT(ADDRESS(ROW(),4,,,))&lt;=COPIA!$DA$1,K221=0,COPIA!$EX$1&gt;1,ROW()&lt;=COPIA!$EX$1),MAX($L$10:L220)+1,IF(AND(INDIRECT(ADDRESS(ROW(),4,,,))&lt;=COPIA!$DA$1,K221=0,COPIA!$EX$1=1),MAX($L$10:L220)+1,0)),0)</f>
        <v>0</v>
      </c>
      <c r="M221" s="6">
        <f ca="1">IF(AND(COPIA!$EX$1=1,L221&lt;&gt;0),ROW()-10,IF(AND(COPIA!$EX$1&gt;1,ROW()&gt;COPIA!$EX$1,L221&lt;&gt;0),0,IF(AND(COPIA!$EX$1&gt;1,ROW()&lt;=COPIA!$EX$1,L221&lt;&gt;0),ROW()-10,0)))</f>
        <v>0</v>
      </c>
      <c r="N221" s="6">
        <f ca="1">IF(AND($P$4=0,ROW()-10&lt;=$P$10),MAX($N$10:N220)+1,IF(AND(ROW()-10&gt;$P$10,ROW()-10&lt;=$P$4),ROW()-10,0))</f>
        <v>0</v>
      </c>
      <c r="O221" s="6">
        <f ca="1">IF(N221&gt;0,MAX($O$10:O220)+1,0)</f>
        <v>0</v>
      </c>
      <c r="Q221" s="84"/>
      <c r="R221" s="84"/>
    </row>
    <row r="222" spans="2:18" ht="24" customHeight="1">
      <c r="B222" s="30" t="str">
        <f t="shared" ca="1" si="8"/>
        <v/>
      </c>
      <c r="C222" s="31" t="str">
        <f t="shared" ca="1" si="9"/>
        <v/>
      </c>
      <c r="D222" s="32"/>
      <c r="E222" s="33"/>
      <c r="F222" s="36"/>
      <c r="G222" s="34"/>
      <c r="H222" s="34"/>
      <c r="I222" s="157"/>
      <c r="J222" s="201"/>
      <c r="K222" s="202" t="str">
        <f ca="1">IF(IF(COPIA!$J$3=TRUE,IF(OR(G222&lt;&gt;0,H222&lt;&gt;0),ROUND(SUM(COPIA!$FB$103:FB314),2)-ROUND(SUM(COPIA!$FC$103:FC314),2),""),"")&lt;&gt;0,"",0)</f>
        <v/>
      </c>
      <c r="L222" s="6">
        <f ca="1">IFERROR(IF(AND(INDIRECT(ADDRESS(ROW(),4,,,))&lt;=COPIA!$DA$1,K222=0,COPIA!$EX$1&gt;1,ROW()&lt;=COPIA!$EX$1),MAX($L$10:L221)+1,IF(AND(INDIRECT(ADDRESS(ROW(),4,,,))&lt;=COPIA!$DA$1,K222=0,COPIA!$EX$1=1),MAX($L$10:L221)+1,0)),0)</f>
        <v>0</v>
      </c>
      <c r="M222" s="6">
        <f ca="1">IF(AND(COPIA!$EX$1=1,L222&lt;&gt;0),ROW()-10,IF(AND(COPIA!$EX$1&gt;1,ROW()&gt;COPIA!$EX$1,L222&lt;&gt;0),0,IF(AND(COPIA!$EX$1&gt;1,ROW()&lt;=COPIA!$EX$1,L222&lt;&gt;0),ROW()-10,0)))</f>
        <v>0</v>
      </c>
      <c r="N222" s="6">
        <f ca="1">IF(AND($P$4=0,ROW()-10&lt;=$P$10),MAX($N$10:N221)+1,IF(AND(ROW()-10&gt;$P$10,ROW()-10&lt;=$P$4),ROW()-10,0))</f>
        <v>0</v>
      </c>
      <c r="O222" s="6">
        <f ca="1">IF(N222&gt;0,MAX($O$10:O221)+1,0)</f>
        <v>0</v>
      </c>
      <c r="Q222" s="84"/>
      <c r="R222" s="84"/>
    </row>
    <row r="223" spans="2:18" ht="24" customHeight="1">
      <c r="B223" s="30" t="str">
        <f t="shared" ca="1" si="8"/>
        <v/>
      </c>
      <c r="C223" s="31" t="str">
        <f t="shared" ca="1" si="9"/>
        <v/>
      </c>
      <c r="D223" s="32"/>
      <c r="E223" s="33"/>
      <c r="F223" s="36"/>
      <c r="G223" s="37"/>
      <c r="H223" s="37"/>
      <c r="I223" s="157"/>
      <c r="J223" s="201"/>
      <c r="K223" s="202" t="str">
        <f ca="1">IF(IF(COPIA!$J$3=TRUE,IF(OR(G223&lt;&gt;0,H223&lt;&gt;0),ROUND(SUM(COPIA!$FB$103:FB315),2)-ROUND(SUM(COPIA!$FC$103:FC315),2),""),"")&lt;&gt;0,"",0)</f>
        <v/>
      </c>
      <c r="L223" s="6">
        <f ca="1">IFERROR(IF(AND(INDIRECT(ADDRESS(ROW(),4,,,))&lt;=COPIA!$DA$1,K223=0,COPIA!$EX$1&gt;1,ROW()&lt;=COPIA!$EX$1),MAX($L$10:L222)+1,IF(AND(INDIRECT(ADDRESS(ROW(),4,,,))&lt;=COPIA!$DA$1,K223=0,COPIA!$EX$1=1),MAX($L$10:L222)+1,0)),0)</f>
        <v>0</v>
      </c>
      <c r="M223" s="6">
        <f ca="1">IF(AND(COPIA!$EX$1=1,L223&lt;&gt;0),ROW()-10,IF(AND(COPIA!$EX$1&gt;1,ROW()&gt;COPIA!$EX$1,L223&lt;&gt;0),0,IF(AND(COPIA!$EX$1&gt;1,ROW()&lt;=COPIA!$EX$1,L223&lt;&gt;0),ROW()-10,0)))</f>
        <v>0</v>
      </c>
      <c r="N223" s="6">
        <f ca="1">IF(AND($P$4=0,ROW()-10&lt;=$P$10),MAX($N$10:N222)+1,IF(AND(ROW()-10&gt;$P$10,ROW()-10&lt;=$P$4),ROW()-10,0))</f>
        <v>0</v>
      </c>
      <c r="O223" s="6">
        <f ca="1">IF(N223&gt;0,MAX($O$10:O222)+1,0)</f>
        <v>0</v>
      </c>
      <c r="Q223" s="84"/>
      <c r="R223" s="84"/>
    </row>
    <row r="224" spans="2:18" ht="24" customHeight="1">
      <c r="B224" s="30" t="str">
        <f t="shared" ca="1" si="8"/>
        <v/>
      </c>
      <c r="C224" s="31" t="str">
        <f t="shared" ca="1" si="9"/>
        <v/>
      </c>
      <c r="D224" s="32"/>
      <c r="E224" s="33"/>
      <c r="F224" s="36"/>
      <c r="G224" s="37"/>
      <c r="H224" s="37"/>
      <c r="I224" s="157"/>
      <c r="J224" s="201"/>
      <c r="K224" s="202" t="str">
        <f ca="1">IF(IF(COPIA!$J$3=TRUE,IF(OR(G224&lt;&gt;0,H224&lt;&gt;0),ROUND(SUM(COPIA!$FB$103:FB316),2)-ROUND(SUM(COPIA!$FC$103:FC316),2),""),"")&lt;&gt;0,"",0)</f>
        <v/>
      </c>
      <c r="L224" s="6">
        <f ca="1">IFERROR(IF(AND(INDIRECT(ADDRESS(ROW(),4,,,))&lt;=COPIA!$DA$1,K224=0,COPIA!$EX$1&gt;1,ROW()&lt;=COPIA!$EX$1),MAX($L$10:L223)+1,IF(AND(INDIRECT(ADDRESS(ROW(),4,,,))&lt;=COPIA!$DA$1,K224=0,COPIA!$EX$1=1),MAX($L$10:L223)+1,0)),0)</f>
        <v>0</v>
      </c>
      <c r="M224" s="6">
        <f ca="1">IF(AND(COPIA!$EX$1=1,L224&lt;&gt;0),ROW()-10,IF(AND(COPIA!$EX$1&gt;1,ROW()&gt;COPIA!$EX$1,L224&lt;&gt;0),0,IF(AND(COPIA!$EX$1&gt;1,ROW()&lt;=COPIA!$EX$1,L224&lt;&gt;0),ROW()-10,0)))</f>
        <v>0</v>
      </c>
      <c r="N224" s="6">
        <f ca="1">IF(AND($P$4=0,ROW()-10&lt;=$P$10),MAX($N$10:N223)+1,IF(AND(ROW()-10&gt;$P$10,ROW()-10&lt;=$P$4),ROW()-10,0))</f>
        <v>0</v>
      </c>
      <c r="O224" s="6">
        <f ca="1">IF(N224&gt;0,MAX($O$10:O223)+1,0)</f>
        <v>0</v>
      </c>
      <c r="Q224" s="84"/>
      <c r="R224" s="84"/>
    </row>
    <row r="225" spans="2:18" ht="24" customHeight="1">
      <c r="B225" s="30" t="str">
        <f t="shared" ca="1" si="8"/>
        <v/>
      </c>
      <c r="C225" s="31" t="str">
        <f t="shared" ca="1" si="9"/>
        <v/>
      </c>
      <c r="D225" s="32"/>
      <c r="E225" s="33"/>
      <c r="F225" s="36"/>
      <c r="G225" s="37"/>
      <c r="H225" s="37"/>
      <c r="I225" s="157"/>
      <c r="J225" s="201"/>
      <c r="K225" s="202" t="str">
        <f ca="1">IF(IF(COPIA!$J$3=TRUE,IF(OR(G225&lt;&gt;0,H225&lt;&gt;0),ROUND(SUM(COPIA!$FB$103:FB317),2)-ROUND(SUM(COPIA!$FC$103:FC317),2),""),"")&lt;&gt;0,"",0)</f>
        <v/>
      </c>
      <c r="L225" s="6">
        <f ca="1">IFERROR(IF(AND(INDIRECT(ADDRESS(ROW(),4,,,))&lt;=COPIA!$DA$1,K225=0,COPIA!$EX$1&gt;1,ROW()&lt;=COPIA!$EX$1),MAX($L$10:L224)+1,IF(AND(INDIRECT(ADDRESS(ROW(),4,,,))&lt;=COPIA!$DA$1,K225=0,COPIA!$EX$1=1),MAX($L$10:L224)+1,0)),0)</f>
        <v>0</v>
      </c>
      <c r="M225" s="6">
        <f ca="1">IF(AND(COPIA!$EX$1=1,L225&lt;&gt;0),ROW()-10,IF(AND(COPIA!$EX$1&gt;1,ROW()&gt;COPIA!$EX$1,L225&lt;&gt;0),0,IF(AND(COPIA!$EX$1&gt;1,ROW()&lt;=COPIA!$EX$1,L225&lt;&gt;0),ROW()-10,0)))</f>
        <v>0</v>
      </c>
      <c r="N225" s="6">
        <f ca="1">IF(AND($P$4=0,ROW()-10&lt;=$P$10),MAX($N$10:N224)+1,IF(AND(ROW()-10&gt;$P$10,ROW()-10&lt;=$P$4),ROW()-10,0))</f>
        <v>0</v>
      </c>
      <c r="O225" s="6">
        <f ca="1">IF(N225&gt;0,MAX($O$10:O224)+1,0)</f>
        <v>0</v>
      </c>
      <c r="Q225" s="84"/>
      <c r="R225" s="84"/>
    </row>
    <row r="226" spans="2:18" ht="24" customHeight="1">
      <c r="B226" s="30" t="str">
        <f t="shared" ca="1" si="8"/>
        <v/>
      </c>
      <c r="C226" s="31" t="str">
        <f t="shared" ca="1" si="9"/>
        <v/>
      </c>
      <c r="D226" s="32"/>
      <c r="E226" s="33"/>
      <c r="F226" s="36"/>
      <c r="G226" s="37"/>
      <c r="H226" s="37"/>
      <c r="I226" s="157"/>
      <c r="J226" s="201"/>
      <c r="K226" s="202" t="str">
        <f ca="1">IF(IF(COPIA!$J$3=TRUE,IF(OR(G226&lt;&gt;0,H226&lt;&gt;0),ROUND(SUM(COPIA!$FB$103:FB318),2)-ROUND(SUM(COPIA!$FC$103:FC318),2),""),"")&lt;&gt;0,"",0)</f>
        <v/>
      </c>
      <c r="L226" s="6">
        <f ca="1">IFERROR(IF(AND(INDIRECT(ADDRESS(ROW(),4,,,))&lt;=COPIA!$DA$1,K226=0,COPIA!$EX$1&gt;1,ROW()&lt;=COPIA!$EX$1),MAX($L$10:L225)+1,IF(AND(INDIRECT(ADDRESS(ROW(),4,,,))&lt;=COPIA!$DA$1,K226=0,COPIA!$EX$1=1),MAX($L$10:L225)+1,0)),0)</f>
        <v>0</v>
      </c>
      <c r="M226" s="6">
        <f ca="1">IF(AND(COPIA!$EX$1=1,L226&lt;&gt;0),ROW()-10,IF(AND(COPIA!$EX$1&gt;1,ROW()&gt;COPIA!$EX$1,L226&lt;&gt;0),0,IF(AND(COPIA!$EX$1&gt;1,ROW()&lt;=COPIA!$EX$1,L226&lt;&gt;0),ROW()-10,0)))</f>
        <v>0</v>
      </c>
      <c r="N226" s="6">
        <f ca="1">IF(AND($P$4=0,ROW()-10&lt;=$P$10),MAX($N$10:N225)+1,IF(AND(ROW()-10&gt;$P$10,ROW()-10&lt;=$P$4),ROW()-10,0))</f>
        <v>0</v>
      </c>
      <c r="O226" s="6">
        <f ca="1">IF(N226&gt;0,MAX($O$10:O225)+1,0)</f>
        <v>0</v>
      </c>
      <c r="Q226" s="84"/>
      <c r="R226" s="84"/>
    </row>
    <row r="227" spans="2:18" ht="24" customHeight="1">
      <c r="B227" s="30" t="str">
        <f t="shared" ca="1" si="8"/>
        <v/>
      </c>
      <c r="C227" s="31" t="str">
        <f t="shared" ca="1" si="9"/>
        <v/>
      </c>
      <c r="D227" s="32"/>
      <c r="E227" s="33"/>
      <c r="F227" s="36"/>
      <c r="G227" s="37"/>
      <c r="H227" s="37"/>
      <c r="I227" s="157"/>
      <c r="J227" s="201"/>
      <c r="K227" s="202" t="str">
        <f ca="1">IF(IF(COPIA!$J$3=TRUE,IF(OR(G227&lt;&gt;0,H227&lt;&gt;0),ROUND(SUM(COPIA!$FB$103:FB319),2)-ROUND(SUM(COPIA!$FC$103:FC319),2),""),"")&lt;&gt;0,"",0)</f>
        <v/>
      </c>
      <c r="L227" s="6">
        <f ca="1">IFERROR(IF(AND(INDIRECT(ADDRESS(ROW(),4,,,))&lt;=COPIA!$DA$1,K227=0,COPIA!$EX$1&gt;1,ROW()&lt;=COPIA!$EX$1),MAX($L$10:L226)+1,IF(AND(INDIRECT(ADDRESS(ROW(),4,,,))&lt;=COPIA!$DA$1,K227=0,COPIA!$EX$1=1),MAX($L$10:L226)+1,0)),0)</f>
        <v>0</v>
      </c>
      <c r="M227" s="6">
        <f ca="1">IF(AND(COPIA!$EX$1=1,L227&lt;&gt;0),ROW()-10,IF(AND(COPIA!$EX$1&gt;1,ROW()&gt;COPIA!$EX$1,L227&lt;&gt;0),0,IF(AND(COPIA!$EX$1&gt;1,ROW()&lt;=COPIA!$EX$1,L227&lt;&gt;0),ROW()-10,0)))</f>
        <v>0</v>
      </c>
      <c r="N227" s="6">
        <f ca="1">IF(AND($P$4=0,ROW()-10&lt;=$P$10),MAX($N$10:N226)+1,IF(AND(ROW()-10&gt;$P$10,ROW()-10&lt;=$P$4),ROW()-10,0))</f>
        <v>0</v>
      </c>
      <c r="O227" s="6">
        <f ca="1">IF(N227&gt;0,MAX($O$10:O226)+1,0)</f>
        <v>0</v>
      </c>
      <c r="Q227" s="84"/>
      <c r="R227" s="84"/>
    </row>
    <row r="228" spans="2:18" ht="24" customHeight="1">
      <c r="B228" s="30" t="str">
        <f t="shared" ca="1" si="8"/>
        <v/>
      </c>
      <c r="C228" s="31" t="str">
        <f t="shared" ca="1" si="9"/>
        <v/>
      </c>
      <c r="D228" s="32"/>
      <c r="E228" s="33"/>
      <c r="F228" s="36"/>
      <c r="G228" s="37"/>
      <c r="H228" s="37"/>
      <c r="I228" s="157"/>
      <c r="J228" s="201"/>
      <c r="K228" s="202" t="str">
        <f ca="1">IF(IF(COPIA!$J$3=TRUE,IF(OR(G228&lt;&gt;0,H228&lt;&gt;0),ROUND(SUM(COPIA!$FB$103:FB320),2)-ROUND(SUM(COPIA!$FC$103:FC320),2),""),"")&lt;&gt;0,"",0)</f>
        <v/>
      </c>
      <c r="L228" s="6">
        <f ca="1">IFERROR(IF(AND(INDIRECT(ADDRESS(ROW(),4,,,))&lt;=COPIA!$DA$1,K228=0,COPIA!$EX$1&gt;1,ROW()&lt;=COPIA!$EX$1),MAX($L$10:L227)+1,IF(AND(INDIRECT(ADDRESS(ROW(),4,,,))&lt;=COPIA!$DA$1,K228=0,COPIA!$EX$1=1),MAX($L$10:L227)+1,0)),0)</f>
        <v>0</v>
      </c>
      <c r="M228" s="6">
        <f ca="1">IF(AND(COPIA!$EX$1=1,L228&lt;&gt;0),ROW()-10,IF(AND(COPIA!$EX$1&gt;1,ROW()&gt;COPIA!$EX$1,L228&lt;&gt;0),0,IF(AND(COPIA!$EX$1&gt;1,ROW()&lt;=COPIA!$EX$1,L228&lt;&gt;0),ROW()-10,0)))</f>
        <v>0</v>
      </c>
      <c r="N228" s="6">
        <f ca="1">IF(AND($P$4=0,ROW()-10&lt;=$P$10),MAX($N$10:N227)+1,IF(AND(ROW()-10&gt;$P$10,ROW()-10&lt;=$P$4),ROW()-10,0))</f>
        <v>0</v>
      </c>
      <c r="O228" s="6">
        <f ca="1">IF(N228&gt;0,MAX($O$10:O227)+1,0)</f>
        <v>0</v>
      </c>
      <c r="Q228" s="84"/>
      <c r="R228" s="84"/>
    </row>
    <row r="229" spans="2:18" ht="24" customHeight="1">
      <c r="B229" s="30" t="str">
        <f t="shared" ca="1" si="8"/>
        <v/>
      </c>
      <c r="C229" s="31" t="str">
        <f t="shared" ca="1" si="9"/>
        <v/>
      </c>
      <c r="D229" s="32"/>
      <c r="E229" s="33"/>
      <c r="F229" s="36"/>
      <c r="G229" s="37"/>
      <c r="H229" s="37"/>
      <c r="I229" s="157"/>
      <c r="J229" s="201"/>
      <c r="K229" s="202" t="str">
        <f ca="1">IF(IF(COPIA!$J$3=TRUE,IF(OR(G229&lt;&gt;0,H229&lt;&gt;0),ROUND(SUM(COPIA!$FB$103:FB321),2)-ROUND(SUM(COPIA!$FC$103:FC321),2),""),"")&lt;&gt;0,"",0)</f>
        <v/>
      </c>
      <c r="L229" s="6">
        <f ca="1">IFERROR(IF(AND(INDIRECT(ADDRESS(ROW(),4,,,))&lt;=COPIA!$DA$1,K229=0,COPIA!$EX$1&gt;1,ROW()&lt;=COPIA!$EX$1),MAX($L$10:L228)+1,IF(AND(INDIRECT(ADDRESS(ROW(),4,,,))&lt;=COPIA!$DA$1,K229=0,COPIA!$EX$1=1),MAX($L$10:L228)+1,0)),0)</f>
        <v>0</v>
      </c>
      <c r="M229" s="6">
        <f ca="1">IF(AND(COPIA!$EX$1=1,L229&lt;&gt;0),ROW()-10,IF(AND(COPIA!$EX$1&gt;1,ROW()&gt;COPIA!$EX$1,L229&lt;&gt;0),0,IF(AND(COPIA!$EX$1&gt;1,ROW()&lt;=COPIA!$EX$1,L229&lt;&gt;0),ROW()-10,0)))</f>
        <v>0</v>
      </c>
      <c r="N229" s="6">
        <f ca="1">IF(AND($P$4=0,ROW()-10&lt;=$P$10),MAX($N$10:N228)+1,IF(AND(ROW()-10&gt;$P$10,ROW()-10&lt;=$P$4),ROW()-10,0))</f>
        <v>0</v>
      </c>
      <c r="O229" s="6">
        <f ca="1">IF(N229&gt;0,MAX($O$10:O228)+1,0)</f>
        <v>0</v>
      </c>
      <c r="Q229" s="84"/>
      <c r="R229" s="84"/>
    </row>
    <row r="230" spans="2:18" ht="24" customHeight="1">
      <c r="B230" s="30" t="str">
        <f t="shared" ca="1" si="8"/>
        <v/>
      </c>
      <c r="C230" s="31" t="str">
        <f t="shared" ca="1" si="9"/>
        <v/>
      </c>
      <c r="D230" s="32"/>
      <c r="E230" s="33"/>
      <c r="F230" s="36"/>
      <c r="G230" s="37"/>
      <c r="H230" s="37"/>
      <c r="I230" s="157"/>
      <c r="J230" s="201"/>
      <c r="K230" s="202" t="str">
        <f ca="1">IF(IF(COPIA!$J$3=TRUE,IF(OR(G230&lt;&gt;0,H230&lt;&gt;0),ROUND(SUM(COPIA!$FB$103:FB322),2)-ROUND(SUM(COPIA!$FC$103:FC322),2),""),"")&lt;&gt;0,"",0)</f>
        <v/>
      </c>
      <c r="L230" s="6">
        <f ca="1">IFERROR(IF(AND(INDIRECT(ADDRESS(ROW(),4,,,))&lt;=COPIA!$DA$1,K230=0,COPIA!$EX$1&gt;1,ROW()&lt;=COPIA!$EX$1),MAX($L$10:L229)+1,IF(AND(INDIRECT(ADDRESS(ROW(),4,,,))&lt;=COPIA!$DA$1,K230=0,COPIA!$EX$1=1),MAX($L$10:L229)+1,0)),0)</f>
        <v>0</v>
      </c>
      <c r="M230" s="6">
        <f ca="1">IF(AND(COPIA!$EX$1=1,L230&lt;&gt;0),ROW()-10,IF(AND(COPIA!$EX$1&gt;1,ROW()&gt;COPIA!$EX$1,L230&lt;&gt;0),0,IF(AND(COPIA!$EX$1&gt;1,ROW()&lt;=COPIA!$EX$1,L230&lt;&gt;0),ROW()-10,0)))</f>
        <v>0</v>
      </c>
      <c r="N230" s="6">
        <f ca="1">IF(AND($P$4=0,ROW()-10&lt;=$P$10),MAX($N$10:N229)+1,IF(AND(ROW()-10&gt;$P$10,ROW()-10&lt;=$P$4),ROW()-10,0))</f>
        <v>0</v>
      </c>
      <c r="O230" s="6">
        <f ca="1">IF(N230&gt;0,MAX($O$10:O229)+1,0)</f>
        <v>0</v>
      </c>
      <c r="Q230" s="84"/>
      <c r="R230" s="84"/>
    </row>
    <row r="231" spans="2:18" ht="24" customHeight="1">
      <c r="B231" s="30" t="str">
        <f t="shared" ca="1" si="8"/>
        <v/>
      </c>
      <c r="C231" s="31" t="str">
        <f t="shared" ca="1" si="9"/>
        <v/>
      </c>
      <c r="D231" s="32"/>
      <c r="E231" s="33"/>
      <c r="F231" s="36"/>
      <c r="G231" s="37"/>
      <c r="H231" s="37"/>
      <c r="I231" s="157"/>
      <c r="J231" s="201"/>
      <c r="K231" s="202" t="str">
        <f ca="1">IF(IF(COPIA!$J$3=TRUE,IF(OR(G231&lt;&gt;0,H231&lt;&gt;0),ROUND(SUM(COPIA!$FB$103:FB323),2)-ROUND(SUM(COPIA!$FC$103:FC323),2),""),"")&lt;&gt;0,"",0)</f>
        <v/>
      </c>
      <c r="L231" s="6">
        <f ca="1">IFERROR(IF(AND(INDIRECT(ADDRESS(ROW(),4,,,))&lt;=COPIA!$DA$1,K231=0,COPIA!$EX$1&gt;1,ROW()&lt;=COPIA!$EX$1),MAX($L$10:L230)+1,IF(AND(INDIRECT(ADDRESS(ROW(),4,,,))&lt;=COPIA!$DA$1,K231=0,COPIA!$EX$1=1),MAX($L$10:L230)+1,0)),0)</f>
        <v>0</v>
      </c>
      <c r="M231" s="6">
        <f ca="1">IF(AND(COPIA!$EX$1=1,L231&lt;&gt;0),ROW()-10,IF(AND(COPIA!$EX$1&gt;1,ROW()&gt;COPIA!$EX$1,L231&lt;&gt;0),0,IF(AND(COPIA!$EX$1&gt;1,ROW()&lt;=COPIA!$EX$1,L231&lt;&gt;0),ROW()-10,0)))</f>
        <v>0</v>
      </c>
      <c r="N231" s="6">
        <f ca="1">IF(AND($P$4=0,ROW()-10&lt;=$P$10),MAX($N$10:N230)+1,IF(AND(ROW()-10&gt;$P$10,ROW()-10&lt;=$P$4),ROW()-10,0))</f>
        <v>0</v>
      </c>
      <c r="O231" s="6">
        <f ca="1">IF(N231&gt;0,MAX($O$10:O230)+1,0)</f>
        <v>0</v>
      </c>
      <c r="Q231" s="84"/>
      <c r="R231" s="84"/>
    </row>
    <row r="232" spans="2:18" ht="24" customHeight="1">
      <c r="B232" s="30" t="str">
        <f t="shared" ca="1" si="8"/>
        <v/>
      </c>
      <c r="C232" s="31" t="str">
        <f t="shared" ca="1" si="9"/>
        <v/>
      </c>
      <c r="D232" s="32"/>
      <c r="E232" s="33"/>
      <c r="F232" s="36"/>
      <c r="G232" s="37"/>
      <c r="H232" s="37"/>
      <c r="I232" s="157"/>
      <c r="J232" s="201"/>
      <c r="K232" s="202" t="str">
        <f ca="1">IF(IF(COPIA!$J$3=TRUE,IF(OR(G232&lt;&gt;0,H232&lt;&gt;0),ROUND(SUM(COPIA!$FB$103:FB324),2)-ROUND(SUM(COPIA!$FC$103:FC324),2),""),"")&lt;&gt;0,"",0)</f>
        <v/>
      </c>
      <c r="L232" s="6">
        <f ca="1">IFERROR(IF(AND(INDIRECT(ADDRESS(ROW(),4,,,))&lt;=COPIA!$DA$1,K232=0,COPIA!$EX$1&gt;1,ROW()&lt;=COPIA!$EX$1),MAX($L$10:L231)+1,IF(AND(INDIRECT(ADDRESS(ROW(),4,,,))&lt;=COPIA!$DA$1,K232=0,COPIA!$EX$1=1),MAX($L$10:L231)+1,0)),0)</f>
        <v>0</v>
      </c>
      <c r="M232" s="6">
        <f ca="1">IF(AND(COPIA!$EX$1=1,L232&lt;&gt;0),ROW()-10,IF(AND(COPIA!$EX$1&gt;1,ROW()&gt;COPIA!$EX$1,L232&lt;&gt;0),0,IF(AND(COPIA!$EX$1&gt;1,ROW()&lt;=COPIA!$EX$1,L232&lt;&gt;0),ROW()-10,0)))</f>
        <v>0</v>
      </c>
      <c r="N232" s="6">
        <f ca="1">IF(AND($P$4=0,ROW()-10&lt;=$P$10),MAX($N$10:N231)+1,IF(AND(ROW()-10&gt;$P$10,ROW()-10&lt;=$P$4),ROW()-10,0))</f>
        <v>0</v>
      </c>
      <c r="O232" s="6">
        <f ca="1">IF(N232&gt;0,MAX($O$10:O231)+1,0)</f>
        <v>0</v>
      </c>
      <c r="Q232" s="84"/>
      <c r="R232" s="84"/>
    </row>
    <row r="233" spans="2:18" ht="24" customHeight="1">
      <c r="B233" s="30" t="str">
        <f t="shared" ca="1" si="8"/>
        <v/>
      </c>
      <c r="C233" s="31" t="str">
        <f t="shared" ca="1" si="9"/>
        <v/>
      </c>
      <c r="D233" s="32"/>
      <c r="E233" s="33"/>
      <c r="F233" s="36"/>
      <c r="G233" s="37"/>
      <c r="H233" s="37"/>
      <c r="I233" s="157"/>
      <c r="J233" s="201"/>
      <c r="K233" s="202" t="str">
        <f ca="1">IF(IF(COPIA!$J$3=TRUE,IF(OR(G233&lt;&gt;0,H233&lt;&gt;0),ROUND(SUM(COPIA!$FB$103:FB325),2)-ROUND(SUM(COPIA!$FC$103:FC325),2),""),"")&lt;&gt;0,"",0)</f>
        <v/>
      </c>
      <c r="L233" s="6">
        <f ca="1">IFERROR(IF(AND(INDIRECT(ADDRESS(ROW(),4,,,))&lt;=COPIA!$DA$1,K233=0,COPIA!$EX$1&gt;1,ROW()&lt;=COPIA!$EX$1),MAX($L$10:L232)+1,IF(AND(INDIRECT(ADDRESS(ROW(),4,,,))&lt;=COPIA!$DA$1,K233=0,COPIA!$EX$1=1),MAX($L$10:L232)+1,0)),0)</f>
        <v>0</v>
      </c>
      <c r="M233" s="6">
        <f ca="1">IF(AND(COPIA!$EX$1=1,L233&lt;&gt;0),ROW()-10,IF(AND(COPIA!$EX$1&gt;1,ROW()&gt;COPIA!$EX$1,L233&lt;&gt;0),0,IF(AND(COPIA!$EX$1&gt;1,ROW()&lt;=COPIA!$EX$1,L233&lt;&gt;0),ROW()-10,0)))</f>
        <v>0</v>
      </c>
      <c r="N233" s="6">
        <f ca="1">IF(AND($P$4=0,ROW()-10&lt;=$P$10),MAX($N$10:N232)+1,IF(AND(ROW()-10&gt;$P$10,ROW()-10&lt;=$P$4),ROW()-10,0))</f>
        <v>0</v>
      </c>
      <c r="O233" s="6">
        <f ca="1">IF(N233&gt;0,MAX($O$10:O232)+1,0)</f>
        <v>0</v>
      </c>
      <c r="Q233" s="84"/>
      <c r="R233" s="84"/>
    </row>
    <row r="234" spans="2:18" ht="24" customHeight="1">
      <c r="B234" s="30" t="str">
        <f t="shared" ca="1" si="8"/>
        <v/>
      </c>
      <c r="C234" s="31" t="str">
        <f t="shared" ca="1" si="9"/>
        <v/>
      </c>
      <c r="D234" s="32"/>
      <c r="E234" s="33"/>
      <c r="F234" s="36"/>
      <c r="G234" s="37"/>
      <c r="H234" s="37"/>
      <c r="I234" s="157"/>
      <c r="J234" s="201"/>
      <c r="K234" s="202" t="str">
        <f ca="1">IF(IF(COPIA!$J$3=TRUE,IF(OR(G234&lt;&gt;0,H234&lt;&gt;0),ROUND(SUM(COPIA!$FB$103:FB326),2)-ROUND(SUM(COPIA!$FC$103:FC326),2),""),"")&lt;&gt;0,"",0)</f>
        <v/>
      </c>
      <c r="L234" s="6">
        <f ca="1">IFERROR(IF(AND(INDIRECT(ADDRESS(ROW(),4,,,))&lt;=COPIA!$DA$1,K234=0,COPIA!$EX$1&gt;1,ROW()&lt;=COPIA!$EX$1),MAX($L$10:L233)+1,IF(AND(INDIRECT(ADDRESS(ROW(),4,,,))&lt;=COPIA!$DA$1,K234=0,COPIA!$EX$1=1),MAX($L$10:L233)+1,0)),0)</f>
        <v>0</v>
      </c>
      <c r="M234" s="6">
        <f ca="1">IF(AND(COPIA!$EX$1=1,L234&lt;&gt;0),ROW()-10,IF(AND(COPIA!$EX$1&gt;1,ROW()&gt;COPIA!$EX$1,L234&lt;&gt;0),0,IF(AND(COPIA!$EX$1&gt;1,ROW()&lt;=COPIA!$EX$1,L234&lt;&gt;0),ROW()-10,0)))</f>
        <v>0</v>
      </c>
      <c r="N234" s="6">
        <f ca="1">IF(AND($P$4=0,ROW()-10&lt;=$P$10),MAX($N$10:N233)+1,IF(AND(ROW()-10&gt;$P$10,ROW()-10&lt;=$P$4),ROW()-10,0))</f>
        <v>0</v>
      </c>
      <c r="O234" s="6">
        <f ca="1">IF(N234&gt;0,MAX($O$10:O233)+1,0)</f>
        <v>0</v>
      </c>
      <c r="Q234" s="84"/>
      <c r="R234" s="84"/>
    </row>
    <row r="235" spans="2:18" ht="24" customHeight="1">
      <c r="B235" s="30" t="str">
        <f t="shared" ca="1" si="8"/>
        <v/>
      </c>
      <c r="C235" s="31" t="str">
        <f t="shared" ca="1" si="9"/>
        <v/>
      </c>
      <c r="D235" s="32"/>
      <c r="E235" s="33"/>
      <c r="F235" s="36"/>
      <c r="G235" s="37"/>
      <c r="H235" s="37"/>
      <c r="I235" s="157"/>
      <c r="J235" s="201"/>
      <c r="K235" s="202" t="str">
        <f ca="1">IF(IF(COPIA!$J$3=TRUE,IF(OR(G235&lt;&gt;0,H235&lt;&gt;0),ROUND(SUM(COPIA!$FB$103:FB327),2)-ROUND(SUM(COPIA!$FC$103:FC327),2),""),"")&lt;&gt;0,"",0)</f>
        <v/>
      </c>
      <c r="L235" s="6">
        <f ca="1">IFERROR(IF(AND(INDIRECT(ADDRESS(ROW(),4,,,))&lt;=COPIA!$DA$1,K235=0,COPIA!$EX$1&gt;1,ROW()&lt;=COPIA!$EX$1),MAX($L$10:L234)+1,IF(AND(INDIRECT(ADDRESS(ROW(),4,,,))&lt;=COPIA!$DA$1,K235=0,COPIA!$EX$1=1),MAX($L$10:L234)+1,0)),0)</f>
        <v>0</v>
      </c>
      <c r="M235" s="6">
        <f ca="1">IF(AND(COPIA!$EX$1=1,L235&lt;&gt;0),ROW()-10,IF(AND(COPIA!$EX$1&gt;1,ROW()&gt;COPIA!$EX$1,L235&lt;&gt;0),0,IF(AND(COPIA!$EX$1&gt;1,ROW()&lt;=COPIA!$EX$1,L235&lt;&gt;0),ROW()-10,0)))</f>
        <v>0</v>
      </c>
      <c r="N235" s="6">
        <f ca="1">IF(AND($P$4=0,ROW()-10&lt;=$P$10),MAX($N$10:N234)+1,IF(AND(ROW()-10&gt;$P$10,ROW()-10&lt;=$P$4),ROW()-10,0))</f>
        <v>0</v>
      </c>
      <c r="O235" s="6">
        <f ca="1">IF(N235&gt;0,MAX($O$10:O234)+1,0)</f>
        <v>0</v>
      </c>
      <c r="Q235" s="84"/>
      <c r="R235" s="84"/>
    </row>
    <row r="236" spans="2:18" ht="24" customHeight="1">
      <c r="B236" s="30" t="str">
        <f t="shared" ca="1" si="8"/>
        <v/>
      </c>
      <c r="C236" s="31" t="str">
        <f t="shared" ca="1" si="9"/>
        <v/>
      </c>
      <c r="D236" s="32"/>
      <c r="E236" s="33"/>
      <c r="F236" s="36"/>
      <c r="G236" s="37"/>
      <c r="H236" s="37"/>
      <c r="I236" s="157"/>
      <c r="J236" s="201"/>
      <c r="K236" s="202" t="str">
        <f ca="1">IF(IF(COPIA!$J$3=TRUE,IF(OR(G236&lt;&gt;0,H236&lt;&gt;0),ROUND(SUM(COPIA!$FB$103:FB328),2)-ROUND(SUM(COPIA!$FC$103:FC328),2),""),"")&lt;&gt;0,"",0)</f>
        <v/>
      </c>
      <c r="L236" s="6">
        <f ca="1">IFERROR(IF(AND(INDIRECT(ADDRESS(ROW(),4,,,))&lt;=COPIA!$DA$1,K236=0,COPIA!$EX$1&gt;1,ROW()&lt;=COPIA!$EX$1),MAX($L$10:L235)+1,IF(AND(INDIRECT(ADDRESS(ROW(),4,,,))&lt;=COPIA!$DA$1,K236=0,COPIA!$EX$1=1),MAX($L$10:L235)+1,0)),0)</f>
        <v>0</v>
      </c>
      <c r="M236" s="6">
        <f ca="1">IF(AND(COPIA!$EX$1=1,L236&lt;&gt;0),ROW()-10,IF(AND(COPIA!$EX$1&gt;1,ROW()&gt;COPIA!$EX$1,L236&lt;&gt;0),0,IF(AND(COPIA!$EX$1&gt;1,ROW()&lt;=COPIA!$EX$1,L236&lt;&gt;0),ROW()-10,0)))</f>
        <v>0</v>
      </c>
      <c r="N236" s="6">
        <f ca="1">IF(AND($P$4=0,ROW()-10&lt;=$P$10),MAX($N$10:N235)+1,IF(AND(ROW()-10&gt;$P$10,ROW()-10&lt;=$P$4),ROW()-10,0))</f>
        <v>0</v>
      </c>
      <c r="O236" s="6">
        <f ca="1">IF(N236&gt;0,MAX($O$10:O235)+1,0)</f>
        <v>0</v>
      </c>
      <c r="Q236" s="84"/>
      <c r="R236" s="84"/>
    </row>
    <row r="237" spans="2:18" ht="24" customHeight="1">
      <c r="B237" s="30" t="str">
        <f t="shared" ca="1" si="8"/>
        <v/>
      </c>
      <c r="C237" s="31" t="str">
        <f t="shared" ca="1" si="9"/>
        <v/>
      </c>
      <c r="D237" s="32"/>
      <c r="E237" s="33"/>
      <c r="F237" s="36"/>
      <c r="G237" s="37"/>
      <c r="H237" s="37"/>
      <c r="I237" s="157"/>
      <c r="J237" s="201"/>
      <c r="K237" s="202" t="str">
        <f ca="1">IF(IF(COPIA!$J$3=TRUE,IF(OR(G237&lt;&gt;0,H237&lt;&gt;0),ROUND(SUM(COPIA!$FB$103:FB329),2)-ROUND(SUM(COPIA!$FC$103:FC329),2),""),"")&lt;&gt;0,"",0)</f>
        <v/>
      </c>
      <c r="L237" s="6">
        <f ca="1">IFERROR(IF(AND(INDIRECT(ADDRESS(ROW(),4,,,))&lt;=COPIA!$DA$1,K237=0,COPIA!$EX$1&gt;1,ROW()&lt;=COPIA!$EX$1),MAX($L$10:L236)+1,IF(AND(INDIRECT(ADDRESS(ROW(),4,,,))&lt;=COPIA!$DA$1,K237=0,COPIA!$EX$1=1),MAX($L$10:L236)+1,0)),0)</f>
        <v>0</v>
      </c>
      <c r="M237" s="6">
        <f ca="1">IF(AND(COPIA!$EX$1=1,L237&lt;&gt;0),ROW()-10,IF(AND(COPIA!$EX$1&gt;1,ROW()&gt;COPIA!$EX$1,L237&lt;&gt;0),0,IF(AND(COPIA!$EX$1&gt;1,ROW()&lt;=COPIA!$EX$1,L237&lt;&gt;0),ROW()-10,0)))</f>
        <v>0</v>
      </c>
      <c r="N237" s="6">
        <f ca="1">IF(AND($P$4=0,ROW()-10&lt;=$P$10),MAX($N$10:N236)+1,IF(AND(ROW()-10&gt;$P$10,ROW()-10&lt;=$P$4),ROW()-10,0))</f>
        <v>0</v>
      </c>
      <c r="O237" s="6">
        <f ca="1">IF(N237&gt;0,MAX($O$10:O236)+1,0)</f>
        <v>0</v>
      </c>
      <c r="Q237" s="84"/>
      <c r="R237" s="84"/>
    </row>
    <row r="238" spans="2:18" ht="24" customHeight="1">
      <c r="B238" s="30" t="str">
        <f t="shared" ca="1" si="8"/>
        <v/>
      </c>
      <c r="C238" s="31" t="str">
        <f t="shared" ca="1" si="9"/>
        <v/>
      </c>
      <c r="D238" s="32"/>
      <c r="E238" s="33"/>
      <c r="F238" s="36"/>
      <c r="G238" s="37"/>
      <c r="H238" s="37"/>
      <c r="I238" s="157"/>
      <c r="J238" s="201"/>
      <c r="K238" s="202" t="str">
        <f ca="1">IF(IF(COPIA!$J$3=TRUE,IF(OR(G238&lt;&gt;0,H238&lt;&gt;0),ROUND(SUM(COPIA!$FB$103:FB330),2)-ROUND(SUM(COPIA!$FC$103:FC330),2),""),"")&lt;&gt;0,"",0)</f>
        <v/>
      </c>
      <c r="L238" s="6">
        <f ca="1">IFERROR(IF(AND(INDIRECT(ADDRESS(ROW(),4,,,))&lt;=COPIA!$DA$1,K238=0,COPIA!$EX$1&gt;1,ROW()&lt;=COPIA!$EX$1),MAX($L$10:L237)+1,IF(AND(INDIRECT(ADDRESS(ROW(),4,,,))&lt;=COPIA!$DA$1,K238=0,COPIA!$EX$1=1),MAX($L$10:L237)+1,0)),0)</f>
        <v>0</v>
      </c>
      <c r="M238" s="6">
        <f ca="1">IF(AND(COPIA!$EX$1=1,L238&lt;&gt;0),ROW()-10,IF(AND(COPIA!$EX$1&gt;1,ROW()&gt;COPIA!$EX$1,L238&lt;&gt;0),0,IF(AND(COPIA!$EX$1&gt;1,ROW()&lt;=COPIA!$EX$1,L238&lt;&gt;0),ROW()-10,0)))</f>
        <v>0</v>
      </c>
      <c r="N238" s="6">
        <f ca="1">IF(AND($P$4=0,ROW()-10&lt;=$P$10),MAX($N$10:N237)+1,IF(AND(ROW()-10&gt;$P$10,ROW()-10&lt;=$P$4),ROW()-10,0))</f>
        <v>0</v>
      </c>
      <c r="O238" s="6">
        <f ca="1">IF(N238&gt;0,MAX($O$10:O237)+1,0)</f>
        <v>0</v>
      </c>
      <c r="Q238" s="84"/>
      <c r="R238" s="84"/>
    </row>
    <row r="239" spans="2:18" ht="24" customHeight="1">
      <c r="B239" s="30" t="str">
        <f t="shared" ca="1" si="8"/>
        <v/>
      </c>
      <c r="C239" s="31" t="str">
        <f t="shared" ca="1" si="9"/>
        <v/>
      </c>
      <c r="D239" s="32"/>
      <c r="E239" s="33"/>
      <c r="F239" s="36"/>
      <c r="G239" s="37"/>
      <c r="H239" s="37"/>
      <c r="I239" s="157"/>
      <c r="J239" s="201"/>
      <c r="K239" s="202" t="str">
        <f ca="1">IF(IF(COPIA!$J$3=TRUE,IF(OR(G239&lt;&gt;0,H239&lt;&gt;0),ROUND(SUM(COPIA!$FB$103:FB331),2)-ROUND(SUM(COPIA!$FC$103:FC331),2),""),"")&lt;&gt;0,"",0)</f>
        <v/>
      </c>
      <c r="L239" s="6">
        <f ca="1">IFERROR(IF(AND(INDIRECT(ADDRESS(ROW(),4,,,))&lt;=COPIA!$DA$1,K239=0,COPIA!$EX$1&gt;1,ROW()&lt;=COPIA!$EX$1),MAX($L$10:L238)+1,IF(AND(INDIRECT(ADDRESS(ROW(),4,,,))&lt;=COPIA!$DA$1,K239=0,COPIA!$EX$1=1),MAX($L$10:L238)+1,0)),0)</f>
        <v>0</v>
      </c>
      <c r="M239" s="6">
        <f ca="1">IF(AND(COPIA!$EX$1=1,L239&lt;&gt;0),ROW()-10,IF(AND(COPIA!$EX$1&gt;1,ROW()&gt;COPIA!$EX$1,L239&lt;&gt;0),0,IF(AND(COPIA!$EX$1&gt;1,ROW()&lt;=COPIA!$EX$1,L239&lt;&gt;0),ROW()-10,0)))</f>
        <v>0</v>
      </c>
      <c r="N239" s="6">
        <f ca="1">IF(AND($P$4=0,ROW()-10&lt;=$P$10),MAX($N$10:N238)+1,IF(AND(ROW()-10&gt;$P$10,ROW()-10&lt;=$P$4),ROW()-10,0))</f>
        <v>0</v>
      </c>
      <c r="O239" s="6">
        <f ca="1">IF(N239&gt;0,MAX($O$10:O238)+1,0)</f>
        <v>0</v>
      </c>
      <c r="Q239" s="84"/>
      <c r="R239" s="84"/>
    </row>
    <row r="240" spans="2:18" ht="24" customHeight="1">
      <c r="B240" s="30" t="str">
        <f t="shared" ca="1" si="8"/>
        <v/>
      </c>
      <c r="C240" s="31" t="str">
        <f t="shared" ca="1" si="9"/>
        <v/>
      </c>
      <c r="D240" s="32"/>
      <c r="E240" s="33"/>
      <c r="F240" s="36"/>
      <c r="G240" s="37"/>
      <c r="H240" s="37"/>
      <c r="I240" s="157"/>
      <c r="J240" s="201"/>
      <c r="K240" s="202" t="str">
        <f ca="1">IF(IF(COPIA!$J$3=TRUE,IF(OR(G240&lt;&gt;0,H240&lt;&gt;0),ROUND(SUM(COPIA!$FB$103:FB332),2)-ROUND(SUM(COPIA!$FC$103:FC332),2),""),"")&lt;&gt;0,"",0)</f>
        <v/>
      </c>
      <c r="L240" s="6">
        <f ca="1">IFERROR(IF(AND(INDIRECT(ADDRESS(ROW(),4,,,))&lt;=COPIA!$DA$1,K240=0,COPIA!$EX$1&gt;1,ROW()&lt;=COPIA!$EX$1),MAX($L$10:L239)+1,IF(AND(INDIRECT(ADDRESS(ROW(),4,,,))&lt;=COPIA!$DA$1,K240=0,COPIA!$EX$1=1),MAX($L$10:L239)+1,0)),0)</f>
        <v>0</v>
      </c>
      <c r="M240" s="6">
        <f ca="1">IF(AND(COPIA!$EX$1=1,L240&lt;&gt;0),ROW()-10,IF(AND(COPIA!$EX$1&gt;1,ROW()&gt;COPIA!$EX$1,L240&lt;&gt;0),0,IF(AND(COPIA!$EX$1&gt;1,ROW()&lt;=COPIA!$EX$1,L240&lt;&gt;0),ROW()-10,0)))</f>
        <v>0</v>
      </c>
      <c r="N240" s="6">
        <f ca="1">IF(AND($P$4=0,ROW()-10&lt;=$P$10),MAX($N$10:N239)+1,IF(AND(ROW()-10&gt;$P$10,ROW()-10&lt;=$P$4),ROW()-10,0))</f>
        <v>0</v>
      </c>
      <c r="O240" s="6">
        <f ca="1">IF(N240&gt;0,MAX($O$10:O239)+1,0)</f>
        <v>0</v>
      </c>
      <c r="Q240" s="84"/>
      <c r="R240" s="84"/>
    </row>
    <row r="241" spans="2:18" ht="24" customHeight="1">
      <c r="B241" s="30" t="str">
        <f t="shared" ca="1" si="8"/>
        <v/>
      </c>
      <c r="C241" s="31" t="str">
        <f t="shared" ca="1" si="9"/>
        <v/>
      </c>
      <c r="D241" s="32"/>
      <c r="E241" s="33"/>
      <c r="F241" s="36"/>
      <c r="G241" s="37"/>
      <c r="H241" s="37"/>
      <c r="I241" s="157"/>
      <c r="J241" s="201"/>
      <c r="K241" s="202" t="str">
        <f ca="1">IF(IF(COPIA!$J$3=TRUE,IF(OR(G241&lt;&gt;0,H241&lt;&gt;0),ROUND(SUM(COPIA!$FB$103:FB333),2)-ROUND(SUM(COPIA!$FC$103:FC333),2),""),"")&lt;&gt;0,"",0)</f>
        <v/>
      </c>
      <c r="L241" s="6">
        <f ca="1">IFERROR(IF(AND(INDIRECT(ADDRESS(ROW(),4,,,))&lt;=COPIA!$DA$1,K241=0,COPIA!$EX$1&gt;1,ROW()&lt;=COPIA!$EX$1),MAX($L$10:L240)+1,IF(AND(INDIRECT(ADDRESS(ROW(),4,,,))&lt;=COPIA!$DA$1,K241=0,COPIA!$EX$1=1),MAX($L$10:L240)+1,0)),0)</f>
        <v>0</v>
      </c>
      <c r="M241" s="6">
        <f ca="1">IF(AND(COPIA!$EX$1=1,L241&lt;&gt;0),ROW()-10,IF(AND(COPIA!$EX$1&gt;1,ROW()&gt;COPIA!$EX$1,L241&lt;&gt;0),0,IF(AND(COPIA!$EX$1&gt;1,ROW()&lt;=COPIA!$EX$1,L241&lt;&gt;0),ROW()-10,0)))</f>
        <v>0</v>
      </c>
      <c r="N241" s="6">
        <f ca="1">IF(AND($P$4=0,ROW()-10&lt;=$P$10),MAX($N$10:N240)+1,IF(AND(ROW()-10&gt;$P$10,ROW()-10&lt;=$P$4),ROW()-10,0))</f>
        <v>0</v>
      </c>
      <c r="O241" s="6">
        <f ca="1">IF(N241&gt;0,MAX($O$10:O240)+1,0)</f>
        <v>0</v>
      </c>
      <c r="Q241" s="84"/>
      <c r="R241" s="84"/>
    </row>
    <row r="242" spans="2:18" ht="24" customHeight="1">
      <c r="B242" s="30" t="str">
        <f t="shared" ca="1" si="8"/>
        <v/>
      </c>
      <c r="C242" s="31" t="str">
        <f t="shared" ca="1" si="9"/>
        <v/>
      </c>
      <c r="D242" s="32"/>
      <c r="E242" s="33"/>
      <c r="F242" s="36"/>
      <c r="G242" s="37"/>
      <c r="H242" s="37"/>
      <c r="I242" s="157"/>
      <c r="J242" s="201"/>
      <c r="K242" s="202" t="str">
        <f ca="1">IF(IF(COPIA!$J$3=TRUE,IF(OR(G242&lt;&gt;0,H242&lt;&gt;0),ROUND(SUM(COPIA!$FB$103:FB334),2)-ROUND(SUM(COPIA!$FC$103:FC334),2),""),"")&lt;&gt;0,"",0)</f>
        <v/>
      </c>
      <c r="L242" s="6">
        <f ca="1">IFERROR(IF(AND(INDIRECT(ADDRESS(ROW(),4,,,))&lt;=COPIA!$DA$1,K242=0,COPIA!$EX$1&gt;1,ROW()&lt;=COPIA!$EX$1),MAX($L$10:L241)+1,IF(AND(INDIRECT(ADDRESS(ROW(),4,,,))&lt;=COPIA!$DA$1,K242=0,COPIA!$EX$1=1),MAX($L$10:L241)+1,0)),0)</f>
        <v>0</v>
      </c>
      <c r="M242" s="6">
        <f ca="1">IF(AND(COPIA!$EX$1=1,L242&lt;&gt;0),ROW()-10,IF(AND(COPIA!$EX$1&gt;1,ROW()&gt;COPIA!$EX$1,L242&lt;&gt;0),0,IF(AND(COPIA!$EX$1&gt;1,ROW()&lt;=COPIA!$EX$1,L242&lt;&gt;0),ROW()-10,0)))</f>
        <v>0</v>
      </c>
      <c r="N242" s="6">
        <f ca="1">IF(AND($P$4=0,ROW()-10&lt;=$P$10),MAX($N$10:N241)+1,IF(AND(ROW()-10&gt;$P$10,ROW()-10&lt;=$P$4),ROW()-10,0))</f>
        <v>0</v>
      </c>
      <c r="O242" s="6">
        <f ca="1">IF(N242&gt;0,MAX($O$10:O241)+1,0)</f>
        <v>0</v>
      </c>
      <c r="Q242" s="84"/>
      <c r="R242" s="84"/>
    </row>
    <row r="243" spans="2:18" ht="24" customHeight="1">
      <c r="B243" s="30" t="str">
        <f t="shared" ca="1" si="8"/>
        <v/>
      </c>
      <c r="C243" s="31" t="str">
        <f t="shared" ca="1" si="9"/>
        <v/>
      </c>
      <c r="D243" s="32"/>
      <c r="E243" s="33"/>
      <c r="F243" s="36"/>
      <c r="G243" s="37"/>
      <c r="H243" s="37"/>
      <c r="I243" s="157"/>
      <c r="J243" s="201"/>
      <c r="K243" s="202" t="str">
        <f ca="1">IF(IF(COPIA!$J$3=TRUE,IF(OR(G243&lt;&gt;0,H243&lt;&gt;0),ROUND(SUM(COPIA!$FB$103:FB335),2)-ROUND(SUM(COPIA!$FC$103:FC335),2),""),"")&lt;&gt;0,"",0)</f>
        <v/>
      </c>
      <c r="L243" s="6">
        <f ca="1">IFERROR(IF(AND(INDIRECT(ADDRESS(ROW(),4,,,))&lt;=COPIA!$DA$1,K243=0,COPIA!$EX$1&gt;1,ROW()&lt;=COPIA!$EX$1),MAX($L$10:L242)+1,IF(AND(INDIRECT(ADDRESS(ROW(),4,,,))&lt;=COPIA!$DA$1,K243=0,COPIA!$EX$1=1),MAX($L$10:L242)+1,0)),0)</f>
        <v>0</v>
      </c>
      <c r="M243" s="6">
        <f ca="1">IF(AND(COPIA!$EX$1=1,L243&lt;&gt;0),ROW()-10,IF(AND(COPIA!$EX$1&gt;1,ROW()&gt;COPIA!$EX$1,L243&lt;&gt;0),0,IF(AND(COPIA!$EX$1&gt;1,ROW()&lt;=COPIA!$EX$1,L243&lt;&gt;0),ROW()-10,0)))</f>
        <v>0</v>
      </c>
      <c r="N243" s="6">
        <f ca="1">IF(AND($P$4=0,ROW()-10&lt;=$P$10),MAX($N$10:N242)+1,IF(AND(ROW()-10&gt;$P$10,ROW()-10&lt;=$P$4),ROW()-10,0))</f>
        <v>0</v>
      </c>
      <c r="O243" s="6">
        <f ca="1">IF(N243&gt;0,MAX($O$10:O242)+1,0)</f>
        <v>0</v>
      </c>
      <c r="Q243" s="84"/>
      <c r="R243" s="84"/>
    </row>
    <row r="244" spans="2:18" ht="24" customHeight="1">
      <c r="B244" s="30" t="str">
        <f t="shared" ca="1" si="8"/>
        <v/>
      </c>
      <c r="C244" s="31" t="str">
        <f t="shared" ca="1" si="9"/>
        <v/>
      </c>
      <c r="D244" s="32"/>
      <c r="E244" s="33"/>
      <c r="F244" s="36"/>
      <c r="G244" s="37"/>
      <c r="H244" s="37"/>
      <c r="I244" s="157"/>
      <c r="J244" s="201"/>
      <c r="K244" s="202" t="str">
        <f ca="1">IF(IF(COPIA!$J$3=TRUE,IF(OR(G244&lt;&gt;0,H244&lt;&gt;0),ROUND(SUM(COPIA!$FB$103:FB336),2)-ROUND(SUM(COPIA!$FC$103:FC336),2),""),"")&lt;&gt;0,"",0)</f>
        <v/>
      </c>
      <c r="L244" s="6">
        <f ca="1">IFERROR(IF(AND(INDIRECT(ADDRESS(ROW(),4,,,))&lt;=COPIA!$DA$1,K244=0,COPIA!$EX$1&gt;1,ROW()&lt;=COPIA!$EX$1),MAX($L$10:L243)+1,IF(AND(INDIRECT(ADDRESS(ROW(),4,,,))&lt;=COPIA!$DA$1,K244=0,COPIA!$EX$1=1),MAX($L$10:L243)+1,0)),0)</f>
        <v>0</v>
      </c>
      <c r="M244" s="6">
        <f ca="1">IF(AND(COPIA!$EX$1=1,L244&lt;&gt;0),ROW()-10,IF(AND(COPIA!$EX$1&gt;1,ROW()&gt;COPIA!$EX$1,L244&lt;&gt;0),0,IF(AND(COPIA!$EX$1&gt;1,ROW()&lt;=COPIA!$EX$1,L244&lt;&gt;0),ROW()-10,0)))</f>
        <v>0</v>
      </c>
      <c r="N244" s="6">
        <f ca="1">IF(AND($P$4=0,ROW()-10&lt;=$P$10),MAX($N$10:N243)+1,IF(AND(ROW()-10&gt;$P$10,ROW()-10&lt;=$P$4),ROW()-10,0))</f>
        <v>0</v>
      </c>
      <c r="O244" s="6">
        <f ca="1">IF(N244&gt;0,MAX($O$10:O243)+1,0)</f>
        <v>0</v>
      </c>
      <c r="Q244" s="84"/>
      <c r="R244" s="84"/>
    </row>
    <row r="245" spans="2:18" ht="24" customHeight="1">
      <c r="B245" s="30" t="str">
        <f t="shared" ca="1" si="8"/>
        <v/>
      </c>
      <c r="C245" s="31" t="str">
        <f t="shared" ca="1" si="9"/>
        <v/>
      </c>
      <c r="D245" s="32"/>
      <c r="E245" s="33"/>
      <c r="F245" s="36"/>
      <c r="G245" s="37"/>
      <c r="H245" s="37"/>
      <c r="I245" s="157"/>
      <c r="J245" s="201"/>
      <c r="K245" s="202" t="str">
        <f ca="1">IF(IF(COPIA!$J$3=TRUE,IF(OR(G245&lt;&gt;0,H245&lt;&gt;0),ROUND(SUM(COPIA!$FB$103:FB337),2)-ROUND(SUM(COPIA!$FC$103:FC337),2),""),"")&lt;&gt;0,"",0)</f>
        <v/>
      </c>
      <c r="L245" s="6">
        <f ca="1">IFERROR(IF(AND(INDIRECT(ADDRESS(ROW(),4,,,))&lt;=COPIA!$DA$1,K245=0,COPIA!$EX$1&gt;1,ROW()&lt;=COPIA!$EX$1),MAX($L$10:L244)+1,IF(AND(INDIRECT(ADDRESS(ROW(),4,,,))&lt;=COPIA!$DA$1,K245=0,COPIA!$EX$1=1),MAX($L$10:L244)+1,0)),0)</f>
        <v>0</v>
      </c>
      <c r="M245" s="6">
        <f ca="1">IF(AND(COPIA!$EX$1=1,L245&lt;&gt;0),ROW()-10,IF(AND(COPIA!$EX$1&gt;1,ROW()&gt;COPIA!$EX$1,L245&lt;&gt;0),0,IF(AND(COPIA!$EX$1&gt;1,ROW()&lt;=COPIA!$EX$1,L245&lt;&gt;0),ROW()-10,0)))</f>
        <v>0</v>
      </c>
      <c r="N245" s="6">
        <f ca="1">IF(AND($P$4=0,ROW()-10&lt;=$P$10),MAX($N$10:N244)+1,IF(AND(ROW()-10&gt;$P$10,ROW()-10&lt;=$P$4),ROW()-10,0))</f>
        <v>0</v>
      </c>
      <c r="O245" s="6">
        <f ca="1">IF(N245&gt;0,MAX($O$10:O244)+1,0)</f>
        <v>0</v>
      </c>
      <c r="Q245" s="84"/>
      <c r="R245" s="84"/>
    </row>
    <row r="246" spans="2:18" ht="24" customHeight="1">
      <c r="B246" s="30" t="str">
        <f t="shared" ca="1" si="8"/>
        <v/>
      </c>
      <c r="C246" s="31" t="str">
        <f t="shared" ca="1" si="9"/>
        <v/>
      </c>
      <c r="D246" s="32"/>
      <c r="E246" s="33"/>
      <c r="F246" s="36"/>
      <c r="G246" s="37"/>
      <c r="H246" s="37"/>
      <c r="I246" s="157"/>
      <c r="J246" s="201"/>
      <c r="K246" s="202" t="str">
        <f ca="1">IF(IF(COPIA!$J$3=TRUE,IF(OR(G246&lt;&gt;0,H246&lt;&gt;0),ROUND(SUM(COPIA!$FB$103:FB338),2)-ROUND(SUM(COPIA!$FC$103:FC338),2),""),"")&lt;&gt;0,"",0)</f>
        <v/>
      </c>
      <c r="L246" s="6">
        <f ca="1">IFERROR(IF(AND(INDIRECT(ADDRESS(ROW(),4,,,))&lt;=COPIA!$DA$1,K246=0,COPIA!$EX$1&gt;1,ROW()&lt;=COPIA!$EX$1),MAX($L$10:L245)+1,IF(AND(INDIRECT(ADDRESS(ROW(),4,,,))&lt;=COPIA!$DA$1,K246=0,COPIA!$EX$1=1),MAX($L$10:L245)+1,0)),0)</f>
        <v>0</v>
      </c>
      <c r="M246" s="6">
        <f ca="1">IF(AND(COPIA!$EX$1=1,L246&lt;&gt;0),ROW()-10,IF(AND(COPIA!$EX$1&gt;1,ROW()&gt;COPIA!$EX$1,L246&lt;&gt;0),0,IF(AND(COPIA!$EX$1&gt;1,ROW()&lt;=COPIA!$EX$1,L246&lt;&gt;0),ROW()-10,0)))</f>
        <v>0</v>
      </c>
      <c r="N246" s="6">
        <f ca="1">IF(AND($P$4=0,ROW()-10&lt;=$P$10),MAX($N$10:N245)+1,IF(AND(ROW()-10&gt;$P$10,ROW()-10&lt;=$P$4),ROW()-10,0))</f>
        <v>0</v>
      </c>
      <c r="O246" s="6">
        <f ca="1">IF(N246&gt;0,MAX($O$10:O245)+1,0)</f>
        <v>0</v>
      </c>
      <c r="Q246" s="84"/>
      <c r="R246" s="84"/>
    </row>
    <row r="247" spans="2:18" ht="24" customHeight="1">
      <c r="B247" s="30" t="str">
        <f t="shared" ca="1" si="8"/>
        <v/>
      </c>
      <c r="C247" s="31" t="str">
        <f t="shared" ca="1" si="9"/>
        <v/>
      </c>
      <c r="D247" s="32"/>
      <c r="E247" s="33"/>
      <c r="F247" s="36"/>
      <c r="G247" s="37"/>
      <c r="H247" s="37"/>
      <c r="I247" s="157"/>
      <c r="J247" s="201"/>
      <c r="K247" s="202" t="str">
        <f ca="1">IF(IF(COPIA!$J$3=TRUE,IF(OR(G247&lt;&gt;0,H247&lt;&gt;0),ROUND(SUM(COPIA!$FB$103:FB339),2)-ROUND(SUM(COPIA!$FC$103:FC339),2),""),"")&lt;&gt;0,"",0)</f>
        <v/>
      </c>
      <c r="L247" s="6">
        <f ca="1">IFERROR(IF(AND(INDIRECT(ADDRESS(ROW(),4,,,))&lt;=COPIA!$DA$1,K247=0,COPIA!$EX$1&gt;1,ROW()&lt;=COPIA!$EX$1),MAX($L$10:L246)+1,IF(AND(INDIRECT(ADDRESS(ROW(),4,,,))&lt;=COPIA!$DA$1,K247=0,COPIA!$EX$1=1),MAX($L$10:L246)+1,0)),0)</f>
        <v>0</v>
      </c>
      <c r="M247" s="6">
        <f ca="1">IF(AND(COPIA!$EX$1=1,L247&lt;&gt;0),ROW()-10,IF(AND(COPIA!$EX$1&gt;1,ROW()&gt;COPIA!$EX$1,L247&lt;&gt;0),0,IF(AND(COPIA!$EX$1&gt;1,ROW()&lt;=COPIA!$EX$1,L247&lt;&gt;0),ROW()-10,0)))</f>
        <v>0</v>
      </c>
      <c r="N247" s="6">
        <f ca="1">IF(AND($P$4=0,ROW()-10&lt;=$P$10),MAX($N$10:N246)+1,IF(AND(ROW()-10&gt;$P$10,ROW()-10&lt;=$P$4),ROW()-10,0))</f>
        <v>0</v>
      </c>
      <c r="O247" s="6">
        <f ca="1">IF(N247&gt;0,MAX($O$10:O246)+1,0)</f>
        <v>0</v>
      </c>
      <c r="Q247" s="84"/>
      <c r="R247" s="84"/>
    </row>
    <row r="248" spans="2:18" ht="24" customHeight="1">
      <c r="B248" s="30" t="str">
        <f t="shared" ca="1" si="8"/>
        <v/>
      </c>
      <c r="C248" s="31" t="str">
        <f t="shared" ca="1" si="9"/>
        <v/>
      </c>
      <c r="D248" s="32"/>
      <c r="E248" s="33"/>
      <c r="F248" s="36"/>
      <c r="G248" s="37"/>
      <c r="H248" s="37"/>
      <c r="I248" s="157"/>
      <c r="J248" s="201"/>
      <c r="K248" s="202" t="str">
        <f ca="1">IF(IF(COPIA!$J$3=TRUE,IF(OR(G248&lt;&gt;0,H248&lt;&gt;0),ROUND(SUM(COPIA!$FB$103:FB340),2)-ROUND(SUM(COPIA!$FC$103:FC340),2),""),"")&lt;&gt;0,"",0)</f>
        <v/>
      </c>
      <c r="L248" s="6">
        <f ca="1">IFERROR(IF(AND(INDIRECT(ADDRESS(ROW(),4,,,))&lt;=COPIA!$DA$1,K248=0,COPIA!$EX$1&gt;1,ROW()&lt;=COPIA!$EX$1),MAX($L$10:L247)+1,IF(AND(INDIRECT(ADDRESS(ROW(),4,,,))&lt;=COPIA!$DA$1,K248=0,COPIA!$EX$1=1),MAX($L$10:L247)+1,0)),0)</f>
        <v>0</v>
      </c>
      <c r="M248" s="6">
        <f ca="1">IF(AND(COPIA!$EX$1=1,L248&lt;&gt;0),ROW()-10,IF(AND(COPIA!$EX$1&gt;1,ROW()&gt;COPIA!$EX$1,L248&lt;&gt;0),0,IF(AND(COPIA!$EX$1&gt;1,ROW()&lt;=COPIA!$EX$1,L248&lt;&gt;0),ROW()-10,0)))</f>
        <v>0</v>
      </c>
      <c r="N248" s="6">
        <f ca="1">IF(AND($P$4=0,ROW()-10&lt;=$P$10),MAX($N$10:N247)+1,IF(AND(ROW()-10&gt;$P$10,ROW()-10&lt;=$P$4),ROW()-10,0))</f>
        <v>0</v>
      </c>
      <c r="O248" s="6">
        <f ca="1">IF(N248&gt;0,MAX($O$10:O247)+1,0)</f>
        <v>0</v>
      </c>
      <c r="Q248" s="84"/>
      <c r="R248" s="84"/>
    </row>
    <row r="249" spans="2:18" ht="24" customHeight="1">
      <c r="B249" s="30" t="str">
        <f t="shared" ca="1" si="8"/>
        <v/>
      </c>
      <c r="C249" s="31" t="str">
        <f t="shared" ca="1" si="9"/>
        <v/>
      </c>
      <c r="D249" s="32"/>
      <c r="E249" s="33"/>
      <c r="F249" s="36"/>
      <c r="G249" s="37"/>
      <c r="H249" s="37"/>
      <c r="I249" s="157"/>
      <c r="J249" s="201"/>
      <c r="K249" s="202" t="str">
        <f ca="1">IF(IF(COPIA!$J$3=TRUE,IF(OR(G249&lt;&gt;0,H249&lt;&gt;0),ROUND(SUM(COPIA!$FB$103:FB341),2)-ROUND(SUM(COPIA!$FC$103:FC341),2),""),"")&lt;&gt;0,"",0)</f>
        <v/>
      </c>
      <c r="L249" s="6">
        <f ca="1">IFERROR(IF(AND(INDIRECT(ADDRESS(ROW(),4,,,))&lt;=COPIA!$DA$1,K249=0,COPIA!$EX$1&gt;1,ROW()&lt;=COPIA!$EX$1),MAX($L$10:L248)+1,IF(AND(INDIRECT(ADDRESS(ROW(),4,,,))&lt;=COPIA!$DA$1,K249=0,COPIA!$EX$1=1),MAX($L$10:L248)+1,0)),0)</f>
        <v>0</v>
      </c>
      <c r="M249" s="6">
        <f ca="1">IF(AND(COPIA!$EX$1=1,L249&lt;&gt;0),ROW()-10,IF(AND(COPIA!$EX$1&gt;1,ROW()&gt;COPIA!$EX$1,L249&lt;&gt;0),0,IF(AND(COPIA!$EX$1&gt;1,ROW()&lt;=COPIA!$EX$1,L249&lt;&gt;0),ROW()-10,0)))</f>
        <v>0</v>
      </c>
      <c r="N249" s="6">
        <f ca="1">IF(AND($P$4=0,ROW()-10&lt;=$P$10),MAX($N$10:N248)+1,IF(AND(ROW()-10&gt;$P$10,ROW()-10&lt;=$P$4),ROW()-10,0))</f>
        <v>0</v>
      </c>
      <c r="O249" s="6">
        <f ca="1">IF(N249&gt;0,MAX($O$10:O248)+1,0)</f>
        <v>0</v>
      </c>
      <c r="Q249" s="84"/>
      <c r="R249" s="84"/>
    </row>
    <row r="250" spans="2:18" ht="24" customHeight="1">
      <c r="B250" s="30" t="str">
        <f t="shared" ca="1" si="8"/>
        <v/>
      </c>
      <c r="C250" s="31" t="str">
        <f t="shared" ca="1" si="9"/>
        <v/>
      </c>
      <c r="D250" s="32"/>
      <c r="E250" s="33"/>
      <c r="F250" s="36"/>
      <c r="G250" s="37"/>
      <c r="H250" s="37"/>
      <c r="I250" s="157"/>
      <c r="J250" s="201"/>
      <c r="K250" s="202" t="str">
        <f ca="1">IF(IF(COPIA!$J$3=TRUE,IF(OR(G250&lt;&gt;0,H250&lt;&gt;0),ROUND(SUM(COPIA!$FB$103:FB342),2)-ROUND(SUM(COPIA!$FC$103:FC342),2),""),"")&lt;&gt;0,"",0)</f>
        <v/>
      </c>
      <c r="L250" s="6">
        <f ca="1">IFERROR(IF(AND(INDIRECT(ADDRESS(ROW(),4,,,))&lt;=COPIA!$DA$1,K250=0,COPIA!$EX$1&gt;1,ROW()&lt;=COPIA!$EX$1),MAX($L$10:L249)+1,IF(AND(INDIRECT(ADDRESS(ROW(),4,,,))&lt;=COPIA!$DA$1,K250=0,COPIA!$EX$1=1),MAX($L$10:L249)+1,0)),0)</f>
        <v>0</v>
      </c>
      <c r="M250" s="6">
        <f ca="1">IF(AND(COPIA!$EX$1=1,L250&lt;&gt;0),ROW()-10,IF(AND(COPIA!$EX$1&gt;1,ROW()&gt;COPIA!$EX$1,L250&lt;&gt;0),0,IF(AND(COPIA!$EX$1&gt;1,ROW()&lt;=COPIA!$EX$1,L250&lt;&gt;0),ROW()-10,0)))</f>
        <v>0</v>
      </c>
      <c r="N250" s="6">
        <f ca="1">IF(AND($P$4=0,ROW()-10&lt;=$P$10),MAX($N$10:N249)+1,IF(AND(ROW()-10&gt;$P$10,ROW()-10&lt;=$P$4),ROW()-10,0))</f>
        <v>0</v>
      </c>
      <c r="O250" s="6">
        <f ca="1">IF(N250&gt;0,MAX($O$10:O249)+1,0)</f>
        <v>0</v>
      </c>
      <c r="Q250" s="84"/>
      <c r="R250" s="84"/>
    </row>
    <row r="251" spans="2:18" ht="24" customHeight="1">
      <c r="B251" s="30" t="str">
        <f t="shared" ca="1" si="8"/>
        <v/>
      </c>
      <c r="C251" s="31" t="str">
        <f t="shared" ca="1" si="9"/>
        <v/>
      </c>
      <c r="D251" s="32"/>
      <c r="E251" s="33"/>
      <c r="F251" s="36"/>
      <c r="G251" s="37"/>
      <c r="H251" s="37"/>
      <c r="I251" s="157"/>
      <c r="J251" s="201"/>
      <c r="K251" s="202" t="str">
        <f ca="1">IF(IF(COPIA!$J$3=TRUE,IF(OR(G251&lt;&gt;0,H251&lt;&gt;0),ROUND(SUM(COPIA!$FB$103:FB343),2)-ROUND(SUM(COPIA!$FC$103:FC343),2),""),"")&lt;&gt;0,"",0)</f>
        <v/>
      </c>
      <c r="L251" s="6">
        <f ca="1">IFERROR(IF(AND(INDIRECT(ADDRESS(ROW(),4,,,))&lt;=COPIA!$DA$1,K251=0,COPIA!$EX$1&gt;1,ROW()&lt;=COPIA!$EX$1),MAX($L$10:L250)+1,IF(AND(INDIRECT(ADDRESS(ROW(),4,,,))&lt;=COPIA!$DA$1,K251=0,COPIA!$EX$1=1),MAX($L$10:L250)+1,0)),0)</f>
        <v>0</v>
      </c>
      <c r="M251" s="6">
        <f ca="1">IF(AND(COPIA!$EX$1=1,L251&lt;&gt;0),ROW()-10,IF(AND(COPIA!$EX$1&gt;1,ROW()&gt;COPIA!$EX$1,L251&lt;&gt;0),0,IF(AND(COPIA!$EX$1&gt;1,ROW()&lt;=COPIA!$EX$1,L251&lt;&gt;0),ROW()-10,0)))</f>
        <v>0</v>
      </c>
      <c r="N251" s="6">
        <f ca="1">IF(AND($P$4=0,ROW()-10&lt;=$P$10),MAX($N$10:N250)+1,IF(AND(ROW()-10&gt;$P$10,ROW()-10&lt;=$P$4),ROW()-10,0))</f>
        <v>0</v>
      </c>
      <c r="O251" s="6">
        <f ca="1">IF(N251&gt;0,MAX($O$10:O250)+1,0)</f>
        <v>0</v>
      </c>
      <c r="Q251" s="84"/>
      <c r="R251" s="84"/>
    </row>
    <row r="252" spans="2:18" ht="24" customHeight="1">
      <c r="B252" s="30" t="str">
        <f t="shared" ca="1" si="8"/>
        <v/>
      </c>
      <c r="C252" s="31" t="str">
        <f t="shared" ca="1" si="9"/>
        <v/>
      </c>
      <c r="D252" s="32"/>
      <c r="E252" s="33"/>
      <c r="F252" s="36"/>
      <c r="G252" s="37"/>
      <c r="H252" s="37"/>
      <c r="I252" s="157"/>
      <c r="J252" s="201"/>
      <c r="K252" s="202" t="str">
        <f ca="1">IF(IF(COPIA!$J$3=TRUE,IF(OR(G252&lt;&gt;0,H252&lt;&gt;0),ROUND(SUM(COPIA!$FB$103:FB344),2)-ROUND(SUM(COPIA!$FC$103:FC344),2),""),"")&lt;&gt;0,"",0)</f>
        <v/>
      </c>
      <c r="L252" s="6">
        <f ca="1">IFERROR(IF(AND(INDIRECT(ADDRESS(ROW(),4,,,))&lt;=COPIA!$DA$1,K252=0,COPIA!$EX$1&gt;1,ROW()&lt;=COPIA!$EX$1),MAX($L$10:L251)+1,IF(AND(INDIRECT(ADDRESS(ROW(),4,,,))&lt;=COPIA!$DA$1,K252=0,COPIA!$EX$1=1),MAX($L$10:L251)+1,0)),0)</f>
        <v>0</v>
      </c>
      <c r="M252" s="6">
        <f ca="1">IF(AND(COPIA!$EX$1=1,L252&lt;&gt;0),ROW()-10,IF(AND(COPIA!$EX$1&gt;1,ROW()&gt;COPIA!$EX$1,L252&lt;&gt;0),0,IF(AND(COPIA!$EX$1&gt;1,ROW()&lt;=COPIA!$EX$1,L252&lt;&gt;0),ROW()-10,0)))</f>
        <v>0</v>
      </c>
      <c r="N252" s="6">
        <f ca="1">IF(AND($P$4=0,ROW()-10&lt;=$P$10),MAX($N$10:N251)+1,IF(AND(ROW()-10&gt;$P$10,ROW()-10&lt;=$P$4),ROW()-10,0))</f>
        <v>0</v>
      </c>
      <c r="O252" s="6">
        <f ca="1">IF(N252&gt;0,MAX($O$10:O251)+1,0)</f>
        <v>0</v>
      </c>
      <c r="Q252" s="84"/>
      <c r="R252" s="84"/>
    </row>
    <row r="253" spans="2:18" ht="24" customHeight="1">
      <c r="B253" s="30" t="str">
        <f t="shared" ca="1" si="8"/>
        <v/>
      </c>
      <c r="C253" s="31" t="str">
        <f t="shared" ca="1" si="9"/>
        <v/>
      </c>
      <c r="D253" s="32"/>
      <c r="E253" s="33"/>
      <c r="F253" s="36"/>
      <c r="G253" s="37"/>
      <c r="H253" s="37"/>
      <c r="I253" s="157"/>
      <c r="J253" s="201"/>
      <c r="K253" s="202" t="str">
        <f ca="1">IF(IF(COPIA!$J$3=TRUE,IF(OR(G253&lt;&gt;0,H253&lt;&gt;0),ROUND(SUM(COPIA!$FB$103:FB345),2)-ROUND(SUM(COPIA!$FC$103:FC345),2),""),"")&lt;&gt;0,"",0)</f>
        <v/>
      </c>
      <c r="L253" s="6">
        <f ca="1">IFERROR(IF(AND(INDIRECT(ADDRESS(ROW(),4,,,))&lt;=COPIA!$DA$1,K253=0,COPIA!$EX$1&gt;1,ROW()&lt;=COPIA!$EX$1),MAX($L$10:L252)+1,IF(AND(INDIRECT(ADDRESS(ROW(),4,,,))&lt;=COPIA!$DA$1,K253=0,COPIA!$EX$1=1),MAX($L$10:L252)+1,0)),0)</f>
        <v>0</v>
      </c>
      <c r="M253" s="6">
        <f ca="1">IF(AND(COPIA!$EX$1=1,L253&lt;&gt;0),ROW()-10,IF(AND(COPIA!$EX$1&gt;1,ROW()&gt;COPIA!$EX$1,L253&lt;&gt;0),0,IF(AND(COPIA!$EX$1&gt;1,ROW()&lt;=COPIA!$EX$1,L253&lt;&gt;0),ROW()-10,0)))</f>
        <v>0</v>
      </c>
      <c r="N253" s="6">
        <f ca="1">IF(AND($P$4=0,ROW()-10&lt;=$P$10),MAX($N$10:N252)+1,IF(AND(ROW()-10&gt;$P$10,ROW()-10&lt;=$P$4),ROW()-10,0))</f>
        <v>0</v>
      </c>
      <c r="O253" s="6">
        <f ca="1">IF(N253&gt;0,MAX($O$10:O252)+1,0)</f>
        <v>0</v>
      </c>
      <c r="Q253" s="84"/>
      <c r="R253" s="84"/>
    </row>
    <row r="254" spans="2:18" ht="24" customHeight="1">
      <c r="B254" s="30" t="str">
        <f t="shared" ca="1" si="8"/>
        <v/>
      </c>
      <c r="C254" s="31" t="str">
        <f t="shared" ca="1" si="9"/>
        <v/>
      </c>
      <c r="D254" s="32"/>
      <c r="E254" s="33"/>
      <c r="F254" s="36"/>
      <c r="G254" s="37"/>
      <c r="H254" s="37"/>
      <c r="I254" s="157"/>
      <c r="J254" s="201"/>
      <c r="K254" s="202" t="str">
        <f ca="1">IF(IF(COPIA!$J$3=TRUE,IF(OR(G254&lt;&gt;0,H254&lt;&gt;0),ROUND(SUM(COPIA!$FB$103:FB346),2)-ROUND(SUM(COPIA!$FC$103:FC346),2),""),"")&lt;&gt;0,"",0)</f>
        <v/>
      </c>
      <c r="L254" s="6">
        <f ca="1">IFERROR(IF(AND(INDIRECT(ADDRESS(ROW(),4,,,))&lt;=COPIA!$DA$1,K254=0,COPIA!$EX$1&gt;1,ROW()&lt;=COPIA!$EX$1),MAX($L$10:L253)+1,IF(AND(INDIRECT(ADDRESS(ROW(),4,,,))&lt;=COPIA!$DA$1,K254=0,COPIA!$EX$1=1),MAX($L$10:L253)+1,0)),0)</f>
        <v>0</v>
      </c>
      <c r="M254" s="6">
        <f ca="1">IF(AND(COPIA!$EX$1=1,L254&lt;&gt;0),ROW()-10,IF(AND(COPIA!$EX$1&gt;1,ROW()&gt;COPIA!$EX$1,L254&lt;&gt;0),0,IF(AND(COPIA!$EX$1&gt;1,ROW()&lt;=COPIA!$EX$1,L254&lt;&gt;0),ROW()-10,0)))</f>
        <v>0</v>
      </c>
      <c r="N254" s="6">
        <f ca="1">IF(AND($P$4=0,ROW()-10&lt;=$P$10),MAX($N$10:N253)+1,IF(AND(ROW()-10&gt;$P$10,ROW()-10&lt;=$P$4),ROW()-10,0))</f>
        <v>0</v>
      </c>
      <c r="O254" s="6">
        <f ca="1">IF(N254&gt;0,MAX($O$10:O253)+1,0)</f>
        <v>0</v>
      </c>
      <c r="Q254" s="84"/>
      <c r="R254" s="84"/>
    </row>
    <row r="255" spans="2:18" ht="24" customHeight="1">
      <c r="B255" s="30" t="str">
        <f t="shared" ca="1" si="8"/>
        <v/>
      </c>
      <c r="C255" s="31" t="str">
        <f t="shared" ca="1" si="9"/>
        <v/>
      </c>
      <c r="D255" s="32"/>
      <c r="E255" s="33"/>
      <c r="F255" s="36"/>
      <c r="G255" s="37"/>
      <c r="H255" s="37"/>
      <c r="I255" s="157"/>
      <c r="J255" s="201"/>
      <c r="K255" s="202" t="str">
        <f ca="1">IF(IF(COPIA!$J$3=TRUE,IF(OR(G255&lt;&gt;0,H255&lt;&gt;0),ROUND(SUM(COPIA!$FB$103:FB347),2)-ROUND(SUM(COPIA!$FC$103:FC347),2),""),"")&lt;&gt;0,"",0)</f>
        <v/>
      </c>
      <c r="L255" s="6">
        <f ca="1">IFERROR(IF(AND(INDIRECT(ADDRESS(ROW(),4,,,))&lt;=COPIA!$DA$1,K255=0,COPIA!$EX$1&gt;1,ROW()&lt;=COPIA!$EX$1),MAX($L$10:L254)+1,IF(AND(INDIRECT(ADDRESS(ROW(),4,,,))&lt;=COPIA!$DA$1,K255=0,COPIA!$EX$1=1),MAX($L$10:L254)+1,0)),0)</f>
        <v>0</v>
      </c>
      <c r="M255" s="6">
        <f ca="1">IF(AND(COPIA!$EX$1=1,L255&lt;&gt;0),ROW()-10,IF(AND(COPIA!$EX$1&gt;1,ROW()&gt;COPIA!$EX$1,L255&lt;&gt;0),0,IF(AND(COPIA!$EX$1&gt;1,ROW()&lt;=COPIA!$EX$1,L255&lt;&gt;0),ROW()-10,0)))</f>
        <v>0</v>
      </c>
      <c r="N255" s="6">
        <f ca="1">IF(AND($P$4=0,ROW()-10&lt;=$P$10),MAX($N$10:N254)+1,IF(AND(ROW()-10&gt;$P$10,ROW()-10&lt;=$P$4),ROW()-10,0))</f>
        <v>0</v>
      </c>
      <c r="O255" s="6">
        <f ca="1">IF(N255&gt;0,MAX($O$10:O254)+1,0)</f>
        <v>0</v>
      </c>
      <c r="Q255" s="84"/>
      <c r="R255" s="84"/>
    </row>
    <row r="256" spans="2:18" ht="24" customHeight="1">
      <c r="B256" s="30" t="str">
        <f t="shared" ca="1" si="8"/>
        <v/>
      </c>
      <c r="C256" s="31" t="str">
        <f t="shared" ca="1" si="9"/>
        <v/>
      </c>
      <c r="D256" s="32"/>
      <c r="E256" s="33"/>
      <c r="F256" s="36"/>
      <c r="G256" s="37"/>
      <c r="H256" s="37"/>
      <c r="I256" s="157"/>
      <c r="J256" s="201"/>
      <c r="K256" s="202" t="str">
        <f ca="1">IF(IF(COPIA!$J$3=TRUE,IF(OR(G256&lt;&gt;0,H256&lt;&gt;0),ROUND(SUM(COPIA!$FB$103:FB348),2)-ROUND(SUM(COPIA!$FC$103:FC348),2),""),"")&lt;&gt;0,"",0)</f>
        <v/>
      </c>
      <c r="L256" s="6">
        <f ca="1">IFERROR(IF(AND(INDIRECT(ADDRESS(ROW(),4,,,))&lt;=COPIA!$DA$1,K256=0,COPIA!$EX$1&gt;1,ROW()&lt;=COPIA!$EX$1),MAX($L$10:L255)+1,IF(AND(INDIRECT(ADDRESS(ROW(),4,,,))&lt;=COPIA!$DA$1,K256=0,COPIA!$EX$1=1),MAX($L$10:L255)+1,0)),0)</f>
        <v>0</v>
      </c>
      <c r="M256" s="6">
        <f ca="1">IF(AND(COPIA!$EX$1=1,L256&lt;&gt;0),ROW()-10,IF(AND(COPIA!$EX$1&gt;1,ROW()&gt;COPIA!$EX$1,L256&lt;&gt;0),0,IF(AND(COPIA!$EX$1&gt;1,ROW()&lt;=COPIA!$EX$1,L256&lt;&gt;0),ROW()-10,0)))</f>
        <v>0</v>
      </c>
      <c r="N256" s="6">
        <f ca="1">IF(AND($P$4=0,ROW()-10&lt;=$P$10),MAX($N$10:N255)+1,IF(AND(ROW()-10&gt;$P$10,ROW()-10&lt;=$P$4),ROW()-10,0))</f>
        <v>0</v>
      </c>
      <c r="O256" s="6">
        <f ca="1">IF(N256&gt;0,MAX($O$10:O255)+1,0)</f>
        <v>0</v>
      </c>
      <c r="Q256" s="84"/>
      <c r="R256" s="84"/>
    </row>
    <row r="257" spans="2:18" ht="24" customHeight="1">
      <c r="B257" s="30" t="str">
        <f t="shared" ca="1" si="8"/>
        <v/>
      </c>
      <c r="C257" s="31" t="str">
        <f t="shared" ca="1" si="9"/>
        <v/>
      </c>
      <c r="D257" s="32"/>
      <c r="E257" s="33"/>
      <c r="F257" s="36"/>
      <c r="G257" s="37"/>
      <c r="H257" s="37"/>
      <c r="I257" s="157"/>
      <c r="J257" s="201"/>
      <c r="K257" s="202" t="str">
        <f ca="1">IF(IF(COPIA!$J$3=TRUE,IF(OR(G257&lt;&gt;0,H257&lt;&gt;0),ROUND(SUM(COPIA!$FB$103:FB349),2)-ROUND(SUM(COPIA!$FC$103:FC349),2),""),"")&lt;&gt;0,"",0)</f>
        <v/>
      </c>
      <c r="L257" s="6">
        <f ca="1">IFERROR(IF(AND(INDIRECT(ADDRESS(ROW(),4,,,))&lt;=COPIA!$DA$1,K257=0,COPIA!$EX$1&gt;1,ROW()&lt;=COPIA!$EX$1),MAX($L$10:L256)+1,IF(AND(INDIRECT(ADDRESS(ROW(),4,,,))&lt;=COPIA!$DA$1,K257=0,COPIA!$EX$1=1),MAX($L$10:L256)+1,0)),0)</f>
        <v>0</v>
      </c>
      <c r="M257" s="6">
        <f ca="1">IF(AND(COPIA!$EX$1=1,L257&lt;&gt;0),ROW()-10,IF(AND(COPIA!$EX$1&gt;1,ROW()&gt;COPIA!$EX$1,L257&lt;&gt;0),0,IF(AND(COPIA!$EX$1&gt;1,ROW()&lt;=COPIA!$EX$1,L257&lt;&gt;0),ROW()-10,0)))</f>
        <v>0</v>
      </c>
      <c r="N257" s="6">
        <f ca="1">IF(AND($P$4=0,ROW()-10&lt;=$P$10),MAX($N$10:N256)+1,IF(AND(ROW()-10&gt;$P$10,ROW()-10&lt;=$P$4),ROW()-10,0))</f>
        <v>0</v>
      </c>
      <c r="O257" s="6">
        <f ca="1">IF(N257&gt;0,MAX($O$10:O256)+1,0)</f>
        <v>0</v>
      </c>
      <c r="Q257" s="84"/>
      <c r="R257" s="84"/>
    </row>
    <row r="258" spans="2:18" ht="24" customHeight="1">
      <c r="B258" s="30" t="str">
        <f t="shared" ca="1" si="8"/>
        <v/>
      </c>
      <c r="C258" s="31" t="str">
        <f t="shared" ca="1" si="9"/>
        <v/>
      </c>
      <c r="D258" s="32"/>
      <c r="E258" s="33"/>
      <c r="F258" s="36"/>
      <c r="G258" s="37"/>
      <c r="H258" s="37"/>
      <c r="I258" s="157"/>
      <c r="J258" s="201"/>
      <c r="K258" s="202" t="str">
        <f ca="1">IF(IF(COPIA!$J$3=TRUE,IF(OR(G258&lt;&gt;0,H258&lt;&gt;0),ROUND(SUM(COPIA!$FB$103:FB350),2)-ROUND(SUM(COPIA!$FC$103:FC350),2),""),"")&lt;&gt;0,"",0)</f>
        <v/>
      </c>
      <c r="L258" s="6">
        <f ca="1">IFERROR(IF(AND(INDIRECT(ADDRESS(ROW(),4,,,))&lt;=COPIA!$DA$1,K258=0,COPIA!$EX$1&gt;1,ROW()&lt;=COPIA!$EX$1),MAX($L$10:L257)+1,IF(AND(INDIRECT(ADDRESS(ROW(),4,,,))&lt;=COPIA!$DA$1,K258=0,COPIA!$EX$1=1),MAX($L$10:L257)+1,0)),0)</f>
        <v>0</v>
      </c>
      <c r="M258" s="6">
        <f ca="1">IF(AND(COPIA!$EX$1=1,L258&lt;&gt;0),ROW()-10,IF(AND(COPIA!$EX$1&gt;1,ROW()&gt;COPIA!$EX$1,L258&lt;&gt;0),0,IF(AND(COPIA!$EX$1&gt;1,ROW()&lt;=COPIA!$EX$1,L258&lt;&gt;0),ROW()-10,0)))</f>
        <v>0</v>
      </c>
      <c r="N258" s="6">
        <f ca="1">IF(AND($P$4=0,ROW()-10&lt;=$P$10),MAX($N$10:N257)+1,IF(AND(ROW()-10&gt;$P$10,ROW()-10&lt;=$P$4),ROW()-10,0))</f>
        <v>0</v>
      </c>
      <c r="O258" s="6">
        <f ca="1">IF(N258&gt;0,MAX($O$10:O257)+1,0)</f>
        <v>0</v>
      </c>
      <c r="Q258" s="84"/>
      <c r="R258" s="84"/>
    </row>
    <row r="259" spans="2:18" ht="24" customHeight="1">
      <c r="B259" s="30" t="str">
        <f t="shared" ca="1" si="8"/>
        <v/>
      </c>
      <c r="C259" s="31" t="str">
        <f t="shared" ca="1" si="9"/>
        <v/>
      </c>
      <c r="D259" s="32"/>
      <c r="E259" s="33"/>
      <c r="F259" s="36"/>
      <c r="G259" s="37"/>
      <c r="H259" s="37"/>
      <c r="I259" s="157"/>
      <c r="J259" s="201"/>
      <c r="K259" s="202" t="str">
        <f ca="1">IF(IF(COPIA!$J$3=TRUE,IF(OR(G259&lt;&gt;0,H259&lt;&gt;0),ROUND(SUM(COPIA!$FB$103:FB351),2)-ROUND(SUM(COPIA!$FC$103:FC351),2),""),"")&lt;&gt;0,"",0)</f>
        <v/>
      </c>
      <c r="L259" s="6">
        <f ca="1">IFERROR(IF(AND(INDIRECT(ADDRESS(ROW(),4,,,))&lt;=COPIA!$DA$1,K259=0,COPIA!$EX$1&gt;1,ROW()&lt;=COPIA!$EX$1),MAX($L$10:L258)+1,IF(AND(INDIRECT(ADDRESS(ROW(),4,,,))&lt;=COPIA!$DA$1,K259=0,COPIA!$EX$1=1),MAX($L$10:L258)+1,0)),0)</f>
        <v>0</v>
      </c>
      <c r="M259" s="6">
        <f ca="1">IF(AND(COPIA!$EX$1=1,L259&lt;&gt;0),ROW()-10,IF(AND(COPIA!$EX$1&gt;1,ROW()&gt;COPIA!$EX$1,L259&lt;&gt;0),0,IF(AND(COPIA!$EX$1&gt;1,ROW()&lt;=COPIA!$EX$1,L259&lt;&gt;0),ROW()-10,0)))</f>
        <v>0</v>
      </c>
      <c r="N259" s="6">
        <f ca="1">IF(AND($P$4=0,ROW()-10&lt;=$P$10),MAX($N$10:N258)+1,IF(AND(ROW()-10&gt;$P$10,ROW()-10&lt;=$P$4),ROW()-10,0))</f>
        <v>0</v>
      </c>
      <c r="O259" s="6">
        <f ca="1">IF(N259&gt;0,MAX($O$10:O258)+1,0)</f>
        <v>0</v>
      </c>
      <c r="Q259" s="84"/>
      <c r="R259" s="84"/>
    </row>
    <row r="260" spans="2:18" ht="24" customHeight="1">
      <c r="B260" s="30" t="str">
        <f t="shared" ca="1" si="8"/>
        <v/>
      </c>
      <c r="C260" s="31" t="str">
        <f t="shared" ca="1" si="9"/>
        <v/>
      </c>
      <c r="D260" s="32"/>
      <c r="E260" s="33"/>
      <c r="F260" s="36"/>
      <c r="G260" s="37"/>
      <c r="H260" s="37"/>
      <c r="I260" s="157"/>
      <c r="J260" s="201"/>
      <c r="K260" s="202" t="str">
        <f ca="1">IF(IF(COPIA!$J$3=TRUE,IF(OR(G260&lt;&gt;0,H260&lt;&gt;0),ROUND(SUM(COPIA!$FB$103:FB352),2)-ROUND(SUM(COPIA!$FC$103:FC352),2),""),"")&lt;&gt;0,"",0)</f>
        <v/>
      </c>
      <c r="L260" s="6">
        <f ca="1">IFERROR(IF(AND(INDIRECT(ADDRESS(ROW(),4,,,))&lt;=COPIA!$DA$1,K260=0,COPIA!$EX$1&gt;1,ROW()&lt;=COPIA!$EX$1),MAX($L$10:L259)+1,IF(AND(INDIRECT(ADDRESS(ROW(),4,,,))&lt;=COPIA!$DA$1,K260=0,COPIA!$EX$1=1),MAX($L$10:L259)+1,0)),0)</f>
        <v>0</v>
      </c>
      <c r="M260" s="6">
        <f ca="1">IF(AND(COPIA!$EX$1=1,L260&lt;&gt;0),ROW()-10,IF(AND(COPIA!$EX$1&gt;1,ROW()&gt;COPIA!$EX$1,L260&lt;&gt;0),0,IF(AND(COPIA!$EX$1&gt;1,ROW()&lt;=COPIA!$EX$1,L260&lt;&gt;0),ROW()-10,0)))</f>
        <v>0</v>
      </c>
      <c r="N260" s="6">
        <f ca="1">IF(AND($P$4=0,ROW()-10&lt;=$P$10),MAX($N$10:N259)+1,IF(AND(ROW()-10&gt;$P$10,ROW()-10&lt;=$P$4),ROW()-10,0))</f>
        <v>0</v>
      </c>
      <c r="O260" s="6">
        <f ca="1">IF(N260&gt;0,MAX($O$10:O259)+1,0)</f>
        <v>0</v>
      </c>
      <c r="Q260" s="84"/>
      <c r="R260" s="84"/>
    </row>
    <row r="261" spans="2:18" ht="24" customHeight="1">
      <c r="B261" s="30" t="str">
        <f t="shared" ca="1" si="8"/>
        <v/>
      </c>
      <c r="C261" s="31" t="str">
        <f t="shared" ca="1" si="9"/>
        <v/>
      </c>
      <c r="D261" s="32"/>
      <c r="E261" s="33"/>
      <c r="F261" s="36"/>
      <c r="G261" s="37"/>
      <c r="H261" s="37"/>
      <c r="I261" s="157"/>
      <c r="J261" s="201"/>
      <c r="K261" s="202" t="str">
        <f ca="1">IF(IF(COPIA!$J$3=TRUE,IF(OR(G261&lt;&gt;0,H261&lt;&gt;0),ROUND(SUM(COPIA!$FB$103:FB353),2)-ROUND(SUM(COPIA!$FC$103:FC353),2),""),"")&lt;&gt;0,"",0)</f>
        <v/>
      </c>
      <c r="L261" s="6">
        <f ca="1">IFERROR(IF(AND(INDIRECT(ADDRESS(ROW(),4,,,))&lt;=COPIA!$DA$1,K261=0,COPIA!$EX$1&gt;1,ROW()&lt;=COPIA!$EX$1),MAX($L$10:L260)+1,IF(AND(INDIRECT(ADDRESS(ROW(),4,,,))&lt;=COPIA!$DA$1,K261=0,COPIA!$EX$1=1),MAX($L$10:L260)+1,0)),0)</f>
        <v>0</v>
      </c>
      <c r="M261" s="6">
        <f ca="1">IF(AND(COPIA!$EX$1=1,L261&lt;&gt;0),ROW()-10,IF(AND(COPIA!$EX$1&gt;1,ROW()&gt;COPIA!$EX$1,L261&lt;&gt;0),0,IF(AND(COPIA!$EX$1&gt;1,ROW()&lt;=COPIA!$EX$1,L261&lt;&gt;0),ROW()-10,0)))</f>
        <v>0</v>
      </c>
      <c r="N261" s="6">
        <f ca="1">IF(AND($P$4=0,ROW()-10&lt;=$P$10),MAX($N$10:N260)+1,IF(AND(ROW()-10&gt;$P$10,ROW()-10&lt;=$P$4),ROW()-10,0))</f>
        <v>0</v>
      </c>
      <c r="O261" s="6">
        <f ca="1">IF(N261&gt;0,MAX($O$10:O260)+1,0)</f>
        <v>0</v>
      </c>
      <c r="Q261" s="84"/>
      <c r="R261" s="84"/>
    </row>
    <row r="262" spans="2:18" ht="24" customHeight="1">
      <c r="B262" s="30" t="str">
        <f t="shared" ca="1" si="8"/>
        <v/>
      </c>
      <c r="C262" s="31" t="str">
        <f t="shared" ca="1" si="9"/>
        <v/>
      </c>
      <c r="D262" s="32"/>
      <c r="E262" s="33"/>
      <c r="F262" s="36"/>
      <c r="G262" s="37"/>
      <c r="H262" s="37"/>
      <c r="I262" s="157"/>
      <c r="J262" s="201"/>
      <c r="K262" s="202" t="str">
        <f ca="1">IF(IF(COPIA!$J$3=TRUE,IF(OR(G262&lt;&gt;0,H262&lt;&gt;0),ROUND(SUM(COPIA!$FB$103:FB354),2)-ROUND(SUM(COPIA!$FC$103:FC354),2),""),"")&lt;&gt;0,"",0)</f>
        <v/>
      </c>
      <c r="L262" s="6">
        <f ca="1">IFERROR(IF(AND(INDIRECT(ADDRESS(ROW(),4,,,))&lt;=COPIA!$DA$1,K262=0,COPIA!$EX$1&gt;1,ROW()&lt;=COPIA!$EX$1),MAX($L$10:L261)+1,IF(AND(INDIRECT(ADDRESS(ROW(),4,,,))&lt;=COPIA!$DA$1,K262=0,COPIA!$EX$1=1),MAX($L$10:L261)+1,0)),0)</f>
        <v>0</v>
      </c>
      <c r="M262" s="6">
        <f ca="1">IF(AND(COPIA!$EX$1=1,L262&lt;&gt;0),ROW()-10,IF(AND(COPIA!$EX$1&gt;1,ROW()&gt;COPIA!$EX$1,L262&lt;&gt;0),0,IF(AND(COPIA!$EX$1&gt;1,ROW()&lt;=COPIA!$EX$1,L262&lt;&gt;0),ROW()-10,0)))</f>
        <v>0</v>
      </c>
      <c r="N262" s="6">
        <f ca="1">IF(AND($P$4=0,ROW()-10&lt;=$P$10),MAX($N$10:N261)+1,IF(AND(ROW()-10&gt;$P$10,ROW()-10&lt;=$P$4),ROW()-10,0))</f>
        <v>0</v>
      </c>
      <c r="O262" s="6">
        <f ca="1">IF(N262&gt;0,MAX($O$10:O261)+1,0)</f>
        <v>0</v>
      </c>
      <c r="Q262" s="84"/>
      <c r="R262" s="84"/>
    </row>
    <row r="263" spans="2:18" ht="24" customHeight="1">
      <c r="B263" s="30" t="str">
        <f t="shared" ca="1" si="8"/>
        <v/>
      </c>
      <c r="C263" s="31" t="str">
        <f t="shared" ca="1" si="9"/>
        <v/>
      </c>
      <c r="D263" s="32"/>
      <c r="E263" s="33"/>
      <c r="F263" s="36"/>
      <c r="G263" s="37"/>
      <c r="H263" s="37"/>
      <c r="I263" s="157"/>
      <c r="J263" s="201"/>
      <c r="K263" s="202" t="str">
        <f ca="1">IF(IF(COPIA!$J$3=TRUE,IF(OR(G263&lt;&gt;0,H263&lt;&gt;0),ROUND(SUM(COPIA!$FB$103:FB355),2)-ROUND(SUM(COPIA!$FC$103:FC355),2),""),"")&lt;&gt;0,"",0)</f>
        <v/>
      </c>
      <c r="L263" s="6">
        <f ca="1">IFERROR(IF(AND(INDIRECT(ADDRESS(ROW(),4,,,))&lt;=COPIA!$DA$1,K263=0,COPIA!$EX$1&gt;1,ROW()&lt;=COPIA!$EX$1),MAX($L$10:L262)+1,IF(AND(INDIRECT(ADDRESS(ROW(),4,,,))&lt;=COPIA!$DA$1,K263=0,COPIA!$EX$1=1),MAX($L$10:L262)+1,0)),0)</f>
        <v>0</v>
      </c>
      <c r="M263" s="6">
        <f ca="1">IF(AND(COPIA!$EX$1=1,L263&lt;&gt;0),ROW()-10,IF(AND(COPIA!$EX$1&gt;1,ROW()&gt;COPIA!$EX$1,L263&lt;&gt;0),0,IF(AND(COPIA!$EX$1&gt;1,ROW()&lt;=COPIA!$EX$1,L263&lt;&gt;0),ROW()-10,0)))</f>
        <v>0</v>
      </c>
      <c r="N263" s="6">
        <f ca="1">IF(AND($P$4=0,ROW()-10&lt;=$P$10),MAX($N$10:N262)+1,IF(AND(ROW()-10&gt;$P$10,ROW()-10&lt;=$P$4),ROW()-10,0))</f>
        <v>0</v>
      </c>
      <c r="O263" s="6">
        <f ca="1">IF(N263&gt;0,MAX($O$10:O262)+1,0)</f>
        <v>0</v>
      </c>
      <c r="Q263" s="84"/>
      <c r="R263" s="84"/>
    </row>
    <row r="264" spans="2:18" ht="24" customHeight="1">
      <c r="B264" s="30" t="str">
        <f t="shared" ca="1" si="8"/>
        <v/>
      </c>
      <c r="C264" s="31" t="str">
        <f t="shared" ca="1" si="9"/>
        <v/>
      </c>
      <c r="D264" s="32"/>
      <c r="E264" s="33"/>
      <c r="F264" s="36"/>
      <c r="G264" s="37"/>
      <c r="H264" s="37"/>
      <c r="I264" s="157"/>
      <c r="J264" s="201"/>
      <c r="K264" s="202" t="str">
        <f ca="1">IF(IF(COPIA!$J$3=TRUE,IF(OR(G264&lt;&gt;0,H264&lt;&gt;0),ROUND(SUM(COPIA!$FB$103:FB356),2)-ROUND(SUM(COPIA!$FC$103:FC356),2),""),"")&lt;&gt;0,"",0)</f>
        <v/>
      </c>
      <c r="L264" s="6">
        <f ca="1">IFERROR(IF(AND(INDIRECT(ADDRESS(ROW(),4,,,))&lt;=COPIA!$DA$1,K264=0,COPIA!$EX$1&gt;1,ROW()&lt;=COPIA!$EX$1),MAX($L$10:L263)+1,IF(AND(INDIRECT(ADDRESS(ROW(),4,,,))&lt;=COPIA!$DA$1,K264=0,COPIA!$EX$1=1),MAX($L$10:L263)+1,0)),0)</f>
        <v>0</v>
      </c>
      <c r="M264" s="6">
        <f ca="1">IF(AND(COPIA!$EX$1=1,L264&lt;&gt;0),ROW()-10,IF(AND(COPIA!$EX$1&gt;1,ROW()&gt;COPIA!$EX$1,L264&lt;&gt;0),0,IF(AND(COPIA!$EX$1&gt;1,ROW()&lt;=COPIA!$EX$1,L264&lt;&gt;0),ROW()-10,0)))</f>
        <v>0</v>
      </c>
      <c r="N264" s="6">
        <f ca="1">IF(AND($P$4=0,ROW()-10&lt;=$P$10),MAX($N$10:N263)+1,IF(AND(ROW()-10&gt;$P$10,ROW()-10&lt;=$P$4),ROW()-10,0))</f>
        <v>0</v>
      </c>
      <c r="O264" s="6">
        <f ca="1">IF(N264&gt;0,MAX($O$10:O263)+1,0)</f>
        <v>0</v>
      </c>
      <c r="Q264" s="84"/>
      <c r="R264" s="84"/>
    </row>
    <row r="265" spans="2:18" ht="24" customHeight="1">
      <c r="B265" s="30" t="str">
        <f t="shared" ca="1" si="8"/>
        <v/>
      </c>
      <c r="C265" s="31" t="str">
        <f t="shared" ca="1" si="9"/>
        <v/>
      </c>
      <c r="D265" s="32"/>
      <c r="E265" s="33"/>
      <c r="F265" s="36"/>
      <c r="G265" s="37"/>
      <c r="H265" s="37"/>
      <c r="I265" s="157"/>
      <c r="J265" s="201"/>
      <c r="K265" s="202" t="str">
        <f ca="1">IF(IF(COPIA!$J$3=TRUE,IF(OR(G265&lt;&gt;0,H265&lt;&gt;0),ROUND(SUM(COPIA!$FB$103:FB357),2)-ROUND(SUM(COPIA!$FC$103:FC357),2),""),"")&lt;&gt;0,"",0)</f>
        <v/>
      </c>
      <c r="L265" s="6">
        <f ca="1">IFERROR(IF(AND(INDIRECT(ADDRESS(ROW(),4,,,))&lt;=COPIA!$DA$1,K265=0,COPIA!$EX$1&gt;1,ROW()&lt;=COPIA!$EX$1),MAX($L$10:L264)+1,IF(AND(INDIRECT(ADDRESS(ROW(),4,,,))&lt;=COPIA!$DA$1,K265=0,COPIA!$EX$1=1),MAX($L$10:L264)+1,0)),0)</f>
        <v>0</v>
      </c>
      <c r="M265" s="6">
        <f ca="1">IF(AND(COPIA!$EX$1=1,L265&lt;&gt;0),ROW()-10,IF(AND(COPIA!$EX$1&gt;1,ROW()&gt;COPIA!$EX$1,L265&lt;&gt;0),0,IF(AND(COPIA!$EX$1&gt;1,ROW()&lt;=COPIA!$EX$1,L265&lt;&gt;0),ROW()-10,0)))</f>
        <v>0</v>
      </c>
      <c r="N265" s="6">
        <f ca="1">IF(AND($P$4=0,ROW()-10&lt;=$P$10),MAX($N$10:N264)+1,IF(AND(ROW()-10&gt;$P$10,ROW()-10&lt;=$P$4),ROW()-10,0))</f>
        <v>0</v>
      </c>
      <c r="O265" s="6">
        <f ca="1">IF(N265&gt;0,MAX($O$10:O264)+1,0)</f>
        <v>0</v>
      </c>
      <c r="Q265" s="84"/>
      <c r="R265" s="84"/>
    </row>
    <row r="266" spans="2:18" ht="24" customHeight="1">
      <c r="B266" s="30" t="str">
        <f t="shared" ca="1" si="8"/>
        <v/>
      </c>
      <c r="C266" s="31" t="str">
        <f t="shared" ca="1" si="9"/>
        <v/>
      </c>
      <c r="D266" s="32"/>
      <c r="E266" s="33"/>
      <c r="F266" s="36"/>
      <c r="G266" s="37"/>
      <c r="H266" s="37"/>
      <c r="I266" s="157"/>
      <c r="J266" s="201"/>
      <c r="K266" s="202" t="str">
        <f ca="1">IF(IF(COPIA!$J$3=TRUE,IF(OR(G266&lt;&gt;0,H266&lt;&gt;0),ROUND(SUM(COPIA!$FB$103:FB358),2)-ROUND(SUM(COPIA!$FC$103:FC358),2),""),"")&lt;&gt;0,"",0)</f>
        <v/>
      </c>
      <c r="L266" s="6">
        <f ca="1">IFERROR(IF(AND(INDIRECT(ADDRESS(ROW(),4,,,))&lt;=COPIA!$DA$1,K266=0,COPIA!$EX$1&gt;1,ROW()&lt;=COPIA!$EX$1),MAX($L$10:L265)+1,IF(AND(INDIRECT(ADDRESS(ROW(),4,,,))&lt;=COPIA!$DA$1,K266=0,COPIA!$EX$1=1),MAX($L$10:L265)+1,0)),0)</f>
        <v>0</v>
      </c>
      <c r="M266" s="6">
        <f ca="1">IF(AND(COPIA!$EX$1=1,L266&lt;&gt;0),ROW()-10,IF(AND(COPIA!$EX$1&gt;1,ROW()&gt;COPIA!$EX$1,L266&lt;&gt;0),0,IF(AND(COPIA!$EX$1&gt;1,ROW()&lt;=COPIA!$EX$1,L266&lt;&gt;0),ROW()-10,0)))</f>
        <v>0</v>
      </c>
      <c r="N266" s="6">
        <f ca="1">IF(AND($P$4=0,ROW()-10&lt;=$P$10),MAX($N$10:N265)+1,IF(AND(ROW()-10&gt;$P$10,ROW()-10&lt;=$P$4),ROW()-10,0))</f>
        <v>0</v>
      </c>
      <c r="O266" s="6">
        <f ca="1">IF(N266&gt;0,MAX($O$10:O265)+1,0)</f>
        <v>0</v>
      </c>
      <c r="Q266" s="84"/>
      <c r="R266" s="84"/>
    </row>
    <row r="267" spans="2:18" ht="24" customHeight="1">
      <c r="B267" s="30" t="str">
        <f t="shared" ref="B267:B308" ca="1" si="10">IF(D267&lt;&gt;"",IFERROR(IF(C267&lt;&gt;"",INDEX(PIANO_DEI_CONTI,MATCH(INDIRECT(ADDRESS(ROW(),5,,,)),DENOMINAZIONE,0),1),""),""),"")</f>
        <v/>
      </c>
      <c r="C267" s="31" t="str">
        <f t="shared" ca="1" si="9"/>
        <v/>
      </c>
      <c r="D267" s="32"/>
      <c r="E267" s="33"/>
      <c r="F267" s="36"/>
      <c r="G267" s="37"/>
      <c r="H267" s="37"/>
      <c r="I267" s="157"/>
      <c r="J267" s="201"/>
      <c r="K267" s="202" t="str">
        <f ca="1">IF(IF(COPIA!$J$3=TRUE,IF(OR(G267&lt;&gt;0,H267&lt;&gt;0),ROUND(SUM(COPIA!$FB$103:FB359),2)-ROUND(SUM(COPIA!$FC$103:FC359),2),""),"")&lt;&gt;0,"",0)</f>
        <v/>
      </c>
      <c r="L267" s="6">
        <f ca="1">IFERROR(IF(AND(INDIRECT(ADDRESS(ROW(),4,,,))&lt;=COPIA!$DA$1,K267=0,COPIA!$EX$1&gt;1,ROW()&lt;=COPIA!$EX$1),MAX($L$10:L266)+1,IF(AND(INDIRECT(ADDRESS(ROW(),4,,,))&lt;=COPIA!$DA$1,K267=0,COPIA!$EX$1=1),MAX($L$10:L266)+1,0)),0)</f>
        <v>0</v>
      </c>
      <c r="M267" s="6">
        <f ca="1">IF(AND(COPIA!$EX$1=1,L267&lt;&gt;0),ROW()-10,IF(AND(COPIA!$EX$1&gt;1,ROW()&gt;COPIA!$EX$1,L267&lt;&gt;0),0,IF(AND(COPIA!$EX$1&gt;1,ROW()&lt;=COPIA!$EX$1,L267&lt;&gt;0),ROW()-10,0)))</f>
        <v>0</v>
      </c>
      <c r="N267" s="6">
        <f ca="1">IF(AND($P$4=0,ROW()-10&lt;=$P$10),MAX($N$10:N266)+1,IF(AND(ROW()-10&gt;$P$10,ROW()-10&lt;=$P$4),ROW()-10,0))</f>
        <v>0</v>
      </c>
      <c r="O267" s="6">
        <f ca="1">IF(N267&gt;0,MAX($O$10:O266)+1,0)</f>
        <v>0</v>
      </c>
      <c r="Q267" s="84"/>
      <c r="R267" s="84"/>
    </row>
    <row r="268" spans="2:18" ht="24" customHeight="1">
      <c r="B268" s="30" t="str">
        <f t="shared" ca="1" si="10"/>
        <v/>
      </c>
      <c r="C268" s="31" t="str">
        <f t="shared" ref="C268:C308" ca="1" si="11">IF(D268&lt;&gt;"",IF(INDIRECT(ADDRESS(ROW(),5,,,))&lt;&gt;"",ROW()-10,""),"")</f>
        <v/>
      </c>
      <c r="D268" s="32"/>
      <c r="E268" s="33"/>
      <c r="F268" s="36"/>
      <c r="G268" s="37"/>
      <c r="H268" s="37"/>
      <c r="I268" s="157"/>
      <c r="J268" s="201"/>
      <c r="K268" s="202" t="str">
        <f ca="1">IF(IF(COPIA!$J$3=TRUE,IF(OR(G268&lt;&gt;0,H268&lt;&gt;0),ROUND(SUM(COPIA!$FB$103:FB360),2)-ROUND(SUM(COPIA!$FC$103:FC360),2),""),"")&lt;&gt;0,"",0)</f>
        <v/>
      </c>
      <c r="L268" s="6">
        <f ca="1">IFERROR(IF(AND(INDIRECT(ADDRESS(ROW(),4,,,))&lt;=COPIA!$DA$1,K268=0,COPIA!$EX$1&gt;1,ROW()&lt;=COPIA!$EX$1),MAX($L$10:L267)+1,IF(AND(INDIRECT(ADDRESS(ROW(),4,,,))&lt;=COPIA!$DA$1,K268=0,COPIA!$EX$1=1),MAX($L$10:L267)+1,0)),0)</f>
        <v>0</v>
      </c>
      <c r="M268" s="6">
        <f ca="1">IF(AND(COPIA!$EX$1=1,L268&lt;&gt;0),ROW()-10,IF(AND(COPIA!$EX$1&gt;1,ROW()&gt;COPIA!$EX$1,L268&lt;&gt;0),0,IF(AND(COPIA!$EX$1&gt;1,ROW()&lt;=COPIA!$EX$1,L268&lt;&gt;0),ROW()-10,0)))</f>
        <v>0</v>
      </c>
      <c r="N268" s="6">
        <f ca="1">IF(AND($P$4=0,ROW()-10&lt;=$P$10),MAX($N$10:N267)+1,IF(AND(ROW()-10&gt;$P$10,ROW()-10&lt;=$P$4),ROW()-10,0))</f>
        <v>0</v>
      </c>
      <c r="O268" s="6">
        <f ca="1">IF(N268&gt;0,MAX($O$10:O267)+1,0)</f>
        <v>0</v>
      </c>
      <c r="Q268" s="84"/>
      <c r="R268" s="84"/>
    </row>
    <row r="269" spans="2:18" ht="24" customHeight="1">
      <c r="B269" s="30" t="str">
        <f t="shared" ca="1" si="10"/>
        <v/>
      </c>
      <c r="C269" s="31" t="str">
        <f t="shared" ca="1" si="11"/>
        <v/>
      </c>
      <c r="D269" s="32"/>
      <c r="E269" s="33"/>
      <c r="F269" s="36"/>
      <c r="G269" s="37"/>
      <c r="H269" s="37"/>
      <c r="I269" s="157"/>
      <c r="J269" s="201"/>
      <c r="K269" s="202" t="str">
        <f ca="1">IF(IF(COPIA!$J$3=TRUE,IF(OR(G269&lt;&gt;0,H269&lt;&gt;0),ROUND(SUM(COPIA!$FB$103:FB361),2)-ROUND(SUM(COPIA!$FC$103:FC361),2),""),"")&lt;&gt;0,"",0)</f>
        <v/>
      </c>
      <c r="L269" s="6">
        <f ca="1">IFERROR(IF(AND(INDIRECT(ADDRESS(ROW(),4,,,))&lt;=COPIA!$DA$1,K269=0,COPIA!$EX$1&gt;1,ROW()&lt;=COPIA!$EX$1),MAX($L$10:L268)+1,IF(AND(INDIRECT(ADDRESS(ROW(),4,,,))&lt;=COPIA!$DA$1,K269=0,COPIA!$EX$1=1),MAX($L$10:L268)+1,0)),0)</f>
        <v>0</v>
      </c>
      <c r="M269" s="6">
        <f ca="1">IF(AND(COPIA!$EX$1=1,L269&lt;&gt;0),ROW()-10,IF(AND(COPIA!$EX$1&gt;1,ROW()&gt;COPIA!$EX$1,L269&lt;&gt;0),0,IF(AND(COPIA!$EX$1&gt;1,ROW()&lt;=COPIA!$EX$1,L269&lt;&gt;0),ROW()-10,0)))</f>
        <v>0</v>
      </c>
      <c r="N269" s="6">
        <f ca="1">IF(AND($P$4=0,ROW()-10&lt;=$P$10),MAX($N$10:N268)+1,IF(AND(ROW()-10&gt;$P$10,ROW()-10&lt;=$P$4),ROW()-10,0))</f>
        <v>0</v>
      </c>
      <c r="O269" s="6">
        <f ca="1">IF(N269&gt;0,MAX($O$10:O268)+1,0)</f>
        <v>0</v>
      </c>
      <c r="Q269" s="84"/>
      <c r="R269" s="84"/>
    </row>
    <row r="270" spans="2:18" ht="24" customHeight="1">
      <c r="B270" s="30" t="str">
        <f t="shared" ca="1" si="10"/>
        <v/>
      </c>
      <c r="C270" s="31" t="str">
        <f t="shared" ca="1" si="11"/>
        <v/>
      </c>
      <c r="D270" s="32"/>
      <c r="E270" s="33"/>
      <c r="F270" s="36"/>
      <c r="G270" s="37"/>
      <c r="H270" s="37"/>
      <c r="I270" s="157"/>
      <c r="J270" s="201"/>
      <c r="K270" s="202" t="str">
        <f ca="1">IF(IF(COPIA!$J$3=TRUE,IF(OR(G270&lt;&gt;0,H270&lt;&gt;0),ROUND(SUM(COPIA!$FB$103:FB362),2)-ROUND(SUM(COPIA!$FC$103:FC362),2),""),"")&lt;&gt;0,"",0)</f>
        <v/>
      </c>
      <c r="L270" s="6">
        <f ca="1">IFERROR(IF(AND(INDIRECT(ADDRESS(ROW(),4,,,))&lt;=COPIA!$DA$1,K270=0,COPIA!$EX$1&gt;1,ROW()&lt;=COPIA!$EX$1),MAX($L$10:L269)+1,IF(AND(INDIRECT(ADDRESS(ROW(),4,,,))&lt;=COPIA!$DA$1,K270=0,COPIA!$EX$1=1),MAX($L$10:L269)+1,0)),0)</f>
        <v>0</v>
      </c>
      <c r="M270" s="6">
        <f ca="1">IF(AND(COPIA!$EX$1=1,L270&lt;&gt;0),ROW()-10,IF(AND(COPIA!$EX$1&gt;1,ROW()&gt;COPIA!$EX$1,L270&lt;&gt;0),0,IF(AND(COPIA!$EX$1&gt;1,ROW()&lt;=COPIA!$EX$1,L270&lt;&gt;0),ROW()-10,0)))</f>
        <v>0</v>
      </c>
      <c r="N270" s="6">
        <f ca="1">IF(AND($P$4=0,ROW()-10&lt;=$P$10),MAX($N$10:N269)+1,IF(AND(ROW()-10&gt;$P$10,ROW()-10&lt;=$P$4),ROW()-10,0))</f>
        <v>0</v>
      </c>
      <c r="O270" s="6">
        <f ca="1">IF(N270&gt;0,MAX($O$10:O269)+1,0)</f>
        <v>0</v>
      </c>
      <c r="Q270" s="84"/>
      <c r="R270" s="84"/>
    </row>
    <row r="271" spans="2:18" ht="24" customHeight="1">
      <c r="B271" s="30" t="str">
        <f t="shared" ca="1" si="10"/>
        <v/>
      </c>
      <c r="C271" s="31" t="str">
        <f t="shared" ca="1" si="11"/>
        <v/>
      </c>
      <c r="D271" s="32"/>
      <c r="E271" s="33"/>
      <c r="F271" s="36"/>
      <c r="G271" s="37"/>
      <c r="H271" s="37"/>
      <c r="I271" s="157"/>
      <c r="J271" s="201"/>
      <c r="K271" s="202" t="str">
        <f ca="1">IF(IF(COPIA!$J$3=TRUE,IF(OR(G271&lt;&gt;0,H271&lt;&gt;0),ROUND(SUM(COPIA!$FB$103:FB363),2)-ROUND(SUM(COPIA!$FC$103:FC363),2),""),"")&lt;&gt;0,"",0)</f>
        <v/>
      </c>
      <c r="L271" s="6">
        <f ca="1">IFERROR(IF(AND(INDIRECT(ADDRESS(ROW(),4,,,))&lt;=COPIA!$DA$1,K271=0,COPIA!$EX$1&gt;1,ROW()&lt;=COPIA!$EX$1),MAX($L$10:L270)+1,IF(AND(INDIRECT(ADDRESS(ROW(),4,,,))&lt;=COPIA!$DA$1,K271=0,COPIA!$EX$1=1),MAX($L$10:L270)+1,0)),0)</f>
        <v>0</v>
      </c>
      <c r="M271" s="6">
        <f ca="1">IF(AND(COPIA!$EX$1=1,L271&lt;&gt;0),ROW()-10,IF(AND(COPIA!$EX$1&gt;1,ROW()&gt;COPIA!$EX$1,L271&lt;&gt;0),0,IF(AND(COPIA!$EX$1&gt;1,ROW()&lt;=COPIA!$EX$1,L271&lt;&gt;0),ROW()-10,0)))</f>
        <v>0</v>
      </c>
      <c r="N271" s="6">
        <f ca="1">IF(AND($P$4=0,ROW()-10&lt;=$P$10),MAX($N$10:N270)+1,IF(AND(ROW()-10&gt;$P$10,ROW()-10&lt;=$P$4),ROW()-10,0))</f>
        <v>0</v>
      </c>
      <c r="O271" s="6">
        <f ca="1">IF(N271&gt;0,MAX($O$10:O270)+1,0)</f>
        <v>0</v>
      </c>
      <c r="Q271" s="84"/>
      <c r="R271" s="84"/>
    </row>
    <row r="272" spans="2:18" ht="24" customHeight="1">
      <c r="B272" s="30" t="str">
        <f t="shared" ca="1" si="10"/>
        <v/>
      </c>
      <c r="C272" s="31" t="str">
        <f t="shared" ca="1" si="11"/>
        <v/>
      </c>
      <c r="D272" s="32"/>
      <c r="E272" s="33"/>
      <c r="F272" s="36"/>
      <c r="G272" s="37"/>
      <c r="H272" s="37"/>
      <c r="I272" s="157"/>
      <c r="J272" s="201"/>
      <c r="K272" s="202" t="str">
        <f ca="1">IF(IF(COPIA!$J$3=TRUE,IF(OR(G272&lt;&gt;0,H272&lt;&gt;0),ROUND(SUM(COPIA!$FB$103:FB364),2)-ROUND(SUM(COPIA!$FC$103:FC364),2),""),"")&lt;&gt;0,"",0)</f>
        <v/>
      </c>
      <c r="L272" s="6">
        <f ca="1">IFERROR(IF(AND(INDIRECT(ADDRESS(ROW(),4,,,))&lt;=COPIA!$DA$1,K272=0,COPIA!$EX$1&gt;1,ROW()&lt;=COPIA!$EX$1),MAX($L$10:L271)+1,IF(AND(INDIRECT(ADDRESS(ROW(),4,,,))&lt;=COPIA!$DA$1,K272=0,COPIA!$EX$1=1),MAX($L$10:L271)+1,0)),0)</f>
        <v>0</v>
      </c>
      <c r="M272" s="6">
        <f ca="1">IF(AND(COPIA!$EX$1=1,L272&lt;&gt;0),ROW()-10,IF(AND(COPIA!$EX$1&gt;1,ROW()&gt;COPIA!$EX$1,L272&lt;&gt;0),0,IF(AND(COPIA!$EX$1&gt;1,ROW()&lt;=COPIA!$EX$1,L272&lt;&gt;0),ROW()-10,0)))</f>
        <v>0</v>
      </c>
      <c r="N272" s="6">
        <f ca="1">IF(AND($P$4=0,ROW()-10&lt;=$P$10),MAX($N$10:N271)+1,IF(AND(ROW()-10&gt;$P$10,ROW()-10&lt;=$P$4),ROW()-10,0))</f>
        <v>0</v>
      </c>
      <c r="O272" s="6">
        <f ca="1">IF(N272&gt;0,MAX($O$10:O271)+1,0)</f>
        <v>0</v>
      </c>
      <c r="Q272" s="84"/>
      <c r="R272" s="84"/>
    </row>
    <row r="273" spans="2:18" ht="24" customHeight="1">
      <c r="B273" s="30" t="str">
        <f t="shared" ca="1" si="10"/>
        <v/>
      </c>
      <c r="C273" s="31" t="str">
        <f t="shared" ca="1" si="11"/>
        <v/>
      </c>
      <c r="D273" s="32"/>
      <c r="E273" s="33"/>
      <c r="F273" s="36"/>
      <c r="G273" s="37"/>
      <c r="H273" s="37"/>
      <c r="I273" s="157"/>
      <c r="J273" s="201"/>
      <c r="K273" s="202" t="str">
        <f ca="1">IF(IF(COPIA!$J$3=TRUE,IF(OR(G273&lt;&gt;0,H273&lt;&gt;0),ROUND(SUM(COPIA!$FB$103:FB365),2)-ROUND(SUM(COPIA!$FC$103:FC365),2),""),"")&lt;&gt;0,"",0)</f>
        <v/>
      </c>
      <c r="L273" s="6">
        <f ca="1">IFERROR(IF(AND(INDIRECT(ADDRESS(ROW(),4,,,))&lt;=COPIA!$DA$1,K273=0,COPIA!$EX$1&gt;1,ROW()&lt;=COPIA!$EX$1),MAX($L$10:L272)+1,IF(AND(INDIRECT(ADDRESS(ROW(),4,,,))&lt;=COPIA!$DA$1,K273=0,COPIA!$EX$1=1),MAX($L$10:L272)+1,0)),0)</f>
        <v>0</v>
      </c>
      <c r="M273" s="6">
        <f ca="1">IF(AND(COPIA!$EX$1=1,L273&lt;&gt;0),ROW()-10,IF(AND(COPIA!$EX$1&gt;1,ROW()&gt;COPIA!$EX$1,L273&lt;&gt;0),0,IF(AND(COPIA!$EX$1&gt;1,ROW()&lt;=COPIA!$EX$1,L273&lt;&gt;0),ROW()-10,0)))</f>
        <v>0</v>
      </c>
      <c r="N273" s="6">
        <f ca="1">IF(AND($P$4=0,ROW()-10&lt;=$P$10),MAX($N$10:N272)+1,IF(AND(ROW()-10&gt;$P$10,ROW()-10&lt;=$P$4),ROW()-10,0))</f>
        <v>0</v>
      </c>
      <c r="O273" s="6">
        <f ca="1">IF(N273&gt;0,MAX($O$10:O272)+1,0)</f>
        <v>0</v>
      </c>
      <c r="Q273" s="84"/>
      <c r="R273" s="84"/>
    </row>
    <row r="274" spans="2:18" ht="24" customHeight="1">
      <c r="B274" s="30" t="str">
        <f t="shared" ca="1" si="10"/>
        <v/>
      </c>
      <c r="C274" s="31" t="str">
        <f t="shared" ca="1" si="11"/>
        <v/>
      </c>
      <c r="D274" s="32"/>
      <c r="E274" s="33"/>
      <c r="F274" s="36"/>
      <c r="G274" s="37"/>
      <c r="H274" s="37"/>
      <c r="I274" s="157"/>
      <c r="J274" s="201"/>
      <c r="K274" s="202" t="str">
        <f ca="1">IF(IF(COPIA!$J$3=TRUE,IF(OR(G274&lt;&gt;0,H274&lt;&gt;0),ROUND(SUM(COPIA!$FB$103:FB366),2)-ROUND(SUM(COPIA!$FC$103:FC366),2),""),"")&lt;&gt;0,"",0)</f>
        <v/>
      </c>
      <c r="L274" s="6">
        <f ca="1">IFERROR(IF(AND(INDIRECT(ADDRESS(ROW(),4,,,))&lt;=COPIA!$DA$1,K274=0,COPIA!$EX$1&gt;1,ROW()&lt;=COPIA!$EX$1),MAX($L$10:L273)+1,IF(AND(INDIRECT(ADDRESS(ROW(),4,,,))&lt;=COPIA!$DA$1,K274=0,COPIA!$EX$1=1),MAX($L$10:L273)+1,0)),0)</f>
        <v>0</v>
      </c>
      <c r="M274" s="6">
        <f ca="1">IF(AND(COPIA!$EX$1=1,L274&lt;&gt;0),ROW()-10,IF(AND(COPIA!$EX$1&gt;1,ROW()&gt;COPIA!$EX$1,L274&lt;&gt;0),0,IF(AND(COPIA!$EX$1&gt;1,ROW()&lt;=COPIA!$EX$1,L274&lt;&gt;0),ROW()-10,0)))</f>
        <v>0</v>
      </c>
      <c r="N274" s="6">
        <f ca="1">IF(AND($P$4=0,ROW()-10&lt;=$P$10),MAX($N$10:N273)+1,IF(AND(ROW()-10&gt;$P$10,ROW()-10&lt;=$P$4),ROW()-10,0))</f>
        <v>0</v>
      </c>
      <c r="O274" s="6">
        <f ca="1">IF(N274&gt;0,MAX($O$10:O273)+1,0)</f>
        <v>0</v>
      </c>
      <c r="Q274" s="84"/>
      <c r="R274" s="84"/>
    </row>
    <row r="275" spans="2:18" ht="24" customHeight="1">
      <c r="B275" s="30" t="str">
        <f t="shared" ca="1" si="10"/>
        <v/>
      </c>
      <c r="C275" s="31" t="str">
        <f t="shared" ca="1" si="11"/>
        <v/>
      </c>
      <c r="D275" s="32"/>
      <c r="E275" s="33"/>
      <c r="F275" s="36"/>
      <c r="G275" s="37"/>
      <c r="H275" s="37"/>
      <c r="I275" s="157"/>
      <c r="J275" s="201"/>
      <c r="K275" s="202" t="str">
        <f ca="1">IF(IF(COPIA!$J$3=TRUE,IF(OR(G275&lt;&gt;0,H275&lt;&gt;0),ROUND(SUM(COPIA!$FB$103:FB367),2)-ROUND(SUM(COPIA!$FC$103:FC367),2),""),"")&lt;&gt;0,"",0)</f>
        <v/>
      </c>
      <c r="L275" s="6">
        <f ca="1">IFERROR(IF(AND(INDIRECT(ADDRESS(ROW(),4,,,))&lt;=COPIA!$DA$1,K275=0,COPIA!$EX$1&gt;1,ROW()&lt;=COPIA!$EX$1),MAX($L$10:L274)+1,IF(AND(INDIRECT(ADDRESS(ROW(),4,,,))&lt;=COPIA!$DA$1,K275=0,COPIA!$EX$1=1),MAX($L$10:L274)+1,0)),0)</f>
        <v>0</v>
      </c>
      <c r="M275" s="6">
        <f ca="1">IF(AND(COPIA!$EX$1=1,L275&lt;&gt;0),ROW()-10,IF(AND(COPIA!$EX$1&gt;1,ROW()&gt;COPIA!$EX$1,L275&lt;&gt;0),0,IF(AND(COPIA!$EX$1&gt;1,ROW()&lt;=COPIA!$EX$1,L275&lt;&gt;0),ROW()-10,0)))</f>
        <v>0</v>
      </c>
      <c r="N275" s="6">
        <f ca="1">IF(AND($P$4=0,ROW()-10&lt;=$P$10),MAX($N$10:N274)+1,IF(AND(ROW()-10&gt;$P$10,ROW()-10&lt;=$P$4),ROW()-10,0))</f>
        <v>0</v>
      </c>
      <c r="O275" s="6">
        <f ca="1">IF(N275&gt;0,MAX($O$10:O274)+1,0)</f>
        <v>0</v>
      </c>
      <c r="Q275" s="84"/>
      <c r="R275" s="84"/>
    </row>
    <row r="276" spans="2:18" ht="24" customHeight="1">
      <c r="B276" s="30" t="str">
        <f t="shared" ca="1" si="10"/>
        <v/>
      </c>
      <c r="C276" s="31" t="str">
        <f t="shared" ca="1" si="11"/>
        <v/>
      </c>
      <c r="D276" s="32"/>
      <c r="E276" s="33"/>
      <c r="F276" s="36"/>
      <c r="G276" s="37"/>
      <c r="H276" s="37"/>
      <c r="I276" s="157"/>
      <c r="J276" s="201"/>
      <c r="K276" s="202" t="str">
        <f ca="1">IF(IF(COPIA!$J$3=TRUE,IF(OR(G276&lt;&gt;0,H276&lt;&gt;0),ROUND(SUM(COPIA!$FB$103:FB368),2)-ROUND(SUM(COPIA!$FC$103:FC368),2),""),"")&lt;&gt;0,"",0)</f>
        <v/>
      </c>
      <c r="L276" s="6">
        <f ca="1">IFERROR(IF(AND(INDIRECT(ADDRESS(ROW(),4,,,))&lt;=COPIA!$DA$1,K276=0,COPIA!$EX$1&gt;1,ROW()&lt;=COPIA!$EX$1),MAX($L$10:L275)+1,IF(AND(INDIRECT(ADDRESS(ROW(),4,,,))&lt;=COPIA!$DA$1,K276=0,COPIA!$EX$1=1),MAX($L$10:L275)+1,0)),0)</f>
        <v>0</v>
      </c>
      <c r="M276" s="6">
        <f ca="1">IF(AND(COPIA!$EX$1=1,L276&lt;&gt;0),ROW()-10,IF(AND(COPIA!$EX$1&gt;1,ROW()&gt;COPIA!$EX$1,L276&lt;&gt;0),0,IF(AND(COPIA!$EX$1&gt;1,ROW()&lt;=COPIA!$EX$1,L276&lt;&gt;0),ROW()-10,0)))</f>
        <v>0</v>
      </c>
      <c r="N276" s="6">
        <f ca="1">IF(AND($P$4=0,ROW()-10&lt;=$P$10),MAX($N$10:N275)+1,IF(AND(ROW()-10&gt;$P$10,ROW()-10&lt;=$P$4),ROW()-10,0))</f>
        <v>0</v>
      </c>
      <c r="O276" s="6">
        <f ca="1">IF(N276&gt;0,MAX($O$10:O275)+1,0)</f>
        <v>0</v>
      </c>
      <c r="Q276" s="84"/>
      <c r="R276" s="84"/>
    </row>
    <row r="277" spans="2:18" ht="24" customHeight="1">
      <c r="B277" s="30" t="str">
        <f t="shared" ca="1" si="10"/>
        <v/>
      </c>
      <c r="C277" s="31" t="str">
        <f t="shared" ca="1" si="11"/>
        <v/>
      </c>
      <c r="D277" s="32"/>
      <c r="E277" s="33"/>
      <c r="F277" s="36"/>
      <c r="G277" s="37"/>
      <c r="H277" s="37"/>
      <c r="I277" s="157"/>
      <c r="J277" s="201"/>
      <c r="K277" s="202" t="str">
        <f ca="1">IF(IF(COPIA!$J$3=TRUE,IF(OR(G277&lt;&gt;0,H277&lt;&gt;0),ROUND(SUM(COPIA!$FB$103:FB369),2)-ROUND(SUM(COPIA!$FC$103:FC369),2),""),"")&lt;&gt;0,"",0)</f>
        <v/>
      </c>
      <c r="L277" s="6">
        <f ca="1">IFERROR(IF(AND(INDIRECT(ADDRESS(ROW(),4,,,))&lt;=COPIA!$DA$1,K277=0,COPIA!$EX$1&gt;1,ROW()&lt;=COPIA!$EX$1),MAX($L$10:L276)+1,IF(AND(INDIRECT(ADDRESS(ROW(),4,,,))&lt;=COPIA!$DA$1,K277=0,COPIA!$EX$1=1),MAX($L$10:L276)+1,0)),0)</f>
        <v>0</v>
      </c>
      <c r="M277" s="6">
        <f ca="1">IF(AND(COPIA!$EX$1=1,L277&lt;&gt;0),ROW()-10,IF(AND(COPIA!$EX$1&gt;1,ROW()&gt;COPIA!$EX$1,L277&lt;&gt;0),0,IF(AND(COPIA!$EX$1&gt;1,ROW()&lt;=COPIA!$EX$1,L277&lt;&gt;0),ROW()-10,0)))</f>
        <v>0</v>
      </c>
      <c r="N277" s="6">
        <f ca="1">IF(AND($P$4=0,ROW()-10&lt;=$P$10),MAX($N$10:N276)+1,IF(AND(ROW()-10&gt;$P$10,ROW()-10&lt;=$P$4),ROW()-10,0))</f>
        <v>0</v>
      </c>
      <c r="O277" s="6">
        <f ca="1">IF(N277&gt;0,MAX($O$10:O276)+1,0)</f>
        <v>0</v>
      </c>
      <c r="Q277" s="84"/>
      <c r="R277" s="84"/>
    </row>
    <row r="278" spans="2:18" ht="24" customHeight="1">
      <c r="B278" s="30" t="str">
        <f t="shared" ca="1" si="10"/>
        <v/>
      </c>
      <c r="C278" s="31" t="str">
        <f t="shared" ca="1" si="11"/>
        <v/>
      </c>
      <c r="D278" s="32"/>
      <c r="E278" s="33"/>
      <c r="F278" s="36"/>
      <c r="G278" s="37"/>
      <c r="H278" s="37"/>
      <c r="I278" s="157"/>
      <c r="J278" s="201"/>
      <c r="K278" s="202" t="str">
        <f ca="1">IF(IF(COPIA!$J$3=TRUE,IF(OR(G278&lt;&gt;0,H278&lt;&gt;0),ROUND(SUM(COPIA!$FB$103:FB370),2)-ROUND(SUM(COPIA!$FC$103:FC370),2),""),"")&lt;&gt;0,"",0)</f>
        <v/>
      </c>
      <c r="L278" s="6">
        <f ca="1">IFERROR(IF(AND(INDIRECT(ADDRESS(ROW(),4,,,))&lt;=COPIA!$DA$1,K278=0,COPIA!$EX$1&gt;1,ROW()&lt;=COPIA!$EX$1),MAX($L$10:L277)+1,IF(AND(INDIRECT(ADDRESS(ROW(),4,,,))&lt;=COPIA!$DA$1,K278=0,COPIA!$EX$1=1),MAX($L$10:L277)+1,0)),0)</f>
        <v>0</v>
      </c>
      <c r="M278" s="6">
        <f ca="1">IF(AND(COPIA!$EX$1=1,L278&lt;&gt;0),ROW()-10,IF(AND(COPIA!$EX$1&gt;1,ROW()&gt;COPIA!$EX$1,L278&lt;&gt;0),0,IF(AND(COPIA!$EX$1&gt;1,ROW()&lt;=COPIA!$EX$1,L278&lt;&gt;0),ROW()-10,0)))</f>
        <v>0</v>
      </c>
      <c r="N278" s="6">
        <f ca="1">IF(AND($P$4=0,ROW()-10&lt;=$P$10),MAX($N$10:N277)+1,IF(AND(ROW()-10&gt;$P$10,ROW()-10&lt;=$P$4),ROW()-10,0))</f>
        <v>0</v>
      </c>
      <c r="O278" s="6">
        <f ca="1">IF(N278&gt;0,MAX($O$10:O277)+1,0)</f>
        <v>0</v>
      </c>
      <c r="Q278" s="84"/>
      <c r="R278" s="84"/>
    </row>
    <row r="279" spans="2:18" ht="24" customHeight="1">
      <c r="B279" s="30" t="str">
        <f t="shared" ca="1" si="10"/>
        <v/>
      </c>
      <c r="C279" s="31" t="str">
        <f t="shared" ca="1" si="11"/>
        <v/>
      </c>
      <c r="D279" s="32"/>
      <c r="E279" s="33"/>
      <c r="F279" s="36"/>
      <c r="G279" s="37"/>
      <c r="H279" s="37"/>
      <c r="I279" s="157"/>
      <c r="J279" s="201"/>
      <c r="K279" s="202" t="str">
        <f ca="1">IF(IF(COPIA!$J$3=TRUE,IF(OR(G279&lt;&gt;0,H279&lt;&gt;0),ROUND(SUM(COPIA!$FB$103:FB371),2)-ROUND(SUM(COPIA!$FC$103:FC371),2),""),"")&lt;&gt;0,"",0)</f>
        <v/>
      </c>
      <c r="L279" s="6">
        <f ca="1">IFERROR(IF(AND(INDIRECT(ADDRESS(ROW(),4,,,))&lt;=COPIA!$DA$1,K279=0,COPIA!$EX$1&gt;1,ROW()&lt;=COPIA!$EX$1),MAX($L$10:L278)+1,IF(AND(INDIRECT(ADDRESS(ROW(),4,,,))&lt;=COPIA!$DA$1,K279=0,COPIA!$EX$1=1),MAX($L$10:L278)+1,0)),0)</f>
        <v>0</v>
      </c>
      <c r="M279" s="6">
        <f ca="1">IF(AND(COPIA!$EX$1=1,L279&lt;&gt;0),ROW()-10,IF(AND(COPIA!$EX$1&gt;1,ROW()&gt;COPIA!$EX$1,L279&lt;&gt;0),0,IF(AND(COPIA!$EX$1&gt;1,ROW()&lt;=COPIA!$EX$1,L279&lt;&gt;0),ROW()-10,0)))</f>
        <v>0</v>
      </c>
      <c r="N279" s="6">
        <f ca="1">IF(AND($P$4=0,ROW()-10&lt;=$P$10),MAX($N$10:N278)+1,IF(AND(ROW()-10&gt;$P$10,ROW()-10&lt;=$P$4),ROW()-10,0))</f>
        <v>0</v>
      </c>
      <c r="O279" s="6">
        <f ca="1">IF(N279&gt;0,MAX($O$10:O278)+1,0)</f>
        <v>0</v>
      </c>
      <c r="Q279" s="84"/>
      <c r="R279" s="84"/>
    </row>
    <row r="280" spans="2:18" ht="24" customHeight="1">
      <c r="B280" s="30" t="str">
        <f t="shared" ca="1" si="10"/>
        <v/>
      </c>
      <c r="C280" s="31" t="str">
        <f t="shared" ca="1" si="11"/>
        <v/>
      </c>
      <c r="D280" s="32"/>
      <c r="E280" s="33"/>
      <c r="F280" s="36"/>
      <c r="G280" s="37"/>
      <c r="H280" s="37"/>
      <c r="I280" s="157"/>
      <c r="J280" s="201"/>
      <c r="K280" s="202" t="str">
        <f ca="1">IF(IF(COPIA!$J$3=TRUE,IF(OR(G280&lt;&gt;0,H280&lt;&gt;0),ROUND(SUM(COPIA!$FB$103:FB372),2)-ROUND(SUM(COPIA!$FC$103:FC372),2),""),"")&lt;&gt;0,"",0)</f>
        <v/>
      </c>
      <c r="L280" s="6">
        <f ca="1">IFERROR(IF(AND(INDIRECT(ADDRESS(ROW(),4,,,))&lt;=COPIA!$DA$1,K280=0,COPIA!$EX$1&gt;1,ROW()&lt;=COPIA!$EX$1),MAX($L$10:L279)+1,IF(AND(INDIRECT(ADDRESS(ROW(),4,,,))&lt;=COPIA!$DA$1,K280=0,COPIA!$EX$1=1),MAX($L$10:L279)+1,0)),0)</f>
        <v>0</v>
      </c>
      <c r="M280" s="6">
        <f ca="1">IF(AND(COPIA!$EX$1=1,L280&lt;&gt;0),ROW()-10,IF(AND(COPIA!$EX$1&gt;1,ROW()&gt;COPIA!$EX$1,L280&lt;&gt;0),0,IF(AND(COPIA!$EX$1&gt;1,ROW()&lt;=COPIA!$EX$1,L280&lt;&gt;0),ROW()-10,0)))</f>
        <v>0</v>
      </c>
      <c r="N280" s="6">
        <f ca="1">IF(AND($P$4=0,ROW()-10&lt;=$P$10),MAX($N$10:N279)+1,IF(AND(ROW()-10&gt;$P$10,ROW()-10&lt;=$P$4),ROW()-10,0))</f>
        <v>0</v>
      </c>
      <c r="O280" s="6">
        <f ca="1">IF(N280&gt;0,MAX($O$10:O279)+1,0)</f>
        <v>0</v>
      </c>
      <c r="Q280" s="84"/>
      <c r="R280" s="84"/>
    </row>
    <row r="281" spans="2:18" ht="24" customHeight="1">
      <c r="B281" s="30" t="str">
        <f t="shared" ca="1" si="10"/>
        <v/>
      </c>
      <c r="C281" s="31" t="str">
        <f t="shared" ca="1" si="11"/>
        <v/>
      </c>
      <c r="D281" s="32"/>
      <c r="E281" s="33"/>
      <c r="F281" s="36"/>
      <c r="G281" s="37"/>
      <c r="H281" s="37"/>
      <c r="I281" s="157"/>
      <c r="J281" s="201"/>
      <c r="K281" s="202" t="str">
        <f ca="1">IF(IF(COPIA!$J$3=TRUE,IF(OR(G281&lt;&gt;0,H281&lt;&gt;0),ROUND(SUM(COPIA!$FB$103:FB373),2)-ROUND(SUM(COPIA!$FC$103:FC373),2),""),"")&lt;&gt;0,"",0)</f>
        <v/>
      </c>
      <c r="L281" s="6">
        <f ca="1">IFERROR(IF(AND(INDIRECT(ADDRESS(ROW(),4,,,))&lt;=COPIA!$DA$1,K281=0,COPIA!$EX$1&gt;1,ROW()&lt;=COPIA!$EX$1),MAX($L$10:L280)+1,IF(AND(INDIRECT(ADDRESS(ROW(),4,,,))&lt;=COPIA!$DA$1,K281=0,COPIA!$EX$1=1),MAX($L$10:L280)+1,0)),0)</f>
        <v>0</v>
      </c>
      <c r="M281" s="6">
        <f ca="1">IF(AND(COPIA!$EX$1=1,L281&lt;&gt;0),ROW()-10,IF(AND(COPIA!$EX$1&gt;1,ROW()&gt;COPIA!$EX$1,L281&lt;&gt;0),0,IF(AND(COPIA!$EX$1&gt;1,ROW()&lt;=COPIA!$EX$1,L281&lt;&gt;0),ROW()-10,0)))</f>
        <v>0</v>
      </c>
      <c r="N281" s="6">
        <f ca="1">IF(AND($P$4=0,ROW()-10&lt;=$P$10),MAX($N$10:N280)+1,IF(AND(ROW()-10&gt;$P$10,ROW()-10&lt;=$P$4),ROW()-10,0))</f>
        <v>0</v>
      </c>
      <c r="O281" s="6">
        <f ca="1">IF(N281&gt;0,MAX($O$10:O280)+1,0)</f>
        <v>0</v>
      </c>
      <c r="Q281" s="84"/>
      <c r="R281" s="84"/>
    </row>
    <row r="282" spans="2:18" ht="24" customHeight="1">
      <c r="B282" s="30" t="str">
        <f t="shared" ca="1" si="10"/>
        <v/>
      </c>
      <c r="C282" s="31" t="str">
        <f t="shared" ca="1" si="11"/>
        <v/>
      </c>
      <c r="D282" s="32"/>
      <c r="E282" s="33"/>
      <c r="F282" s="36"/>
      <c r="G282" s="37"/>
      <c r="H282" s="37"/>
      <c r="I282" s="157"/>
      <c r="J282" s="201"/>
      <c r="K282" s="202" t="str">
        <f ca="1">IF(IF(COPIA!$J$3=TRUE,IF(OR(G282&lt;&gt;0,H282&lt;&gt;0),ROUND(SUM(COPIA!$FB$103:FB374),2)-ROUND(SUM(COPIA!$FC$103:FC374),2),""),"")&lt;&gt;0,"",0)</f>
        <v/>
      </c>
      <c r="L282" s="6">
        <f ca="1">IFERROR(IF(AND(INDIRECT(ADDRESS(ROW(),4,,,))&lt;=COPIA!$DA$1,K282=0,COPIA!$EX$1&gt;1,ROW()&lt;=COPIA!$EX$1),MAX($L$10:L281)+1,IF(AND(INDIRECT(ADDRESS(ROW(),4,,,))&lt;=COPIA!$DA$1,K282=0,COPIA!$EX$1=1),MAX($L$10:L281)+1,0)),0)</f>
        <v>0</v>
      </c>
      <c r="M282" s="6">
        <f ca="1">IF(AND(COPIA!$EX$1=1,L282&lt;&gt;0),ROW()-10,IF(AND(COPIA!$EX$1&gt;1,ROW()&gt;COPIA!$EX$1,L282&lt;&gt;0),0,IF(AND(COPIA!$EX$1&gt;1,ROW()&lt;=COPIA!$EX$1,L282&lt;&gt;0),ROW()-10,0)))</f>
        <v>0</v>
      </c>
      <c r="N282" s="6">
        <f ca="1">IF(AND($P$4=0,ROW()-10&lt;=$P$10),MAX($N$10:N281)+1,IF(AND(ROW()-10&gt;$P$10,ROW()-10&lt;=$P$4),ROW()-10,0))</f>
        <v>0</v>
      </c>
      <c r="O282" s="6">
        <f ca="1">IF(N282&gt;0,MAX($O$10:O281)+1,0)</f>
        <v>0</v>
      </c>
      <c r="Q282" s="84"/>
      <c r="R282" s="84"/>
    </row>
    <row r="283" spans="2:18" ht="24" customHeight="1">
      <c r="B283" s="30" t="str">
        <f t="shared" ca="1" si="10"/>
        <v/>
      </c>
      <c r="C283" s="31" t="str">
        <f t="shared" ca="1" si="11"/>
        <v/>
      </c>
      <c r="D283" s="32"/>
      <c r="E283" s="33"/>
      <c r="F283" s="36"/>
      <c r="G283" s="37"/>
      <c r="H283" s="37"/>
      <c r="I283" s="157"/>
      <c r="J283" s="201"/>
      <c r="K283" s="202" t="str">
        <f ca="1">IF(IF(COPIA!$J$3=TRUE,IF(OR(G283&lt;&gt;0,H283&lt;&gt;0),ROUND(SUM(COPIA!$FB$103:FB375),2)-ROUND(SUM(COPIA!$FC$103:FC375),2),""),"")&lt;&gt;0,"",0)</f>
        <v/>
      </c>
      <c r="L283" s="6">
        <f ca="1">IFERROR(IF(AND(INDIRECT(ADDRESS(ROW(),4,,,))&lt;=COPIA!$DA$1,K283=0,COPIA!$EX$1&gt;1,ROW()&lt;=COPIA!$EX$1),MAX($L$10:L282)+1,IF(AND(INDIRECT(ADDRESS(ROW(),4,,,))&lt;=COPIA!$DA$1,K283=0,COPIA!$EX$1=1),MAX($L$10:L282)+1,0)),0)</f>
        <v>0</v>
      </c>
      <c r="M283" s="6">
        <f ca="1">IF(AND(COPIA!$EX$1=1,L283&lt;&gt;0),ROW()-10,IF(AND(COPIA!$EX$1&gt;1,ROW()&gt;COPIA!$EX$1,L283&lt;&gt;0),0,IF(AND(COPIA!$EX$1&gt;1,ROW()&lt;=COPIA!$EX$1,L283&lt;&gt;0),ROW()-10,0)))</f>
        <v>0</v>
      </c>
      <c r="N283" s="6">
        <f ca="1">IF(AND($P$4=0,ROW()-10&lt;=$P$10),MAX($N$10:N282)+1,IF(AND(ROW()-10&gt;$P$10,ROW()-10&lt;=$P$4),ROW()-10,0))</f>
        <v>0</v>
      </c>
      <c r="O283" s="6">
        <f ca="1">IF(N283&gt;0,MAX($O$10:O282)+1,0)</f>
        <v>0</v>
      </c>
      <c r="Q283" s="84"/>
      <c r="R283" s="84"/>
    </row>
    <row r="284" spans="2:18" ht="24" customHeight="1">
      <c r="B284" s="30" t="str">
        <f t="shared" ca="1" si="10"/>
        <v/>
      </c>
      <c r="C284" s="31" t="str">
        <f t="shared" ca="1" si="11"/>
        <v/>
      </c>
      <c r="D284" s="32"/>
      <c r="E284" s="33"/>
      <c r="F284" s="36"/>
      <c r="G284" s="37"/>
      <c r="H284" s="37"/>
      <c r="I284" s="157"/>
      <c r="J284" s="201"/>
      <c r="K284" s="202" t="str">
        <f ca="1">IF(IF(COPIA!$J$3=TRUE,IF(OR(G284&lt;&gt;0,H284&lt;&gt;0),ROUND(SUM(COPIA!$FB$103:FB376),2)-ROUND(SUM(COPIA!$FC$103:FC376),2),""),"")&lt;&gt;0,"",0)</f>
        <v/>
      </c>
      <c r="L284" s="6">
        <f ca="1">IFERROR(IF(AND(INDIRECT(ADDRESS(ROW(),4,,,))&lt;=COPIA!$DA$1,K284=0,COPIA!$EX$1&gt;1,ROW()&lt;=COPIA!$EX$1),MAX($L$10:L283)+1,IF(AND(INDIRECT(ADDRESS(ROW(),4,,,))&lt;=COPIA!$DA$1,K284=0,COPIA!$EX$1=1),MAX($L$10:L283)+1,0)),0)</f>
        <v>0</v>
      </c>
      <c r="M284" s="6">
        <f ca="1">IF(AND(COPIA!$EX$1=1,L284&lt;&gt;0),ROW()-10,IF(AND(COPIA!$EX$1&gt;1,ROW()&gt;COPIA!$EX$1,L284&lt;&gt;0),0,IF(AND(COPIA!$EX$1&gt;1,ROW()&lt;=COPIA!$EX$1,L284&lt;&gt;0),ROW()-10,0)))</f>
        <v>0</v>
      </c>
      <c r="N284" s="6">
        <f ca="1">IF(AND($P$4=0,ROW()-10&lt;=$P$10),MAX($N$10:N283)+1,IF(AND(ROW()-10&gt;$P$10,ROW()-10&lt;=$P$4),ROW()-10,0))</f>
        <v>0</v>
      </c>
      <c r="O284" s="6">
        <f ca="1">IF(N284&gt;0,MAX($O$10:O283)+1,0)</f>
        <v>0</v>
      </c>
      <c r="Q284" s="84"/>
      <c r="R284" s="84"/>
    </row>
    <row r="285" spans="2:18" ht="24" customHeight="1">
      <c r="B285" s="30" t="str">
        <f t="shared" ca="1" si="10"/>
        <v/>
      </c>
      <c r="C285" s="31" t="str">
        <f t="shared" ca="1" si="11"/>
        <v/>
      </c>
      <c r="D285" s="32"/>
      <c r="E285" s="33"/>
      <c r="F285" s="36"/>
      <c r="G285" s="37"/>
      <c r="H285" s="37"/>
      <c r="I285" s="157"/>
      <c r="J285" s="201"/>
      <c r="K285" s="202" t="str">
        <f ca="1">IF(IF(COPIA!$J$3=TRUE,IF(OR(G285&lt;&gt;0,H285&lt;&gt;0),ROUND(SUM(COPIA!$FB$103:FB377),2)-ROUND(SUM(COPIA!$FC$103:FC377),2),""),"")&lt;&gt;0,"",0)</f>
        <v/>
      </c>
      <c r="L285" s="6">
        <f ca="1">IFERROR(IF(AND(INDIRECT(ADDRESS(ROW(),4,,,))&lt;=COPIA!$DA$1,K285=0,COPIA!$EX$1&gt;1,ROW()&lt;=COPIA!$EX$1),MAX($L$10:L284)+1,IF(AND(INDIRECT(ADDRESS(ROW(),4,,,))&lt;=COPIA!$DA$1,K285=0,COPIA!$EX$1=1),MAX($L$10:L284)+1,0)),0)</f>
        <v>0</v>
      </c>
      <c r="M285" s="6">
        <f ca="1">IF(AND(COPIA!$EX$1=1,L285&lt;&gt;0),ROW()-10,IF(AND(COPIA!$EX$1&gt;1,ROW()&gt;COPIA!$EX$1,L285&lt;&gt;0),0,IF(AND(COPIA!$EX$1&gt;1,ROW()&lt;=COPIA!$EX$1,L285&lt;&gt;0),ROW()-10,0)))</f>
        <v>0</v>
      </c>
      <c r="N285" s="6">
        <f ca="1">IF(AND($P$4=0,ROW()-10&lt;=$P$10),MAX($N$10:N284)+1,IF(AND(ROW()-10&gt;$P$10,ROW()-10&lt;=$P$4),ROW()-10,0))</f>
        <v>0</v>
      </c>
      <c r="O285" s="6">
        <f ca="1">IF(N285&gt;0,MAX($O$10:O284)+1,0)</f>
        <v>0</v>
      </c>
      <c r="Q285" s="84"/>
      <c r="R285" s="84"/>
    </row>
    <row r="286" spans="2:18" ht="24" customHeight="1">
      <c r="B286" s="30" t="str">
        <f t="shared" ca="1" si="10"/>
        <v/>
      </c>
      <c r="C286" s="31" t="str">
        <f t="shared" ca="1" si="11"/>
        <v/>
      </c>
      <c r="D286" s="32"/>
      <c r="E286" s="33"/>
      <c r="F286" s="36"/>
      <c r="G286" s="37"/>
      <c r="H286" s="37"/>
      <c r="I286" s="157"/>
      <c r="J286" s="201"/>
      <c r="K286" s="202" t="str">
        <f ca="1">IF(IF(COPIA!$J$3=TRUE,IF(OR(G286&lt;&gt;0,H286&lt;&gt;0),ROUND(SUM(COPIA!$FB$103:FB378),2)-ROUND(SUM(COPIA!$FC$103:FC378),2),""),"")&lt;&gt;0,"",0)</f>
        <v/>
      </c>
      <c r="L286" s="6">
        <f ca="1">IFERROR(IF(AND(INDIRECT(ADDRESS(ROW(),4,,,))&lt;=COPIA!$DA$1,K286=0,COPIA!$EX$1&gt;1,ROW()&lt;=COPIA!$EX$1),MAX($L$10:L285)+1,IF(AND(INDIRECT(ADDRESS(ROW(),4,,,))&lt;=COPIA!$DA$1,K286=0,COPIA!$EX$1=1),MAX($L$10:L285)+1,0)),0)</f>
        <v>0</v>
      </c>
      <c r="M286" s="6">
        <f ca="1">IF(AND(COPIA!$EX$1=1,L286&lt;&gt;0),ROW()-10,IF(AND(COPIA!$EX$1&gt;1,ROW()&gt;COPIA!$EX$1,L286&lt;&gt;0),0,IF(AND(COPIA!$EX$1&gt;1,ROW()&lt;=COPIA!$EX$1,L286&lt;&gt;0),ROW()-10,0)))</f>
        <v>0</v>
      </c>
      <c r="N286" s="6">
        <f ca="1">IF(AND($P$4=0,ROW()-10&lt;=$P$10),MAX($N$10:N285)+1,IF(AND(ROW()-10&gt;$P$10,ROW()-10&lt;=$P$4),ROW()-10,0))</f>
        <v>0</v>
      </c>
      <c r="O286" s="6">
        <f ca="1">IF(N286&gt;0,MAX($O$10:O285)+1,0)</f>
        <v>0</v>
      </c>
      <c r="Q286" s="84"/>
      <c r="R286" s="84"/>
    </row>
    <row r="287" spans="2:18" ht="24" customHeight="1">
      <c r="B287" s="30" t="str">
        <f t="shared" ca="1" si="10"/>
        <v/>
      </c>
      <c r="C287" s="31" t="str">
        <f t="shared" ca="1" si="11"/>
        <v/>
      </c>
      <c r="D287" s="32"/>
      <c r="E287" s="33"/>
      <c r="F287" s="36"/>
      <c r="G287" s="37"/>
      <c r="H287" s="37"/>
      <c r="I287" s="157"/>
      <c r="J287" s="201"/>
      <c r="K287" s="202" t="str">
        <f ca="1">IF(IF(COPIA!$J$3=TRUE,IF(OR(G287&lt;&gt;0,H287&lt;&gt;0),ROUND(SUM(COPIA!$FB$103:FB379),2)-ROUND(SUM(COPIA!$FC$103:FC379),2),""),"")&lt;&gt;0,"",0)</f>
        <v/>
      </c>
      <c r="L287" s="6">
        <f ca="1">IFERROR(IF(AND(INDIRECT(ADDRESS(ROW(),4,,,))&lt;=COPIA!$DA$1,K287=0,COPIA!$EX$1&gt;1,ROW()&lt;=COPIA!$EX$1),MAX($L$10:L286)+1,IF(AND(INDIRECT(ADDRESS(ROW(),4,,,))&lt;=COPIA!$DA$1,K287=0,COPIA!$EX$1=1),MAX($L$10:L286)+1,0)),0)</f>
        <v>0</v>
      </c>
      <c r="M287" s="6">
        <f ca="1">IF(AND(COPIA!$EX$1=1,L287&lt;&gt;0),ROW()-10,IF(AND(COPIA!$EX$1&gt;1,ROW()&gt;COPIA!$EX$1,L287&lt;&gt;0),0,IF(AND(COPIA!$EX$1&gt;1,ROW()&lt;=COPIA!$EX$1,L287&lt;&gt;0),ROW()-10,0)))</f>
        <v>0</v>
      </c>
      <c r="N287" s="6">
        <f ca="1">IF(AND($P$4=0,ROW()-10&lt;=$P$10),MAX($N$10:N286)+1,IF(AND(ROW()-10&gt;$P$10,ROW()-10&lt;=$P$4),ROW()-10,0))</f>
        <v>0</v>
      </c>
      <c r="O287" s="6">
        <f ca="1">IF(N287&gt;0,MAX($O$10:O286)+1,0)</f>
        <v>0</v>
      </c>
      <c r="Q287" s="84"/>
      <c r="R287" s="84"/>
    </row>
    <row r="288" spans="2:18" ht="24" customHeight="1">
      <c r="B288" s="30" t="str">
        <f t="shared" ca="1" si="10"/>
        <v/>
      </c>
      <c r="C288" s="31" t="str">
        <f t="shared" ca="1" si="11"/>
        <v/>
      </c>
      <c r="D288" s="32"/>
      <c r="E288" s="33"/>
      <c r="F288" s="36"/>
      <c r="G288" s="37"/>
      <c r="H288" s="37"/>
      <c r="I288" s="157"/>
      <c r="J288" s="201"/>
      <c r="K288" s="202" t="str">
        <f ca="1">IF(IF(COPIA!$J$3=TRUE,IF(OR(G288&lt;&gt;0,H288&lt;&gt;0),ROUND(SUM(COPIA!$FB$103:FB380),2)-ROUND(SUM(COPIA!$FC$103:FC380),2),""),"")&lt;&gt;0,"",0)</f>
        <v/>
      </c>
      <c r="L288" s="6">
        <f ca="1">IFERROR(IF(AND(INDIRECT(ADDRESS(ROW(),4,,,))&lt;=COPIA!$DA$1,K288=0,COPIA!$EX$1&gt;1,ROW()&lt;=COPIA!$EX$1),MAX($L$10:L287)+1,IF(AND(INDIRECT(ADDRESS(ROW(),4,,,))&lt;=COPIA!$DA$1,K288=0,COPIA!$EX$1=1),MAX($L$10:L287)+1,0)),0)</f>
        <v>0</v>
      </c>
      <c r="M288" s="6">
        <f ca="1">IF(AND(COPIA!$EX$1=1,L288&lt;&gt;0),ROW()-10,IF(AND(COPIA!$EX$1&gt;1,ROW()&gt;COPIA!$EX$1,L288&lt;&gt;0),0,IF(AND(COPIA!$EX$1&gt;1,ROW()&lt;=COPIA!$EX$1,L288&lt;&gt;0),ROW()-10,0)))</f>
        <v>0</v>
      </c>
      <c r="N288" s="6">
        <f ca="1">IF(AND($P$4=0,ROW()-10&lt;=$P$10),MAX($N$10:N287)+1,IF(AND(ROW()-10&gt;$P$10,ROW()-10&lt;=$P$4),ROW()-10,0))</f>
        <v>0</v>
      </c>
      <c r="O288" s="6">
        <f ca="1">IF(N288&gt;0,MAX($O$10:O287)+1,0)</f>
        <v>0</v>
      </c>
      <c r="Q288" s="84"/>
      <c r="R288" s="84"/>
    </row>
    <row r="289" spans="2:18" ht="24" customHeight="1">
      <c r="B289" s="30" t="str">
        <f t="shared" ca="1" si="10"/>
        <v/>
      </c>
      <c r="C289" s="31" t="str">
        <f t="shared" ca="1" si="11"/>
        <v/>
      </c>
      <c r="D289" s="32"/>
      <c r="E289" s="33"/>
      <c r="F289" s="36"/>
      <c r="G289" s="37"/>
      <c r="H289" s="37"/>
      <c r="I289" s="157"/>
      <c r="J289" s="201"/>
      <c r="K289" s="202" t="str">
        <f ca="1">IF(IF(COPIA!$J$3=TRUE,IF(OR(G289&lt;&gt;0,H289&lt;&gt;0),ROUND(SUM(COPIA!$FB$103:FB381),2)-ROUND(SUM(COPIA!$FC$103:FC381),2),""),"")&lt;&gt;0,"",0)</f>
        <v/>
      </c>
      <c r="L289" s="6">
        <f ca="1">IFERROR(IF(AND(INDIRECT(ADDRESS(ROW(),4,,,))&lt;=COPIA!$DA$1,K289=0,COPIA!$EX$1&gt;1,ROW()&lt;=COPIA!$EX$1),MAX($L$10:L288)+1,IF(AND(INDIRECT(ADDRESS(ROW(),4,,,))&lt;=COPIA!$DA$1,K289=0,COPIA!$EX$1=1),MAX($L$10:L288)+1,0)),0)</f>
        <v>0</v>
      </c>
      <c r="M289" s="6">
        <f ca="1">IF(AND(COPIA!$EX$1=1,L289&lt;&gt;0),ROW()-10,IF(AND(COPIA!$EX$1&gt;1,ROW()&gt;COPIA!$EX$1,L289&lt;&gt;0),0,IF(AND(COPIA!$EX$1&gt;1,ROW()&lt;=COPIA!$EX$1,L289&lt;&gt;0),ROW()-10,0)))</f>
        <v>0</v>
      </c>
      <c r="N289" s="6">
        <f ca="1">IF(AND($P$4=0,ROW()-10&lt;=$P$10),MAX($N$10:N288)+1,IF(AND(ROW()-10&gt;$P$10,ROW()-10&lt;=$P$4),ROW()-10,0))</f>
        <v>0</v>
      </c>
      <c r="O289" s="6">
        <f ca="1">IF(N289&gt;0,MAX($O$10:O288)+1,0)</f>
        <v>0</v>
      </c>
      <c r="Q289" s="84"/>
      <c r="R289" s="84"/>
    </row>
    <row r="290" spans="2:18" ht="24" customHeight="1">
      <c r="B290" s="30" t="str">
        <f t="shared" ca="1" si="10"/>
        <v/>
      </c>
      <c r="C290" s="31" t="str">
        <f t="shared" ca="1" si="11"/>
        <v/>
      </c>
      <c r="D290" s="32"/>
      <c r="E290" s="33"/>
      <c r="F290" s="36"/>
      <c r="G290" s="37"/>
      <c r="H290" s="37"/>
      <c r="I290" s="157"/>
      <c r="J290" s="201"/>
      <c r="K290" s="202" t="str">
        <f ca="1">IF(IF(COPIA!$J$3=TRUE,IF(OR(G290&lt;&gt;0,H290&lt;&gt;0),ROUND(SUM(COPIA!$FB$103:FB382),2)-ROUND(SUM(COPIA!$FC$103:FC382),2),""),"")&lt;&gt;0,"",0)</f>
        <v/>
      </c>
      <c r="L290" s="6">
        <f ca="1">IFERROR(IF(AND(INDIRECT(ADDRESS(ROW(),4,,,))&lt;=COPIA!$DA$1,K290=0,COPIA!$EX$1&gt;1,ROW()&lt;=COPIA!$EX$1),MAX($L$10:L289)+1,IF(AND(INDIRECT(ADDRESS(ROW(),4,,,))&lt;=COPIA!$DA$1,K290=0,COPIA!$EX$1=1),MAX($L$10:L289)+1,0)),0)</f>
        <v>0</v>
      </c>
      <c r="M290" s="6">
        <f ca="1">IF(AND(COPIA!$EX$1=1,L290&lt;&gt;0),ROW()-10,IF(AND(COPIA!$EX$1&gt;1,ROW()&gt;COPIA!$EX$1,L290&lt;&gt;0),0,IF(AND(COPIA!$EX$1&gt;1,ROW()&lt;=COPIA!$EX$1,L290&lt;&gt;0),ROW()-10,0)))</f>
        <v>0</v>
      </c>
      <c r="N290" s="6">
        <f ca="1">IF(AND($P$4=0,ROW()-10&lt;=$P$10),MAX($N$10:N289)+1,IF(AND(ROW()-10&gt;$P$10,ROW()-10&lt;=$P$4),ROW()-10,0))</f>
        <v>0</v>
      </c>
      <c r="O290" s="6">
        <f ca="1">IF(N290&gt;0,MAX($O$10:O289)+1,0)</f>
        <v>0</v>
      </c>
      <c r="Q290" s="84"/>
      <c r="R290" s="84"/>
    </row>
    <row r="291" spans="2:18" ht="24" customHeight="1">
      <c r="B291" s="30" t="str">
        <f t="shared" ca="1" si="10"/>
        <v/>
      </c>
      <c r="C291" s="31" t="str">
        <f t="shared" ca="1" si="11"/>
        <v/>
      </c>
      <c r="D291" s="32"/>
      <c r="E291" s="33"/>
      <c r="F291" s="36"/>
      <c r="G291" s="37"/>
      <c r="H291" s="37"/>
      <c r="I291" s="157"/>
      <c r="J291" s="201"/>
      <c r="K291" s="202" t="str">
        <f ca="1">IF(IF(COPIA!$J$3=TRUE,IF(OR(G291&lt;&gt;0,H291&lt;&gt;0),ROUND(SUM(COPIA!$FB$103:FB383),2)-ROUND(SUM(COPIA!$FC$103:FC383),2),""),"")&lt;&gt;0,"",0)</f>
        <v/>
      </c>
      <c r="L291" s="6">
        <f ca="1">IFERROR(IF(AND(INDIRECT(ADDRESS(ROW(),4,,,))&lt;=COPIA!$DA$1,K291=0,COPIA!$EX$1&gt;1,ROW()&lt;=COPIA!$EX$1),MAX($L$10:L290)+1,IF(AND(INDIRECT(ADDRESS(ROW(),4,,,))&lt;=COPIA!$DA$1,K291=0,COPIA!$EX$1=1),MAX($L$10:L290)+1,0)),0)</f>
        <v>0</v>
      </c>
      <c r="M291" s="6">
        <f ca="1">IF(AND(COPIA!$EX$1=1,L291&lt;&gt;0),ROW()-10,IF(AND(COPIA!$EX$1&gt;1,ROW()&gt;COPIA!$EX$1,L291&lt;&gt;0),0,IF(AND(COPIA!$EX$1&gt;1,ROW()&lt;=COPIA!$EX$1,L291&lt;&gt;0),ROW()-10,0)))</f>
        <v>0</v>
      </c>
      <c r="N291" s="6">
        <f ca="1">IF(AND($P$4=0,ROW()-10&lt;=$P$10),MAX($N$10:N290)+1,IF(AND(ROW()-10&gt;$P$10,ROW()-10&lt;=$P$4),ROW()-10,0))</f>
        <v>0</v>
      </c>
      <c r="O291" s="6">
        <f ca="1">IF(N291&gt;0,MAX($O$10:O290)+1,0)</f>
        <v>0</v>
      </c>
      <c r="Q291" s="84"/>
      <c r="R291" s="84"/>
    </row>
    <row r="292" spans="2:18" ht="24" customHeight="1">
      <c r="B292" s="30" t="str">
        <f t="shared" ca="1" si="10"/>
        <v/>
      </c>
      <c r="C292" s="31" t="str">
        <f t="shared" ca="1" si="11"/>
        <v/>
      </c>
      <c r="D292" s="32"/>
      <c r="E292" s="33"/>
      <c r="F292" s="36"/>
      <c r="G292" s="37"/>
      <c r="H292" s="37"/>
      <c r="I292" s="157"/>
      <c r="J292" s="201"/>
      <c r="K292" s="202" t="str">
        <f ca="1">IF(IF(COPIA!$J$3=TRUE,IF(OR(G292&lt;&gt;0,H292&lt;&gt;0),ROUND(SUM(COPIA!$FB$103:FB384),2)-ROUND(SUM(COPIA!$FC$103:FC384),2),""),"")&lt;&gt;0,"",0)</f>
        <v/>
      </c>
      <c r="L292" s="6">
        <f ca="1">IFERROR(IF(AND(INDIRECT(ADDRESS(ROW(),4,,,))&lt;=COPIA!$DA$1,K292=0,COPIA!$EX$1&gt;1,ROW()&lt;=COPIA!$EX$1),MAX($L$10:L291)+1,IF(AND(INDIRECT(ADDRESS(ROW(),4,,,))&lt;=COPIA!$DA$1,K292=0,COPIA!$EX$1=1),MAX($L$10:L291)+1,0)),0)</f>
        <v>0</v>
      </c>
      <c r="M292" s="6">
        <f ca="1">IF(AND(COPIA!$EX$1=1,L292&lt;&gt;0),ROW()-10,IF(AND(COPIA!$EX$1&gt;1,ROW()&gt;COPIA!$EX$1,L292&lt;&gt;0),0,IF(AND(COPIA!$EX$1&gt;1,ROW()&lt;=COPIA!$EX$1,L292&lt;&gt;0),ROW()-10,0)))</f>
        <v>0</v>
      </c>
      <c r="N292" s="6">
        <f ca="1">IF(AND($P$4=0,ROW()-10&lt;=$P$10),MAX($N$10:N291)+1,IF(AND(ROW()-10&gt;$P$10,ROW()-10&lt;=$P$4),ROW()-10,0))</f>
        <v>0</v>
      </c>
      <c r="O292" s="6">
        <f ca="1">IF(N292&gt;0,MAX($O$10:O291)+1,0)</f>
        <v>0</v>
      </c>
      <c r="Q292" s="84"/>
      <c r="R292" s="84"/>
    </row>
    <row r="293" spans="2:18" ht="24" customHeight="1">
      <c r="B293" s="30" t="str">
        <f t="shared" ca="1" si="10"/>
        <v/>
      </c>
      <c r="C293" s="31" t="str">
        <f t="shared" ca="1" si="11"/>
        <v/>
      </c>
      <c r="D293" s="32"/>
      <c r="E293" s="33"/>
      <c r="F293" s="36"/>
      <c r="G293" s="37"/>
      <c r="H293" s="37"/>
      <c r="I293" s="157"/>
      <c r="J293" s="201"/>
      <c r="K293" s="202" t="str">
        <f ca="1">IF(IF(COPIA!$J$3=TRUE,IF(OR(G293&lt;&gt;0,H293&lt;&gt;0),ROUND(SUM(COPIA!$FB$103:FB385),2)-ROUND(SUM(COPIA!$FC$103:FC385),2),""),"")&lt;&gt;0,"",0)</f>
        <v/>
      </c>
      <c r="L293" s="6">
        <f ca="1">IFERROR(IF(AND(INDIRECT(ADDRESS(ROW(),4,,,))&lt;=COPIA!$DA$1,K293=0,COPIA!$EX$1&gt;1,ROW()&lt;=COPIA!$EX$1),MAX($L$10:L292)+1,IF(AND(INDIRECT(ADDRESS(ROW(),4,,,))&lt;=COPIA!$DA$1,K293=0,COPIA!$EX$1=1),MAX($L$10:L292)+1,0)),0)</f>
        <v>0</v>
      </c>
      <c r="M293" s="6">
        <f ca="1">IF(AND(COPIA!$EX$1=1,L293&lt;&gt;0),ROW()-10,IF(AND(COPIA!$EX$1&gt;1,ROW()&gt;COPIA!$EX$1,L293&lt;&gt;0),0,IF(AND(COPIA!$EX$1&gt;1,ROW()&lt;=COPIA!$EX$1,L293&lt;&gt;0),ROW()-10,0)))</f>
        <v>0</v>
      </c>
      <c r="N293" s="6">
        <f ca="1">IF(AND($P$4=0,ROW()-10&lt;=$P$10),MAX($N$10:N292)+1,IF(AND(ROW()-10&gt;$P$10,ROW()-10&lt;=$P$4),ROW()-10,0))</f>
        <v>0</v>
      </c>
      <c r="O293" s="6">
        <f ca="1">IF(N293&gt;0,MAX($O$10:O292)+1,0)</f>
        <v>0</v>
      </c>
      <c r="Q293" s="84"/>
      <c r="R293" s="84"/>
    </row>
    <row r="294" spans="2:18" ht="24" customHeight="1">
      <c r="B294" s="30" t="str">
        <f t="shared" ca="1" si="10"/>
        <v/>
      </c>
      <c r="C294" s="31" t="str">
        <f t="shared" ca="1" si="11"/>
        <v/>
      </c>
      <c r="D294" s="32"/>
      <c r="E294" s="33"/>
      <c r="F294" s="36"/>
      <c r="G294" s="37"/>
      <c r="H294" s="37"/>
      <c r="I294" s="157"/>
      <c r="J294" s="201"/>
      <c r="K294" s="202" t="str">
        <f ca="1">IF(IF(COPIA!$J$3=TRUE,IF(OR(G294&lt;&gt;0,H294&lt;&gt;0),ROUND(SUM(COPIA!$FB$103:FB386),2)-ROUND(SUM(COPIA!$FC$103:FC386),2),""),"")&lt;&gt;0,"",0)</f>
        <v/>
      </c>
      <c r="L294" s="6">
        <f ca="1">IFERROR(IF(AND(INDIRECT(ADDRESS(ROW(),4,,,))&lt;=COPIA!$DA$1,K294=0,COPIA!$EX$1&gt;1,ROW()&lt;=COPIA!$EX$1),MAX($L$10:L293)+1,IF(AND(INDIRECT(ADDRESS(ROW(),4,,,))&lt;=COPIA!$DA$1,K294=0,COPIA!$EX$1=1),MAX($L$10:L293)+1,0)),0)</f>
        <v>0</v>
      </c>
      <c r="M294" s="6">
        <f ca="1">IF(AND(COPIA!$EX$1=1,L294&lt;&gt;0),ROW()-10,IF(AND(COPIA!$EX$1&gt;1,ROW()&gt;COPIA!$EX$1,L294&lt;&gt;0),0,IF(AND(COPIA!$EX$1&gt;1,ROW()&lt;=COPIA!$EX$1,L294&lt;&gt;0),ROW()-10,0)))</f>
        <v>0</v>
      </c>
      <c r="N294" s="6">
        <f ca="1">IF(AND($P$4=0,ROW()-10&lt;=$P$10),MAX($N$10:N293)+1,IF(AND(ROW()-10&gt;$P$10,ROW()-10&lt;=$P$4),ROW()-10,0))</f>
        <v>0</v>
      </c>
      <c r="O294" s="6">
        <f ca="1">IF(N294&gt;0,MAX($O$10:O293)+1,0)</f>
        <v>0</v>
      </c>
      <c r="Q294" s="84"/>
      <c r="R294" s="84"/>
    </row>
    <row r="295" spans="2:18" ht="24" customHeight="1">
      <c r="B295" s="30" t="str">
        <f t="shared" ca="1" si="10"/>
        <v/>
      </c>
      <c r="C295" s="31" t="str">
        <f t="shared" ca="1" si="11"/>
        <v/>
      </c>
      <c r="D295" s="32"/>
      <c r="E295" s="33"/>
      <c r="F295" s="36"/>
      <c r="G295" s="37"/>
      <c r="H295" s="37"/>
      <c r="I295" s="157"/>
      <c r="J295" s="201"/>
      <c r="K295" s="202" t="str">
        <f ca="1">IF(IF(COPIA!$J$3=TRUE,IF(OR(G295&lt;&gt;0,H295&lt;&gt;0),ROUND(SUM(COPIA!$FB$103:FB387),2)-ROUND(SUM(COPIA!$FC$103:FC387),2),""),"")&lt;&gt;0,"",0)</f>
        <v/>
      </c>
      <c r="L295" s="6">
        <f ca="1">IFERROR(IF(AND(INDIRECT(ADDRESS(ROW(),4,,,))&lt;=COPIA!$DA$1,K295=0,COPIA!$EX$1&gt;1,ROW()&lt;=COPIA!$EX$1),MAX($L$10:L294)+1,IF(AND(INDIRECT(ADDRESS(ROW(),4,,,))&lt;=COPIA!$DA$1,K295=0,COPIA!$EX$1=1),MAX($L$10:L294)+1,0)),0)</f>
        <v>0</v>
      </c>
      <c r="M295" s="6">
        <f ca="1">IF(AND(COPIA!$EX$1=1,L295&lt;&gt;0),ROW()-10,IF(AND(COPIA!$EX$1&gt;1,ROW()&gt;COPIA!$EX$1,L295&lt;&gt;0),0,IF(AND(COPIA!$EX$1&gt;1,ROW()&lt;=COPIA!$EX$1,L295&lt;&gt;0),ROW()-10,0)))</f>
        <v>0</v>
      </c>
      <c r="N295" s="6">
        <f ca="1">IF(AND($P$4=0,ROW()-10&lt;=$P$10),MAX($N$10:N294)+1,IF(AND(ROW()-10&gt;$P$10,ROW()-10&lt;=$P$4),ROW()-10,0))</f>
        <v>0</v>
      </c>
      <c r="O295" s="6">
        <f ca="1">IF(N295&gt;0,MAX($O$10:O294)+1,0)</f>
        <v>0</v>
      </c>
      <c r="Q295" s="84"/>
      <c r="R295" s="84"/>
    </row>
    <row r="296" spans="2:18" ht="24" customHeight="1">
      <c r="B296" s="30" t="str">
        <f t="shared" ca="1" si="10"/>
        <v/>
      </c>
      <c r="C296" s="31" t="str">
        <f t="shared" ca="1" si="11"/>
        <v/>
      </c>
      <c r="D296" s="32"/>
      <c r="E296" s="33"/>
      <c r="F296" s="36"/>
      <c r="G296" s="37"/>
      <c r="H296" s="37"/>
      <c r="I296" s="157"/>
      <c r="J296" s="201"/>
      <c r="K296" s="202" t="str">
        <f ca="1">IF(IF(COPIA!$J$3=TRUE,IF(OR(G296&lt;&gt;0,H296&lt;&gt;0),ROUND(SUM(COPIA!$FB$103:FB388),2)-ROUND(SUM(COPIA!$FC$103:FC388),2),""),"")&lt;&gt;0,"",0)</f>
        <v/>
      </c>
      <c r="L296" s="6">
        <f ca="1">IFERROR(IF(AND(INDIRECT(ADDRESS(ROW(),4,,,))&lt;=COPIA!$DA$1,K296=0,COPIA!$EX$1&gt;1,ROW()&lt;=COPIA!$EX$1),MAX($L$10:L295)+1,IF(AND(INDIRECT(ADDRESS(ROW(),4,,,))&lt;=COPIA!$DA$1,K296=0,COPIA!$EX$1=1),MAX($L$10:L295)+1,0)),0)</f>
        <v>0</v>
      </c>
      <c r="M296" s="6">
        <f ca="1">IF(AND(COPIA!$EX$1=1,L296&lt;&gt;0),ROW()-10,IF(AND(COPIA!$EX$1&gt;1,ROW()&gt;COPIA!$EX$1,L296&lt;&gt;0),0,IF(AND(COPIA!$EX$1&gt;1,ROW()&lt;=COPIA!$EX$1,L296&lt;&gt;0),ROW()-10,0)))</f>
        <v>0</v>
      </c>
      <c r="N296" s="6">
        <f ca="1">IF(AND($P$4=0,ROW()-10&lt;=$P$10),MAX($N$10:N295)+1,IF(AND(ROW()-10&gt;$P$10,ROW()-10&lt;=$P$4),ROW()-10,0))</f>
        <v>0</v>
      </c>
      <c r="O296" s="6">
        <f ca="1">IF(N296&gt;0,MAX($O$10:O295)+1,0)</f>
        <v>0</v>
      </c>
      <c r="Q296" s="84"/>
      <c r="R296" s="84"/>
    </row>
    <row r="297" spans="2:18" ht="24" customHeight="1">
      <c r="B297" s="30" t="str">
        <f t="shared" ca="1" si="10"/>
        <v/>
      </c>
      <c r="C297" s="31" t="str">
        <f t="shared" ca="1" si="11"/>
        <v/>
      </c>
      <c r="D297" s="32"/>
      <c r="E297" s="33"/>
      <c r="F297" s="36"/>
      <c r="G297" s="37"/>
      <c r="H297" s="37"/>
      <c r="I297" s="157"/>
      <c r="J297" s="201"/>
      <c r="K297" s="202" t="str">
        <f ca="1">IF(IF(COPIA!$J$3=TRUE,IF(OR(G297&lt;&gt;0,H297&lt;&gt;0),ROUND(SUM(COPIA!$FB$103:FB389),2)-ROUND(SUM(COPIA!$FC$103:FC389),2),""),"")&lt;&gt;0,"",0)</f>
        <v/>
      </c>
      <c r="L297" s="6">
        <f ca="1">IFERROR(IF(AND(INDIRECT(ADDRESS(ROW(),4,,,))&lt;=COPIA!$DA$1,K297=0,COPIA!$EX$1&gt;1,ROW()&lt;=COPIA!$EX$1),MAX($L$10:L296)+1,IF(AND(INDIRECT(ADDRESS(ROW(),4,,,))&lt;=COPIA!$DA$1,K297=0,COPIA!$EX$1=1),MAX($L$10:L296)+1,0)),0)</f>
        <v>0</v>
      </c>
      <c r="M297" s="6">
        <f ca="1">IF(AND(COPIA!$EX$1=1,L297&lt;&gt;0),ROW()-10,IF(AND(COPIA!$EX$1&gt;1,ROW()&gt;COPIA!$EX$1,L297&lt;&gt;0),0,IF(AND(COPIA!$EX$1&gt;1,ROW()&lt;=COPIA!$EX$1,L297&lt;&gt;0),ROW()-10,0)))</f>
        <v>0</v>
      </c>
      <c r="N297" s="6">
        <f ca="1">IF(AND($P$4=0,ROW()-10&lt;=$P$10),MAX($N$10:N296)+1,IF(AND(ROW()-10&gt;$P$10,ROW()-10&lt;=$P$4),ROW()-10,0))</f>
        <v>0</v>
      </c>
      <c r="O297" s="6">
        <f ca="1">IF(N297&gt;0,MAX($O$10:O296)+1,0)</f>
        <v>0</v>
      </c>
      <c r="Q297" s="84"/>
      <c r="R297" s="84"/>
    </row>
    <row r="298" spans="2:18" ht="24" customHeight="1">
      <c r="B298" s="30" t="str">
        <f t="shared" ca="1" si="10"/>
        <v/>
      </c>
      <c r="C298" s="31" t="str">
        <f t="shared" ca="1" si="11"/>
        <v/>
      </c>
      <c r="D298" s="32"/>
      <c r="E298" s="33"/>
      <c r="F298" s="36"/>
      <c r="G298" s="37"/>
      <c r="H298" s="37"/>
      <c r="I298" s="157"/>
      <c r="J298" s="201"/>
      <c r="K298" s="202" t="str">
        <f ca="1">IF(IF(COPIA!$J$3=TRUE,IF(OR(G298&lt;&gt;0,H298&lt;&gt;0),ROUND(SUM(COPIA!$FB$103:FB390),2)-ROUND(SUM(COPIA!$FC$103:FC390),2),""),"")&lt;&gt;0,"",0)</f>
        <v/>
      </c>
      <c r="L298" s="6">
        <f ca="1">IFERROR(IF(AND(INDIRECT(ADDRESS(ROW(),4,,,))&lt;=COPIA!$DA$1,K298=0,COPIA!$EX$1&gt;1,ROW()&lt;=COPIA!$EX$1),MAX($L$10:L297)+1,IF(AND(INDIRECT(ADDRESS(ROW(),4,,,))&lt;=COPIA!$DA$1,K298=0,COPIA!$EX$1=1),MAX($L$10:L297)+1,0)),0)</f>
        <v>0</v>
      </c>
      <c r="M298" s="6">
        <f ca="1">IF(AND(COPIA!$EX$1=1,L298&lt;&gt;0),ROW()-10,IF(AND(COPIA!$EX$1&gt;1,ROW()&gt;COPIA!$EX$1,L298&lt;&gt;0),0,IF(AND(COPIA!$EX$1&gt;1,ROW()&lt;=COPIA!$EX$1,L298&lt;&gt;0),ROW()-10,0)))</f>
        <v>0</v>
      </c>
      <c r="N298" s="6">
        <f ca="1">IF(AND($P$4=0,ROW()-10&lt;=$P$10),MAX($N$10:N297)+1,IF(AND(ROW()-10&gt;$P$10,ROW()-10&lt;=$P$4),ROW()-10,0))</f>
        <v>0</v>
      </c>
      <c r="O298" s="6">
        <f ca="1">IF(N298&gt;0,MAX($O$10:O297)+1,0)</f>
        <v>0</v>
      </c>
      <c r="Q298" s="84"/>
      <c r="R298" s="84"/>
    </row>
    <row r="299" spans="2:18" ht="24" customHeight="1">
      <c r="B299" s="30" t="str">
        <f t="shared" ca="1" si="10"/>
        <v/>
      </c>
      <c r="C299" s="31" t="str">
        <f t="shared" ca="1" si="11"/>
        <v/>
      </c>
      <c r="D299" s="32"/>
      <c r="E299" s="33"/>
      <c r="F299" s="36"/>
      <c r="G299" s="37"/>
      <c r="H299" s="37"/>
      <c r="I299" s="157"/>
      <c r="J299" s="201"/>
      <c r="K299" s="202" t="str">
        <f ca="1">IF(IF(COPIA!$J$3=TRUE,IF(OR(G299&lt;&gt;0,H299&lt;&gt;0),ROUND(SUM(COPIA!$FB$103:FB391),2)-ROUND(SUM(COPIA!$FC$103:FC391),2),""),"")&lt;&gt;0,"",0)</f>
        <v/>
      </c>
      <c r="L299" s="6">
        <f ca="1">IFERROR(IF(AND(INDIRECT(ADDRESS(ROW(),4,,,))&lt;=COPIA!$DA$1,K299=0,COPIA!$EX$1&gt;1,ROW()&lt;=COPIA!$EX$1),MAX($L$10:L298)+1,IF(AND(INDIRECT(ADDRESS(ROW(),4,,,))&lt;=COPIA!$DA$1,K299=0,COPIA!$EX$1=1),MAX($L$10:L298)+1,0)),0)</f>
        <v>0</v>
      </c>
      <c r="M299" s="6">
        <f ca="1">IF(AND(COPIA!$EX$1=1,L299&lt;&gt;0),ROW()-10,IF(AND(COPIA!$EX$1&gt;1,ROW()&gt;COPIA!$EX$1,L299&lt;&gt;0),0,IF(AND(COPIA!$EX$1&gt;1,ROW()&lt;=COPIA!$EX$1,L299&lt;&gt;0),ROW()-10,0)))</f>
        <v>0</v>
      </c>
      <c r="N299" s="6">
        <f ca="1">IF(AND($P$4=0,ROW()-10&lt;=$P$10),MAX($N$10:N298)+1,IF(AND(ROW()-10&gt;$P$10,ROW()-10&lt;=$P$4),ROW()-10,0))</f>
        <v>0</v>
      </c>
      <c r="O299" s="6">
        <f ca="1">IF(N299&gt;0,MAX($O$10:O298)+1,0)</f>
        <v>0</v>
      </c>
      <c r="Q299" s="84"/>
      <c r="R299" s="84"/>
    </row>
    <row r="300" spans="2:18" ht="24" customHeight="1">
      <c r="B300" s="30" t="str">
        <f t="shared" ca="1" si="10"/>
        <v/>
      </c>
      <c r="C300" s="31" t="str">
        <f t="shared" ca="1" si="11"/>
        <v/>
      </c>
      <c r="D300" s="32"/>
      <c r="E300" s="33"/>
      <c r="F300" s="36"/>
      <c r="G300" s="37"/>
      <c r="H300" s="37"/>
      <c r="I300" s="157"/>
      <c r="J300" s="201"/>
      <c r="K300" s="202" t="str">
        <f ca="1">IF(IF(COPIA!$J$3=TRUE,IF(OR(G300&lt;&gt;0,H300&lt;&gt;0),ROUND(SUM(COPIA!$FB$103:FB392),2)-ROUND(SUM(COPIA!$FC$103:FC392),2),""),"")&lt;&gt;0,"",0)</f>
        <v/>
      </c>
      <c r="L300" s="6">
        <f ca="1">IFERROR(IF(AND(INDIRECT(ADDRESS(ROW(),4,,,))&lt;=COPIA!$DA$1,K300=0,COPIA!$EX$1&gt;1,ROW()&lt;=COPIA!$EX$1),MAX($L$10:L299)+1,IF(AND(INDIRECT(ADDRESS(ROW(),4,,,))&lt;=COPIA!$DA$1,K300=0,COPIA!$EX$1=1),MAX($L$10:L299)+1,0)),0)</f>
        <v>0</v>
      </c>
      <c r="M300" s="6">
        <f ca="1">IF(AND(COPIA!$EX$1=1,L300&lt;&gt;0),ROW()-10,IF(AND(COPIA!$EX$1&gt;1,ROW()&gt;COPIA!$EX$1,L300&lt;&gt;0),0,IF(AND(COPIA!$EX$1&gt;1,ROW()&lt;=COPIA!$EX$1,L300&lt;&gt;0),ROW()-10,0)))</f>
        <v>0</v>
      </c>
      <c r="N300" s="6">
        <f ca="1">IF(AND($P$4=0,ROW()-10&lt;=$P$10),MAX($N$10:N299)+1,IF(AND(ROW()-10&gt;$P$10,ROW()-10&lt;=$P$4),ROW()-10,0))</f>
        <v>0</v>
      </c>
      <c r="O300" s="6">
        <f ca="1">IF(N300&gt;0,MAX($O$10:O299)+1,0)</f>
        <v>0</v>
      </c>
      <c r="Q300" s="84"/>
      <c r="R300" s="84"/>
    </row>
    <row r="301" spans="2:18" ht="24" customHeight="1">
      <c r="B301" s="30" t="str">
        <f t="shared" ca="1" si="10"/>
        <v/>
      </c>
      <c r="C301" s="31" t="str">
        <f t="shared" ca="1" si="11"/>
        <v/>
      </c>
      <c r="D301" s="32"/>
      <c r="E301" s="33"/>
      <c r="F301" s="36"/>
      <c r="G301" s="37"/>
      <c r="H301" s="37"/>
      <c r="I301" s="157"/>
      <c r="J301" s="201"/>
      <c r="K301" s="202" t="str">
        <f ca="1">IF(IF(COPIA!$J$3=TRUE,IF(OR(G301&lt;&gt;0,H301&lt;&gt;0),ROUND(SUM(COPIA!$FB$103:FB393),2)-ROUND(SUM(COPIA!$FC$103:FC393),2),""),"")&lt;&gt;0,"",0)</f>
        <v/>
      </c>
      <c r="L301" s="6">
        <f ca="1">IFERROR(IF(AND(INDIRECT(ADDRESS(ROW(),4,,,))&lt;=COPIA!$DA$1,K301=0,COPIA!$EX$1&gt;1,ROW()&lt;=COPIA!$EX$1),MAX($L$10:L300)+1,IF(AND(INDIRECT(ADDRESS(ROW(),4,,,))&lt;=COPIA!$DA$1,K301=0,COPIA!$EX$1=1),MAX($L$10:L300)+1,0)),0)</f>
        <v>0</v>
      </c>
      <c r="M301" s="6">
        <f ca="1">IF(AND(COPIA!$EX$1=1,L301&lt;&gt;0),ROW()-10,IF(AND(COPIA!$EX$1&gt;1,ROW()&gt;COPIA!$EX$1,L301&lt;&gt;0),0,IF(AND(COPIA!$EX$1&gt;1,ROW()&lt;=COPIA!$EX$1,L301&lt;&gt;0),ROW()-10,0)))</f>
        <v>0</v>
      </c>
      <c r="N301" s="6">
        <f ca="1">IF(AND($P$4=0,ROW()-10&lt;=$P$10),MAX($N$10:N300)+1,IF(AND(ROW()-10&gt;$P$10,ROW()-10&lt;=$P$4),ROW()-10,0))</f>
        <v>0</v>
      </c>
      <c r="O301" s="6">
        <f ca="1">IF(N301&gt;0,MAX($O$10:O300)+1,0)</f>
        <v>0</v>
      </c>
      <c r="Q301" s="84"/>
      <c r="R301" s="84"/>
    </row>
    <row r="302" spans="2:18" ht="24" customHeight="1">
      <c r="B302" s="30" t="str">
        <f t="shared" ca="1" si="10"/>
        <v/>
      </c>
      <c r="C302" s="31" t="str">
        <f t="shared" ca="1" si="11"/>
        <v/>
      </c>
      <c r="D302" s="32"/>
      <c r="E302" s="33"/>
      <c r="F302" s="36"/>
      <c r="G302" s="37"/>
      <c r="H302" s="37"/>
      <c r="I302" s="157"/>
      <c r="J302" s="201"/>
      <c r="K302" s="202" t="str">
        <f ca="1">IF(IF(COPIA!$J$3=TRUE,IF(OR(G302&lt;&gt;0,H302&lt;&gt;0),ROUND(SUM(COPIA!$FB$103:FB394),2)-ROUND(SUM(COPIA!$FC$103:FC394),2),""),"")&lt;&gt;0,"",0)</f>
        <v/>
      </c>
      <c r="L302" s="6">
        <f ca="1">IFERROR(IF(AND(INDIRECT(ADDRESS(ROW(),4,,,))&lt;=COPIA!$DA$1,K302=0,COPIA!$EX$1&gt;1,ROW()&lt;=COPIA!$EX$1),MAX($L$10:L301)+1,IF(AND(INDIRECT(ADDRESS(ROW(),4,,,))&lt;=COPIA!$DA$1,K302=0,COPIA!$EX$1=1),MAX($L$10:L301)+1,0)),0)</f>
        <v>0</v>
      </c>
      <c r="M302" s="6">
        <f ca="1">IF(AND(COPIA!$EX$1=1,L302&lt;&gt;0),ROW()-10,IF(AND(COPIA!$EX$1&gt;1,ROW()&gt;COPIA!$EX$1,L302&lt;&gt;0),0,IF(AND(COPIA!$EX$1&gt;1,ROW()&lt;=COPIA!$EX$1,L302&lt;&gt;0),ROW()-10,0)))</f>
        <v>0</v>
      </c>
      <c r="N302" s="6">
        <f ca="1">IF(AND($P$4=0,ROW()-10&lt;=$P$10),MAX($N$10:N301)+1,IF(AND(ROW()-10&gt;$P$10,ROW()-10&lt;=$P$4),ROW()-10,0))</f>
        <v>0</v>
      </c>
      <c r="O302" s="6">
        <f ca="1">IF(N302&gt;0,MAX($O$10:O301)+1,0)</f>
        <v>0</v>
      </c>
      <c r="Q302" s="84"/>
      <c r="R302" s="84"/>
    </row>
    <row r="303" spans="2:18" ht="24" customHeight="1">
      <c r="B303" s="30" t="str">
        <f t="shared" ca="1" si="10"/>
        <v/>
      </c>
      <c r="C303" s="31" t="str">
        <f t="shared" ca="1" si="11"/>
        <v/>
      </c>
      <c r="D303" s="32"/>
      <c r="E303" s="33"/>
      <c r="F303" s="36"/>
      <c r="G303" s="37"/>
      <c r="H303" s="37"/>
      <c r="I303" s="157"/>
      <c r="J303" s="201"/>
      <c r="K303" s="202" t="str">
        <f ca="1">IF(IF(COPIA!$J$3=TRUE,IF(OR(G303&lt;&gt;0,H303&lt;&gt;0),ROUND(SUM(COPIA!$FB$103:FB395),2)-ROUND(SUM(COPIA!$FC$103:FC395),2),""),"")&lt;&gt;0,"",0)</f>
        <v/>
      </c>
      <c r="L303" s="6">
        <f ca="1">IFERROR(IF(AND(INDIRECT(ADDRESS(ROW(),4,,,))&lt;=COPIA!$DA$1,K303=0,COPIA!$EX$1&gt;1,ROW()&lt;=COPIA!$EX$1),MAX($L$10:L302)+1,IF(AND(INDIRECT(ADDRESS(ROW(),4,,,))&lt;=COPIA!$DA$1,K303=0,COPIA!$EX$1=1),MAX($L$10:L302)+1,0)),0)</f>
        <v>0</v>
      </c>
      <c r="M303" s="6">
        <f ca="1">IF(AND(COPIA!$EX$1=1,L303&lt;&gt;0),ROW()-10,IF(AND(COPIA!$EX$1&gt;1,ROW()&gt;COPIA!$EX$1,L303&lt;&gt;0),0,IF(AND(COPIA!$EX$1&gt;1,ROW()&lt;=COPIA!$EX$1,L303&lt;&gt;0),ROW()-10,0)))</f>
        <v>0</v>
      </c>
      <c r="N303" s="6">
        <f ca="1">IF(AND($P$4=0,ROW()-10&lt;=$P$10),MAX($N$10:N302)+1,IF(AND(ROW()-10&gt;$P$10,ROW()-10&lt;=$P$4),ROW()-10,0))</f>
        <v>0</v>
      </c>
      <c r="O303" s="6">
        <f ca="1">IF(N303&gt;0,MAX($O$10:O302)+1,0)</f>
        <v>0</v>
      </c>
      <c r="Q303" s="84"/>
      <c r="R303" s="84"/>
    </row>
    <row r="304" spans="2:18" ht="24" customHeight="1">
      <c r="B304" s="30" t="str">
        <f t="shared" ca="1" si="10"/>
        <v/>
      </c>
      <c r="C304" s="31" t="str">
        <f t="shared" ca="1" si="11"/>
        <v/>
      </c>
      <c r="D304" s="32"/>
      <c r="E304" s="33"/>
      <c r="F304" s="36"/>
      <c r="G304" s="37"/>
      <c r="H304" s="37"/>
      <c r="I304" s="157"/>
      <c r="J304" s="201"/>
      <c r="K304" s="202" t="str">
        <f ca="1">IF(IF(COPIA!$J$3=TRUE,IF(OR(G304&lt;&gt;0,H304&lt;&gt;0),ROUND(SUM(COPIA!$FB$103:FB396),2)-ROUND(SUM(COPIA!$FC$103:FC396),2),""),"")&lt;&gt;0,"",0)</f>
        <v/>
      </c>
      <c r="L304" s="6">
        <f ca="1">IFERROR(IF(AND(INDIRECT(ADDRESS(ROW(),4,,,))&lt;=COPIA!$DA$1,K304=0,COPIA!$EX$1&gt;1,ROW()&lt;=COPIA!$EX$1),MAX($L$10:L303)+1,IF(AND(INDIRECT(ADDRESS(ROW(),4,,,))&lt;=COPIA!$DA$1,K304=0,COPIA!$EX$1=1),MAX($L$10:L303)+1,0)),0)</f>
        <v>0</v>
      </c>
      <c r="M304" s="6">
        <f ca="1">IF(AND(COPIA!$EX$1=1,L304&lt;&gt;0),ROW()-10,IF(AND(COPIA!$EX$1&gt;1,ROW()&gt;COPIA!$EX$1,L304&lt;&gt;0),0,IF(AND(COPIA!$EX$1&gt;1,ROW()&lt;=COPIA!$EX$1,L304&lt;&gt;0),ROW()-10,0)))</f>
        <v>0</v>
      </c>
      <c r="N304" s="6">
        <f ca="1">IF(AND($P$4=0,ROW()-10&lt;=$P$10),MAX($N$10:N303)+1,IF(AND(ROW()-10&gt;$P$10,ROW()-10&lt;=$P$4),ROW()-10,0))</f>
        <v>0</v>
      </c>
      <c r="O304" s="6">
        <f ca="1">IF(N304&gt;0,MAX($O$10:O303)+1,0)</f>
        <v>0</v>
      </c>
      <c r="Q304" s="84"/>
      <c r="R304" s="84"/>
    </row>
    <row r="305" spans="2:18" ht="24" customHeight="1">
      <c r="B305" s="30" t="str">
        <f t="shared" ca="1" si="10"/>
        <v/>
      </c>
      <c r="C305" s="31" t="str">
        <f t="shared" ca="1" si="11"/>
        <v/>
      </c>
      <c r="D305" s="32"/>
      <c r="E305" s="33"/>
      <c r="F305" s="36"/>
      <c r="G305" s="37"/>
      <c r="H305" s="37"/>
      <c r="I305" s="157"/>
      <c r="J305" s="201"/>
      <c r="K305" s="202" t="str">
        <f ca="1">IF(IF(COPIA!$J$3=TRUE,IF(OR(G305&lt;&gt;0,H305&lt;&gt;0),ROUND(SUM(COPIA!$FB$103:FB397),2)-ROUND(SUM(COPIA!$FC$103:FC397),2),""),"")&lt;&gt;0,"",0)</f>
        <v/>
      </c>
      <c r="L305" s="6">
        <f ca="1">IFERROR(IF(AND(INDIRECT(ADDRESS(ROW(),4,,,))&lt;=COPIA!$DA$1,K305=0,COPIA!$EX$1&gt;1,ROW()&lt;=COPIA!$EX$1),MAX($L$10:L304)+1,IF(AND(INDIRECT(ADDRESS(ROW(),4,,,))&lt;=COPIA!$DA$1,K305=0,COPIA!$EX$1=1),MAX($L$10:L304)+1,0)),0)</f>
        <v>0</v>
      </c>
      <c r="M305" s="6">
        <f ca="1">IF(AND(COPIA!$EX$1=1,L305&lt;&gt;0),ROW()-10,IF(AND(COPIA!$EX$1&gt;1,ROW()&gt;COPIA!$EX$1,L305&lt;&gt;0),0,IF(AND(COPIA!$EX$1&gt;1,ROW()&lt;=COPIA!$EX$1,L305&lt;&gt;0),ROW()-10,0)))</f>
        <v>0</v>
      </c>
      <c r="N305" s="6">
        <f ca="1">IF(AND($P$4=0,ROW()-10&lt;=$P$10),MAX($N$10:N304)+1,IF(AND(ROW()-10&gt;$P$10,ROW()-10&lt;=$P$4),ROW()-10,0))</f>
        <v>0</v>
      </c>
      <c r="O305" s="6">
        <f ca="1">IF(N305&gt;0,MAX($O$10:O304)+1,0)</f>
        <v>0</v>
      </c>
      <c r="Q305" s="84"/>
      <c r="R305" s="84"/>
    </row>
    <row r="306" spans="2:18" ht="24" customHeight="1">
      <c r="B306" s="30" t="str">
        <f t="shared" ca="1" si="10"/>
        <v/>
      </c>
      <c r="C306" s="31" t="str">
        <f t="shared" ca="1" si="11"/>
        <v/>
      </c>
      <c r="D306" s="32"/>
      <c r="E306" s="33"/>
      <c r="F306" s="36"/>
      <c r="G306" s="37"/>
      <c r="H306" s="37"/>
      <c r="I306" s="157"/>
      <c r="J306" s="201"/>
      <c r="K306" s="202" t="str">
        <f ca="1">IF(IF(COPIA!$J$3=TRUE,IF(OR(G306&lt;&gt;0,H306&lt;&gt;0),ROUND(SUM(COPIA!$FB$103:FB398),2)-ROUND(SUM(COPIA!$FC$103:FC398),2),""),"")&lt;&gt;0,"",0)</f>
        <v/>
      </c>
      <c r="L306" s="6">
        <f ca="1">IFERROR(IF(AND(INDIRECT(ADDRESS(ROW(),4,,,))&lt;=COPIA!$DA$1,K306=0,COPIA!$EX$1&gt;1,ROW()&lt;=COPIA!$EX$1),MAX($L$10:L305)+1,IF(AND(INDIRECT(ADDRESS(ROW(),4,,,))&lt;=COPIA!$DA$1,K306=0,COPIA!$EX$1=1),MAX($L$10:L305)+1,0)),0)</f>
        <v>0</v>
      </c>
      <c r="M306" s="6">
        <f ca="1">IF(AND(COPIA!$EX$1=1,L306&lt;&gt;0),ROW()-10,IF(AND(COPIA!$EX$1&gt;1,ROW()&gt;COPIA!$EX$1,L306&lt;&gt;0),0,IF(AND(COPIA!$EX$1&gt;1,ROW()&lt;=COPIA!$EX$1,L306&lt;&gt;0),ROW()-10,0)))</f>
        <v>0</v>
      </c>
      <c r="N306" s="6">
        <f ca="1">IF(AND($P$4=0,ROW()-10&lt;=$P$10),MAX($N$10:N305)+1,IF(AND(ROW()-10&gt;$P$10,ROW()-10&lt;=$P$4),ROW()-10,0))</f>
        <v>0</v>
      </c>
      <c r="O306" s="6">
        <f ca="1">IF(N306&gt;0,MAX($O$10:O305)+1,0)</f>
        <v>0</v>
      </c>
      <c r="Q306" s="84"/>
      <c r="R306" s="84"/>
    </row>
    <row r="307" spans="2:18" ht="24" customHeight="1">
      <c r="B307" s="30" t="str">
        <f t="shared" ca="1" si="10"/>
        <v/>
      </c>
      <c r="C307" s="31" t="str">
        <f t="shared" ca="1" si="11"/>
        <v/>
      </c>
      <c r="D307" s="32"/>
      <c r="E307" s="33"/>
      <c r="F307" s="36"/>
      <c r="G307" s="37"/>
      <c r="H307" s="37"/>
      <c r="I307" s="157"/>
      <c r="J307" s="201"/>
      <c r="K307" s="202" t="str">
        <f ca="1">IF(IF(COPIA!$J$3=TRUE,IF(OR(G307&lt;&gt;0,H307&lt;&gt;0),ROUND(SUM(COPIA!$FB$103:FB399),2)-ROUND(SUM(COPIA!$FC$103:FC399),2),""),"")&lt;&gt;0,"",0)</f>
        <v/>
      </c>
      <c r="L307" s="6">
        <f ca="1">IFERROR(IF(AND(INDIRECT(ADDRESS(ROW(),4,,,))&lt;=COPIA!$DA$1,K307=0,COPIA!$EX$1&gt;1,ROW()&lt;=COPIA!$EX$1),MAX($L$10:L306)+1,IF(AND(INDIRECT(ADDRESS(ROW(),4,,,))&lt;=COPIA!$DA$1,K307=0,COPIA!$EX$1=1),MAX($L$10:L306)+1,0)),0)</f>
        <v>0</v>
      </c>
      <c r="M307" s="6">
        <f ca="1">IF(AND(COPIA!$EX$1=1,L307&lt;&gt;0),ROW()-10,IF(AND(COPIA!$EX$1&gt;1,ROW()&gt;COPIA!$EX$1,L307&lt;&gt;0),0,IF(AND(COPIA!$EX$1&gt;1,ROW()&lt;=COPIA!$EX$1,L307&lt;&gt;0),ROW()-10,0)))</f>
        <v>0</v>
      </c>
      <c r="N307" s="6">
        <f ca="1">IF(AND($P$4=0,ROW()-10&lt;=$P$10),MAX($N$10:N306)+1,IF(AND(ROW()-10&gt;$P$10,ROW()-10&lt;=$P$4),ROW()-10,0))</f>
        <v>0</v>
      </c>
      <c r="O307" s="6">
        <f ca="1">IF(N307&gt;0,MAX($O$10:O306)+1,0)</f>
        <v>0</v>
      </c>
      <c r="Q307" s="84"/>
      <c r="R307" s="84"/>
    </row>
    <row r="308" spans="2:18" ht="24" customHeight="1">
      <c r="B308" s="30" t="str">
        <f t="shared" ca="1" si="10"/>
        <v/>
      </c>
      <c r="C308" s="31" t="str">
        <f t="shared" ca="1" si="11"/>
        <v/>
      </c>
      <c r="D308" s="32"/>
      <c r="E308" s="33"/>
      <c r="F308" s="36"/>
      <c r="G308" s="37"/>
      <c r="H308" s="37"/>
      <c r="I308" s="157"/>
      <c r="J308" s="201"/>
      <c r="K308" s="202" t="str">
        <f ca="1">IF(IF(COPIA!$J$3=TRUE,IF(OR(G308&lt;&gt;0,H308&lt;&gt;0),ROUND(SUM(COPIA!$FB$103:FB400),2)-ROUND(SUM(COPIA!$FC$103:FC400),2),""),"")&lt;&gt;0,"",0)</f>
        <v/>
      </c>
      <c r="L308" s="6">
        <f ca="1">IFERROR(IF(AND(INDIRECT(ADDRESS(ROW(),4,,,))&lt;=COPIA!$DA$1,K308=0,COPIA!$EX$1&gt;1,ROW()&lt;=COPIA!$EX$1),MAX($L$10:L307)+1,IF(AND(INDIRECT(ADDRESS(ROW(),4,,,))&lt;=COPIA!$DA$1,K308=0,COPIA!$EX$1=1),MAX($L$10:L307)+1,0)),0)</f>
        <v>0</v>
      </c>
      <c r="M308" s="6">
        <f ca="1">IF(AND(COPIA!$EX$1=1,L308&lt;&gt;0),ROW()-10,IF(AND(COPIA!$EX$1&gt;1,ROW()&gt;COPIA!$EX$1,L308&lt;&gt;0),0,IF(AND(COPIA!$EX$1&gt;1,ROW()&lt;=COPIA!$EX$1,L308&lt;&gt;0),ROW()-10,0)))</f>
        <v>0</v>
      </c>
      <c r="N308" s="6">
        <f ca="1">IF(AND($P$4=0,ROW()-10&lt;=$P$10),MAX($N$10:N307)+1,IF(AND(ROW()-10&gt;$P$10,ROW()-10&lt;=$P$4),ROW()-10,0))</f>
        <v>0</v>
      </c>
      <c r="O308" s="6">
        <f ca="1">IF(N308&gt;0,MAX($O$10:O307)+1,0)</f>
        <v>0</v>
      </c>
      <c r="Q308" s="84"/>
      <c r="R308" s="84"/>
    </row>
    <row r="309" spans="2:18" ht="24" customHeight="1">
      <c r="B309" s="96"/>
      <c r="C309" s="97"/>
      <c r="D309" s="98"/>
      <c r="E309" s="99"/>
      <c r="F309" s="100"/>
      <c r="G309" s="101"/>
      <c r="H309" s="101"/>
      <c r="K309" s="202"/>
    </row>
  </sheetData>
  <sheetProtection algorithmName="SHA-512" hashValue="uu5XCxCgOXNCg+AMOFoU8yJcfFK/r1OUSLlB5ONujqTcpY6bRr7njQsVEXPSlF72uShPYrrAnBY+1wk+JljZRA==" saltValue="7o1SKL5Gv10tOFY1gOyHXw==" spinCount="100000" sheet="1" objects="1" scenarios="1"/>
  <mergeCells count="8">
    <mergeCell ref="G8:H8"/>
    <mergeCell ref="G7:H7"/>
    <mergeCell ref="B1:E1"/>
    <mergeCell ref="G3:H3"/>
    <mergeCell ref="G5:H5"/>
    <mergeCell ref="B2:D2"/>
    <mergeCell ref="B3:D3"/>
    <mergeCell ref="B4:D5"/>
  </mergeCells>
  <conditionalFormatting sqref="B11:B108">
    <cfRule type="expression" dxfId="144" priority="89">
      <formula>AND($C11&gt;=$A$10,$A$10&gt;0,$C9&lt;&gt;"")</formula>
    </cfRule>
  </conditionalFormatting>
  <conditionalFormatting sqref="B11:B308">
    <cfRule type="expression" dxfId="143" priority="86">
      <formula>AND($C11&lt;$A$10,$A$10&gt;0,$C9&lt;&gt;"")</formula>
    </cfRule>
    <cfRule type="expression" dxfId="142" priority="85">
      <formula>AND($C11&lt;$A$10,$A$10&gt;0,$C10&lt;&gt;"")</formula>
    </cfRule>
    <cfRule type="expression" dxfId="141" priority="84">
      <formula>AND($A$10=0,$C9&lt;&gt;"")</formula>
    </cfRule>
    <cfRule type="expression" dxfId="140" priority="83">
      <formula>AND($A$10=0,$C10&lt;&gt;"")</formula>
    </cfRule>
    <cfRule type="expression" dxfId="139" priority="88">
      <formula>AND($C11&gt;=$A$10,$A$10&gt;0,$C10&lt;&gt;"")</formula>
    </cfRule>
  </conditionalFormatting>
  <conditionalFormatting sqref="C11:C308">
    <cfRule type="expression" dxfId="138" priority="82">
      <formula>$C10&lt;&gt;""</formula>
    </cfRule>
    <cfRule type="expression" dxfId="137" priority="81">
      <formula>$C9&lt;&gt;""</formula>
    </cfRule>
  </conditionalFormatting>
  <conditionalFormatting sqref="D11:D38">
    <cfRule type="expression" dxfId="136" priority="19">
      <formula>YEAR($D11)=$K$4</formula>
    </cfRule>
    <cfRule type="expression" dxfId="135" priority="21">
      <formula>AND(YEAR($D11)&lt;$J$4,$E11&lt;&gt;"")</formula>
    </cfRule>
    <cfRule type="expression" dxfId="134" priority="20">
      <formula>YEAR($D11)&gt;$K$4</formula>
    </cfRule>
  </conditionalFormatting>
  <conditionalFormatting sqref="D11:D62">
    <cfRule type="expression" dxfId="133" priority="36">
      <formula>AND(YEAR($D11)&lt;$J$4,$E11&lt;&gt;"")</formula>
    </cfRule>
    <cfRule type="expression" dxfId="132" priority="35">
      <formula>YEAR($D11)&gt;$K$4</formula>
    </cfRule>
    <cfRule type="expression" dxfId="131" priority="34">
      <formula>YEAR($D11)=$K$4</formula>
    </cfRule>
  </conditionalFormatting>
  <conditionalFormatting sqref="D11:D108 G11:H108">
    <cfRule type="expression" dxfId="130" priority="18">
      <formula>AND($C11&gt;=$A$10,$A$10&gt;0,$C9&lt;&gt;"")</formula>
    </cfRule>
  </conditionalFormatting>
  <conditionalFormatting sqref="D11:D308 G11:H308">
    <cfRule type="expression" dxfId="129" priority="14">
      <formula>AND($A$10=0,$C9&lt;&gt;"")</formula>
    </cfRule>
    <cfRule type="expression" dxfId="128" priority="15">
      <formula>AND($C11&lt;$A$10,$A$10&gt;0,$C10&lt;&gt;"")</formula>
    </cfRule>
    <cfRule type="expression" dxfId="127" priority="16">
      <formula>AND($C11&lt;$A$10,$A$10&gt;0,$C9&lt;&gt;"")</formula>
    </cfRule>
    <cfRule type="expression" dxfId="126" priority="17">
      <formula>AND($C11&gt;=$A$10,$A$10&gt;0,$C10&lt;&gt;"")</formula>
    </cfRule>
    <cfRule type="expression" dxfId="125" priority="13">
      <formula>AND($A$10=0,$C10&lt;&gt;"")</formula>
    </cfRule>
  </conditionalFormatting>
  <conditionalFormatting sqref="D58:D308">
    <cfRule type="expression" dxfId="124" priority="103">
      <formula>YEAR($D58)=$K$4</formula>
    </cfRule>
    <cfRule type="expression" dxfId="123" priority="104">
      <formula>YEAR($D58)&gt;$K$4</formula>
    </cfRule>
    <cfRule type="expression" dxfId="122" priority="105">
      <formula>AND(YEAR($D58)&lt;$J$4,$E58&lt;&gt;"")</formula>
    </cfRule>
  </conditionalFormatting>
  <conditionalFormatting sqref="E2">
    <cfRule type="expression" dxfId="121" priority="37">
      <formula>$A$3=2</formula>
    </cfRule>
  </conditionalFormatting>
  <conditionalFormatting sqref="E11:F38 F39:F40">
    <cfRule type="expression" dxfId="120" priority="12">
      <formula>AND($A$10=0,AND($E10&lt;&gt;"",$K11&lt;&gt;0))</formula>
    </cfRule>
    <cfRule type="expression" dxfId="119" priority="11">
      <formula>AND($A$10=0,AND($E9&lt;&gt;"",$K11&lt;&gt;0))</formula>
    </cfRule>
    <cfRule type="expression" dxfId="118" priority="10">
      <formula>AND($A$10=0,AND($E10&lt;&gt;"",$K11=0))</formula>
    </cfRule>
    <cfRule type="expression" dxfId="117" priority="1">
      <formula>AND($C11&gt;=$A$10,$A$10&gt;0,$E9&lt;&gt;"",$K11=0)</formula>
    </cfRule>
    <cfRule type="expression" dxfId="116" priority="8">
      <formula>AND($C11&lt;$A$10,$A$10&gt;0,$E10&lt;&gt;"",$K11&lt;&gt;0)</formula>
    </cfRule>
    <cfRule type="expression" dxfId="115" priority="7">
      <formula>AND($C11&lt;$A$10,$A$10&gt;0,$E9&lt;&gt;"",$K11&lt;&gt;0)</formula>
    </cfRule>
    <cfRule type="expression" dxfId="114" priority="6">
      <formula>AND($C11&lt;$A$10,$A$10&gt;0,$E10&lt;&gt;"",$K11=0)</formula>
    </cfRule>
    <cfRule type="expression" dxfId="113" priority="5">
      <formula>AND($C11&lt;$A$10,$A$10&gt;0,$E9&lt;&gt;"",$K11=0)</formula>
    </cfRule>
    <cfRule type="expression" dxfId="112" priority="4">
      <formula>AND($C11&gt;=$A$10,$A$10&gt;0,$E10&lt;&gt;"",$K11&lt;&gt;0)</formula>
    </cfRule>
    <cfRule type="expression" dxfId="111" priority="3">
      <formula>AND($C11&gt;=$A$10,$A$10&gt;0,$E9&lt;&gt;"",$K11&lt;&gt;0)</formula>
    </cfRule>
    <cfRule type="expression" dxfId="110" priority="2">
      <formula>AND($C11&gt;=$A$10,$A$10&gt;0,$E10&lt;&gt;"",$K11=0)</formula>
    </cfRule>
    <cfRule type="expression" dxfId="109" priority="9">
      <formula>AND($A$10=0,AND($E9&lt;&gt;"",$K11=0))</formula>
    </cfRule>
  </conditionalFormatting>
  <conditionalFormatting sqref="E11:F60">
    <cfRule type="expression" dxfId="108" priority="25">
      <formula>AND($C11&gt;=$A$10,$A$10&gt;0,$E10&lt;&gt;"",$K11&lt;&gt;0)</formula>
    </cfRule>
    <cfRule type="expression" dxfId="107" priority="26">
      <formula>AND($C11&lt;$A$10,$A$10&gt;0,$E9&lt;&gt;"",$K11=0)</formula>
    </cfRule>
    <cfRule type="expression" dxfId="106" priority="27">
      <formula>AND($C11&lt;$A$10,$A$10&gt;0,$E10&lt;&gt;"",$K11=0)</formula>
    </cfRule>
    <cfRule type="expression" dxfId="105" priority="28">
      <formula>AND($C11&lt;$A$10,$A$10&gt;0,$E9&lt;&gt;"",$K11&lt;&gt;0)</formula>
    </cfRule>
    <cfRule type="expression" dxfId="104" priority="29">
      <formula>AND($C11&lt;$A$10,$A$10&gt;0,$E10&lt;&gt;"",$K11&lt;&gt;0)</formula>
    </cfRule>
    <cfRule type="expression" dxfId="103" priority="30">
      <formula>AND($A$10=0,AND($E9&lt;&gt;"",$K11=0))</formula>
    </cfRule>
    <cfRule type="expression" dxfId="102" priority="31">
      <formula>AND($A$10=0,AND($E10&lt;&gt;"",$K11=0))</formula>
    </cfRule>
    <cfRule type="expression" dxfId="101" priority="32">
      <formula>AND($A$10=0,AND($E9&lt;&gt;"",$K11&lt;&gt;0))</formula>
    </cfRule>
    <cfRule type="expression" dxfId="100" priority="33">
      <formula>AND($A$10=0,AND($E10&lt;&gt;"",$K11&lt;&gt;0))</formula>
    </cfRule>
    <cfRule type="expression" dxfId="99" priority="22">
      <formula>AND($C11&gt;=$A$10,$A$10&gt;0,$E9&lt;&gt;"",$K11=0)</formula>
    </cfRule>
    <cfRule type="expression" dxfId="98" priority="23">
      <formula>AND($C11&gt;=$A$10,$A$10&gt;0,$E10&lt;&gt;"",$K11=0)</formula>
    </cfRule>
    <cfRule type="expression" dxfId="97" priority="24">
      <formula>AND($C11&gt;=$A$10,$A$10&gt;0,$E9&lt;&gt;"",$K11&lt;&gt;0)</formula>
    </cfRule>
  </conditionalFormatting>
  <conditionalFormatting sqref="E58:F308">
    <cfRule type="expression" dxfId="96" priority="73">
      <formula>AND($A$10=0,AND($E57&lt;&gt;"",$K58&lt;&gt;0))</formula>
    </cfRule>
    <cfRule type="expression" dxfId="95" priority="60">
      <formula>AND($C58&gt;=$A$10,$A$10&gt;0,$E56&lt;&gt;"",$K58=0)</formula>
    </cfRule>
    <cfRule type="expression" dxfId="94" priority="61">
      <formula>AND($C58&gt;=$A$10,$A$10&gt;0,$E57&lt;&gt;"",$K58=0)</formula>
    </cfRule>
    <cfRule type="expression" dxfId="93" priority="62">
      <formula>AND($C58&gt;=$A$10,$A$10&gt;0,$E56&lt;&gt;"",$K58&lt;&gt;0)</formula>
    </cfRule>
    <cfRule type="expression" dxfId="92" priority="64">
      <formula>AND($C58&gt;=$A$10,$A$10&gt;0,$E57&lt;&gt;"",$K58&lt;&gt;0)</formula>
    </cfRule>
    <cfRule type="expression" dxfId="91" priority="65">
      <formula>AND($C58&lt;$A$10,$A$10&gt;0,$E56&lt;&gt;"",$K58=0)</formula>
    </cfRule>
    <cfRule type="expression" dxfId="90" priority="66">
      <formula>AND($C58&lt;$A$10,$A$10&gt;0,$E57&lt;&gt;"",$K58=0)</formula>
    </cfRule>
    <cfRule type="expression" dxfId="89" priority="72">
      <formula>AND($A$10=0,AND($E56&lt;&gt;"",$K58&lt;&gt;0))</formula>
    </cfRule>
    <cfRule type="expression" dxfId="88" priority="67">
      <formula>AND($C58&lt;$A$10,$A$10&gt;0,$E56&lt;&gt;"",$K58&lt;&gt;0)</formula>
    </cfRule>
    <cfRule type="expression" dxfId="87" priority="68">
      <formula>AND($C58&lt;$A$10,$A$10&gt;0,$E57&lt;&gt;"",$K58&lt;&gt;0)</formula>
    </cfRule>
    <cfRule type="expression" dxfId="86" priority="70">
      <formula>AND($A$10=0,AND($E56&lt;&gt;"",$K58=0))</formula>
    </cfRule>
    <cfRule type="expression" dxfId="85" priority="71">
      <formula>AND($A$10=0,AND($E57&lt;&gt;"",$K58=0))</formula>
    </cfRule>
  </conditionalFormatting>
  <conditionalFormatting sqref="F4">
    <cfRule type="expression" dxfId="84" priority="59">
      <formula>$F$4="I valori iniziali non bilanciano."</formula>
    </cfRule>
  </conditionalFormatting>
  <conditionalFormatting sqref="G4:H4 G9:H9">
    <cfRule type="expression" dxfId="83" priority="109">
      <formula>$G$4&lt;&gt;$H$4</formula>
    </cfRule>
    <cfRule type="expression" dxfId="82" priority="110">
      <formula>$G$4=0</formula>
    </cfRule>
    <cfRule type="expression" dxfId="81" priority="111">
      <formula>$G$4=$H$4</formula>
    </cfRule>
  </conditionalFormatting>
  <conditionalFormatting sqref="G5:H5">
    <cfRule type="expression" dxfId="80" priority="101">
      <formula>$G$5="I valori iniziali non bilanciano."</formula>
    </cfRule>
  </conditionalFormatting>
  <dataValidations count="10">
    <dataValidation type="list" allowBlank="1" sqref="E309" xr:uid="{00000000-0002-0000-0100-000000000000}">
      <formula1>MENU_TENDINA</formula1>
    </dataValidation>
    <dataValidation type="list" allowBlank="1" showInputMessage="1" showErrorMessage="1" sqref="B6" xr:uid="{00000000-0002-0000-0100-000001000000}">
      <formula1>GIORNI</formula1>
    </dataValidation>
    <dataValidation type="list" allowBlank="1" showInputMessage="1" showErrorMessage="1" sqref="C6" xr:uid="{00000000-0002-0000-0100-000002000000}">
      <formula1>MESI</formula1>
    </dataValidation>
    <dataValidation type="list" allowBlank="1" showInputMessage="1" showErrorMessage="1" sqref="D6" xr:uid="{00000000-0002-0000-0100-000003000000}">
      <formula1>ANNI</formula1>
    </dataValidation>
    <dataValidation type="list" allowBlank="1" showInputMessage="1" showErrorMessage="1" sqref="E2" xr:uid="{00000000-0002-0000-0100-000004000000}">
      <formula1>FILTRO_CELLA</formula1>
    </dataValidation>
    <dataValidation type="list" allowBlank="1" showInputMessage="1" showErrorMessage="1" sqref="H6" xr:uid="{00000000-0002-0000-0100-000005000000}">
      <formula1>nascondi_righe</formula1>
    </dataValidation>
    <dataValidation type="list" allowBlank="1" showInputMessage="1" showErrorMessage="1" sqref="F6" xr:uid="{00000000-0002-0000-0100-000006000000}">
      <formula1>"DELIMITAZIONE ARTICOLO ATTIVATA,DELIMITAZIONE ARTICOLO DISATTIVATA"</formula1>
    </dataValidation>
    <dataValidation type="list" allowBlank="1" showInputMessage="1" showErrorMessage="1" sqref="B3:D3" xr:uid="{00000000-0002-0000-0100-000007000000}">
      <formula1>"Desktop: Office, Cloud: Office 365"</formula1>
    </dataValidation>
    <dataValidation type="list" allowBlank="1" showInputMessage="1" showErrorMessage="1" sqref="E3" xr:uid="{00000000-0002-0000-0100-000008000000}">
      <formula1>office365</formula1>
    </dataValidation>
    <dataValidation type="list" allowBlank="1" showInputMessage="1" showErrorMessage="1" sqref="E11:E308" xr:uid="{00000000-0002-0000-0100-000009000000}">
      <formula1>IF($A$3=2,office365,MENU_TENDINA)</formula1>
    </dataValidation>
  </dataValidations>
  <printOptions horizontalCentered="1"/>
  <pageMargins left="0.11811023622047245" right="0.11811023622047245" top="0.59055118110236227" bottom="0.55118110236220474" header="0.19685039370078741" footer="0.11811023622047245"/>
  <pageSetup paperSize="9" orientation="landscape" horizontalDpi="4294967294" r:id="rId1"/>
  <headerFooter>
    <oddHeader>&amp;L&amp;"Arial Narrow,Grassetto"&amp;11&amp;K08-041&amp;A&amp;R&amp;G</oddHeader>
    <oddFooter>&amp;L&amp;"Arial Narrow,Grassetto"&amp;9&amp;K08-041FUTURO IMPRESA 3 - T-SMART -   Autore: Biagio PALACINO&amp;C&amp;"Arial Narrow,Grassetto"&amp;9&amp;K08-047&amp;D&amp;R&amp;"Arial Narrow,Grassetto"&amp;10&amp;K08-041pag. &amp;P di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8" r:id="rId5" name="List Box 16">
              <controlPr defaultSize="0" print="0" autoLine="0" autoPict="0">
                <anchor>
                  <from>
                    <xdr:col>4</xdr:col>
                    <xdr:colOff>121920</xdr:colOff>
                    <xdr:row>2</xdr:row>
                    <xdr:rowOff>0</xdr:rowOff>
                  </from>
                  <to>
                    <xdr:col>4</xdr:col>
                    <xdr:colOff>3436620</xdr:colOff>
                    <xdr:row>7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M604"/>
  <sheetViews>
    <sheetView showGridLines="0" showRowColHeaders="0" zoomScale="110" zoomScaleNormal="110" workbookViewId="0">
      <pane ySplit="6" topLeftCell="A7" activePane="bottomLeft" state="frozen"/>
      <selection pane="bottomLeft" activeCell="B2" sqref="B2:C3"/>
    </sheetView>
  </sheetViews>
  <sheetFormatPr defaultColWidth="9" defaultRowHeight="15.6"/>
  <cols>
    <col min="1" max="1" width="2.5" style="6" customWidth="1"/>
    <col min="2" max="2" width="10.19921875" style="40" customWidth="1"/>
    <col min="3" max="3" width="12.19921875" style="41" customWidth="1"/>
    <col min="4" max="4" width="40.19921875" style="7" customWidth="1"/>
    <col min="5" max="5" width="13.69921875" style="45" customWidth="1"/>
    <col min="6" max="6" width="13.69921875" style="5" customWidth="1"/>
    <col min="7" max="7" width="13.3984375" style="5" customWidth="1"/>
    <col min="8" max="8" width="2.19921875" style="14" customWidth="1"/>
    <col min="9" max="9" width="6.59765625" style="6" customWidth="1"/>
    <col min="10" max="10" width="9" style="14" customWidth="1"/>
    <col min="11" max="11" width="9" style="48"/>
    <col min="12" max="12" width="8.8984375" style="14" customWidth="1"/>
    <col min="13" max="16384" width="9" style="14"/>
  </cols>
  <sheetData>
    <row r="1" spans="1:13" ht="20.25" customHeight="1">
      <c r="B1" s="327" t="s">
        <v>700</v>
      </c>
      <c r="C1" s="327"/>
      <c r="D1" s="327"/>
      <c r="E1" s="327"/>
      <c r="F1" s="319"/>
      <c r="G1" s="319"/>
      <c r="H1" s="319"/>
      <c r="I1" s="319"/>
      <c r="J1" s="319"/>
      <c r="K1" s="319"/>
      <c r="L1" s="319"/>
    </row>
    <row r="2" spans="1:13" ht="13.5" customHeight="1">
      <c r="B2" s="328" t="str">
        <f ca="1">COPIA!JL1</f>
        <v>Nessun conto visualizzato</v>
      </c>
      <c r="C2" s="328"/>
      <c r="D2" s="158"/>
      <c r="E2" s="321" t="s">
        <v>419</v>
      </c>
      <c r="F2" s="321"/>
      <c r="G2" s="321"/>
      <c r="H2" s="108"/>
      <c r="I2" s="320" t="s">
        <v>434</v>
      </c>
      <c r="J2" s="320"/>
      <c r="K2" s="320"/>
      <c r="L2" s="320"/>
    </row>
    <row r="3" spans="1:13" ht="30" customHeight="1">
      <c r="B3" s="328"/>
      <c r="C3" s="328"/>
      <c r="D3" s="159" t="str">
        <f ca="1">IF(COPIA!CH1=0,"",CONCATENATE("Numero dei conti con eccedenza errata: ",COPIA!FM1," 
Numero dei conti con denominazione errata: ",COPIA!EQ2))</f>
        <v/>
      </c>
      <c r="E3" s="324" t="str">
        <f ca="1">COPIA!ET3</f>
        <v/>
      </c>
      <c r="F3" s="325"/>
      <c r="G3" s="326"/>
      <c r="H3" s="94"/>
      <c r="I3" s="322" t="str">
        <f ca="1">COPIA!FP3</f>
        <v/>
      </c>
      <c r="J3" s="323"/>
      <c r="K3" s="323"/>
      <c r="L3" s="323"/>
      <c r="M3" s="94"/>
    </row>
    <row r="4" spans="1:13" ht="6" customHeight="1">
      <c r="A4" s="10"/>
      <c r="D4" s="42"/>
      <c r="E4" s="43"/>
      <c r="F4" s="43"/>
      <c r="G4" s="16"/>
    </row>
    <row r="5" spans="1:13" ht="16.5" customHeight="1">
      <c r="A5" s="10"/>
      <c r="B5" s="316" t="s">
        <v>420</v>
      </c>
      <c r="C5" s="316"/>
      <c r="D5" s="135" t="s">
        <v>411</v>
      </c>
      <c r="E5" s="313" t="s">
        <v>612</v>
      </c>
      <c r="F5" s="314"/>
      <c r="G5" s="315"/>
      <c r="H5" s="109"/>
      <c r="I5" s="313" t="s">
        <v>488</v>
      </c>
      <c r="J5" s="314"/>
      <c r="K5" s="314"/>
      <c r="L5" s="315"/>
      <c r="M5" s="94"/>
    </row>
    <row r="6" spans="1:13" ht="10.5" customHeight="1">
      <c r="A6" s="10"/>
      <c r="B6" s="141"/>
      <c r="C6" s="141"/>
      <c r="D6" s="110"/>
      <c r="E6" s="210"/>
      <c r="F6" s="210"/>
      <c r="G6" s="140"/>
      <c r="H6" s="210"/>
      <c r="I6" s="312"/>
      <c r="J6" s="312"/>
      <c r="K6" s="312"/>
      <c r="L6" s="93"/>
    </row>
    <row r="7" spans="1:13" ht="23.25" customHeight="1">
      <c r="B7" s="317" t="str">
        <f ca="1">IF(INDIRECT(ADDRESS(8,7,,,"LIBRO_GIORNALE"))="","",INDIRECT(ADDRESS(8,7,,,"LIBRO_GIORNALE")))</f>
        <v/>
      </c>
      <c r="C7" s="318"/>
      <c r="D7" s="234" t="str">
        <f ca="1">IF(COPIA!CH1=0,"",CONCATENATE("CONTI DI MASTRO al ",COPIA!DS2,"/",COPIA!DT2,"/",COPIA!DU2))</f>
        <v/>
      </c>
      <c r="E7" s="317" t="str">
        <f ca="1">IF(INDIRECT(ADDRESS(8,6,,,"LIBRO_GIORNALE"))="","",INDIRECT(ADDRESS(8,6,,,"LIBRO_GIORNALE")))</f>
        <v/>
      </c>
      <c r="F7" s="318"/>
      <c r="G7" s="70"/>
      <c r="H7" s="4"/>
    </row>
    <row r="8" spans="1:13" ht="16.5" customHeight="1">
      <c r="A8" s="12"/>
      <c r="B8" s="119" t="str">
        <f ca="1">IF(IFERROR(INDEX((COPIA!$DA$3:$DE$2300),MATCH(ROWS(B$8:B8),COPIA!$DF$3:$DF$2300,0),COLUMN()-1),"")&gt;=1,IFERROR(INDEX((COPIA!$DA$3:$DE$2300),MATCH(ROWS(B$8:B8),COPIA!$DF$3:$DF$2300,0),COLUMN()-1),""),"")</f>
        <v/>
      </c>
      <c r="C8" s="118" t="str">
        <f ca="1">SUBSTITUTE(IFERROR(INDEX((COPIA!$DA$3:$DE$2300),MATCH(ROWS(C$8:C8),COPIA!$DF$3:$DF$2300,0),COLUMN()-1),""),"MASTRO","")</f>
        <v/>
      </c>
      <c r="D8" s="29" t="str">
        <f ca="1">IF(IFERROR(INDEX((COPIA!$DA$3:$DE$2300),MATCH(ROWS(D$8:D8),COPIA!$DF$3:$DF$2300,0),COLUMN()-1),"")=0,"",IFERROR(INDEX((COPIA!$DA$3:$DE$2300),MATCH(ROWS(D$8:D8),COPIA!$DF$3:$DF$2300,0),COLUMN()-1),""))</f>
        <v/>
      </c>
      <c r="E8" s="45" t="str">
        <f ca="1">IF(IFERROR(INDEX((COPIA!$DA$3:$DE$2300),MATCH(ROWS(E$8:E8),COPIA!$DF$3:$DF$2300,0),COLUMN()-1),"")=0,"",IFERROR(INDEX((COPIA!$DA$3:$DE$2300),MATCH(ROWS(E$8:E8),COPIA!$DF$3:$DF$2300,0),COLUMN()-1),""))</f>
        <v/>
      </c>
      <c r="F8" s="120" t="str">
        <f ca="1">IF(IFERROR(INDEX((COPIA!$DA$3:$DE$2300),MATCH(ROWS(F$8:F8),COPIA!$DF$3:$DF$2300,0),COLUMN()-1),"")=0,"",IFERROR(INDEX((COPIA!$DA$3:$DE$2300),MATCH(ROWS(F$8:F8),COPIA!$DF$3:$DF$2300,0),COLUMN()-1),""))</f>
        <v/>
      </c>
      <c r="G8" s="16"/>
    </row>
    <row r="9" spans="1:13" ht="16.5" customHeight="1">
      <c r="A9" s="12"/>
      <c r="B9" s="119" t="str">
        <f ca="1">IF(IFERROR(INDEX((COPIA!$DA$3:$DE$2300),MATCH(ROWS(B$8:B9),COPIA!$DF$3:$DF$2300,0),COLUMN()-1),"")&gt;=1,IFERROR(INDEX((COPIA!$DA$3:$DE$2300),MATCH(ROWS(B$8:B9),COPIA!$DF$3:$DF$2300,0),COLUMN()-1),""),"")</f>
        <v/>
      </c>
      <c r="C9" s="118" t="str">
        <f ca="1">SUBSTITUTE(IFERROR(INDEX((COPIA!$DA$3:$DE$2300),MATCH(ROWS(C$8:C9),COPIA!$DF$3:$DF$2300,0),COLUMN()-1),""),"MASTRO","")</f>
        <v/>
      </c>
      <c r="D9" s="29" t="str">
        <f ca="1">IF(IFERROR(INDEX((COPIA!$DA$3:$DE$2300),MATCH(ROWS(D$8:D9),COPIA!$DF$3:$DF$2300,0),COLUMN()-1),"")=0,"",IFERROR(INDEX((COPIA!$DA$3:$DE$2300),MATCH(ROWS(D$8:D9),COPIA!$DF$3:$DF$2300,0),COLUMN()-1),""))</f>
        <v/>
      </c>
      <c r="E9" s="45" t="str">
        <f ca="1">IF(IFERROR(INDEX((COPIA!$DA$3:$DE$2300),MATCH(ROWS(E$8:E9),COPIA!$DF$3:$DF$2300,0),COLUMN()-1),"")=0,"",IFERROR(INDEX((COPIA!$DA$3:$DE$2300),MATCH(ROWS(E$8:E9),COPIA!$DF$3:$DF$2300,0),COLUMN()-1),""))</f>
        <v/>
      </c>
      <c r="F9" s="120" t="str">
        <f ca="1">IF(IFERROR(INDEX((COPIA!$DA$3:$DE$2300),MATCH(ROWS(F$8:F9),COPIA!$DF$3:$DF$2300,0),COLUMN()-1),"")=0,"",IFERROR(INDEX((COPIA!$DA$3:$DE$2300),MATCH(ROWS(F$8:F9),COPIA!$DF$3:$DF$2300,0),COLUMN()-1),""))</f>
        <v/>
      </c>
      <c r="G9" s="16"/>
    </row>
    <row r="10" spans="1:13">
      <c r="A10" s="12"/>
      <c r="B10" s="119" t="str">
        <f ca="1">IF(IFERROR(INDEX((COPIA!$DA$3:$DE$2300),MATCH(ROWS(B$8:B10),COPIA!$DF$3:$DF$2300,0),COLUMN()-1),"")&gt;=1,IFERROR(INDEX((COPIA!$DA$3:$DE$2300),MATCH(ROWS(B$8:B10),COPIA!$DF$3:$DF$2300,0),COLUMN()-1),""),"")</f>
        <v/>
      </c>
      <c r="C10" s="118" t="str">
        <f ca="1">SUBSTITUTE(IFERROR(INDEX((COPIA!$DA$3:$DE$2300),MATCH(ROWS(C$8:C10),COPIA!$DF$3:$DF$2300,0),COLUMN()-1),""),"MASTRO","")</f>
        <v/>
      </c>
      <c r="D10" s="29" t="str">
        <f ca="1">IF(IFERROR(INDEX((COPIA!$DA$3:$DE$2300),MATCH(ROWS(D$8:D10),COPIA!$DF$3:$DF$2300,0),COLUMN()-1),"")=0,"",IFERROR(INDEX((COPIA!$DA$3:$DE$2300),MATCH(ROWS(D$8:D10),COPIA!$DF$3:$DF$2300,0),COLUMN()-1),""))</f>
        <v/>
      </c>
      <c r="E10" s="45" t="str">
        <f ca="1">IF(IFERROR(INDEX((COPIA!$DA$3:$DE$2300),MATCH(ROWS(E$8:E10),COPIA!$DF$3:$DF$2300,0),COLUMN()-1),"")=0,"",IFERROR(INDEX((COPIA!$DA$3:$DE$2300),MATCH(ROWS(E$8:E10),COPIA!$DF$3:$DF$2300,0),COLUMN()-1),""))</f>
        <v/>
      </c>
      <c r="F10" s="120" t="str">
        <f ca="1">IF(IFERROR(INDEX((COPIA!$DA$3:$DE$2300),MATCH(ROWS(F$8:F10),COPIA!$DF$3:$DF$2300,0),COLUMN()-1),"")=0,"",IFERROR(INDEX((COPIA!$DA$3:$DE$2300),MATCH(ROWS(F$8:F10),COPIA!$DF$3:$DF$2300,0),COLUMN()-1),""))</f>
        <v/>
      </c>
      <c r="G10" s="16"/>
    </row>
    <row r="11" spans="1:13">
      <c r="A11" s="12"/>
      <c r="B11" s="119" t="str">
        <f ca="1">IF(IFERROR(INDEX((COPIA!$DA$3:$DE$2300),MATCH(ROWS(B$8:B11),COPIA!$DF$3:$DF$2300,0),COLUMN()-1),"")&gt;=1,IFERROR(INDEX((COPIA!$DA$3:$DE$2300),MATCH(ROWS(B$8:B11),COPIA!$DF$3:$DF$2300,0),COLUMN()-1),""),"")</f>
        <v/>
      </c>
      <c r="C11" s="118" t="str">
        <f ca="1">SUBSTITUTE(IFERROR(INDEX((COPIA!$DA$3:$DE$2300),MATCH(ROWS(C$8:C11),COPIA!$DF$3:$DF$2300,0),COLUMN()-1),""),"MASTRO","")</f>
        <v/>
      </c>
      <c r="D11" s="29" t="str">
        <f ca="1">IF(IFERROR(INDEX((COPIA!$DA$3:$DE$2300),MATCH(ROWS(D$8:D11),COPIA!$DF$3:$DF$2300,0),COLUMN()-1),"")=0,"",IFERROR(INDEX((COPIA!$DA$3:$DE$2300),MATCH(ROWS(D$8:D11),COPIA!$DF$3:$DF$2300,0),COLUMN()-1),""))</f>
        <v/>
      </c>
      <c r="E11" s="45" t="str">
        <f ca="1">IF(IFERROR(INDEX((COPIA!$DA$3:$DE$2300),MATCH(ROWS(E$8:E11),COPIA!$DF$3:$DF$2300,0),COLUMN()-1),"")=0,"",IFERROR(INDEX((COPIA!$DA$3:$DE$2300),MATCH(ROWS(E$8:E11),COPIA!$DF$3:$DF$2300,0),COLUMN()-1),""))</f>
        <v/>
      </c>
      <c r="F11" s="120" t="str">
        <f ca="1">IF(IFERROR(INDEX((COPIA!$DA$3:$DE$2300),MATCH(ROWS(F$8:F11),COPIA!$DF$3:$DF$2300,0),COLUMN()-1),"")=0,"",IFERROR(INDEX((COPIA!$DA$3:$DE$2300),MATCH(ROWS(F$8:F11),COPIA!$DF$3:$DF$2300,0),COLUMN()-1),""))</f>
        <v/>
      </c>
      <c r="G11" s="16"/>
    </row>
    <row r="12" spans="1:13">
      <c r="A12" s="12"/>
      <c r="B12" s="119" t="str">
        <f ca="1">IF(IFERROR(INDEX((COPIA!$DA$3:$DE$2300),MATCH(ROWS(B$8:B12),COPIA!$DF$3:$DF$2300,0),COLUMN()-1),"")&gt;=1,IFERROR(INDEX((COPIA!$DA$3:$DE$2300),MATCH(ROWS(B$8:B12),COPIA!$DF$3:$DF$2300,0),COLUMN()-1),""),"")</f>
        <v/>
      </c>
      <c r="C12" s="118" t="str">
        <f ca="1">SUBSTITUTE(IFERROR(INDEX((COPIA!$DA$3:$DE$2300),MATCH(ROWS(C$8:C12),COPIA!$DF$3:$DF$2300,0),COLUMN()-1),""),"MASTRO","")</f>
        <v/>
      </c>
      <c r="D12" s="29" t="str">
        <f ca="1">IF(IFERROR(INDEX((COPIA!$DA$3:$DE$2300),MATCH(ROWS(D$8:D12),COPIA!$DF$3:$DF$2300,0),COLUMN()-1),"")=0,"",IFERROR(INDEX((COPIA!$DA$3:$DE$2300),MATCH(ROWS(D$8:D12),COPIA!$DF$3:$DF$2300,0),COLUMN()-1),""))</f>
        <v/>
      </c>
      <c r="E12" s="45" t="str">
        <f ca="1">IF(IFERROR(INDEX((COPIA!$DA$3:$DE$2300),MATCH(ROWS(E$8:E12),COPIA!$DF$3:$DF$2300,0),COLUMN()-1),"")=0,"",IFERROR(INDEX((COPIA!$DA$3:$DE$2300),MATCH(ROWS(E$8:E12),COPIA!$DF$3:$DF$2300,0),COLUMN()-1),""))</f>
        <v/>
      </c>
      <c r="F12" s="120" t="str">
        <f ca="1">IF(IFERROR(INDEX((COPIA!$DA$3:$DE$2300),MATCH(ROWS(F$8:F12),COPIA!$DF$3:$DF$2300,0),COLUMN()-1),"")=0,"",IFERROR(INDEX((COPIA!$DA$3:$DE$2300),MATCH(ROWS(F$8:F12),COPIA!$DF$3:$DF$2300,0),COLUMN()-1),""))</f>
        <v/>
      </c>
      <c r="G12" s="16"/>
    </row>
    <row r="13" spans="1:13">
      <c r="A13" s="12"/>
      <c r="B13" s="119" t="str">
        <f ca="1">IF(IFERROR(INDEX((COPIA!$DA$3:$DE$2300),MATCH(ROWS(B$8:B13),COPIA!$DF$3:$DF$2300,0),COLUMN()-1),"")&gt;=1,IFERROR(INDEX((COPIA!$DA$3:$DE$2300),MATCH(ROWS(B$8:B13),COPIA!$DF$3:$DF$2300,0),COLUMN()-1),""),"")</f>
        <v/>
      </c>
      <c r="C13" s="118" t="str">
        <f ca="1">SUBSTITUTE(IFERROR(INDEX((COPIA!$DA$3:$DE$2300),MATCH(ROWS(C$8:C13),COPIA!$DF$3:$DF$2300,0),COLUMN()-1),""),"MASTRO","")</f>
        <v/>
      </c>
      <c r="D13" s="29" t="str">
        <f ca="1">IF(IFERROR(INDEX((COPIA!$DA$3:$DE$2300),MATCH(ROWS(D$8:D13),COPIA!$DF$3:$DF$2300,0),COLUMN()-1),"")=0,"",IFERROR(INDEX((COPIA!$DA$3:$DE$2300),MATCH(ROWS(D$8:D13),COPIA!$DF$3:$DF$2300,0),COLUMN()-1),""))</f>
        <v/>
      </c>
      <c r="E13" s="45" t="str">
        <f ca="1">IF(IFERROR(INDEX((COPIA!$DA$3:$DE$2300),MATCH(ROWS(E$8:E13),COPIA!$DF$3:$DF$2300,0),COLUMN()-1),"")=0,"",IFERROR(INDEX((COPIA!$DA$3:$DE$2300),MATCH(ROWS(E$8:E13),COPIA!$DF$3:$DF$2300,0),COLUMN()-1),""))</f>
        <v/>
      </c>
      <c r="F13" s="120" t="str">
        <f ca="1">IF(IFERROR(INDEX((COPIA!$DA$3:$DE$2300),MATCH(ROWS(F$8:F13),COPIA!$DF$3:$DF$2300,0),COLUMN()-1),"")=0,"",IFERROR(INDEX((COPIA!$DA$3:$DE$2300),MATCH(ROWS(F$8:F13),COPIA!$DF$3:$DF$2300,0),COLUMN()-1),""))</f>
        <v/>
      </c>
      <c r="G13" s="16"/>
    </row>
    <row r="14" spans="1:13">
      <c r="A14" s="12"/>
      <c r="B14" s="119" t="str">
        <f ca="1">IF(IFERROR(INDEX((COPIA!$DA$3:$DE$2300),MATCH(ROWS(B$8:B14),COPIA!$DF$3:$DF$2300,0),COLUMN()-1),"")&gt;=1,IFERROR(INDEX((COPIA!$DA$3:$DE$2300),MATCH(ROWS(B$8:B14),COPIA!$DF$3:$DF$2300,0),COLUMN()-1),""),"")</f>
        <v/>
      </c>
      <c r="C14" s="118" t="str">
        <f ca="1">SUBSTITUTE(IFERROR(INDEX((COPIA!$DA$3:$DE$2300),MATCH(ROWS(C$8:C14),COPIA!$DF$3:$DF$2300,0),COLUMN()-1),""),"MASTRO","")</f>
        <v/>
      </c>
      <c r="D14" s="29" t="str">
        <f ca="1">IF(IFERROR(INDEX((COPIA!$DA$3:$DE$2300),MATCH(ROWS(D$8:D14),COPIA!$DF$3:$DF$2300,0),COLUMN()-1),"")=0,"",IFERROR(INDEX((COPIA!$DA$3:$DE$2300),MATCH(ROWS(D$8:D14),COPIA!$DF$3:$DF$2300,0),COLUMN()-1),""))</f>
        <v/>
      </c>
      <c r="E14" s="45" t="str">
        <f ca="1">IF(IFERROR(INDEX((COPIA!$DA$3:$DE$2300),MATCH(ROWS(E$8:E14),COPIA!$DF$3:$DF$2300,0),COLUMN()-1),"")=0,"",IFERROR(INDEX((COPIA!$DA$3:$DE$2300),MATCH(ROWS(E$8:E14),COPIA!$DF$3:$DF$2300,0),COLUMN()-1),""))</f>
        <v/>
      </c>
      <c r="F14" s="120" t="str">
        <f ca="1">IF(IFERROR(INDEX((COPIA!$DA$3:$DE$2300),MATCH(ROWS(F$8:F14),COPIA!$DF$3:$DF$2300,0),COLUMN()-1),"")=0,"",IFERROR(INDEX((COPIA!$DA$3:$DE$2300),MATCH(ROWS(F$8:F14),COPIA!$DF$3:$DF$2300,0),COLUMN()-1),""))</f>
        <v/>
      </c>
      <c r="G14" s="16"/>
    </row>
    <row r="15" spans="1:13">
      <c r="A15" s="12"/>
      <c r="B15" s="119" t="str">
        <f ca="1">IF(IFERROR(INDEX((COPIA!$DA$3:$DE$2300),MATCH(ROWS(B$8:B15),COPIA!$DF$3:$DF$2300,0),COLUMN()-1),"")&gt;=1,IFERROR(INDEX((COPIA!$DA$3:$DE$2300),MATCH(ROWS(B$8:B15),COPIA!$DF$3:$DF$2300,0),COLUMN()-1),""),"")</f>
        <v/>
      </c>
      <c r="C15" s="118" t="str">
        <f ca="1">SUBSTITUTE(IFERROR(INDEX((COPIA!$DA$3:$DE$2300),MATCH(ROWS(C$8:C15),COPIA!$DF$3:$DF$2300,0),COLUMN()-1),""),"MASTRO","")</f>
        <v/>
      </c>
      <c r="D15" s="29" t="str">
        <f ca="1">IF(IFERROR(INDEX((COPIA!$DA$3:$DE$2300),MATCH(ROWS(D$8:D15),COPIA!$DF$3:$DF$2300,0),COLUMN()-1),"")=0,"",IFERROR(INDEX((COPIA!$DA$3:$DE$2300),MATCH(ROWS(D$8:D15),COPIA!$DF$3:$DF$2300,0),COLUMN()-1),""))</f>
        <v/>
      </c>
      <c r="E15" s="45" t="str">
        <f ca="1">IF(IFERROR(INDEX((COPIA!$DA$3:$DE$2300),MATCH(ROWS(E$8:E15),COPIA!$DF$3:$DF$2300,0),COLUMN()-1),"")=0,"",IFERROR(INDEX((COPIA!$DA$3:$DE$2300),MATCH(ROWS(E$8:E15),COPIA!$DF$3:$DF$2300,0),COLUMN()-1),""))</f>
        <v/>
      </c>
      <c r="F15" s="120" t="str">
        <f ca="1">IF(IFERROR(INDEX((COPIA!$DA$3:$DE$2300),MATCH(ROWS(F$8:F15),COPIA!$DF$3:$DF$2300,0),COLUMN()-1),"")=0,"",IFERROR(INDEX((COPIA!$DA$3:$DE$2300),MATCH(ROWS(F$8:F15),COPIA!$DF$3:$DF$2300,0),COLUMN()-1),""))</f>
        <v/>
      </c>
      <c r="G15" s="16"/>
    </row>
    <row r="16" spans="1:13">
      <c r="A16" s="12"/>
      <c r="B16" s="119" t="str">
        <f ca="1">IF(IFERROR(INDEX((COPIA!$DA$3:$DE$2300),MATCH(ROWS(B$8:B16),COPIA!$DF$3:$DF$2300,0),COLUMN()-1),"")&gt;=1,IFERROR(INDEX((COPIA!$DA$3:$DE$2300),MATCH(ROWS(B$8:B16),COPIA!$DF$3:$DF$2300,0),COLUMN()-1),""),"")</f>
        <v/>
      </c>
      <c r="C16" s="118" t="str">
        <f ca="1">SUBSTITUTE(IFERROR(INDEX((COPIA!$DA$3:$DE$2300),MATCH(ROWS(C$8:C16),COPIA!$DF$3:$DF$2300,0),COLUMN()-1),""),"MASTRO","")</f>
        <v/>
      </c>
      <c r="D16" s="29" t="str">
        <f ca="1">IF(IFERROR(INDEX((COPIA!$DA$3:$DE$2300),MATCH(ROWS(D$8:D16),COPIA!$DF$3:$DF$2300,0),COLUMN()-1),"")=0,"",IFERROR(INDEX((COPIA!$DA$3:$DE$2300),MATCH(ROWS(D$8:D16),COPIA!$DF$3:$DF$2300,0),COLUMN()-1),""))</f>
        <v/>
      </c>
      <c r="E16" s="45" t="str">
        <f ca="1">IF(IFERROR(INDEX((COPIA!$DA$3:$DE$2300),MATCH(ROWS(E$8:E16),COPIA!$DF$3:$DF$2300,0),COLUMN()-1),"")=0,"",IFERROR(INDEX((COPIA!$DA$3:$DE$2300),MATCH(ROWS(E$8:E16),COPIA!$DF$3:$DF$2300,0),COLUMN()-1),""))</f>
        <v/>
      </c>
      <c r="F16" s="120" t="str">
        <f ca="1">IF(IFERROR(INDEX((COPIA!$DA$3:$DE$2300),MATCH(ROWS(F$8:F16),COPIA!$DF$3:$DF$2300,0),COLUMN()-1),"")=0,"",IFERROR(INDEX((COPIA!$DA$3:$DE$2300),MATCH(ROWS(F$8:F16),COPIA!$DF$3:$DF$2300,0),COLUMN()-1),""))</f>
        <v/>
      </c>
      <c r="G16" s="16"/>
    </row>
    <row r="17" spans="1:7">
      <c r="A17" s="12"/>
      <c r="B17" s="119" t="str">
        <f ca="1">IF(IFERROR(INDEX((COPIA!$DA$3:$DE$2300),MATCH(ROWS(B$8:B17),COPIA!$DF$3:$DF$2300,0),COLUMN()-1),"")&gt;=1,IFERROR(INDEX((COPIA!$DA$3:$DE$2300),MATCH(ROWS(B$8:B17),COPIA!$DF$3:$DF$2300,0),COLUMN()-1),""),"")</f>
        <v/>
      </c>
      <c r="C17" s="118" t="str">
        <f ca="1">SUBSTITUTE(IFERROR(INDEX((COPIA!$DA$3:$DE$2300),MATCH(ROWS(C$8:C17),COPIA!$DF$3:$DF$2300,0),COLUMN()-1),""),"MASTRO","")</f>
        <v/>
      </c>
      <c r="D17" s="29" t="str">
        <f ca="1">IF(IFERROR(INDEX((COPIA!$DA$3:$DE$2300),MATCH(ROWS(D$8:D17),COPIA!$DF$3:$DF$2300,0),COLUMN()-1),"")=0,"",IFERROR(INDEX((COPIA!$DA$3:$DE$2300),MATCH(ROWS(D$8:D17),COPIA!$DF$3:$DF$2300,0),COLUMN()-1),""))</f>
        <v/>
      </c>
      <c r="E17" s="45" t="str">
        <f ca="1">IF(IFERROR(INDEX((COPIA!$DA$3:$DE$2300),MATCH(ROWS(E$8:E17),COPIA!$DF$3:$DF$2300,0),COLUMN()-1),"")=0,"",IFERROR(INDEX((COPIA!$DA$3:$DE$2300),MATCH(ROWS(E$8:E17),COPIA!$DF$3:$DF$2300,0),COLUMN()-1),""))</f>
        <v/>
      </c>
      <c r="F17" s="120" t="str">
        <f ca="1">IF(IFERROR(INDEX((COPIA!$DA$3:$DE$2300),MATCH(ROWS(F$8:F17),COPIA!$DF$3:$DF$2300,0),COLUMN()-1),"")=0,"",IFERROR(INDEX((COPIA!$DA$3:$DE$2300),MATCH(ROWS(F$8:F17),COPIA!$DF$3:$DF$2300,0),COLUMN()-1),""))</f>
        <v/>
      </c>
      <c r="G17" s="16"/>
    </row>
    <row r="18" spans="1:7">
      <c r="A18" s="12"/>
      <c r="B18" s="119" t="str">
        <f ca="1">IF(IFERROR(INDEX((COPIA!$DA$3:$DE$2300),MATCH(ROWS(B$8:B18),COPIA!$DF$3:$DF$2300,0),COLUMN()-1),"")&gt;=1,IFERROR(INDEX((COPIA!$DA$3:$DE$2300),MATCH(ROWS(B$8:B18),COPIA!$DF$3:$DF$2300,0),COLUMN()-1),""),"")</f>
        <v/>
      </c>
      <c r="C18" s="118" t="str">
        <f ca="1">SUBSTITUTE(IFERROR(INDEX((COPIA!$DA$3:$DE$2300),MATCH(ROWS(C$8:C18),COPIA!$DF$3:$DF$2300,0),COLUMN()-1),""),"MASTRO","")</f>
        <v/>
      </c>
      <c r="D18" s="29" t="str">
        <f ca="1">IF(IFERROR(INDEX((COPIA!$DA$3:$DE$2300),MATCH(ROWS(D$8:D18),COPIA!$DF$3:$DF$2300,0),COLUMN()-1),"")=0,"",IFERROR(INDEX((COPIA!$DA$3:$DE$2300),MATCH(ROWS(D$8:D18),COPIA!$DF$3:$DF$2300,0),COLUMN()-1),""))</f>
        <v/>
      </c>
      <c r="E18" s="45" t="str">
        <f ca="1">IF(IFERROR(INDEX((COPIA!$DA$3:$DE$2300),MATCH(ROWS(E$8:E18),COPIA!$DF$3:$DF$2300,0),COLUMN()-1),"")=0,"",IFERROR(INDEX((COPIA!$DA$3:$DE$2300),MATCH(ROWS(E$8:E18),COPIA!$DF$3:$DF$2300,0),COLUMN()-1),""))</f>
        <v/>
      </c>
      <c r="F18" s="120" t="str">
        <f ca="1">IF(IFERROR(INDEX((COPIA!$DA$3:$DE$2300),MATCH(ROWS(F$8:F18),COPIA!$DF$3:$DF$2300,0),COLUMN()-1),"")=0,"",IFERROR(INDEX((COPIA!$DA$3:$DE$2300),MATCH(ROWS(F$8:F18),COPIA!$DF$3:$DF$2300,0),COLUMN()-1),""))</f>
        <v/>
      </c>
      <c r="G18" s="16"/>
    </row>
    <row r="19" spans="1:7">
      <c r="A19" s="12"/>
      <c r="B19" s="119" t="str">
        <f ca="1">IF(IFERROR(INDEX((COPIA!$DA$3:$DE$2300),MATCH(ROWS(B$8:B19),COPIA!$DF$3:$DF$2300,0),COLUMN()-1),"")&gt;=1,IFERROR(INDEX((COPIA!$DA$3:$DE$2300),MATCH(ROWS(B$8:B19),COPIA!$DF$3:$DF$2300,0),COLUMN()-1),""),"")</f>
        <v/>
      </c>
      <c r="C19" s="118" t="str">
        <f ca="1">SUBSTITUTE(IFERROR(INDEX((COPIA!$DA$3:$DE$2300),MATCH(ROWS(C$8:C19),COPIA!$DF$3:$DF$2300,0),COLUMN()-1),""),"MASTRO","")</f>
        <v/>
      </c>
      <c r="D19" s="29" t="str">
        <f ca="1">IF(IFERROR(INDEX((COPIA!$DA$3:$DE$2300),MATCH(ROWS(D$8:D19),COPIA!$DF$3:$DF$2300,0),COLUMN()-1),"")=0,"",IFERROR(INDEX((COPIA!$DA$3:$DE$2300),MATCH(ROWS(D$8:D19),COPIA!$DF$3:$DF$2300,0),COLUMN()-1),""))</f>
        <v/>
      </c>
      <c r="E19" s="45" t="str">
        <f ca="1">IF(IFERROR(INDEX((COPIA!$DA$3:$DE$2300),MATCH(ROWS(E$8:E19),COPIA!$DF$3:$DF$2300,0),COLUMN()-1),"")=0,"",IFERROR(INDEX((COPIA!$DA$3:$DE$2300),MATCH(ROWS(E$8:E19),COPIA!$DF$3:$DF$2300,0),COLUMN()-1),""))</f>
        <v/>
      </c>
      <c r="F19" s="120" t="str">
        <f ca="1">IF(IFERROR(INDEX((COPIA!$DA$3:$DE$2300),MATCH(ROWS(F$8:F19),COPIA!$DF$3:$DF$2300,0),COLUMN()-1),"")=0,"",IFERROR(INDEX((COPIA!$DA$3:$DE$2300),MATCH(ROWS(F$8:F19),COPIA!$DF$3:$DF$2300,0),COLUMN()-1),""))</f>
        <v/>
      </c>
      <c r="G19" s="16"/>
    </row>
    <row r="20" spans="1:7">
      <c r="A20" s="12"/>
      <c r="B20" s="119" t="str">
        <f ca="1">IF(IFERROR(INDEX((COPIA!$DA$3:$DE$2300),MATCH(ROWS(B$8:B20),COPIA!$DF$3:$DF$2300,0),COLUMN()-1),"")&gt;=1,IFERROR(INDEX((COPIA!$DA$3:$DE$2300),MATCH(ROWS(B$8:B20),COPIA!$DF$3:$DF$2300,0),COLUMN()-1),""),"")</f>
        <v/>
      </c>
      <c r="C20" s="118" t="str">
        <f ca="1">SUBSTITUTE(IFERROR(INDEX((COPIA!$DA$3:$DE$2300),MATCH(ROWS(C$8:C20),COPIA!$DF$3:$DF$2300,0),COLUMN()-1),""),"MASTRO","")</f>
        <v/>
      </c>
      <c r="D20" s="29" t="str">
        <f ca="1">IF(IFERROR(INDEX((COPIA!$DA$3:$DE$2300),MATCH(ROWS(D$8:D20),COPIA!$DF$3:$DF$2300,0),COLUMN()-1),"")=0,"",IFERROR(INDEX((COPIA!$DA$3:$DE$2300),MATCH(ROWS(D$8:D20),COPIA!$DF$3:$DF$2300,0),COLUMN()-1),""))</f>
        <v/>
      </c>
      <c r="E20" s="45" t="str">
        <f ca="1">IF(IFERROR(INDEX((COPIA!$DA$3:$DE$2300),MATCH(ROWS(E$8:E20),COPIA!$DF$3:$DF$2300,0),COLUMN()-1),"")=0,"",IFERROR(INDEX((COPIA!$DA$3:$DE$2300),MATCH(ROWS(E$8:E20),COPIA!$DF$3:$DF$2300,0),COLUMN()-1),""))</f>
        <v/>
      </c>
      <c r="F20" s="120" t="str">
        <f ca="1">IF(IFERROR(INDEX((COPIA!$DA$3:$DE$2300),MATCH(ROWS(F$8:F20),COPIA!$DF$3:$DF$2300,0),COLUMN()-1),"")=0,"",IFERROR(INDEX((COPIA!$DA$3:$DE$2300),MATCH(ROWS(F$8:F20),COPIA!$DF$3:$DF$2300,0),COLUMN()-1),""))</f>
        <v/>
      </c>
      <c r="G20" s="16"/>
    </row>
    <row r="21" spans="1:7">
      <c r="A21" s="12"/>
      <c r="B21" s="119" t="str">
        <f ca="1">IF(IFERROR(INDEX((COPIA!$DA$3:$DE$2300),MATCH(ROWS(B$8:B21),COPIA!$DF$3:$DF$2300,0),COLUMN()-1),"")&gt;=1,IFERROR(INDEX((COPIA!$DA$3:$DE$2300),MATCH(ROWS(B$8:B21),COPIA!$DF$3:$DF$2300,0),COLUMN()-1),""),"")</f>
        <v/>
      </c>
      <c r="C21" s="118" t="str">
        <f ca="1">SUBSTITUTE(IFERROR(INDEX((COPIA!$DA$3:$DE$2300),MATCH(ROWS(C$8:C21),COPIA!$DF$3:$DF$2300,0),COLUMN()-1),""),"MASTRO","")</f>
        <v/>
      </c>
      <c r="D21" s="29" t="str">
        <f ca="1">IF(IFERROR(INDEX((COPIA!$DA$3:$DE$2300),MATCH(ROWS(D$8:D21),COPIA!$DF$3:$DF$2300,0),COLUMN()-1),"")=0,"",IFERROR(INDEX((COPIA!$DA$3:$DE$2300),MATCH(ROWS(D$8:D21),COPIA!$DF$3:$DF$2300,0),COLUMN()-1),""))</f>
        <v/>
      </c>
      <c r="E21" s="45" t="str">
        <f ca="1">IF(IFERROR(INDEX((COPIA!$DA$3:$DE$2300),MATCH(ROWS(E$8:E21),COPIA!$DF$3:$DF$2300,0),COLUMN()-1),"")=0,"",IFERROR(INDEX((COPIA!$DA$3:$DE$2300),MATCH(ROWS(E$8:E21),COPIA!$DF$3:$DF$2300,0),COLUMN()-1),""))</f>
        <v/>
      </c>
      <c r="F21" s="120" t="str">
        <f ca="1">IF(IFERROR(INDEX((COPIA!$DA$3:$DE$2300),MATCH(ROWS(F$8:F21),COPIA!$DF$3:$DF$2300,0),COLUMN()-1),"")=0,"",IFERROR(INDEX((COPIA!$DA$3:$DE$2300),MATCH(ROWS(F$8:F21),COPIA!$DF$3:$DF$2300,0),COLUMN()-1),""))</f>
        <v/>
      </c>
      <c r="G21" s="16"/>
    </row>
    <row r="22" spans="1:7">
      <c r="A22" s="12"/>
      <c r="B22" s="119" t="str">
        <f ca="1">IF(IFERROR(INDEX((COPIA!$DA$3:$DE$2300),MATCH(ROWS(B$8:B22),COPIA!$DF$3:$DF$2300,0),COLUMN()-1),"")&gt;=1,IFERROR(INDEX((COPIA!$DA$3:$DE$2300),MATCH(ROWS(B$8:B22),COPIA!$DF$3:$DF$2300,0),COLUMN()-1),""),"")</f>
        <v/>
      </c>
      <c r="C22" s="118" t="str">
        <f ca="1">SUBSTITUTE(IFERROR(INDEX((COPIA!$DA$3:$DE$2300),MATCH(ROWS(C$8:C22),COPIA!$DF$3:$DF$2300,0),COLUMN()-1),""),"MASTRO","")</f>
        <v/>
      </c>
      <c r="D22" s="29" t="str">
        <f ca="1">IF(IFERROR(INDEX((COPIA!$DA$3:$DE$2300),MATCH(ROWS(D$8:D22),COPIA!$DF$3:$DF$2300,0),COLUMN()-1),"")=0,"",IFERROR(INDEX((COPIA!$DA$3:$DE$2300),MATCH(ROWS(D$8:D22),COPIA!$DF$3:$DF$2300,0),COLUMN()-1),""))</f>
        <v/>
      </c>
      <c r="E22" s="45" t="str">
        <f ca="1">IF(IFERROR(INDEX((COPIA!$DA$3:$DE$2300),MATCH(ROWS(E$8:E22),COPIA!$DF$3:$DF$2300,0),COLUMN()-1),"")=0,"",IFERROR(INDEX((COPIA!$DA$3:$DE$2300),MATCH(ROWS(E$8:E22),COPIA!$DF$3:$DF$2300,0),COLUMN()-1),""))</f>
        <v/>
      </c>
      <c r="F22" s="120" t="str">
        <f ca="1">IF(IFERROR(INDEX((COPIA!$DA$3:$DE$2300),MATCH(ROWS(F$8:F22),COPIA!$DF$3:$DF$2300,0),COLUMN()-1),"")=0,"",IFERROR(INDEX((COPIA!$DA$3:$DE$2300),MATCH(ROWS(F$8:F22),COPIA!$DF$3:$DF$2300,0),COLUMN()-1),""))</f>
        <v/>
      </c>
      <c r="G22" s="16"/>
    </row>
    <row r="23" spans="1:7">
      <c r="A23" s="12"/>
      <c r="B23" s="119" t="str">
        <f ca="1">IF(IFERROR(INDEX((COPIA!$DA$3:$DE$2300),MATCH(ROWS(B$8:B23),COPIA!$DF$3:$DF$2300,0),COLUMN()-1),"")&gt;=1,IFERROR(INDEX((COPIA!$DA$3:$DE$2300),MATCH(ROWS(B$8:B23),COPIA!$DF$3:$DF$2300,0),COLUMN()-1),""),"")</f>
        <v/>
      </c>
      <c r="C23" s="118" t="str">
        <f ca="1">SUBSTITUTE(IFERROR(INDEX((COPIA!$DA$3:$DE$2300),MATCH(ROWS(C$8:C23),COPIA!$DF$3:$DF$2300,0),COLUMN()-1),""),"MASTRO","")</f>
        <v/>
      </c>
      <c r="D23" s="29" t="str">
        <f ca="1">IF(IFERROR(INDEX((COPIA!$DA$3:$DE$2300),MATCH(ROWS(D$8:D23),COPIA!$DF$3:$DF$2300,0),COLUMN()-1),"")=0,"",IFERROR(INDEX((COPIA!$DA$3:$DE$2300),MATCH(ROWS(D$8:D23),COPIA!$DF$3:$DF$2300,0),COLUMN()-1),""))</f>
        <v/>
      </c>
      <c r="E23" s="45" t="str">
        <f ca="1">IF(IFERROR(INDEX((COPIA!$DA$3:$DE$2300),MATCH(ROWS(E$8:E23),COPIA!$DF$3:$DF$2300,0),COLUMN()-1),"")=0,"",IFERROR(INDEX((COPIA!$DA$3:$DE$2300),MATCH(ROWS(E$8:E23),COPIA!$DF$3:$DF$2300,0),COLUMN()-1),""))</f>
        <v/>
      </c>
      <c r="F23" s="120" t="str">
        <f ca="1">IF(IFERROR(INDEX((COPIA!$DA$3:$DE$2300),MATCH(ROWS(F$8:F23),COPIA!$DF$3:$DF$2300,0),COLUMN()-1),"")=0,"",IFERROR(INDEX((COPIA!$DA$3:$DE$2300),MATCH(ROWS(F$8:F23),COPIA!$DF$3:$DF$2300,0),COLUMN()-1),""))</f>
        <v/>
      </c>
      <c r="G23" s="16"/>
    </row>
    <row r="24" spans="1:7">
      <c r="A24" s="12"/>
      <c r="B24" s="119" t="str">
        <f ca="1">IF(IFERROR(INDEX((COPIA!$DA$3:$DE$2300),MATCH(ROWS(B$8:B24),COPIA!$DF$3:$DF$2300,0),COLUMN()-1),"")&gt;=1,IFERROR(INDEX((COPIA!$DA$3:$DE$2300),MATCH(ROWS(B$8:B24),COPIA!$DF$3:$DF$2300,0),COLUMN()-1),""),"")</f>
        <v/>
      </c>
      <c r="C24" s="118" t="str">
        <f ca="1">SUBSTITUTE(IFERROR(INDEX((COPIA!$DA$3:$DE$2300),MATCH(ROWS(C$8:C24),COPIA!$DF$3:$DF$2300,0),COLUMN()-1),""),"MASTRO","")</f>
        <v/>
      </c>
      <c r="D24" s="29" t="str">
        <f ca="1">IF(IFERROR(INDEX((COPIA!$DA$3:$DE$2300),MATCH(ROWS(D$8:D24),COPIA!$DF$3:$DF$2300,0),COLUMN()-1),"")=0,"",IFERROR(INDEX((COPIA!$DA$3:$DE$2300),MATCH(ROWS(D$8:D24),COPIA!$DF$3:$DF$2300,0),COLUMN()-1),""))</f>
        <v/>
      </c>
      <c r="E24" s="45" t="str">
        <f ca="1">IF(IFERROR(INDEX((COPIA!$DA$3:$DE$2300),MATCH(ROWS(E$8:E24),COPIA!$DF$3:$DF$2300,0),COLUMN()-1),"")=0,"",IFERROR(INDEX((COPIA!$DA$3:$DE$2300),MATCH(ROWS(E$8:E24),COPIA!$DF$3:$DF$2300,0),COLUMN()-1),""))</f>
        <v/>
      </c>
      <c r="F24" s="120" t="str">
        <f ca="1">IF(IFERROR(INDEX((COPIA!$DA$3:$DE$2300),MATCH(ROWS(F$8:F24),COPIA!$DF$3:$DF$2300,0),COLUMN()-1),"")=0,"",IFERROR(INDEX((COPIA!$DA$3:$DE$2300),MATCH(ROWS(F$8:F24),COPIA!$DF$3:$DF$2300,0),COLUMN()-1),""))</f>
        <v/>
      </c>
      <c r="G24" s="16"/>
    </row>
    <row r="25" spans="1:7">
      <c r="A25" s="12"/>
      <c r="B25" s="119" t="str">
        <f ca="1">IF(IFERROR(INDEX((COPIA!$DA$3:$DE$2300),MATCH(ROWS(B$8:B25),COPIA!$DF$3:$DF$2300,0),COLUMN()-1),"")&gt;=1,IFERROR(INDEX((COPIA!$DA$3:$DE$2300),MATCH(ROWS(B$8:B25),COPIA!$DF$3:$DF$2300,0),COLUMN()-1),""),"")</f>
        <v/>
      </c>
      <c r="C25" s="118" t="str">
        <f ca="1">SUBSTITUTE(IFERROR(INDEX((COPIA!$DA$3:$DE$2300),MATCH(ROWS(C$8:C25),COPIA!$DF$3:$DF$2300,0),COLUMN()-1),""),"MASTRO","")</f>
        <v/>
      </c>
      <c r="D25" s="29" t="str">
        <f ca="1">IF(IFERROR(INDEX((COPIA!$DA$3:$DE$2300),MATCH(ROWS(D$8:D25),COPIA!$DF$3:$DF$2300,0),COLUMN()-1),"")=0,"",IFERROR(INDEX((COPIA!$DA$3:$DE$2300),MATCH(ROWS(D$8:D25),COPIA!$DF$3:$DF$2300,0),COLUMN()-1),""))</f>
        <v/>
      </c>
      <c r="E25" s="45" t="str">
        <f ca="1">IF(IFERROR(INDEX((COPIA!$DA$3:$DE$2300),MATCH(ROWS(E$8:E25),COPIA!$DF$3:$DF$2300,0),COLUMN()-1),"")=0,"",IFERROR(INDEX((COPIA!$DA$3:$DE$2300),MATCH(ROWS(E$8:E25),COPIA!$DF$3:$DF$2300,0),COLUMN()-1),""))</f>
        <v/>
      </c>
      <c r="F25" s="120" t="str">
        <f ca="1">IF(IFERROR(INDEX((COPIA!$DA$3:$DE$2300),MATCH(ROWS(F$8:F25),COPIA!$DF$3:$DF$2300,0),COLUMN()-1),"")=0,"",IFERROR(INDEX((COPIA!$DA$3:$DE$2300),MATCH(ROWS(F$8:F25),COPIA!$DF$3:$DF$2300,0),COLUMN()-1),""))</f>
        <v/>
      </c>
      <c r="G25" s="16"/>
    </row>
    <row r="26" spans="1:7">
      <c r="A26" s="12"/>
      <c r="B26" s="119" t="str">
        <f ca="1">IF(IFERROR(INDEX((COPIA!$DA$3:$DE$2300),MATCH(ROWS(B$8:B26),COPIA!$DF$3:$DF$2300,0),COLUMN()-1),"")&gt;=1,IFERROR(INDEX((COPIA!$DA$3:$DE$2300),MATCH(ROWS(B$8:B26),COPIA!$DF$3:$DF$2300,0),COLUMN()-1),""),"")</f>
        <v/>
      </c>
      <c r="C26" s="118" t="str">
        <f ca="1">SUBSTITUTE(IFERROR(INDEX((COPIA!$DA$3:$DE$2300),MATCH(ROWS(C$8:C26),COPIA!$DF$3:$DF$2300,0),COLUMN()-1),""),"MASTRO","")</f>
        <v/>
      </c>
      <c r="D26" s="29" t="str">
        <f ca="1">IF(IFERROR(INDEX((COPIA!$DA$3:$DE$2300),MATCH(ROWS(D$8:D26),COPIA!$DF$3:$DF$2300,0),COLUMN()-1),"")=0,"",IFERROR(INDEX((COPIA!$DA$3:$DE$2300),MATCH(ROWS(D$8:D26),COPIA!$DF$3:$DF$2300,0),COLUMN()-1),""))</f>
        <v/>
      </c>
      <c r="E26" s="45" t="str">
        <f ca="1">IF(IFERROR(INDEX((COPIA!$DA$3:$DE$2300),MATCH(ROWS(E$8:E26),COPIA!$DF$3:$DF$2300,0),COLUMN()-1),"")=0,"",IFERROR(INDEX((COPIA!$DA$3:$DE$2300),MATCH(ROWS(E$8:E26),COPIA!$DF$3:$DF$2300,0),COLUMN()-1),""))</f>
        <v/>
      </c>
      <c r="F26" s="120" t="str">
        <f ca="1">IF(IFERROR(INDEX((COPIA!$DA$3:$DE$2300),MATCH(ROWS(F$8:F26),COPIA!$DF$3:$DF$2300,0),COLUMN()-1),"")=0,"",IFERROR(INDEX((COPIA!$DA$3:$DE$2300),MATCH(ROWS(F$8:F26),COPIA!$DF$3:$DF$2300,0),COLUMN()-1),""))</f>
        <v/>
      </c>
      <c r="G26" s="16"/>
    </row>
    <row r="27" spans="1:7">
      <c r="A27" s="12"/>
      <c r="B27" s="119" t="str">
        <f ca="1">IF(IFERROR(INDEX((COPIA!$DA$3:$DE$2300),MATCH(ROWS(B$8:B27),COPIA!$DF$3:$DF$2300,0),COLUMN()-1),"")&gt;=1,IFERROR(INDEX((COPIA!$DA$3:$DE$2300),MATCH(ROWS(B$8:B27),COPIA!$DF$3:$DF$2300,0),COLUMN()-1),""),"")</f>
        <v/>
      </c>
      <c r="C27" s="118" t="str">
        <f ca="1">SUBSTITUTE(IFERROR(INDEX((COPIA!$DA$3:$DE$2300),MATCH(ROWS(C$8:C27),COPIA!$DF$3:$DF$2300,0),COLUMN()-1),""),"MASTRO","")</f>
        <v/>
      </c>
      <c r="D27" s="29" t="str">
        <f ca="1">IF(IFERROR(INDEX((COPIA!$DA$3:$DE$2300),MATCH(ROWS(D$8:D27),COPIA!$DF$3:$DF$2300,0),COLUMN()-1),"")=0,"",IFERROR(INDEX((COPIA!$DA$3:$DE$2300),MATCH(ROWS(D$8:D27),COPIA!$DF$3:$DF$2300,0),COLUMN()-1),""))</f>
        <v/>
      </c>
      <c r="E27" s="45" t="str">
        <f ca="1">IF(IFERROR(INDEX((COPIA!$DA$3:$DE$2300),MATCH(ROWS(E$8:E27),COPIA!$DF$3:$DF$2300,0),COLUMN()-1),"")=0,"",IFERROR(INDEX((COPIA!$DA$3:$DE$2300),MATCH(ROWS(E$8:E27),COPIA!$DF$3:$DF$2300,0),COLUMN()-1),""))</f>
        <v/>
      </c>
      <c r="F27" s="120" t="str">
        <f ca="1">IF(IFERROR(INDEX((COPIA!$DA$3:$DE$2300),MATCH(ROWS(F$8:F27),COPIA!$DF$3:$DF$2300,0),COLUMN()-1),"")=0,"",IFERROR(INDEX((COPIA!$DA$3:$DE$2300),MATCH(ROWS(F$8:F27),COPIA!$DF$3:$DF$2300,0),COLUMN()-1),""))</f>
        <v/>
      </c>
      <c r="G27" s="16"/>
    </row>
    <row r="28" spans="1:7">
      <c r="A28" s="12"/>
      <c r="B28" s="119" t="str">
        <f ca="1">IF(IFERROR(INDEX((COPIA!$DA$3:$DE$2300),MATCH(ROWS(B$8:B28),COPIA!$DF$3:$DF$2300,0),COLUMN()-1),"")&gt;=1,IFERROR(INDEX((COPIA!$DA$3:$DE$2300),MATCH(ROWS(B$8:B28),COPIA!$DF$3:$DF$2300,0),COLUMN()-1),""),"")</f>
        <v/>
      </c>
      <c r="C28" s="118" t="str">
        <f ca="1">SUBSTITUTE(IFERROR(INDEX((COPIA!$DA$3:$DE$2300),MATCH(ROWS(C$8:C28),COPIA!$DF$3:$DF$2300,0),COLUMN()-1),""),"MASTRO","")</f>
        <v/>
      </c>
      <c r="D28" s="29" t="str">
        <f ca="1">IF(IFERROR(INDEX((COPIA!$DA$3:$DE$2300),MATCH(ROWS(D$8:D28),COPIA!$DF$3:$DF$2300,0),COLUMN()-1),"")=0,"",IFERROR(INDEX((COPIA!$DA$3:$DE$2300),MATCH(ROWS(D$8:D28),COPIA!$DF$3:$DF$2300,0),COLUMN()-1),""))</f>
        <v/>
      </c>
      <c r="E28" s="45" t="str">
        <f ca="1">IF(IFERROR(INDEX((COPIA!$DA$3:$DE$2300),MATCH(ROWS(E$8:E28),COPIA!$DF$3:$DF$2300,0),COLUMN()-1),"")=0,"",IFERROR(INDEX((COPIA!$DA$3:$DE$2300),MATCH(ROWS(E$8:E28),COPIA!$DF$3:$DF$2300,0),COLUMN()-1),""))</f>
        <v/>
      </c>
      <c r="F28" s="120" t="str">
        <f ca="1">IF(IFERROR(INDEX((COPIA!$DA$3:$DE$2300),MATCH(ROWS(F$8:F28),COPIA!$DF$3:$DF$2300,0),COLUMN()-1),"")=0,"",IFERROR(INDEX((COPIA!$DA$3:$DE$2300),MATCH(ROWS(F$8:F28),COPIA!$DF$3:$DF$2300,0),COLUMN()-1),""))</f>
        <v/>
      </c>
      <c r="G28" s="16"/>
    </row>
    <row r="29" spans="1:7">
      <c r="A29" s="12"/>
      <c r="B29" s="119" t="str">
        <f ca="1">IF(IFERROR(INDEX((COPIA!$DA$3:$DE$2300),MATCH(ROWS(B$8:B29),COPIA!$DF$3:$DF$2300,0),COLUMN()-1),"")&gt;=1,IFERROR(INDEX((COPIA!$DA$3:$DE$2300),MATCH(ROWS(B$8:B29),COPIA!$DF$3:$DF$2300,0),COLUMN()-1),""),"")</f>
        <v/>
      </c>
      <c r="C29" s="118" t="str">
        <f ca="1">SUBSTITUTE(IFERROR(INDEX((COPIA!$DA$3:$DE$2300),MATCH(ROWS(C$8:C29),COPIA!$DF$3:$DF$2300,0),COLUMN()-1),""),"MASTRO","")</f>
        <v/>
      </c>
      <c r="D29" s="29" t="str">
        <f ca="1">IF(IFERROR(INDEX((COPIA!$DA$3:$DE$2300),MATCH(ROWS(D$8:D29),COPIA!$DF$3:$DF$2300,0),COLUMN()-1),"")=0,"",IFERROR(INDEX((COPIA!$DA$3:$DE$2300),MATCH(ROWS(D$8:D29),COPIA!$DF$3:$DF$2300,0),COLUMN()-1),""))</f>
        <v/>
      </c>
      <c r="E29" s="45" t="str">
        <f ca="1">IF(IFERROR(INDEX((COPIA!$DA$3:$DE$2300),MATCH(ROWS(E$8:E29),COPIA!$DF$3:$DF$2300,0),COLUMN()-1),"")=0,"",IFERROR(INDEX((COPIA!$DA$3:$DE$2300),MATCH(ROWS(E$8:E29),COPIA!$DF$3:$DF$2300,0),COLUMN()-1),""))</f>
        <v/>
      </c>
      <c r="F29" s="120" t="str">
        <f ca="1">IF(IFERROR(INDEX((COPIA!$DA$3:$DE$2300),MATCH(ROWS(F$8:F29),COPIA!$DF$3:$DF$2300,0),COLUMN()-1),"")=0,"",IFERROR(INDEX((COPIA!$DA$3:$DE$2300),MATCH(ROWS(F$8:F29),COPIA!$DF$3:$DF$2300,0),COLUMN()-1),""))</f>
        <v/>
      </c>
      <c r="G29" s="16"/>
    </row>
    <row r="30" spans="1:7">
      <c r="A30" s="12"/>
      <c r="B30" s="119" t="str">
        <f ca="1">IF(IFERROR(INDEX((COPIA!$DA$3:$DE$2300),MATCH(ROWS(B$8:B30),COPIA!$DF$3:$DF$2300,0),COLUMN()-1),"")&gt;=1,IFERROR(INDEX((COPIA!$DA$3:$DE$2300),MATCH(ROWS(B$8:B30),COPIA!$DF$3:$DF$2300,0),COLUMN()-1),""),"")</f>
        <v/>
      </c>
      <c r="C30" s="118" t="str">
        <f ca="1">SUBSTITUTE(IFERROR(INDEX((COPIA!$DA$3:$DE$2300),MATCH(ROWS(C$8:C30),COPIA!$DF$3:$DF$2300,0),COLUMN()-1),""),"MASTRO","")</f>
        <v/>
      </c>
      <c r="D30" s="29" t="str">
        <f ca="1">IF(IFERROR(INDEX((COPIA!$DA$3:$DE$2300),MATCH(ROWS(D$8:D30),COPIA!$DF$3:$DF$2300,0),COLUMN()-1),"")=0,"",IFERROR(INDEX((COPIA!$DA$3:$DE$2300),MATCH(ROWS(D$8:D30),COPIA!$DF$3:$DF$2300,0),COLUMN()-1),""))</f>
        <v/>
      </c>
      <c r="E30" s="45" t="str">
        <f ca="1">IF(IFERROR(INDEX((COPIA!$DA$3:$DE$2300),MATCH(ROWS(E$8:E30),COPIA!$DF$3:$DF$2300,0),COLUMN()-1),"")=0,"",IFERROR(INDEX((COPIA!$DA$3:$DE$2300),MATCH(ROWS(E$8:E30),COPIA!$DF$3:$DF$2300,0),COLUMN()-1),""))</f>
        <v/>
      </c>
      <c r="F30" s="120" t="str">
        <f ca="1">IF(IFERROR(INDEX((COPIA!$DA$3:$DE$2300),MATCH(ROWS(F$8:F30),COPIA!$DF$3:$DF$2300,0),COLUMN()-1),"")=0,"",IFERROR(INDEX((COPIA!$DA$3:$DE$2300),MATCH(ROWS(F$8:F30),COPIA!$DF$3:$DF$2300,0),COLUMN()-1),""))</f>
        <v/>
      </c>
      <c r="G30" s="16"/>
    </row>
    <row r="31" spans="1:7">
      <c r="A31" s="12"/>
      <c r="B31" s="119" t="str">
        <f ca="1">IF(IFERROR(INDEX((COPIA!$DA$3:$DE$2300),MATCH(ROWS(B$8:B31),COPIA!$DF$3:$DF$2300,0),COLUMN()-1),"")&gt;=1,IFERROR(INDEX((COPIA!$DA$3:$DE$2300),MATCH(ROWS(B$8:B31),COPIA!$DF$3:$DF$2300,0),COLUMN()-1),""),"")</f>
        <v/>
      </c>
      <c r="C31" s="118" t="str">
        <f ca="1">SUBSTITUTE(IFERROR(INDEX((COPIA!$DA$3:$DE$2300),MATCH(ROWS(C$8:C31),COPIA!$DF$3:$DF$2300,0),COLUMN()-1),""),"MASTRO","")</f>
        <v/>
      </c>
      <c r="D31" s="29" t="str">
        <f ca="1">IF(IFERROR(INDEX((COPIA!$DA$3:$DE$2300),MATCH(ROWS(D$8:D31),COPIA!$DF$3:$DF$2300,0),COLUMN()-1),"")=0,"",IFERROR(INDEX((COPIA!$DA$3:$DE$2300),MATCH(ROWS(D$8:D31),COPIA!$DF$3:$DF$2300,0),COLUMN()-1),""))</f>
        <v/>
      </c>
      <c r="E31" s="45" t="str">
        <f ca="1">IF(IFERROR(INDEX((COPIA!$DA$3:$DE$2300),MATCH(ROWS(E$8:E31),COPIA!$DF$3:$DF$2300,0),COLUMN()-1),"")=0,"",IFERROR(INDEX((COPIA!$DA$3:$DE$2300),MATCH(ROWS(E$8:E31),COPIA!$DF$3:$DF$2300,0),COLUMN()-1),""))</f>
        <v/>
      </c>
      <c r="F31" s="120" t="str">
        <f ca="1">IF(IFERROR(INDEX((COPIA!$DA$3:$DE$2300),MATCH(ROWS(F$8:F31),COPIA!$DF$3:$DF$2300,0),COLUMN()-1),"")=0,"",IFERROR(INDEX((COPIA!$DA$3:$DE$2300),MATCH(ROWS(F$8:F31),COPIA!$DF$3:$DF$2300,0),COLUMN()-1),""))</f>
        <v/>
      </c>
      <c r="G31" s="16"/>
    </row>
    <row r="32" spans="1:7">
      <c r="A32" s="12"/>
      <c r="B32" s="119" t="str">
        <f ca="1">IF(IFERROR(INDEX((COPIA!$DA$3:$DE$2300),MATCH(ROWS(B$8:B32),COPIA!$DF$3:$DF$2300,0),COLUMN()-1),"")&gt;=1,IFERROR(INDEX((COPIA!$DA$3:$DE$2300),MATCH(ROWS(B$8:B32),COPIA!$DF$3:$DF$2300,0),COLUMN()-1),""),"")</f>
        <v/>
      </c>
      <c r="C32" s="118" t="str">
        <f ca="1">SUBSTITUTE(IFERROR(INDEX((COPIA!$DA$3:$DE$2300),MATCH(ROWS(C$8:C32),COPIA!$DF$3:$DF$2300,0),COLUMN()-1),""),"MASTRO","")</f>
        <v/>
      </c>
      <c r="D32" s="29" t="str">
        <f ca="1">IF(IFERROR(INDEX((COPIA!$DA$3:$DE$2300),MATCH(ROWS(D$8:D32),COPIA!$DF$3:$DF$2300,0),COLUMN()-1),"")=0,"",IFERROR(INDEX((COPIA!$DA$3:$DE$2300),MATCH(ROWS(D$8:D32),COPIA!$DF$3:$DF$2300,0),COLUMN()-1),""))</f>
        <v/>
      </c>
      <c r="E32" s="45" t="str">
        <f ca="1">IF(IFERROR(INDEX((COPIA!$DA$3:$DE$2300),MATCH(ROWS(E$8:E32),COPIA!$DF$3:$DF$2300,0),COLUMN()-1),"")=0,"",IFERROR(INDEX((COPIA!$DA$3:$DE$2300),MATCH(ROWS(E$8:E32),COPIA!$DF$3:$DF$2300,0),COLUMN()-1),""))</f>
        <v/>
      </c>
      <c r="F32" s="120" t="str">
        <f ca="1">IF(IFERROR(INDEX((COPIA!$DA$3:$DE$2300),MATCH(ROWS(F$8:F32),COPIA!$DF$3:$DF$2300,0),COLUMN()-1),"")=0,"",IFERROR(INDEX((COPIA!$DA$3:$DE$2300),MATCH(ROWS(F$8:F32),COPIA!$DF$3:$DF$2300,0),COLUMN()-1),""))</f>
        <v/>
      </c>
      <c r="G32" s="17"/>
    </row>
    <row r="33" spans="1:7">
      <c r="A33" s="12"/>
      <c r="B33" s="119" t="str">
        <f ca="1">IF(IFERROR(INDEX((COPIA!$DA$3:$DE$2300),MATCH(ROWS(B$8:B33),COPIA!$DF$3:$DF$2300,0),COLUMN()-1),"")&gt;=1,IFERROR(INDEX((COPIA!$DA$3:$DE$2300),MATCH(ROWS(B$8:B33),COPIA!$DF$3:$DF$2300,0),COLUMN()-1),""),"")</f>
        <v/>
      </c>
      <c r="C33" s="118" t="str">
        <f ca="1">SUBSTITUTE(IFERROR(INDEX((COPIA!$DA$3:$DE$2300),MATCH(ROWS(C$8:C33),COPIA!$DF$3:$DF$2300,0),COLUMN()-1),""),"MASTRO","")</f>
        <v/>
      </c>
      <c r="D33" s="29" t="str">
        <f ca="1">IF(IFERROR(INDEX((COPIA!$DA$3:$DE$2300),MATCH(ROWS(D$8:D33),COPIA!$DF$3:$DF$2300,0),COLUMN()-1),"")=0,"",IFERROR(INDEX((COPIA!$DA$3:$DE$2300),MATCH(ROWS(D$8:D33),COPIA!$DF$3:$DF$2300,0),COLUMN()-1),""))</f>
        <v/>
      </c>
      <c r="E33" s="45" t="str">
        <f ca="1">IF(IFERROR(INDEX((COPIA!$DA$3:$DE$2300),MATCH(ROWS(E$8:E33),COPIA!$DF$3:$DF$2300,0),COLUMN()-1),"")=0,"",IFERROR(INDEX((COPIA!$DA$3:$DE$2300),MATCH(ROWS(E$8:E33),COPIA!$DF$3:$DF$2300,0),COLUMN()-1),""))</f>
        <v/>
      </c>
      <c r="F33" s="120" t="str">
        <f ca="1">IF(IFERROR(INDEX((COPIA!$DA$3:$DE$2300),MATCH(ROWS(F$8:F33),COPIA!$DF$3:$DF$2300,0),COLUMN()-1),"")=0,"",IFERROR(INDEX((COPIA!$DA$3:$DE$2300),MATCH(ROWS(F$8:F33),COPIA!$DF$3:$DF$2300,0),COLUMN()-1),""))</f>
        <v/>
      </c>
      <c r="G33" s="16"/>
    </row>
    <row r="34" spans="1:7">
      <c r="A34" s="12"/>
      <c r="B34" s="119" t="str">
        <f ca="1">IF(IFERROR(INDEX((COPIA!$DA$3:$DE$2300),MATCH(ROWS(B$8:B34),COPIA!$DF$3:$DF$2300,0),COLUMN()-1),"")&gt;=1,IFERROR(INDEX((COPIA!$DA$3:$DE$2300),MATCH(ROWS(B$8:B34),COPIA!$DF$3:$DF$2300,0),COLUMN()-1),""),"")</f>
        <v/>
      </c>
      <c r="C34" s="118" t="str">
        <f ca="1">SUBSTITUTE(IFERROR(INDEX((COPIA!$DA$3:$DE$2300),MATCH(ROWS(C$8:C34),COPIA!$DF$3:$DF$2300,0),COLUMN()-1),""),"MASTRO","")</f>
        <v/>
      </c>
      <c r="D34" s="29" t="str">
        <f ca="1">IF(IFERROR(INDEX((COPIA!$DA$3:$DE$2300),MATCH(ROWS(D$8:D34),COPIA!$DF$3:$DF$2300,0),COLUMN()-1),"")=0,"",IFERROR(INDEX((COPIA!$DA$3:$DE$2300),MATCH(ROWS(D$8:D34),COPIA!$DF$3:$DF$2300,0),COLUMN()-1),""))</f>
        <v/>
      </c>
      <c r="E34" s="45" t="str">
        <f ca="1">IF(IFERROR(INDEX((COPIA!$DA$3:$DE$2300),MATCH(ROWS(E$8:E34),COPIA!$DF$3:$DF$2300,0),COLUMN()-1),"")=0,"",IFERROR(INDEX((COPIA!$DA$3:$DE$2300),MATCH(ROWS(E$8:E34),COPIA!$DF$3:$DF$2300,0),COLUMN()-1),""))</f>
        <v/>
      </c>
      <c r="F34" s="120" t="str">
        <f ca="1">IF(IFERROR(INDEX((COPIA!$DA$3:$DE$2300),MATCH(ROWS(F$8:F34),COPIA!$DF$3:$DF$2300,0),COLUMN()-1),"")=0,"",IFERROR(INDEX((COPIA!$DA$3:$DE$2300),MATCH(ROWS(F$8:F34),COPIA!$DF$3:$DF$2300,0),COLUMN()-1),""))</f>
        <v/>
      </c>
      <c r="G34" s="16"/>
    </row>
    <row r="35" spans="1:7">
      <c r="A35" s="12"/>
      <c r="B35" s="119" t="str">
        <f ca="1">IF(IFERROR(INDEX((COPIA!$DA$3:$DE$2300),MATCH(ROWS(B$8:B35),COPIA!$DF$3:$DF$2300,0),COLUMN()-1),"")&gt;=1,IFERROR(INDEX((COPIA!$DA$3:$DE$2300),MATCH(ROWS(B$8:B35),COPIA!$DF$3:$DF$2300,0),COLUMN()-1),""),"")</f>
        <v/>
      </c>
      <c r="C35" s="118" t="str">
        <f ca="1">SUBSTITUTE(IFERROR(INDEX((COPIA!$DA$3:$DE$2300),MATCH(ROWS(C$8:C35),COPIA!$DF$3:$DF$2300,0),COLUMN()-1),""),"MASTRO","")</f>
        <v/>
      </c>
      <c r="D35" s="29" t="str">
        <f ca="1">IF(IFERROR(INDEX((COPIA!$DA$3:$DE$2300),MATCH(ROWS(D$8:D35),COPIA!$DF$3:$DF$2300,0),COLUMN()-1),"")=0,"",IFERROR(INDEX((COPIA!$DA$3:$DE$2300),MATCH(ROWS(D$8:D35),COPIA!$DF$3:$DF$2300,0),COLUMN()-1),""))</f>
        <v/>
      </c>
      <c r="E35" s="45" t="str">
        <f ca="1">IF(IFERROR(INDEX((COPIA!$DA$3:$DE$2300),MATCH(ROWS(E$8:E35),COPIA!$DF$3:$DF$2300,0),COLUMN()-1),"")=0,"",IFERROR(INDEX((COPIA!$DA$3:$DE$2300),MATCH(ROWS(E$8:E35),COPIA!$DF$3:$DF$2300,0),COLUMN()-1),""))</f>
        <v/>
      </c>
      <c r="F35" s="120" t="str">
        <f ca="1">IF(IFERROR(INDEX((COPIA!$DA$3:$DE$2300),MATCH(ROWS(F$8:F35),COPIA!$DF$3:$DF$2300,0),COLUMN()-1),"")=0,"",IFERROR(INDEX((COPIA!$DA$3:$DE$2300),MATCH(ROWS(F$8:F35),COPIA!$DF$3:$DF$2300,0),COLUMN()-1),""))</f>
        <v/>
      </c>
      <c r="G35" s="16"/>
    </row>
    <row r="36" spans="1:7">
      <c r="A36" s="12"/>
      <c r="B36" s="119" t="str">
        <f ca="1">IF(IFERROR(INDEX((COPIA!$DA$3:$DE$2300),MATCH(ROWS(B$8:B36),COPIA!$DF$3:$DF$2300,0),COLUMN()-1),"")&gt;=1,IFERROR(INDEX((COPIA!$DA$3:$DE$2300),MATCH(ROWS(B$8:B36),COPIA!$DF$3:$DF$2300,0),COLUMN()-1),""),"")</f>
        <v/>
      </c>
      <c r="C36" s="118" t="str">
        <f ca="1">SUBSTITUTE(IFERROR(INDEX((COPIA!$DA$3:$DE$2300),MATCH(ROWS(C$8:C36),COPIA!$DF$3:$DF$2300,0),COLUMN()-1),""),"MASTRO","")</f>
        <v/>
      </c>
      <c r="D36" s="29" t="str">
        <f ca="1">IF(IFERROR(INDEX((COPIA!$DA$3:$DE$2300),MATCH(ROWS(D$8:D36),COPIA!$DF$3:$DF$2300,0),COLUMN()-1),"")=0,"",IFERROR(INDEX((COPIA!$DA$3:$DE$2300),MATCH(ROWS(D$8:D36),COPIA!$DF$3:$DF$2300,0),COLUMN()-1),""))</f>
        <v/>
      </c>
      <c r="E36" s="45" t="str">
        <f ca="1">IF(IFERROR(INDEX((COPIA!$DA$3:$DE$2300),MATCH(ROWS(E$8:E36),COPIA!$DF$3:$DF$2300,0),COLUMN()-1),"")=0,"",IFERROR(INDEX((COPIA!$DA$3:$DE$2300),MATCH(ROWS(E$8:E36),COPIA!$DF$3:$DF$2300,0),COLUMN()-1),""))</f>
        <v/>
      </c>
      <c r="F36" s="120" t="str">
        <f ca="1">IF(IFERROR(INDEX((COPIA!$DA$3:$DE$2300),MATCH(ROWS(F$8:F36),COPIA!$DF$3:$DF$2300,0),COLUMN()-1),"")=0,"",IFERROR(INDEX((COPIA!$DA$3:$DE$2300),MATCH(ROWS(F$8:F36),COPIA!$DF$3:$DF$2300,0),COLUMN()-1),""))</f>
        <v/>
      </c>
      <c r="G36" s="16"/>
    </row>
    <row r="37" spans="1:7">
      <c r="A37" s="12"/>
      <c r="B37" s="119" t="str">
        <f ca="1">IF(IFERROR(INDEX((COPIA!$DA$3:$DE$2300),MATCH(ROWS(B$8:B37),COPIA!$DF$3:$DF$2300,0),COLUMN()-1),"")&gt;=1,IFERROR(INDEX((COPIA!$DA$3:$DE$2300),MATCH(ROWS(B$8:B37),COPIA!$DF$3:$DF$2300,0),COLUMN()-1),""),"")</f>
        <v/>
      </c>
      <c r="C37" s="118" t="str">
        <f ca="1">SUBSTITUTE(IFERROR(INDEX((COPIA!$DA$3:$DE$2300),MATCH(ROWS(C$8:C37),COPIA!$DF$3:$DF$2300,0),COLUMN()-1),""),"MASTRO","")</f>
        <v/>
      </c>
      <c r="D37" s="29" t="str">
        <f ca="1">IF(IFERROR(INDEX((COPIA!$DA$3:$DE$2300),MATCH(ROWS(D$8:D37),COPIA!$DF$3:$DF$2300,0),COLUMN()-1),"")=0,"",IFERROR(INDEX((COPIA!$DA$3:$DE$2300),MATCH(ROWS(D$8:D37),COPIA!$DF$3:$DF$2300,0),COLUMN()-1),""))</f>
        <v/>
      </c>
      <c r="E37" s="45" t="str">
        <f ca="1">IF(IFERROR(INDEX((COPIA!$DA$3:$DE$2300),MATCH(ROWS(E$8:E37),COPIA!$DF$3:$DF$2300,0),COLUMN()-1),"")=0,"",IFERROR(INDEX((COPIA!$DA$3:$DE$2300),MATCH(ROWS(E$8:E37),COPIA!$DF$3:$DF$2300,0),COLUMN()-1),""))</f>
        <v/>
      </c>
      <c r="F37" s="120" t="str">
        <f ca="1">IF(IFERROR(INDEX((COPIA!$DA$3:$DE$2300),MATCH(ROWS(F$8:F37),COPIA!$DF$3:$DF$2300,0),COLUMN()-1),"")=0,"",IFERROR(INDEX((COPIA!$DA$3:$DE$2300),MATCH(ROWS(F$8:F37),COPIA!$DF$3:$DF$2300,0),COLUMN()-1),""))</f>
        <v/>
      </c>
      <c r="G37" s="16"/>
    </row>
    <row r="38" spans="1:7">
      <c r="A38" s="12"/>
      <c r="B38" s="119" t="str">
        <f ca="1">IF(IFERROR(INDEX((COPIA!$DA$3:$DE$2300),MATCH(ROWS(B$8:B38),COPIA!$DF$3:$DF$2300,0),COLUMN()-1),"")&gt;=1,IFERROR(INDEX((COPIA!$DA$3:$DE$2300),MATCH(ROWS(B$8:B38),COPIA!$DF$3:$DF$2300,0),COLUMN()-1),""),"")</f>
        <v/>
      </c>
      <c r="C38" s="118" t="str">
        <f ca="1">SUBSTITUTE(IFERROR(INDEX((COPIA!$DA$3:$DE$2300),MATCH(ROWS(C$8:C38),COPIA!$DF$3:$DF$2300,0),COLUMN()-1),""),"MASTRO","")</f>
        <v/>
      </c>
      <c r="D38" s="29" t="str">
        <f ca="1">IF(IFERROR(INDEX((COPIA!$DA$3:$DE$2300),MATCH(ROWS(D$8:D38),COPIA!$DF$3:$DF$2300,0),COLUMN()-1),"")=0,"",IFERROR(INDEX((COPIA!$DA$3:$DE$2300),MATCH(ROWS(D$8:D38),COPIA!$DF$3:$DF$2300,0),COLUMN()-1),""))</f>
        <v/>
      </c>
      <c r="E38" s="45" t="str">
        <f ca="1">IF(IFERROR(INDEX((COPIA!$DA$3:$DE$2300),MATCH(ROWS(E$8:E38),COPIA!$DF$3:$DF$2300,0),COLUMN()-1),"")=0,"",IFERROR(INDEX((COPIA!$DA$3:$DE$2300),MATCH(ROWS(E$8:E38),COPIA!$DF$3:$DF$2300,0),COLUMN()-1),""))</f>
        <v/>
      </c>
      <c r="F38" s="120" t="str">
        <f ca="1">IF(IFERROR(INDEX((COPIA!$DA$3:$DE$2300),MATCH(ROWS(F$8:F38),COPIA!$DF$3:$DF$2300,0),COLUMN()-1),"")=0,"",IFERROR(INDEX((COPIA!$DA$3:$DE$2300),MATCH(ROWS(F$8:F38),COPIA!$DF$3:$DF$2300,0),COLUMN()-1),""))</f>
        <v/>
      </c>
      <c r="G38" s="16"/>
    </row>
    <row r="39" spans="1:7">
      <c r="A39" s="12"/>
      <c r="B39" s="119" t="str">
        <f ca="1">IF(IFERROR(INDEX((COPIA!$DA$3:$DE$2300),MATCH(ROWS(B$8:B39),COPIA!$DF$3:$DF$2300,0),COLUMN()-1),"")&gt;=1,IFERROR(INDEX((COPIA!$DA$3:$DE$2300),MATCH(ROWS(B$8:B39),COPIA!$DF$3:$DF$2300,0),COLUMN()-1),""),"")</f>
        <v/>
      </c>
      <c r="C39" s="118" t="str">
        <f ca="1">SUBSTITUTE(IFERROR(INDEX((COPIA!$DA$3:$DE$2300),MATCH(ROWS(C$8:C39),COPIA!$DF$3:$DF$2300,0),COLUMN()-1),""),"MASTRO","")</f>
        <v/>
      </c>
      <c r="D39" s="29" t="str">
        <f ca="1">IF(IFERROR(INDEX((COPIA!$DA$3:$DE$2300),MATCH(ROWS(D$8:D39),COPIA!$DF$3:$DF$2300,0),COLUMN()-1),"")=0,"",IFERROR(INDEX((COPIA!$DA$3:$DE$2300),MATCH(ROWS(D$8:D39),COPIA!$DF$3:$DF$2300,0),COLUMN()-1),""))</f>
        <v/>
      </c>
      <c r="E39" s="45" t="str">
        <f ca="1">IF(IFERROR(INDEX((COPIA!$DA$3:$DE$2300),MATCH(ROWS(E$8:E39),COPIA!$DF$3:$DF$2300,0),COLUMN()-1),"")=0,"",IFERROR(INDEX((COPIA!$DA$3:$DE$2300),MATCH(ROWS(E$8:E39),COPIA!$DF$3:$DF$2300,0),COLUMN()-1),""))</f>
        <v/>
      </c>
      <c r="F39" s="120" t="str">
        <f ca="1">IF(IFERROR(INDEX((COPIA!$DA$3:$DE$2300),MATCH(ROWS(F$8:F39),COPIA!$DF$3:$DF$2300,0),COLUMN()-1),"")=0,"",IFERROR(INDEX((COPIA!$DA$3:$DE$2300),MATCH(ROWS(F$8:F39),COPIA!$DF$3:$DF$2300,0),COLUMN()-1),""))</f>
        <v/>
      </c>
      <c r="G39" s="16"/>
    </row>
    <row r="40" spans="1:7">
      <c r="A40" s="12"/>
      <c r="B40" s="119" t="str">
        <f ca="1">IF(IFERROR(INDEX((COPIA!$DA$3:$DE$2300),MATCH(ROWS(B$8:B40),COPIA!$DF$3:$DF$2300,0),COLUMN()-1),"")&gt;=1,IFERROR(INDEX((COPIA!$DA$3:$DE$2300),MATCH(ROWS(B$8:B40),COPIA!$DF$3:$DF$2300,0),COLUMN()-1),""),"")</f>
        <v/>
      </c>
      <c r="C40" s="118" t="str">
        <f ca="1">SUBSTITUTE(IFERROR(INDEX((COPIA!$DA$3:$DE$2300),MATCH(ROWS(C$8:C40),COPIA!$DF$3:$DF$2300,0),COLUMN()-1),""),"MASTRO","")</f>
        <v/>
      </c>
      <c r="D40" s="29" t="str">
        <f ca="1">IF(IFERROR(INDEX((COPIA!$DA$3:$DE$2300),MATCH(ROWS(D$8:D40),COPIA!$DF$3:$DF$2300,0),COLUMN()-1),"")=0,"",IFERROR(INDEX((COPIA!$DA$3:$DE$2300),MATCH(ROWS(D$8:D40),COPIA!$DF$3:$DF$2300,0),COLUMN()-1),""))</f>
        <v/>
      </c>
      <c r="E40" s="45" t="str">
        <f ca="1">IF(IFERROR(INDEX((COPIA!$DA$3:$DE$2300),MATCH(ROWS(E$8:E40),COPIA!$DF$3:$DF$2300,0),COLUMN()-1),"")=0,"",IFERROR(INDEX((COPIA!$DA$3:$DE$2300),MATCH(ROWS(E$8:E40),COPIA!$DF$3:$DF$2300,0),COLUMN()-1),""))</f>
        <v/>
      </c>
      <c r="F40" s="120" t="str">
        <f ca="1">IF(IFERROR(INDEX((COPIA!$DA$3:$DE$2300),MATCH(ROWS(F$8:F40),COPIA!$DF$3:$DF$2300,0),COLUMN()-1),"")=0,"",IFERROR(INDEX((COPIA!$DA$3:$DE$2300),MATCH(ROWS(F$8:F40),COPIA!$DF$3:$DF$2300,0),COLUMN()-1),""))</f>
        <v/>
      </c>
      <c r="G40" s="16"/>
    </row>
    <row r="41" spans="1:7">
      <c r="A41" s="12"/>
      <c r="B41" s="119" t="str">
        <f ca="1">IF(IFERROR(INDEX((COPIA!$DA$3:$DE$2300),MATCH(ROWS(B$8:B41),COPIA!$DF$3:$DF$2300,0),COLUMN()-1),"")&gt;=1,IFERROR(INDEX((COPIA!$DA$3:$DE$2300),MATCH(ROWS(B$8:B41),COPIA!$DF$3:$DF$2300,0),COLUMN()-1),""),"")</f>
        <v/>
      </c>
      <c r="C41" s="118" t="str">
        <f ca="1">SUBSTITUTE(IFERROR(INDEX((COPIA!$DA$3:$DE$2300),MATCH(ROWS(C$8:C41),COPIA!$DF$3:$DF$2300,0),COLUMN()-1),""),"MASTRO","")</f>
        <v/>
      </c>
      <c r="D41" s="29" t="str">
        <f ca="1">IF(IFERROR(INDEX((COPIA!$DA$3:$DE$2300),MATCH(ROWS(D$8:D41),COPIA!$DF$3:$DF$2300,0),COLUMN()-1),"")=0,"",IFERROR(INDEX((COPIA!$DA$3:$DE$2300),MATCH(ROWS(D$8:D41),COPIA!$DF$3:$DF$2300,0),COLUMN()-1),""))</f>
        <v/>
      </c>
      <c r="E41" s="45" t="str">
        <f ca="1">IF(IFERROR(INDEX((COPIA!$DA$3:$DE$2300),MATCH(ROWS(E$8:E41),COPIA!$DF$3:$DF$2300,0),COLUMN()-1),"")=0,"",IFERROR(INDEX((COPIA!$DA$3:$DE$2300),MATCH(ROWS(E$8:E41),COPIA!$DF$3:$DF$2300,0),COLUMN()-1),""))</f>
        <v/>
      </c>
      <c r="F41" s="120" t="str">
        <f ca="1">IF(IFERROR(INDEX((COPIA!$DA$3:$DE$2300),MATCH(ROWS(F$8:F41),COPIA!$DF$3:$DF$2300,0),COLUMN()-1),"")=0,"",IFERROR(INDEX((COPIA!$DA$3:$DE$2300),MATCH(ROWS(F$8:F41),COPIA!$DF$3:$DF$2300,0),COLUMN()-1),""))</f>
        <v/>
      </c>
      <c r="G41" s="16"/>
    </row>
    <row r="42" spans="1:7">
      <c r="A42" s="12"/>
      <c r="B42" s="119" t="str">
        <f ca="1">IF(IFERROR(INDEX((COPIA!$DA$3:$DE$2300),MATCH(ROWS(B$8:B42),COPIA!$DF$3:$DF$2300,0),COLUMN()-1),"")&gt;=1,IFERROR(INDEX((COPIA!$DA$3:$DE$2300),MATCH(ROWS(B$8:B42),COPIA!$DF$3:$DF$2300,0),COLUMN()-1),""),"")</f>
        <v/>
      </c>
      <c r="C42" s="118" t="str">
        <f ca="1">SUBSTITUTE(IFERROR(INDEX((COPIA!$DA$3:$DE$2300),MATCH(ROWS(C$8:C42),COPIA!$DF$3:$DF$2300,0),COLUMN()-1),""),"MASTRO","")</f>
        <v/>
      </c>
      <c r="D42" s="29" t="str">
        <f ca="1">IF(IFERROR(INDEX((COPIA!$DA$3:$DE$2300),MATCH(ROWS(D$8:D42),COPIA!$DF$3:$DF$2300,0),COLUMN()-1),"")=0,"",IFERROR(INDEX((COPIA!$DA$3:$DE$2300),MATCH(ROWS(D$8:D42),COPIA!$DF$3:$DF$2300,0),COLUMN()-1),""))</f>
        <v/>
      </c>
      <c r="E42" s="45" t="str">
        <f ca="1">IF(IFERROR(INDEX((COPIA!$DA$3:$DE$2300),MATCH(ROWS(E$8:E42),COPIA!$DF$3:$DF$2300,0),COLUMN()-1),"")=0,"",IFERROR(INDEX((COPIA!$DA$3:$DE$2300),MATCH(ROWS(E$8:E42),COPIA!$DF$3:$DF$2300,0),COLUMN()-1),""))</f>
        <v/>
      </c>
      <c r="F42" s="120" t="str">
        <f ca="1">IF(IFERROR(INDEX((COPIA!$DA$3:$DE$2300),MATCH(ROWS(F$8:F42),COPIA!$DF$3:$DF$2300,0),COLUMN()-1),"")=0,"",IFERROR(INDEX((COPIA!$DA$3:$DE$2300),MATCH(ROWS(F$8:F42),COPIA!$DF$3:$DF$2300,0),COLUMN()-1),""))</f>
        <v/>
      </c>
      <c r="G42" s="16"/>
    </row>
    <row r="43" spans="1:7">
      <c r="A43" s="12"/>
      <c r="B43" s="119" t="str">
        <f ca="1">IF(IFERROR(INDEX((COPIA!$DA$3:$DE$2300),MATCH(ROWS(B$8:B43),COPIA!$DF$3:$DF$2300,0),COLUMN()-1),"")&gt;=1,IFERROR(INDEX((COPIA!$DA$3:$DE$2300),MATCH(ROWS(B$8:B43),COPIA!$DF$3:$DF$2300,0),COLUMN()-1),""),"")</f>
        <v/>
      </c>
      <c r="C43" s="118" t="str">
        <f ca="1">SUBSTITUTE(IFERROR(INDEX((COPIA!$DA$3:$DE$2300),MATCH(ROWS(C$8:C43),COPIA!$DF$3:$DF$2300,0),COLUMN()-1),""),"MASTRO","")</f>
        <v/>
      </c>
      <c r="D43" s="29" t="str">
        <f ca="1">IF(IFERROR(INDEX((COPIA!$DA$3:$DE$2300),MATCH(ROWS(D$8:D43),COPIA!$DF$3:$DF$2300,0),COLUMN()-1),"")=0,"",IFERROR(INDEX((COPIA!$DA$3:$DE$2300),MATCH(ROWS(D$8:D43),COPIA!$DF$3:$DF$2300,0),COLUMN()-1),""))</f>
        <v/>
      </c>
      <c r="E43" s="45" t="str">
        <f ca="1">IF(IFERROR(INDEX((COPIA!$DA$3:$DE$2300),MATCH(ROWS(E$8:E43),COPIA!$DF$3:$DF$2300,0),COLUMN()-1),"")=0,"",IFERROR(INDEX((COPIA!$DA$3:$DE$2300),MATCH(ROWS(E$8:E43),COPIA!$DF$3:$DF$2300,0),COLUMN()-1),""))</f>
        <v/>
      </c>
      <c r="F43" s="120" t="str">
        <f ca="1">IF(IFERROR(INDEX((COPIA!$DA$3:$DE$2300),MATCH(ROWS(F$8:F43),COPIA!$DF$3:$DF$2300,0),COLUMN()-1),"")=0,"",IFERROR(INDEX((COPIA!$DA$3:$DE$2300),MATCH(ROWS(F$8:F43),COPIA!$DF$3:$DF$2300,0),COLUMN()-1),""))</f>
        <v/>
      </c>
      <c r="G43" s="16"/>
    </row>
    <row r="44" spans="1:7">
      <c r="A44" s="12"/>
      <c r="B44" s="119" t="str">
        <f ca="1">IF(IFERROR(INDEX((COPIA!$DA$3:$DE$2300),MATCH(ROWS(B$8:B44),COPIA!$DF$3:$DF$2300,0),COLUMN()-1),"")&gt;=1,IFERROR(INDEX((COPIA!$DA$3:$DE$2300),MATCH(ROWS(B$8:B44),COPIA!$DF$3:$DF$2300,0),COLUMN()-1),""),"")</f>
        <v/>
      </c>
      <c r="C44" s="118" t="str">
        <f ca="1">SUBSTITUTE(IFERROR(INDEX((COPIA!$DA$3:$DE$2300),MATCH(ROWS(C$8:C44),COPIA!$DF$3:$DF$2300,0),COLUMN()-1),""),"MASTRO","")</f>
        <v/>
      </c>
      <c r="D44" s="29" t="str">
        <f ca="1">IF(IFERROR(INDEX((COPIA!$DA$3:$DE$2300),MATCH(ROWS(D$8:D44),COPIA!$DF$3:$DF$2300,0),COLUMN()-1),"")=0,"",IFERROR(INDEX((COPIA!$DA$3:$DE$2300),MATCH(ROWS(D$8:D44),COPIA!$DF$3:$DF$2300,0),COLUMN()-1),""))</f>
        <v/>
      </c>
      <c r="E44" s="45" t="str">
        <f ca="1">IF(IFERROR(INDEX((COPIA!$DA$3:$DE$2300),MATCH(ROWS(E$8:E44),COPIA!$DF$3:$DF$2300,0),COLUMN()-1),"")=0,"",IFERROR(INDEX((COPIA!$DA$3:$DE$2300),MATCH(ROWS(E$8:E44),COPIA!$DF$3:$DF$2300,0),COLUMN()-1),""))</f>
        <v/>
      </c>
      <c r="F44" s="120" t="str">
        <f ca="1">IF(IFERROR(INDEX((COPIA!$DA$3:$DE$2300),MATCH(ROWS(F$8:F44),COPIA!$DF$3:$DF$2300,0),COLUMN()-1),"")=0,"",IFERROR(INDEX((COPIA!$DA$3:$DE$2300),MATCH(ROWS(F$8:F44),COPIA!$DF$3:$DF$2300,0),COLUMN()-1),""))</f>
        <v/>
      </c>
      <c r="G44" s="16"/>
    </row>
    <row r="45" spans="1:7">
      <c r="A45" s="12"/>
      <c r="B45" s="119" t="str">
        <f ca="1">IF(IFERROR(INDEX((COPIA!$DA$3:$DE$2300),MATCH(ROWS(B$8:B45),COPIA!$DF$3:$DF$2300,0),COLUMN()-1),"")&gt;=1,IFERROR(INDEX((COPIA!$DA$3:$DE$2300),MATCH(ROWS(B$8:B45),COPIA!$DF$3:$DF$2300,0),COLUMN()-1),""),"")</f>
        <v/>
      </c>
      <c r="C45" s="118" t="str">
        <f ca="1">SUBSTITUTE(IFERROR(INDEX((COPIA!$DA$3:$DE$2300),MATCH(ROWS(C$8:C45),COPIA!$DF$3:$DF$2300,0),COLUMN()-1),""),"MASTRO","")</f>
        <v/>
      </c>
      <c r="D45" s="29" t="str">
        <f ca="1">IF(IFERROR(INDEX((COPIA!$DA$3:$DE$2300),MATCH(ROWS(D$8:D45),COPIA!$DF$3:$DF$2300,0),COLUMN()-1),"")=0,"",IFERROR(INDEX((COPIA!$DA$3:$DE$2300),MATCH(ROWS(D$8:D45),COPIA!$DF$3:$DF$2300,0),COLUMN()-1),""))</f>
        <v/>
      </c>
      <c r="E45" s="45" t="str">
        <f ca="1">IF(IFERROR(INDEX((COPIA!$DA$3:$DE$2300),MATCH(ROWS(E$8:E45),COPIA!$DF$3:$DF$2300,0),COLUMN()-1),"")=0,"",IFERROR(INDEX((COPIA!$DA$3:$DE$2300),MATCH(ROWS(E$8:E45),COPIA!$DF$3:$DF$2300,0),COLUMN()-1),""))</f>
        <v/>
      </c>
      <c r="F45" s="120" t="str">
        <f ca="1">IF(IFERROR(INDEX((COPIA!$DA$3:$DE$2300),MATCH(ROWS(F$8:F45),COPIA!$DF$3:$DF$2300,0),COLUMN()-1),"")=0,"",IFERROR(INDEX((COPIA!$DA$3:$DE$2300),MATCH(ROWS(F$8:F45),COPIA!$DF$3:$DF$2300,0),COLUMN()-1),""))</f>
        <v/>
      </c>
      <c r="G45" s="16"/>
    </row>
    <row r="46" spans="1:7">
      <c r="A46" s="12"/>
      <c r="B46" s="119" t="str">
        <f ca="1">IF(IFERROR(INDEX((COPIA!$DA$3:$DE$2300),MATCH(ROWS(B$8:B46),COPIA!$DF$3:$DF$2300,0),COLUMN()-1),"")&gt;=1,IFERROR(INDEX((COPIA!$DA$3:$DE$2300),MATCH(ROWS(B$8:B46),COPIA!$DF$3:$DF$2300,0),COLUMN()-1),""),"")</f>
        <v/>
      </c>
      <c r="C46" s="118" t="str">
        <f ca="1">SUBSTITUTE(IFERROR(INDEX((COPIA!$DA$3:$DE$2300),MATCH(ROWS(C$8:C46),COPIA!$DF$3:$DF$2300,0),COLUMN()-1),""),"MASTRO","")</f>
        <v/>
      </c>
      <c r="D46" s="29" t="str">
        <f ca="1">IF(IFERROR(INDEX((COPIA!$DA$3:$DE$2300),MATCH(ROWS(D$8:D46),COPIA!$DF$3:$DF$2300,0),COLUMN()-1),"")=0,"",IFERROR(INDEX((COPIA!$DA$3:$DE$2300),MATCH(ROWS(D$8:D46),COPIA!$DF$3:$DF$2300,0),COLUMN()-1),""))</f>
        <v/>
      </c>
      <c r="E46" s="45" t="str">
        <f ca="1">IF(IFERROR(INDEX((COPIA!$DA$3:$DE$2300),MATCH(ROWS(E$8:E46),COPIA!$DF$3:$DF$2300,0),COLUMN()-1),"")=0,"",IFERROR(INDEX((COPIA!$DA$3:$DE$2300),MATCH(ROWS(E$8:E46),COPIA!$DF$3:$DF$2300,0),COLUMN()-1),""))</f>
        <v/>
      </c>
      <c r="F46" s="120" t="str">
        <f ca="1">IF(IFERROR(INDEX((COPIA!$DA$3:$DE$2300),MATCH(ROWS(F$8:F46),COPIA!$DF$3:$DF$2300,0),COLUMN()-1),"")=0,"",IFERROR(INDEX((COPIA!$DA$3:$DE$2300),MATCH(ROWS(F$8:F46),COPIA!$DF$3:$DF$2300,0),COLUMN()-1),""))</f>
        <v/>
      </c>
      <c r="G46" s="16"/>
    </row>
    <row r="47" spans="1:7">
      <c r="A47" s="12"/>
      <c r="B47" s="119" t="str">
        <f ca="1">IF(IFERROR(INDEX((COPIA!$DA$3:$DE$2300),MATCH(ROWS(B$8:B47),COPIA!$DF$3:$DF$2300,0),COLUMN()-1),"")&gt;=1,IFERROR(INDEX((COPIA!$DA$3:$DE$2300),MATCH(ROWS(B$8:B47),COPIA!$DF$3:$DF$2300,0),COLUMN()-1),""),"")</f>
        <v/>
      </c>
      <c r="C47" s="118" t="str">
        <f ca="1">SUBSTITUTE(IFERROR(INDEX((COPIA!$DA$3:$DE$2300),MATCH(ROWS(C$8:C47),COPIA!$DF$3:$DF$2300,0),COLUMN()-1),""),"MASTRO","")</f>
        <v/>
      </c>
      <c r="D47" s="29" t="str">
        <f ca="1">IF(IFERROR(INDEX((COPIA!$DA$3:$DE$2300),MATCH(ROWS(D$8:D47),COPIA!$DF$3:$DF$2300,0),COLUMN()-1),"")=0,"",IFERROR(INDEX((COPIA!$DA$3:$DE$2300),MATCH(ROWS(D$8:D47),COPIA!$DF$3:$DF$2300,0),COLUMN()-1),""))</f>
        <v/>
      </c>
      <c r="E47" s="45" t="str">
        <f ca="1">IF(IFERROR(INDEX((COPIA!$DA$3:$DE$2300),MATCH(ROWS(E$8:E47),COPIA!$DF$3:$DF$2300,0),COLUMN()-1),"")=0,"",IFERROR(INDEX((COPIA!$DA$3:$DE$2300),MATCH(ROWS(E$8:E47),COPIA!$DF$3:$DF$2300,0),COLUMN()-1),""))</f>
        <v/>
      </c>
      <c r="F47" s="120" t="str">
        <f ca="1">IF(IFERROR(INDEX((COPIA!$DA$3:$DE$2300),MATCH(ROWS(F$8:F47),COPIA!$DF$3:$DF$2300,0),COLUMN()-1),"")=0,"",IFERROR(INDEX((COPIA!$DA$3:$DE$2300),MATCH(ROWS(F$8:F47),COPIA!$DF$3:$DF$2300,0),COLUMN()-1),""))</f>
        <v/>
      </c>
      <c r="G47" s="16"/>
    </row>
    <row r="48" spans="1:7">
      <c r="A48" s="12"/>
      <c r="B48" s="119" t="str">
        <f ca="1">IF(IFERROR(INDEX((COPIA!$DA$3:$DE$2300),MATCH(ROWS(B$8:B48),COPIA!$DF$3:$DF$2300,0),COLUMN()-1),"")&gt;=1,IFERROR(INDEX((COPIA!$DA$3:$DE$2300),MATCH(ROWS(B$8:B48),COPIA!$DF$3:$DF$2300,0),COLUMN()-1),""),"")</f>
        <v/>
      </c>
      <c r="C48" s="118" t="str">
        <f ca="1">SUBSTITUTE(IFERROR(INDEX((COPIA!$DA$3:$DE$2300),MATCH(ROWS(C$8:C48),COPIA!$DF$3:$DF$2300,0),COLUMN()-1),""),"MASTRO","")</f>
        <v/>
      </c>
      <c r="D48" s="29" t="str">
        <f ca="1">IF(IFERROR(INDEX((COPIA!$DA$3:$DE$2300),MATCH(ROWS(D$8:D48),COPIA!$DF$3:$DF$2300,0),COLUMN()-1),"")=0,"",IFERROR(INDEX((COPIA!$DA$3:$DE$2300),MATCH(ROWS(D$8:D48),COPIA!$DF$3:$DF$2300,0),COLUMN()-1),""))</f>
        <v/>
      </c>
      <c r="E48" s="45" t="str">
        <f ca="1">IF(IFERROR(INDEX((COPIA!$DA$3:$DE$2300),MATCH(ROWS(E$8:E48),COPIA!$DF$3:$DF$2300,0),COLUMN()-1),"")=0,"",IFERROR(INDEX((COPIA!$DA$3:$DE$2300),MATCH(ROWS(E$8:E48),COPIA!$DF$3:$DF$2300,0),COLUMN()-1),""))</f>
        <v/>
      </c>
      <c r="F48" s="120" t="str">
        <f ca="1">IF(IFERROR(INDEX((COPIA!$DA$3:$DE$2300),MATCH(ROWS(F$8:F48),COPIA!$DF$3:$DF$2300,0),COLUMN()-1),"")=0,"",IFERROR(INDEX((COPIA!$DA$3:$DE$2300),MATCH(ROWS(F$8:F48),COPIA!$DF$3:$DF$2300,0),COLUMN()-1),""))</f>
        <v/>
      </c>
      <c r="G48" s="16"/>
    </row>
    <row r="49" spans="1:7">
      <c r="A49" s="12"/>
      <c r="B49" s="119" t="str">
        <f ca="1">IF(IFERROR(INDEX((COPIA!$DA$3:$DE$2300),MATCH(ROWS(B$8:B49),COPIA!$DF$3:$DF$2300,0),COLUMN()-1),"")&gt;=1,IFERROR(INDEX((COPIA!$DA$3:$DE$2300),MATCH(ROWS(B$8:B49),COPIA!$DF$3:$DF$2300,0),COLUMN()-1),""),"")</f>
        <v/>
      </c>
      <c r="C49" s="118" t="str">
        <f ca="1">SUBSTITUTE(IFERROR(INDEX((COPIA!$DA$3:$DE$2300),MATCH(ROWS(C$8:C49),COPIA!$DF$3:$DF$2300,0),COLUMN()-1),""),"MASTRO","")</f>
        <v/>
      </c>
      <c r="D49" s="29" t="str">
        <f ca="1">IF(IFERROR(INDEX((COPIA!$DA$3:$DE$2300),MATCH(ROWS(D$8:D49),COPIA!$DF$3:$DF$2300,0),COLUMN()-1),"")=0,"",IFERROR(INDEX((COPIA!$DA$3:$DE$2300),MATCH(ROWS(D$8:D49),COPIA!$DF$3:$DF$2300,0),COLUMN()-1),""))</f>
        <v/>
      </c>
      <c r="E49" s="45" t="str">
        <f ca="1">IF(IFERROR(INDEX((COPIA!$DA$3:$DE$2300),MATCH(ROWS(E$8:E49),COPIA!$DF$3:$DF$2300,0),COLUMN()-1),"")=0,"",IFERROR(INDEX((COPIA!$DA$3:$DE$2300),MATCH(ROWS(E$8:E49),COPIA!$DF$3:$DF$2300,0),COLUMN()-1),""))</f>
        <v/>
      </c>
      <c r="F49" s="120" t="str">
        <f ca="1">IF(IFERROR(INDEX((COPIA!$DA$3:$DE$2300),MATCH(ROWS(F$8:F49),COPIA!$DF$3:$DF$2300,0),COLUMN()-1),"")=0,"",IFERROR(INDEX((COPIA!$DA$3:$DE$2300),MATCH(ROWS(F$8:F49),COPIA!$DF$3:$DF$2300,0),COLUMN()-1),""))</f>
        <v/>
      </c>
      <c r="G49" s="16"/>
    </row>
    <row r="50" spans="1:7">
      <c r="A50" s="12"/>
      <c r="B50" s="119" t="str">
        <f ca="1">IF(IFERROR(INDEX((COPIA!$DA$3:$DE$2300),MATCH(ROWS(B$8:B50),COPIA!$DF$3:$DF$2300,0),COLUMN()-1),"")&gt;=1,IFERROR(INDEX((COPIA!$DA$3:$DE$2300),MATCH(ROWS(B$8:B50),COPIA!$DF$3:$DF$2300,0),COLUMN()-1),""),"")</f>
        <v/>
      </c>
      <c r="C50" s="118" t="str">
        <f ca="1">SUBSTITUTE(IFERROR(INDEX((COPIA!$DA$3:$DE$2300),MATCH(ROWS(C$8:C50),COPIA!$DF$3:$DF$2300,0),COLUMN()-1),""),"MASTRO","")</f>
        <v/>
      </c>
      <c r="D50" s="29" t="str">
        <f ca="1">IF(IFERROR(INDEX((COPIA!$DA$3:$DE$2300),MATCH(ROWS(D$8:D50),COPIA!$DF$3:$DF$2300,0),COLUMN()-1),"")=0,"",IFERROR(INDEX((COPIA!$DA$3:$DE$2300),MATCH(ROWS(D$8:D50),COPIA!$DF$3:$DF$2300,0),COLUMN()-1),""))</f>
        <v/>
      </c>
      <c r="E50" s="45" t="str">
        <f ca="1">IF(IFERROR(INDEX((COPIA!$DA$3:$DE$2300),MATCH(ROWS(E$8:E50),COPIA!$DF$3:$DF$2300,0),COLUMN()-1),"")=0,"",IFERROR(INDEX((COPIA!$DA$3:$DE$2300),MATCH(ROWS(E$8:E50),COPIA!$DF$3:$DF$2300,0),COLUMN()-1),""))</f>
        <v/>
      </c>
      <c r="F50" s="120" t="str">
        <f ca="1">IF(IFERROR(INDEX((COPIA!$DA$3:$DE$2300),MATCH(ROWS(F$8:F50),COPIA!$DF$3:$DF$2300,0),COLUMN()-1),"")=0,"",IFERROR(INDEX((COPIA!$DA$3:$DE$2300),MATCH(ROWS(F$8:F50),COPIA!$DF$3:$DF$2300,0),COLUMN()-1),""))</f>
        <v/>
      </c>
      <c r="G50" s="16"/>
    </row>
    <row r="51" spans="1:7">
      <c r="A51" s="12"/>
      <c r="B51" s="119" t="str">
        <f ca="1">IF(IFERROR(INDEX((COPIA!$DA$3:$DE$2300),MATCH(ROWS(B$8:B51),COPIA!$DF$3:$DF$2300,0),COLUMN()-1),"")&gt;=1,IFERROR(INDEX((COPIA!$DA$3:$DE$2300),MATCH(ROWS(B$8:B51),COPIA!$DF$3:$DF$2300,0),COLUMN()-1),""),"")</f>
        <v/>
      </c>
      <c r="C51" s="118" t="str">
        <f ca="1">SUBSTITUTE(IFERROR(INDEX((COPIA!$DA$3:$DE$2300),MATCH(ROWS(C$8:C51),COPIA!$DF$3:$DF$2300,0),COLUMN()-1),""),"MASTRO","")</f>
        <v/>
      </c>
      <c r="D51" s="29" t="str">
        <f ca="1">IF(IFERROR(INDEX((COPIA!$DA$3:$DE$2300),MATCH(ROWS(D$8:D51),COPIA!$DF$3:$DF$2300,0),COLUMN()-1),"")=0,"",IFERROR(INDEX((COPIA!$DA$3:$DE$2300),MATCH(ROWS(D$8:D51),COPIA!$DF$3:$DF$2300,0),COLUMN()-1),""))</f>
        <v/>
      </c>
      <c r="E51" s="45" t="str">
        <f ca="1">IF(IFERROR(INDEX((COPIA!$DA$3:$DE$2300),MATCH(ROWS(E$8:E51),COPIA!$DF$3:$DF$2300,0),COLUMN()-1),"")=0,"",IFERROR(INDEX((COPIA!$DA$3:$DE$2300),MATCH(ROWS(E$8:E51),COPIA!$DF$3:$DF$2300,0),COLUMN()-1),""))</f>
        <v/>
      </c>
      <c r="F51" s="120" t="str">
        <f ca="1">IF(IFERROR(INDEX((COPIA!$DA$3:$DE$2300),MATCH(ROWS(F$8:F51),COPIA!$DF$3:$DF$2300,0),COLUMN()-1),"")=0,"",IFERROR(INDEX((COPIA!$DA$3:$DE$2300),MATCH(ROWS(F$8:F51),COPIA!$DF$3:$DF$2300,0),COLUMN()-1),""))</f>
        <v/>
      </c>
      <c r="G51" s="16"/>
    </row>
    <row r="52" spans="1:7">
      <c r="A52" s="12"/>
      <c r="B52" s="119" t="str">
        <f ca="1">IF(IFERROR(INDEX((COPIA!$DA$3:$DE$2300),MATCH(ROWS(B$8:B52),COPIA!$DF$3:$DF$2300,0),COLUMN()-1),"")&gt;=1,IFERROR(INDEX((COPIA!$DA$3:$DE$2300),MATCH(ROWS(B$8:B52),COPIA!$DF$3:$DF$2300,0),COLUMN()-1),""),"")</f>
        <v/>
      </c>
      <c r="C52" s="118" t="str">
        <f ca="1">SUBSTITUTE(IFERROR(INDEX((COPIA!$DA$3:$DE$2300),MATCH(ROWS(C$8:C52),COPIA!$DF$3:$DF$2300,0),COLUMN()-1),""),"MASTRO","")</f>
        <v/>
      </c>
      <c r="D52" s="29" t="str">
        <f ca="1">IF(IFERROR(INDEX((COPIA!$DA$3:$DE$2300),MATCH(ROWS(D$8:D52),COPIA!$DF$3:$DF$2300,0),COLUMN()-1),"")=0,"",IFERROR(INDEX((COPIA!$DA$3:$DE$2300),MATCH(ROWS(D$8:D52),COPIA!$DF$3:$DF$2300,0),COLUMN()-1),""))</f>
        <v/>
      </c>
      <c r="E52" s="45" t="str">
        <f ca="1">IF(IFERROR(INDEX((COPIA!$DA$3:$DE$2300),MATCH(ROWS(E$8:E52),COPIA!$DF$3:$DF$2300,0),COLUMN()-1),"")=0,"",IFERROR(INDEX((COPIA!$DA$3:$DE$2300),MATCH(ROWS(E$8:E52),COPIA!$DF$3:$DF$2300,0),COLUMN()-1),""))</f>
        <v/>
      </c>
      <c r="F52" s="120" t="str">
        <f ca="1">IF(IFERROR(INDEX((COPIA!$DA$3:$DE$2300),MATCH(ROWS(F$8:F52),COPIA!$DF$3:$DF$2300,0),COLUMN()-1),"")=0,"",IFERROR(INDEX((COPIA!$DA$3:$DE$2300),MATCH(ROWS(F$8:F52),COPIA!$DF$3:$DF$2300,0),COLUMN()-1),""))</f>
        <v/>
      </c>
      <c r="G52" s="16"/>
    </row>
    <row r="53" spans="1:7">
      <c r="A53" s="12"/>
      <c r="B53" s="119" t="str">
        <f ca="1">IF(IFERROR(INDEX((COPIA!$DA$3:$DE$2300),MATCH(ROWS(B$8:B53),COPIA!$DF$3:$DF$2300,0),COLUMN()-1),"")&gt;=1,IFERROR(INDEX((COPIA!$DA$3:$DE$2300),MATCH(ROWS(B$8:B53),COPIA!$DF$3:$DF$2300,0),COLUMN()-1),""),"")</f>
        <v/>
      </c>
      <c r="C53" s="118" t="str">
        <f ca="1">SUBSTITUTE(IFERROR(INDEX((COPIA!$DA$3:$DE$2300),MATCH(ROWS(C$8:C53),COPIA!$DF$3:$DF$2300,0),COLUMN()-1),""),"MASTRO","")</f>
        <v/>
      </c>
      <c r="D53" s="29" t="str">
        <f ca="1">IF(IFERROR(INDEX((COPIA!$DA$3:$DE$2300),MATCH(ROWS(D$8:D53),COPIA!$DF$3:$DF$2300,0),COLUMN()-1),"")=0,"",IFERROR(INDEX((COPIA!$DA$3:$DE$2300),MATCH(ROWS(D$8:D53),COPIA!$DF$3:$DF$2300,0),COLUMN()-1),""))</f>
        <v/>
      </c>
      <c r="E53" s="45" t="str">
        <f ca="1">IF(IFERROR(INDEX((COPIA!$DA$3:$DE$2300),MATCH(ROWS(E$8:E53),COPIA!$DF$3:$DF$2300,0),COLUMN()-1),"")=0,"",IFERROR(INDEX((COPIA!$DA$3:$DE$2300),MATCH(ROWS(E$8:E53),COPIA!$DF$3:$DF$2300,0),COLUMN()-1),""))</f>
        <v/>
      </c>
      <c r="F53" s="120" t="str">
        <f ca="1">IF(IFERROR(INDEX((COPIA!$DA$3:$DE$2300),MATCH(ROWS(F$8:F53),COPIA!$DF$3:$DF$2300,0),COLUMN()-1),"")=0,"",IFERROR(INDEX((COPIA!$DA$3:$DE$2300),MATCH(ROWS(F$8:F53),COPIA!$DF$3:$DF$2300,0),COLUMN()-1),""))</f>
        <v/>
      </c>
      <c r="G53" s="16"/>
    </row>
    <row r="54" spans="1:7">
      <c r="A54" s="12"/>
      <c r="B54" s="119" t="str">
        <f ca="1">IF(IFERROR(INDEX((COPIA!$DA$3:$DE$2300),MATCH(ROWS(B$8:B54),COPIA!$DF$3:$DF$2300,0),COLUMN()-1),"")&gt;=1,IFERROR(INDEX((COPIA!$DA$3:$DE$2300),MATCH(ROWS(B$8:B54),COPIA!$DF$3:$DF$2300,0),COLUMN()-1),""),"")</f>
        <v/>
      </c>
      <c r="C54" s="118" t="str">
        <f ca="1">SUBSTITUTE(IFERROR(INDEX((COPIA!$DA$3:$DE$2300),MATCH(ROWS(C$8:C54),COPIA!$DF$3:$DF$2300,0),COLUMN()-1),""),"MASTRO","")</f>
        <v/>
      </c>
      <c r="D54" s="29" t="str">
        <f ca="1">IF(IFERROR(INDEX((COPIA!$DA$3:$DE$2300),MATCH(ROWS(D$8:D54),COPIA!$DF$3:$DF$2300,0),COLUMN()-1),"")=0,"",IFERROR(INDEX((COPIA!$DA$3:$DE$2300),MATCH(ROWS(D$8:D54),COPIA!$DF$3:$DF$2300,0),COLUMN()-1),""))</f>
        <v/>
      </c>
      <c r="E54" s="45" t="str">
        <f ca="1">IF(IFERROR(INDEX((COPIA!$DA$3:$DE$2300),MATCH(ROWS(E$8:E54),COPIA!$DF$3:$DF$2300,0),COLUMN()-1),"")=0,"",IFERROR(INDEX((COPIA!$DA$3:$DE$2300),MATCH(ROWS(E$8:E54),COPIA!$DF$3:$DF$2300,0),COLUMN()-1),""))</f>
        <v/>
      </c>
      <c r="F54" s="120" t="str">
        <f ca="1">IF(IFERROR(INDEX((COPIA!$DA$3:$DE$2300),MATCH(ROWS(F$8:F54),COPIA!$DF$3:$DF$2300,0),COLUMN()-1),"")=0,"",IFERROR(INDEX((COPIA!$DA$3:$DE$2300),MATCH(ROWS(F$8:F54),COPIA!$DF$3:$DF$2300,0),COLUMN()-1),""))</f>
        <v/>
      </c>
      <c r="G54" s="16"/>
    </row>
    <row r="55" spans="1:7">
      <c r="A55" s="12"/>
      <c r="B55" s="119" t="str">
        <f ca="1">IF(IFERROR(INDEX((COPIA!$DA$3:$DE$2300),MATCH(ROWS(B$8:B55),COPIA!$DF$3:$DF$2300,0),COLUMN()-1),"")&gt;=1,IFERROR(INDEX((COPIA!$DA$3:$DE$2300),MATCH(ROWS(B$8:B55),COPIA!$DF$3:$DF$2300,0),COLUMN()-1),""),"")</f>
        <v/>
      </c>
      <c r="C55" s="118" t="str">
        <f ca="1">SUBSTITUTE(IFERROR(INDEX((COPIA!$DA$3:$DE$2300),MATCH(ROWS(C$8:C55),COPIA!$DF$3:$DF$2300,0),COLUMN()-1),""),"MASTRO","")</f>
        <v/>
      </c>
      <c r="D55" s="29" t="str">
        <f ca="1">IF(IFERROR(INDEX((COPIA!$DA$3:$DE$2300),MATCH(ROWS(D$8:D55),COPIA!$DF$3:$DF$2300,0),COLUMN()-1),"")=0,"",IFERROR(INDEX((COPIA!$DA$3:$DE$2300),MATCH(ROWS(D$8:D55),COPIA!$DF$3:$DF$2300,0),COLUMN()-1),""))</f>
        <v/>
      </c>
      <c r="E55" s="45" t="str">
        <f ca="1">IF(IFERROR(INDEX((COPIA!$DA$3:$DE$2300),MATCH(ROWS(E$8:E55),COPIA!$DF$3:$DF$2300,0),COLUMN()-1),"")=0,"",IFERROR(INDEX((COPIA!$DA$3:$DE$2300),MATCH(ROWS(E$8:E55),COPIA!$DF$3:$DF$2300,0),COLUMN()-1),""))</f>
        <v/>
      </c>
      <c r="F55" s="120" t="str">
        <f ca="1">IF(IFERROR(INDEX((COPIA!$DA$3:$DE$2300),MATCH(ROWS(F$8:F55),COPIA!$DF$3:$DF$2300,0),COLUMN()-1),"")=0,"",IFERROR(INDEX((COPIA!$DA$3:$DE$2300),MATCH(ROWS(F$8:F55),COPIA!$DF$3:$DF$2300,0),COLUMN()-1),""))</f>
        <v/>
      </c>
      <c r="G55" s="16"/>
    </row>
    <row r="56" spans="1:7">
      <c r="A56" s="12"/>
      <c r="B56" s="119" t="str">
        <f ca="1">IF(IFERROR(INDEX((COPIA!$DA$3:$DE$2300),MATCH(ROWS(B$8:B56),COPIA!$DF$3:$DF$2300,0),COLUMN()-1),"")&gt;=1,IFERROR(INDEX((COPIA!$DA$3:$DE$2300),MATCH(ROWS(B$8:B56),COPIA!$DF$3:$DF$2300,0),COLUMN()-1),""),"")</f>
        <v/>
      </c>
      <c r="C56" s="118" t="str">
        <f ca="1">SUBSTITUTE(IFERROR(INDEX((COPIA!$DA$3:$DE$2300),MATCH(ROWS(C$8:C56),COPIA!$DF$3:$DF$2300,0),COLUMN()-1),""),"MASTRO","")</f>
        <v/>
      </c>
      <c r="D56" s="29" t="str">
        <f ca="1">IF(IFERROR(INDEX((COPIA!$DA$3:$DE$2300),MATCH(ROWS(D$8:D56),COPIA!$DF$3:$DF$2300,0),COLUMN()-1),"")=0,"",IFERROR(INDEX((COPIA!$DA$3:$DE$2300),MATCH(ROWS(D$8:D56),COPIA!$DF$3:$DF$2300,0),COLUMN()-1),""))</f>
        <v/>
      </c>
      <c r="E56" s="45" t="str">
        <f ca="1">IF(IFERROR(INDEX((COPIA!$DA$3:$DE$2300),MATCH(ROWS(E$8:E56),COPIA!$DF$3:$DF$2300,0),COLUMN()-1),"")=0,"",IFERROR(INDEX((COPIA!$DA$3:$DE$2300),MATCH(ROWS(E$8:E56),COPIA!$DF$3:$DF$2300,0),COLUMN()-1),""))</f>
        <v/>
      </c>
      <c r="F56" s="120" t="str">
        <f ca="1">IF(IFERROR(INDEX((COPIA!$DA$3:$DE$2300),MATCH(ROWS(F$8:F56),COPIA!$DF$3:$DF$2300,0),COLUMN()-1),"")=0,"",IFERROR(INDEX((COPIA!$DA$3:$DE$2300),MATCH(ROWS(F$8:F56),COPIA!$DF$3:$DF$2300,0),COLUMN()-1),""))</f>
        <v/>
      </c>
      <c r="G56" s="16"/>
    </row>
    <row r="57" spans="1:7">
      <c r="A57" s="12"/>
      <c r="B57" s="119" t="str">
        <f ca="1">IF(IFERROR(INDEX((COPIA!$DA$3:$DE$2300),MATCH(ROWS(B$8:B57),COPIA!$DF$3:$DF$2300,0),COLUMN()-1),"")&gt;=1,IFERROR(INDEX((COPIA!$DA$3:$DE$2300),MATCH(ROWS(B$8:B57),COPIA!$DF$3:$DF$2300,0),COLUMN()-1),""),"")</f>
        <v/>
      </c>
      <c r="C57" s="118" t="str">
        <f ca="1">SUBSTITUTE(IFERROR(INDEX((COPIA!$DA$3:$DE$2300),MATCH(ROWS(C$8:C57),COPIA!$DF$3:$DF$2300,0),COLUMN()-1),""),"MASTRO","")</f>
        <v/>
      </c>
      <c r="D57" s="29" t="str">
        <f ca="1">IF(IFERROR(INDEX((COPIA!$DA$3:$DE$2300),MATCH(ROWS(D$8:D57),COPIA!$DF$3:$DF$2300,0),COLUMN()-1),"")=0,"",IFERROR(INDEX((COPIA!$DA$3:$DE$2300),MATCH(ROWS(D$8:D57),COPIA!$DF$3:$DF$2300,0),COLUMN()-1),""))</f>
        <v/>
      </c>
      <c r="E57" s="45" t="str">
        <f ca="1">IF(IFERROR(INDEX((COPIA!$DA$3:$DE$2300),MATCH(ROWS(E$8:E57),COPIA!$DF$3:$DF$2300,0),COLUMN()-1),"")=0,"",IFERROR(INDEX((COPIA!$DA$3:$DE$2300),MATCH(ROWS(E$8:E57),COPIA!$DF$3:$DF$2300,0),COLUMN()-1),""))</f>
        <v/>
      </c>
      <c r="F57" s="120" t="str">
        <f ca="1">IF(IFERROR(INDEX((COPIA!$DA$3:$DE$2300),MATCH(ROWS(F$8:F57),COPIA!$DF$3:$DF$2300,0),COLUMN()-1),"")=0,"",IFERROR(INDEX((COPIA!$DA$3:$DE$2300),MATCH(ROWS(F$8:F57),COPIA!$DF$3:$DF$2300,0),COLUMN()-1),""))</f>
        <v/>
      </c>
      <c r="G57" s="16"/>
    </row>
    <row r="58" spans="1:7">
      <c r="A58" s="12"/>
      <c r="B58" s="119" t="str">
        <f ca="1">IF(IFERROR(INDEX((COPIA!$DA$3:$DE$2300),MATCH(ROWS(B$8:B58),COPIA!$DF$3:$DF$2300,0),COLUMN()-1),"")&gt;=1,IFERROR(INDEX((COPIA!$DA$3:$DE$2300),MATCH(ROWS(B$8:B58),COPIA!$DF$3:$DF$2300,0),COLUMN()-1),""),"")</f>
        <v/>
      </c>
      <c r="C58" s="118" t="str">
        <f ca="1">SUBSTITUTE(IFERROR(INDEX((COPIA!$DA$3:$DE$2300),MATCH(ROWS(C$8:C58),COPIA!$DF$3:$DF$2300,0),COLUMN()-1),""),"MASTRO","")</f>
        <v/>
      </c>
      <c r="D58" s="29" t="str">
        <f ca="1">IF(IFERROR(INDEX((COPIA!$DA$3:$DE$2300),MATCH(ROWS(D$8:D58),COPIA!$DF$3:$DF$2300,0),COLUMN()-1),"")=0,"",IFERROR(INDEX((COPIA!$DA$3:$DE$2300),MATCH(ROWS(D$8:D58),COPIA!$DF$3:$DF$2300,0),COLUMN()-1),""))</f>
        <v/>
      </c>
      <c r="E58" s="45" t="str">
        <f ca="1">IF(IFERROR(INDEX((COPIA!$DA$3:$DE$2300),MATCH(ROWS(E$8:E58),COPIA!$DF$3:$DF$2300,0),COLUMN()-1),"")=0,"",IFERROR(INDEX((COPIA!$DA$3:$DE$2300),MATCH(ROWS(E$8:E58),COPIA!$DF$3:$DF$2300,0),COLUMN()-1),""))</f>
        <v/>
      </c>
      <c r="F58" s="120" t="str">
        <f ca="1">IF(IFERROR(INDEX((COPIA!$DA$3:$DE$2300),MATCH(ROWS(F$8:F58),COPIA!$DF$3:$DF$2300,0),COLUMN()-1),"")=0,"",IFERROR(INDEX((COPIA!$DA$3:$DE$2300),MATCH(ROWS(F$8:F58),COPIA!$DF$3:$DF$2300,0),COLUMN()-1),""))</f>
        <v/>
      </c>
      <c r="G58" s="16"/>
    </row>
    <row r="59" spans="1:7">
      <c r="A59" s="12"/>
      <c r="B59" s="119" t="str">
        <f ca="1">IF(IFERROR(INDEX((COPIA!$DA$3:$DE$2300),MATCH(ROWS(B$8:B59),COPIA!$DF$3:$DF$2300,0),COLUMN()-1),"")&gt;=1,IFERROR(INDEX((COPIA!$DA$3:$DE$2300),MATCH(ROWS(B$8:B59),COPIA!$DF$3:$DF$2300,0),COLUMN()-1),""),"")</f>
        <v/>
      </c>
      <c r="C59" s="118" t="str">
        <f ca="1">SUBSTITUTE(IFERROR(INDEX((COPIA!$DA$3:$DE$2300),MATCH(ROWS(C$8:C59),COPIA!$DF$3:$DF$2300,0),COLUMN()-1),""),"MASTRO","")</f>
        <v/>
      </c>
      <c r="D59" s="29" t="str">
        <f ca="1">IF(IFERROR(INDEX((COPIA!$DA$3:$DE$2300),MATCH(ROWS(D$8:D59),COPIA!$DF$3:$DF$2300,0),COLUMN()-1),"")=0,"",IFERROR(INDEX((COPIA!$DA$3:$DE$2300),MATCH(ROWS(D$8:D59),COPIA!$DF$3:$DF$2300,0),COLUMN()-1),""))</f>
        <v/>
      </c>
      <c r="E59" s="45" t="str">
        <f ca="1">IF(IFERROR(INDEX((COPIA!$DA$3:$DE$2300),MATCH(ROWS(E$8:E59),COPIA!$DF$3:$DF$2300,0),COLUMN()-1),"")=0,"",IFERROR(INDEX((COPIA!$DA$3:$DE$2300),MATCH(ROWS(E$8:E59),COPIA!$DF$3:$DF$2300,0),COLUMN()-1),""))</f>
        <v/>
      </c>
      <c r="F59" s="120" t="str">
        <f ca="1">IF(IFERROR(INDEX((COPIA!$DA$3:$DE$2300),MATCH(ROWS(F$8:F59),COPIA!$DF$3:$DF$2300,0),COLUMN()-1),"")=0,"",IFERROR(INDEX((COPIA!$DA$3:$DE$2300),MATCH(ROWS(F$8:F59),COPIA!$DF$3:$DF$2300,0),COLUMN()-1),""))</f>
        <v/>
      </c>
      <c r="G59" s="16"/>
    </row>
    <row r="60" spans="1:7">
      <c r="A60" s="12"/>
      <c r="B60" s="119" t="str">
        <f ca="1">IF(IFERROR(INDEX((COPIA!$DA$3:$DE$2300),MATCH(ROWS(B$8:B60),COPIA!$DF$3:$DF$2300,0),COLUMN()-1),"")&gt;=1,IFERROR(INDEX((COPIA!$DA$3:$DE$2300),MATCH(ROWS(B$8:B60),COPIA!$DF$3:$DF$2300,0),COLUMN()-1),""),"")</f>
        <v/>
      </c>
      <c r="C60" s="118" t="str">
        <f ca="1">SUBSTITUTE(IFERROR(INDEX((COPIA!$DA$3:$DE$2300),MATCH(ROWS(C$8:C60),COPIA!$DF$3:$DF$2300,0),COLUMN()-1),""),"MASTRO","")</f>
        <v/>
      </c>
      <c r="D60" s="29" t="str">
        <f ca="1">IF(IFERROR(INDEX((COPIA!$DA$3:$DE$2300),MATCH(ROWS(D$8:D60),COPIA!$DF$3:$DF$2300,0),COLUMN()-1),"")=0,"",IFERROR(INDEX((COPIA!$DA$3:$DE$2300),MATCH(ROWS(D$8:D60),COPIA!$DF$3:$DF$2300,0),COLUMN()-1),""))</f>
        <v/>
      </c>
      <c r="E60" s="45" t="str">
        <f ca="1">IF(IFERROR(INDEX((COPIA!$DA$3:$DE$2300),MATCH(ROWS(E$8:E60),COPIA!$DF$3:$DF$2300,0),COLUMN()-1),"")=0,"",IFERROR(INDEX((COPIA!$DA$3:$DE$2300),MATCH(ROWS(E$8:E60),COPIA!$DF$3:$DF$2300,0),COLUMN()-1),""))</f>
        <v/>
      </c>
      <c r="F60" s="120" t="str">
        <f ca="1">IF(IFERROR(INDEX((COPIA!$DA$3:$DE$2300),MATCH(ROWS(F$8:F60),COPIA!$DF$3:$DF$2300,0),COLUMN()-1),"")=0,"",IFERROR(INDEX((COPIA!$DA$3:$DE$2300),MATCH(ROWS(F$8:F60),COPIA!$DF$3:$DF$2300,0),COLUMN()-1),""))</f>
        <v/>
      </c>
      <c r="G60" s="16"/>
    </row>
    <row r="61" spans="1:7">
      <c r="A61" s="12"/>
      <c r="B61" s="119" t="str">
        <f ca="1">IF(IFERROR(INDEX((COPIA!$DA$3:$DE$2300),MATCH(ROWS(B$8:B61),COPIA!$DF$3:$DF$2300,0),COLUMN()-1),"")&gt;=1,IFERROR(INDEX((COPIA!$DA$3:$DE$2300),MATCH(ROWS(B$8:B61),COPIA!$DF$3:$DF$2300,0),COLUMN()-1),""),"")</f>
        <v/>
      </c>
      <c r="C61" s="118" t="str">
        <f ca="1">SUBSTITUTE(IFERROR(INDEX((COPIA!$DA$3:$DE$2300),MATCH(ROWS(C$8:C61),COPIA!$DF$3:$DF$2300,0),COLUMN()-1),""),"MASTRO","")</f>
        <v/>
      </c>
      <c r="D61" s="29" t="str">
        <f ca="1">IF(IFERROR(INDEX((COPIA!$DA$3:$DE$2300),MATCH(ROWS(D$8:D61),COPIA!$DF$3:$DF$2300,0),COLUMN()-1),"")=0,"",IFERROR(INDEX((COPIA!$DA$3:$DE$2300),MATCH(ROWS(D$8:D61),COPIA!$DF$3:$DF$2300,0),COLUMN()-1),""))</f>
        <v/>
      </c>
      <c r="E61" s="45" t="str">
        <f ca="1">IF(IFERROR(INDEX((COPIA!$DA$3:$DE$2300),MATCH(ROWS(E$8:E61),COPIA!$DF$3:$DF$2300,0),COLUMN()-1),"")=0,"",IFERROR(INDEX((COPIA!$DA$3:$DE$2300),MATCH(ROWS(E$8:E61),COPIA!$DF$3:$DF$2300,0),COLUMN()-1),""))</f>
        <v/>
      </c>
      <c r="F61" s="120" t="str">
        <f ca="1">IF(IFERROR(INDEX((COPIA!$DA$3:$DE$2300),MATCH(ROWS(F$8:F61),COPIA!$DF$3:$DF$2300,0),COLUMN()-1),"")=0,"",IFERROR(INDEX((COPIA!$DA$3:$DE$2300),MATCH(ROWS(F$8:F61),COPIA!$DF$3:$DF$2300,0),COLUMN()-1),""))</f>
        <v/>
      </c>
      <c r="G61" s="16"/>
    </row>
    <row r="62" spans="1:7">
      <c r="A62" s="12"/>
      <c r="B62" s="119" t="str">
        <f ca="1">IF(IFERROR(INDEX((COPIA!$DA$3:$DE$2300),MATCH(ROWS(B$8:B62),COPIA!$DF$3:$DF$2300,0),COLUMN()-1),"")&gt;=1,IFERROR(INDEX((COPIA!$DA$3:$DE$2300),MATCH(ROWS(B$8:B62),COPIA!$DF$3:$DF$2300,0),COLUMN()-1),""),"")</f>
        <v/>
      </c>
      <c r="C62" s="118" t="str">
        <f ca="1">SUBSTITUTE(IFERROR(INDEX((COPIA!$DA$3:$DE$2300),MATCH(ROWS(C$8:C62),COPIA!$DF$3:$DF$2300,0),COLUMN()-1),""),"MASTRO","")</f>
        <v/>
      </c>
      <c r="D62" s="29" t="str">
        <f ca="1">IF(IFERROR(INDEX((COPIA!$DA$3:$DE$2300),MATCH(ROWS(D$8:D62),COPIA!$DF$3:$DF$2300,0),COLUMN()-1),"")=0,"",IFERROR(INDEX((COPIA!$DA$3:$DE$2300),MATCH(ROWS(D$8:D62),COPIA!$DF$3:$DF$2300,0),COLUMN()-1),""))</f>
        <v/>
      </c>
      <c r="E62" s="45" t="str">
        <f ca="1">IF(IFERROR(INDEX((COPIA!$DA$3:$DE$2300),MATCH(ROWS(E$8:E62),COPIA!$DF$3:$DF$2300,0),COLUMN()-1),"")=0,"",IFERROR(INDEX((COPIA!$DA$3:$DE$2300),MATCH(ROWS(E$8:E62),COPIA!$DF$3:$DF$2300,0),COLUMN()-1),""))</f>
        <v/>
      </c>
      <c r="F62" s="120" t="str">
        <f ca="1">IF(IFERROR(INDEX((COPIA!$DA$3:$DE$2300),MATCH(ROWS(F$8:F62),COPIA!$DF$3:$DF$2300,0),COLUMN()-1),"")=0,"",IFERROR(INDEX((COPIA!$DA$3:$DE$2300),MATCH(ROWS(F$8:F62),COPIA!$DF$3:$DF$2300,0),COLUMN()-1),""))</f>
        <v/>
      </c>
      <c r="G62" s="16"/>
    </row>
    <row r="63" spans="1:7">
      <c r="A63" s="12"/>
      <c r="B63" s="119" t="str">
        <f ca="1">IF(IFERROR(INDEX((COPIA!$DA$3:$DE$2300),MATCH(ROWS(B$8:B63),COPIA!$DF$3:$DF$2300,0),COLUMN()-1),"")&gt;=1,IFERROR(INDEX((COPIA!$DA$3:$DE$2300),MATCH(ROWS(B$8:B63),COPIA!$DF$3:$DF$2300,0),COLUMN()-1),""),"")</f>
        <v/>
      </c>
      <c r="C63" s="118" t="str">
        <f ca="1">SUBSTITUTE(IFERROR(INDEX((COPIA!$DA$3:$DE$2300),MATCH(ROWS(C$8:C63),COPIA!$DF$3:$DF$2300,0),COLUMN()-1),""),"MASTRO","")</f>
        <v/>
      </c>
      <c r="D63" s="29" t="str">
        <f ca="1">IF(IFERROR(INDEX((COPIA!$DA$3:$DE$2300),MATCH(ROWS(D$8:D63),COPIA!$DF$3:$DF$2300,0),COLUMN()-1),"")=0,"",IFERROR(INDEX((COPIA!$DA$3:$DE$2300),MATCH(ROWS(D$8:D63),COPIA!$DF$3:$DF$2300,0),COLUMN()-1),""))</f>
        <v/>
      </c>
      <c r="E63" s="45" t="str">
        <f ca="1">IF(IFERROR(INDEX((COPIA!$DA$3:$DE$2300),MATCH(ROWS(E$8:E63),COPIA!$DF$3:$DF$2300,0),COLUMN()-1),"")=0,"",IFERROR(INDEX((COPIA!$DA$3:$DE$2300),MATCH(ROWS(E$8:E63),COPIA!$DF$3:$DF$2300,0),COLUMN()-1),""))</f>
        <v/>
      </c>
      <c r="F63" s="120" t="str">
        <f ca="1">IF(IFERROR(INDEX((COPIA!$DA$3:$DE$2300),MATCH(ROWS(F$8:F63),COPIA!$DF$3:$DF$2300,0),COLUMN()-1),"")=0,"",IFERROR(INDEX((COPIA!$DA$3:$DE$2300),MATCH(ROWS(F$8:F63),COPIA!$DF$3:$DF$2300,0),COLUMN()-1),""))</f>
        <v/>
      </c>
      <c r="G63" s="16"/>
    </row>
    <row r="64" spans="1:7">
      <c r="A64" s="12"/>
      <c r="B64" s="119" t="str">
        <f ca="1">IF(IFERROR(INDEX((COPIA!$DA$3:$DE$2300),MATCH(ROWS(B$8:B64),COPIA!$DF$3:$DF$2300,0),COLUMN()-1),"")&gt;=1,IFERROR(INDEX((COPIA!$DA$3:$DE$2300),MATCH(ROWS(B$8:B64),COPIA!$DF$3:$DF$2300,0),COLUMN()-1),""),"")</f>
        <v/>
      </c>
      <c r="C64" s="118" t="str">
        <f ca="1">SUBSTITUTE(IFERROR(INDEX((COPIA!$DA$3:$DE$2300),MATCH(ROWS(C$8:C64),COPIA!$DF$3:$DF$2300,0),COLUMN()-1),""),"MASTRO","")</f>
        <v/>
      </c>
      <c r="D64" s="29" t="str">
        <f ca="1">IF(IFERROR(INDEX((COPIA!$DA$3:$DE$2300),MATCH(ROWS(D$8:D64),COPIA!$DF$3:$DF$2300,0),COLUMN()-1),"")=0,"",IFERROR(INDEX((COPIA!$DA$3:$DE$2300),MATCH(ROWS(D$8:D64),COPIA!$DF$3:$DF$2300,0),COLUMN()-1),""))</f>
        <v/>
      </c>
      <c r="E64" s="45" t="str">
        <f ca="1">IF(IFERROR(INDEX((COPIA!$DA$3:$DE$2300),MATCH(ROWS(E$8:E64),COPIA!$DF$3:$DF$2300,0),COLUMN()-1),"")=0,"",IFERROR(INDEX((COPIA!$DA$3:$DE$2300),MATCH(ROWS(E$8:E64),COPIA!$DF$3:$DF$2300,0),COLUMN()-1),""))</f>
        <v/>
      </c>
      <c r="F64" s="120" t="str">
        <f ca="1">IF(IFERROR(INDEX((COPIA!$DA$3:$DE$2300),MATCH(ROWS(F$8:F64),COPIA!$DF$3:$DF$2300,0),COLUMN()-1),"")=0,"",IFERROR(INDEX((COPIA!$DA$3:$DE$2300),MATCH(ROWS(F$8:F64),COPIA!$DF$3:$DF$2300,0),COLUMN()-1),""))</f>
        <v/>
      </c>
      <c r="G64" s="16"/>
    </row>
    <row r="65" spans="1:7">
      <c r="A65" s="12"/>
      <c r="B65" s="119" t="str">
        <f ca="1">IF(IFERROR(INDEX((COPIA!$DA$3:$DE$2300),MATCH(ROWS(B$8:B65),COPIA!$DF$3:$DF$2300,0),COLUMN()-1),"")&gt;=1,IFERROR(INDEX((COPIA!$DA$3:$DE$2300),MATCH(ROWS(B$8:B65),COPIA!$DF$3:$DF$2300,0),COLUMN()-1),""),"")</f>
        <v/>
      </c>
      <c r="C65" s="118" t="str">
        <f ca="1">SUBSTITUTE(IFERROR(INDEX((COPIA!$DA$3:$DE$2300),MATCH(ROWS(C$8:C65),COPIA!$DF$3:$DF$2300,0),COLUMN()-1),""),"MASTRO","")</f>
        <v/>
      </c>
      <c r="D65" s="29" t="str">
        <f ca="1">IF(IFERROR(INDEX((COPIA!$DA$3:$DE$2300),MATCH(ROWS(D$8:D65),COPIA!$DF$3:$DF$2300,0),COLUMN()-1),"")=0,"",IFERROR(INDEX((COPIA!$DA$3:$DE$2300),MATCH(ROWS(D$8:D65),COPIA!$DF$3:$DF$2300,0),COLUMN()-1),""))</f>
        <v/>
      </c>
      <c r="E65" s="45" t="str">
        <f ca="1">IF(IFERROR(INDEX((COPIA!$DA$3:$DE$2300),MATCH(ROWS(E$8:E65),COPIA!$DF$3:$DF$2300,0),COLUMN()-1),"")=0,"",IFERROR(INDEX((COPIA!$DA$3:$DE$2300),MATCH(ROWS(E$8:E65),COPIA!$DF$3:$DF$2300,0),COLUMN()-1),""))</f>
        <v/>
      </c>
      <c r="F65" s="120" t="str">
        <f ca="1">IF(IFERROR(INDEX((COPIA!$DA$3:$DE$2300),MATCH(ROWS(F$8:F65),COPIA!$DF$3:$DF$2300,0),COLUMN()-1),"")=0,"",IFERROR(INDEX((COPIA!$DA$3:$DE$2300),MATCH(ROWS(F$8:F65),COPIA!$DF$3:$DF$2300,0),COLUMN()-1),""))</f>
        <v/>
      </c>
      <c r="G65" s="16"/>
    </row>
    <row r="66" spans="1:7">
      <c r="A66" s="12"/>
      <c r="B66" s="119" t="str">
        <f ca="1">IF(IFERROR(INDEX((COPIA!$DA$3:$DE$2300),MATCH(ROWS(B$8:B66),COPIA!$DF$3:$DF$2300,0),COLUMN()-1),"")&gt;=1,IFERROR(INDEX((COPIA!$DA$3:$DE$2300),MATCH(ROWS(B$8:B66),COPIA!$DF$3:$DF$2300,0),COLUMN()-1),""),"")</f>
        <v/>
      </c>
      <c r="C66" s="118" t="str">
        <f ca="1">SUBSTITUTE(IFERROR(INDEX((COPIA!$DA$3:$DE$2300),MATCH(ROWS(C$8:C66),COPIA!$DF$3:$DF$2300,0),COLUMN()-1),""),"MASTRO","")</f>
        <v/>
      </c>
      <c r="D66" s="29" t="str">
        <f ca="1">IF(IFERROR(INDEX((COPIA!$DA$3:$DE$2300),MATCH(ROWS(D$8:D66),COPIA!$DF$3:$DF$2300,0),COLUMN()-1),"")=0,"",IFERROR(INDEX((COPIA!$DA$3:$DE$2300),MATCH(ROWS(D$8:D66),COPIA!$DF$3:$DF$2300,0),COLUMN()-1),""))</f>
        <v/>
      </c>
      <c r="E66" s="45" t="str">
        <f ca="1">IF(IFERROR(INDEX((COPIA!$DA$3:$DE$2300),MATCH(ROWS(E$8:E66),COPIA!$DF$3:$DF$2300,0),COLUMN()-1),"")=0,"",IFERROR(INDEX((COPIA!$DA$3:$DE$2300),MATCH(ROWS(E$8:E66),COPIA!$DF$3:$DF$2300,0),COLUMN()-1),""))</f>
        <v/>
      </c>
      <c r="F66" s="120" t="str">
        <f ca="1">IF(IFERROR(INDEX((COPIA!$DA$3:$DE$2300),MATCH(ROWS(F$8:F66),COPIA!$DF$3:$DF$2300,0),COLUMN()-1),"")=0,"",IFERROR(INDEX((COPIA!$DA$3:$DE$2300),MATCH(ROWS(F$8:F66),COPIA!$DF$3:$DF$2300,0),COLUMN()-1),""))</f>
        <v/>
      </c>
      <c r="G66" s="16"/>
    </row>
    <row r="67" spans="1:7">
      <c r="A67" s="12"/>
      <c r="B67" s="119" t="str">
        <f ca="1">IF(IFERROR(INDEX((COPIA!$DA$3:$DE$2300),MATCH(ROWS(B$8:B67),COPIA!$DF$3:$DF$2300,0),COLUMN()-1),"")&gt;=1,IFERROR(INDEX((COPIA!$DA$3:$DE$2300),MATCH(ROWS(B$8:B67),COPIA!$DF$3:$DF$2300,0),COLUMN()-1),""),"")</f>
        <v/>
      </c>
      <c r="C67" s="118" t="str">
        <f ca="1">SUBSTITUTE(IFERROR(INDEX((COPIA!$DA$3:$DE$2300),MATCH(ROWS(C$8:C67),COPIA!$DF$3:$DF$2300,0),COLUMN()-1),""),"MASTRO","")</f>
        <v/>
      </c>
      <c r="D67" s="29" t="str">
        <f ca="1">IF(IFERROR(INDEX((COPIA!$DA$3:$DE$2300),MATCH(ROWS(D$8:D67),COPIA!$DF$3:$DF$2300,0),COLUMN()-1),"")=0,"",IFERROR(INDEX((COPIA!$DA$3:$DE$2300),MATCH(ROWS(D$8:D67),COPIA!$DF$3:$DF$2300,0),COLUMN()-1),""))</f>
        <v/>
      </c>
      <c r="E67" s="45" t="str">
        <f ca="1">IF(IFERROR(INDEX((COPIA!$DA$3:$DE$2300),MATCH(ROWS(E$8:E67),COPIA!$DF$3:$DF$2300,0),COLUMN()-1),"")=0,"",IFERROR(INDEX((COPIA!$DA$3:$DE$2300),MATCH(ROWS(E$8:E67),COPIA!$DF$3:$DF$2300,0),COLUMN()-1),""))</f>
        <v/>
      </c>
      <c r="F67" s="120" t="str">
        <f ca="1">IF(IFERROR(INDEX((COPIA!$DA$3:$DE$2300),MATCH(ROWS(F$8:F67),COPIA!$DF$3:$DF$2300,0),COLUMN()-1),"")=0,"",IFERROR(INDEX((COPIA!$DA$3:$DE$2300),MATCH(ROWS(F$8:F67),COPIA!$DF$3:$DF$2300,0),COLUMN()-1),""))</f>
        <v/>
      </c>
      <c r="G67" s="16"/>
    </row>
    <row r="68" spans="1:7">
      <c r="A68" s="12"/>
      <c r="B68" s="119" t="str">
        <f ca="1">IF(IFERROR(INDEX((COPIA!$DA$3:$DE$2300),MATCH(ROWS(B$8:B68),COPIA!$DF$3:$DF$2300,0),COLUMN()-1),"")&gt;=1,IFERROR(INDEX((COPIA!$DA$3:$DE$2300),MATCH(ROWS(B$8:B68),COPIA!$DF$3:$DF$2300,0),COLUMN()-1),""),"")</f>
        <v/>
      </c>
      <c r="C68" s="118" t="str">
        <f ca="1">SUBSTITUTE(IFERROR(INDEX((COPIA!$DA$3:$DE$2300),MATCH(ROWS(C$8:C68),COPIA!$DF$3:$DF$2300,0),COLUMN()-1),""),"MASTRO","")</f>
        <v/>
      </c>
      <c r="D68" s="29" t="str">
        <f ca="1">IF(IFERROR(INDEX((COPIA!$DA$3:$DE$2300),MATCH(ROWS(D$8:D68),COPIA!$DF$3:$DF$2300,0),COLUMN()-1),"")=0,"",IFERROR(INDEX((COPIA!$DA$3:$DE$2300),MATCH(ROWS(D$8:D68),COPIA!$DF$3:$DF$2300,0),COLUMN()-1),""))</f>
        <v/>
      </c>
      <c r="E68" s="45" t="str">
        <f ca="1">IF(IFERROR(INDEX((COPIA!$DA$3:$DE$2300),MATCH(ROWS(E$8:E68),COPIA!$DF$3:$DF$2300,0),COLUMN()-1),"")=0,"",IFERROR(INDEX((COPIA!$DA$3:$DE$2300),MATCH(ROWS(E$8:E68),COPIA!$DF$3:$DF$2300,0),COLUMN()-1),""))</f>
        <v/>
      </c>
      <c r="F68" s="120" t="str">
        <f ca="1">IF(IFERROR(INDEX((COPIA!$DA$3:$DE$2300),MATCH(ROWS(F$8:F68),COPIA!$DF$3:$DF$2300,0),COLUMN()-1),"")=0,"",IFERROR(INDEX((COPIA!$DA$3:$DE$2300),MATCH(ROWS(F$8:F68),COPIA!$DF$3:$DF$2300,0),COLUMN()-1),""))</f>
        <v/>
      </c>
      <c r="G68" s="16"/>
    </row>
    <row r="69" spans="1:7">
      <c r="A69" s="12"/>
      <c r="B69" s="119" t="str">
        <f ca="1">IF(IFERROR(INDEX((COPIA!$DA$3:$DE$2300),MATCH(ROWS(B$8:B69),COPIA!$DF$3:$DF$2300,0),COLUMN()-1),"")&gt;=1,IFERROR(INDEX((COPIA!$DA$3:$DE$2300),MATCH(ROWS(B$8:B69),COPIA!$DF$3:$DF$2300,0),COLUMN()-1),""),"")</f>
        <v/>
      </c>
      <c r="C69" s="118" t="str">
        <f ca="1">SUBSTITUTE(IFERROR(INDEX((COPIA!$DA$3:$DE$2300),MATCH(ROWS(C$8:C69),COPIA!$DF$3:$DF$2300,0),COLUMN()-1),""),"MASTRO","")</f>
        <v/>
      </c>
      <c r="D69" s="29" t="str">
        <f ca="1">IF(IFERROR(INDEX((COPIA!$DA$3:$DE$2300),MATCH(ROWS(D$8:D69),COPIA!$DF$3:$DF$2300,0),COLUMN()-1),"")=0,"",IFERROR(INDEX((COPIA!$DA$3:$DE$2300),MATCH(ROWS(D$8:D69),COPIA!$DF$3:$DF$2300,0),COLUMN()-1),""))</f>
        <v/>
      </c>
      <c r="E69" s="45" t="str">
        <f ca="1">IF(IFERROR(INDEX((COPIA!$DA$3:$DE$2300),MATCH(ROWS(E$8:E69),COPIA!$DF$3:$DF$2300,0),COLUMN()-1),"")=0,"",IFERROR(INDEX((COPIA!$DA$3:$DE$2300),MATCH(ROWS(E$8:E69),COPIA!$DF$3:$DF$2300,0),COLUMN()-1),""))</f>
        <v/>
      </c>
      <c r="F69" s="120" t="str">
        <f ca="1">IF(IFERROR(INDEX((COPIA!$DA$3:$DE$2300),MATCH(ROWS(F$8:F69),COPIA!$DF$3:$DF$2300,0),COLUMN()-1),"")=0,"",IFERROR(INDEX((COPIA!$DA$3:$DE$2300),MATCH(ROWS(F$8:F69),COPIA!$DF$3:$DF$2300,0),COLUMN()-1),""))</f>
        <v/>
      </c>
      <c r="G69" s="16"/>
    </row>
    <row r="70" spans="1:7">
      <c r="A70" s="12"/>
      <c r="B70" s="119" t="str">
        <f ca="1">IF(IFERROR(INDEX((COPIA!$DA$3:$DE$2300),MATCH(ROWS(B$8:B70),COPIA!$DF$3:$DF$2300,0),COLUMN()-1),"")&gt;=1,IFERROR(INDEX((COPIA!$DA$3:$DE$2300),MATCH(ROWS(B$8:B70),COPIA!$DF$3:$DF$2300,0),COLUMN()-1),""),"")</f>
        <v/>
      </c>
      <c r="C70" s="118" t="str">
        <f ca="1">SUBSTITUTE(IFERROR(INDEX((COPIA!$DA$3:$DE$2300),MATCH(ROWS(C$8:C70),COPIA!$DF$3:$DF$2300,0),COLUMN()-1),""),"MASTRO","")</f>
        <v/>
      </c>
      <c r="D70" s="29" t="str">
        <f ca="1">IF(IFERROR(INDEX((COPIA!$DA$3:$DE$2300),MATCH(ROWS(D$8:D70),COPIA!$DF$3:$DF$2300,0),COLUMN()-1),"")=0,"",IFERROR(INDEX((COPIA!$DA$3:$DE$2300),MATCH(ROWS(D$8:D70),COPIA!$DF$3:$DF$2300,0),COLUMN()-1),""))</f>
        <v/>
      </c>
      <c r="E70" s="45" t="str">
        <f ca="1">IF(IFERROR(INDEX((COPIA!$DA$3:$DE$2300),MATCH(ROWS(E$8:E70),COPIA!$DF$3:$DF$2300,0),COLUMN()-1),"")=0,"",IFERROR(INDEX((COPIA!$DA$3:$DE$2300),MATCH(ROWS(E$8:E70),COPIA!$DF$3:$DF$2300,0),COLUMN()-1),""))</f>
        <v/>
      </c>
      <c r="F70" s="120" t="str">
        <f ca="1">IF(IFERROR(INDEX((COPIA!$DA$3:$DE$2300),MATCH(ROWS(F$8:F70),COPIA!$DF$3:$DF$2300,0),COLUMN()-1),"")=0,"",IFERROR(INDEX((COPIA!$DA$3:$DE$2300),MATCH(ROWS(F$8:F70),COPIA!$DF$3:$DF$2300,0),COLUMN()-1),""))</f>
        <v/>
      </c>
      <c r="G70" s="16"/>
    </row>
    <row r="71" spans="1:7">
      <c r="A71" s="12"/>
      <c r="B71" s="119" t="str">
        <f ca="1">IF(IFERROR(INDEX((COPIA!$DA$3:$DE$2300),MATCH(ROWS(B$8:B71),COPIA!$DF$3:$DF$2300,0),COLUMN()-1),"")&gt;=1,IFERROR(INDEX((COPIA!$DA$3:$DE$2300),MATCH(ROWS(B$8:B71),COPIA!$DF$3:$DF$2300,0),COLUMN()-1),""),"")</f>
        <v/>
      </c>
      <c r="C71" s="118" t="str">
        <f ca="1">SUBSTITUTE(IFERROR(INDEX((COPIA!$DA$3:$DE$2300),MATCH(ROWS(C$8:C71),COPIA!$DF$3:$DF$2300,0),COLUMN()-1),""),"MASTRO","")</f>
        <v/>
      </c>
      <c r="D71" s="29" t="str">
        <f ca="1">IF(IFERROR(INDEX((COPIA!$DA$3:$DE$2300),MATCH(ROWS(D$8:D71),COPIA!$DF$3:$DF$2300,0),COLUMN()-1),"")=0,"",IFERROR(INDEX((COPIA!$DA$3:$DE$2300),MATCH(ROWS(D$8:D71),COPIA!$DF$3:$DF$2300,0),COLUMN()-1),""))</f>
        <v/>
      </c>
      <c r="E71" s="45" t="str">
        <f ca="1">IF(IFERROR(INDEX((COPIA!$DA$3:$DE$2300),MATCH(ROWS(E$8:E71),COPIA!$DF$3:$DF$2300,0),COLUMN()-1),"")=0,"",IFERROR(INDEX((COPIA!$DA$3:$DE$2300),MATCH(ROWS(E$8:E71),COPIA!$DF$3:$DF$2300,0),COLUMN()-1),""))</f>
        <v/>
      </c>
      <c r="F71" s="120" t="str">
        <f ca="1">IF(IFERROR(INDEX((COPIA!$DA$3:$DE$2300),MATCH(ROWS(F$8:F71),COPIA!$DF$3:$DF$2300,0),COLUMN()-1),"")=0,"",IFERROR(INDEX((COPIA!$DA$3:$DE$2300),MATCH(ROWS(F$8:F71),COPIA!$DF$3:$DF$2300,0),COLUMN()-1),""))</f>
        <v/>
      </c>
      <c r="G71" s="16"/>
    </row>
    <row r="72" spans="1:7">
      <c r="A72" s="12"/>
      <c r="B72" s="119" t="str">
        <f ca="1">IF(IFERROR(INDEX((COPIA!$DA$3:$DE$2300),MATCH(ROWS(B$8:B72),COPIA!$DF$3:$DF$2300,0),COLUMN()-1),"")&gt;=1,IFERROR(INDEX((COPIA!$DA$3:$DE$2300),MATCH(ROWS(B$8:B72),COPIA!$DF$3:$DF$2300,0),COLUMN()-1),""),"")</f>
        <v/>
      </c>
      <c r="C72" s="118" t="str">
        <f ca="1">SUBSTITUTE(IFERROR(INDEX((COPIA!$DA$3:$DE$2300),MATCH(ROWS(C$8:C72),COPIA!$DF$3:$DF$2300,0),COLUMN()-1),""),"MASTRO","")</f>
        <v/>
      </c>
      <c r="D72" s="29" t="str">
        <f ca="1">IF(IFERROR(INDEX((COPIA!$DA$3:$DE$2300),MATCH(ROWS(D$8:D72),COPIA!$DF$3:$DF$2300,0),COLUMN()-1),"")=0,"",IFERROR(INDEX((COPIA!$DA$3:$DE$2300),MATCH(ROWS(D$8:D72),COPIA!$DF$3:$DF$2300,0),COLUMN()-1),""))</f>
        <v/>
      </c>
      <c r="E72" s="45" t="str">
        <f ca="1">IF(IFERROR(INDEX((COPIA!$DA$3:$DE$2300),MATCH(ROWS(E$8:E72),COPIA!$DF$3:$DF$2300,0),COLUMN()-1),"")=0,"",IFERROR(INDEX((COPIA!$DA$3:$DE$2300),MATCH(ROWS(E$8:E72),COPIA!$DF$3:$DF$2300,0),COLUMN()-1),""))</f>
        <v/>
      </c>
      <c r="F72" s="120" t="str">
        <f ca="1">IF(IFERROR(INDEX((COPIA!$DA$3:$DE$2300),MATCH(ROWS(F$8:F72),COPIA!$DF$3:$DF$2300,0),COLUMN()-1),"")=0,"",IFERROR(INDEX((COPIA!$DA$3:$DE$2300),MATCH(ROWS(F$8:F72),COPIA!$DF$3:$DF$2300,0),COLUMN()-1),""))</f>
        <v/>
      </c>
      <c r="G72" s="16"/>
    </row>
    <row r="73" spans="1:7">
      <c r="A73" s="12"/>
      <c r="B73" s="119" t="str">
        <f ca="1">IF(IFERROR(INDEX((COPIA!$DA$3:$DE$2300),MATCH(ROWS(B$8:B73),COPIA!$DF$3:$DF$2300,0),COLUMN()-1),"")&gt;=1,IFERROR(INDEX((COPIA!$DA$3:$DE$2300),MATCH(ROWS(B$8:B73),COPIA!$DF$3:$DF$2300,0),COLUMN()-1),""),"")</f>
        <v/>
      </c>
      <c r="C73" s="118" t="str">
        <f ca="1">SUBSTITUTE(IFERROR(INDEX((COPIA!$DA$3:$DE$2300),MATCH(ROWS(C$8:C73),COPIA!$DF$3:$DF$2300,0),COLUMN()-1),""),"MASTRO","")</f>
        <v/>
      </c>
      <c r="D73" s="29" t="str">
        <f ca="1">IF(IFERROR(INDEX((COPIA!$DA$3:$DE$2300),MATCH(ROWS(D$8:D73),COPIA!$DF$3:$DF$2300,0),COLUMN()-1),"")=0,"",IFERROR(INDEX((COPIA!$DA$3:$DE$2300),MATCH(ROWS(D$8:D73),COPIA!$DF$3:$DF$2300,0),COLUMN()-1),""))</f>
        <v/>
      </c>
      <c r="E73" s="45" t="str">
        <f ca="1">IF(IFERROR(INDEX((COPIA!$DA$3:$DE$2300),MATCH(ROWS(E$8:E73),COPIA!$DF$3:$DF$2300,0),COLUMN()-1),"")=0,"",IFERROR(INDEX((COPIA!$DA$3:$DE$2300),MATCH(ROWS(E$8:E73),COPIA!$DF$3:$DF$2300,0),COLUMN()-1),""))</f>
        <v/>
      </c>
      <c r="F73" s="120" t="str">
        <f ca="1">IF(IFERROR(INDEX((COPIA!$DA$3:$DE$2300),MATCH(ROWS(F$8:F73),COPIA!$DF$3:$DF$2300,0),COLUMN()-1),"")=0,"",IFERROR(INDEX((COPIA!$DA$3:$DE$2300),MATCH(ROWS(F$8:F73),COPIA!$DF$3:$DF$2300,0),COLUMN()-1),""))</f>
        <v/>
      </c>
      <c r="G73" s="16"/>
    </row>
    <row r="74" spans="1:7">
      <c r="A74" s="12"/>
      <c r="B74" s="119" t="str">
        <f ca="1">IF(IFERROR(INDEX((COPIA!$DA$3:$DE$2300),MATCH(ROWS(B$8:B74),COPIA!$DF$3:$DF$2300,0),COLUMN()-1),"")&gt;=1,IFERROR(INDEX((COPIA!$DA$3:$DE$2300),MATCH(ROWS(B$8:B74),COPIA!$DF$3:$DF$2300,0),COLUMN()-1),""),"")</f>
        <v/>
      </c>
      <c r="C74" s="118" t="str">
        <f ca="1">SUBSTITUTE(IFERROR(INDEX((COPIA!$DA$3:$DE$2300),MATCH(ROWS(C$8:C74),COPIA!$DF$3:$DF$2300,0),COLUMN()-1),""),"MASTRO","")</f>
        <v/>
      </c>
      <c r="D74" s="29" t="str">
        <f ca="1">IF(IFERROR(INDEX((COPIA!$DA$3:$DE$2300),MATCH(ROWS(D$8:D74),COPIA!$DF$3:$DF$2300,0),COLUMN()-1),"")=0,"",IFERROR(INDEX((COPIA!$DA$3:$DE$2300),MATCH(ROWS(D$8:D74),COPIA!$DF$3:$DF$2300,0),COLUMN()-1),""))</f>
        <v/>
      </c>
      <c r="E74" s="45" t="str">
        <f ca="1">IF(IFERROR(INDEX((COPIA!$DA$3:$DE$2300),MATCH(ROWS(E$8:E74),COPIA!$DF$3:$DF$2300,0),COLUMN()-1),"")=0,"",IFERROR(INDEX((COPIA!$DA$3:$DE$2300),MATCH(ROWS(E$8:E74),COPIA!$DF$3:$DF$2300,0),COLUMN()-1),""))</f>
        <v/>
      </c>
      <c r="F74" s="120" t="str">
        <f ca="1">IF(IFERROR(INDEX((COPIA!$DA$3:$DE$2300),MATCH(ROWS(F$8:F74),COPIA!$DF$3:$DF$2300,0),COLUMN()-1),"")=0,"",IFERROR(INDEX((COPIA!$DA$3:$DE$2300),MATCH(ROWS(F$8:F74),COPIA!$DF$3:$DF$2300,0),COLUMN()-1),""))</f>
        <v/>
      </c>
      <c r="G74" s="16"/>
    </row>
    <row r="75" spans="1:7">
      <c r="A75" s="12"/>
      <c r="B75" s="119" t="str">
        <f ca="1">IF(IFERROR(INDEX((COPIA!$DA$3:$DE$2300),MATCH(ROWS(B$8:B75),COPIA!$DF$3:$DF$2300,0),COLUMN()-1),"")&gt;=1,IFERROR(INDEX((COPIA!$DA$3:$DE$2300),MATCH(ROWS(B$8:B75),COPIA!$DF$3:$DF$2300,0),COLUMN()-1),""),"")</f>
        <v/>
      </c>
      <c r="C75" s="118" t="str">
        <f ca="1">SUBSTITUTE(IFERROR(INDEX((COPIA!$DA$3:$DE$2300),MATCH(ROWS(C$8:C75),COPIA!$DF$3:$DF$2300,0),COLUMN()-1),""),"MASTRO","")</f>
        <v/>
      </c>
      <c r="D75" s="29" t="str">
        <f ca="1">IF(IFERROR(INDEX((COPIA!$DA$3:$DE$2300),MATCH(ROWS(D$8:D75),COPIA!$DF$3:$DF$2300,0),COLUMN()-1),"")=0,"",IFERROR(INDEX((COPIA!$DA$3:$DE$2300),MATCH(ROWS(D$8:D75),COPIA!$DF$3:$DF$2300,0),COLUMN()-1),""))</f>
        <v/>
      </c>
      <c r="E75" s="45" t="str">
        <f ca="1">IF(IFERROR(INDEX((COPIA!$DA$3:$DE$2300),MATCH(ROWS(E$8:E75),COPIA!$DF$3:$DF$2300,0),COLUMN()-1),"")=0,"",IFERROR(INDEX((COPIA!$DA$3:$DE$2300),MATCH(ROWS(E$8:E75),COPIA!$DF$3:$DF$2300,0),COLUMN()-1),""))</f>
        <v/>
      </c>
      <c r="F75" s="120" t="str">
        <f ca="1">IF(IFERROR(INDEX((COPIA!$DA$3:$DE$2300),MATCH(ROWS(F$8:F75),COPIA!$DF$3:$DF$2300,0),COLUMN()-1),"")=0,"",IFERROR(INDEX((COPIA!$DA$3:$DE$2300),MATCH(ROWS(F$8:F75),COPIA!$DF$3:$DF$2300,0),COLUMN()-1),""))</f>
        <v/>
      </c>
      <c r="G75" s="16"/>
    </row>
    <row r="76" spans="1:7">
      <c r="A76" s="12"/>
      <c r="B76" s="119" t="str">
        <f ca="1">IF(IFERROR(INDEX((COPIA!$DA$3:$DE$2300),MATCH(ROWS(B$8:B76),COPIA!$DF$3:$DF$2300,0),COLUMN()-1),"")&gt;=1,IFERROR(INDEX((COPIA!$DA$3:$DE$2300),MATCH(ROWS(B$8:B76),COPIA!$DF$3:$DF$2300,0),COLUMN()-1),""),"")</f>
        <v/>
      </c>
      <c r="C76" s="118" t="str">
        <f ca="1">SUBSTITUTE(IFERROR(INDEX((COPIA!$DA$3:$DE$2300),MATCH(ROWS(C$8:C76),COPIA!$DF$3:$DF$2300,0),COLUMN()-1),""),"MASTRO","")</f>
        <v/>
      </c>
      <c r="D76" s="29" t="str">
        <f ca="1">IF(IFERROR(INDEX((COPIA!$DA$3:$DE$2300),MATCH(ROWS(D$8:D76),COPIA!$DF$3:$DF$2300,0),COLUMN()-1),"")=0,"",IFERROR(INDEX((COPIA!$DA$3:$DE$2300),MATCH(ROWS(D$8:D76),COPIA!$DF$3:$DF$2300,0),COLUMN()-1),""))</f>
        <v/>
      </c>
      <c r="E76" s="45" t="str">
        <f ca="1">IF(IFERROR(INDEX((COPIA!$DA$3:$DE$2300),MATCH(ROWS(E$8:E76),COPIA!$DF$3:$DF$2300,0),COLUMN()-1),"")=0,"",IFERROR(INDEX((COPIA!$DA$3:$DE$2300),MATCH(ROWS(E$8:E76),COPIA!$DF$3:$DF$2300,0),COLUMN()-1),""))</f>
        <v/>
      </c>
      <c r="F76" s="120" t="str">
        <f ca="1">IF(IFERROR(INDEX((COPIA!$DA$3:$DE$2300),MATCH(ROWS(F$8:F76),COPIA!$DF$3:$DF$2300,0),COLUMN()-1),"")=0,"",IFERROR(INDEX((COPIA!$DA$3:$DE$2300),MATCH(ROWS(F$8:F76),COPIA!$DF$3:$DF$2300,0),COLUMN()-1),""))</f>
        <v/>
      </c>
      <c r="G76" s="16"/>
    </row>
    <row r="77" spans="1:7">
      <c r="A77" s="12"/>
      <c r="B77" s="119" t="str">
        <f ca="1">IF(IFERROR(INDEX((COPIA!$DA$3:$DE$2300),MATCH(ROWS(B$8:B77),COPIA!$DF$3:$DF$2300,0),COLUMN()-1),"")&gt;=1,IFERROR(INDEX((COPIA!$DA$3:$DE$2300),MATCH(ROWS(B$8:B77),COPIA!$DF$3:$DF$2300,0),COLUMN()-1),""),"")</f>
        <v/>
      </c>
      <c r="C77" s="118" t="str">
        <f ca="1">SUBSTITUTE(IFERROR(INDEX((COPIA!$DA$3:$DE$2300),MATCH(ROWS(C$8:C77),COPIA!$DF$3:$DF$2300,0),COLUMN()-1),""),"MASTRO","")</f>
        <v/>
      </c>
      <c r="D77" s="29" t="str">
        <f ca="1">IF(IFERROR(INDEX((COPIA!$DA$3:$DE$2300),MATCH(ROWS(D$8:D77),COPIA!$DF$3:$DF$2300,0),COLUMN()-1),"")=0,"",IFERROR(INDEX((COPIA!$DA$3:$DE$2300),MATCH(ROWS(D$8:D77),COPIA!$DF$3:$DF$2300,0),COLUMN()-1),""))</f>
        <v/>
      </c>
      <c r="E77" s="45" t="str">
        <f ca="1">IF(IFERROR(INDEX((COPIA!$DA$3:$DE$2300),MATCH(ROWS(E$8:E77),COPIA!$DF$3:$DF$2300,0),COLUMN()-1),"")=0,"",IFERROR(INDEX((COPIA!$DA$3:$DE$2300),MATCH(ROWS(E$8:E77),COPIA!$DF$3:$DF$2300,0),COLUMN()-1),""))</f>
        <v/>
      </c>
      <c r="F77" s="120" t="str">
        <f ca="1">IF(IFERROR(INDEX((COPIA!$DA$3:$DE$2300),MATCH(ROWS(F$8:F77),COPIA!$DF$3:$DF$2300,0),COLUMN()-1),"")=0,"",IFERROR(INDEX((COPIA!$DA$3:$DE$2300),MATCH(ROWS(F$8:F77),COPIA!$DF$3:$DF$2300,0),COLUMN()-1),""))</f>
        <v/>
      </c>
      <c r="G77" s="16"/>
    </row>
    <row r="78" spans="1:7">
      <c r="A78" s="12"/>
      <c r="B78" s="119" t="str">
        <f ca="1">IF(IFERROR(INDEX((COPIA!$DA$3:$DE$2300),MATCH(ROWS(B$8:B78),COPIA!$DF$3:$DF$2300,0),COLUMN()-1),"")&gt;=1,IFERROR(INDEX((COPIA!$DA$3:$DE$2300),MATCH(ROWS(B$8:B78),COPIA!$DF$3:$DF$2300,0),COLUMN()-1),""),"")</f>
        <v/>
      </c>
      <c r="C78" s="118" t="str">
        <f ca="1">SUBSTITUTE(IFERROR(INDEX((COPIA!$DA$3:$DE$2300),MATCH(ROWS(C$8:C78),COPIA!$DF$3:$DF$2300,0),COLUMN()-1),""),"MASTRO","")</f>
        <v/>
      </c>
      <c r="D78" s="29" t="str">
        <f ca="1">IF(IFERROR(INDEX((COPIA!$DA$3:$DE$2300),MATCH(ROWS(D$8:D78),COPIA!$DF$3:$DF$2300,0),COLUMN()-1),"")=0,"",IFERROR(INDEX((COPIA!$DA$3:$DE$2300),MATCH(ROWS(D$8:D78),COPIA!$DF$3:$DF$2300,0),COLUMN()-1),""))</f>
        <v/>
      </c>
      <c r="E78" s="45" t="str">
        <f ca="1">IF(IFERROR(INDEX((COPIA!$DA$3:$DE$2300),MATCH(ROWS(E$8:E78),COPIA!$DF$3:$DF$2300,0),COLUMN()-1),"")=0,"",IFERROR(INDEX((COPIA!$DA$3:$DE$2300),MATCH(ROWS(E$8:E78),COPIA!$DF$3:$DF$2300,0),COLUMN()-1),""))</f>
        <v/>
      </c>
      <c r="F78" s="120" t="str">
        <f ca="1">IF(IFERROR(INDEX((COPIA!$DA$3:$DE$2300),MATCH(ROWS(F$8:F78),COPIA!$DF$3:$DF$2300,0),COLUMN()-1),"")=0,"",IFERROR(INDEX((COPIA!$DA$3:$DE$2300),MATCH(ROWS(F$8:F78),COPIA!$DF$3:$DF$2300,0),COLUMN()-1),""))</f>
        <v/>
      </c>
      <c r="G78" s="16"/>
    </row>
    <row r="79" spans="1:7">
      <c r="A79" s="12"/>
      <c r="B79" s="119" t="str">
        <f ca="1">IF(IFERROR(INDEX((COPIA!$DA$3:$DE$2300),MATCH(ROWS(B$8:B79),COPIA!$DF$3:$DF$2300,0),COLUMN()-1),"")&gt;=1,IFERROR(INDEX((COPIA!$DA$3:$DE$2300),MATCH(ROWS(B$8:B79),COPIA!$DF$3:$DF$2300,0),COLUMN()-1),""),"")</f>
        <v/>
      </c>
      <c r="C79" s="118" t="str">
        <f ca="1">SUBSTITUTE(IFERROR(INDEX((COPIA!$DA$3:$DE$2300),MATCH(ROWS(C$8:C79),COPIA!$DF$3:$DF$2300,0),COLUMN()-1),""),"MASTRO","")</f>
        <v/>
      </c>
      <c r="D79" s="29" t="str">
        <f ca="1">IF(IFERROR(INDEX((COPIA!$DA$3:$DE$2300),MATCH(ROWS(D$8:D79),COPIA!$DF$3:$DF$2300,0),COLUMN()-1),"")=0,"",IFERROR(INDEX((COPIA!$DA$3:$DE$2300),MATCH(ROWS(D$8:D79),COPIA!$DF$3:$DF$2300,0),COLUMN()-1),""))</f>
        <v/>
      </c>
      <c r="E79" s="45" t="str">
        <f ca="1">IF(IFERROR(INDEX((COPIA!$DA$3:$DE$2300),MATCH(ROWS(E$8:E79),COPIA!$DF$3:$DF$2300,0),COLUMN()-1),"")=0,"",IFERROR(INDEX((COPIA!$DA$3:$DE$2300),MATCH(ROWS(E$8:E79),COPIA!$DF$3:$DF$2300,0),COLUMN()-1),""))</f>
        <v/>
      </c>
      <c r="F79" s="120" t="str">
        <f ca="1">IF(IFERROR(INDEX((COPIA!$DA$3:$DE$2300),MATCH(ROWS(F$8:F79),COPIA!$DF$3:$DF$2300,0),COLUMN()-1),"")=0,"",IFERROR(INDEX((COPIA!$DA$3:$DE$2300),MATCH(ROWS(F$8:F79),COPIA!$DF$3:$DF$2300,0),COLUMN()-1),""))</f>
        <v/>
      </c>
      <c r="G79" s="16"/>
    </row>
    <row r="80" spans="1:7">
      <c r="A80" s="12"/>
      <c r="B80" s="119" t="str">
        <f ca="1">IF(IFERROR(INDEX((COPIA!$DA$3:$DE$2300),MATCH(ROWS(B$8:B80),COPIA!$DF$3:$DF$2300,0),COLUMN()-1),"")&gt;=1,IFERROR(INDEX((COPIA!$DA$3:$DE$2300),MATCH(ROWS(B$8:B80),COPIA!$DF$3:$DF$2300,0),COLUMN()-1),""),"")</f>
        <v/>
      </c>
      <c r="C80" s="118" t="str">
        <f ca="1">SUBSTITUTE(IFERROR(INDEX((COPIA!$DA$3:$DE$2300),MATCH(ROWS(C$8:C80),COPIA!$DF$3:$DF$2300,0),COLUMN()-1),""),"MASTRO","")</f>
        <v/>
      </c>
      <c r="D80" s="29" t="str">
        <f ca="1">IF(IFERROR(INDEX((COPIA!$DA$3:$DE$2300),MATCH(ROWS(D$8:D80),COPIA!$DF$3:$DF$2300,0),COLUMN()-1),"")=0,"",IFERROR(INDEX((COPIA!$DA$3:$DE$2300),MATCH(ROWS(D$8:D80),COPIA!$DF$3:$DF$2300,0),COLUMN()-1),""))</f>
        <v/>
      </c>
      <c r="E80" s="45" t="str">
        <f ca="1">IF(IFERROR(INDEX((COPIA!$DA$3:$DE$2300),MATCH(ROWS(E$8:E80),COPIA!$DF$3:$DF$2300,0),COLUMN()-1),"")=0,"",IFERROR(INDEX((COPIA!$DA$3:$DE$2300),MATCH(ROWS(E$8:E80),COPIA!$DF$3:$DF$2300,0),COLUMN()-1),""))</f>
        <v/>
      </c>
      <c r="F80" s="120" t="str">
        <f ca="1">IF(IFERROR(INDEX((COPIA!$DA$3:$DE$2300),MATCH(ROWS(F$8:F80),COPIA!$DF$3:$DF$2300,0),COLUMN()-1),"")=0,"",IFERROR(INDEX((COPIA!$DA$3:$DE$2300),MATCH(ROWS(F$8:F80),COPIA!$DF$3:$DF$2300,0),COLUMN()-1),""))</f>
        <v/>
      </c>
      <c r="G80" s="16"/>
    </row>
    <row r="81" spans="1:7">
      <c r="A81" s="12"/>
      <c r="B81" s="119" t="str">
        <f ca="1">IF(IFERROR(INDEX((COPIA!$DA$3:$DE$2300),MATCH(ROWS(B$8:B81),COPIA!$DF$3:$DF$2300,0),COLUMN()-1),"")&gt;=1,IFERROR(INDEX((COPIA!$DA$3:$DE$2300),MATCH(ROWS(B$8:B81),COPIA!$DF$3:$DF$2300,0),COLUMN()-1),""),"")</f>
        <v/>
      </c>
      <c r="C81" s="118" t="str">
        <f ca="1">SUBSTITUTE(IFERROR(INDEX((COPIA!$DA$3:$DE$2300),MATCH(ROWS(C$8:C81),COPIA!$DF$3:$DF$2300,0),COLUMN()-1),""),"MASTRO","")</f>
        <v/>
      </c>
      <c r="D81" s="29" t="str">
        <f ca="1">IF(IFERROR(INDEX((COPIA!$DA$3:$DE$2300),MATCH(ROWS(D$8:D81),COPIA!$DF$3:$DF$2300,0),COLUMN()-1),"")=0,"",IFERROR(INDEX((COPIA!$DA$3:$DE$2300),MATCH(ROWS(D$8:D81),COPIA!$DF$3:$DF$2300,0),COLUMN()-1),""))</f>
        <v/>
      </c>
      <c r="E81" s="45" t="str">
        <f ca="1">IF(IFERROR(INDEX((COPIA!$DA$3:$DE$2300),MATCH(ROWS(E$8:E81),COPIA!$DF$3:$DF$2300,0),COLUMN()-1),"")=0,"",IFERROR(INDEX((COPIA!$DA$3:$DE$2300),MATCH(ROWS(E$8:E81),COPIA!$DF$3:$DF$2300,0),COLUMN()-1),""))</f>
        <v/>
      </c>
      <c r="F81" s="120" t="str">
        <f ca="1">IF(IFERROR(INDEX((COPIA!$DA$3:$DE$2300),MATCH(ROWS(F$8:F81),COPIA!$DF$3:$DF$2300,0),COLUMN()-1),"")=0,"",IFERROR(INDEX((COPIA!$DA$3:$DE$2300),MATCH(ROWS(F$8:F81),COPIA!$DF$3:$DF$2300,0),COLUMN()-1),""))</f>
        <v/>
      </c>
      <c r="G81" s="16"/>
    </row>
    <row r="82" spans="1:7">
      <c r="A82" s="12"/>
      <c r="B82" s="119" t="str">
        <f ca="1">IF(IFERROR(INDEX((COPIA!$DA$3:$DE$2300),MATCH(ROWS(B$8:B82),COPIA!$DF$3:$DF$2300,0),COLUMN()-1),"")&gt;=1,IFERROR(INDEX((COPIA!$DA$3:$DE$2300),MATCH(ROWS(B$8:B82),COPIA!$DF$3:$DF$2300,0),COLUMN()-1),""),"")</f>
        <v/>
      </c>
      <c r="C82" s="118" t="str">
        <f ca="1">SUBSTITUTE(IFERROR(INDEX((COPIA!$DA$3:$DE$2300),MATCH(ROWS(C$8:C82),COPIA!$DF$3:$DF$2300,0),COLUMN()-1),""),"MASTRO","")</f>
        <v/>
      </c>
      <c r="D82" s="29" t="str">
        <f ca="1">IF(IFERROR(INDEX((COPIA!$DA$3:$DE$2300),MATCH(ROWS(D$8:D82),COPIA!$DF$3:$DF$2300,0),COLUMN()-1),"")=0,"",IFERROR(INDEX((COPIA!$DA$3:$DE$2300),MATCH(ROWS(D$8:D82),COPIA!$DF$3:$DF$2300,0),COLUMN()-1),""))</f>
        <v/>
      </c>
      <c r="E82" s="45" t="str">
        <f ca="1">IF(IFERROR(INDEX((COPIA!$DA$3:$DE$2300),MATCH(ROWS(E$8:E82),COPIA!$DF$3:$DF$2300,0),COLUMN()-1),"")=0,"",IFERROR(INDEX((COPIA!$DA$3:$DE$2300),MATCH(ROWS(E$8:E82),COPIA!$DF$3:$DF$2300,0),COLUMN()-1),""))</f>
        <v/>
      </c>
      <c r="F82" s="120" t="str">
        <f ca="1">IF(IFERROR(INDEX((COPIA!$DA$3:$DE$2300),MATCH(ROWS(F$8:F82),COPIA!$DF$3:$DF$2300,0),COLUMN()-1),"")=0,"",IFERROR(INDEX((COPIA!$DA$3:$DE$2300),MATCH(ROWS(F$8:F82),COPIA!$DF$3:$DF$2300,0),COLUMN()-1),""))</f>
        <v/>
      </c>
      <c r="G82" s="16"/>
    </row>
    <row r="83" spans="1:7">
      <c r="A83" s="12"/>
      <c r="B83" s="119" t="str">
        <f ca="1">IF(IFERROR(INDEX((COPIA!$DA$3:$DE$2300),MATCH(ROWS(B$8:B83),COPIA!$DF$3:$DF$2300,0),COLUMN()-1),"")&gt;=1,IFERROR(INDEX((COPIA!$DA$3:$DE$2300),MATCH(ROWS(B$8:B83),COPIA!$DF$3:$DF$2300,0),COLUMN()-1),""),"")</f>
        <v/>
      </c>
      <c r="C83" s="118" t="str">
        <f ca="1">SUBSTITUTE(IFERROR(INDEX((COPIA!$DA$3:$DE$2300),MATCH(ROWS(C$8:C83),COPIA!$DF$3:$DF$2300,0),COLUMN()-1),""),"MASTRO","")</f>
        <v/>
      </c>
      <c r="D83" s="29" t="str">
        <f ca="1">IF(IFERROR(INDEX((COPIA!$DA$3:$DE$2300),MATCH(ROWS(D$8:D83),COPIA!$DF$3:$DF$2300,0),COLUMN()-1),"")=0,"",IFERROR(INDEX((COPIA!$DA$3:$DE$2300),MATCH(ROWS(D$8:D83),COPIA!$DF$3:$DF$2300,0),COLUMN()-1),""))</f>
        <v/>
      </c>
      <c r="E83" s="45" t="str">
        <f ca="1">IF(IFERROR(INDEX((COPIA!$DA$3:$DE$2300),MATCH(ROWS(E$8:E83),COPIA!$DF$3:$DF$2300,0),COLUMN()-1),"")=0,"",IFERROR(INDEX((COPIA!$DA$3:$DE$2300),MATCH(ROWS(E$8:E83),COPIA!$DF$3:$DF$2300,0),COLUMN()-1),""))</f>
        <v/>
      </c>
      <c r="F83" s="120" t="str">
        <f ca="1">IF(IFERROR(INDEX((COPIA!$DA$3:$DE$2300),MATCH(ROWS(F$8:F83),COPIA!$DF$3:$DF$2300,0),COLUMN()-1),"")=0,"",IFERROR(INDEX((COPIA!$DA$3:$DE$2300),MATCH(ROWS(F$8:F83),COPIA!$DF$3:$DF$2300,0),COLUMN()-1),""))</f>
        <v/>
      </c>
      <c r="G83" s="16"/>
    </row>
    <row r="84" spans="1:7">
      <c r="A84" s="12"/>
      <c r="B84" s="119" t="str">
        <f ca="1">IF(IFERROR(INDEX((COPIA!$DA$3:$DE$2300),MATCH(ROWS(B$8:B84),COPIA!$DF$3:$DF$2300,0),COLUMN()-1),"")&gt;=1,IFERROR(INDEX((COPIA!$DA$3:$DE$2300),MATCH(ROWS(B$8:B84),COPIA!$DF$3:$DF$2300,0),COLUMN()-1),""),"")</f>
        <v/>
      </c>
      <c r="C84" s="118" t="str">
        <f ca="1">SUBSTITUTE(IFERROR(INDEX((COPIA!$DA$3:$DE$2300),MATCH(ROWS(C$8:C84),COPIA!$DF$3:$DF$2300,0),COLUMN()-1),""),"MASTRO","")</f>
        <v/>
      </c>
      <c r="D84" s="29" t="str">
        <f ca="1">IF(IFERROR(INDEX((COPIA!$DA$3:$DE$2300),MATCH(ROWS(D$8:D84),COPIA!$DF$3:$DF$2300,0),COLUMN()-1),"")=0,"",IFERROR(INDEX((COPIA!$DA$3:$DE$2300),MATCH(ROWS(D$8:D84),COPIA!$DF$3:$DF$2300,0),COLUMN()-1),""))</f>
        <v/>
      </c>
      <c r="E84" s="45" t="str">
        <f ca="1">IF(IFERROR(INDEX((COPIA!$DA$3:$DE$2300),MATCH(ROWS(E$8:E84),COPIA!$DF$3:$DF$2300,0),COLUMN()-1),"")=0,"",IFERROR(INDEX((COPIA!$DA$3:$DE$2300),MATCH(ROWS(E$8:E84),COPIA!$DF$3:$DF$2300,0),COLUMN()-1),""))</f>
        <v/>
      </c>
      <c r="F84" s="120" t="str">
        <f ca="1">IF(IFERROR(INDEX((COPIA!$DA$3:$DE$2300),MATCH(ROWS(F$8:F84),COPIA!$DF$3:$DF$2300,0),COLUMN()-1),"")=0,"",IFERROR(INDEX((COPIA!$DA$3:$DE$2300),MATCH(ROWS(F$8:F84),COPIA!$DF$3:$DF$2300,0),COLUMN()-1),""))</f>
        <v/>
      </c>
      <c r="G84" s="16"/>
    </row>
    <row r="85" spans="1:7">
      <c r="A85" s="12"/>
      <c r="B85" s="119" t="str">
        <f ca="1">IF(IFERROR(INDEX((COPIA!$DA$3:$DE$2300),MATCH(ROWS(B$8:B85),COPIA!$DF$3:$DF$2300,0),COLUMN()-1),"")&gt;=1,IFERROR(INDEX((COPIA!$DA$3:$DE$2300),MATCH(ROWS(B$8:B85),COPIA!$DF$3:$DF$2300,0),COLUMN()-1),""),"")</f>
        <v/>
      </c>
      <c r="C85" s="118" t="str">
        <f ca="1">SUBSTITUTE(IFERROR(INDEX((COPIA!$DA$3:$DE$2300),MATCH(ROWS(C$8:C85),COPIA!$DF$3:$DF$2300,0),COLUMN()-1),""),"MASTRO","")</f>
        <v/>
      </c>
      <c r="D85" s="29" t="str">
        <f ca="1">IF(IFERROR(INDEX((COPIA!$DA$3:$DE$2300),MATCH(ROWS(D$8:D85),COPIA!$DF$3:$DF$2300,0),COLUMN()-1),"")=0,"",IFERROR(INDEX((COPIA!$DA$3:$DE$2300),MATCH(ROWS(D$8:D85),COPIA!$DF$3:$DF$2300,0),COLUMN()-1),""))</f>
        <v/>
      </c>
      <c r="E85" s="45" t="str">
        <f ca="1">IF(IFERROR(INDEX((COPIA!$DA$3:$DE$2300),MATCH(ROWS(E$8:E85),COPIA!$DF$3:$DF$2300,0),COLUMN()-1),"")=0,"",IFERROR(INDEX((COPIA!$DA$3:$DE$2300),MATCH(ROWS(E$8:E85),COPIA!$DF$3:$DF$2300,0),COLUMN()-1),""))</f>
        <v/>
      </c>
      <c r="F85" s="120" t="str">
        <f ca="1">IF(IFERROR(INDEX((COPIA!$DA$3:$DE$2300),MATCH(ROWS(F$8:F85),COPIA!$DF$3:$DF$2300,0),COLUMN()-1),"")=0,"",IFERROR(INDEX((COPIA!$DA$3:$DE$2300),MATCH(ROWS(F$8:F85),COPIA!$DF$3:$DF$2300,0),COLUMN()-1),""))</f>
        <v/>
      </c>
      <c r="G85" s="16"/>
    </row>
    <row r="86" spans="1:7">
      <c r="A86" s="12"/>
      <c r="B86" s="119" t="str">
        <f ca="1">IF(IFERROR(INDEX((COPIA!$DA$3:$DE$2300),MATCH(ROWS(B$8:B86),COPIA!$DF$3:$DF$2300,0),COLUMN()-1),"")&gt;=1,IFERROR(INDEX((COPIA!$DA$3:$DE$2300),MATCH(ROWS(B$8:B86),COPIA!$DF$3:$DF$2300,0),COLUMN()-1),""),"")</f>
        <v/>
      </c>
      <c r="C86" s="118" t="str">
        <f ca="1">SUBSTITUTE(IFERROR(INDEX((COPIA!$DA$3:$DE$2300),MATCH(ROWS(C$8:C86),COPIA!$DF$3:$DF$2300,0),COLUMN()-1),""),"MASTRO","")</f>
        <v/>
      </c>
      <c r="D86" s="29" t="str">
        <f ca="1">IF(IFERROR(INDEX((COPIA!$DA$3:$DE$2300),MATCH(ROWS(D$8:D86),COPIA!$DF$3:$DF$2300,0),COLUMN()-1),"")=0,"",IFERROR(INDEX((COPIA!$DA$3:$DE$2300),MATCH(ROWS(D$8:D86),COPIA!$DF$3:$DF$2300,0),COLUMN()-1),""))</f>
        <v/>
      </c>
      <c r="E86" s="45" t="str">
        <f ca="1">IF(IFERROR(INDEX((COPIA!$DA$3:$DE$2300),MATCH(ROWS(E$8:E86),COPIA!$DF$3:$DF$2300,0),COLUMN()-1),"")=0,"",IFERROR(INDEX((COPIA!$DA$3:$DE$2300),MATCH(ROWS(E$8:E86),COPIA!$DF$3:$DF$2300,0),COLUMN()-1),""))</f>
        <v/>
      </c>
      <c r="F86" s="120" t="str">
        <f ca="1">IF(IFERROR(INDEX((COPIA!$DA$3:$DE$2300),MATCH(ROWS(F$8:F86),COPIA!$DF$3:$DF$2300,0),COLUMN()-1),"")=0,"",IFERROR(INDEX((COPIA!$DA$3:$DE$2300),MATCH(ROWS(F$8:F86),COPIA!$DF$3:$DF$2300,0),COLUMN()-1),""))</f>
        <v/>
      </c>
      <c r="G86" s="16"/>
    </row>
    <row r="87" spans="1:7">
      <c r="A87" s="12"/>
      <c r="B87" s="119" t="str">
        <f ca="1">IF(IFERROR(INDEX((COPIA!$DA$3:$DE$2300),MATCH(ROWS(B$8:B87),COPIA!$DF$3:$DF$2300,0),COLUMN()-1),"")&gt;=1,IFERROR(INDEX((COPIA!$DA$3:$DE$2300),MATCH(ROWS(B$8:B87),COPIA!$DF$3:$DF$2300,0),COLUMN()-1),""),"")</f>
        <v/>
      </c>
      <c r="C87" s="118" t="str">
        <f ca="1">SUBSTITUTE(IFERROR(INDEX((COPIA!$DA$3:$DE$2300),MATCH(ROWS(C$8:C87),COPIA!$DF$3:$DF$2300,0),COLUMN()-1),""),"MASTRO","")</f>
        <v/>
      </c>
      <c r="D87" s="29" t="str">
        <f ca="1">IF(IFERROR(INDEX((COPIA!$DA$3:$DE$2300),MATCH(ROWS(D$8:D87),COPIA!$DF$3:$DF$2300,0),COLUMN()-1),"")=0,"",IFERROR(INDEX((COPIA!$DA$3:$DE$2300),MATCH(ROWS(D$8:D87),COPIA!$DF$3:$DF$2300,0),COLUMN()-1),""))</f>
        <v/>
      </c>
      <c r="E87" s="45" t="str">
        <f ca="1">IF(IFERROR(INDEX((COPIA!$DA$3:$DE$2300),MATCH(ROWS(E$8:E87),COPIA!$DF$3:$DF$2300,0),COLUMN()-1),"")=0,"",IFERROR(INDEX((COPIA!$DA$3:$DE$2300),MATCH(ROWS(E$8:E87),COPIA!$DF$3:$DF$2300,0),COLUMN()-1),""))</f>
        <v/>
      </c>
      <c r="F87" s="120" t="str">
        <f ca="1">IF(IFERROR(INDEX((COPIA!$DA$3:$DE$2300),MATCH(ROWS(F$8:F87),COPIA!$DF$3:$DF$2300,0),COLUMN()-1),"")=0,"",IFERROR(INDEX((COPIA!$DA$3:$DE$2300),MATCH(ROWS(F$8:F87),COPIA!$DF$3:$DF$2300,0),COLUMN()-1),""))</f>
        <v/>
      </c>
      <c r="G87" s="16"/>
    </row>
    <row r="88" spans="1:7">
      <c r="A88" s="12"/>
      <c r="B88" s="119" t="str">
        <f ca="1">IF(IFERROR(INDEX((COPIA!$DA$3:$DE$2300),MATCH(ROWS(B$8:B88),COPIA!$DF$3:$DF$2300,0),COLUMN()-1),"")&gt;=1,IFERROR(INDEX((COPIA!$DA$3:$DE$2300),MATCH(ROWS(B$8:B88),COPIA!$DF$3:$DF$2300,0),COLUMN()-1),""),"")</f>
        <v/>
      </c>
      <c r="C88" s="118" t="str">
        <f ca="1">SUBSTITUTE(IFERROR(INDEX((COPIA!$DA$3:$DE$2300),MATCH(ROWS(C$8:C88),COPIA!$DF$3:$DF$2300,0),COLUMN()-1),""),"MASTRO","")</f>
        <v/>
      </c>
      <c r="D88" s="29" t="str">
        <f ca="1">IF(IFERROR(INDEX((COPIA!$DA$3:$DE$2300),MATCH(ROWS(D$8:D88),COPIA!$DF$3:$DF$2300,0),COLUMN()-1),"")=0,"",IFERROR(INDEX((COPIA!$DA$3:$DE$2300),MATCH(ROWS(D$8:D88),COPIA!$DF$3:$DF$2300,0),COLUMN()-1),""))</f>
        <v/>
      </c>
      <c r="E88" s="45" t="str">
        <f ca="1">IF(IFERROR(INDEX((COPIA!$DA$3:$DE$2300),MATCH(ROWS(E$8:E88),COPIA!$DF$3:$DF$2300,0),COLUMN()-1),"")=0,"",IFERROR(INDEX((COPIA!$DA$3:$DE$2300),MATCH(ROWS(E$8:E88),COPIA!$DF$3:$DF$2300,0),COLUMN()-1),""))</f>
        <v/>
      </c>
      <c r="F88" s="120" t="str">
        <f ca="1">IF(IFERROR(INDEX((COPIA!$DA$3:$DE$2300),MATCH(ROWS(F$8:F88),COPIA!$DF$3:$DF$2300,0),COLUMN()-1),"")=0,"",IFERROR(INDEX((COPIA!$DA$3:$DE$2300),MATCH(ROWS(F$8:F88),COPIA!$DF$3:$DF$2300,0),COLUMN()-1),""))</f>
        <v/>
      </c>
      <c r="G88" s="16"/>
    </row>
    <row r="89" spans="1:7">
      <c r="A89" s="12"/>
      <c r="B89" s="119" t="str">
        <f ca="1">IF(IFERROR(INDEX((COPIA!$DA$3:$DE$2300),MATCH(ROWS(B$8:B89),COPIA!$DF$3:$DF$2300,0),COLUMN()-1),"")&gt;=1,IFERROR(INDEX((COPIA!$DA$3:$DE$2300),MATCH(ROWS(B$8:B89),COPIA!$DF$3:$DF$2300,0),COLUMN()-1),""),"")</f>
        <v/>
      </c>
      <c r="C89" s="118" t="str">
        <f ca="1">SUBSTITUTE(IFERROR(INDEX((COPIA!$DA$3:$DE$2300),MATCH(ROWS(C$8:C89),COPIA!$DF$3:$DF$2300,0),COLUMN()-1),""),"MASTRO","")</f>
        <v/>
      </c>
      <c r="D89" s="29" t="str">
        <f ca="1">IF(IFERROR(INDEX((COPIA!$DA$3:$DE$2300),MATCH(ROWS(D$8:D89),COPIA!$DF$3:$DF$2300,0),COLUMN()-1),"")=0,"",IFERROR(INDEX((COPIA!$DA$3:$DE$2300),MATCH(ROWS(D$8:D89),COPIA!$DF$3:$DF$2300,0),COLUMN()-1),""))</f>
        <v/>
      </c>
      <c r="E89" s="45" t="str">
        <f ca="1">IF(IFERROR(INDEX((COPIA!$DA$3:$DE$2300),MATCH(ROWS(E$8:E89),COPIA!$DF$3:$DF$2300,0),COLUMN()-1),"")=0,"",IFERROR(INDEX((COPIA!$DA$3:$DE$2300),MATCH(ROWS(E$8:E89),COPIA!$DF$3:$DF$2300,0),COLUMN()-1),""))</f>
        <v/>
      </c>
      <c r="F89" s="120" t="str">
        <f ca="1">IF(IFERROR(INDEX((COPIA!$DA$3:$DE$2300),MATCH(ROWS(F$8:F89),COPIA!$DF$3:$DF$2300,0),COLUMN()-1),"")=0,"",IFERROR(INDEX((COPIA!$DA$3:$DE$2300),MATCH(ROWS(F$8:F89),COPIA!$DF$3:$DF$2300,0),COLUMN()-1),""))</f>
        <v/>
      </c>
      <c r="G89" s="16"/>
    </row>
    <row r="90" spans="1:7">
      <c r="A90" s="12"/>
      <c r="B90" s="119" t="str">
        <f ca="1">IF(IFERROR(INDEX((COPIA!$DA$3:$DE$2300),MATCH(ROWS(B$8:B90),COPIA!$DF$3:$DF$2300,0),COLUMN()-1),"")&gt;=1,IFERROR(INDEX((COPIA!$DA$3:$DE$2300),MATCH(ROWS(B$8:B90),COPIA!$DF$3:$DF$2300,0),COLUMN()-1),""),"")</f>
        <v/>
      </c>
      <c r="C90" s="118" t="str">
        <f ca="1">SUBSTITUTE(IFERROR(INDEX((COPIA!$DA$3:$DE$2300),MATCH(ROWS(C$8:C90),COPIA!$DF$3:$DF$2300,0),COLUMN()-1),""),"MASTRO","")</f>
        <v/>
      </c>
      <c r="D90" s="29" t="str">
        <f ca="1">IF(IFERROR(INDEX((COPIA!$DA$3:$DE$2300),MATCH(ROWS(D$8:D90),COPIA!$DF$3:$DF$2300,0),COLUMN()-1),"")=0,"",IFERROR(INDEX((COPIA!$DA$3:$DE$2300),MATCH(ROWS(D$8:D90),COPIA!$DF$3:$DF$2300,0),COLUMN()-1),""))</f>
        <v/>
      </c>
      <c r="E90" s="45" t="str">
        <f ca="1">IF(IFERROR(INDEX((COPIA!$DA$3:$DE$2300),MATCH(ROWS(E$8:E90),COPIA!$DF$3:$DF$2300,0),COLUMN()-1),"")=0,"",IFERROR(INDEX((COPIA!$DA$3:$DE$2300),MATCH(ROWS(E$8:E90),COPIA!$DF$3:$DF$2300,0),COLUMN()-1),""))</f>
        <v/>
      </c>
      <c r="F90" s="120" t="str">
        <f ca="1">IF(IFERROR(INDEX((COPIA!$DA$3:$DE$2300),MATCH(ROWS(F$8:F90),COPIA!$DF$3:$DF$2300,0),COLUMN()-1),"")=0,"",IFERROR(INDEX((COPIA!$DA$3:$DE$2300),MATCH(ROWS(F$8:F90),COPIA!$DF$3:$DF$2300,0),COLUMN()-1),""))</f>
        <v/>
      </c>
      <c r="G90" s="16"/>
    </row>
    <row r="91" spans="1:7">
      <c r="A91" s="12"/>
      <c r="B91" s="119" t="str">
        <f ca="1">IF(IFERROR(INDEX((COPIA!$DA$3:$DE$2300),MATCH(ROWS(B$8:B91),COPIA!$DF$3:$DF$2300,0),COLUMN()-1),"")&gt;=1,IFERROR(INDEX((COPIA!$DA$3:$DE$2300),MATCH(ROWS(B$8:B91),COPIA!$DF$3:$DF$2300,0),COLUMN()-1),""),"")</f>
        <v/>
      </c>
      <c r="C91" s="118" t="str">
        <f ca="1">SUBSTITUTE(IFERROR(INDEX((COPIA!$DA$3:$DE$2300),MATCH(ROWS(C$8:C91),COPIA!$DF$3:$DF$2300,0),COLUMN()-1),""),"MASTRO","")</f>
        <v/>
      </c>
      <c r="D91" s="29" t="str">
        <f ca="1">IF(IFERROR(INDEX((COPIA!$DA$3:$DE$2300),MATCH(ROWS(D$8:D91),COPIA!$DF$3:$DF$2300,0),COLUMN()-1),"")=0,"",IFERROR(INDEX((COPIA!$DA$3:$DE$2300),MATCH(ROWS(D$8:D91),COPIA!$DF$3:$DF$2300,0),COLUMN()-1),""))</f>
        <v/>
      </c>
      <c r="E91" s="45" t="str">
        <f ca="1">IF(IFERROR(INDEX((COPIA!$DA$3:$DE$2300),MATCH(ROWS(E$8:E91),COPIA!$DF$3:$DF$2300,0),COLUMN()-1),"")=0,"",IFERROR(INDEX((COPIA!$DA$3:$DE$2300),MATCH(ROWS(E$8:E91),COPIA!$DF$3:$DF$2300,0),COLUMN()-1),""))</f>
        <v/>
      </c>
      <c r="F91" s="120" t="str">
        <f ca="1">IF(IFERROR(INDEX((COPIA!$DA$3:$DE$2300),MATCH(ROWS(F$8:F91),COPIA!$DF$3:$DF$2300,0),COLUMN()-1),"")=0,"",IFERROR(INDEX((COPIA!$DA$3:$DE$2300),MATCH(ROWS(F$8:F91),COPIA!$DF$3:$DF$2300,0),COLUMN()-1),""))</f>
        <v/>
      </c>
      <c r="G91" s="16"/>
    </row>
    <row r="92" spans="1:7">
      <c r="A92" s="12"/>
      <c r="B92" s="119" t="str">
        <f ca="1">IF(IFERROR(INDEX((COPIA!$DA$3:$DE$2300),MATCH(ROWS(B$8:B92),COPIA!$DF$3:$DF$2300,0),COLUMN()-1),"")&gt;=1,IFERROR(INDEX((COPIA!$DA$3:$DE$2300),MATCH(ROWS(B$8:B92),COPIA!$DF$3:$DF$2300,0),COLUMN()-1),""),"")</f>
        <v/>
      </c>
      <c r="C92" s="118" t="str">
        <f ca="1">SUBSTITUTE(IFERROR(INDEX((COPIA!$DA$3:$DE$2300),MATCH(ROWS(C$8:C92),COPIA!$DF$3:$DF$2300,0),COLUMN()-1),""),"MASTRO","")</f>
        <v/>
      </c>
      <c r="D92" s="29" t="str">
        <f ca="1">IF(IFERROR(INDEX((COPIA!$DA$3:$DE$2300),MATCH(ROWS(D$8:D92),COPIA!$DF$3:$DF$2300,0),COLUMN()-1),"")=0,"",IFERROR(INDEX((COPIA!$DA$3:$DE$2300),MATCH(ROWS(D$8:D92),COPIA!$DF$3:$DF$2300,0),COLUMN()-1),""))</f>
        <v/>
      </c>
      <c r="E92" s="45" t="str">
        <f ca="1">IF(IFERROR(INDEX((COPIA!$DA$3:$DE$2300),MATCH(ROWS(E$8:E92),COPIA!$DF$3:$DF$2300,0),COLUMN()-1),"")=0,"",IFERROR(INDEX((COPIA!$DA$3:$DE$2300),MATCH(ROWS(E$8:E92),COPIA!$DF$3:$DF$2300,0),COLUMN()-1),""))</f>
        <v/>
      </c>
      <c r="F92" s="120" t="str">
        <f ca="1">IF(IFERROR(INDEX((COPIA!$DA$3:$DE$2300),MATCH(ROWS(F$8:F92),COPIA!$DF$3:$DF$2300,0),COLUMN()-1),"")=0,"",IFERROR(INDEX((COPIA!$DA$3:$DE$2300),MATCH(ROWS(F$8:F92),COPIA!$DF$3:$DF$2300,0),COLUMN()-1),""))</f>
        <v/>
      </c>
      <c r="G92" s="16"/>
    </row>
    <row r="93" spans="1:7">
      <c r="A93" s="12"/>
      <c r="B93" s="119" t="str">
        <f ca="1">IF(IFERROR(INDEX((COPIA!$DA$3:$DE$2300),MATCH(ROWS(B$8:B93),COPIA!$DF$3:$DF$2300,0),COLUMN()-1),"")&gt;=1,IFERROR(INDEX((COPIA!$DA$3:$DE$2300),MATCH(ROWS(B$8:B93),COPIA!$DF$3:$DF$2300,0),COLUMN()-1),""),"")</f>
        <v/>
      </c>
      <c r="C93" s="118" t="str">
        <f ca="1">SUBSTITUTE(IFERROR(INDEX((COPIA!$DA$3:$DE$2300),MATCH(ROWS(C$8:C93),COPIA!$DF$3:$DF$2300,0),COLUMN()-1),""),"MASTRO","")</f>
        <v/>
      </c>
      <c r="D93" s="29" t="str">
        <f ca="1">IF(IFERROR(INDEX((COPIA!$DA$3:$DE$2300),MATCH(ROWS(D$8:D93),COPIA!$DF$3:$DF$2300,0),COLUMN()-1),"")=0,"",IFERROR(INDEX((COPIA!$DA$3:$DE$2300),MATCH(ROWS(D$8:D93),COPIA!$DF$3:$DF$2300,0),COLUMN()-1),""))</f>
        <v/>
      </c>
      <c r="E93" s="45" t="str">
        <f ca="1">IF(IFERROR(INDEX((COPIA!$DA$3:$DE$2300),MATCH(ROWS(E$8:E93),COPIA!$DF$3:$DF$2300,0),COLUMN()-1),"")=0,"",IFERROR(INDEX((COPIA!$DA$3:$DE$2300),MATCH(ROWS(E$8:E93),COPIA!$DF$3:$DF$2300,0),COLUMN()-1),""))</f>
        <v/>
      </c>
      <c r="F93" s="120" t="str">
        <f ca="1">IF(IFERROR(INDEX((COPIA!$DA$3:$DE$2300),MATCH(ROWS(F$8:F93),COPIA!$DF$3:$DF$2300,0),COLUMN()-1),"")=0,"",IFERROR(INDEX((COPIA!$DA$3:$DE$2300),MATCH(ROWS(F$8:F93),COPIA!$DF$3:$DF$2300,0),COLUMN()-1),""))</f>
        <v/>
      </c>
      <c r="G93" s="16"/>
    </row>
    <row r="94" spans="1:7">
      <c r="A94" s="12"/>
      <c r="B94" s="119" t="str">
        <f ca="1">IF(IFERROR(INDEX((COPIA!$DA$3:$DE$2300),MATCH(ROWS(B$8:B94),COPIA!$DF$3:$DF$2300,0),COLUMN()-1),"")&gt;=1,IFERROR(INDEX((COPIA!$DA$3:$DE$2300),MATCH(ROWS(B$8:B94),COPIA!$DF$3:$DF$2300,0),COLUMN()-1),""),"")</f>
        <v/>
      </c>
      <c r="C94" s="118" t="str">
        <f ca="1">SUBSTITUTE(IFERROR(INDEX((COPIA!$DA$3:$DE$2300),MATCH(ROWS(C$8:C94),COPIA!$DF$3:$DF$2300,0),COLUMN()-1),""),"MASTRO","")</f>
        <v/>
      </c>
      <c r="D94" s="29" t="str">
        <f ca="1">IF(IFERROR(INDEX((COPIA!$DA$3:$DE$2300),MATCH(ROWS(D$8:D94),COPIA!$DF$3:$DF$2300,0),COLUMN()-1),"")=0,"",IFERROR(INDEX((COPIA!$DA$3:$DE$2300),MATCH(ROWS(D$8:D94),COPIA!$DF$3:$DF$2300,0),COLUMN()-1),""))</f>
        <v/>
      </c>
      <c r="E94" s="45" t="str">
        <f ca="1">IF(IFERROR(INDEX((COPIA!$DA$3:$DE$2300),MATCH(ROWS(E$8:E94),COPIA!$DF$3:$DF$2300,0),COLUMN()-1),"")=0,"",IFERROR(INDEX((COPIA!$DA$3:$DE$2300),MATCH(ROWS(E$8:E94),COPIA!$DF$3:$DF$2300,0),COLUMN()-1),""))</f>
        <v/>
      </c>
      <c r="F94" s="120" t="str">
        <f ca="1">IF(IFERROR(INDEX((COPIA!$DA$3:$DE$2300),MATCH(ROWS(F$8:F94),COPIA!$DF$3:$DF$2300,0),COLUMN()-1),"")=0,"",IFERROR(INDEX((COPIA!$DA$3:$DE$2300),MATCH(ROWS(F$8:F94),COPIA!$DF$3:$DF$2300,0),COLUMN()-1),""))</f>
        <v/>
      </c>
      <c r="G94" s="16"/>
    </row>
    <row r="95" spans="1:7">
      <c r="A95" s="12"/>
      <c r="B95" s="119" t="str">
        <f ca="1">IF(IFERROR(INDEX((COPIA!$DA$3:$DE$2300),MATCH(ROWS(B$8:B95),COPIA!$DF$3:$DF$2300,0),COLUMN()-1),"")&gt;=1,IFERROR(INDEX((COPIA!$DA$3:$DE$2300),MATCH(ROWS(B$8:B95),COPIA!$DF$3:$DF$2300,0),COLUMN()-1),""),"")</f>
        <v/>
      </c>
      <c r="C95" s="118" t="str">
        <f ca="1">SUBSTITUTE(IFERROR(INDEX((COPIA!$DA$3:$DE$2300),MATCH(ROWS(C$8:C95),COPIA!$DF$3:$DF$2300,0),COLUMN()-1),""),"MASTRO","")</f>
        <v/>
      </c>
      <c r="D95" s="29" t="str">
        <f ca="1">IF(IFERROR(INDEX((COPIA!$DA$3:$DE$2300),MATCH(ROWS(D$8:D95),COPIA!$DF$3:$DF$2300,0),COLUMN()-1),"")=0,"",IFERROR(INDEX((COPIA!$DA$3:$DE$2300),MATCH(ROWS(D$8:D95),COPIA!$DF$3:$DF$2300,0),COLUMN()-1),""))</f>
        <v/>
      </c>
      <c r="E95" s="45" t="str">
        <f ca="1">IF(IFERROR(INDEX((COPIA!$DA$3:$DE$2300),MATCH(ROWS(E$8:E95),COPIA!$DF$3:$DF$2300,0),COLUMN()-1),"")=0,"",IFERROR(INDEX((COPIA!$DA$3:$DE$2300),MATCH(ROWS(E$8:E95),COPIA!$DF$3:$DF$2300,0),COLUMN()-1),""))</f>
        <v/>
      </c>
      <c r="F95" s="120" t="str">
        <f ca="1">IF(IFERROR(INDEX((COPIA!$DA$3:$DE$2300),MATCH(ROWS(F$8:F95),COPIA!$DF$3:$DF$2300,0),COLUMN()-1),"")=0,"",IFERROR(INDEX((COPIA!$DA$3:$DE$2300),MATCH(ROWS(F$8:F95),COPIA!$DF$3:$DF$2300,0),COLUMN()-1),""))</f>
        <v/>
      </c>
      <c r="G95" s="16"/>
    </row>
    <row r="96" spans="1:7">
      <c r="A96" s="12"/>
      <c r="B96" s="119" t="str">
        <f ca="1">IF(IFERROR(INDEX((COPIA!$DA$3:$DE$2300),MATCH(ROWS(B$8:B96),COPIA!$DF$3:$DF$2300,0),COLUMN()-1),"")&gt;=1,IFERROR(INDEX((COPIA!$DA$3:$DE$2300),MATCH(ROWS(B$8:B96),COPIA!$DF$3:$DF$2300,0),COLUMN()-1),""),"")</f>
        <v/>
      </c>
      <c r="C96" s="118" t="str">
        <f ca="1">SUBSTITUTE(IFERROR(INDEX((COPIA!$DA$3:$DE$2300),MATCH(ROWS(C$8:C96),COPIA!$DF$3:$DF$2300,0),COLUMN()-1),""),"MASTRO","")</f>
        <v/>
      </c>
      <c r="D96" s="29" t="str">
        <f ca="1">IF(IFERROR(INDEX((COPIA!$DA$3:$DE$2300),MATCH(ROWS(D$8:D96),COPIA!$DF$3:$DF$2300,0),COLUMN()-1),"")=0,"",IFERROR(INDEX((COPIA!$DA$3:$DE$2300),MATCH(ROWS(D$8:D96),COPIA!$DF$3:$DF$2300,0),COLUMN()-1),""))</f>
        <v/>
      </c>
      <c r="E96" s="45" t="str">
        <f ca="1">IF(IFERROR(INDEX((COPIA!$DA$3:$DE$2300),MATCH(ROWS(E$8:E96),COPIA!$DF$3:$DF$2300,0),COLUMN()-1),"")=0,"",IFERROR(INDEX((COPIA!$DA$3:$DE$2300),MATCH(ROWS(E$8:E96),COPIA!$DF$3:$DF$2300,0),COLUMN()-1),""))</f>
        <v/>
      </c>
      <c r="F96" s="120" t="str">
        <f ca="1">IF(IFERROR(INDEX((COPIA!$DA$3:$DE$2300),MATCH(ROWS(F$8:F96),COPIA!$DF$3:$DF$2300,0),COLUMN()-1),"")=0,"",IFERROR(INDEX((COPIA!$DA$3:$DE$2300),MATCH(ROWS(F$8:F96),COPIA!$DF$3:$DF$2300,0),COLUMN()-1),""))</f>
        <v/>
      </c>
      <c r="G96" s="16"/>
    </row>
    <row r="97" spans="1:7">
      <c r="A97" s="12"/>
      <c r="B97" s="119" t="str">
        <f ca="1">IF(IFERROR(INDEX((COPIA!$DA$3:$DE$2300),MATCH(ROWS(B$8:B97),COPIA!$DF$3:$DF$2300,0),COLUMN()-1),"")&gt;=1,IFERROR(INDEX((COPIA!$DA$3:$DE$2300),MATCH(ROWS(B$8:B97),COPIA!$DF$3:$DF$2300,0),COLUMN()-1),""),"")</f>
        <v/>
      </c>
      <c r="C97" s="118" t="str">
        <f ca="1">SUBSTITUTE(IFERROR(INDEX((COPIA!$DA$3:$DE$2300),MATCH(ROWS(C$8:C97),COPIA!$DF$3:$DF$2300,0),COLUMN()-1),""),"MASTRO","")</f>
        <v/>
      </c>
      <c r="D97" s="29" t="str">
        <f ca="1">IF(IFERROR(INDEX((COPIA!$DA$3:$DE$2300),MATCH(ROWS(D$8:D97),COPIA!$DF$3:$DF$2300,0),COLUMN()-1),"")=0,"",IFERROR(INDEX((COPIA!$DA$3:$DE$2300),MATCH(ROWS(D$8:D97),COPIA!$DF$3:$DF$2300,0),COLUMN()-1),""))</f>
        <v/>
      </c>
      <c r="E97" s="45" t="str">
        <f ca="1">IF(IFERROR(INDEX((COPIA!$DA$3:$DE$2300),MATCH(ROWS(E$8:E97),COPIA!$DF$3:$DF$2300,0),COLUMN()-1),"")=0,"",IFERROR(INDEX((COPIA!$DA$3:$DE$2300),MATCH(ROWS(E$8:E97),COPIA!$DF$3:$DF$2300,0),COLUMN()-1),""))</f>
        <v/>
      </c>
      <c r="F97" s="120" t="str">
        <f ca="1">IF(IFERROR(INDEX((COPIA!$DA$3:$DE$2300),MATCH(ROWS(F$8:F97),COPIA!$DF$3:$DF$2300,0),COLUMN()-1),"")=0,"",IFERROR(INDEX((COPIA!$DA$3:$DE$2300),MATCH(ROWS(F$8:F97),COPIA!$DF$3:$DF$2300,0),COLUMN()-1),""))</f>
        <v/>
      </c>
      <c r="G97" s="16"/>
    </row>
    <row r="98" spans="1:7">
      <c r="A98" s="12"/>
      <c r="B98" s="119" t="str">
        <f ca="1">IF(IFERROR(INDEX((COPIA!$DA$3:$DE$2300),MATCH(ROWS(B$8:B98),COPIA!$DF$3:$DF$2300,0),COLUMN()-1),"")&gt;=1,IFERROR(INDEX((COPIA!$DA$3:$DE$2300),MATCH(ROWS(B$8:B98),COPIA!$DF$3:$DF$2300,0),COLUMN()-1),""),"")</f>
        <v/>
      </c>
      <c r="C98" s="118" t="str">
        <f ca="1">SUBSTITUTE(IFERROR(INDEX((COPIA!$DA$3:$DE$2300),MATCH(ROWS(C$8:C98),COPIA!$DF$3:$DF$2300,0),COLUMN()-1),""),"MASTRO","")</f>
        <v/>
      </c>
      <c r="D98" s="29" t="str">
        <f ca="1">IF(IFERROR(INDEX((COPIA!$DA$3:$DE$2300),MATCH(ROWS(D$8:D98),COPIA!$DF$3:$DF$2300,0),COLUMN()-1),"")=0,"",IFERROR(INDEX((COPIA!$DA$3:$DE$2300),MATCH(ROWS(D$8:D98),COPIA!$DF$3:$DF$2300,0),COLUMN()-1),""))</f>
        <v/>
      </c>
      <c r="E98" s="45" t="str">
        <f ca="1">IF(IFERROR(INDEX((COPIA!$DA$3:$DE$2300),MATCH(ROWS(E$8:E98),COPIA!$DF$3:$DF$2300,0),COLUMN()-1),"")=0,"",IFERROR(INDEX((COPIA!$DA$3:$DE$2300),MATCH(ROWS(E$8:E98),COPIA!$DF$3:$DF$2300,0),COLUMN()-1),""))</f>
        <v/>
      </c>
      <c r="F98" s="120" t="str">
        <f ca="1">IF(IFERROR(INDEX((COPIA!$DA$3:$DE$2300),MATCH(ROWS(F$8:F98),COPIA!$DF$3:$DF$2300,0),COLUMN()-1),"")=0,"",IFERROR(INDEX((COPIA!$DA$3:$DE$2300),MATCH(ROWS(F$8:F98),COPIA!$DF$3:$DF$2300,0),COLUMN()-1),""))</f>
        <v/>
      </c>
      <c r="G98" s="16"/>
    </row>
    <row r="99" spans="1:7">
      <c r="A99" s="12"/>
      <c r="B99" s="119" t="str">
        <f ca="1">IF(IFERROR(INDEX((COPIA!$DA$3:$DE$2300),MATCH(ROWS(B$8:B99),COPIA!$DF$3:$DF$2300,0),COLUMN()-1),"")&gt;=1,IFERROR(INDEX((COPIA!$DA$3:$DE$2300),MATCH(ROWS(B$8:B99),COPIA!$DF$3:$DF$2300,0),COLUMN()-1),""),"")</f>
        <v/>
      </c>
      <c r="C99" s="118" t="str">
        <f ca="1">SUBSTITUTE(IFERROR(INDEX((COPIA!$DA$3:$DE$2300),MATCH(ROWS(C$8:C99),COPIA!$DF$3:$DF$2300,0),COLUMN()-1),""),"MASTRO","")</f>
        <v/>
      </c>
      <c r="D99" s="29" t="str">
        <f ca="1">IF(IFERROR(INDEX((COPIA!$DA$3:$DE$2300),MATCH(ROWS(D$8:D99),COPIA!$DF$3:$DF$2300,0),COLUMN()-1),"")=0,"",IFERROR(INDEX((COPIA!$DA$3:$DE$2300),MATCH(ROWS(D$8:D99),COPIA!$DF$3:$DF$2300,0),COLUMN()-1),""))</f>
        <v/>
      </c>
      <c r="E99" s="45" t="str">
        <f ca="1">IF(IFERROR(INDEX((COPIA!$DA$3:$DE$2300),MATCH(ROWS(E$8:E99),COPIA!$DF$3:$DF$2300,0),COLUMN()-1),"")=0,"",IFERROR(INDEX((COPIA!$DA$3:$DE$2300),MATCH(ROWS(E$8:E99),COPIA!$DF$3:$DF$2300,0),COLUMN()-1),""))</f>
        <v/>
      </c>
      <c r="F99" s="120" t="str">
        <f ca="1">IF(IFERROR(INDEX((COPIA!$DA$3:$DE$2300),MATCH(ROWS(F$8:F99),COPIA!$DF$3:$DF$2300,0),COLUMN()-1),"")=0,"",IFERROR(INDEX((COPIA!$DA$3:$DE$2300),MATCH(ROWS(F$8:F99),COPIA!$DF$3:$DF$2300,0),COLUMN()-1),""))</f>
        <v/>
      </c>
      <c r="G99" s="16"/>
    </row>
    <row r="100" spans="1:7">
      <c r="A100" s="12"/>
      <c r="B100" s="119" t="str">
        <f ca="1">IF(IFERROR(INDEX((COPIA!$DA$3:$DE$2300),MATCH(ROWS(B$8:B100),COPIA!$DF$3:$DF$2300,0),COLUMN()-1),"")&gt;=1,IFERROR(INDEX((COPIA!$DA$3:$DE$2300),MATCH(ROWS(B$8:B100),COPIA!$DF$3:$DF$2300,0),COLUMN()-1),""),"")</f>
        <v/>
      </c>
      <c r="C100" s="118" t="str">
        <f ca="1">SUBSTITUTE(IFERROR(INDEX((COPIA!$DA$3:$DE$2300),MATCH(ROWS(C$8:C100),COPIA!$DF$3:$DF$2300,0),COLUMN()-1),""),"MASTRO","")</f>
        <v/>
      </c>
      <c r="D100" s="29" t="str">
        <f ca="1">IF(IFERROR(INDEX((COPIA!$DA$3:$DE$2300),MATCH(ROWS(D$8:D100),COPIA!$DF$3:$DF$2300,0),COLUMN()-1),"")=0,"",IFERROR(INDEX((COPIA!$DA$3:$DE$2300),MATCH(ROWS(D$8:D100),COPIA!$DF$3:$DF$2300,0),COLUMN()-1),""))</f>
        <v/>
      </c>
      <c r="E100" s="45" t="str">
        <f ca="1">IF(IFERROR(INDEX((COPIA!$DA$3:$DE$2300),MATCH(ROWS(E$8:E100),COPIA!$DF$3:$DF$2300,0),COLUMN()-1),"")=0,"",IFERROR(INDEX((COPIA!$DA$3:$DE$2300),MATCH(ROWS(E$8:E100),COPIA!$DF$3:$DF$2300,0),COLUMN()-1),""))</f>
        <v/>
      </c>
      <c r="F100" s="120" t="str">
        <f ca="1">IF(IFERROR(INDEX((COPIA!$DA$3:$DE$2300),MATCH(ROWS(F$8:F100),COPIA!$DF$3:$DF$2300,0),COLUMN()-1),"")=0,"",IFERROR(INDEX((COPIA!$DA$3:$DE$2300),MATCH(ROWS(F$8:F100),COPIA!$DF$3:$DF$2300,0),COLUMN()-1),""))</f>
        <v/>
      </c>
      <c r="G100" s="16"/>
    </row>
    <row r="101" spans="1:7">
      <c r="A101" s="12"/>
      <c r="B101" s="119" t="str">
        <f ca="1">IF(IFERROR(INDEX((COPIA!$DA$3:$DE$2300),MATCH(ROWS(B$8:B101),COPIA!$DF$3:$DF$2300,0),COLUMN()-1),"")&gt;=1,IFERROR(INDEX((COPIA!$DA$3:$DE$2300),MATCH(ROWS(B$8:B101),COPIA!$DF$3:$DF$2300,0),COLUMN()-1),""),"")</f>
        <v/>
      </c>
      <c r="C101" s="118" t="str">
        <f ca="1">SUBSTITUTE(IFERROR(INDEX((COPIA!$DA$3:$DE$2300),MATCH(ROWS(C$8:C101),COPIA!$DF$3:$DF$2300,0),COLUMN()-1),""),"MASTRO","")</f>
        <v/>
      </c>
      <c r="D101" s="29" t="str">
        <f ca="1">IF(IFERROR(INDEX((COPIA!$DA$3:$DE$2300),MATCH(ROWS(D$8:D101),COPIA!$DF$3:$DF$2300,0),COLUMN()-1),"")=0,"",IFERROR(INDEX((COPIA!$DA$3:$DE$2300),MATCH(ROWS(D$8:D101),COPIA!$DF$3:$DF$2300,0),COLUMN()-1),""))</f>
        <v/>
      </c>
      <c r="E101" s="45" t="str">
        <f ca="1">IF(IFERROR(INDEX((COPIA!$DA$3:$DE$2300),MATCH(ROWS(E$8:E101),COPIA!$DF$3:$DF$2300,0),COLUMN()-1),"")=0,"",IFERROR(INDEX((COPIA!$DA$3:$DE$2300),MATCH(ROWS(E$8:E101),COPIA!$DF$3:$DF$2300,0),COLUMN()-1),""))</f>
        <v/>
      </c>
      <c r="F101" s="120" t="str">
        <f ca="1">IF(IFERROR(INDEX((COPIA!$DA$3:$DE$2300),MATCH(ROWS(F$8:F101),COPIA!$DF$3:$DF$2300,0),COLUMN()-1),"")=0,"",IFERROR(INDEX((COPIA!$DA$3:$DE$2300),MATCH(ROWS(F$8:F101),COPIA!$DF$3:$DF$2300,0),COLUMN()-1),""))</f>
        <v/>
      </c>
      <c r="G101" s="16"/>
    </row>
    <row r="102" spans="1:7">
      <c r="A102" s="12"/>
      <c r="B102" s="119" t="str">
        <f ca="1">IF(IFERROR(INDEX((COPIA!$DA$3:$DE$2300),MATCH(ROWS(B$8:B102),COPIA!$DF$3:$DF$2300,0),COLUMN()-1),"")&gt;=1,IFERROR(INDEX((COPIA!$DA$3:$DE$2300),MATCH(ROWS(B$8:B102),COPIA!$DF$3:$DF$2300,0),COLUMN()-1),""),"")</f>
        <v/>
      </c>
      <c r="C102" s="118" t="str">
        <f ca="1">SUBSTITUTE(IFERROR(INDEX((COPIA!$DA$3:$DE$2300),MATCH(ROWS(C$8:C102),COPIA!$DF$3:$DF$2300,0),COLUMN()-1),""),"MASTRO","")</f>
        <v/>
      </c>
      <c r="D102" s="29" t="str">
        <f ca="1">IF(IFERROR(INDEX((COPIA!$DA$3:$DE$2300),MATCH(ROWS(D$8:D102),COPIA!$DF$3:$DF$2300,0),COLUMN()-1),"")=0,"",IFERROR(INDEX((COPIA!$DA$3:$DE$2300),MATCH(ROWS(D$8:D102),COPIA!$DF$3:$DF$2300,0),COLUMN()-1),""))</f>
        <v/>
      </c>
      <c r="E102" s="45" t="str">
        <f ca="1">IF(IFERROR(INDEX((COPIA!$DA$3:$DE$2300),MATCH(ROWS(E$8:E102),COPIA!$DF$3:$DF$2300,0),COLUMN()-1),"")=0,"",IFERROR(INDEX((COPIA!$DA$3:$DE$2300),MATCH(ROWS(E$8:E102),COPIA!$DF$3:$DF$2300,0),COLUMN()-1),""))</f>
        <v/>
      </c>
      <c r="F102" s="120" t="str">
        <f ca="1">IF(IFERROR(INDEX((COPIA!$DA$3:$DE$2300),MATCH(ROWS(F$8:F102),COPIA!$DF$3:$DF$2300,0),COLUMN()-1),"")=0,"",IFERROR(INDEX((COPIA!$DA$3:$DE$2300),MATCH(ROWS(F$8:F102),COPIA!$DF$3:$DF$2300,0),COLUMN()-1),""))</f>
        <v/>
      </c>
      <c r="G102" s="16"/>
    </row>
    <row r="103" spans="1:7">
      <c r="A103" s="12"/>
      <c r="B103" s="119" t="str">
        <f ca="1">IF(IFERROR(INDEX((COPIA!$DA$3:$DE$2300),MATCH(ROWS(B$8:B103),COPIA!$DF$3:$DF$2300,0),COLUMN()-1),"")&gt;=1,IFERROR(INDEX((COPIA!$DA$3:$DE$2300),MATCH(ROWS(B$8:B103),COPIA!$DF$3:$DF$2300,0),COLUMN()-1),""),"")</f>
        <v/>
      </c>
      <c r="C103" s="118" t="str">
        <f ca="1">SUBSTITUTE(IFERROR(INDEX((COPIA!$DA$3:$DE$2300),MATCH(ROWS(C$8:C103),COPIA!$DF$3:$DF$2300,0),COLUMN()-1),""),"MASTRO","")</f>
        <v/>
      </c>
      <c r="D103" s="29" t="str">
        <f ca="1">IF(IFERROR(INDEX((COPIA!$DA$3:$DE$2300),MATCH(ROWS(D$8:D103),COPIA!$DF$3:$DF$2300,0),COLUMN()-1),"")=0,"",IFERROR(INDEX((COPIA!$DA$3:$DE$2300),MATCH(ROWS(D$8:D103),COPIA!$DF$3:$DF$2300,0),COLUMN()-1),""))</f>
        <v/>
      </c>
      <c r="E103" s="45" t="str">
        <f ca="1">IF(IFERROR(INDEX((COPIA!$DA$3:$DE$2300),MATCH(ROWS(E$8:E103),COPIA!$DF$3:$DF$2300,0),COLUMN()-1),"")=0,"",IFERROR(INDEX((COPIA!$DA$3:$DE$2300),MATCH(ROWS(E$8:E103),COPIA!$DF$3:$DF$2300,0),COLUMN()-1),""))</f>
        <v/>
      </c>
      <c r="F103" s="120" t="str">
        <f ca="1">IF(IFERROR(INDEX((COPIA!$DA$3:$DE$2300),MATCH(ROWS(F$8:F103),COPIA!$DF$3:$DF$2300,0),COLUMN()-1),"")=0,"",IFERROR(INDEX((COPIA!$DA$3:$DE$2300),MATCH(ROWS(F$8:F103),COPIA!$DF$3:$DF$2300,0),COLUMN()-1),""))</f>
        <v/>
      </c>
      <c r="G103" s="16"/>
    </row>
    <row r="104" spans="1:7">
      <c r="A104" s="12"/>
      <c r="B104" s="119" t="str">
        <f ca="1">IF(IFERROR(INDEX((COPIA!$DA$3:$DE$2300),MATCH(ROWS(B$8:B104),COPIA!$DF$3:$DF$2300,0),COLUMN()-1),"")&gt;=1,IFERROR(INDEX((COPIA!$DA$3:$DE$2300),MATCH(ROWS(B$8:B104),COPIA!$DF$3:$DF$2300,0),COLUMN()-1),""),"")</f>
        <v/>
      </c>
      <c r="C104" s="118" t="str">
        <f ca="1">SUBSTITUTE(IFERROR(INDEX((COPIA!$DA$3:$DE$2300),MATCH(ROWS(C$8:C104),COPIA!$DF$3:$DF$2300,0),COLUMN()-1),""),"MASTRO","")</f>
        <v/>
      </c>
      <c r="D104" s="29" t="str">
        <f ca="1">IF(IFERROR(INDEX((COPIA!$DA$3:$DE$2300),MATCH(ROWS(D$8:D104),COPIA!$DF$3:$DF$2300,0),COLUMN()-1),"")=0,"",IFERROR(INDEX((COPIA!$DA$3:$DE$2300),MATCH(ROWS(D$8:D104),COPIA!$DF$3:$DF$2300,0),COLUMN()-1),""))</f>
        <v/>
      </c>
      <c r="E104" s="45" t="str">
        <f ca="1">IF(IFERROR(INDEX((COPIA!$DA$3:$DE$2300),MATCH(ROWS(E$8:E104),COPIA!$DF$3:$DF$2300,0),COLUMN()-1),"")=0,"",IFERROR(INDEX((COPIA!$DA$3:$DE$2300),MATCH(ROWS(E$8:E104),COPIA!$DF$3:$DF$2300,0),COLUMN()-1),""))</f>
        <v/>
      </c>
      <c r="F104" s="120" t="str">
        <f ca="1">IF(IFERROR(INDEX((COPIA!$DA$3:$DE$2300),MATCH(ROWS(F$8:F104),COPIA!$DF$3:$DF$2300,0),COLUMN()-1),"")=0,"",IFERROR(INDEX((COPIA!$DA$3:$DE$2300),MATCH(ROWS(F$8:F104),COPIA!$DF$3:$DF$2300,0),COLUMN()-1),""))</f>
        <v/>
      </c>
      <c r="G104" s="16"/>
    </row>
    <row r="105" spans="1:7">
      <c r="A105" s="12"/>
      <c r="B105" s="119" t="str">
        <f ca="1">IF(IFERROR(INDEX((COPIA!$DA$3:$DE$2300),MATCH(ROWS(B$8:B105),COPIA!$DF$3:$DF$2300,0),COLUMN()-1),"")&gt;=1,IFERROR(INDEX((COPIA!$DA$3:$DE$2300),MATCH(ROWS(B$8:B105),COPIA!$DF$3:$DF$2300,0),COLUMN()-1),""),"")</f>
        <v/>
      </c>
      <c r="C105" s="118" t="str">
        <f ca="1">SUBSTITUTE(IFERROR(INDEX((COPIA!$DA$3:$DE$2300),MATCH(ROWS(C$8:C105),COPIA!$DF$3:$DF$2300,0),COLUMN()-1),""),"MASTRO","")</f>
        <v/>
      </c>
      <c r="D105" s="29" t="str">
        <f ca="1">IF(IFERROR(INDEX((COPIA!$DA$3:$DE$2300),MATCH(ROWS(D$8:D105),COPIA!$DF$3:$DF$2300,0),COLUMN()-1),"")=0,"",IFERROR(INDEX((COPIA!$DA$3:$DE$2300),MATCH(ROWS(D$8:D105),COPIA!$DF$3:$DF$2300,0),COLUMN()-1),""))</f>
        <v/>
      </c>
      <c r="E105" s="45" t="str">
        <f ca="1">IF(IFERROR(INDEX((COPIA!$DA$3:$DE$2300),MATCH(ROWS(E$8:E105),COPIA!$DF$3:$DF$2300,0),COLUMN()-1),"")=0,"",IFERROR(INDEX((COPIA!$DA$3:$DE$2300),MATCH(ROWS(E$8:E105),COPIA!$DF$3:$DF$2300,0),COLUMN()-1),""))</f>
        <v/>
      </c>
      <c r="F105" s="120" t="str">
        <f ca="1">IF(IFERROR(INDEX((COPIA!$DA$3:$DE$2300),MATCH(ROWS(F$8:F105),COPIA!$DF$3:$DF$2300,0),COLUMN()-1),"")=0,"",IFERROR(INDEX((COPIA!$DA$3:$DE$2300),MATCH(ROWS(F$8:F105),COPIA!$DF$3:$DF$2300,0),COLUMN()-1),""))</f>
        <v/>
      </c>
      <c r="G105" s="16"/>
    </row>
    <row r="106" spans="1:7">
      <c r="A106" s="12"/>
      <c r="B106" s="119" t="str">
        <f ca="1">IF(IFERROR(INDEX((COPIA!$DA$3:$DE$2300),MATCH(ROWS(B$8:B106),COPIA!$DF$3:$DF$2300,0),COLUMN()-1),"")&gt;=1,IFERROR(INDEX((COPIA!$DA$3:$DE$2300),MATCH(ROWS(B$8:B106),COPIA!$DF$3:$DF$2300,0),COLUMN()-1),""),"")</f>
        <v/>
      </c>
      <c r="C106" s="118" t="str">
        <f ca="1">SUBSTITUTE(IFERROR(INDEX((COPIA!$DA$3:$DE$2300),MATCH(ROWS(C$8:C106),COPIA!$DF$3:$DF$2300,0),COLUMN()-1),""),"MASTRO","")</f>
        <v/>
      </c>
      <c r="D106" s="29" t="str">
        <f ca="1">IF(IFERROR(INDEX((COPIA!$DA$3:$DE$2300),MATCH(ROWS(D$8:D106),COPIA!$DF$3:$DF$2300,0),COLUMN()-1),"")=0,"",IFERROR(INDEX((COPIA!$DA$3:$DE$2300),MATCH(ROWS(D$8:D106),COPIA!$DF$3:$DF$2300,0),COLUMN()-1),""))</f>
        <v/>
      </c>
      <c r="E106" s="45" t="str">
        <f ca="1">IF(IFERROR(INDEX((COPIA!$DA$3:$DE$2300),MATCH(ROWS(E$8:E106),COPIA!$DF$3:$DF$2300,0),COLUMN()-1),"")=0,"",IFERROR(INDEX((COPIA!$DA$3:$DE$2300),MATCH(ROWS(E$8:E106),COPIA!$DF$3:$DF$2300,0),COLUMN()-1),""))</f>
        <v/>
      </c>
      <c r="F106" s="120" t="str">
        <f ca="1">IF(IFERROR(INDEX((COPIA!$DA$3:$DE$2300),MATCH(ROWS(F$8:F106),COPIA!$DF$3:$DF$2300,0),COLUMN()-1),"")=0,"",IFERROR(INDEX((COPIA!$DA$3:$DE$2300),MATCH(ROWS(F$8:F106),COPIA!$DF$3:$DF$2300,0),COLUMN()-1),""))</f>
        <v/>
      </c>
      <c r="G106" s="16"/>
    </row>
    <row r="107" spans="1:7">
      <c r="A107" s="12"/>
      <c r="B107" s="119" t="str">
        <f ca="1">IF(IFERROR(INDEX((COPIA!$DA$3:$DE$2300),MATCH(ROWS(B$8:B107),COPIA!$DF$3:$DF$2300,0),COLUMN()-1),"")&gt;=1,IFERROR(INDEX((COPIA!$DA$3:$DE$2300),MATCH(ROWS(B$8:B107),COPIA!$DF$3:$DF$2300,0),COLUMN()-1),""),"")</f>
        <v/>
      </c>
      <c r="C107" s="118" t="str">
        <f ca="1">SUBSTITUTE(IFERROR(INDEX((COPIA!$DA$3:$DE$2300),MATCH(ROWS(C$8:C107),COPIA!$DF$3:$DF$2300,0),COLUMN()-1),""),"MASTRO","")</f>
        <v/>
      </c>
      <c r="D107" s="29" t="str">
        <f ca="1">IF(IFERROR(INDEX((COPIA!$DA$3:$DE$2300),MATCH(ROWS(D$8:D107),COPIA!$DF$3:$DF$2300,0),COLUMN()-1),"")=0,"",IFERROR(INDEX((COPIA!$DA$3:$DE$2300),MATCH(ROWS(D$8:D107),COPIA!$DF$3:$DF$2300,0),COLUMN()-1),""))</f>
        <v/>
      </c>
      <c r="E107" s="45" t="str">
        <f ca="1">IF(IFERROR(INDEX((COPIA!$DA$3:$DE$2300),MATCH(ROWS(E$8:E107),COPIA!$DF$3:$DF$2300,0),COLUMN()-1),"")=0,"",IFERROR(INDEX((COPIA!$DA$3:$DE$2300),MATCH(ROWS(E$8:E107),COPIA!$DF$3:$DF$2300,0),COLUMN()-1),""))</f>
        <v/>
      </c>
      <c r="F107" s="120" t="str">
        <f ca="1">IF(IFERROR(INDEX((COPIA!$DA$3:$DE$2300),MATCH(ROWS(F$8:F107),COPIA!$DF$3:$DF$2300,0),COLUMN()-1),"")=0,"",IFERROR(INDEX((COPIA!$DA$3:$DE$2300),MATCH(ROWS(F$8:F107),COPIA!$DF$3:$DF$2300,0),COLUMN()-1),""))</f>
        <v/>
      </c>
      <c r="G107" s="16"/>
    </row>
    <row r="108" spans="1:7">
      <c r="A108" s="12"/>
      <c r="B108" s="119" t="str">
        <f ca="1">IF(IFERROR(INDEX((COPIA!$DA$3:$DE$2300),MATCH(ROWS(B$8:B108),COPIA!$DF$3:$DF$2300,0),COLUMN()-1),"")&gt;=1,IFERROR(INDEX((COPIA!$DA$3:$DE$2300),MATCH(ROWS(B$8:B108),COPIA!$DF$3:$DF$2300,0),COLUMN()-1),""),"")</f>
        <v/>
      </c>
      <c r="C108" s="118" t="str">
        <f ca="1">SUBSTITUTE(IFERROR(INDEX((COPIA!$DA$3:$DE$2300),MATCH(ROWS(C$8:C108),COPIA!$DF$3:$DF$2300,0),COLUMN()-1),""),"MASTRO","")</f>
        <v/>
      </c>
      <c r="D108" s="29" t="str">
        <f ca="1">IF(IFERROR(INDEX((COPIA!$DA$3:$DE$2300),MATCH(ROWS(D$8:D108),COPIA!$DF$3:$DF$2300,0),COLUMN()-1),"")=0,"",IFERROR(INDEX((COPIA!$DA$3:$DE$2300),MATCH(ROWS(D$8:D108),COPIA!$DF$3:$DF$2300,0),COLUMN()-1),""))</f>
        <v/>
      </c>
      <c r="E108" s="45" t="str">
        <f ca="1">IF(IFERROR(INDEX((COPIA!$DA$3:$DE$2300),MATCH(ROWS(E$8:E108),COPIA!$DF$3:$DF$2300,0),COLUMN()-1),"")=0,"",IFERROR(INDEX((COPIA!$DA$3:$DE$2300),MATCH(ROWS(E$8:E108),COPIA!$DF$3:$DF$2300,0),COLUMN()-1),""))</f>
        <v/>
      </c>
      <c r="F108" s="120" t="str">
        <f ca="1">IF(IFERROR(INDEX((COPIA!$DA$3:$DE$2300),MATCH(ROWS(F$8:F108),COPIA!$DF$3:$DF$2300,0),COLUMN()-1),"")=0,"",IFERROR(INDEX((COPIA!$DA$3:$DE$2300),MATCH(ROWS(F$8:F108),COPIA!$DF$3:$DF$2300,0),COLUMN()-1),""))</f>
        <v/>
      </c>
      <c r="G108" s="16"/>
    </row>
    <row r="109" spans="1:7">
      <c r="A109" s="12"/>
      <c r="B109" s="119" t="str">
        <f ca="1">IF(IFERROR(INDEX((COPIA!$DA$3:$DE$2300),MATCH(ROWS(B$8:B109),COPIA!$DF$3:$DF$2300,0),COLUMN()-1),"")&gt;=1,IFERROR(INDEX((COPIA!$DA$3:$DE$2300),MATCH(ROWS(B$8:B109),COPIA!$DF$3:$DF$2300,0),COLUMN()-1),""),"")</f>
        <v/>
      </c>
      <c r="C109" s="118" t="str">
        <f ca="1">SUBSTITUTE(IFERROR(INDEX((COPIA!$DA$3:$DE$2300),MATCH(ROWS(C$8:C109),COPIA!$DF$3:$DF$2300,0),COLUMN()-1),""),"MASTRO","")</f>
        <v/>
      </c>
      <c r="D109" s="29" t="str">
        <f ca="1">IF(IFERROR(INDEX((COPIA!$DA$3:$DE$2300),MATCH(ROWS(D$8:D109),COPIA!$DF$3:$DF$2300,0),COLUMN()-1),"")=0,"",IFERROR(INDEX((COPIA!$DA$3:$DE$2300),MATCH(ROWS(D$8:D109),COPIA!$DF$3:$DF$2300,0),COLUMN()-1),""))</f>
        <v/>
      </c>
      <c r="E109" s="45" t="str">
        <f ca="1">IF(IFERROR(INDEX((COPIA!$DA$3:$DE$2300),MATCH(ROWS(E$8:E109),COPIA!$DF$3:$DF$2300,0),COLUMN()-1),"")=0,"",IFERROR(INDEX((COPIA!$DA$3:$DE$2300),MATCH(ROWS(E$8:E109),COPIA!$DF$3:$DF$2300,0),COLUMN()-1),""))</f>
        <v/>
      </c>
      <c r="F109" s="120" t="str">
        <f ca="1">IF(IFERROR(INDEX((COPIA!$DA$3:$DE$2300),MATCH(ROWS(F$8:F109),COPIA!$DF$3:$DF$2300,0),COLUMN()-1),"")=0,"",IFERROR(INDEX((COPIA!$DA$3:$DE$2300),MATCH(ROWS(F$8:F109),COPIA!$DF$3:$DF$2300,0),COLUMN()-1),""))</f>
        <v/>
      </c>
      <c r="G109" s="16"/>
    </row>
    <row r="110" spans="1:7">
      <c r="A110" s="12"/>
      <c r="B110" s="119" t="str">
        <f ca="1">IF(IFERROR(INDEX((COPIA!$DA$3:$DE$2300),MATCH(ROWS(B$8:B110),COPIA!$DF$3:$DF$2300,0),COLUMN()-1),"")&gt;=1,IFERROR(INDEX((COPIA!$DA$3:$DE$2300),MATCH(ROWS(B$8:B110),COPIA!$DF$3:$DF$2300,0),COLUMN()-1),""),"")</f>
        <v/>
      </c>
      <c r="C110" s="118" t="str">
        <f ca="1">SUBSTITUTE(IFERROR(INDEX((COPIA!$DA$3:$DE$2300),MATCH(ROWS(C$8:C110),COPIA!$DF$3:$DF$2300,0),COLUMN()-1),""),"MASTRO","")</f>
        <v/>
      </c>
      <c r="D110" s="29" t="str">
        <f ca="1">IF(IFERROR(INDEX((COPIA!$DA$3:$DE$2300),MATCH(ROWS(D$8:D110),COPIA!$DF$3:$DF$2300,0),COLUMN()-1),"")=0,"",IFERROR(INDEX((COPIA!$DA$3:$DE$2300),MATCH(ROWS(D$8:D110),COPIA!$DF$3:$DF$2300,0),COLUMN()-1),""))</f>
        <v/>
      </c>
      <c r="E110" s="45" t="str">
        <f ca="1">IF(IFERROR(INDEX((COPIA!$DA$3:$DE$2300),MATCH(ROWS(E$8:E110),COPIA!$DF$3:$DF$2300,0),COLUMN()-1),"")=0,"",IFERROR(INDEX((COPIA!$DA$3:$DE$2300),MATCH(ROWS(E$8:E110),COPIA!$DF$3:$DF$2300,0),COLUMN()-1),""))</f>
        <v/>
      </c>
      <c r="F110" s="120" t="str">
        <f ca="1">IF(IFERROR(INDEX((COPIA!$DA$3:$DE$2300),MATCH(ROWS(F$8:F110),COPIA!$DF$3:$DF$2300,0),COLUMN()-1),"")=0,"",IFERROR(INDEX((COPIA!$DA$3:$DE$2300),MATCH(ROWS(F$8:F110),COPIA!$DF$3:$DF$2300,0),COLUMN()-1),""))</f>
        <v/>
      </c>
      <c r="G110" s="16"/>
    </row>
    <row r="111" spans="1:7">
      <c r="A111" s="12"/>
      <c r="B111" s="119" t="str">
        <f ca="1">IF(IFERROR(INDEX((COPIA!$DA$3:$DE$2300),MATCH(ROWS(B$8:B111),COPIA!$DF$3:$DF$2300,0),COLUMN()-1),"")&gt;=1,IFERROR(INDEX((COPIA!$DA$3:$DE$2300),MATCH(ROWS(B$8:B111),COPIA!$DF$3:$DF$2300,0),COLUMN()-1),""),"")</f>
        <v/>
      </c>
      <c r="C111" s="118" t="str">
        <f ca="1">SUBSTITUTE(IFERROR(INDEX((COPIA!$DA$3:$DE$2300),MATCH(ROWS(C$8:C111),COPIA!$DF$3:$DF$2300,0),COLUMN()-1),""),"MASTRO","")</f>
        <v/>
      </c>
      <c r="D111" s="29" t="str">
        <f ca="1">IF(IFERROR(INDEX((COPIA!$DA$3:$DE$2300),MATCH(ROWS(D$8:D111),COPIA!$DF$3:$DF$2300,0),COLUMN()-1),"")=0,"",IFERROR(INDEX((COPIA!$DA$3:$DE$2300),MATCH(ROWS(D$8:D111),COPIA!$DF$3:$DF$2300,0),COLUMN()-1),""))</f>
        <v/>
      </c>
      <c r="E111" s="45" t="str">
        <f ca="1">IF(IFERROR(INDEX((COPIA!$DA$3:$DE$2300),MATCH(ROWS(E$8:E111),COPIA!$DF$3:$DF$2300,0),COLUMN()-1),"")=0,"",IFERROR(INDEX((COPIA!$DA$3:$DE$2300),MATCH(ROWS(E$8:E111),COPIA!$DF$3:$DF$2300,0),COLUMN()-1),""))</f>
        <v/>
      </c>
      <c r="F111" s="120" t="str">
        <f ca="1">IF(IFERROR(INDEX((COPIA!$DA$3:$DE$2300),MATCH(ROWS(F$8:F111),COPIA!$DF$3:$DF$2300,0),COLUMN()-1),"")=0,"",IFERROR(INDEX((COPIA!$DA$3:$DE$2300),MATCH(ROWS(F$8:F111),COPIA!$DF$3:$DF$2300,0),COLUMN()-1),""))</f>
        <v/>
      </c>
      <c r="G111" s="16"/>
    </row>
    <row r="112" spans="1:7">
      <c r="A112" s="12"/>
      <c r="B112" s="119" t="str">
        <f ca="1">IF(IFERROR(INDEX((COPIA!$DA$3:$DE$2300),MATCH(ROWS(B$8:B112),COPIA!$DF$3:$DF$2300,0),COLUMN()-1),"")&gt;=1,IFERROR(INDEX((COPIA!$DA$3:$DE$2300),MATCH(ROWS(B$8:B112),COPIA!$DF$3:$DF$2300,0),COLUMN()-1),""),"")</f>
        <v/>
      </c>
      <c r="C112" s="118" t="str">
        <f ca="1">SUBSTITUTE(IFERROR(INDEX((COPIA!$DA$3:$DE$2300),MATCH(ROWS(C$8:C112),COPIA!$DF$3:$DF$2300,0),COLUMN()-1),""),"MASTRO","")</f>
        <v/>
      </c>
      <c r="D112" s="29" t="str">
        <f ca="1">IF(IFERROR(INDEX((COPIA!$DA$3:$DE$2300),MATCH(ROWS(D$8:D112),COPIA!$DF$3:$DF$2300,0),COLUMN()-1),"")=0,"",IFERROR(INDEX((COPIA!$DA$3:$DE$2300),MATCH(ROWS(D$8:D112),COPIA!$DF$3:$DF$2300,0),COLUMN()-1),""))</f>
        <v/>
      </c>
      <c r="E112" s="45" t="str">
        <f ca="1">IF(IFERROR(INDEX((COPIA!$DA$3:$DE$2300),MATCH(ROWS(E$8:E112),COPIA!$DF$3:$DF$2300,0),COLUMN()-1),"")=0,"",IFERROR(INDEX((COPIA!$DA$3:$DE$2300),MATCH(ROWS(E$8:E112),COPIA!$DF$3:$DF$2300,0),COLUMN()-1),""))</f>
        <v/>
      </c>
      <c r="F112" s="120" t="str">
        <f ca="1">IF(IFERROR(INDEX((COPIA!$DA$3:$DE$2300),MATCH(ROWS(F$8:F112),COPIA!$DF$3:$DF$2300,0),COLUMN()-1),"")=0,"",IFERROR(INDEX((COPIA!$DA$3:$DE$2300),MATCH(ROWS(F$8:F112),COPIA!$DF$3:$DF$2300,0),COLUMN()-1),""))</f>
        <v/>
      </c>
      <c r="G112" s="16"/>
    </row>
    <row r="113" spans="1:7">
      <c r="A113" s="12"/>
      <c r="B113" s="119" t="str">
        <f ca="1">IF(IFERROR(INDEX((COPIA!$DA$3:$DE$2300),MATCH(ROWS(B$8:B113),COPIA!$DF$3:$DF$2300,0),COLUMN()-1),"")&gt;=1,IFERROR(INDEX((COPIA!$DA$3:$DE$2300),MATCH(ROWS(B$8:B113),COPIA!$DF$3:$DF$2300,0),COLUMN()-1),""),"")</f>
        <v/>
      </c>
      <c r="C113" s="118" t="str">
        <f ca="1">SUBSTITUTE(IFERROR(INDEX((COPIA!$DA$3:$DE$2300),MATCH(ROWS(C$8:C113),COPIA!$DF$3:$DF$2300,0),COLUMN()-1),""),"MASTRO","")</f>
        <v/>
      </c>
      <c r="D113" s="29" t="str">
        <f ca="1">IF(IFERROR(INDEX((COPIA!$DA$3:$DE$2300),MATCH(ROWS(D$8:D113),COPIA!$DF$3:$DF$2300,0),COLUMN()-1),"")=0,"",IFERROR(INDEX((COPIA!$DA$3:$DE$2300),MATCH(ROWS(D$8:D113),COPIA!$DF$3:$DF$2300,0),COLUMN()-1),""))</f>
        <v/>
      </c>
      <c r="E113" s="45" t="str">
        <f ca="1">IF(IFERROR(INDEX((COPIA!$DA$3:$DE$2300),MATCH(ROWS(E$8:E113),COPIA!$DF$3:$DF$2300,0),COLUMN()-1),"")=0,"",IFERROR(INDEX((COPIA!$DA$3:$DE$2300),MATCH(ROWS(E$8:E113),COPIA!$DF$3:$DF$2300,0),COLUMN()-1),""))</f>
        <v/>
      </c>
      <c r="F113" s="120" t="str">
        <f ca="1">IF(IFERROR(INDEX((COPIA!$DA$3:$DE$2300),MATCH(ROWS(F$8:F113),COPIA!$DF$3:$DF$2300,0),COLUMN()-1),"")=0,"",IFERROR(INDEX((COPIA!$DA$3:$DE$2300),MATCH(ROWS(F$8:F113),COPIA!$DF$3:$DF$2300,0),COLUMN()-1),""))</f>
        <v/>
      </c>
      <c r="G113" s="16"/>
    </row>
    <row r="114" spans="1:7">
      <c r="A114" s="12"/>
      <c r="B114" s="119" t="str">
        <f ca="1">IF(IFERROR(INDEX((COPIA!$DA$3:$DE$2300),MATCH(ROWS(B$8:B114),COPIA!$DF$3:$DF$2300,0),COLUMN()-1),"")&gt;=1,IFERROR(INDEX((COPIA!$DA$3:$DE$2300),MATCH(ROWS(B$8:B114),COPIA!$DF$3:$DF$2300,0),COLUMN()-1),""),"")</f>
        <v/>
      </c>
      <c r="C114" s="118" t="str">
        <f ca="1">SUBSTITUTE(IFERROR(INDEX((COPIA!$DA$3:$DE$2300),MATCH(ROWS(C$8:C114),COPIA!$DF$3:$DF$2300,0),COLUMN()-1),""),"MASTRO","")</f>
        <v/>
      </c>
      <c r="D114" s="29" t="str">
        <f ca="1">IF(IFERROR(INDEX((COPIA!$DA$3:$DE$2300),MATCH(ROWS(D$8:D114),COPIA!$DF$3:$DF$2300,0),COLUMN()-1),"")=0,"",IFERROR(INDEX((COPIA!$DA$3:$DE$2300),MATCH(ROWS(D$8:D114),COPIA!$DF$3:$DF$2300,0),COLUMN()-1),""))</f>
        <v/>
      </c>
      <c r="E114" s="45" t="str">
        <f ca="1">IF(IFERROR(INDEX((COPIA!$DA$3:$DE$2300),MATCH(ROWS(E$8:E114),COPIA!$DF$3:$DF$2300,0),COLUMN()-1),"")=0,"",IFERROR(INDEX((COPIA!$DA$3:$DE$2300),MATCH(ROWS(E$8:E114),COPIA!$DF$3:$DF$2300,0),COLUMN()-1),""))</f>
        <v/>
      </c>
      <c r="F114" s="120" t="str">
        <f ca="1">IF(IFERROR(INDEX((COPIA!$DA$3:$DE$2300),MATCH(ROWS(F$8:F114),COPIA!$DF$3:$DF$2300,0),COLUMN()-1),"")=0,"",IFERROR(INDEX((COPIA!$DA$3:$DE$2300),MATCH(ROWS(F$8:F114),COPIA!$DF$3:$DF$2300,0),COLUMN()-1),""))</f>
        <v/>
      </c>
      <c r="G114" s="16"/>
    </row>
    <row r="115" spans="1:7">
      <c r="A115" s="12"/>
      <c r="B115" s="119" t="str">
        <f ca="1">IF(IFERROR(INDEX((COPIA!$DA$3:$DE$2300),MATCH(ROWS(B$8:B115),COPIA!$DF$3:$DF$2300,0),COLUMN()-1),"")&gt;=1,IFERROR(INDEX((COPIA!$DA$3:$DE$2300),MATCH(ROWS(B$8:B115),COPIA!$DF$3:$DF$2300,0),COLUMN()-1),""),"")</f>
        <v/>
      </c>
      <c r="C115" s="118" t="str">
        <f ca="1">SUBSTITUTE(IFERROR(INDEX((COPIA!$DA$3:$DE$2300),MATCH(ROWS(C$8:C115),COPIA!$DF$3:$DF$2300,0),COLUMN()-1),""),"MASTRO","")</f>
        <v/>
      </c>
      <c r="D115" s="29" t="str">
        <f ca="1">IF(IFERROR(INDEX((COPIA!$DA$3:$DE$2300),MATCH(ROWS(D$8:D115),COPIA!$DF$3:$DF$2300,0),COLUMN()-1),"")=0,"",IFERROR(INDEX((COPIA!$DA$3:$DE$2300),MATCH(ROWS(D$8:D115),COPIA!$DF$3:$DF$2300,0),COLUMN()-1),""))</f>
        <v/>
      </c>
      <c r="E115" s="45" t="str">
        <f ca="1">IF(IFERROR(INDEX((COPIA!$DA$3:$DE$2300),MATCH(ROWS(E$8:E115),COPIA!$DF$3:$DF$2300,0),COLUMN()-1),"")=0,"",IFERROR(INDEX((COPIA!$DA$3:$DE$2300),MATCH(ROWS(E$8:E115),COPIA!$DF$3:$DF$2300,0),COLUMN()-1),""))</f>
        <v/>
      </c>
      <c r="F115" s="120" t="str">
        <f ca="1">IF(IFERROR(INDEX((COPIA!$DA$3:$DE$2300),MATCH(ROWS(F$8:F115),COPIA!$DF$3:$DF$2300,0),COLUMN()-1),"")=0,"",IFERROR(INDEX((COPIA!$DA$3:$DE$2300),MATCH(ROWS(F$8:F115),COPIA!$DF$3:$DF$2300,0),COLUMN()-1),""))</f>
        <v/>
      </c>
      <c r="G115" s="16"/>
    </row>
    <row r="116" spans="1:7">
      <c r="A116" s="12"/>
      <c r="B116" s="119" t="str">
        <f ca="1">IF(IFERROR(INDEX((COPIA!$DA$3:$DE$2300),MATCH(ROWS(B$8:B116),COPIA!$DF$3:$DF$2300,0),COLUMN()-1),"")&gt;=1,IFERROR(INDEX((COPIA!$DA$3:$DE$2300),MATCH(ROWS(B$8:B116),COPIA!$DF$3:$DF$2300,0),COLUMN()-1),""),"")</f>
        <v/>
      </c>
      <c r="C116" s="118" t="str">
        <f ca="1">SUBSTITUTE(IFERROR(INDEX((COPIA!$DA$3:$DE$2300),MATCH(ROWS(C$8:C116),COPIA!$DF$3:$DF$2300,0),COLUMN()-1),""),"MASTRO","")</f>
        <v/>
      </c>
      <c r="D116" s="29" t="str">
        <f ca="1">IF(IFERROR(INDEX((COPIA!$DA$3:$DE$2300),MATCH(ROWS(D$8:D116),COPIA!$DF$3:$DF$2300,0),COLUMN()-1),"")=0,"",IFERROR(INDEX((COPIA!$DA$3:$DE$2300),MATCH(ROWS(D$8:D116),COPIA!$DF$3:$DF$2300,0),COLUMN()-1),""))</f>
        <v/>
      </c>
      <c r="E116" s="45" t="str">
        <f ca="1">IF(IFERROR(INDEX((COPIA!$DA$3:$DE$2300),MATCH(ROWS(E$8:E116),COPIA!$DF$3:$DF$2300,0),COLUMN()-1),"")=0,"",IFERROR(INDEX((COPIA!$DA$3:$DE$2300),MATCH(ROWS(E$8:E116),COPIA!$DF$3:$DF$2300,0),COLUMN()-1),""))</f>
        <v/>
      </c>
      <c r="F116" s="120" t="str">
        <f ca="1">IF(IFERROR(INDEX((COPIA!$DA$3:$DE$2300),MATCH(ROWS(F$8:F116),COPIA!$DF$3:$DF$2300,0),COLUMN()-1),"")=0,"",IFERROR(INDEX((COPIA!$DA$3:$DE$2300),MATCH(ROWS(F$8:F116),COPIA!$DF$3:$DF$2300,0),COLUMN()-1),""))</f>
        <v/>
      </c>
      <c r="G116" s="16"/>
    </row>
    <row r="117" spans="1:7">
      <c r="A117" s="12"/>
      <c r="B117" s="119" t="str">
        <f ca="1">IF(IFERROR(INDEX((COPIA!$DA$3:$DE$2300),MATCH(ROWS(B$8:B117),COPIA!$DF$3:$DF$2300,0),COLUMN()-1),"")&gt;=1,IFERROR(INDEX((COPIA!$DA$3:$DE$2300),MATCH(ROWS(B$8:B117),COPIA!$DF$3:$DF$2300,0),COLUMN()-1),""),"")</f>
        <v/>
      </c>
      <c r="C117" s="118" t="str">
        <f ca="1">SUBSTITUTE(IFERROR(INDEX((COPIA!$DA$3:$DE$2300),MATCH(ROWS(C$8:C117),COPIA!$DF$3:$DF$2300,0),COLUMN()-1),""),"MASTRO","")</f>
        <v/>
      </c>
      <c r="D117" s="29" t="str">
        <f ca="1">IF(IFERROR(INDEX((COPIA!$DA$3:$DE$2300),MATCH(ROWS(D$8:D117),COPIA!$DF$3:$DF$2300,0),COLUMN()-1),"")=0,"",IFERROR(INDEX((COPIA!$DA$3:$DE$2300),MATCH(ROWS(D$8:D117),COPIA!$DF$3:$DF$2300,0),COLUMN()-1),""))</f>
        <v/>
      </c>
      <c r="E117" s="45" t="str">
        <f ca="1">IF(IFERROR(INDEX((COPIA!$DA$3:$DE$2300),MATCH(ROWS(E$8:E117),COPIA!$DF$3:$DF$2300,0),COLUMN()-1),"")=0,"",IFERROR(INDEX((COPIA!$DA$3:$DE$2300),MATCH(ROWS(E$8:E117),COPIA!$DF$3:$DF$2300,0),COLUMN()-1),""))</f>
        <v/>
      </c>
      <c r="F117" s="120" t="str">
        <f ca="1">IF(IFERROR(INDEX((COPIA!$DA$3:$DE$2300),MATCH(ROWS(F$8:F117),COPIA!$DF$3:$DF$2300,0),COLUMN()-1),"")=0,"",IFERROR(INDEX((COPIA!$DA$3:$DE$2300),MATCH(ROWS(F$8:F117),COPIA!$DF$3:$DF$2300,0),COLUMN()-1),""))</f>
        <v/>
      </c>
      <c r="G117" s="16"/>
    </row>
    <row r="118" spans="1:7">
      <c r="A118" s="12"/>
      <c r="B118" s="119" t="str">
        <f ca="1">IF(IFERROR(INDEX((COPIA!$DA$3:$DE$2300),MATCH(ROWS(B$8:B118),COPIA!$DF$3:$DF$2300,0),COLUMN()-1),"")&gt;=1,IFERROR(INDEX((COPIA!$DA$3:$DE$2300),MATCH(ROWS(B$8:B118),COPIA!$DF$3:$DF$2300,0),COLUMN()-1),""),"")</f>
        <v/>
      </c>
      <c r="C118" s="118" t="str">
        <f ca="1">SUBSTITUTE(IFERROR(INDEX((COPIA!$DA$3:$DE$2300),MATCH(ROWS(C$8:C118),COPIA!$DF$3:$DF$2300,0),COLUMN()-1),""),"MASTRO","")</f>
        <v/>
      </c>
      <c r="D118" s="29" t="str">
        <f ca="1">IF(IFERROR(INDEX((COPIA!$DA$3:$DE$2300),MATCH(ROWS(D$8:D118),COPIA!$DF$3:$DF$2300,0),COLUMN()-1),"")=0,"",IFERROR(INDEX((COPIA!$DA$3:$DE$2300),MATCH(ROWS(D$8:D118),COPIA!$DF$3:$DF$2300,0),COLUMN()-1),""))</f>
        <v/>
      </c>
      <c r="E118" s="45" t="str">
        <f ca="1">IF(IFERROR(INDEX((COPIA!$DA$3:$DE$2300),MATCH(ROWS(E$8:E118),COPIA!$DF$3:$DF$2300,0),COLUMN()-1),"")=0,"",IFERROR(INDEX((COPIA!$DA$3:$DE$2300),MATCH(ROWS(E$8:E118),COPIA!$DF$3:$DF$2300,0),COLUMN()-1),""))</f>
        <v/>
      </c>
      <c r="F118" s="120" t="str">
        <f ca="1">IF(IFERROR(INDEX((COPIA!$DA$3:$DE$2300),MATCH(ROWS(F$8:F118),COPIA!$DF$3:$DF$2300,0),COLUMN()-1),"")=0,"",IFERROR(INDEX((COPIA!$DA$3:$DE$2300),MATCH(ROWS(F$8:F118),COPIA!$DF$3:$DF$2300,0),COLUMN()-1),""))</f>
        <v/>
      </c>
      <c r="G118" s="16"/>
    </row>
    <row r="119" spans="1:7">
      <c r="A119" s="12"/>
      <c r="B119" s="119" t="str">
        <f ca="1">IF(IFERROR(INDEX((COPIA!$DA$3:$DE$2300),MATCH(ROWS(B$8:B119),COPIA!$DF$3:$DF$2300,0),COLUMN()-1),"")&gt;=1,IFERROR(INDEX((COPIA!$DA$3:$DE$2300),MATCH(ROWS(B$8:B119),COPIA!$DF$3:$DF$2300,0),COLUMN()-1),""),"")</f>
        <v/>
      </c>
      <c r="C119" s="118" t="str">
        <f ca="1">SUBSTITUTE(IFERROR(INDEX((COPIA!$DA$3:$DE$2300),MATCH(ROWS(C$8:C119),COPIA!$DF$3:$DF$2300,0),COLUMN()-1),""),"MASTRO","")</f>
        <v/>
      </c>
      <c r="D119" s="29" t="str">
        <f ca="1">IF(IFERROR(INDEX((COPIA!$DA$3:$DE$2300),MATCH(ROWS(D$8:D119),COPIA!$DF$3:$DF$2300,0),COLUMN()-1),"")=0,"",IFERROR(INDEX((COPIA!$DA$3:$DE$2300),MATCH(ROWS(D$8:D119),COPIA!$DF$3:$DF$2300,0),COLUMN()-1),""))</f>
        <v/>
      </c>
      <c r="E119" s="45" t="str">
        <f ca="1">IF(IFERROR(INDEX((COPIA!$DA$3:$DE$2300),MATCH(ROWS(E$8:E119),COPIA!$DF$3:$DF$2300,0),COLUMN()-1),"")=0,"",IFERROR(INDEX((COPIA!$DA$3:$DE$2300),MATCH(ROWS(E$8:E119),COPIA!$DF$3:$DF$2300,0),COLUMN()-1),""))</f>
        <v/>
      </c>
      <c r="F119" s="120" t="str">
        <f ca="1">IF(IFERROR(INDEX((COPIA!$DA$3:$DE$2300),MATCH(ROWS(F$8:F119),COPIA!$DF$3:$DF$2300,0),COLUMN()-1),"")=0,"",IFERROR(INDEX((COPIA!$DA$3:$DE$2300),MATCH(ROWS(F$8:F119),COPIA!$DF$3:$DF$2300,0),COLUMN()-1),""))</f>
        <v/>
      </c>
      <c r="G119" s="16"/>
    </row>
    <row r="120" spans="1:7">
      <c r="A120" s="12"/>
      <c r="B120" s="119" t="str">
        <f ca="1">IF(IFERROR(INDEX((COPIA!$DA$3:$DE$2300),MATCH(ROWS(B$8:B120),COPIA!$DF$3:$DF$2300,0),COLUMN()-1),"")&gt;=1,IFERROR(INDEX((COPIA!$DA$3:$DE$2300),MATCH(ROWS(B$8:B120),COPIA!$DF$3:$DF$2300,0),COLUMN()-1),""),"")</f>
        <v/>
      </c>
      <c r="C120" s="118" t="str">
        <f ca="1">SUBSTITUTE(IFERROR(INDEX((COPIA!$DA$3:$DE$2300),MATCH(ROWS(C$8:C120),COPIA!$DF$3:$DF$2300,0),COLUMN()-1),""),"MASTRO","")</f>
        <v/>
      </c>
      <c r="D120" s="29" t="str">
        <f ca="1">IF(IFERROR(INDEX((COPIA!$DA$3:$DE$2300),MATCH(ROWS(D$8:D120),COPIA!$DF$3:$DF$2300,0),COLUMN()-1),"")=0,"",IFERROR(INDEX((COPIA!$DA$3:$DE$2300),MATCH(ROWS(D$8:D120),COPIA!$DF$3:$DF$2300,0),COLUMN()-1),""))</f>
        <v/>
      </c>
      <c r="E120" s="45" t="str">
        <f ca="1">IF(IFERROR(INDEX((COPIA!$DA$3:$DE$2300),MATCH(ROWS(E$8:E120),COPIA!$DF$3:$DF$2300,0),COLUMN()-1),"")=0,"",IFERROR(INDEX((COPIA!$DA$3:$DE$2300),MATCH(ROWS(E$8:E120),COPIA!$DF$3:$DF$2300,0),COLUMN()-1),""))</f>
        <v/>
      </c>
      <c r="F120" s="120" t="str">
        <f ca="1">IF(IFERROR(INDEX((COPIA!$DA$3:$DE$2300),MATCH(ROWS(F$8:F120),COPIA!$DF$3:$DF$2300,0),COLUMN()-1),"")=0,"",IFERROR(INDEX((COPIA!$DA$3:$DE$2300),MATCH(ROWS(F$8:F120),COPIA!$DF$3:$DF$2300,0),COLUMN()-1),""))</f>
        <v/>
      </c>
      <c r="G120" s="16"/>
    </row>
    <row r="121" spans="1:7">
      <c r="A121" s="12"/>
      <c r="B121" s="119" t="str">
        <f ca="1">IF(IFERROR(INDEX((COPIA!$DA$3:$DE$2300),MATCH(ROWS(B$8:B121),COPIA!$DF$3:$DF$2300,0),COLUMN()-1),"")&gt;=1,IFERROR(INDEX((COPIA!$DA$3:$DE$2300),MATCH(ROWS(B$8:B121),COPIA!$DF$3:$DF$2300,0),COLUMN()-1),""),"")</f>
        <v/>
      </c>
      <c r="C121" s="118" t="str">
        <f ca="1">SUBSTITUTE(IFERROR(INDEX((COPIA!$DA$3:$DE$2300),MATCH(ROWS(C$8:C121),COPIA!$DF$3:$DF$2300,0),COLUMN()-1),""),"MASTRO","")</f>
        <v/>
      </c>
      <c r="D121" s="29" t="str">
        <f ca="1">IF(IFERROR(INDEX((COPIA!$DA$3:$DE$2300),MATCH(ROWS(D$8:D121),COPIA!$DF$3:$DF$2300,0),COLUMN()-1),"")=0,"",IFERROR(INDEX((COPIA!$DA$3:$DE$2300),MATCH(ROWS(D$8:D121),COPIA!$DF$3:$DF$2300,0),COLUMN()-1),""))</f>
        <v/>
      </c>
      <c r="E121" s="45" t="str">
        <f ca="1">IF(IFERROR(INDEX((COPIA!$DA$3:$DE$2300),MATCH(ROWS(E$8:E121),COPIA!$DF$3:$DF$2300,0),COLUMN()-1),"")=0,"",IFERROR(INDEX((COPIA!$DA$3:$DE$2300),MATCH(ROWS(E$8:E121),COPIA!$DF$3:$DF$2300,0),COLUMN()-1),""))</f>
        <v/>
      </c>
      <c r="F121" s="120" t="str">
        <f ca="1">IF(IFERROR(INDEX((COPIA!$DA$3:$DE$2300),MATCH(ROWS(F$8:F121),COPIA!$DF$3:$DF$2300,0),COLUMN()-1),"")=0,"",IFERROR(INDEX((COPIA!$DA$3:$DE$2300),MATCH(ROWS(F$8:F121),COPIA!$DF$3:$DF$2300,0),COLUMN()-1),""))</f>
        <v/>
      </c>
      <c r="G121" s="16"/>
    </row>
    <row r="122" spans="1:7">
      <c r="A122" s="12"/>
      <c r="B122" s="119" t="str">
        <f ca="1">IF(IFERROR(INDEX((COPIA!$DA$3:$DE$2300),MATCH(ROWS(B$8:B122),COPIA!$DF$3:$DF$2300,0),COLUMN()-1),"")&gt;=1,IFERROR(INDEX((COPIA!$DA$3:$DE$2300),MATCH(ROWS(B$8:B122),COPIA!$DF$3:$DF$2300,0),COLUMN()-1),""),"")</f>
        <v/>
      </c>
      <c r="C122" s="118" t="str">
        <f ca="1">SUBSTITUTE(IFERROR(INDEX((COPIA!$DA$3:$DE$2300),MATCH(ROWS(C$8:C122),COPIA!$DF$3:$DF$2300,0),COLUMN()-1),""),"MASTRO","")</f>
        <v/>
      </c>
      <c r="D122" s="29" t="str">
        <f ca="1">IF(IFERROR(INDEX((COPIA!$DA$3:$DE$2300),MATCH(ROWS(D$8:D122),COPIA!$DF$3:$DF$2300,0),COLUMN()-1),"")=0,"",IFERROR(INDEX((COPIA!$DA$3:$DE$2300),MATCH(ROWS(D$8:D122),COPIA!$DF$3:$DF$2300,0),COLUMN()-1),""))</f>
        <v/>
      </c>
      <c r="E122" s="45" t="str">
        <f ca="1">IF(IFERROR(INDEX((COPIA!$DA$3:$DE$2300),MATCH(ROWS(E$8:E122),COPIA!$DF$3:$DF$2300,0),COLUMN()-1),"")=0,"",IFERROR(INDEX((COPIA!$DA$3:$DE$2300),MATCH(ROWS(E$8:E122),COPIA!$DF$3:$DF$2300,0),COLUMN()-1),""))</f>
        <v/>
      </c>
      <c r="F122" s="120" t="str">
        <f ca="1">IF(IFERROR(INDEX((COPIA!$DA$3:$DE$2300),MATCH(ROWS(F$8:F122),COPIA!$DF$3:$DF$2300,0),COLUMN()-1),"")=0,"",IFERROR(INDEX((COPIA!$DA$3:$DE$2300),MATCH(ROWS(F$8:F122),COPIA!$DF$3:$DF$2300,0),COLUMN()-1),""))</f>
        <v/>
      </c>
      <c r="G122" s="16"/>
    </row>
    <row r="123" spans="1:7">
      <c r="A123" s="12"/>
      <c r="B123" s="119" t="str">
        <f ca="1">IF(IFERROR(INDEX((COPIA!$DA$3:$DE$2300),MATCH(ROWS(B$8:B123),COPIA!$DF$3:$DF$2300,0),COLUMN()-1),"")&gt;=1,IFERROR(INDEX((COPIA!$DA$3:$DE$2300),MATCH(ROWS(B$8:B123),COPIA!$DF$3:$DF$2300,0),COLUMN()-1),""),"")</f>
        <v/>
      </c>
      <c r="C123" s="118" t="str">
        <f ca="1">SUBSTITUTE(IFERROR(INDEX((COPIA!$DA$3:$DE$2300),MATCH(ROWS(C$8:C123),COPIA!$DF$3:$DF$2300,0),COLUMN()-1),""),"MASTRO","")</f>
        <v/>
      </c>
      <c r="D123" s="29" t="str">
        <f ca="1">IF(IFERROR(INDEX((COPIA!$DA$3:$DE$2300),MATCH(ROWS(D$8:D123),COPIA!$DF$3:$DF$2300,0),COLUMN()-1),"")=0,"",IFERROR(INDEX((COPIA!$DA$3:$DE$2300),MATCH(ROWS(D$8:D123),COPIA!$DF$3:$DF$2300,0),COLUMN()-1),""))</f>
        <v/>
      </c>
      <c r="E123" s="45" t="str">
        <f ca="1">IF(IFERROR(INDEX((COPIA!$DA$3:$DE$2300),MATCH(ROWS(E$8:E123),COPIA!$DF$3:$DF$2300,0),COLUMN()-1),"")=0,"",IFERROR(INDEX((COPIA!$DA$3:$DE$2300),MATCH(ROWS(E$8:E123),COPIA!$DF$3:$DF$2300,0),COLUMN()-1),""))</f>
        <v/>
      </c>
      <c r="F123" s="120" t="str">
        <f ca="1">IF(IFERROR(INDEX((COPIA!$DA$3:$DE$2300),MATCH(ROWS(F$8:F123),COPIA!$DF$3:$DF$2300,0),COLUMN()-1),"")=0,"",IFERROR(INDEX((COPIA!$DA$3:$DE$2300),MATCH(ROWS(F$8:F123),COPIA!$DF$3:$DF$2300,0),COLUMN()-1),""))</f>
        <v/>
      </c>
      <c r="G123" s="16"/>
    </row>
    <row r="124" spans="1:7">
      <c r="A124" s="12"/>
      <c r="B124" s="119" t="str">
        <f ca="1">IF(IFERROR(INDEX((COPIA!$DA$3:$DE$2300),MATCH(ROWS(B$8:B124),COPIA!$DF$3:$DF$2300,0),COLUMN()-1),"")&gt;=1,IFERROR(INDEX((COPIA!$DA$3:$DE$2300),MATCH(ROWS(B$8:B124),COPIA!$DF$3:$DF$2300,0),COLUMN()-1),""),"")</f>
        <v/>
      </c>
      <c r="C124" s="118" t="str">
        <f ca="1">SUBSTITUTE(IFERROR(INDEX((COPIA!$DA$3:$DE$2300),MATCH(ROWS(C$8:C124),COPIA!$DF$3:$DF$2300,0),COLUMN()-1),""),"MASTRO","")</f>
        <v/>
      </c>
      <c r="D124" s="29" t="str">
        <f ca="1">IF(IFERROR(INDEX((COPIA!$DA$3:$DE$2300),MATCH(ROWS(D$8:D124),COPIA!$DF$3:$DF$2300,0),COLUMN()-1),"")=0,"",IFERROR(INDEX((COPIA!$DA$3:$DE$2300),MATCH(ROWS(D$8:D124),COPIA!$DF$3:$DF$2300,0),COLUMN()-1),""))</f>
        <v/>
      </c>
      <c r="E124" s="45" t="str">
        <f ca="1">IF(IFERROR(INDEX((COPIA!$DA$3:$DE$2300),MATCH(ROWS(E$8:E124),COPIA!$DF$3:$DF$2300,0),COLUMN()-1),"")=0,"",IFERROR(INDEX((COPIA!$DA$3:$DE$2300),MATCH(ROWS(E$8:E124),COPIA!$DF$3:$DF$2300,0),COLUMN()-1),""))</f>
        <v/>
      </c>
      <c r="F124" s="120" t="str">
        <f ca="1">IF(IFERROR(INDEX((COPIA!$DA$3:$DE$2300),MATCH(ROWS(F$8:F124),COPIA!$DF$3:$DF$2300,0),COLUMN()-1),"")=0,"",IFERROR(INDEX((COPIA!$DA$3:$DE$2300),MATCH(ROWS(F$8:F124),COPIA!$DF$3:$DF$2300,0),COLUMN()-1),""))</f>
        <v/>
      </c>
      <c r="G124" s="16"/>
    </row>
    <row r="125" spans="1:7">
      <c r="A125" s="12"/>
      <c r="B125" s="119" t="str">
        <f ca="1">IF(IFERROR(INDEX((COPIA!$DA$3:$DE$2300),MATCH(ROWS(B$8:B125),COPIA!$DF$3:$DF$2300,0),COLUMN()-1),"")&gt;=1,IFERROR(INDEX((COPIA!$DA$3:$DE$2300),MATCH(ROWS(B$8:B125),COPIA!$DF$3:$DF$2300,0),COLUMN()-1),""),"")</f>
        <v/>
      </c>
      <c r="C125" s="118" t="str">
        <f ca="1">SUBSTITUTE(IFERROR(INDEX((COPIA!$DA$3:$DE$2300),MATCH(ROWS(C$8:C125),COPIA!$DF$3:$DF$2300,0),COLUMN()-1),""),"MASTRO","")</f>
        <v/>
      </c>
      <c r="D125" s="29" t="str">
        <f ca="1">IF(IFERROR(INDEX((COPIA!$DA$3:$DE$2300),MATCH(ROWS(D$8:D125),COPIA!$DF$3:$DF$2300,0),COLUMN()-1),"")=0,"",IFERROR(INDEX((COPIA!$DA$3:$DE$2300),MATCH(ROWS(D$8:D125),COPIA!$DF$3:$DF$2300,0),COLUMN()-1),""))</f>
        <v/>
      </c>
      <c r="E125" s="45" t="str">
        <f ca="1">IF(IFERROR(INDEX((COPIA!$DA$3:$DE$2300),MATCH(ROWS(E$8:E125),COPIA!$DF$3:$DF$2300,0),COLUMN()-1),"")=0,"",IFERROR(INDEX((COPIA!$DA$3:$DE$2300),MATCH(ROWS(E$8:E125),COPIA!$DF$3:$DF$2300,0),COLUMN()-1),""))</f>
        <v/>
      </c>
      <c r="F125" s="120" t="str">
        <f ca="1">IF(IFERROR(INDEX((COPIA!$DA$3:$DE$2300),MATCH(ROWS(F$8:F125),COPIA!$DF$3:$DF$2300,0),COLUMN()-1),"")=0,"",IFERROR(INDEX((COPIA!$DA$3:$DE$2300),MATCH(ROWS(F$8:F125),COPIA!$DF$3:$DF$2300,0),COLUMN()-1),""))</f>
        <v/>
      </c>
      <c r="G125" s="16"/>
    </row>
    <row r="126" spans="1:7">
      <c r="A126" s="12"/>
      <c r="B126" s="119" t="str">
        <f ca="1">IF(IFERROR(INDEX((COPIA!$DA$3:$DE$2300),MATCH(ROWS(B$8:B126),COPIA!$DF$3:$DF$2300,0),COLUMN()-1),"")&gt;=1,IFERROR(INDEX((COPIA!$DA$3:$DE$2300),MATCH(ROWS(B$8:B126),COPIA!$DF$3:$DF$2300,0),COLUMN()-1),""),"")</f>
        <v/>
      </c>
      <c r="C126" s="118" t="str">
        <f ca="1">SUBSTITUTE(IFERROR(INDEX((COPIA!$DA$3:$DE$2300),MATCH(ROWS(C$8:C126),COPIA!$DF$3:$DF$2300,0),COLUMN()-1),""),"MASTRO","")</f>
        <v/>
      </c>
      <c r="D126" s="29" t="str">
        <f ca="1">IF(IFERROR(INDEX((COPIA!$DA$3:$DE$2300),MATCH(ROWS(D$8:D126),COPIA!$DF$3:$DF$2300,0),COLUMN()-1),"")=0,"",IFERROR(INDEX((COPIA!$DA$3:$DE$2300),MATCH(ROWS(D$8:D126),COPIA!$DF$3:$DF$2300,0),COLUMN()-1),""))</f>
        <v/>
      </c>
      <c r="E126" s="45" t="str">
        <f ca="1">IF(IFERROR(INDEX((COPIA!$DA$3:$DE$2300),MATCH(ROWS(E$8:E126),COPIA!$DF$3:$DF$2300,0),COLUMN()-1),"")=0,"",IFERROR(INDEX((COPIA!$DA$3:$DE$2300),MATCH(ROWS(E$8:E126),COPIA!$DF$3:$DF$2300,0),COLUMN()-1),""))</f>
        <v/>
      </c>
      <c r="F126" s="120" t="str">
        <f ca="1">IF(IFERROR(INDEX((COPIA!$DA$3:$DE$2300),MATCH(ROWS(F$8:F126),COPIA!$DF$3:$DF$2300,0),COLUMN()-1),"")=0,"",IFERROR(INDEX((COPIA!$DA$3:$DE$2300),MATCH(ROWS(F$8:F126),COPIA!$DF$3:$DF$2300,0),COLUMN()-1),""))</f>
        <v/>
      </c>
      <c r="G126" s="16"/>
    </row>
    <row r="127" spans="1:7">
      <c r="A127" s="12"/>
      <c r="B127" s="119" t="str">
        <f ca="1">IF(IFERROR(INDEX((COPIA!$DA$3:$DE$2300),MATCH(ROWS(B$8:B127),COPIA!$DF$3:$DF$2300,0),COLUMN()-1),"")&gt;=1,IFERROR(INDEX((COPIA!$DA$3:$DE$2300),MATCH(ROWS(B$8:B127),COPIA!$DF$3:$DF$2300,0),COLUMN()-1),""),"")</f>
        <v/>
      </c>
      <c r="C127" s="118" t="str">
        <f ca="1">SUBSTITUTE(IFERROR(INDEX((COPIA!$DA$3:$DE$2300),MATCH(ROWS(C$8:C127),COPIA!$DF$3:$DF$2300,0),COLUMN()-1),""),"MASTRO","")</f>
        <v/>
      </c>
      <c r="D127" s="29" t="str">
        <f ca="1">IF(IFERROR(INDEX((COPIA!$DA$3:$DE$2300),MATCH(ROWS(D$8:D127),COPIA!$DF$3:$DF$2300,0),COLUMN()-1),"")=0,"",IFERROR(INDEX((COPIA!$DA$3:$DE$2300),MATCH(ROWS(D$8:D127),COPIA!$DF$3:$DF$2300,0),COLUMN()-1),""))</f>
        <v/>
      </c>
      <c r="E127" s="45" t="str">
        <f ca="1">IF(IFERROR(INDEX((COPIA!$DA$3:$DE$2300),MATCH(ROWS(E$8:E127),COPIA!$DF$3:$DF$2300,0),COLUMN()-1),"")=0,"",IFERROR(INDEX((COPIA!$DA$3:$DE$2300),MATCH(ROWS(E$8:E127),COPIA!$DF$3:$DF$2300,0),COLUMN()-1),""))</f>
        <v/>
      </c>
      <c r="F127" s="120" t="str">
        <f ca="1">IF(IFERROR(INDEX((COPIA!$DA$3:$DE$2300),MATCH(ROWS(F$8:F127),COPIA!$DF$3:$DF$2300,0),COLUMN()-1),"")=0,"",IFERROR(INDEX((COPIA!$DA$3:$DE$2300),MATCH(ROWS(F$8:F127),COPIA!$DF$3:$DF$2300,0),COLUMN()-1),""))</f>
        <v/>
      </c>
      <c r="G127" s="16"/>
    </row>
    <row r="128" spans="1:7">
      <c r="A128" s="12"/>
      <c r="B128" s="119" t="str">
        <f ca="1">IF(IFERROR(INDEX((COPIA!$DA$3:$DE$2300),MATCH(ROWS(B$8:B128),COPIA!$DF$3:$DF$2300,0),COLUMN()-1),"")&gt;=1,IFERROR(INDEX((COPIA!$DA$3:$DE$2300),MATCH(ROWS(B$8:B128),COPIA!$DF$3:$DF$2300,0),COLUMN()-1),""),"")</f>
        <v/>
      </c>
      <c r="C128" s="118" t="str">
        <f ca="1">SUBSTITUTE(IFERROR(INDEX((COPIA!$DA$3:$DE$2300),MATCH(ROWS(C$8:C128),COPIA!$DF$3:$DF$2300,0),COLUMN()-1),""),"MASTRO","")</f>
        <v/>
      </c>
      <c r="D128" s="29" t="str">
        <f ca="1">IF(IFERROR(INDEX((COPIA!$DA$3:$DE$2300),MATCH(ROWS(D$8:D128),COPIA!$DF$3:$DF$2300,0),COLUMN()-1),"")=0,"",IFERROR(INDEX((COPIA!$DA$3:$DE$2300),MATCH(ROWS(D$8:D128),COPIA!$DF$3:$DF$2300,0),COLUMN()-1),""))</f>
        <v/>
      </c>
      <c r="E128" s="45" t="str">
        <f ca="1">IF(IFERROR(INDEX((COPIA!$DA$3:$DE$2300),MATCH(ROWS(E$8:E128),COPIA!$DF$3:$DF$2300,0),COLUMN()-1),"")=0,"",IFERROR(INDEX((COPIA!$DA$3:$DE$2300),MATCH(ROWS(E$8:E128),COPIA!$DF$3:$DF$2300,0),COLUMN()-1),""))</f>
        <v/>
      </c>
      <c r="F128" s="120" t="str">
        <f ca="1">IF(IFERROR(INDEX((COPIA!$DA$3:$DE$2300),MATCH(ROWS(F$8:F128),COPIA!$DF$3:$DF$2300,0),COLUMN()-1),"")=0,"",IFERROR(INDEX((COPIA!$DA$3:$DE$2300),MATCH(ROWS(F$8:F128),COPIA!$DF$3:$DF$2300,0),COLUMN()-1),""))</f>
        <v/>
      </c>
      <c r="G128" s="16"/>
    </row>
    <row r="129" spans="1:7">
      <c r="A129" s="12"/>
      <c r="B129" s="119" t="str">
        <f ca="1">IF(IFERROR(INDEX((COPIA!$DA$3:$DE$2300),MATCH(ROWS(B$8:B129),COPIA!$DF$3:$DF$2300,0),COLUMN()-1),"")&gt;=1,IFERROR(INDEX((COPIA!$DA$3:$DE$2300),MATCH(ROWS(B$8:B129),COPIA!$DF$3:$DF$2300,0),COLUMN()-1),""),"")</f>
        <v/>
      </c>
      <c r="C129" s="118" t="str">
        <f ca="1">SUBSTITUTE(IFERROR(INDEX((COPIA!$DA$3:$DE$2300),MATCH(ROWS(C$8:C129),COPIA!$DF$3:$DF$2300,0),COLUMN()-1),""),"MASTRO","")</f>
        <v/>
      </c>
      <c r="D129" s="29" t="str">
        <f ca="1">IF(IFERROR(INDEX((COPIA!$DA$3:$DE$2300),MATCH(ROWS(D$8:D129),COPIA!$DF$3:$DF$2300,0),COLUMN()-1),"")=0,"",IFERROR(INDEX((COPIA!$DA$3:$DE$2300),MATCH(ROWS(D$8:D129),COPIA!$DF$3:$DF$2300,0),COLUMN()-1),""))</f>
        <v/>
      </c>
      <c r="E129" s="45" t="str">
        <f ca="1">IF(IFERROR(INDEX((COPIA!$DA$3:$DE$2300),MATCH(ROWS(E$8:E129),COPIA!$DF$3:$DF$2300,0),COLUMN()-1),"")=0,"",IFERROR(INDEX((COPIA!$DA$3:$DE$2300),MATCH(ROWS(E$8:E129),COPIA!$DF$3:$DF$2300,0),COLUMN()-1),""))</f>
        <v/>
      </c>
      <c r="F129" s="120" t="str">
        <f ca="1">IF(IFERROR(INDEX((COPIA!$DA$3:$DE$2300),MATCH(ROWS(F$8:F129),COPIA!$DF$3:$DF$2300,0),COLUMN()-1),"")=0,"",IFERROR(INDEX((COPIA!$DA$3:$DE$2300),MATCH(ROWS(F$8:F129),COPIA!$DF$3:$DF$2300,0),COLUMN()-1),""))</f>
        <v/>
      </c>
      <c r="G129" s="16"/>
    </row>
    <row r="130" spans="1:7">
      <c r="A130" s="12"/>
      <c r="B130" s="119" t="str">
        <f ca="1">IF(IFERROR(INDEX((COPIA!$DA$3:$DE$2300),MATCH(ROWS(B$8:B130),COPIA!$DF$3:$DF$2300,0),COLUMN()-1),"")&gt;=1,IFERROR(INDEX((COPIA!$DA$3:$DE$2300),MATCH(ROWS(B$8:B130),COPIA!$DF$3:$DF$2300,0),COLUMN()-1),""),"")</f>
        <v/>
      </c>
      <c r="C130" s="118" t="str">
        <f ca="1">SUBSTITUTE(IFERROR(INDEX((COPIA!$DA$3:$DE$2300),MATCH(ROWS(C$8:C130),COPIA!$DF$3:$DF$2300,0),COLUMN()-1),""),"MASTRO","")</f>
        <v/>
      </c>
      <c r="D130" s="29" t="str">
        <f ca="1">IF(IFERROR(INDEX((COPIA!$DA$3:$DE$2300),MATCH(ROWS(D$8:D130),COPIA!$DF$3:$DF$2300,0),COLUMN()-1),"")=0,"",IFERROR(INDEX((COPIA!$DA$3:$DE$2300),MATCH(ROWS(D$8:D130),COPIA!$DF$3:$DF$2300,0),COLUMN()-1),""))</f>
        <v/>
      </c>
      <c r="E130" s="45" t="str">
        <f ca="1">IF(IFERROR(INDEX((COPIA!$DA$3:$DE$2300),MATCH(ROWS(E$8:E130),COPIA!$DF$3:$DF$2300,0),COLUMN()-1),"")=0,"",IFERROR(INDEX((COPIA!$DA$3:$DE$2300),MATCH(ROWS(E$8:E130),COPIA!$DF$3:$DF$2300,0),COLUMN()-1),""))</f>
        <v/>
      </c>
      <c r="F130" s="120" t="str">
        <f ca="1">IF(IFERROR(INDEX((COPIA!$DA$3:$DE$2300),MATCH(ROWS(F$8:F130),COPIA!$DF$3:$DF$2300,0),COLUMN()-1),"")=0,"",IFERROR(INDEX((COPIA!$DA$3:$DE$2300),MATCH(ROWS(F$8:F130),COPIA!$DF$3:$DF$2300,0),COLUMN()-1),""))</f>
        <v/>
      </c>
      <c r="G130" s="16"/>
    </row>
    <row r="131" spans="1:7">
      <c r="A131" s="12"/>
      <c r="B131" s="119" t="str">
        <f ca="1">IF(IFERROR(INDEX((COPIA!$DA$3:$DE$2300),MATCH(ROWS(B$8:B131),COPIA!$DF$3:$DF$2300,0),COLUMN()-1),"")&gt;=1,IFERROR(INDEX((COPIA!$DA$3:$DE$2300),MATCH(ROWS(B$8:B131),COPIA!$DF$3:$DF$2300,0),COLUMN()-1),""),"")</f>
        <v/>
      </c>
      <c r="C131" s="118" t="str">
        <f ca="1">SUBSTITUTE(IFERROR(INDEX((COPIA!$DA$3:$DE$2300),MATCH(ROWS(C$8:C131),COPIA!$DF$3:$DF$2300,0),COLUMN()-1),""),"MASTRO","")</f>
        <v/>
      </c>
      <c r="D131" s="29" t="str">
        <f ca="1">IF(IFERROR(INDEX((COPIA!$DA$3:$DE$2300),MATCH(ROWS(D$8:D131),COPIA!$DF$3:$DF$2300,0),COLUMN()-1),"")=0,"",IFERROR(INDEX((COPIA!$DA$3:$DE$2300),MATCH(ROWS(D$8:D131),COPIA!$DF$3:$DF$2300,0),COLUMN()-1),""))</f>
        <v/>
      </c>
      <c r="E131" s="45" t="str">
        <f ca="1">IF(IFERROR(INDEX((COPIA!$DA$3:$DE$2300),MATCH(ROWS(E$8:E131),COPIA!$DF$3:$DF$2300,0),COLUMN()-1),"")=0,"",IFERROR(INDEX((COPIA!$DA$3:$DE$2300),MATCH(ROWS(E$8:E131),COPIA!$DF$3:$DF$2300,0),COLUMN()-1),""))</f>
        <v/>
      </c>
      <c r="F131" s="120" t="str">
        <f ca="1">IF(IFERROR(INDEX((COPIA!$DA$3:$DE$2300),MATCH(ROWS(F$8:F131),COPIA!$DF$3:$DF$2300,0),COLUMN()-1),"")=0,"",IFERROR(INDEX((COPIA!$DA$3:$DE$2300),MATCH(ROWS(F$8:F131),COPIA!$DF$3:$DF$2300,0),COLUMN()-1),""))</f>
        <v/>
      </c>
      <c r="G131" s="16"/>
    </row>
    <row r="132" spans="1:7">
      <c r="A132" s="12"/>
      <c r="B132" s="119" t="str">
        <f ca="1">IF(IFERROR(INDEX((COPIA!$DA$3:$DE$2300),MATCH(ROWS(B$8:B132),COPIA!$DF$3:$DF$2300,0),COLUMN()-1),"")&gt;=1,IFERROR(INDEX((COPIA!$DA$3:$DE$2300),MATCH(ROWS(B$8:B132),COPIA!$DF$3:$DF$2300,0),COLUMN()-1),""),"")</f>
        <v/>
      </c>
      <c r="C132" s="118" t="str">
        <f ca="1">SUBSTITUTE(IFERROR(INDEX((COPIA!$DA$3:$DE$2300),MATCH(ROWS(C$8:C132),COPIA!$DF$3:$DF$2300,0),COLUMN()-1),""),"MASTRO","")</f>
        <v/>
      </c>
      <c r="D132" s="29" t="str">
        <f ca="1">IF(IFERROR(INDEX((COPIA!$DA$3:$DE$2300),MATCH(ROWS(D$8:D132),COPIA!$DF$3:$DF$2300,0),COLUMN()-1),"")=0,"",IFERROR(INDEX((COPIA!$DA$3:$DE$2300),MATCH(ROWS(D$8:D132),COPIA!$DF$3:$DF$2300,0),COLUMN()-1),""))</f>
        <v/>
      </c>
      <c r="E132" s="45" t="str">
        <f ca="1">IF(IFERROR(INDEX((COPIA!$DA$3:$DE$2300),MATCH(ROWS(E$8:E132),COPIA!$DF$3:$DF$2300,0),COLUMN()-1),"")=0,"",IFERROR(INDEX((COPIA!$DA$3:$DE$2300),MATCH(ROWS(E$8:E132),COPIA!$DF$3:$DF$2300,0),COLUMN()-1),""))</f>
        <v/>
      </c>
      <c r="F132" s="120" t="str">
        <f ca="1">IF(IFERROR(INDEX((COPIA!$DA$3:$DE$2300),MATCH(ROWS(F$8:F132),COPIA!$DF$3:$DF$2300,0),COLUMN()-1),"")=0,"",IFERROR(INDEX((COPIA!$DA$3:$DE$2300),MATCH(ROWS(F$8:F132),COPIA!$DF$3:$DF$2300,0),COLUMN()-1),""))</f>
        <v/>
      </c>
      <c r="G132" s="16"/>
    </row>
    <row r="133" spans="1:7">
      <c r="A133" s="12"/>
      <c r="B133" s="119" t="str">
        <f ca="1">IF(IFERROR(INDEX((COPIA!$DA$3:$DE$2300),MATCH(ROWS(B$8:B133),COPIA!$DF$3:$DF$2300,0),COLUMN()-1),"")&gt;=1,IFERROR(INDEX((COPIA!$DA$3:$DE$2300),MATCH(ROWS(B$8:B133),COPIA!$DF$3:$DF$2300,0),COLUMN()-1),""),"")</f>
        <v/>
      </c>
      <c r="C133" s="118" t="str">
        <f ca="1">SUBSTITUTE(IFERROR(INDEX((COPIA!$DA$3:$DE$2300),MATCH(ROWS(C$8:C133),COPIA!$DF$3:$DF$2300,0),COLUMN()-1),""),"MASTRO","")</f>
        <v/>
      </c>
      <c r="D133" s="29" t="str">
        <f ca="1">IF(IFERROR(INDEX((COPIA!$DA$3:$DE$2300),MATCH(ROWS(D$8:D133),COPIA!$DF$3:$DF$2300,0),COLUMN()-1),"")=0,"",IFERROR(INDEX((COPIA!$DA$3:$DE$2300),MATCH(ROWS(D$8:D133),COPIA!$DF$3:$DF$2300,0),COLUMN()-1),""))</f>
        <v/>
      </c>
      <c r="E133" s="45" t="str">
        <f ca="1">IF(IFERROR(INDEX((COPIA!$DA$3:$DE$2300),MATCH(ROWS(E$8:E133),COPIA!$DF$3:$DF$2300,0),COLUMN()-1),"")=0,"",IFERROR(INDEX((COPIA!$DA$3:$DE$2300),MATCH(ROWS(E$8:E133),COPIA!$DF$3:$DF$2300,0),COLUMN()-1),""))</f>
        <v/>
      </c>
      <c r="F133" s="120" t="str">
        <f ca="1">IF(IFERROR(INDEX((COPIA!$DA$3:$DE$2300),MATCH(ROWS(F$8:F133),COPIA!$DF$3:$DF$2300,0),COLUMN()-1),"")=0,"",IFERROR(INDEX((COPIA!$DA$3:$DE$2300),MATCH(ROWS(F$8:F133),COPIA!$DF$3:$DF$2300,0),COLUMN()-1),""))</f>
        <v/>
      </c>
      <c r="G133" s="16"/>
    </row>
    <row r="134" spans="1:7">
      <c r="A134" s="12"/>
      <c r="B134" s="119" t="str">
        <f ca="1">IF(IFERROR(INDEX((COPIA!$DA$3:$DE$2300),MATCH(ROWS(B$8:B134),COPIA!$DF$3:$DF$2300,0),COLUMN()-1),"")&gt;=1,IFERROR(INDEX((COPIA!$DA$3:$DE$2300),MATCH(ROWS(B$8:B134),COPIA!$DF$3:$DF$2300,0),COLUMN()-1),""),"")</f>
        <v/>
      </c>
      <c r="C134" s="118" t="str">
        <f ca="1">SUBSTITUTE(IFERROR(INDEX((COPIA!$DA$3:$DE$2300),MATCH(ROWS(C$8:C134),COPIA!$DF$3:$DF$2300,0),COLUMN()-1),""),"MASTRO","")</f>
        <v/>
      </c>
      <c r="D134" s="29" t="str">
        <f ca="1">IF(IFERROR(INDEX((COPIA!$DA$3:$DE$2300),MATCH(ROWS(D$8:D134),COPIA!$DF$3:$DF$2300,0),COLUMN()-1),"")=0,"",IFERROR(INDEX((COPIA!$DA$3:$DE$2300),MATCH(ROWS(D$8:D134),COPIA!$DF$3:$DF$2300,0),COLUMN()-1),""))</f>
        <v/>
      </c>
      <c r="E134" s="45" t="str">
        <f ca="1">IF(IFERROR(INDEX((COPIA!$DA$3:$DE$2300),MATCH(ROWS(E$8:E134),COPIA!$DF$3:$DF$2300,0),COLUMN()-1),"")=0,"",IFERROR(INDEX((COPIA!$DA$3:$DE$2300),MATCH(ROWS(E$8:E134),COPIA!$DF$3:$DF$2300,0),COLUMN()-1),""))</f>
        <v/>
      </c>
      <c r="F134" s="120" t="str">
        <f ca="1">IF(IFERROR(INDEX((COPIA!$DA$3:$DE$2300),MATCH(ROWS(F$8:F134),COPIA!$DF$3:$DF$2300,0),COLUMN()-1),"")=0,"",IFERROR(INDEX((COPIA!$DA$3:$DE$2300),MATCH(ROWS(F$8:F134),COPIA!$DF$3:$DF$2300,0),COLUMN()-1),""))</f>
        <v/>
      </c>
      <c r="G134" s="16"/>
    </row>
    <row r="135" spans="1:7">
      <c r="A135" s="12"/>
      <c r="B135" s="119" t="str">
        <f ca="1">IF(IFERROR(INDEX((COPIA!$DA$3:$DE$2300),MATCH(ROWS(B$8:B135),COPIA!$DF$3:$DF$2300,0),COLUMN()-1),"")&gt;=1,IFERROR(INDEX((COPIA!$DA$3:$DE$2300),MATCH(ROWS(B$8:B135),COPIA!$DF$3:$DF$2300,0),COLUMN()-1),""),"")</f>
        <v/>
      </c>
      <c r="C135" s="118" t="str">
        <f ca="1">SUBSTITUTE(IFERROR(INDEX((COPIA!$DA$3:$DE$2300),MATCH(ROWS(C$8:C135),COPIA!$DF$3:$DF$2300,0),COLUMN()-1),""),"MASTRO","")</f>
        <v/>
      </c>
      <c r="D135" s="29" t="str">
        <f ca="1">IF(IFERROR(INDEX((COPIA!$DA$3:$DE$2300),MATCH(ROWS(D$8:D135),COPIA!$DF$3:$DF$2300,0),COLUMN()-1),"")=0,"",IFERROR(INDEX((COPIA!$DA$3:$DE$2300),MATCH(ROWS(D$8:D135),COPIA!$DF$3:$DF$2300,0),COLUMN()-1),""))</f>
        <v/>
      </c>
      <c r="E135" s="45" t="str">
        <f ca="1">IF(IFERROR(INDEX((COPIA!$DA$3:$DE$2300),MATCH(ROWS(E$8:E135),COPIA!$DF$3:$DF$2300,0),COLUMN()-1),"")=0,"",IFERROR(INDEX((COPIA!$DA$3:$DE$2300),MATCH(ROWS(E$8:E135),COPIA!$DF$3:$DF$2300,0),COLUMN()-1),""))</f>
        <v/>
      </c>
      <c r="F135" s="120" t="str">
        <f ca="1">IF(IFERROR(INDEX((COPIA!$DA$3:$DE$2300),MATCH(ROWS(F$8:F135),COPIA!$DF$3:$DF$2300,0),COLUMN()-1),"")=0,"",IFERROR(INDEX((COPIA!$DA$3:$DE$2300),MATCH(ROWS(F$8:F135),COPIA!$DF$3:$DF$2300,0),COLUMN()-1),""))</f>
        <v/>
      </c>
      <c r="G135" s="16"/>
    </row>
    <row r="136" spans="1:7">
      <c r="A136" s="12"/>
      <c r="B136" s="119" t="str">
        <f ca="1">IF(IFERROR(INDEX((COPIA!$DA$3:$DE$2300),MATCH(ROWS(B$8:B136),COPIA!$DF$3:$DF$2300,0),COLUMN()-1),"")&gt;=1,IFERROR(INDEX((COPIA!$DA$3:$DE$2300),MATCH(ROWS(B$8:B136),COPIA!$DF$3:$DF$2300,0),COLUMN()-1),""),"")</f>
        <v/>
      </c>
      <c r="C136" s="118" t="str">
        <f ca="1">SUBSTITUTE(IFERROR(INDEX((COPIA!$DA$3:$DE$2300),MATCH(ROWS(C$8:C136),COPIA!$DF$3:$DF$2300,0),COLUMN()-1),""),"MASTRO","")</f>
        <v/>
      </c>
      <c r="D136" s="29" t="str">
        <f ca="1">IF(IFERROR(INDEX((COPIA!$DA$3:$DE$2300),MATCH(ROWS(D$8:D136),COPIA!$DF$3:$DF$2300,0),COLUMN()-1),"")=0,"",IFERROR(INDEX((COPIA!$DA$3:$DE$2300),MATCH(ROWS(D$8:D136),COPIA!$DF$3:$DF$2300,0),COLUMN()-1),""))</f>
        <v/>
      </c>
      <c r="E136" s="45" t="str">
        <f ca="1">IF(IFERROR(INDEX((COPIA!$DA$3:$DE$2300),MATCH(ROWS(E$8:E136),COPIA!$DF$3:$DF$2300,0),COLUMN()-1),"")=0,"",IFERROR(INDEX((COPIA!$DA$3:$DE$2300),MATCH(ROWS(E$8:E136),COPIA!$DF$3:$DF$2300,0),COLUMN()-1),""))</f>
        <v/>
      </c>
      <c r="F136" s="120" t="str">
        <f ca="1">IF(IFERROR(INDEX((COPIA!$DA$3:$DE$2300),MATCH(ROWS(F$8:F136),COPIA!$DF$3:$DF$2300,0),COLUMN()-1),"")=0,"",IFERROR(INDEX((COPIA!$DA$3:$DE$2300),MATCH(ROWS(F$8:F136),COPIA!$DF$3:$DF$2300,0),COLUMN()-1),""))</f>
        <v/>
      </c>
      <c r="G136" s="16"/>
    </row>
    <row r="137" spans="1:7">
      <c r="A137" s="12"/>
      <c r="B137" s="119" t="str">
        <f ca="1">IF(IFERROR(INDEX((COPIA!$DA$3:$DE$2300),MATCH(ROWS(B$8:B137),COPIA!$DF$3:$DF$2300,0),COLUMN()-1),"")&gt;=1,IFERROR(INDEX((COPIA!$DA$3:$DE$2300),MATCH(ROWS(B$8:B137),COPIA!$DF$3:$DF$2300,0),COLUMN()-1),""),"")</f>
        <v/>
      </c>
      <c r="C137" s="118" t="str">
        <f ca="1">SUBSTITUTE(IFERROR(INDEX((COPIA!$DA$3:$DE$2300),MATCH(ROWS(C$8:C137),COPIA!$DF$3:$DF$2300,0),COLUMN()-1),""),"MASTRO","")</f>
        <v/>
      </c>
      <c r="D137" s="29" t="str">
        <f ca="1">IF(IFERROR(INDEX((COPIA!$DA$3:$DE$2300),MATCH(ROWS(D$8:D137),COPIA!$DF$3:$DF$2300,0),COLUMN()-1),"")=0,"",IFERROR(INDEX((COPIA!$DA$3:$DE$2300),MATCH(ROWS(D$8:D137),COPIA!$DF$3:$DF$2300,0),COLUMN()-1),""))</f>
        <v/>
      </c>
      <c r="E137" s="45" t="str">
        <f ca="1">IF(IFERROR(INDEX((COPIA!$DA$3:$DE$2300),MATCH(ROWS(E$8:E137),COPIA!$DF$3:$DF$2300,0),COLUMN()-1),"")=0,"",IFERROR(INDEX((COPIA!$DA$3:$DE$2300),MATCH(ROWS(E$8:E137),COPIA!$DF$3:$DF$2300,0),COLUMN()-1),""))</f>
        <v/>
      </c>
      <c r="F137" s="120" t="str">
        <f ca="1">IF(IFERROR(INDEX((COPIA!$DA$3:$DE$2300),MATCH(ROWS(F$8:F137),COPIA!$DF$3:$DF$2300,0),COLUMN()-1),"")=0,"",IFERROR(INDEX((COPIA!$DA$3:$DE$2300),MATCH(ROWS(F$8:F137),COPIA!$DF$3:$DF$2300,0),COLUMN()-1),""))</f>
        <v/>
      </c>
      <c r="G137" s="16"/>
    </row>
    <row r="138" spans="1:7">
      <c r="A138" s="12"/>
      <c r="B138" s="119" t="str">
        <f ca="1">IF(IFERROR(INDEX((COPIA!$DA$3:$DE$2300),MATCH(ROWS(B$8:B138),COPIA!$DF$3:$DF$2300,0),COLUMN()-1),"")&gt;=1,IFERROR(INDEX((COPIA!$DA$3:$DE$2300),MATCH(ROWS(B$8:B138),COPIA!$DF$3:$DF$2300,0),COLUMN()-1),""),"")</f>
        <v/>
      </c>
      <c r="C138" s="118" t="str">
        <f ca="1">SUBSTITUTE(IFERROR(INDEX((COPIA!$DA$3:$DE$2300),MATCH(ROWS(C$8:C138),COPIA!$DF$3:$DF$2300,0),COLUMN()-1),""),"MASTRO","")</f>
        <v/>
      </c>
      <c r="D138" s="29" t="str">
        <f ca="1">IF(IFERROR(INDEX((COPIA!$DA$3:$DE$2300),MATCH(ROWS(D$8:D138),COPIA!$DF$3:$DF$2300,0),COLUMN()-1),"")=0,"",IFERROR(INDEX((COPIA!$DA$3:$DE$2300),MATCH(ROWS(D$8:D138),COPIA!$DF$3:$DF$2300,0),COLUMN()-1),""))</f>
        <v/>
      </c>
      <c r="E138" s="45" t="str">
        <f ca="1">IF(IFERROR(INDEX((COPIA!$DA$3:$DE$2300),MATCH(ROWS(E$8:E138),COPIA!$DF$3:$DF$2300,0),COLUMN()-1),"")=0,"",IFERROR(INDEX((COPIA!$DA$3:$DE$2300),MATCH(ROWS(E$8:E138),COPIA!$DF$3:$DF$2300,0),COLUMN()-1),""))</f>
        <v/>
      </c>
      <c r="F138" s="120" t="str">
        <f ca="1">IF(IFERROR(INDEX((COPIA!$DA$3:$DE$2300),MATCH(ROWS(F$8:F138),COPIA!$DF$3:$DF$2300,0),COLUMN()-1),"")=0,"",IFERROR(INDEX((COPIA!$DA$3:$DE$2300),MATCH(ROWS(F$8:F138),COPIA!$DF$3:$DF$2300,0),COLUMN()-1),""))</f>
        <v/>
      </c>
      <c r="G138" s="16"/>
    </row>
    <row r="139" spans="1:7">
      <c r="A139" s="12"/>
      <c r="B139" s="119" t="str">
        <f ca="1">IF(IFERROR(INDEX((COPIA!$DA$3:$DE$2300),MATCH(ROWS(B$8:B139),COPIA!$DF$3:$DF$2300,0),COLUMN()-1),"")&gt;=1,IFERROR(INDEX((COPIA!$DA$3:$DE$2300),MATCH(ROWS(B$8:B139),COPIA!$DF$3:$DF$2300,0),COLUMN()-1),""),"")</f>
        <v/>
      </c>
      <c r="C139" s="118" t="str">
        <f ca="1">SUBSTITUTE(IFERROR(INDEX((COPIA!$DA$3:$DE$2300),MATCH(ROWS(C$8:C139),COPIA!$DF$3:$DF$2300,0),COLUMN()-1),""),"MASTRO","")</f>
        <v/>
      </c>
      <c r="D139" s="29" t="str">
        <f ca="1">IF(IFERROR(INDEX((COPIA!$DA$3:$DE$2300),MATCH(ROWS(D$8:D139),COPIA!$DF$3:$DF$2300,0),COLUMN()-1),"")=0,"",IFERROR(INDEX((COPIA!$DA$3:$DE$2300),MATCH(ROWS(D$8:D139),COPIA!$DF$3:$DF$2300,0),COLUMN()-1),""))</f>
        <v/>
      </c>
      <c r="E139" s="45" t="str">
        <f ca="1">IF(IFERROR(INDEX((COPIA!$DA$3:$DE$2300),MATCH(ROWS(E$8:E139),COPIA!$DF$3:$DF$2300,0),COLUMN()-1),"")=0,"",IFERROR(INDEX((COPIA!$DA$3:$DE$2300),MATCH(ROWS(E$8:E139),COPIA!$DF$3:$DF$2300,0),COLUMN()-1),""))</f>
        <v/>
      </c>
      <c r="F139" s="120" t="str">
        <f ca="1">IF(IFERROR(INDEX((COPIA!$DA$3:$DE$2300),MATCH(ROWS(F$8:F139),COPIA!$DF$3:$DF$2300,0),COLUMN()-1),"")=0,"",IFERROR(INDEX((COPIA!$DA$3:$DE$2300),MATCH(ROWS(F$8:F139),COPIA!$DF$3:$DF$2300,0),COLUMN()-1),""))</f>
        <v/>
      </c>
      <c r="G139" s="16"/>
    </row>
    <row r="140" spans="1:7">
      <c r="A140" s="12"/>
      <c r="B140" s="119" t="str">
        <f ca="1">IF(IFERROR(INDEX((COPIA!$DA$3:$DE$2300),MATCH(ROWS(B$8:B140),COPIA!$DF$3:$DF$2300,0),COLUMN()-1),"")&gt;=1,IFERROR(INDEX((COPIA!$DA$3:$DE$2300),MATCH(ROWS(B$8:B140),COPIA!$DF$3:$DF$2300,0),COLUMN()-1),""),"")</f>
        <v/>
      </c>
      <c r="C140" s="118" t="str">
        <f ca="1">SUBSTITUTE(IFERROR(INDEX((COPIA!$DA$3:$DE$2300),MATCH(ROWS(C$8:C140),COPIA!$DF$3:$DF$2300,0),COLUMN()-1),""),"MASTRO","")</f>
        <v/>
      </c>
      <c r="D140" s="29" t="str">
        <f ca="1">IF(IFERROR(INDEX((COPIA!$DA$3:$DE$2300),MATCH(ROWS(D$8:D140),COPIA!$DF$3:$DF$2300,0),COLUMN()-1),"")=0,"",IFERROR(INDEX((COPIA!$DA$3:$DE$2300),MATCH(ROWS(D$8:D140),COPIA!$DF$3:$DF$2300,0),COLUMN()-1),""))</f>
        <v/>
      </c>
      <c r="E140" s="45" t="str">
        <f ca="1">IF(IFERROR(INDEX((COPIA!$DA$3:$DE$2300),MATCH(ROWS(E$8:E140),COPIA!$DF$3:$DF$2300,0),COLUMN()-1),"")=0,"",IFERROR(INDEX((COPIA!$DA$3:$DE$2300),MATCH(ROWS(E$8:E140),COPIA!$DF$3:$DF$2300,0),COLUMN()-1),""))</f>
        <v/>
      </c>
      <c r="F140" s="120" t="str">
        <f ca="1">IF(IFERROR(INDEX((COPIA!$DA$3:$DE$2300),MATCH(ROWS(F$8:F140),COPIA!$DF$3:$DF$2300,0),COLUMN()-1),"")=0,"",IFERROR(INDEX((COPIA!$DA$3:$DE$2300),MATCH(ROWS(F$8:F140),COPIA!$DF$3:$DF$2300,0),COLUMN()-1),""))</f>
        <v/>
      </c>
      <c r="G140" s="16"/>
    </row>
    <row r="141" spans="1:7">
      <c r="A141" s="12"/>
      <c r="B141" s="119" t="str">
        <f ca="1">IF(IFERROR(INDEX((COPIA!$DA$3:$DE$2300),MATCH(ROWS(B$8:B141),COPIA!$DF$3:$DF$2300,0),COLUMN()-1),"")&gt;=1,IFERROR(INDEX((COPIA!$DA$3:$DE$2300),MATCH(ROWS(B$8:B141),COPIA!$DF$3:$DF$2300,0),COLUMN()-1),""),"")</f>
        <v/>
      </c>
      <c r="C141" s="118" t="str">
        <f ca="1">SUBSTITUTE(IFERROR(INDEX((COPIA!$DA$3:$DE$2300),MATCH(ROWS(C$8:C141),COPIA!$DF$3:$DF$2300,0),COLUMN()-1),""),"MASTRO","")</f>
        <v/>
      </c>
      <c r="D141" s="29" t="str">
        <f ca="1">IF(IFERROR(INDEX((COPIA!$DA$3:$DE$2300),MATCH(ROWS(D$8:D141),COPIA!$DF$3:$DF$2300,0),COLUMN()-1),"")=0,"",IFERROR(INDEX((COPIA!$DA$3:$DE$2300),MATCH(ROWS(D$8:D141),COPIA!$DF$3:$DF$2300,0),COLUMN()-1),""))</f>
        <v/>
      </c>
      <c r="E141" s="45" t="str">
        <f ca="1">IF(IFERROR(INDEX((COPIA!$DA$3:$DE$2300),MATCH(ROWS(E$8:E141),COPIA!$DF$3:$DF$2300,0),COLUMN()-1),"")=0,"",IFERROR(INDEX((COPIA!$DA$3:$DE$2300),MATCH(ROWS(E$8:E141),COPIA!$DF$3:$DF$2300,0),COLUMN()-1),""))</f>
        <v/>
      </c>
      <c r="F141" s="120" t="str">
        <f ca="1">IF(IFERROR(INDEX((COPIA!$DA$3:$DE$2300),MATCH(ROWS(F$8:F141),COPIA!$DF$3:$DF$2300,0),COLUMN()-1),"")=0,"",IFERROR(INDEX((COPIA!$DA$3:$DE$2300),MATCH(ROWS(F$8:F141),COPIA!$DF$3:$DF$2300,0),COLUMN()-1),""))</f>
        <v/>
      </c>
      <c r="G141" s="16"/>
    </row>
    <row r="142" spans="1:7">
      <c r="A142" s="12"/>
      <c r="B142" s="119" t="str">
        <f ca="1">IF(IFERROR(INDEX((COPIA!$DA$3:$DE$2300),MATCH(ROWS(B$8:B142),COPIA!$DF$3:$DF$2300,0),COLUMN()-1),"")&gt;=1,IFERROR(INDEX((COPIA!$DA$3:$DE$2300),MATCH(ROWS(B$8:B142),COPIA!$DF$3:$DF$2300,0),COLUMN()-1),""),"")</f>
        <v/>
      </c>
      <c r="C142" s="118" t="str">
        <f ca="1">SUBSTITUTE(IFERROR(INDEX((COPIA!$DA$3:$DE$2300),MATCH(ROWS(C$8:C142),COPIA!$DF$3:$DF$2300,0),COLUMN()-1),""),"MASTRO","")</f>
        <v/>
      </c>
      <c r="D142" s="29" t="str">
        <f ca="1">IF(IFERROR(INDEX((COPIA!$DA$3:$DE$2300),MATCH(ROWS(D$8:D142),COPIA!$DF$3:$DF$2300,0),COLUMN()-1),"")=0,"",IFERROR(INDEX((COPIA!$DA$3:$DE$2300),MATCH(ROWS(D$8:D142),COPIA!$DF$3:$DF$2300,0),COLUMN()-1),""))</f>
        <v/>
      </c>
      <c r="E142" s="45" t="str">
        <f ca="1">IF(IFERROR(INDEX((COPIA!$DA$3:$DE$2300),MATCH(ROWS(E$8:E142),COPIA!$DF$3:$DF$2300,0),COLUMN()-1),"")=0,"",IFERROR(INDEX((COPIA!$DA$3:$DE$2300),MATCH(ROWS(E$8:E142),COPIA!$DF$3:$DF$2300,0),COLUMN()-1),""))</f>
        <v/>
      </c>
      <c r="F142" s="120" t="str">
        <f ca="1">IF(IFERROR(INDEX((COPIA!$DA$3:$DE$2300),MATCH(ROWS(F$8:F142),COPIA!$DF$3:$DF$2300,0),COLUMN()-1),"")=0,"",IFERROR(INDEX((COPIA!$DA$3:$DE$2300),MATCH(ROWS(F$8:F142),COPIA!$DF$3:$DF$2300,0),COLUMN()-1),""))</f>
        <v/>
      </c>
      <c r="G142" s="16"/>
    </row>
    <row r="143" spans="1:7">
      <c r="A143" s="12"/>
      <c r="B143" s="119" t="str">
        <f ca="1">IF(IFERROR(INDEX((COPIA!$DA$3:$DE$2300),MATCH(ROWS(B$8:B143),COPIA!$DF$3:$DF$2300,0),COLUMN()-1),"")&gt;=1,IFERROR(INDEX((COPIA!$DA$3:$DE$2300),MATCH(ROWS(B$8:B143),COPIA!$DF$3:$DF$2300,0),COLUMN()-1),""),"")</f>
        <v/>
      </c>
      <c r="C143" s="118" t="str">
        <f ca="1">SUBSTITUTE(IFERROR(INDEX((COPIA!$DA$3:$DE$2300),MATCH(ROWS(C$8:C143),COPIA!$DF$3:$DF$2300,0),COLUMN()-1),""),"MASTRO","")</f>
        <v/>
      </c>
      <c r="D143" s="29" t="str">
        <f ca="1">IF(IFERROR(INDEX((COPIA!$DA$3:$DE$2300),MATCH(ROWS(D$8:D143),COPIA!$DF$3:$DF$2300,0),COLUMN()-1),"")=0,"",IFERROR(INDEX((COPIA!$DA$3:$DE$2300),MATCH(ROWS(D$8:D143),COPIA!$DF$3:$DF$2300,0),COLUMN()-1),""))</f>
        <v/>
      </c>
      <c r="E143" s="45" t="str">
        <f ca="1">IF(IFERROR(INDEX((COPIA!$DA$3:$DE$2300),MATCH(ROWS(E$8:E143),COPIA!$DF$3:$DF$2300,0),COLUMN()-1),"")=0,"",IFERROR(INDEX((COPIA!$DA$3:$DE$2300),MATCH(ROWS(E$8:E143),COPIA!$DF$3:$DF$2300,0),COLUMN()-1),""))</f>
        <v/>
      </c>
      <c r="F143" s="120" t="str">
        <f ca="1">IF(IFERROR(INDEX((COPIA!$DA$3:$DE$2300),MATCH(ROWS(F$8:F143),COPIA!$DF$3:$DF$2300,0),COLUMN()-1),"")=0,"",IFERROR(INDEX((COPIA!$DA$3:$DE$2300),MATCH(ROWS(F$8:F143),COPIA!$DF$3:$DF$2300,0),COLUMN()-1),""))</f>
        <v/>
      </c>
      <c r="G143" s="16"/>
    </row>
    <row r="144" spans="1:7">
      <c r="A144" s="12"/>
      <c r="B144" s="119" t="str">
        <f ca="1">IF(IFERROR(INDEX((COPIA!$DA$3:$DE$2300),MATCH(ROWS(B$8:B144),COPIA!$DF$3:$DF$2300,0),COLUMN()-1),"")&gt;=1,IFERROR(INDEX((COPIA!$DA$3:$DE$2300),MATCH(ROWS(B$8:B144),COPIA!$DF$3:$DF$2300,0),COLUMN()-1),""),"")</f>
        <v/>
      </c>
      <c r="C144" s="118" t="str">
        <f ca="1">SUBSTITUTE(IFERROR(INDEX((COPIA!$DA$3:$DE$2300),MATCH(ROWS(C$8:C144),COPIA!$DF$3:$DF$2300,0),COLUMN()-1),""),"MASTRO","")</f>
        <v/>
      </c>
      <c r="D144" s="29" t="str">
        <f ca="1">IF(IFERROR(INDEX((COPIA!$DA$3:$DE$2300),MATCH(ROWS(D$8:D144),COPIA!$DF$3:$DF$2300,0),COLUMN()-1),"")=0,"",IFERROR(INDEX((COPIA!$DA$3:$DE$2300),MATCH(ROWS(D$8:D144),COPIA!$DF$3:$DF$2300,0),COLUMN()-1),""))</f>
        <v/>
      </c>
      <c r="E144" s="45" t="str">
        <f ca="1">IF(IFERROR(INDEX((COPIA!$DA$3:$DE$2300),MATCH(ROWS(E$8:E144),COPIA!$DF$3:$DF$2300,0),COLUMN()-1),"")=0,"",IFERROR(INDEX((COPIA!$DA$3:$DE$2300),MATCH(ROWS(E$8:E144),COPIA!$DF$3:$DF$2300,0),COLUMN()-1),""))</f>
        <v/>
      </c>
      <c r="F144" s="120" t="str">
        <f ca="1">IF(IFERROR(INDEX((COPIA!$DA$3:$DE$2300),MATCH(ROWS(F$8:F144),COPIA!$DF$3:$DF$2300,0),COLUMN()-1),"")=0,"",IFERROR(INDEX((COPIA!$DA$3:$DE$2300),MATCH(ROWS(F$8:F144),COPIA!$DF$3:$DF$2300,0),COLUMN()-1),""))</f>
        <v/>
      </c>
      <c r="G144" s="16"/>
    </row>
    <row r="145" spans="1:7">
      <c r="A145" s="12"/>
      <c r="B145" s="119" t="str">
        <f ca="1">IF(IFERROR(INDEX((COPIA!$DA$3:$DE$2300),MATCH(ROWS(B$8:B145),COPIA!$DF$3:$DF$2300,0),COLUMN()-1),"")&gt;=1,IFERROR(INDEX((COPIA!$DA$3:$DE$2300),MATCH(ROWS(B$8:B145),COPIA!$DF$3:$DF$2300,0),COLUMN()-1),""),"")</f>
        <v/>
      </c>
      <c r="C145" s="118" t="str">
        <f ca="1">SUBSTITUTE(IFERROR(INDEX((COPIA!$DA$3:$DE$2300),MATCH(ROWS(C$8:C145),COPIA!$DF$3:$DF$2300,0),COLUMN()-1),""),"MASTRO","")</f>
        <v/>
      </c>
      <c r="D145" s="29" t="str">
        <f ca="1">IF(IFERROR(INDEX((COPIA!$DA$3:$DE$2300),MATCH(ROWS(D$8:D145),COPIA!$DF$3:$DF$2300,0),COLUMN()-1),"")=0,"",IFERROR(INDEX((COPIA!$DA$3:$DE$2300),MATCH(ROWS(D$8:D145),COPIA!$DF$3:$DF$2300,0),COLUMN()-1),""))</f>
        <v/>
      </c>
      <c r="E145" s="45" t="str">
        <f ca="1">IF(IFERROR(INDEX((COPIA!$DA$3:$DE$2300),MATCH(ROWS(E$8:E145),COPIA!$DF$3:$DF$2300,0),COLUMN()-1),"")=0,"",IFERROR(INDEX((COPIA!$DA$3:$DE$2300),MATCH(ROWS(E$8:E145),COPIA!$DF$3:$DF$2300,0),COLUMN()-1),""))</f>
        <v/>
      </c>
      <c r="F145" s="120" t="str">
        <f ca="1">IF(IFERROR(INDEX((COPIA!$DA$3:$DE$2300),MATCH(ROWS(F$8:F145),COPIA!$DF$3:$DF$2300,0),COLUMN()-1),"")=0,"",IFERROR(INDEX((COPIA!$DA$3:$DE$2300),MATCH(ROWS(F$8:F145),COPIA!$DF$3:$DF$2300,0),COLUMN()-1),""))</f>
        <v/>
      </c>
      <c r="G145" s="16"/>
    </row>
    <row r="146" spans="1:7">
      <c r="A146" s="12"/>
      <c r="B146" s="119" t="str">
        <f ca="1">IF(IFERROR(INDEX((COPIA!$DA$3:$DE$2300),MATCH(ROWS(B$8:B146),COPIA!$DF$3:$DF$2300,0),COLUMN()-1),"")&gt;=1,IFERROR(INDEX((COPIA!$DA$3:$DE$2300),MATCH(ROWS(B$8:B146),COPIA!$DF$3:$DF$2300,0),COLUMN()-1),""),"")</f>
        <v/>
      </c>
      <c r="C146" s="118" t="str">
        <f ca="1">SUBSTITUTE(IFERROR(INDEX((COPIA!$DA$3:$DE$2300),MATCH(ROWS(C$8:C146),COPIA!$DF$3:$DF$2300,0),COLUMN()-1),""),"MASTRO","")</f>
        <v/>
      </c>
      <c r="D146" s="29" t="str">
        <f ca="1">IF(IFERROR(INDEX((COPIA!$DA$3:$DE$2300),MATCH(ROWS(D$8:D146),COPIA!$DF$3:$DF$2300,0),COLUMN()-1),"")=0,"",IFERROR(INDEX((COPIA!$DA$3:$DE$2300),MATCH(ROWS(D$8:D146),COPIA!$DF$3:$DF$2300,0),COLUMN()-1),""))</f>
        <v/>
      </c>
      <c r="E146" s="45" t="str">
        <f ca="1">IF(IFERROR(INDEX((COPIA!$DA$3:$DE$2300),MATCH(ROWS(E$8:E146),COPIA!$DF$3:$DF$2300,0),COLUMN()-1),"")=0,"",IFERROR(INDEX((COPIA!$DA$3:$DE$2300),MATCH(ROWS(E$8:E146),COPIA!$DF$3:$DF$2300,0),COLUMN()-1),""))</f>
        <v/>
      </c>
      <c r="F146" s="120" t="str">
        <f ca="1">IF(IFERROR(INDEX((COPIA!$DA$3:$DE$2300),MATCH(ROWS(F$8:F146),COPIA!$DF$3:$DF$2300,0),COLUMN()-1),"")=0,"",IFERROR(INDEX((COPIA!$DA$3:$DE$2300),MATCH(ROWS(F$8:F146),COPIA!$DF$3:$DF$2300,0),COLUMN()-1),""))</f>
        <v/>
      </c>
      <c r="G146" s="16"/>
    </row>
    <row r="147" spans="1:7">
      <c r="A147" s="12"/>
      <c r="B147" s="119" t="str">
        <f ca="1">IF(IFERROR(INDEX((COPIA!$DA$3:$DE$2300),MATCH(ROWS(B$8:B147),COPIA!$DF$3:$DF$2300,0),COLUMN()-1),"")&gt;=1,IFERROR(INDEX((COPIA!$DA$3:$DE$2300),MATCH(ROWS(B$8:B147),COPIA!$DF$3:$DF$2300,0),COLUMN()-1),""),"")</f>
        <v/>
      </c>
      <c r="C147" s="118" t="str">
        <f ca="1">SUBSTITUTE(IFERROR(INDEX((COPIA!$DA$3:$DE$2300),MATCH(ROWS(C$8:C147),COPIA!$DF$3:$DF$2300,0),COLUMN()-1),""),"MASTRO","")</f>
        <v/>
      </c>
      <c r="D147" s="29" t="str">
        <f ca="1">IF(IFERROR(INDEX((COPIA!$DA$3:$DE$2300),MATCH(ROWS(D$8:D147),COPIA!$DF$3:$DF$2300,0),COLUMN()-1),"")=0,"",IFERROR(INDEX((COPIA!$DA$3:$DE$2300),MATCH(ROWS(D$8:D147),COPIA!$DF$3:$DF$2300,0),COLUMN()-1),""))</f>
        <v/>
      </c>
      <c r="E147" s="45" t="str">
        <f ca="1">IF(IFERROR(INDEX((COPIA!$DA$3:$DE$2300),MATCH(ROWS(E$8:E147),COPIA!$DF$3:$DF$2300,0),COLUMN()-1),"")=0,"",IFERROR(INDEX((COPIA!$DA$3:$DE$2300),MATCH(ROWS(E$8:E147),COPIA!$DF$3:$DF$2300,0),COLUMN()-1),""))</f>
        <v/>
      </c>
      <c r="F147" s="120" t="str">
        <f ca="1">IF(IFERROR(INDEX((COPIA!$DA$3:$DE$2300),MATCH(ROWS(F$8:F147),COPIA!$DF$3:$DF$2300,0),COLUMN()-1),"")=0,"",IFERROR(INDEX((COPIA!$DA$3:$DE$2300),MATCH(ROWS(F$8:F147),COPIA!$DF$3:$DF$2300,0),COLUMN()-1),""))</f>
        <v/>
      </c>
      <c r="G147" s="16"/>
    </row>
    <row r="148" spans="1:7">
      <c r="A148" s="12"/>
      <c r="B148" s="119" t="str">
        <f ca="1">IF(IFERROR(INDEX((COPIA!$DA$3:$DE$2300),MATCH(ROWS(B$8:B148),COPIA!$DF$3:$DF$2300,0),COLUMN()-1),"")&gt;=1,IFERROR(INDEX((COPIA!$DA$3:$DE$2300),MATCH(ROWS(B$8:B148),COPIA!$DF$3:$DF$2300,0),COLUMN()-1),""),"")</f>
        <v/>
      </c>
      <c r="C148" s="118" t="str">
        <f ca="1">SUBSTITUTE(IFERROR(INDEX((COPIA!$DA$3:$DE$2300),MATCH(ROWS(C$8:C148),COPIA!$DF$3:$DF$2300,0),COLUMN()-1),""),"MASTRO","")</f>
        <v/>
      </c>
      <c r="D148" s="29" t="str">
        <f ca="1">IF(IFERROR(INDEX((COPIA!$DA$3:$DE$2300),MATCH(ROWS(D$8:D148),COPIA!$DF$3:$DF$2300,0),COLUMN()-1),"")=0,"",IFERROR(INDEX((COPIA!$DA$3:$DE$2300),MATCH(ROWS(D$8:D148),COPIA!$DF$3:$DF$2300,0),COLUMN()-1),""))</f>
        <v/>
      </c>
      <c r="E148" s="45" t="str">
        <f ca="1">IF(IFERROR(INDEX((COPIA!$DA$3:$DE$2300),MATCH(ROWS(E$8:E148),COPIA!$DF$3:$DF$2300,0),COLUMN()-1),"")=0,"",IFERROR(INDEX((COPIA!$DA$3:$DE$2300),MATCH(ROWS(E$8:E148),COPIA!$DF$3:$DF$2300,0),COLUMN()-1),""))</f>
        <v/>
      </c>
      <c r="F148" s="120" t="str">
        <f ca="1">IF(IFERROR(INDEX((COPIA!$DA$3:$DE$2300),MATCH(ROWS(F$8:F148),COPIA!$DF$3:$DF$2300,0),COLUMN()-1),"")=0,"",IFERROR(INDEX((COPIA!$DA$3:$DE$2300),MATCH(ROWS(F$8:F148),COPIA!$DF$3:$DF$2300,0),COLUMN()-1),""))</f>
        <v/>
      </c>
      <c r="G148" s="16"/>
    </row>
    <row r="149" spans="1:7">
      <c r="A149" s="12"/>
      <c r="B149" s="119" t="str">
        <f ca="1">IF(IFERROR(INDEX((COPIA!$DA$3:$DE$2300),MATCH(ROWS(B$8:B149),COPIA!$DF$3:$DF$2300,0),COLUMN()-1),"")&gt;=1,IFERROR(INDEX((COPIA!$DA$3:$DE$2300),MATCH(ROWS(B$8:B149),COPIA!$DF$3:$DF$2300,0),COLUMN()-1),""),"")</f>
        <v/>
      </c>
      <c r="C149" s="118" t="str">
        <f ca="1">SUBSTITUTE(IFERROR(INDEX((COPIA!$DA$3:$DE$2300),MATCH(ROWS(C$8:C149),COPIA!$DF$3:$DF$2300,0),COLUMN()-1),""),"MASTRO","")</f>
        <v/>
      </c>
      <c r="D149" s="29" t="str">
        <f ca="1">IF(IFERROR(INDEX((COPIA!$DA$3:$DE$2300),MATCH(ROWS(D$8:D149),COPIA!$DF$3:$DF$2300,0),COLUMN()-1),"")=0,"",IFERROR(INDEX((COPIA!$DA$3:$DE$2300),MATCH(ROWS(D$8:D149),COPIA!$DF$3:$DF$2300,0),COLUMN()-1),""))</f>
        <v/>
      </c>
      <c r="E149" s="45" t="str">
        <f ca="1">IF(IFERROR(INDEX((COPIA!$DA$3:$DE$2300),MATCH(ROWS(E$8:E149),COPIA!$DF$3:$DF$2300,0),COLUMN()-1),"")=0,"",IFERROR(INDEX((COPIA!$DA$3:$DE$2300),MATCH(ROWS(E$8:E149),COPIA!$DF$3:$DF$2300,0),COLUMN()-1),""))</f>
        <v/>
      </c>
      <c r="F149" s="120" t="str">
        <f ca="1">IF(IFERROR(INDEX((COPIA!$DA$3:$DE$2300),MATCH(ROWS(F$8:F149),COPIA!$DF$3:$DF$2300,0),COLUMN()-1),"")=0,"",IFERROR(INDEX((COPIA!$DA$3:$DE$2300),MATCH(ROWS(F$8:F149),COPIA!$DF$3:$DF$2300,0),COLUMN()-1),""))</f>
        <v/>
      </c>
      <c r="G149" s="16"/>
    </row>
    <row r="150" spans="1:7">
      <c r="A150" s="12"/>
      <c r="B150" s="119" t="str">
        <f ca="1">IF(IFERROR(INDEX((COPIA!$DA$3:$DE$2300),MATCH(ROWS(B$8:B150),COPIA!$DF$3:$DF$2300,0),COLUMN()-1),"")&gt;=1,IFERROR(INDEX((COPIA!$DA$3:$DE$2300),MATCH(ROWS(B$8:B150),COPIA!$DF$3:$DF$2300,0),COLUMN()-1),""),"")</f>
        <v/>
      </c>
      <c r="C150" s="118" t="str">
        <f ca="1">SUBSTITUTE(IFERROR(INDEX((COPIA!$DA$3:$DE$2300),MATCH(ROWS(C$8:C150),COPIA!$DF$3:$DF$2300,0),COLUMN()-1),""),"MASTRO","")</f>
        <v/>
      </c>
      <c r="D150" s="29" t="str">
        <f ca="1">IF(IFERROR(INDEX((COPIA!$DA$3:$DE$2300),MATCH(ROWS(D$8:D150),COPIA!$DF$3:$DF$2300,0),COLUMN()-1),"")=0,"",IFERROR(INDEX((COPIA!$DA$3:$DE$2300),MATCH(ROWS(D$8:D150),COPIA!$DF$3:$DF$2300,0),COLUMN()-1),""))</f>
        <v/>
      </c>
      <c r="E150" s="45" t="str">
        <f ca="1">IF(IFERROR(INDEX((COPIA!$DA$3:$DE$2300),MATCH(ROWS(E$8:E150),COPIA!$DF$3:$DF$2300,0),COLUMN()-1),"")=0,"",IFERROR(INDEX((COPIA!$DA$3:$DE$2300),MATCH(ROWS(E$8:E150),COPIA!$DF$3:$DF$2300,0),COLUMN()-1),""))</f>
        <v/>
      </c>
      <c r="F150" s="120" t="str">
        <f ca="1">IF(IFERROR(INDEX((COPIA!$DA$3:$DE$2300),MATCH(ROWS(F$8:F150),COPIA!$DF$3:$DF$2300,0),COLUMN()-1),"")=0,"",IFERROR(INDEX((COPIA!$DA$3:$DE$2300),MATCH(ROWS(F$8:F150),COPIA!$DF$3:$DF$2300,0),COLUMN()-1),""))</f>
        <v/>
      </c>
      <c r="G150" s="16"/>
    </row>
    <row r="151" spans="1:7">
      <c r="A151" s="12"/>
      <c r="B151" s="119" t="str">
        <f ca="1">IF(IFERROR(INDEX((COPIA!$DA$3:$DE$2300),MATCH(ROWS(B$8:B151),COPIA!$DF$3:$DF$2300,0),COLUMN()-1),"")&gt;=1,IFERROR(INDEX((COPIA!$DA$3:$DE$2300),MATCH(ROWS(B$8:B151),COPIA!$DF$3:$DF$2300,0),COLUMN()-1),""),"")</f>
        <v/>
      </c>
      <c r="C151" s="118" t="str">
        <f ca="1">SUBSTITUTE(IFERROR(INDEX((COPIA!$DA$3:$DE$2300),MATCH(ROWS(C$8:C151),COPIA!$DF$3:$DF$2300,0),COLUMN()-1),""),"MASTRO","")</f>
        <v/>
      </c>
      <c r="D151" s="29" t="str">
        <f ca="1">IF(IFERROR(INDEX((COPIA!$DA$3:$DE$2300),MATCH(ROWS(D$8:D151),COPIA!$DF$3:$DF$2300,0),COLUMN()-1),"")=0,"",IFERROR(INDEX((COPIA!$DA$3:$DE$2300),MATCH(ROWS(D$8:D151),COPIA!$DF$3:$DF$2300,0),COLUMN()-1),""))</f>
        <v/>
      </c>
      <c r="E151" s="45" t="str">
        <f ca="1">IF(IFERROR(INDEX((COPIA!$DA$3:$DE$2300),MATCH(ROWS(E$8:E151),COPIA!$DF$3:$DF$2300,0),COLUMN()-1),"")=0,"",IFERROR(INDEX((COPIA!$DA$3:$DE$2300),MATCH(ROWS(E$8:E151),COPIA!$DF$3:$DF$2300,0),COLUMN()-1),""))</f>
        <v/>
      </c>
      <c r="F151" s="120" t="str">
        <f ca="1">IF(IFERROR(INDEX((COPIA!$DA$3:$DE$2300),MATCH(ROWS(F$8:F151),COPIA!$DF$3:$DF$2300,0),COLUMN()-1),"")=0,"",IFERROR(INDEX((COPIA!$DA$3:$DE$2300),MATCH(ROWS(F$8:F151),COPIA!$DF$3:$DF$2300,0),COLUMN()-1),""))</f>
        <v/>
      </c>
      <c r="G151" s="16"/>
    </row>
    <row r="152" spans="1:7">
      <c r="A152" s="12"/>
      <c r="B152" s="119" t="str">
        <f ca="1">IF(IFERROR(INDEX((COPIA!$DA$3:$DE$2300),MATCH(ROWS(B$8:B152),COPIA!$DF$3:$DF$2300,0),COLUMN()-1),"")&gt;=1,IFERROR(INDEX((COPIA!$DA$3:$DE$2300),MATCH(ROWS(B$8:B152),COPIA!$DF$3:$DF$2300,0),COLUMN()-1),""),"")</f>
        <v/>
      </c>
      <c r="C152" s="118" t="str">
        <f ca="1">SUBSTITUTE(IFERROR(INDEX((COPIA!$DA$3:$DE$2300),MATCH(ROWS(C$8:C152),COPIA!$DF$3:$DF$2300,0),COLUMN()-1),""),"MASTRO","")</f>
        <v/>
      </c>
      <c r="D152" s="29" t="str">
        <f ca="1">IF(IFERROR(INDEX((COPIA!$DA$3:$DE$2300),MATCH(ROWS(D$8:D152),COPIA!$DF$3:$DF$2300,0),COLUMN()-1),"")=0,"",IFERROR(INDEX((COPIA!$DA$3:$DE$2300),MATCH(ROWS(D$8:D152),COPIA!$DF$3:$DF$2300,0),COLUMN()-1),""))</f>
        <v/>
      </c>
      <c r="E152" s="45" t="str">
        <f ca="1">IF(IFERROR(INDEX((COPIA!$DA$3:$DE$2300),MATCH(ROWS(E$8:E152),COPIA!$DF$3:$DF$2300,0),COLUMN()-1),"")=0,"",IFERROR(INDEX((COPIA!$DA$3:$DE$2300),MATCH(ROWS(E$8:E152),COPIA!$DF$3:$DF$2300,0),COLUMN()-1),""))</f>
        <v/>
      </c>
      <c r="F152" s="120" t="str">
        <f ca="1">IF(IFERROR(INDEX((COPIA!$DA$3:$DE$2300),MATCH(ROWS(F$8:F152),COPIA!$DF$3:$DF$2300,0),COLUMN()-1),"")=0,"",IFERROR(INDEX((COPIA!$DA$3:$DE$2300),MATCH(ROWS(F$8:F152),COPIA!$DF$3:$DF$2300,0),COLUMN()-1),""))</f>
        <v/>
      </c>
      <c r="G152" s="16"/>
    </row>
    <row r="153" spans="1:7">
      <c r="A153" s="12"/>
      <c r="B153" s="119" t="str">
        <f ca="1">IF(IFERROR(INDEX((COPIA!$DA$3:$DE$2300),MATCH(ROWS(B$8:B153),COPIA!$DF$3:$DF$2300,0),COLUMN()-1),"")&gt;=1,IFERROR(INDEX((COPIA!$DA$3:$DE$2300),MATCH(ROWS(B$8:B153),COPIA!$DF$3:$DF$2300,0),COLUMN()-1),""),"")</f>
        <v/>
      </c>
      <c r="C153" s="118" t="str">
        <f ca="1">SUBSTITUTE(IFERROR(INDEX((COPIA!$DA$3:$DE$2300),MATCH(ROWS(C$8:C153),COPIA!$DF$3:$DF$2300,0),COLUMN()-1),""),"MASTRO","")</f>
        <v/>
      </c>
      <c r="D153" s="29" t="str">
        <f ca="1">IF(IFERROR(INDEX((COPIA!$DA$3:$DE$2300),MATCH(ROWS(D$8:D153),COPIA!$DF$3:$DF$2300,0),COLUMN()-1),"")=0,"",IFERROR(INDEX((COPIA!$DA$3:$DE$2300),MATCH(ROWS(D$8:D153),COPIA!$DF$3:$DF$2300,0),COLUMN()-1),""))</f>
        <v/>
      </c>
      <c r="E153" s="45" t="str">
        <f ca="1">IF(IFERROR(INDEX((COPIA!$DA$3:$DE$2300),MATCH(ROWS(E$8:E153),COPIA!$DF$3:$DF$2300,0),COLUMN()-1),"")=0,"",IFERROR(INDEX((COPIA!$DA$3:$DE$2300),MATCH(ROWS(E$8:E153),COPIA!$DF$3:$DF$2300,0),COLUMN()-1),""))</f>
        <v/>
      </c>
      <c r="F153" s="120" t="str">
        <f ca="1">IF(IFERROR(INDEX((COPIA!$DA$3:$DE$2300),MATCH(ROWS(F$8:F153),COPIA!$DF$3:$DF$2300,0),COLUMN()-1),"")=0,"",IFERROR(INDEX((COPIA!$DA$3:$DE$2300),MATCH(ROWS(F$8:F153),COPIA!$DF$3:$DF$2300,0),COLUMN()-1),""))</f>
        <v/>
      </c>
      <c r="G153" s="16"/>
    </row>
    <row r="154" spans="1:7">
      <c r="A154" s="12"/>
      <c r="B154" s="119" t="str">
        <f ca="1">IF(IFERROR(INDEX((COPIA!$DA$3:$DE$2300),MATCH(ROWS(B$8:B154),COPIA!$DF$3:$DF$2300,0),COLUMN()-1),"")&gt;=1,IFERROR(INDEX((COPIA!$DA$3:$DE$2300),MATCH(ROWS(B$8:B154),COPIA!$DF$3:$DF$2300,0),COLUMN()-1),""),"")</f>
        <v/>
      </c>
      <c r="C154" s="118" t="str">
        <f ca="1">SUBSTITUTE(IFERROR(INDEX((COPIA!$DA$3:$DE$2300),MATCH(ROWS(C$8:C154),COPIA!$DF$3:$DF$2300,0),COLUMN()-1),""),"MASTRO","")</f>
        <v/>
      </c>
      <c r="D154" s="29" t="str">
        <f ca="1">IF(IFERROR(INDEX((COPIA!$DA$3:$DE$2300),MATCH(ROWS(D$8:D154),COPIA!$DF$3:$DF$2300,0),COLUMN()-1),"")=0,"",IFERROR(INDEX((COPIA!$DA$3:$DE$2300),MATCH(ROWS(D$8:D154),COPIA!$DF$3:$DF$2300,0),COLUMN()-1),""))</f>
        <v/>
      </c>
      <c r="E154" s="45" t="str">
        <f ca="1">IF(IFERROR(INDEX((COPIA!$DA$3:$DE$2300),MATCH(ROWS(E$8:E154),COPIA!$DF$3:$DF$2300,0),COLUMN()-1),"")=0,"",IFERROR(INDEX((COPIA!$DA$3:$DE$2300),MATCH(ROWS(E$8:E154),COPIA!$DF$3:$DF$2300,0),COLUMN()-1),""))</f>
        <v/>
      </c>
      <c r="F154" s="120" t="str">
        <f ca="1">IF(IFERROR(INDEX((COPIA!$DA$3:$DE$2300),MATCH(ROWS(F$8:F154),COPIA!$DF$3:$DF$2300,0),COLUMN()-1),"")=0,"",IFERROR(INDEX((COPIA!$DA$3:$DE$2300),MATCH(ROWS(F$8:F154),COPIA!$DF$3:$DF$2300,0),COLUMN()-1),""))</f>
        <v/>
      </c>
      <c r="G154" s="16"/>
    </row>
    <row r="155" spans="1:7">
      <c r="A155" s="12"/>
      <c r="B155" s="119" t="str">
        <f ca="1">IF(IFERROR(INDEX((COPIA!$DA$3:$DE$2300),MATCH(ROWS(B$8:B155),COPIA!$DF$3:$DF$2300,0),COLUMN()-1),"")&gt;=1,IFERROR(INDEX((COPIA!$DA$3:$DE$2300),MATCH(ROWS(B$8:B155),COPIA!$DF$3:$DF$2300,0),COLUMN()-1),""),"")</f>
        <v/>
      </c>
      <c r="C155" s="118" t="str">
        <f ca="1">SUBSTITUTE(IFERROR(INDEX((COPIA!$DA$3:$DE$2300),MATCH(ROWS(C$8:C155),COPIA!$DF$3:$DF$2300,0),COLUMN()-1),""),"MASTRO","")</f>
        <v/>
      </c>
      <c r="D155" s="29" t="str">
        <f ca="1">IF(IFERROR(INDEX((COPIA!$DA$3:$DE$2300),MATCH(ROWS(D$8:D155),COPIA!$DF$3:$DF$2300,0),COLUMN()-1),"")=0,"",IFERROR(INDEX((COPIA!$DA$3:$DE$2300),MATCH(ROWS(D$8:D155),COPIA!$DF$3:$DF$2300,0),COLUMN()-1),""))</f>
        <v/>
      </c>
      <c r="E155" s="45" t="str">
        <f ca="1">IF(IFERROR(INDEX((COPIA!$DA$3:$DE$2300),MATCH(ROWS(E$8:E155),COPIA!$DF$3:$DF$2300,0),COLUMN()-1),"")=0,"",IFERROR(INDEX((COPIA!$DA$3:$DE$2300),MATCH(ROWS(E$8:E155),COPIA!$DF$3:$DF$2300,0),COLUMN()-1),""))</f>
        <v/>
      </c>
      <c r="F155" s="120" t="str">
        <f ca="1">IF(IFERROR(INDEX((COPIA!$DA$3:$DE$2300),MATCH(ROWS(F$8:F155),COPIA!$DF$3:$DF$2300,0),COLUMN()-1),"")=0,"",IFERROR(INDEX((COPIA!$DA$3:$DE$2300),MATCH(ROWS(F$8:F155),COPIA!$DF$3:$DF$2300,0),COLUMN()-1),""))</f>
        <v/>
      </c>
      <c r="G155" s="16"/>
    </row>
    <row r="156" spans="1:7">
      <c r="A156" s="12"/>
      <c r="B156" s="119" t="str">
        <f ca="1">IF(IFERROR(INDEX((COPIA!$DA$3:$DE$2300),MATCH(ROWS(B$8:B156),COPIA!$DF$3:$DF$2300,0),COLUMN()-1),"")&gt;=1,IFERROR(INDEX((COPIA!$DA$3:$DE$2300),MATCH(ROWS(B$8:B156),COPIA!$DF$3:$DF$2300,0),COLUMN()-1),""),"")</f>
        <v/>
      </c>
      <c r="C156" s="118" t="str">
        <f ca="1">SUBSTITUTE(IFERROR(INDEX((COPIA!$DA$3:$DE$2300),MATCH(ROWS(C$8:C156),COPIA!$DF$3:$DF$2300,0),COLUMN()-1),""),"MASTRO","")</f>
        <v/>
      </c>
      <c r="D156" s="29" t="str">
        <f ca="1">IF(IFERROR(INDEX((COPIA!$DA$3:$DE$2300),MATCH(ROWS(D$8:D156),COPIA!$DF$3:$DF$2300,0),COLUMN()-1),"")=0,"",IFERROR(INDEX((COPIA!$DA$3:$DE$2300),MATCH(ROWS(D$8:D156),COPIA!$DF$3:$DF$2300,0),COLUMN()-1),""))</f>
        <v/>
      </c>
      <c r="E156" s="45" t="str">
        <f ca="1">IF(IFERROR(INDEX((COPIA!$DA$3:$DE$2300),MATCH(ROWS(E$8:E156),COPIA!$DF$3:$DF$2300,0),COLUMN()-1),"")=0,"",IFERROR(INDEX((COPIA!$DA$3:$DE$2300),MATCH(ROWS(E$8:E156),COPIA!$DF$3:$DF$2300,0),COLUMN()-1),""))</f>
        <v/>
      </c>
      <c r="F156" s="120" t="str">
        <f ca="1">IF(IFERROR(INDEX((COPIA!$DA$3:$DE$2300),MATCH(ROWS(F$8:F156),COPIA!$DF$3:$DF$2300,0),COLUMN()-1),"")=0,"",IFERROR(INDEX((COPIA!$DA$3:$DE$2300),MATCH(ROWS(F$8:F156),COPIA!$DF$3:$DF$2300,0),COLUMN()-1),""))</f>
        <v/>
      </c>
      <c r="G156" s="16"/>
    </row>
    <row r="157" spans="1:7">
      <c r="A157" s="12"/>
      <c r="B157" s="119" t="str">
        <f ca="1">IF(IFERROR(INDEX((COPIA!$DA$3:$DE$2300),MATCH(ROWS(B$8:B157),COPIA!$DF$3:$DF$2300,0),COLUMN()-1),"")&gt;=1,IFERROR(INDEX((COPIA!$DA$3:$DE$2300),MATCH(ROWS(B$8:B157),COPIA!$DF$3:$DF$2300,0),COLUMN()-1),""),"")</f>
        <v/>
      </c>
      <c r="C157" s="118" t="str">
        <f ca="1">SUBSTITUTE(IFERROR(INDEX((COPIA!$DA$3:$DE$2300),MATCH(ROWS(C$8:C157),COPIA!$DF$3:$DF$2300,0),COLUMN()-1),""),"MASTRO","")</f>
        <v/>
      </c>
      <c r="D157" s="29" t="str">
        <f ca="1">IF(IFERROR(INDEX((COPIA!$DA$3:$DE$2300),MATCH(ROWS(D$8:D157),COPIA!$DF$3:$DF$2300,0),COLUMN()-1),"")=0,"",IFERROR(INDEX((COPIA!$DA$3:$DE$2300),MATCH(ROWS(D$8:D157),COPIA!$DF$3:$DF$2300,0),COLUMN()-1),""))</f>
        <v/>
      </c>
      <c r="E157" s="45" t="str">
        <f ca="1">IF(IFERROR(INDEX((COPIA!$DA$3:$DE$2300),MATCH(ROWS(E$8:E157),COPIA!$DF$3:$DF$2300,0),COLUMN()-1),"")=0,"",IFERROR(INDEX((COPIA!$DA$3:$DE$2300),MATCH(ROWS(E$8:E157),COPIA!$DF$3:$DF$2300,0),COLUMN()-1),""))</f>
        <v/>
      </c>
      <c r="F157" s="120" t="str">
        <f ca="1">IF(IFERROR(INDEX((COPIA!$DA$3:$DE$2300),MATCH(ROWS(F$8:F157),COPIA!$DF$3:$DF$2300,0),COLUMN()-1),"")=0,"",IFERROR(INDEX((COPIA!$DA$3:$DE$2300),MATCH(ROWS(F$8:F157),COPIA!$DF$3:$DF$2300,0),COLUMN()-1),""))</f>
        <v/>
      </c>
      <c r="G157" s="16"/>
    </row>
    <row r="158" spans="1:7">
      <c r="A158" s="12"/>
      <c r="B158" s="119" t="str">
        <f ca="1">IF(IFERROR(INDEX((COPIA!$DA$3:$DE$2300),MATCH(ROWS(B$8:B158),COPIA!$DF$3:$DF$2300,0),COLUMN()-1),"")&gt;=1,IFERROR(INDEX((COPIA!$DA$3:$DE$2300),MATCH(ROWS(B$8:B158),COPIA!$DF$3:$DF$2300,0),COLUMN()-1),""),"")</f>
        <v/>
      </c>
      <c r="C158" s="118" t="str">
        <f ca="1">SUBSTITUTE(IFERROR(INDEX((COPIA!$DA$3:$DE$2300),MATCH(ROWS(C$8:C158),COPIA!$DF$3:$DF$2300,0),COLUMN()-1),""),"MASTRO","")</f>
        <v/>
      </c>
      <c r="D158" s="29" t="str">
        <f ca="1">IF(IFERROR(INDEX((COPIA!$DA$3:$DE$2300),MATCH(ROWS(D$8:D158),COPIA!$DF$3:$DF$2300,0),COLUMN()-1),"")=0,"",IFERROR(INDEX((COPIA!$DA$3:$DE$2300),MATCH(ROWS(D$8:D158),COPIA!$DF$3:$DF$2300,0),COLUMN()-1),""))</f>
        <v/>
      </c>
      <c r="E158" s="45" t="str">
        <f ca="1">IF(IFERROR(INDEX((COPIA!$DA$3:$DE$2300),MATCH(ROWS(E$8:E158),COPIA!$DF$3:$DF$2300,0),COLUMN()-1),"")=0,"",IFERROR(INDEX((COPIA!$DA$3:$DE$2300),MATCH(ROWS(E$8:E158),COPIA!$DF$3:$DF$2300,0),COLUMN()-1),""))</f>
        <v/>
      </c>
      <c r="F158" s="120" t="str">
        <f ca="1">IF(IFERROR(INDEX((COPIA!$DA$3:$DE$2300),MATCH(ROWS(F$8:F158),COPIA!$DF$3:$DF$2300,0),COLUMN()-1),"")=0,"",IFERROR(INDEX((COPIA!$DA$3:$DE$2300),MATCH(ROWS(F$8:F158),COPIA!$DF$3:$DF$2300,0),COLUMN()-1),""))</f>
        <v/>
      </c>
      <c r="G158" s="16"/>
    </row>
    <row r="159" spans="1:7">
      <c r="A159" s="12"/>
      <c r="B159" s="119" t="str">
        <f ca="1">IF(IFERROR(INDEX((COPIA!$DA$3:$DE$2300),MATCH(ROWS(B$8:B159),COPIA!$DF$3:$DF$2300,0),COLUMN()-1),"")&gt;=1,IFERROR(INDEX((COPIA!$DA$3:$DE$2300),MATCH(ROWS(B$8:B159),COPIA!$DF$3:$DF$2300,0),COLUMN()-1),""),"")</f>
        <v/>
      </c>
      <c r="C159" s="118" t="str">
        <f ca="1">SUBSTITUTE(IFERROR(INDEX((COPIA!$DA$3:$DE$2300),MATCH(ROWS(C$8:C159),COPIA!$DF$3:$DF$2300,0),COLUMN()-1),""),"MASTRO","")</f>
        <v/>
      </c>
      <c r="D159" s="29" t="str">
        <f ca="1">IF(IFERROR(INDEX((COPIA!$DA$3:$DE$2300),MATCH(ROWS(D$8:D159),COPIA!$DF$3:$DF$2300,0),COLUMN()-1),"")=0,"",IFERROR(INDEX((COPIA!$DA$3:$DE$2300),MATCH(ROWS(D$8:D159),COPIA!$DF$3:$DF$2300,0),COLUMN()-1),""))</f>
        <v/>
      </c>
      <c r="E159" s="45" t="str">
        <f ca="1">IF(IFERROR(INDEX((COPIA!$DA$3:$DE$2300),MATCH(ROWS(E$8:E159),COPIA!$DF$3:$DF$2300,0),COLUMN()-1),"")=0,"",IFERROR(INDEX((COPIA!$DA$3:$DE$2300),MATCH(ROWS(E$8:E159),COPIA!$DF$3:$DF$2300,0),COLUMN()-1),""))</f>
        <v/>
      </c>
      <c r="F159" s="120" t="str">
        <f ca="1">IF(IFERROR(INDEX((COPIA!$DA$3:$DE$2300),MATCH(ROWS(F$8:F159),COPIA!$DF$3:$DF$2300,0),COLUMN()-1),"")=0,"",IFERROR(INDEX((COPIA!$DA$3:$DE$2300),MATCH(ROWS(F$8:F159),COPIA!$DF$3:$DF$2300,0),COLUMN()-1),""))</f>
        <v/>
      </c>
      <c r="G159" s="16"/>
    </row>
    <row r="160" spans="1:7">
      <c r="A160" s="12"/>
      <c r="B160" s="119" t="str">
        <f ca="1">IF(IFERROR(INDEX((COPIA!$DA$3:$DE$2300),MATCH(ROWS(B$8:B160),COPIA!$DF$3:$DF$2300,0),COLUMN()-1),"")&gt;=1,IFERROR(INDEX((COPIA!$DA$3:$DE$2300),MATCH(ROWS(B$8:B160),COPIA!$DF$3:$DF$2300,0),COLUMN()-1),""),"")</f>
        <v/>
      </c>
      <c r="C160" s="118" t="str">
        <f ca="1">SUBSTITUTE(IFERROR(INDEX((COPIA!$DA$3:$DE$2300),MATCH(ROWS(C$8:C160),COPIA!$DF$3:$DF$2300,0),COLUMN()-1),""),"MASTRO","")</f>
        <v/>
      </c>
      <c r="D160" s="29" t="str">
        <f ca="1">IF(IFERROR(INDEX((COPIA!$DA$3:$DE$2300),MATCH(ROWS(D$8:D160),COPIA!$DF$3:$DF$2300,0),COLUMN()-1),"")=0,"",IFERROR(INDEX((COPIA!$DA$3:$DE$2300),MATCH(ROWS(D$8:D160),COPIA!$DF$3:$DF$2300,0),COLUMN()-1),""))</f>
        <v/>
      </c>
      <c r="E160" s="45" t="str">
        <f ca="1">IF(IFERROR(INDEX((COPIA!$DA$3:$DE$2300),MATCH(ROWS(E$8:E160),COPIA!$DF$3:$DF$2300,0),COLUMN()-1),"")=0,"",IFERROR(INDEX((COPIA!$DA$3:$DE$2300),MATCH(ROWS(E$8:E160),COPIA!$DF$3:$DF$2300,0),COLUMN()-1),""))</f>
        <v/>
      </c>
      <c r="F160" s="120" t="str">
        <f ca="1">IF(IFERROR(INDEX((COPIA!$DA$3:$DE$2300),MATCH(ROWS(F$8:F160),COPIA!$DF$3:$DF$2300,0),COLUMN()-1),"")=0,"",IFERROR(INDEX((COPIA!$DA$3:$DE$2300),MATCH(ROWS(F$8:F160),COPIA!$DF$3:$DF$2300,0),COLUMN()-1),""))</f>
        <v/>
      </c>
      <c r="G160" s="16"/>
    </row>
    <row r="161" spans="1:7">
      <c r="A161" s="12"/>
      <c r="B161" s="119" t="str">
        <f ca="1">IF(IFERROR(INDEX((COPIA!$DA$3:$DE$2300),MATCH(ROWS(B$8:B161),COPIA!$DF$3:$DF$2300,0),COLUMN()-1),"")&gt;=1,IFERROR(INDEX((COPIA!$DA$3:$DE$2300),MATCH(ROWS(B$8:B161),COPIA!$DF$3:$DF$2300,0),COLUMN()-1),""),"")</f>
        <v/>
      </c>
      <c r="C161" s="118" t="str">
        <f ca="1">SUBSTITUTE(IFERROR(INDEX((COPIA!$DA$3:$DE$2300),MATCH(ROWS(C$8:C161),COPIA!$DF$3:$DF$2300,0),COLUMN()-1),""),"MASTRO","")</f>
        <v/>
      </c>
      <c r="D161" s="29" t="str">
        <f ca="1">IF(IFERROR(INDEX((COPIA!$DA$3:$DE$2300),MATCH(ROWS(D$8:D161),COPIA!$DF$3:$DF$2300,0),COLUMN()-1),"")=0,"",IFERROR(INDEX((COPIA!$DA$3:$DE$2300),MATCH(ROWS(D$8:D161),COPIA!$DF$3:$DF$2300,0),COLUMN()-1),""))</f>
        <v/>
      </c>
      <c r="E161" s="45" t="str">
        <f ca="1">IF(IFERROR(INDEX((COPIA!$DA$3:$DE$2300),MATCH(ROWS(E$8:E161),COPIA!$DF$3:$DF$2300,0),COLUMN()-1),"")=0,"",IFERROR(INDEX((COPIA!$DA$3:$DE$2300),MATCH(ROWS(E$8:E161),COPIA!$DF$3:$DF$2300,0),COLUMN()-1),""))</f>
        <v/>
      </c>
      <c r="F161" s="120" t="str">
        <f ca="1">IF(IFERROR(INDEX((COPIA!$DA$3:$DE$2300),MATCH(ROWS(F$8:F161),COPIA!$DF$3:$DF$2300,0),COLUMN()-1),"")=0,"",IFERROR(INDEX((COPIA!$DA$3:$DE$2300),MATCH(ROWS(F$8:F161),COPIA!$DF$3:$DF$2300,0),COLUMN()-1),""))</f>
        <v/>
      </c>
      <c r="G161" s="16"/>
    </row>
    <row r="162" spans="1:7">
      <c r="A162" s="12"/>
      <c r="B162" s="119" t="str">
        <f ca="1">IF(IFERROR(INDEX((COPIA!$DA$3:$DE$2300),MATCH(ROWS(B$8:B162),COPIA!$DF$3:$DF$2300,0),COLUMN()-1),"")&gt;=1,IFERROR(INDEX((COPIA!$DA$3:$DE$2300),MATCH(ROWS(B$8:B162),COPIA!$DF$3:$DF$2300,0),COLUMN()-1),""),"")</f>
        <v/>
      </c>
      <c r="C162" s="118" t="str">
        <f ca="1">SUBSTITUTE(IFERROR(INDEX((COPIA!$DA$3:$DE$2300),MATCH(ROWS(C$8:C162),COPIA!$DF$3:$DF$2300,0),COLUMN()-1),""),"MASTRO","")</f>
        <v/>
      </c>
      <c r="D162" s="29" t="str">
        <f ca="1">IF(IFERROR(INDEX((COPIA!$DA$3:$DE$2300),MATCH(ROWS(D$8:D162),COPIA!$DF$3:$DF$2300,0),COLUMN()-1),"")=0,"",IFERROR(INDEX((COPIA!$DA$3:$DE$2300),MATCH(ROWS(D$8:D162),COPIA!$DF$3:$DF$2300,0),COLUMN()-1),""))</f>
        <v/>
      </c>
      <c r="E162" s="45" t="str">
        <f ca="1">IF(IFERROR(INDEX((COPIA!$DA$3:$DE$2300),MATCH(ROWS(E$8:E162),COPIA!$DF$3:$DF$2300,0),COLUMN()-1),"")=0,"",IFERROR(INDEX((COPIA!$DA$3:$DE$2300),MATCH(ROWS(E$8:E162),COPIA!$DF$3:$DF$2300,0),COLUMN()-1),""))</f>
        <v/>
      </c>
      <c r="F162" s="120" t="str">
        <f ca="1">IF(IFERROR(INDEX((COPIA!$DA$3:$DE$2300),MATCH(ROWS(F$8:F162),COPIA!$DF$3:$DF$2300,0),COLUMN()-1),"")=0,"",IFERROR(INDEX((COPIA!$DA$3:$DE$2300),MATCH(ROWS(F$8:F162),COPIA!$DF$3:$DF$2300,0),COLUMN()-1),""))</f>
        <v/>
      </c>
      <c r="G162" s="16"/>
    </row>
    <row r="163" spans="1:7">
      <c r="A163" s="12"/>
      <c r="B163" s="119" t="str">
        <f ca="1">IF(IFERROR(INDEX((COPIA!$DA$3:$DE$2300),MATCH(ROWS(B$8:B163),COPIA!$DF$3:$DF$2300,0),COLUMN()-1),"")&gt;=1,IFERROR(INDEX((COPIA!$DA$3:$DE$2300),MATCH(ROWS(B$8:B163),COPIA!$DF$3:$DF$2300,0),COLUMN()-1),""),"")</f>
        <v/>
      </c>
      <c r="C163" s="118" t="str">
        <f ca="1">SUBSTITUTE(IFERROR(INDEX((COPIA!$DA$3:$DE$2300),MATCH(ROWS(C$8:C163),COPIA!$DF$3:$DF$2300,0),COLUMN()-1),""),"MASTRO","")</f>
        <v/>
      </c>
      <c r="D163" s="29" t="str">
        <f ca="1">IF(IFERROR(INDEX((COPIA!$DA$3:$DE$2300),MATCH(ROWS(D$8:D163),COPIA!$DF$3:$DF$2300,0),COLUMN()-1),"")=0,"",IFERROR(INDEX((COPIA!$DA$3:$DE$2300),MATCH(ROWS(D$8:D163),COPIA!$DF$3:$DF$2300,0),COLUMN()-1),""))</f>
        <v/>
      </c>
      <c r="E163" s="45" t="str">
        <f ca="1">IF(IFERROR(INDEX((COPIA!$DA$3:$DE$2300),MATCH(ROWS(E$8:E163),COPIA!$DF$3:$DF$2300,0),COLUMN()-1),"")=0,"",IFERROR(INDEX((COPIA!$DA$3:$DE$2300),MATCH(ROWS(E$8:E163),COPIA!$DF$3:$DF$2300,0),COLUMN()-1),""))</f>
        <v/>
      </c>
      <c r="F163" s="120" t="str">
        <f ca="1">IF(IFERROR(INDEX((COPIA!$DA$3:$DE$2300),MATCH(ROWS(F$8:F163),COPIA!$DF$3:$DF$2300,0),COLUMN()-1),"")=0,"",IFERROR(INDEX((COPIA!$DA$3:$DE$2300),MATCH(ROWS(F$8:F163),COPIA!$DF$3:$DF$2300,0),COLUMN()-1),""))</f>
        <v/>
      </c>
      <c r="G163" s="16"/>
    </row>
    <row r="164" spans="1:7">
      <c r="A164" s="12"/>
      <c r="B164" s="119" t="str">
        <f ca="1">IF(IFERROR(INDEX((COPIA!$DA$3:$DE$2300),MATCH(ROWS(B$8:B164),COPIA!$DF$3:$DF$2300,0),COLUMN()-1),"")&gt;=1,IFERROR(INDEX((COPIA!$DA$3:$DE$2300),MATCH(ROWS(B$8:B164),COPIA!$DF$3:$DF$2300,0),COLUMN()-1),""),"")</f>
        <v/>
      </c>
      <c r="C164" s="118" t="str">
        <f ca="1">SUBSTITUTE(IFERROR(INDEX((COPIA!$DA$3:$DE$2300),MATCH(ROWS(C$8:C164),COPIA!$DF$3:$DF$2300,0),COLUMN()-1),""),"MASTRO","")</f>
        <v/>
      </c>
      <c r="D164" s="29" t="str">
        <f ca="1">IF(IFERROR(INDEX((COPIA!$DA$3:$DE$2300),MATCH(ROWS(D$8:D164),COPIA!$DF$3:$DF$2300,0),COLUMN()-1),"")=0,"",IFERROR(INDEX((COPIA!$DA$3:$DE$2300),MATCH(ROWS(D$8:D164),COPIA!$DF$3:$DF$2300,0),COLUMN()-1),""))</f>
        <v/>
      </c>
      <c r="E164" s="45" t="str">
        <f ca="1">IF(IFERROR(INDEX((COPIA!$DA$3:$DE$2300),MATCH(ROWS(E$8:E164),COPIA!$DF$3:$DF$2300,0),COLUMN()-1),"")=0,"",IFERROR(INDEX((COPIA!$DA$3:$DE$2300),MATCH(ROWS(E$8:E164),COPIA!$DF$3:$DF$2300,0),COLUMN()-1),""))</f>
        <v/>
      </c>
      <c r="F164" s="120" t="str">
        <f ca="1">IF(IFERROR(INDEX((COPIA!$DA$3:$DE$2300),MATCH(ROWS(F$8:F164),COPIA!$DF$3:$DF$2300,0),COLUMN()-1),"")=0,"",IFERROR(INDEX((COPIA!$DA$3:$DE$2300),MATCH(ROWS(F$8:F164),COPIA!$DF$3:$DF$2300,0),COLUMN()-1),""))</f>
        <v/>
      </c>
      <c r="G164" s="16"/>
    </row>
    <row r="165" spans="1:7">
      <c r="A165" s="12"/>
      <c r="B165" s="119" t="str">
        <f ca="1">IF(IFERROR(INDEX((COPIA!$DA$3:$DE$2300),MATCH(ROWS(B$8:B165),COPIA!$DF$3:$DF$2300,0),COLUMN()-1),"")&gt;=1,IFERROR(INDEX((COPIA!$DA$3:$DE$2300),MATCH(ROWS(B$8:B165),COPIA!$DF$3:$DF$2300,0),COLUMN()-1),""),"")</f>
        <v/>
      </c>
      <c r="C165" s="118" t="str">
        <f ca="1">SUBSTITUTE(IFERROR(INDEX((COPIA!$DA$3:$DE$2300),MATCH(ROWS(C$8:C165),COPIA!$DF$3:$DF$2300,0),COLUMN()-1),""),"MASTRO","")</f>
        <v/>
      </c>
      <c r="D165" s="29" t="str">
        <f ca="1">IF(IFERROR(INDEX((COPIA!$DA$3:$DE$2300),MATCH(ROWS(D$8:D165),COPIA!$DF$3:$DF$2300,0),COLUMN()-1),"")=0,"",IFERROR(INDEX((COPIA!$DA$3:$DE$2300),MATCH(ROWS(D$8:D165),COPIA!$DF$3:$DF$2300,0),COLUMN()-1),""))</f>
        <v/>
      </c>
      <c r="E165" s="45" t="str">
        <f ca="1">IF(IFERROR(INDEX((COPIA!$DA$3:$DE$2300),MATCH(ROWS(E$8:E165),COPIA!$DF$3:$DF$2300,0),COLUMN()-1),"")=0,"",IFERROR(INDEX((COPIA!$DA$3:$DE$2300),MATCH(ROWS(E$8:E165),COPIA!$DF$3:$DF$2300,0),COLUMN()-1),""))</f>
        <v/>
      </c>
      <c r="F165" s="120" t="str">
        <f ca="1">IF(IFERROR(INDEX((COPIA!$DA$3:$DE$2300),MATCH(ROWS(F$8:F165),COPIA!$DF$3:$DF$2300,0),COLUMN()-1),"")=0,"",IFERROR(INDEX((COPIA!$DA$3:$DE$2300),MATCH(ROWS(F$8:F165),COPIA!$DF$3:$DF$2300,0),COLUMN()-1),""))</f>
        <v/>
      </c>
      <c r="G165" s="16"/>
    </row>
    <row r="166" spans="1:7">
      <c r="A166" s="12"/>
      <c r="B166" s="119" t="str">
        <f ca="1">IF(IFERROR(INDEX((COPIA!$DA$3:$DE$2300),MATCH(ROWS(B$8:B166),COPIA!$DF$3:$DF$2300,0),COLUMN()-1),"")&gt;=1,IFERROR(INDEX((COPIA!$DA$3:$DE$2300),MATCH(ROWS(B$8:B166),COPIA!$DF$3:$DF$2300,0),COLUMN()-1),""),"")</f>
        <v/>
      </c>
      <c r="C166" s="118" t="str">
        <f ca="1">SUBSTITUTE(IFERROR(INDEX((COPIA!$DA$3:$DE$2300),MATCH(ROWS(C$8:C166),COPIA!$DF$3:$DF$2300,0),COLUMN()-1),""),"MASTRO","")</f>
        <v/>
      </c>
      <c r="D166" s="29" t="str">
        <f ca="1">IF(IFERROR(INDEX((COPIA!$DA$3:$DE$2300),MATCH(ROWS(D$8:D166),COPIA!$DF$3:$DF$2300,0),COLUMN()-1),"")=0,"",IFERROR(INDEX((COPIA!$DA$3:$DE$2300),MATCH(ROWS(D$8:D166),COPIA!$DF$3:$DF$2300,0),COLUMN()-1),""))</f>
        <v/>
      </c>
      <c r="E166" s="45" t="str">
        <f ca="1">IF(IFERROR(INDEX((COPIA!$DA$3:$DE$2300),MATCH(ROWS(E$8:E166),COPIA!$DF$3:$DF$2300,0),COLUMN()-1),"")=0,"",IFERROR(INDEX((COPIA!$DA$3:$DE$2300),MATCH(ROWS(E$8:E166),COPIA!$DF$3:$DF$2300,0),COLUMN()-1),""))</f>
        <v/>
      </c>
      <c r="F166" s="120" t="str">
        <f ca="1">IF(IFERROR(INDEX((COPIA!$DA$3:$DE$2300),MATCH(ROWS(F$8:F166),COPIA!$DF$3:$DF$2300,0),COLUMN()-1),"")=0,"",IFERROR(INDEX((COPIA!$DA$3:$DE$2300),MATCH(ROWS(F$8:F166),COPIA!$DF$3:$DF$2300,0),COLUMN()-1),""))</f>
        <v/>
      </c>
      <c r="G166" s="16"/>
    </row>
    <row r="167" spans="1:7">
      <c r="A167" s="12"/>
      <c r="B167" s="119" t="str">
        <f ca="1">IF(IFERROR(INDEX((COPIA!$DA$3:$DE$2300),MATCH(ROWS(B$8:B167),COPIA!$DF$3:$DF$2300,0),COLUMN()-1),"")&gt;=1,IFERROR(INDEX((COPIA!$DA$3:$DE$2300),MATCH(ROWS(B$8:B167),COPIA!$DF$3:$DF$2300,0),COLUMN()-1),""),"")</f>
        <v/>
      </c>
      <c r="C167" s="118" t="str">
        <f ca="1">SUBSTITUTE(IFERROR(INDEX((COPIA!$DA$3:$DE$2300),MATCH(ROWS(C$8:C167),COPIA!$DF$3:$DF$2300,0),COLUMN()-1),""),"MASTRO","")</f>
        <v/>
      </c>
      <c r="D167" s="29" t="str">
        <f ca="1">IF(IFERROR(INDEX((COPIA!$DA$3:$DE$2300),MATCH(ROWS(D$8:D167),COPIA!$DF$3:$DF$2300,0),COLUMN()-1),"")=0,"",IFERROR(INDEX((COPIA!$DA$3:$DE$2300),MATCH(ROWS(D$8:D167),COPIA!$DF$3:$DF$2300,0),COLUMN()-1),""))</f>
        <v/>
      </c>
      <c r="E167" s="45" t="str">
        <f ca="1">IF(IFERROR(INDEX((COPIA!$DA$3:$DE$2300),MATCH(ROWS(E$8:E167),COPIA!$DF$3:$DF$2300,0),COLUMN()-1),"")=0,"",IFERROR(INDEX((COPIA!$DA$3:$DE$2300),MATCH(ROWS(E$8:E167),COPIA!$DF$3:$DF$2300,0),COLUMN()-1),""))</f>
        <v/>
      </c>
      <c r="F167" s="120" t="str">
        <f ca="1">IF(IFERROR(INDEX((COPIA!$DA$3:$DE$2300),MATCH(ROWS(F$8:F167),COPIA!$DF$3:$DF$2300,0),COLUMN()-1),"")=0,"",IFERROR(INDEX((COPIA!$DA$3:$DE$2300),MATCH(ROWS(F$8:F167),COPIA!$DF$3:$DF$2300,0),COLUMN()-1),""))</f>
        <v/>
      </c>
      <c r="G167" s="16"/>
    </row>
    <row r="168" spans="1:7">
      <c r="A168" s="12"/>
      <c r="B168" s="119" t="str">
        <f ca="1">IF(IFERROR(INDEX((COPIA!$DA$3:$DE$2300),MATCH(ROWS(B$8:B168),COPIA!$DF$3:$DF$2300,0),COLUMN()-1),"")&gt;=1,IFERROR(INDEX((COPIA!$DA$3:$DE$2300),MATCH(ROWS(B$8:B168),COPIA!$DF$3:$DF$2300,0),COLUMN()-1),""),"")</f>
        <v/>
      </c>
      <c r="C168" s="118" t="str">
        <f ca="1">SUBSTITUTE(IFERROR(INDEX((COPIA!$DA$3:$DE$2300),MATCH(ROWS(C$8:C168),COPIA!$DF$3:$DF$2300,0),COLUMN()-1),""),"MASTRO","")</f>
        <v/>
      </c>
      <c r="D168" s="29" t="str">
        <f ca="1">IF(IFERROR(INDEX((COPIA!$DA$3:$DE$2300),MATCH(ROWS(D$8:D168),COPIA!$DF$3:$DF$2300,0),COLUMN()-1),"")=0,"",IFERROR(INDEX((COPIA!$DA$3:$DE$2300),MATCH(ROWS(D$8:D168),COPIA!$DF$3:$DF$2300,0),COLUMN()-1),""))</f>
        <v/>
      </c>
      <c r="E168" s="45" t="str">
        <f ca="1">IF(IFERROR(INDEX((COPIA!$DA$3:$DE$2300),MATCH(ROWS(E$8:E168),COPIA!$DF$3:$DF$2300,0),COLUMN()-1),"")=0,"",IFERROR(INDEX((COPIA!$DA$3:$DE$2300),MATCH(ROWS(E$8:E168),COPIA!$DF$3:$DF$2300,0),COLUMN()-1),""))</f>
        <v/>
      </c>
      <c r="F168" s="120" t="str">
        <f ca="1">IF(IFERROR(INDEX((COPIA!$DA$3:$DE$2300),MATCH(ROWS(F$8:F168),COPIA!$DF$3:$DF$2300,0),COLUMN()-1),"")=0,"",IFERROR(INDEX((COPIA!$DA$3:$DE$2300),MATCH(ROWS(F$8:F168),COPIA!$DF$3:$DF$2300,0),COLUMN()-1),""))</f>
        <v/>
      </c>
      <c r="G168" s="16"/>
    </row>
    <row r="169" spans="1:7">
      <c r="A169" s="12"/>
      <c r="B169" s="119" t="str">
        <f ca="1">IF(IFERROR(INDEX((COPIA!$DA$3:$DE$2300),MATCH(ROWS(B$8:B169),COPIA!$DF$3:$DF$2300,0),COLUMN()-1),"")&gt;=1,IFERROR(INDEX((COPIA!$DA$3:$DE$2300),MATCH(ROWS(B$8:B169),COPIA!$DF$3:$DF$2300,0),COLUMN()-1),""),"")</f>
        <v/>
      </c>
      <c r="C169" s="118" t="str">
        <f ca="1">SUBSTITUTE(IFERROR(INDEX((COPIA!$DA$3:$DE$2300),MATCH(ROWS(C$8:C169),COPIA!$DF$3:$DF$2300,0),COLUMN()-1),""),"MASTRO","")</f>
        <v/>
      </c>
      <c r="D169" s="29" t="str">
        <f ca="1">IF(IFERROR(INDEX((COPIA!$DA$3:$DE$2300),MATCH(ROWS(D$8:D169),COPIA!$DF$3:$DF$2300,0),COLUMN()-1),"")=0,"",IFERROR(INDEX((COPIA!$DA$3:$DE$2300),MATCH(ROWS(D$8:D169),COPIA!$DF$3:$DF$2300,0),COLUMN()-1),""))</f>
        <v/>
      </c>
      <c r="E169" s="45" t="str">
        <f ca="1">IF(IFERROR(INDEX((COPIA!$DA$3:$DE$2300),MATCH(ROWS(E$8:E169),COPIA!$DF$3:$DF$2300,0),COLUMN()-1),"")=0,"",IFERROR(INDEX((COPIA!$DA$3:$DE$2300),MATCH(ROWS(E$8:E169),COPIA!$DF$3:$DF$2300,0),COLUMN()-1),""))</f>
        <v/>
      </c>
      <c r="F169" s="120" t="str">
        <f ca="1">IF(IFERROR(INDEX((COPIA!$DA$3:$DE$2300),MATCH(ROWS(F$8:F169),COPIA!$DF$3:$DF$2300,0),COLUMN()-1),"")=0,"",IFERROR(INDEX((COPIA!$DA$3:$DE$2300),MATCH(ROWS(F$8:F169),COPIA!$DF$3:$DF$2300,0),COLUMN()-1),""))</f>
        <v/>
      </c>
      <c r="G169" s="16"/>
    </row>
    <row r="170" spans="1:7">
      <c r="A170" s="12"/>
      <c r="B170" s="119" t="str">
        <f ca="1">IF(IFERROR(INDEX((COPIA!$DA$3:$DE$2300),MATCH(ROWS(B$8:B170),COPIA!$DF$3:$DF$2300,0),COLUMN()-1),"")&gt;=1,IFERROR(INDEX((COPIA!$DA$3:$DE$2300),MATCH(ROWS(B$8:B170),COPIA!$DF$3:$DF$2300,0),COLUMN()-1),""),"")</f>
        <v/>
      </c>
      <c r="C170" s="118" t="str">
        <f ca="1">SUBSTITUTE(IFERROR(INDEX((COPIA!$DA$3:$DE$2300),MATCH(ROWS(C$8:C170),COPIA!$DF$3:$DF$2300,0),COLUMN()-1),""),"MASTRO","")</f>
        <v/>
      </c>
      <c r="D170" s="29" t="str">
        <f ca="1">IF(IFERROR(INDEX((COPIA!$DA$3:$DE$2300),MATCH(ROWS(D$8:D170),COPIA!$DF$3:$DF$2300,0),COLUMN()-1),"")=0,"",IFERROR(INDEX((COPIA!$DA$3:$DE$2300),MATCH(ROWS(D$8:D170),COPIA!$DF$3:$DF$2300,0),COLUMN()-1),""))</f>
        <v/>
      </c>
      <c r="E170" s="45" t="str">
        <f ca="1">IF(IFERROR(INDEX((COPIA!$DA$3:$DE$2300),MATCH(ROWS(E$8:E170),COPIA!$DF$3:$DF$2300,0),COLUMN()-1),"")=0,"",IFERROR(INDEX((COPIA!$DA$3:$DE$2300),MATCH(ROWS(E$8:E170),COPIA!$DF$3:$DF$2300,0),COLUMN()-1),""))</f>
        <v/>
      </c>
      <c r="F170" s="120" t="str">
        <f ca="1">IF(IFERROR(INDEX((COPIA!$DA$3:$DE$2300),MATCH(ROWS(F$8:F170),COPIA!$DF$3:$DF$2300,0),COLUMN()-1),"")=0,"",IFERROR(INDEX((COPIA!$DA$3:$DE$2300),MATCH(ROWS(F$8:F170),COPIA!$DF$3:$DF$2300,0),COLUMN()-1),""))</f>
        <v/>
      </c>
      <c r="G170" s="16"/>
    </row>
    <row r="171" spans="1:7">
      <c r="A171" s="12"/>
      <c r="B171" s="119" t="str">
        <f ca="1">IF(IFERROR(INDEX((COPIA!$DA$3:$DE$2300),MATCH(ROWS(B$8:B171),COPIA!$DF$3:$DF$2300,0),COLUMN()-1),"")&gt;=1,IFERROR(INDEX((COPIA!$DA$3:$DE$2300),MATCH(ROWS(B$8:B171),COPIA!$DF$3:$DF$2300,0),COLUMN()-1),""),"")</f>
        <v/>
      </c>
      <c r="C171" s="118" t="str">
        <f ca="1">SUBSTITUTE(IFERROR(INDEX((COPIA!$DA$3:$DE$2300),MATCH(ROWS(C$8:C171),COPIA!$DF$3:$DF$2300,0),COLUMN()-1),""),"MASTRO","")</f>
        <v/>
      </c>
      <c r="D171" s="29" t="str">
        <f ca="1">IF(IFERROR(INDEX((COPIA!$DA$3:$DE$2300),MATCH(ROWS(D$8:D171),COPIA!$DF$3:$DF$2300,0),COLUMN()-1),"")=0,"",IFERROR(INDEX((COPIA!$DA$3:$DE$2300),MATCH(ROWS(D$8:D171),COPIA!$DF$3:$DF$2300,0),COLUMN()-1),""))</f>
        <v/>
      </c>
      <c r="E171" s="45" t="str">
        <f ca="1">IF(IFERROR(INDEX((COPIA!$DA$3:$DE$2300),MATCH(ROWS(E$8:E171),COPIA!$DF$3:$DF$2300,0),COLUMN()-1),"")=0,"",IFERROR(INDEX((COPIA!$DA$3:$DE$2300),MATCH(ROWS(E$8:E171),COPIA!$DF$3:$DF$2300,0),COLUMN()-1),""))</f>
        <v/>
      </c>
      <c r="F171" s="120" t="str">
        <f ca="1">IF(IFERROR(INDEX((COPIA!$DA$3:$DE$2300),MATCH(ROWS(F$8:F171),COPIA!$DF$3:$DF$2300,0),COLUMN()-1),"")=0,"",IFERROR(INDEX((COPIA!$DA$3:$DE$2300),MATCH(ROWS(F$8:F171),COPIA!$DF$3:$DF$2300,0),COLUMN()-1),""))</f>
        <v/>
      </c>
      <c r="G171" s="16"/>
    </row>
    <row r="172" spans="1:7">
      <c r="A172" s="12"/>
      <c r="B172" s="119" t="str">
        <f ca="1">IF(IFERROR(INDEX((COPIA!$DA$3:$DE$2300),MATCH(ROWS(B$8:B172),COPIA!$DF$3:$DF$2300,0),COLUMN()-1),"")&gt;=1,IFERROR(INDEX((COPIA!$DA$3:$DE$2300),MATCH(ROWS(B$8:B172),COPIA!$DF$3:$DF$2300,0),COLUMN()-1),""),"")</f>
        <v/>
      </c>
      <c r="C172" s="118" t="str">
        <f ca="1">SUBSTITUTE(IFERROR(INDEX((COPIA!$DA$3:$DE$2300),MATCH(ROWS(C$8:C172),COPIA!$DF$3:$DF$2300,0),COLUMN()-1),""),"MASTRO","")</f>
        <v/>
      </c>
      <c r="D172" s="29" t="str">
        <f ca="1">IF(IFERROR(INDEX((COPIA!$DA$3:$DE$2300),MATCH(ROWS(D$8:D172),COPIA!$DF$3:$DF$2300,0),COLUMN()-1),"")=0,"",IFERROR(INDEX((COPIA!$DA$3:$DE$2300),MATCH(ROWS(D$8:D172),COPIA!$DF$3:$DF$2300,0),COLUMN()-1),""))</f>
        <v/>
      </c>
      <c r="E172" s="45" t="str">
        <f ca="1">IF(IFERROR(INDEX((COPIA!$DA$3:$DE$2300),MATCH(ROWS(E$8:E172),COPIA!$DF$3:$DF$2300,0),COLUMN()-1),"")=0,"",IFERROR(INDEX((COPIA!$DA$3:$DE$2300),MATCH(ROWS(E$8:E172),COPIA!$DF$3:$DF$2300,0),COLUMN()-1),""))</f>
        <v/>
      </c>
      <c r="F172" s="120" t="str">
        <f ca="1">IF(IFERROR(INDEX((COPIA!$DA$3:$DE$2300),MATCH(ROWS(F$8:F172),COPIA!$DF$3:$DF$2300,0),COLUMN()-1),"")=0,"",IFERROR(INDEX((COPIA!$DA$3:$DE$2300),MATCH(ROWS(F$8:F172),COPIA!$DF$3:$DF$2300,0),COLUMN()-1),""))</f>
        <v/>
      </c>
      <c r="G172" s="16"/>
    </row>
    <row r="173" spans="1:7">
      <c r="A173" s="12"/>
      <c r="B173" s="119" t="str">
        <f ca="1">IF(IFERROR(INDEX((COPIA!$DA$3:$DE$2300),MATCH(ROWS(B$8:B173),COPIA!$DF$3:$DF$2300,0),COLUMN()-1),"")&gt;=1,IFERROR(INDEX((COPIA!$DA$3:$DE$2300),MATCH(ROWS(B$8:B173),COPIA!$DF$3:$DF$2300,0),COLUMN()-1),""),"")</f>
        <v/>
      </c>
      <c r="C173" s="118" t="str">
        <f ca="1">SUBSTITUTE(IFERROR(INDEX((COPIA!$DA$3:$DE$2300),MATCH(ROWS(C$8:C173),COPIA!$DF$3:$DF$2300,0),COLUMN()-1),""),"MASTRO","")</f>
        <v/>
      </c>
      <c r="D173" s="29" t="str">
        <f ca="1">IF(IFERROR(INDEX((COPIA!$DA$3:$DE$2300),MATCH(ROWS(D$8:D173),COPIA!$DF$3:$DF$2300,0),COLUMN()-1),"")=0,"",IFERROR(INDEX((COPIA!$DA$3:$DE$2300),MATCH(ROWS(D$8:D173),COPIA!$DF$3:$DF$2300,0),COLUMN()-1),""))</f>
        <v/>
      </c>
      <c r="E173" s="45" t="str">
        <f ca="1">IF(IFERROR(INDEX((COPIA!$DA$3:$DE$2300),MATCH(ROWS(E$8:E173),COPIA!$DF$3:$DF$2300,0),COLUMN()-1),"")=0,"",IFERROR(INDEX((COPIA!$DA$3:$DE$2300),MATCH(ROWS(E$8:E173),COPIA!$DF$3:$DF$2300,0),COLUMN()-1),""))</f>
        <v/>
      </c>
      <c r="F173" s="120" t="str">
        <f ca="1">IF(IFERROR(INDEX((COPIA!$DA$3:$DE$2300),MATCH(ROWS(F$8:F173),COPIA!$DF$3:$DF$2300,0),COLUMN()-1),"")=0,"",IFERROR(INDEX((COPIA!$DA$3:$DE$2300),MATCH(ROWS(F$8:F173),COPIA!$DF$3:$DF$2300,0),COLUMN()-1),""))</f>
        <v/>
      </c>
      <c r="G173" s="16"/>
    </row>
    <row r="174" spans="1:7">
      <c r="A174" s="12"/>
      <c r="B174" s="119" t="str">
        <f ca="1">IF(IFERROR(INDEX((COPIA!$DA$3:$DE$2300),MATCH(ROWS(B$8:B174),COPIA!$DF$3:$DF$2300,0),COLUMN()-1),"")&gt;=1,IFERROR(INDEX((COPIA!$DA$3:$DE$2300),MATCH(ROWS(B$8:B174),COPIA!$DF$3:$DF$2300,0),COLUMN()-1),""),"")</f>
        <v/>
      </c>
      <c r="C174" s="118" t="str">
        <f ca="1">SUBSTITUTE(IFERROR(INDEX((COPIA!$DA$3:$DE$2300),MATCH(ROWS(C$8:C174),COPIA!$DF$3:$DF$2300,0),COLUMN()-1),""),"MASTRO","")</f>
        <v/>
      </c>
      <c r="D174" s="29" t="str">
        <f ca="1">IF(IFERROR(INDEX((COPIA!$DA$3:$DE$2300),MATCH(ROWS(D$8:D174),COPIA!$DF$3:$DF$2300,0),COLUMN()-1),"")=0,"",IFERROR(INDEX((COPIA!$DA$3:$DE$2300),MATCH(ROWS(D$8:D174),COPIA!$DF$3:$DF$2300,0),COLUMN()-1),""))</f>
        <v/>
      </c>
      <c r="E174" s="45" t="str">
        <f ca="1">IF(IFERROR(INDEX((COPIA!$DA$3:$DE$2300),MATCH(ROWS(E$8:E174),COPIA!$DF$3:$DF$2300,0),COLUMN()-1),"")=0,"",IFERROR(INDEX((COPIA!$DA$3:$DE$2300),MATCH(ROWS(E$8:E174),COPIA!$DF$3:$DF$2300,0),COLUMN()-1),""))</f>
        <v/>
      </c>
      <c r="F174" s="120" t="str">
        <f ca="1">IF(IFERROR(INDEX((COPIA!$DA$3:$DE$2300),MATCH(ROWS(F$8:F174),COPIA!$DF$3:$DF$2300,0),COLUMN()-1),"")=0,"",IFERROR(INDEX((COPIA!$DA$3:$DE$2300),MATCH(ROWS(F$8:F174),COPIA!$DF$3:$DF$2300,0),COLUMN()-1),""))</f>
        <v/>
      </c>
      <c r="G174" s="16"/>
    </row>
    <row r="175" spans="1:7">
      <c r="A175" s="12"/>
      <c r="B175" s="119" t="str">
        <f ca="1">IF(IFERROR(INDEX((COPIA!$DA$3:$DE$2300),MATCH(ROWS(B$8:B175),COPIA!$DF$3:$DF$2300,0),COLUMN()-1),"")&gt;=1,IFERROR(INDEX((COPIA!$DA$3:$DE$2300),MATCH(ROWS(B$8:B175),COPIA!$DF$3:$DF$2300,0),COLUMN()-1),""),"")</f>
        <v/>
      </c>
      <c r="C175" s="118" t="str">
        <f ca="1">SUBSTITUTE(IFERROR(INDEX((COPIA!$DA$3:$DE$2300),MATCH(ROWS(C$8:C175),COPIA!$DF$3:$DF$2300,0),COLUMN()-1),""),"MASTRO","")</f>
        <v/>
      </c>
      <c r="D175" s="29" t="str">
        <f ca="1">IF(IFERROR(INDEX((COPIA!$DA$3:$DE$2300),MATCH(ROWS(D$8:D175),COPIA!$DF$3:$DF$2300,0),COLUMN()-1),"")=0,"",IFERROR(INDEX((COPIA!$DA$3:$DE$2300),MATCH(ROWS(D$8:D175),COPIA!$DF$3:$DF$2300,0),COLUMN()-1),""))</f>
        <v/>
      </c>
      <c r="E175" s="45" t="str">
        <f ca="1">IF(IFERROR(INDEX((COPIA!$DA$3:$DE$2300),MATCH(ROWS(E$8:E175),COPIA!$DF$3:$DF$2300,0),COLUMN()-1),"")=0,"",IFERROR(INDEX((COPIA!$DA$3:$DE$2300),MATCH(ROWS(E$8:E175),COPIA!$DF$3:$DF$2300,0),COLUMN()-1),""))</f>
        <v/>
      </c>
      <c r="F175" s="120" t="str">
        <f ca="1">IF(IFERROR(INDEX((COPIA!$DA$3:$DE$2300),MATCH(ROWS(F$8:F175),COPIA!$DF$3:$DF$2300,0),COLUMN()-1),"")=0,"",IFERROR(INDEX((COPIA!$DA$3:$DE$2300),MATCH(ROWS(F$8:F175),COPIA!$DF$3:$DF$2300,0),COLUMN()-1),""))</f>
        <v/>
      </c>
      <c r="G175" s="16"/>
    </row>
    <row r="176" spans="1:7">
      <c r="A176" s="12"/>
      <c r="B176" s="119" t="str">
        <f ca="1">IF(IFERROR(INDEX((COPIA!$DA$3:$DE$2300),MATCH(ROWS(B$8:B176),COPIA!$DF$3:$DF$2300,0),COLUMN()-1),"")&gt;=1,IFERROR(INDEX((COPIA!$DA$3:$DE$2300),MATCH(ROWS(B$8:B176),COPIA!$DF$3:$DF$2300,0),COLUMN()-1),""),"")</f>
        <v/>
      </c>
      <c r="C176" s="118" t="str">
        <f ca="1">SUBSTITUTE(IFERROR(INDEX((COPIA!$DA$3:$DE$2300),MATCH(ROWS(C$8:C176),COPIA!$DF$3:$DF$2300,0),COLUMN()-1),""),"MASTRO","")</f>
        <v/>
      </c>
      <c r="D176" s="29" t="str">
        <f ca="1">IF(IFERROR(INDEX((COPIA!$DA$3:$DE$2300),MATCH(ROWS(D$8:D176),COPIA!$DF$3:$DF$2300,0),COLUMN()-1),"")=0,"",IFERROR(INDEX((COPIA!$DA$3:$DE$2300),MATCH(ROWS(D$8:D176),COPIA!$DF$3:$DF$2300,0),COLUMN()-1),""))</f>
        <v/>
      </c>
      <c r="E176" s="45" t="str">
        <f ca="1">IF(IFERROR(INDEX((COPIA!$DA$3:$DE$2300),MATCH(ROWS(E$8:E176),COPIA!$DF$3:$DF$2300,0),COLUMN()-1),"")=0,"",IFERROR(INDEX((COPIA!$DA$3:$DE$2300),MATCH(ROWS(E$8:E176),COPIA!$DF$3:$DF$2300,0),COLUMN()-1),""))</f>
        <v/>
      </c>
      <c r="F176" s="120" t="str">
        <f ca="1">IF(IFERROR(INDEX((COPIA!$DA$3:$DE$2300),MATCH(ROWS(F$8:F176),COPIA!$DF$3:$DF$2300,0),COLUMN()-1),"")=0,"",IFERROR(INDEX((COPIA!$DA$3:$DE$2300),MATCH(ROWS(F$8:F176),COPIA!$DF$3:$DF$2300,0),COLUMN()-1),""))</f>
        <v/>
      </c>
      <c r="G176" s="16"/>
    </row>
    <row r="177" spans="1:7">
      <c r="A177" s="12"/>
      <c r="B177" s="119" t="str">
        <f ca="1">IF(IFERROR(INDEX((COPIA!$DA$3:$DE$2300),MATCH(ROWS(B$8:B177),COPIA!$DF$3:$DF$2300,0),COLUMN()-1),"")&gt;=1,IFERROR(INDEX((COPIA!$DA$3:$DE$2300),MATCH(ROWS(B$8:B177),COPIA!$DF$3:$DF$2300,0),COLUMN()-1),""),"")</f>
        <v/>
      </c>
      <c r="C177" s="118" t="str">
        <f ca="1">SUBSTITUTE(IFERROR(INDEX((COPIA!$DA$3:$DE$2300),MATCH(ROWS(C$8:C177),COPIA!$DF$3:$DF$2300,0),COLUMN()-1),""),"MASTRO","")</f>
        <v/>
      </c>
      <c r="D177" s="29" t="str">
        <f ca="1">IF(IFERROR(INDEX((COPIA!$DA$3:$DE$2300),MATCH(ROWS(D$8:D177),COPIA!$DF$3:$DF$2300,0),COLUMN()-1),"")=0,"",IFERROR(INDEX((COPIA!$DA$3:$DE$2300),MATCH(ROWS(D$8:D177),COPIA!$DF$3:$DF$2300,0),COLUMN()-1),""))</f>
        <v/>
      </c>
      <c r="E177" s="45" t="str">
        <f ca="1">IF(IFERROR(INDEX((COPIA!$DA$3:$DE$2300),MATCH(ROWS(E$8:E177),COPIA!$DF$3:$DF$2300,0),COLUMN()-1),"")=0,"",IFERROR(INDEX((COPIA!$DA$3:$DE$2300),MATCH(ROWS(E$8:E177),COPIA!$DF$3:$DF$2300,0),COLUMN()-1),""))</f>
        <v/>
      </c>
      <c r="F177" s="120" t="str">
        <f ca="1">IF(IFERROR(INDEX((COPIA!$DA$3:$DE$2300),MATCH(ROWS(F$8:F177),COPIA!$DF$3:$DF$2300,0),COLUMN()-1),"")=0,"",IFERROR(INDEX((COPIA!$DA$3:$DE$2300),MATCH(ROWS(F$8:F177),COPIA!$DF$3:$DF$2300,0),COLUMN()-1),""))</f>
        <v/>
      </c>
      <c r="G177" s="16"/>
    </row>
    <row r="178" spans="1:7">
      <c r="A178" s="12"/>
      <c r="B178" s="119" t="str">
        <f ca="1">IF(IFERROR(INDEX((COPIA!$DA$3:$DE$2300),MATCH(ROWS(B$8:B178),COPIA!$DF$3:$DF$2300,0),COLUMN()-1),"")&gt;=1,IFERROR(INDEX((COPIA!$DA$3:$DE$2300),MATCH(ROWS(B$8:B178),COPIA!$DF$3:$DF$2300,0),COLUMN()-1),""),"")</f>
        <v/>
      </c>
      <c r="C178" s="118" t="str">
        <f ca="1">SUBSTITUTE(IFERROR(INDEX((COPIA!$DA$3:$DE$2300),MATCH(ROWS(C$8:C178),COPIA!$DF$3:$DF$2300,0),COLUMN()-1),""),"MASTRO","")</f>
        <v/>
      </c>
      <c r="D178" s="29" t="str">
        <f ca="1">IF(IFERROR(INDEX((COPIA!$DA$3:$DE$2300),MATCH(ROWS(D$8:D178),COPIA!$DF$3:$DF$2300,0),COLUMN()-1),"")=0,"",IFERROR(INDEX((COPIA!$DA$3:$DE$2300),MATCH(ROWS(D$8:D178),COPIA!$DF$3:$DF$2300,0),COLUMN()-1),""))</f>
        <v/>
      </c>
      <c r="E178" s="45" t="str">
        <f ca="1">IF(IFERROR(INDEX((COPIA!$DA$3:$DE$2300),MATCH(ROWS(E$8:E178),COPIA!$DF$3:$DF$2300,0),COLUMN()-1),"")=0,"",IFERROR(INDEX((COPIA!$DA$3:$DE$2300),MATCH(ROWS(E$8:E178),COPIA!$DF$3:$DF$2300,0),COLUMN()-1),""))</f>
        <v/>
      </c>
      <c r="F178" s="120" t="str">
        <f ca="1">IF(IFERROR(INDEX((COPIA!$DA$3:$DE$2300),MATCH(ROWS(F$8:F178),COPIA!$DF$3:$DF$2300,0),COLUMN()-1),"")=0,"",IFERROR(INDEX((COPIA!$DA$3:$DE$2300),MATCH(ROWS(F$8:F178),COPIA!$DF$3:$DF$2300,0),COLUMN()-1),""))</f>
        <v/>
      </c>
      <c r="G178" s="16"/>
    </row>
    <row r="179" spans="1:7">
      <c r="A179" s="12"/>
      <c r="B179" s="119" t="str">
        <f ca="1">IF(IFERROR(INDEX((COPIA!$DA$3:$DE$2300),MATCH(ROWS(B$8:B179),COPIA!$DF$3:$DF$2300,0),COLUMN()-1),"")&gt;=1,IFERROR(INDEX((COPIA!$DA$3:$DE$2300),MATCH(ROWS(B$8:B179),COPIA!$DF$3:$DF$2300,0),COLUMN()-1),""),"")</f>
        <v/>
      </c>
      <c r="C179" s="118" t="str">
        <f ca="1">SUBSTITUTE(IFERROR(INDEX((COPIA!$DA$3:$DE$2300),MATCH(ROWS(C$8:C179),COPIA!$DF$3:$DF$2300,0),COLUMN()-1),""),"MASTRO","")</f>
        <v/>
      </c>
      <c r="D179" s="29" t="str">
        <f ca="1">IF(IFERROR(INDEX((COPIA!$DA$3:$DE$2300),MATCH(ROWS(D$8:D179),COPIA!$DF$3:$DF$2300,0),COLUMN()-1),"")=0,"",IFERROR(INDEX((COPIA!$DA$3:$DE$2300),MATCH(ROWS(D$8:D179),COPIA!$DF$3:$DF$2300,0),COLUMN()-1),""))</f>
        <v/>
      </c>
      <c r="E179" s="45" t="str">
        <f ca="1">IF(IFERROR(INDEX((COPIA!$DA$3:$DE$2300),MATCH(ROWS(E$8:E179),COPIA!$DF$3:$DF$2300,0),COLUMN()-1),"")=0,"",IFERROR(INDEX((COPIA!$DA$3:$DE$2300),MATCH(ROWS(E$8:E179),COPIA!$DF$3:$DF$2300,0),COLUMN()-1),""))</f>
        <v/>
      </c>
      <c r="F179" s="120" t="str">
        <f ca="1">IF(IFERROR(INDEX((COPIA!$DA$3:$DE$2300),MATCH(ROWS(F$8:F179),COPIA!$DF$3:$DF$2300,0),COLUMN()-1),"")=0,"",IFERROR(INDEX((COPIA!$DA$3:$DE$2300),MATCH(ROWS(F$8:F179),COPIA!$DF$3:$DF$2300,0),COLUMN()-1),""))</f>
        <v/>
      </c>
      <c r="G179" s="16"/>
    </row>
    <row r="180" spans="1:7">
      <c r="A180" s="12"/>
      <c r="B180" s="119" t="str">
        <f ca="1">IF(IFERROR(INDEX((COPIA!$DA$3:$DE$2300),MATCH(ROWS(B$8:B180),COPIA!$DF$3:$DF$2300,0),COLUMN()-1),"")&gt;=1,IFERROR(INDEX((COPIA!$DA$3:$DE$2300),MATCH(ROWS(B$8:B180),COPIA!$DF$3:$DF$2300,0),COLUMN()-1),""),"")</f>
        <v/>
      </c>
      <c r="C180" s="118" t="str">
        <f ca="1">SUBSTITUTE(IFERROR(INDEX((COPIA!$DA$3:$DE$2300),MATCH(ROWS(C$8:C180),COPIA!$DF$3:$DF$2300,0),COLUMN()-1),""),"MASTRO","")</f>
        <v/>
      </c>
      <c r="D180" s="29" t="str">
        <f ca="1">IF(IFERROR(INDEX((COPIA!$DA$3:$DE$2300),MATCH(ROWS(D$8:D180),COPIA!$DF$3:$DF$2300,0),COLUMN()-1),"")=0,"",IFERROR(INDEX((COPIA!$DA$3:$DE$2300),MATCH(ROWS(D$8:D180),COPIA!$DF$3:$DF$2300,0),COLUMN()-1),""))</f>
        <v/>
      </c>
      <c r="E180" s="45" t="str">
        <f ca="1">IF(IFERROR(INDEX((COPIA!$DA$3:$DE$2300),MATCH(ROWS(E$8:E180),COPIA!$DF$3:$DF$2300,0),COLUMN()-1),"")=0,"",IFERROR(INDEX((COPIA!$DA$3:$DE$2300),MATCH(ROWS(E$8:E180),COPIA!$DF$3:$DF$2300,0),COLUMN()-1),""))</f>
        <v/>
      </c>
      <c r="F180" s="120" t="str">
        <f ca="1">IF(IFERROR(INDEX((COPIA!$DA$3:$DE$2300),MATCH(ROWS(F$8:F180),COPIA!$DF$3:$DF$2300,0),COLUMN()-1),"")=0,"",IFERROR(INDEX((COPIA!$DA$3:$DE$2300),MATCH(ROWS(F$8:F180),COPIA!$DF$3:$DF$2300,0),COLUMN()-1),""))</f>
        <v/>
      </c>
      <c r="G180" s="16"/>
    </row>
    <row r="181" spans="1:7">
      <c r="A181" s="12"/>
      <c r="B181" s="119" t="str">
        <f ca="1">IF(IFERROR(INDEX((COPIA!$DA$3:$DE$2300),MATCH(ROWS(B$8:B181),COPIA!$DF$3:$DF$2300,0),COLUMN()-1),"")&gt;=1,IFERROR(INDEX((COPIA!$DA$3:$DE$2300),MATCH(ROWS(B$8:B181),COPIA!$DF$3:$DF$2300,0),COLUMN()-1),""),"")</f>
        <v/>
      </c>
      <c r="C181" s="118" t="str">
        <f ca="1">SUBSTITUTE(IFERROR(INDEX((COPIA!$DA$3:$DE$2300),MATCH(ROWS(C$8:C181),COPIA!$DF$3:$DF$2300,0),COLUMN()-1),""),"MASTRO","")</f>
        <v/>
      </c>
      <c r="D181" s="29" t="str">
        <f ca="1">IF(IFERROR(INDEX((COPIA!$DA$3:$DE$2300),MATCH(ROWS(D$8:D181),COPIA!$DF$3:$DF$2300,0),COLUMN()-1),"")=0,"",IFERROR(INDEX((COPIA!$DA$3:$DE$2300),MATCH(ROWS(D$8:D181),COPIA!$DF$3:$DF$2300,0),COLUMN()-1),""))</f>
        <v/>
      </c>
      <c r="E181" s="45" t="str">
        <f ca="1">IF(IFERROR(INDEX((COPIA!$DA$3:$DE$2300),MATCH(ROWS(E$8:E181),COPIA!$DF$3:$DF$2300,0),COLUMN()-1),"")=0,"",IFERROR(INDEX((COPIA!$DA$3:$DE$2300),MATCH(ROWS(E$8:E181),COPIA!$DF$3:$DF$2300,0),COLUMN()-1),""))</f>
        <v/>
      </c>
      <c r="F181" s="120" t="str">
        <f ca="1">IF(IFERROR(INDEX((COPIA!$DA$3:$DE$2300),MATCH(ROWS(F$8:F181),COPIA!$DF$3:$DF$2300,0),COLUMN()-1),"")=0,"",IFERROR(INDEX((COPIA!$DA$3:$DE$2300),MATCH(ROWS(F$8:F181),COPIA!$DF$3:$DF$2300,0),COLUMN()-1),""))</f>
        <v/>
      </c>
      <c r="G181" s="16"/>
    </row>
    <row r="182" spans="1:7">
      <c r="A182" s="12"/>
      <c r="B182" s="119" t="str">
        <f ca="1">IF(IFERROR(INDEX((COPIA!$DA$3:$DE$2300),MATCH(ROWS(B$8:B182),COPIA!$DF$3:$DF$2300,0),COLUMN()-1),"")&gt;=1,IFERROR(INDEX((COPIA!$DA$3:$DE$2300),MATCH(ROWS(B$8:B182),COPIA!$DF$3:$DF$2300,0),COLUMN()-1),""),"")</f>
        <v/>
      </c>
      <c r="C182" s="118" t="str">
        <f ca="1">SUBSTITUTE(IFERROR(INDEX((COPIA!$DA$3:$DE$2300),MATCH(ROWS(C$8:C182),COPIA!$DF$3:$DF$2300,0),COLUMN()-1),""),"MASTRO","")</f>
        <v/>
      </c>
      <c r="D182" s="29" t="str">
        <f ca="1">IF(IFERROR(INDEX((COPIA!$DA$3:$DE$2300),MATCH(ROWS(D$8:D182),COPIA!$DF$3:$DF$2300,0),COLUMN()-1),"")=0,"",IFERROR(INDEX((COPIA!$DA$3:$DE$2300),MATCH(ROWS(D$8:D182),COPIA!$DF$3:$DF$2300,0),COLUMN()-1),""))</f>
        <v/>
      </c>
      <c r="E182" s="45" t="str">
        <f ca="1">IF(IFERROR(INDEX((COPIA!$DA$3:$DE$2300),MATCH(ROWS(E$8:E182),COPIA!$DF$3:$DF$2300,0),COLUMN()-1),"")=0,"",IFERROR(INDEX((COPIA!$DA$3:$DE$2300),MATCH(ROWS(E$8:E182),COPIA!$DF$3:$DF$2300,0),COLUMN()-1),""))</f>
        <v/>
      </c>
      <c r="F182" s="120" t="str">
        <f ca="1">IF(IFERROR(INDEX((COPIA!$DA$3:$DE$2300),MATCH(ROWS(F$8:F182),COPIA!$DF$3:$DF$2300,0),COLUMN()-1),"")=0,"",IFERROR(INDEX((COPIA!$DA$3:$DE$2300),MATCH(ROWS(F$8:F182),COPIA!$DF$3:$DF$2300,0),COLUMN()-1),""))</f>
        <v/>
      </c>
      <c r="G182" s="16"/>
    </row>
    <row r="183" spans="1:7">
      <c r="A183" s="12"/>
      <c r="B183" s="119" t="str">
        <f ca="1">IF(IFERROR(INDEX((COPIA!$DA$3:$DE$2300),MATCH(ROWS(B$8:B183),COPIA!$DF$3:$DF$2300,0),COLUMN()-1),"")&gt;=1,IFERROR(INDEX((COPIA!$DA$3:$DE$2300),MATCH(ROWS(B$8:B183),COPIA!$DF$3:$DF$2300,0),COLUMN()-1),""),"")</f>
        <v/>
      </c>
      <c r="C183" s="118" t="str">
        <f ca="1">SUBSTITUTE(IFERROR(INDEX((COPIA!$DA$3:$DE$2300),MATCH(ROWS(C$8:C183),COPIA!$DF$3:$DF$2300,0),COLUMN()-1),""),"MASTRO","")</f>
        <v/>
      </c>
      <c r="D183" s="29" t="str">
        <f ca="1">IF(IFERROR(INDEX((COPIA!$DA$3:$DE$2300),MATCH(ROWS(D$8:D183),COPIA!$DF$3:$DF$2300,0),COLUMN()-1),"")=0,"",IFERROR(INDEX((COPIA!$DA$3:$DE$2300),MATCH(ROWS(D$8:D183),COPIA!$DF$3:$DF$2300,0),COLUMN()-1),""))</f>
        <v/>
      </c>
      <c r="E183" s="45" t="str">
        <f ca="1">IF(IFERROR(INDEX((COPIA!$DA$3:$DE$2300),MATCH(ROWS(E$8:E183),COPIA!$DF$3:$DF$2300,0),COLUMN()-1),"")=0,"",IFERROR(INDEX((COPIA!$DA$3:$DE$2300),MATCH(ROWS(E$8:E183),COPIA!$DF$3:$DF$2300,0),COLUMN()-1),""))</f>
        <v/>
      </c>
      <c r="F183" s="120" t="str">
        <f ca="1">IF(IFERROR(INDEX((COPIA!$DA$3:$DE$2300),MATCH(ROWS(F$8:F183),COPIA!$DF$3:$DF$2300,0),COLUMN()-1),"")=0,"",IFERROR(INDEX((COPIA!$DA$3:$DE$2300),MATCH(ROWS(F$8:F183),COPIA!$DF$3:$DF$2300,0),COLUMN()-1),""))</f>
        <v/>
      </c>
      <c r="G183" s="16"/>
    </row>
    <row r="184" spans="1:7">
      <c r="A184" s="12"/>
      <c r="B184" s="119" t="str">
        <f ca="1">IF(IFERROR(INDEX((COPIA!$DA$3:$DE$2300),MATCH(ROWS(B$8:B184),COPIA!$DF$3:$DF$2300,0),COLUMN()-1),"")&gt;=1,IFERROR(INDEX((COPIA!$DA$3:$DE$2300),MATCH(ROWS(B$8:B184),COPIA!$DF$3:$DF$2300,0),COLUMN()-1),""),"")</f>
        <v/>
      </c>
      <c r="C184" s="118" t="str">
        <f ca="1">SUBSTITUTE(IFERROR(INDEX((COPIA!$DA$3:$DE$2300),MATCH(ROWS(C$8:C184),COPIA!$DF$3:$DF$2300,0),COLUMN()-1),""),"MASTRO","")</f>
        <v/>
      </c>
      <c r="D184" s="29" t="str">
        <f ca="1">IF(IFERROR(INDEX((COPIA!$DA$3:$DE$2300),MATCH(ROWS(D$8:D184),COPIA!$DF$3:$DF$2300,0),COLUMN()-1),"")=0,"",IFERROR(INDEX((COPIA!$DA$3:$DE$2300),MATCH(ROWS(D$8:D184),COPIA!$DF$3:$DF$2300,0),COLUMN()-1),""))</f>
        <v/>
      </c>
      <c r="E184" s="45" t="str">
        <f ca="1">IF(IFERROR(INDEX((COPIA!$DA$3:$DE$2300),MATCH(ROWS(E$8:E184),COPIA!$DF$3:$DF$2300,0),COLUMN()-1),"")=0,"",IFERROR(INDEX((COPIA!$DA$3:$DE$2300),MATCH(ROWS(E$8:E184),COPIA!$DF$3:$DF$2300,0),COLUMN()-1),""))</f>
        <v/>
      </c>
      <c r="F184" s="120" t="str">
        <f ca="1">IF(IFERROR(INDEX((COPIA!$DA$3:$DE$2300),MATCH(ROWS(F$8:F184),COPIA!$DF$3:$DF$2300,0),COLUMN()-1),"")=0,"",IFERROR(INDEX((COPIA!$DA$3:$DE$2300),MATCH(ROWS(F$8:F184),COPIA!$DF$3:$DF$2300,0),COLUMN()-1),""))</f>
        <v/>
      </c>
      <c r="G184" s="16"/>
    </row>
    <row r="185" spans="1:7">
      <c r="A185" s="12"/>
      <c r="B185" s="119" t="str">
        <f ca="1">IF(IFERROR(INDEX((COPIA!$DA$3:$DE$2300),MATCH(ROWS(B$8:B185),COPIA!$DF$3:$DF$2300,0),COLUMN()-1),"")&gt;=1,IFERROR(INDEX((COPIA!$DA$3:$DE$2300),MATCH(ROWS(B$8:B185),COPIA!$DF$3:$DF$2300,0),COLUMN()-1),""),"")</f>
        <v/>
      </c>
      <c r="C185" s="118" t="str">
        <f ca="1">SUBSTITUTE(IFERROR(INDEX((COPIA!$DA$3:$DE$2300),MATCH(ROWS(C$8:C185),COPIA!$DF$3:$DF$2300,0),COLUMN()-1),""),"MASTRO","")</f>
        <v/>
      </c>
      <c r="D185" s="29" t="str">
        <f ca="1">IF(IFERROR(INDEX((COPIA!$DA$3:$DE$2300),MATCH(ROWS(D$8:D185),COPIA!$DF$3:$DF$2300,0),COLUMN()-1),"")=0,"",IFERROR(INDEX((COPIA!$DA$3:$DE$2300),MATCH(ROWS(D$8:D185),COPIA!$DF$3:$DF$2300,0),COLUMN()-1),""))</f>
        <v/>
      </c>
      <c r="E185" s="45" t="str">
        <f ca="1">IF(IFERROR(INDEX((COPIA!$DA$3:$DE$2300),MATCH(ROWS(E$8:E185),COPIA!$DF$3:$DF$2300,0),COLUMN()-1),"")=0,"",IFERROR(INDEX((COPIA!$DA$3:$DE$2300),MATCH(ROWS(E$8:E185),COPIA!$DF$3:$DF$2300,0),COLUMN()-1),""))</f>
        <v/>
      </c>
      <c r="F185" s="120" t="str">
        <f ca="1">IF(IFERROR(INDEX((COPIA!$DA$3:$DE$2300),MATCH(ROWS(F$8:F185),COPIA!$DF$3:$DF$2300,0),COLUMN()-1),"")=0,"",IFERROR(INDEX((COPIA!$DA$3:$DE$2300),MATCH(ROWS(F$8:F185),COPIA!$DF$3:$DF$2300,0),COLUMN()-1),""))</f>
        <v/>
      </c>
      <c r="G185" s="16"/>
    </row>
    <row r="186" spans="1:7">
      <c r="A186" s="12"/>
      <c r="B186" s="119" t="str">
        <f ca="1">IF(IFERROR(INDEX((COPIA!$DA$3:$DE$2300),MATCH(ROWS(B$8:B186),COPIA!$DF$3:$DF$2300,0),COLUMN()-1),"")&gt;=1,IFERROR(INDEX((COPIA!$DA$3:$DE$2300),MATCH(ROWS(B$8:B186),COPIA!$DF$3:$DF$2300,0),COLUMN()-1),""),"")</f>
        <v/>
      </c>
      <c r="C186" s="118" t="str">
        <f ca="1">SUBSTITUTE(IFERROR(INDEX((COPIA!$DA$3:$DE$2300),MATCH(ROWS(C$8:C186),COPIA!$DF$3:$DF$2300,0),COLUMN()-1),""),"MASTRO","")</f>
        <v/>
      </c>
      <c r="D186" s="29" t="str">
        <f ca="1">IF(IFERROR(INDEX((COPIA!$DA$3:$DE$2300),MATCH(ROWS(D$8:D186),COPIA!$DF$3:$DF$2300,0),COLUMN()-1),"")=0,"",IFERROR(INDEX((COPIA!$DA$3:$DE$2300),MATCH(ROWS(D$8:D186),COPIA!$DF$3:$DF$2300,0),COLUMN()-1),""))</f>
        <v/>
      </c>
      <c r="E186" s="45" t="str">
        <f ca="1">IF(IFERROR(INDEX((COPIA!$DA$3:$DE$2300),MATCH(ROWS(E$8:E186),COPIA!$DF$3:$DF$2300,0),COLUMN()-1),"")=0,"",IFERROR(INDEX((COPIA!$DA$3:$DE$2300),MATCH(ROWS(E$8:E186),COPIA!$DF$3:$DF$2300,0),COLUMN()-1),""))</f>
        <v/>
      </c>
      <c r="F186" s="120" t="str">
        <f ca="1">IF(IFERROR(INDEX((COPIA!$DA$3:$DE$2300),MATCH(ROWS(F$8:F186),COPIA!$DF$3:$DF$2300,0),COLUMN()-1),"")=0,"",IFERROR(INDEX((COPIA!$DA$3:$DE$2300),MATCH(ROWS(F$8:F186),COPIA!$DF$3:$DF$2300,0),COLUMN()-1),""))</f>
        <v/>
      </c>
      <c r="G186" s="16"/>
    </row>
    <row r="187" spans="1:7">
      <c r="A187" s="12"/>
      <c r="B187" s="119" t="str">
        <f ca="1">IF(IFERROR(INDEX((COPIA!$DA$3:$DE$2300),MATCH(ROWS(B$8:B187),COPIA!$DF$3:$DF$2300,0),COLUMN()-1),"")&gt;=1,IFERROR(INDEX((COPIA!$DA$3:$DE$2300),MATCH(ROWS(B$8:B187),COPIA!$DF$3:$DF$2300,0),COLUMN()-1),""),"")</f>
        <v/>
      </c>
      <c r="C187" s="118" t="str">
        <f ca="1">SUBSTITUTE(IFERROR(INDEX((COPIA!$DA$3:$DE$2300),MATCH(ROWS(C$8:C187),COPIA!$DF$3:$DF$2300,0),COLUMN()-1),""),"MASTRO","")</f>
        <v/>
      </c>
      <c r="D187" s="29" t="str">
        <f ca="1">IF(IFERROR(INDEX((COPIA!$DA$3:$DE$2300),MATCH(ROWS(D$8:D187),COPIA!$DF$3:$DF$2300,0),COLUMN()-1),"")=0,"",IFERROR(INDEX((COPIA!$DA$3:$DE$2300),MATCH(ROWS(D$8:D187),COPIA!$DF$3:$DF$2300,0),COLUMN()-1),""))</f>
        <v/>
      </c>
      <c r="E187" s="45" t="str">
        <f ca="1">IF(IFERROR(INDEX((COPIA!$DA$3:$DE$2300),MATCH(ROWS(E$8:E187),COPIA!$DF$3:$DF$2300,0),COLUMN()-1),"")=0,"",IFERROR(INDEX((COPIA!$DA$3:$DE$2300),MATCH(ROWS(E$8:E187),COPIA!$DF$3:$DF$2300,0),COLUMN()-1),""))</f>
        <v/>
      </c>
      <c r="F187" s="120" t="str">
        <f ca="1">IF(IFERROR(INDEX((COPIA!$DA$3:$DE$2300),MATCH(ROWS(F$8:F187),COPIA!$DF$3:$DF$2300,0),COLUMN()-1),"")=0,"",IFERROR(INDEX((COPIA!$DA$3:$DE$2300),MATCH(ROWS(F$8:F187),COPIA!$DF$3:$DF$2300,0),COLUMN()-1),""))</f>
        <v/>
      </c>
      <c r="G187" s="16"/>
    </row>
    <row r="188" spans="1:7">
      <c r="A188" s="12"/>
      <c r="B188" s="119" t="str">
        <f ca="1">IF(IFERROR(INDEX((COPIA!$DA$3:$DE$2300),MATCH(ROWS(B$8:B188),COPIA!$DF$3:$DF$2300,0),COLUMN()-1),"")&gt;=1,IFERROR(INDEX((COPIA!$DA$3:$DE$2300),MATCH(ROWS(B$8:B188),COPIA!$DF$3:$DF$2300,0),COLUMN()-1),""),"")</f>
        <v/>
      </c>
      <c r="C188" s="118" t="str">
        <f ca="1">SUBSTITUTE(IFERROR(INDEX((COPIA!$DA$3:$DE$2300),MATCH(ROWS(C$8:C188),COPIA!$DF$3:$DF$2300,0),COLUMN()-1),""),"MASTRO","")</f>
        <v/>
      </c>
      <c r="D188" s="29" t="str">
        <f ca="1">IF(IFERROR(INDEX((COPIA!$DA$3:$DE$2300),MATCH(ROWS(D$8:D188),COPIA!$DF$3:$DF$2300,0),COLUMN()-1),"")=0,"",IFERROR(INDEX((COPIA!$DA$3:$DE$2300),MATCH(ROWS(D$8:D188),COPIA!$DF$3:$DF$2300,0),COLUMN()-1),""))</f>
        <v/>
      </c>
      <c r="E188" s="45" t="str">
        <f ca="1">IF(IFERROR(INDEX((COPIA!$DA$3:$DE$2300),MATCH(ROWS(E$8:E188),COPIA!$DF$3:$DF$2300,0),COLUMN()-1),"")=0,"",IFERROR(INDEX((COPIA!$DA$3:$DE$2300),MATCH(ROWS(E$8:E188),COPIA!$DF$3:$DF$2300,0),COLUMN()-1),""))</f>
        <v/>
      </c>
      <c r="F188" s="120" t="str">
        <f ca="1">IF(IFERROR(INDEX((COPIA!$DA$3:$DE$2300),MATCH(ROWS(F$8:F188),COPIA!$DF$3:$DF$2300,0),COLUMN()-1),"")=0,"",IFERROR(INDEX((COPIA!$DA$3:$DE$2300),MATCH(ROWS(F$8:F188),COPIA!$DF$3:$DF$2300,0),COLUMN()-1),""))</f>
        <v/>
      </c>
      <c r="G188" s="16"/>
    </row>
    <row r="189" spans="1:7">
      <c r="A189" s="12"/>
      <c r="B189" s="119" t="str">
        <f ca="1">IF(IFERROR(INDEX((COPIA!$DA$3:$DE$2300),MATCH(ROWS(B$8:B189),COPIA!$DF$3:$DF$2300,0),COLUMN()-1),"")&gt;=1,IFERROR(INDEX((COPIA!$DA$3:$DE$2300),MATCH(ROWS(B$8:B189),COPIA!$DF$3:$DF$2300,0),COLUMN()-1),""),"")</f>
        <v/>
      </c>
      <c r="C189" s="118" t="str">
        <f ca="1">SUBSTITUTE(IFERROR(INDEX((COPIA!$DA$3:$DE$2300),MATCH(ROWS(C$8:C189),COPIA!$DF$3:$DF$2300,0),COLUMN()-1),""),"MASTRO","")</f>
        <v/>
      </c>
      <c r="D189" s="29" t="str">
        <f ca="1">IF(IFERROR(INDEX((COPIA!$DA$3:$DE$2300),MATCH(ROWS(D$8:D189),COPIA!$DF$3:$DF$2300,0),COLUMN()-1),"")=0,"",IFERROR(INDEX((COPIA!$DA$3:$DE$2300),MATCH(ROWS(D$8:D189),COPIA!$DF$3:$DF$2300,0),COLUMN()-1),""))</f>
        <v/>
      </c>
      <c r="E189" s="45" t="str">
        <f ca="1">IF(IFERROR(INDEX((COPIA!$DA$3:$DE$2300),MATCH(ROWS(E$8:E189),COPIA!$DF$3:$DF$2300,0),COLUMN()-1),"")=0,"",IFERROR(INDEX((COPIA!$DA$3:$DE$2300),MATCH(ROWS(E$8:E189),COPIA!$DF$3:$DF$2300,0),COLUMN()-1),""))</f>
        <v/>
      </c>
      <c r="F189" s="120" t="str">
        <f ca="1">IF(IFERROR(INDEX((COPIA!$DA$3:$DE$2300),MATCH(ROWS(F$8:F189),COPIA!$DF$3:$DF$2300,0),COLUMN()-1),"")=0,"",IFERROR(INDEX((COPIA!$DA$3:$DE$2300),MATCH(ROWS(F$8:F189),COPIA!$DF$3:$DF$2300,0),COLUMN()-1),""))</f>
        <v/>
      </c>
      <c r="G189" s="16"/>
    </row>
    <row r="190" spans="1:7">
      <c r="A190" s="12"/>
      <c r="B190" s="119" t="str">
        <f ca="1">IF(IFERROR(INDEX((COPIA!$DA$3:$DE$2300),MATCH(ROWS(B$8:B190),COPIA!$DF$3:$DF$2300,0),COLUMN()-1),"")&gt;=1,IFERROR(INDEX((COPIA!$DA$3:$DE$2300),MATCH(ROWS(B$8:B190),COPIA!$DF$3:$DF$2300,0),COLUMN()-1),""),"")</f>
        <v/>
      </c>
      <c r="C190" s="118" t="str">
        <f ca="1">SUBSTITUTE(IFERROR(INDEX((COPIA!$DA$3:$DE$2300),MATCH(ROWS(C$8:C190),COPIA!$DF$3:$DF$2300,0),COLUMN()-1),""),"MASTRO","")</f>
        <v/>
      </c>
      <c r="D190" s="29" t="str">
        <f ca="1">IF(IFERROR(INDEX((COPIA!$DA$3:$DE$2300),MATCH(ROWS(D$8:D190),COPIA!$DF$3:$DF$2300,0),COLUMN()-1),"")=0,"",IFERROR(INDEX((COPIA!$DA$3:$DE$2300),MATCH(ROWS(D$8:D190),COPIA!$DF$3:$DF$2300,0),COLUMN()-1),""))</f>
        <v/>
      </c>
      <c r="E190" s="45" t="str">
        <f ca="1">IF(IFERROR(INDEX((COPIA!$DA$3:$DE$2300),MATCH(ROWS(E$8:E190),COPIA!$DF$3:$DF$2300,0),COLUMN()-1),"")=0,"",IFERROR(INDEX((COPIA!$DA$3:$DE$2300),MATCH(ROWS(E$8:E190),COPIA!$DF$3:$DF$2300,0),COLUMN()-1),""))</f>
        <v/>
      </c>
      <c r="F190" s="120" t="str">
        <f ca="1">IF(IFERROR(INDEX((COPIA!$DA$3:$DE$2300),MATCH(ROWS(F$8:F190),COPIA!$DF$3:$DF$2300,0),COLUMN()-1),"")=0,"",IFERROR(INDEX((COPIA!$DA$3:$DE$2300),MATCH(ROWS(F$8:F190),COPIA!$DF$3:$DF$2300,0),COLUMN()-1),""))</f>
        <v/>
      </c>
      <c r="G190" s="16"/>
    </row>
    <row r="191" spans="1:7">
      <c r="A191" s="12"/>
      <c r="B191" s="119" t="str">
        <f ca="1">IF(IFERROR(INDEX((COPIA!$DA$3:$DE$2300),MATCH(ROWS(B$8:B191),COPIA!$DF$3:$DF$2300,0),COLUMN()-1),"")&gt;=1,IFERROR(INDEX((COPIA!$DA$3:$DE$2300),MATCH(ROWS(B$8:B191),COPIA!$DF$3:$DF$2300,0),COLUMN()-1),""),"")</f>
        <v/>
      </c>
      <c r="C191" s="118" t="str">
        <f ca="1">SUBSTITUTE(IFERROR(INDEX((COPIA!$DA$3:$DE$2300),MATCH(ROWS(C$8:C191),COPIA!$DF$3:$DF$2300,0),COLUMN()-1),""),"MASTRO","")</f>
        <v/>
      </c>
      <c r="D191" s="29" t="str">
        <f ca="1">IF(IFERROR(INDEX((COPIA!$DA$3:$DE$2300),MATCH(ROWS(D$8:D191),COPIA!$DF$3:$DF$2300,0),COLUMN()-1),"")=0,"",IFERROR(INDEX((COPIA!$DA$3:$DE$2300),MATCH(ROWS(D$8:D191),COPIA!$DF$3:$DF$2300,0),COLUMN()-1),""))</f>
        <v/>
      </c>
      <c r="E191" s="45" t="str">
        <f ca="1">IF(IFERROR(INDEX((COPIA!$DA$3:$DE$2300),MATCH(ROWS(E$8:E191),COPIA!$DF$3:$DF$2300,0),COLUMN()-1),"")=0,"",IFERROR(INDEX((COPIA!$DA$3:$DE$2300),MATCH(ROWS(E$8:E191),COPIA!$DF$3:$DF$2300,0),COLUMN()-1),""))</f>
        <v/>
      </c>
      <c r="F191" s="120" t="str">
        <f ca="1">IF(IFERROR(INDEX((COPIA!$DA$3:$DE$2300),MATCH(ROWS(F$8:F191),COPIA!$DF$3:$DF$2300,0),COLUMN()-1),"")=0,"",IFERROR(INDEX((COPIA!$DA$3:$DE$2300),MATCH(ROWS(F$8:F191),COPIA!$DF$3:$DF$2300,0),COLUMN()-1),""))</f>
        <v/>
      </c>
      <c r="G191" s="16"/>
    </row>
    <row r="192" spans="1:7">
      <c r="A192" s="12"/>
      <c r="B192" s="119" t="str">
        <f ca="1">IF(IFERROR(INDEX((COPIA!$DA$3:$DE$2300),MATCH(ROWS(B$8:B192),COPIA!$DF$3:$DF$2300,0),COLUMN()-1),"")&gt;=1,IFERROR(INDEX((COPIA!$DA$3:$DE$2300),MATCH(ROWS(B$8:B192),COPIA!$DF$3:$DF$2300,0),COLUMN()-1),""),"")</f>
        <v/>
      </c>
      <c r="C192" s="118" t="str">
        <f ca="1">SUBSTITUTE(IFERROR(INDEX((COPIA!$DA$3:$DE$2300),MATCH(ROWS(C$8:C192),COPIA!$DF$3:$DF$2300,0),COLUMN()-1),""),"MASTRO","")</f>
        <v/>
      </c>
      <c r="D192" s="29" t="str">
        <f ca="1">IF(IFERROR(INDEX((COPIA!$DA$3:$DE$2300),MATCH(ROWS(D$8:D192),COPIA!$DF$3:$DF$2300,0),COLUMN()-1),"")=0,"",IFERROR(INDEX((COPIA!$DA$3:$DE$2300),MATCH(ROWS(D$8:D192),COPIA!$DF$3:$DF$2300,0),COLUMN()-1),""))</f>
        <v/>
      </c>
      <c r="E192" s="45" t="str">
        <f ca="1">IF(IFERROR(INDEX((COPIA!$DA$3:$DE$2300),MATCH(ROWS(E$8:E192),COPIA!$DF$3:$DF$2300,0),COLUMN()-1),"")=0,"",IFERROR(INDEX((COPIA!$DA$3:$DE$2300),MATCH(ROWS(E$8:E192),COPIA!$DF$3:$DF$2300,0),COLUMN()-1),""))</f>
        <v/>
      </c>
      <c r="F192" s="120" t="str">
        <f ca="1">IF(IFERROR(INDEX((COPIA!$DA$3:$DE$2300),MATCH(ROWS(F$8:F192),COPIA!$DF$3:$DF$2300,0),COLUMN()-1),"")=0,"",IFERROR(INDEX((COPIA!$DA$3:$DE$2300),MATCH(ROWS(F$8:F192),COPIA!$DF$3:$DF$2300,0),COLUMN()-1),""))</f>
        <v/>
      </c>
      <c r="G192" s="16"/>
    </row>
    <row r="193" spans="1:7">
      <c r="A193" s="12"/>
      <c r="B193" s="119" t="str">
        <f ca="1">IF(IFERROR(INDEX((COPIA!$DA$3:$DE$2300),MATCH(ROWS(B$8:B193),COPIA!$DF$3:$DF$2300,0),COLUMN()-1),"")&gt;=1,IFERROR(INDEX((COPIA!$DA$3:$DE$2300),MATCH(ROWS(B$8:B193),COPIA!$DF$3:$DF$2300,0),COLUMN()-1),""),"")</f>
        <v/>
      </c>
      <c r="C193" s="118" t="str">
        <f ca="1">SUBSTITUTE(IFERROR(INDEX((COPIA!$DA$3:$DE$2300),MATCH(ROWS(C$8:C193),COPIA!$DF$3:$DF$2300,0),COLUMN()-1),""),"MASTRO","")</f>
        <v/>
      </c>
      <c r="D193" s="29" t="str">
        <f ca="1">IF(IFERROR(INDEX((COPIA!$DA$3:$DE$2300),MATCH(ROWS(D$8:D193),COPIA!$DF$3:$DF$2300,0),COLUMN()-1),"")=0,"",IFERROR(INDEX((COPIA!$DA$3:$DE$2300),MATCH(ROWS(D$8:D193),COPIA!$DF$3:$DF$2300,0),COLUMN()-1),""))</f>
        <v/>
      </c>
      <c r="E193" s="45" t="str">
        <f ca="1">IF(IFERROR(INDEX((COPIA!$DA$3:$DE$2300),MATCH(ROWS(E$8:E193),COPIA!$DF$3:$DF$2300,0),COLUMN()-1),"")=0,"",IFERROR(INDEX((COPIA!$DA$3:$DE$2300),MATCH(ROWS(E$8:E193),COPIA!$DF$3:$DF$2300,0),COLUMN()-1),""))</f>
        <v/>
      </c>
      <c r="F193" s="120" t="str">
        <f ca="1">IF(IFERROR(INDEX((COPIA!$DA$3:$DE$2300),MATCH(ROWS(F$8:F193),COPIA!$DF$3:$DF$2300,0),COLUMN()-1),"")=0,"",IFERROR(INDEX((COPIA!$DA$3:$DE$2300),MATCH(ROWS(F$8:F193),COPIA!$DF$3:$DF$2300,0),COLUMN()-1),""))</f>
        <v/>
      </c>
      <c r="G193" s="16"/>
    </row>
    <row r="194" spans="1:7">
      <c r="A194" s="12"/>
      <c r="B194" s="119" t="str">
        <f ca="1">IF(IFERROR(INDEX((COPIA!$DA$3:$DE$2300),MATCH(ROWS(B$8:B194),COPIA!$DF$3:$DF$2300,0),COLUMN()-1),"")&gt;=1,IFERROR(INDEX((COPIA!$DA$3:$DE$2300),MATCH(ROWS(B$8:B194),COPIA!$DF$3:$DF$2300,0),COLUMN()-1),""),"")</f>
        <v/>
      </c>
      <c r="C194" s="118" t="str">
        <f ca="1">SUBSTITUTE(IFERROR(INDEX((COPIA!$DA$3:$DE$2300),MATCH(ROWS(C$8:C194),COPIA!$DF$3:$DF$2300,0),COLUMN()-1),""),"MASTRO","")</f>
        <v/>
      </c>
      <c r="D194" s="29" t="str">
        <f ca="1">IF(IFERROR(INDEX((COPIA!$DA$3:$DE$2300),MATCH(ROWS(D$8:D194),COPIA!$DF$3:$DF$2300,0),COLUMN()-1),"")=0,"",IFERROR(INDEX((COPIA!$DA$3:$DE$2300),MATCH(ROWS(D$8:D194),COPIA!$DF$3:$DF$2300,0),COLUMN()-1),""))</f>
        <v/>
      </c>
      <c r="E194" s="45" t="str">
        <f ca="1">IF(IFERROR(INDEX((COPIA!$DA$3:$DE$2300),MATCH(ROWS(E$8:E194),COPIA!$DF$3:$DF$2300,0),COLUMN()-1),"")=0,"",IFERROR(INDEX((COPIA!$DA$3:$DE$2300),MATCH(ROWS(E$8:E194),COPIA!$DF$3:$DF$2300,0),COLUMN()-1),""))</f>
        <v/>
      </c>
      <c r="F194" s="120" t="str">
        <f ca="1">IF(IFERROR(INDEX((COPIA!$DA$3:$DE$2300),MATCH(ROWS(F$8:F194),COPIA!$DF$3:$DF$2300,0),COLUMN()-1),"")=0,"",IFERROR(INDEX((COPIA!$DA$3:$DE$2300),MATCH(ROWS(F$8:F194),COPIA!$DF$3:$DF$2300,0),COLUMN()-1),""))</f>
        <v/>
      </c>
      <c r="G194" s="16"/>
    </row>
    <row r="195" spans="1:7">
      <c r="A195" s="12"/>
      <c r="B195" s="119" t="str">
        <f ca="1">IF(IFERROR(INDEX((COPIA!$DA$3:$DE$2300),MATCH(ROWS(B$8:B195),COPIA!$DF$3:$DF$2300,0),COLUMN()-1),"")&gt;=1,IFERROR(INDEX((COPIA!$DA$3:$DE$2300),MATCH(ROWS(B$8:B195),COPIA!$DF$3:$DF$2300,0),COLUMN()-1),""),"")</f>
        <v/>
      </c>
      <c r="C195" s="118" t="str">
        <f ca="1">SUBSTITUTE(IFERROR(INDEX((COPIA!$DA$3:$DE$2300),MATCH(ROWS(C$8:C195),COPIA!$DF$3:$DF$2300,0),COLUMN()-1),""),"MASTRO","")</f>
        <v/>
      </c>
      <c r="D195" s="29" t="str">
        <f ca="1">IF(IFERROR(INDEX((COPIA!$DA$3:$DE$2300),MATCH(ROWS(D$8:D195),COPIA!$DF$3:$DF$2300,0),COLUMN()-1),"")=0,"",IFERROR(INDEX((COPIA!$DA$3:$DE$2300),MATCH(ROWS(D$8:D195),COPIA!$DF$3:$DF$2300,0),COLUMN()-1),""))</f>
        <v/>
      </c>
      <c r="E195" s="45" t="str">
        <f ca="1">IF(IFERROR(INDEX((COPIA!$DA$3:$DE$2300),MATCH(ROWS(E$8:E195),COPIA!$DF$3:$DF$2300,0),COLUMN()-1),"")=0,"",IFERROR(INDEX((COPIA!$DA$3:$DE$2300),MATCH(ROWS(E$8:E195),COPIA!$DF$3:$DF$2300,0),COLUMN()-1),""))</f>
        <v/>
      </c>
      <c r="F195" s="120" t="str">
        <f ca="1">IF(IFERROR(INDEX((COPIA!$DA$3:$DE$2300),MATCH(ROWS(F$8:F195),COPIA!$DF$3:$DF$2300,0),COLUMN()-1),"")=0,"",IFERROR(INDEX((COPIA!$DA$3:$DE$2300),MATCH(ROWS(F$8:F195),COPIA!$DF$3:$DF$2300,0),COLUMN()-1),""))</f>
        <v/>
      </c>
      <c r="G195" s="16"/>
    </row>
    <row r="196" spans="1:7">
      <c r="A196" s="12"/>
      <c r="B196" s="119" t="str">
        <f ca="1">IF(IFERROR(INDEX((COPIA!$DA$3:$DE$2300),MATCH(ROWS(B$8:B196),COPIA!$DF$3:$DF$2300,0),COLUMN()-1),"")&gt;=1,IFERROR(INDEX((COPIA!$DA$3:$DE$2300),MATCH(ROWS(B$8:B196),COPIA!$DF$3:$DF$2300,0),COLUMN()-1),""),"")</f>
        <v/>
      </c>
      <c r="C196" s="118" t="str">
        <f ca="1">SUBSTITUTE(IFERROR(INDEX((COPIA!$DA$3:$DE$2300),MATCH(ROWS(C$8:C196),COPIA!$DF$3:$DF$2300,0),COLUMN()-1),""),"MASTRO","")</f>
        <v/>
      </c>
      <c r="D196" s="29" t="str">
        <f ca="1">IF(IFERROR(INDEX((COPIA!$DA$3:$DE$2300),MATCH(ROWS(D$8:D196),COPIA!$DF$3:$DF$2300,0),COLUMN()-1),"")=0,"",IFERROR(INDEX((COPIA!$DA$3:$DE$2300),MATCH(ROWS(D$8:D196),COPIA!$DF$3:$DF$2300,0),COLUMN()-1),""))</f>
        <v/>
      </c>
      <c r="E196" s="45" t="str">
        <f ca="1">IF(IFERROR(INDEX((COPIA!$DA$3:$DE$2300),MATCH(ROWS(E$8:E196),COPIA!$DF$3:$DF$2300,0),COLUMN()-1),"")=0,"",IFERROR(INDEX((COPIA!$DA$3:$DE$2300),MATCH(ROWS(E$8:E196),COPIA!$DF$3:$DF$2300,0),COLUMN()-1),""))</f>
        <v/>
      </c>
      <c r="F196" s="120" t="str">
        <f ca="1">IF(IFERROR(INDEX((COPIA!$DA$3:$DE$2300),MATCH(ROWS(F$8:F196),COPIA!$DF$3:$DF$2300,0),COLUMN()-1),"")=0,"",IFERROR(INDEX((COPIA!$DA$3:$DE$2300),MATCH(ROWS(F$8:F196),COPIA!$DF$3:$DF$2300,0),COLUMN()-1),""))</f>
        <v/>
      </c>
      <c r="G196" s="16"/>
    </row>
    <row r="197" spans="1:7">
      <c r="A197" s="12"/>
      <c r="B197" s="119" t="str">
        <f ca="1">IF(IFERROR(INDEX((COPIA!$DA$3:$DE$2300),MATCH(ROWS(B$8:B197),COPIA!$DF$3:$DF$2300,0),COLUMN()-1),"")&gt;=1,IFERROR(INDEX((COPIA!$DA$3:$DE$2300),MATCH(ROWS(B$8:B197),COPIA!$DF$3:$DF$2300,0),COLUMN()-1),""),"")</f>
        <v/>
      </c>
      <c r="C197" s="118" t="str">
        <f ca="1">SUBSTITUTE(IFERROR(INDEX((COPIA!$DA$3:$DE$2300),MATCH(ROWS(C$8:C197),COPIA!$DF$3:$DF$2300,0),COLUMN()-1),""),"MASTRO","")</f>
        <v/>
      </c>
      <c r="D197" s="29" t="str">
        <f ca="1">IF(IFERROR(INDEX((COPIA!$DA$3:$DE$2300),MATCH(ROWS(D$8:D197),COPIA!$DF$3:$DF$2300,0),COLUMN()-1),"")=0,"",IFERROR(INDEX((COPIA!$DA$3:$DE$2300),MATCH(ROWS(D$8:D197),COPIA!$DF$3:$DF$2300,0),COLUMN()-1),""))</f>
        <v/>
      </c>
      <c r="E197" s="45" t="str">
        <f ca="1">IF(IFERROR(INDEX((COPIA!$DA$3:$DE$2300),MATCH(ROWS(E$8:E197),COPIA!$DF$3:$DF$2300,0),COLUMN()-1),"")=0,"",IFERROR(INDEX((COPIA!$DA$3:$DE$2300),MATCH(ROWS(E$8:E197),COPIA!$DF$3:$DF$2300,0),COLUMN()-1),""))</f>
        <v/>
      </c>
      <c r="F197" s="120" t="str">
        <f ca="1">IF(IFERROR(INDEX((COPIA!$DA$3:$DE$2300),MATCH(ROWS(F$8:F197),COPIA!$DF$3:$DF$2300,0),COLUMN()-1),"")=0,"",IFERROR(INDEX((COPIA!$DA$3:$DE$2300),MATCH(ROWS(F$8:F197),COPIA!$DF$3:$DF$2300,0),COLUMN()-1),""))</f>
        <v/>
      </c>
      <c r="G197" s="16"/>
    </row>
    <row r="198" spans="1:7">
      <c r="A198" s="12"/>
      <c r="B198" s="119" t="str">
        <f ca="1">IF(IFERROR(INDEX((COPIA!$DA$3:$DE$2300),MATCH(ROWS(B$8:B198),COPIA!$DF$3:$DF$2300,0),COLUMN()-1),"")&gt;=1,IFERROR(INDEX((COPIA!$DA$3:$DE$2300),MATCH(ROWS(B$8:B198),COPIA!$DF$3:$DF$2300,0),COLUMN()-1),""),"")</f>
        <v/>
      </c>
      <c r="C198" s="118" t="str">
        <f ca="1">SUBSTITUTE(IFERROR(INDEX((COPIA!$DA$3:$DE$2300),MATCH(ROWS(C$8:C198),COPIA!$DF$3:$DF$2300,0),COLUMN()-1),""),"MASTRO","")</f>
        <v/>
      </c>
      <c r="D198" s="29" t="str">
        <f ca="1">IF(IFERROR(INDEX((COPIA!$DA$3:$DE$2300),MATCH(ROWS(D$8:D198),COPIA!$DF$3:$DF$2300,0),COLUMN()-1),"")=0,"",IFERROR(INDEX((COPIA!$DA$3:$DE$2300),MATCH(ROWS(D$8:D198),COPIA!$DF$3:$DF$2300,0),COLUMN()-1),""))</f>
        <v/>
      </c>
      <c r="E198" s="45" t="str">
        <f ca="1">IF(IFERROR(INDEX((COPIA!$DA$3:$DE$2300),MATCH(ROWS(E$8:E198),COPIA!$DF$3:$DF$2300,0),COLUMN()-1),"")=0,"",IFERROR(INDEX((COPIA!$DA$3:$DE$2300),MATCH(ROWS(E$8:E198),COPIA!$DF$3:$DF$2300,0),COLUMN()-1),""))</f>
        <v/>
      </c>
      <c r="F198" s="120" t="str">
        <f ca="1">IF(IFERROR(INDEX((COPIA!$DA$3:$DE$2300),MATCH(ROWS(F$8:F198),COPIA!$DF$3:$DF$2300,0),COLUMN()-1),"")=0,"",IFERROR(INDEX((COPIA!$DA$3:$DE$2300),MATCH(ROWS(F$8:F198),COPIA!$DF$3:$DF$2300,0),COLUMN()-1),""))</f>
        <v/>
      </c>
      <c r="G198" s="16"/>
    </row>
    <row r="199" spans="1:7">
      <c r="A199" s="12"/>
      <c r="B199" s="119" t="str">
        <f ca="1">IF(IFERROR(INDEX((COPIA!$DA$3:$DE$2300),MATCH(ROWS(B$8:B199),COPIA!$DF$3:$DF$2300,0),COLUMN()-1),"")&gt;=1,IFERROR(INDEX((COPIA!$DA$3:$DE$2300),MATCH(ROWS(B$8:B199),COPIA!$DF$3:$DF$2300,0),COLUMN()-1),""),"")</f>
        <v/>
      </c>
      <c r="C199" s="118" t="str">
        <f ca="1">SUBSTITUTE(IFERROR(INDEX((COPIA!$DA$3:$DE$2300),MATCH(ROWS(C$8:C199),COPIA!$DF$3:$DF$2300,0),COLUMN()-1),""),"MASTRO","")</f>
        <v/>
      </c>
      <c r="D199" s="29" t="str">
        <f ca="1">IF(IFERROR(INDEX((COPIA!$DA$3:$DE$2300),MATCH(ROWS(D$8:D199),COPIA!$DF$3:$DF$2300,0),COLUMN()-1),"")=0,"",IFERROR(INDEX((COPIA!$DA$3:$DE$2300),MATCH(ROWS(D$8:D199),COPIA!$DF$3:$DF$2300,0),COLUMN()-1),""))</f>
        <v/>
      </c>
      <c r="E199" s="45" t="str">
        <f ca="1">IF(IFERROR(INDEX((COPIA!$DA$3:$DE$2300),MATCH(ROWS(E$8:E199),COPIA!$DF$3:$DF$2300,0),COLUMN()-1),"")=0,"",IFERROR(INDEX((COPIA!$DA$3:$DE$2300),MATCH(ROWS(E$8:E199),COPIA!$DF$3:$DF$2300,0),COLUMN()-1),""))</f>
        <v/>
      </c>
      <c r="F199" s="120" t="str">
        <f ca="1">IF(IFERROR(INDEX((COPIA!$DA$3:$DE$2300),MATCH(ROWS(F$8:F199),COPIA!$DF$3:$DF$2300,0),COLUMN()-1),"")=0,"",IFERROR(INDEX((COPIA!$DA$3:$DE$2300),MATCH(ROWS(F$8:F199),COPIA!$DF$3:$DF$2300,0),COLUMN()-1),""))</f>
        <v/>
      </c>
      <c r="G199" s="16"/>
    </row>
    <row r="200" spans="1:7">
      <c r="A200" s="12"/>
      <c r="B200" s="119" t="str">
        <f ca="1">IF(IFERROR(INDEX((COPIA!$DA$3:$DE$2300),MATCH(ROWS(B$8:B200),COPIA!$DF$3:$DF$2300,0),COLUMN()-1),"")&gt;=1,IFERROR(INDEX((COPIA!$DA$3:$DE$2300),MATCH(ROWS(B$8:B200),COPIA!$DF$3:$DF$2300,0),COLUMN()-1),""),"")</f>
        <v/>
      </c>
      <c r="C200" s="118" t="str">
        <f ca="1">SUBSTITUTE(IFERROR(INDEX((COPIA!$DA$3:$DE$2300),MATCH(ROWS(C$8:C200),COPIA!$DF$3:$DF$2300,0),COLUMN()-1),""),"MASTRO","")</f>
        <v/>
      </c>
      <c r="D200" s="29" t="str">
        <f ca="1">IF(IFERROR(INDEX((COPIA!$DA$3:$DE$2300),MATCH(ROWS(D$8:D200),COPIA!$DF$3:$DF$2300,0),COLUMN()-1),"")=0,"",IFERROR(INDEX((COPIA!$DA$3:$DE$2300),MATCH(ROWS(D$8:D200),COPIA!$DF$3:$DF$2300,0),COLUMN()-1),""))</f>
        <v/>
      </c>
      <c r="E200" s="45" t="str">
        <f ca="1">IF(IFERROR(INDEX((COPIA!$DA$3:$DE$2300),MATCH(ROWS(E$8:E200),COPIA!$DF$3:$DF$2300,0),COLUMN()-1),"")=0,"",IFERROR(INDEX((COPIA!$DA$3:$DE$2300),MATCH(ROWS(E$8:E200),COPIA!$DF$3:$DF$2300,0),COLUMN()-1),""))</f>
        <v/>
      </c>
      <c r="F200" s="120" t="str">
        <f ca="1">IF(IFERROR(INDEX((COPIA!$DA$3:$DE$2300),MATCH(ROWS(F$8:F200),COPIA!$DF$3:$DF$2300,0),COLUMN()-1),"")=0,"",IFERROR(INDEX((COPIA!$DA$3:$DE$2300),MATCH(ROWS(F$8:F200),COPIA!$DF$3:$DF$2300,0),COLUMN()-1),""))</f>
        <v/>
      </c>
      <c r="G200" s="16"/>
    </row>
    <row r="201" spans="1:7">
      <c r="A201" s="12"/>
      <c r="B201" s="119" t="str">
        <f ca="1">IF(IFERROR(INDEX((COPIA!$DA$3:$DE$2300),MATCH(ROWS(B$8:B201),COPIA!$DF$3:$DF$2300,0),COLUMN()-1),"")&gt;=1,IFERROR(INDEX((COPIA!$DA$3:$DE$2300),MATCH(ROWS(B$8:B201),COPIA!$DF$3:$DF$2300,0),COLUMN()-1),""),"")</f>
        <v/>
      </c>
      <c r="C201" s="118" t="str">
        <f ca="1">SUBSTITUTE(IFERROR(INDEX((COPIA!$DA$3:$DE$2300),MATCH(ROWS(C$8:C201),COPIA!$DF$3:$DF$2300,0),COLUMN()-1),""),"MASTRO","")</f>
        <v/>
      </c>
      <c r="D201" s="29" t="str">
        <f ca="1">IF(IFERROR(INDEX((COPIA!$DA$3:$DE$2300),MATCH(ROWS(D$8:D201),COPIA!$DF$3:$DF$2300,0),COLUMN()-1),"")=0,"",IFERROR(INDEX((COPIA!$DA$3:$DE$2300),MATCH(ROWS(D$8:D201),COPIA!$DF$3:$DF$2300,0),COLUMN()-1),""))</f>
        <v/>
      </c>
      <c r="E201" s="45" t="str">
        <f ca="1">IF(IFERROR(INDEX((COPIA!$DA$3:$DE$2300),MATCH(ROWS(E$8:E201),COPIA!$DF$3:$DF$2300,0),COLUMN()-1),"")=0,"",IFERROR(INDEX((COPIA!$DA$3:$DE$2300),MATCH(ROWS(E$8:E201),COPIA!$DF$3:$DF$2300,0),COLUMN()-1),""))</f>
        <v/>
      </c>
      <c r="F201" s="120" t="str">
        <f ca="1">IF(IFERROR(INDEX((COPIA!$DA$3:$DE$2300),MATCH(ROWS(F$8:F201),COPIA!$DF$3:$DF$2300,0),COLUMN()-1),"")=0,"",IFERROR(INDEX((COPIA!$DA$3:$DE$2300),MATCH(ROWS(F$8:F201),COPIA!$DF$3:$DF$2300,0),COLUMN()-1),""))</f>
        <v/>
      </c>
      <c r="G201" s="16"/>
    </row>
    <row r="202" spans="1:7">
      <c r="A202" s="12"/>
      <c r="B202" s="119" t="str">
        <f ca="1">IF(IFERROR(INDEX((COPIA!$DA$3:$DE$2300),MATCH(ROWS(B$8:B202),COPIA!$DF$3:$DF$2300,0),COLUMN()-1),"")&gt;=1,IFERROR(INDEX((COPIA!$DA$3:$DE$2300),MATCH(ROWS(B$8:B202),COPIA!$DF$3:$DF$2300,0),COLUMN()-1),""),"")</f>
        <v/>
      </c>
      <c r="C202" s="118" t="str">
        <f ca="1">SUBSTITUTE(IFERROR(INDEX((COPIA!$DA$3:$DE$2300),MATCH(ROWS(C$8:C202),COPIA!$DF$3:$DF$2300,0),COLUMN()-1),""),"MASTRO","")</f>
        <v/>
      </c>
      <c r="D202" s="29" t="str">
        <f ca="1">IF(IFERROR(INDEX((COPIA!$DA$3:$DE$2300),MATCH(ROWS(D$8:D202),COPIA!$DF$3:$DF$2300,0),COLUMN()-1),"")=0,"",IFERROR(INDEX((COPIA!$DA$3:$DE$2300),MATCH(ROWS(D$8:D202),COPIA!$DF$3:$DF$2300,0),COLUMN()-1),""))</f>
        <v/>
      </c>
      <c r="E202" s="45" t="str">
        <f ca="1">IF(IFERROR(INDEX((COPIA!$DA$3:$DE$2300),MATCH(ROWS(E$8:E202),COPIA!$DF$3:$DF$2300,0),COLUMN()-1),"")=0,"",IFERROR(INDEX((COPIA!$DA$3:$DE$2300),MATCH(ROWS(E$8:E202),COPIA!$DF$3:$DF$2300,0),COLUMN()-1),""))</f>
        <v/>
      </c>
      <c r="F202" s="120" t="str">
        <f ca="1">IF(IFERROR(INDEX((COPIA!$DA$3:$DE$2300),MATCH(ROWS(F$8:F202),COPIA!$DF$3:$DF$2300,0),COLUMN()-1),"")=0,"",IFERROR(INDEX((COPIA!$DA$3:$DE$2300),MATCH(ROWS(F$8:F202),COPIA!$DF$3:$DF$2300,0),COLUMN()-1),""))</f>
        <v/>
      </c>
      <c r="G202" s="16"/>
    </row>
    <row r="203" spans="1:7">
      <c r="A203" s="12"/>
      <c r="B203" s="119" t="str">
        <f ca="1">IF(IFERROR(INDEX((COPIA!$DA$3:$DE$2300),MATCH(ROWS(B$8:B203),COPIA!$DF$3:$DF$2300,0),COLUMN()-1),"")&gt;=1,IFERROR(INDEX((COPIA!$DA$3:$DE$2300),MATCH(ROWS(B$8:B203),COPIA!$DF$3:$DF$2300,0),COLUMN()-1),""),"")</f>
        <v/>
      </c>
      <c r="C203" s="118" t="str">
        <f ca="1">SUBSTITUTE(IFERROR(INDEX((COPIA!$DA$3:$DE$2300),MATCH(ROWS(C$8:C203),COPIA!$DF$3:$DF$2300,0),COLUMN()-1),""),"MASTRO","")</f>
        <v/>
      </c>
      <c r="D203" s="29" t="str">
        <f ca="1">IF(IFERROR(INDEX((COPIA!$DA$3:$DE$2300),MATCH(ROWS(D$8:D203),COPIA!$DF$3:$DF$2300,0),COLUMN()-1),"")=0,"",IFERROR(INDEX((COPIA!$DA$3:$DE$2300),MATCH(ROWS(D$8:D203),COPIA!$DF$3:$DF$2300,0),COLUMN()-1),""))</f>
        <v/>
      </c>
      <c r="E203" s="45" t="str">
        <f ca="1">IF(IFERROR(INDEX((COPIA!$DA$3:$DE$2300),MATCH(ROWS(E$8:E203),COPIA!$DF$3:$DF$2300,0),COLUMN()-1),"")=0,"",IFERROR(INDEX((COPIA!$DA$3:$DE$2300),MATCH(ROWS(E$8:E203),COPIA!$DF$3:$DF$2300,0),COLUMN()-1),""))</f>
        <v/>
      </c>
      <c r="F203" s="120" t="str">
        <f ca="1">IF(IFERROR(INDEX((COPIA!$DA$3:$DE$2300),MATCH(ROWS(F$8:F203),COPIA!$DF$3:$DF$2300,0),COLUMN()-1),"")=0,"",IFERROR(INDEX((COPIA!$DA$3:$DE$2300),MATCH(ROWS(F$8:F203),COPIA!$DF$3:$DF$2300,0),COLUMN()-1),""))</f>
        <v/>
      </c>
      <c r="G203" s="16"/>
    </row>
    <row r="204" spans="1:7">
      <c r="A204" s="12"/>
      <c r="B204" s="119" t="str">
        <f ca="1">IF(IFERROR(INDEX((COPIA!$DA$3:$DE$2300),MATCH(ROWS(B$8:B204),COPIA!$DF$3:$DF$2300,0),COLUMN()-1),"")&gt;=1,IFERROR(INDEX((COPIA!$DA$3:$DE$2300),MATCH(ROWS(B$8:B204),COPIA!$DF$3:$DF$2300,0),COLUMN()-1),""),"")</f>
        <v/>
      </c>
      <c r="C204" s="118" t="str">
        <f ca="1">SUBSTITUTE(IFERROR(INDEX((COPIA!$DA$3:$DE$2300),MATCH(ROWS(C$8:C204),COPIA!$DF$3:$DF$2300,0),COLUMN()-1),""),"MASTRO","")</f>
        <v/>
      </c>
      <c r="D204" s="29" t="str">
        <f ca="1">IF(IFERROR(INDEX((COPIA!$DA$3:$DE$2300),MATCH(ROWS(D$8:D204),COPIA!$DF$3:$DF$2300,0),COLUMN()-1),"")=0,"",IFERROR(INDEX((COPIA!$DA$3:$DE$2300),MATCH(ROWS(D$8:D204),COPIA!$DF$3:$DF$2300,0),COLUMN()-1),""))</f>
        <v/>
      </c>
      <c r="E204" s="45" t="str">
        <f ca="1">IF(IFERROR(INDEX((COPIA!$DA$3:$DE$2300),MATCH(ROWS(E$8:E204),COPIA!$DF$3:$DF$2300,0),COLUMN()-1),"")=0,"",IFERROR(INDEX((COPIA!$DA$3:$DE$2300),MATCH(ROWS(E$8:E204),COPIA!$DF$3:$DF$2300,0),COLUMN()-1),""))</f>
        <v/>
      </c>
      <c r="F204" s="120" t="str">
        <f ca="1">IF(IFERROR(INDEX((COPIA!$DA$3:$DE$2300),MATCH(ROWS(F$8:F204),COPIA!$DF$3:$DF$2300,0),COLUMN()-1),"")=0,"",IFERROR(INDEX((COPIA!$DA$3:$DE$2300),MATCH(ROWS(F$8:F204),COPIA!$DF$3:$DF$2300,0),COLUMN()-1),""))</f>
        <v/>
      </c>
      <c r="G204" s="16"/>
    </row>
    <row r="205" spans="1:7">
      <c r="A205" s="12"/>
      <c r="B205" s="119" t="str">
        <f ca="1">IF(IFERROR(INDEX((COPIA!$DA$3:$DE$2300),MATCH(ROWS(B$8:B205),COPIA!$DF$3:$DF$2300,0),COLUMN()-1),"")&gt;=1,IFERROR(INDEX((COPIA!$DA$3:$DE$2300),MATCH(ROWS(B$8:B205),COPIA!$DF$3:$DF$2300,0),COLUMN()-1),""),"")</f>
        <v/>
      </c>
      <c r="C205" s="118" t="str">
        <f ca="1">SUBSTITUTE(IFERROR(INDEX((COPIA!$DA$3:$DE$2300),MATCH(ROWS(C$8:C205),COPIA!$DF$3:$DF$2300,0),COLUMN()-1),""),"MASTRO","")</f>
        <v/>
      </c>
      <c r="D205" s="29" t="str">
        <f ca="1">IF(IFERROR(INDEX((COPIA!$DA$3:$DE$2300),MATCH(ROWS(D$8:D205),COPIA!$DF$3:$DF$2300,0),COLUMN()-1),"")=0,"",IFERROR(INDEX((COPIA!$DA$3:$DE$2300),MATCH(ROWS(D$8:D205),COPIA!$DF$3:$DF$2300,0),COLUMN()-1),""))</f>
        <v/>
      </c>
      <c r="E205" s="45" t="str">
        <f ca="1">IF(IFERROR(INDEX((COPIA!$DA$3:$DE$2300),MATCH(ROWS(E$8:E205),COPIA!$DF$3:$DF$2300,0),COLUMN()-1),"")=0,"",IFERROR(INDEX((COPIA!$DA$3:$DE$2300),MATCH(ROWS(E$8:E205),COPIA!$DF$3:$DF$2300,0),COLUMN()-1),""))</f>
        <v/>
      </c>
      <c r="F205" s="120" t="str">
        <f ca="1">IF(IFERROR(INDEX((COPIA!$DA$3:$DE$2300),MATCH(ROWS(F$8:F205),COPIA!$DF$3:$DF$2300,0),COLUMN()-1),"")=0,"",IFERROR(INDEX((COPIA!$DA$3:$DE$2300),MATCH(ROWS(F$8:F205),COPIA!$DF$3:$DF$2300,0),COLUMN()-1),""))</f>
        <v/>
      </c>
      <c r="G205" s="16"/>
    </row>
    <row r="206" spans="1:7">
      <c r="A206" s="12"/>
      <c r="B206" s="119" t="str">
        <f ca="1">IF(IFERROR(INDEX((COPIA!$DA$3:$DE$2300),MATCH(ROWS(B$8:B206),COPIA!$DF$3:$DF$2300,0),COLUMN()-1),"")&gt;=1,IFERROR(INDEX((COPIA!$DA$3:$DE$2300),MATCH(ROWS(B$8:B206),COPIA!$DF$3:$DF$2300,0),COLUMN()-1),""),"")</f>
        <v/>
      </c>
      <c r="C206" s="118" t="str">
        <f ca="1">SUBSTITUTE(IFERROR(INDEX((COPIA!$DA$3:$DE$2300),MATCH(ROWS(C$8:C206),COPIA!$DF$3:$DF$2300,0),COLUMN()-1),""),"MASTRO","")</f>
        <v/>
      </c>
      <c r="D206" s="29" t="str">
        <f ca="1">IF(IFERROR(INDEX((COPIA!$DA$3:$DE$2300),MATCH(ROWS(D$8:D206),COPIA!$DF$3:$DF$2300,0),COLUMN()-1),"")=0,"",IFERROR(INDEX((COPIA!$DA$3:$DE$2300),MATCH(ROWS(D$8:D206),COPIA!$DF$3:$DF$2300,0),COLUMN()-1),""))</f>
        <v/>
      </c>
      <c r="E206" s="45" t="str">
        <f ca="1">IF(IFERROR(INDEX((COPIA!$DA$3:$DE$2300),MATCH(ROWS(E$8:E206),COPIA!$DF$3:$DF$2300,0),COLUMN()-1),"")=0,"",IFERROR(INDEX((COPIA!$DA$3:$DE$2300),MATCH(ROWS(E$8:E206),COPIA!$DF$3:$DF$2300,0),COLUMN()-1),""))</f>
        <v/>
      </c>
      <c r="F206" s="120" t="str">
        <f ca="1">IF(IFERROR(INDEX((COPIA!$DA$3:$DE$2300),MATCH(ROWS(F$8:F206),COPIA!$DF$3:$DF$2300,0),COLUMN()-1),"")=0,"",IFERROR(INDEX((COPIA!$DA$3:$DE$2300),MATCH(ROWS(F$8:F206),COPIA!$DF$3:$DF$2300,0),COLUMN()-1),""))</f>
        <v/>
      </c>
    </row>
    <row r="207" spans="1:7">
      <c r="A207" s="12"/>
      <c r="B207" s="119" t="str">
        <f ca="1">IF(IFERROR(INDEX((COPIA!$DA$3:$DE$2300),MATCH(ROWS(B$8:B207),COPIA!$DF$3:$DF$2300,0),COLUMN()-1),"")&gt;=1,IFERROR(INDEX((COPIA!$DA$3:$DE$2300),MATCH(ROWS(B$8:B207),COPIA!$DF$3:$DF$2300,0),COLUMN()-1),""),"")</f>
        <v/>
      </c>
      <c r="C207" s="118" t="str">
        <f ca="1">SUBSTITUTE(IFERROR(INDEX((COPIA!$DA$3:$DE$2300),MATCH(ROWS(C$8:C207),COPIA!$DF$3:$DF$2300,0),COLUMN()-1),""),"MASTRO","")</f>
        <v/>
      </c>
      <c r="D207" s="29" t="str">
        <f ca="1">IF(IFERROR(INDEX((COPIA!$DA$3:$DE$2300),MATCH(ROWS(D$8:D207),COPIA!$DF$3:$DF$2300,0),COLUMN()-1),"")=0,"",IFERROR(INDEX((COPIA!$DA$3:$DE$2300),MATCH(ROWS(D$8:D207),COPIA!$DF$3:$DF$2300,0),COLUMN()-1),""))</f>
        <v/>
      </c>
      <c r="E207" s="45" t="str">
        <f ca="1">IF(IFERROR(INDEX((COPIA!$DA$3:$DE$2300),MATCH(ROWS(E$8:E207),COPIA!$DF$3:$DF$2300,0),COLUMN()-1),"")=0,"",IFERROR(INDEX((COPIA!$DA$3:$DE$2300),MATCH(ROWS(E$8:E207),COPIA!$DF$3:$DF$2300,0),COLUMN()-1),""))</f>
        <v/>
      </c>
      <c r="F207" s="120" t="str">
        <f ca="1">IF(IFERROR(INDEX((COPIA!$DA$3:$DE$2300),MATCH(ROWS(F$8:F207),COPIA!$DF$3:$DF$2300,0),COLUMN()-1),"")=0,"",IFERROR(INDEX((COPIA!$DA$3:$DE$2300),MATCH(ROWS(F$8:F207),COPIA!$DF$3:$DF$2300,0),COLUMN()-1),""))</f>
        <v/>
      </c>
    </row>
    <row r="208" spans="1:7">
      <c r="A208" s="12"/>
      <c r="B208" s="119" t="str">
        <f ca="1">IF(IFERROR(INDEX((COPIA!$DA$3:$DE$2300),MATCH(ROWS(B$8:B208),COPIA!$DF$3:$DF$2300,0),COLUMN()-1),"")&gt;=1,IFERROR(INDEX((COPIA!$DA$3:$DE$2300),MATCH(ROWS(B$8:B208),COPIA!$DF$3:$DF$2300,0),COLUMN()-1),""),"")</f>
        <v/>
      </c>
      <c r="C208" s="118" t="str">
        <f ca="1">SUBSTITUTE(IFERROR(INDEX((COPIA!$DA$3:$DE$2300),MATCH(ROWS(C$8:C208),COPIA!$DF$3:$DF$2300,0),COLUMN()-1),""),"MASTRO","")</f>
        <v/>
      </c>
      <c r="D208" s="29" t="str">
        <f ca="1">IF(IFERROR(INDEX((COPIA!$DA$3:$DE$2300),MATCH(ROWS(D$8:D208),COPIA!$DF$3:$DF$2300,0),COLUMN()-1),"")=0,"",IFERROR(INDEX((COPIA!$DA$3:$DE$2300),MATCH(ROWS(D$8:D208),COPIA!$DF$3:$DF$2300,0),COLUMN()-1),""))</f>
        <v/>
      </c>
      <c r="E208" s="45" t="str">
        <f ca="1">IF(IFERROR(INDEX((COPIA!$DA$3:$DE$2300),MATCH(ROWS(E$8:E208),COPIA!$DF$3:$DF$2300,0),COLUMN()-1),"")=0,"",IFERROR(INDEX((COPIA!$DA$3:$DE$2300),MATCH(ROWS(E$8:E208),COPIA!$DF$3:$DF$2300,0),COLUMN()-1),""))</f>
        <v/>
      </c>
      <c r="F208" s="120" t="str">
        <f ca="1">IF(IFERROR(INDEX((COPIA!$DA$3:$DE$2300),MATCH(ROWS(F$8:F208),COPIA!$DF$3:$DF$2300,0),COLUMN()-1),"")=0,"",IFERROR(INDEX((COPIA!$DA$3:$DE$2300),MATCH(ROWS(F$8:F208),COPIA!$DF$3:$DF$2300,0),COLUMN()-1),""))</f>
        <v/>
      </c>
    </row>
    <row r="209" spans="1:6">
      <c r="A209" s="12"/>
      <c r="B209" s="119" t="str">
        <f ca="1">IF(IFERROR(INDEX((COPIA!$DA$3:$DE$2300),MATCH(ROWS(B$8:B209),COPIA!$DF$3:$DF$2300,0),COLUMN()-1),"")&gt;=1,IFERROR(INDEX((COPIA!$DA$3:$DE$2300),MATCH(ROWS(B$8:B209),COPIA!$DF$3:$DF$2300,0),COLUMN()-1),""),"")</f>
        <v/>
      </c>
      <c r="C209" s="118" t="str">
        <f ca="1">SUBSTITUTE(IFERROR(INDEX((COPIA!$DA$3:$DE$2300),MATCH(ROWS(C$8:C209),COPIA!$DF$3:$DF$2300,0),COLUMN()-1),""),"MASTRO","")</f>
        <v/>
      </c>
      <c r="D209" s="29" t="str">
        <f ca="1">IF(IFERROR(INDEX((COPIA!$DA$3:$DE$2300),MATCH(ROWS(D$8:D209),COPIA!$DF$3:$DF$2300,0),COLUMN()-1),"")=0,"",IFERROR(INDEX((COPIA!$DA$3:$DE$2300),MATCH(ROWS(D$8:D209),COPIA!$DF$3:$DF$2300,0),COLUMN()-1),""))</f>
        <v/>
      </c>
      <c r="E209" s="45" t="str">
        <f ca="1">IF(IFERROR(INDEX((COPIA!$DA$3:$DE$2300),MATCH(ROWS(E$8:E209),COPIA!$DF$3:$DF$2300,0),COLUMN()-1),"")=0,"",IFERROR(INDEX((COPIA!$DA$3:$DE$2300),MATCH(ROWS(E$8:E209),COPIA!$DF$3:$DF$2300,0),COLUMN()-1),""))</f>
        <v/>
      </c>
      <c r="F209" s="120" t="str">
        <f ca="1">IF(IFERROR(INDEX((COPIA!$DA$3:$DE$2300),MATCH(ROWS(F$8:F209),COPIA!$DF$3:$DF$2300,0),COLUMN()-1),"")=0,"",IFERROR(INDEX((COPIA!$DA$3:$DE$2300),MATCH(ROWS(F$8:F209),COPIA!$DF$3:$DF$2300,0),COLUMN()-1),""))</f>
        <v/>
      </c>
    </row>
    <row r="210" spans="1:6">
      <c r="A210" s="12"/>
      <c r="B210" s="119" t="str">
        <f ca="1">IF(IFERROR(INDEX((COPIA!$DA$3:$DE$2300),MATCH(ROWS(B$8:B210),COPIA!$DF$3:$DF$2300,0),COLUMN()-1),"")&gt;=1,IFERROR(INDEX((COPIA!$DA$3:$DE$2300),MATCH(ROWS(B$8:B210),COPIA!$DF$3:$DF$2300,0),COLUMN()-1),""),"")</f>
        <v/>
      </c>
      <c r="C210" s="118" t="str">
        <f ca="1">SUBSTITUTE(IFERROR(INDEX((COPIA!$DA$3:$DE$2300),MATCH(ROWS(C$8:C210),COPIA!$DF$3:$DF$2300,0),COLUMN()-1),""),"MASTRO","")</f>
        <v/>
      </c>
      <c r="D210" s="29" t="str">
        <f ca="1">IF(IFERROR(INDEX((COPIA!$DA$3:$DE$2300),MATCH(ROWS(D$8:D210),COPIA!$DF$3:$DF$2300,0),COLUMN()-1),"")=0,"",IFERROR(INDEX((COPIA!$DA$3:$DE$2300),MATCH(ROWS(D$8:D210),COPIA!$DF$3:$DF$2300,0),COLUMN()-1),""))</f>
        <v/>
      </c>
      <c r="E210" s="45" t="str">
        <f ca="1">IF(IFERROR(INDEX((COPIA!$DA$3:$DE$2300),MATCH(ROWS(E$8:E210),COPIA!$DF$3:$DF$2300,0),COLUMN()-1),"")=0,"",IFERROR(INDEX((COPIA!$DA$3:$DE$2300),MATCH(ROWS(E$8:E210),COPIA!$DF$3:$DF$2300,0),COLUMN()-1),""))</f>
        <v/>
      </c>
      <c r="F210" s="120" t="str">
        <f ca="1">IF(IFERROR(INDEX((COPIA!$DA$3:$DE$2300),MATCH(ROWS(F$8:F210),COPIA!$DF$3:$DF$2300,0),COLUMN()-1),"")=0,"",IFERROR(INDEX((COPIA!$DA$3:$DE$2300),MATCH(ROWS(F$8:F210),COPIA!$DF$3:$DF$2300,0),COLUMN()-1),""))</f>
        <v/>
      </c>
    </row>
    <row r="211" spans="1:6">
      <c r="A211" s="12"/>
      <c r="B211" s="119" t="str">
        <f ca="1">IF(IFERROR(INDEX((COPIA!$DA$3:$DE$2300),MATCH(ROWS(B$8:B211),COPIA!$DF$3:$DF$2300,0),COLUMN()-1),"")&gt;=1,IFERROR(INDEX((COPIA!$DA$3:$DE$2300),MATCH(ROWS(B$8:B211),COPIA!$DF$3:$DF$2300,0),COLUMN()-1),""),"")</f>
        <v/>
      </c>
      <c r="C211" s="118" t="str">
        <f ca="1">SUBSTITUTE(IFERROR(INDEX((COPIA!$DA$3:$DE$2300),MATCH(ROWS(C$8:C211),COPIA!$DF$3:$DF$2300,0),COLUMN()-1),""),"MASTRO","")</f>
        <v/>
      </c>
      <c r="D211" s="29" t="str">
        <f ca="1">IF(IFERROR(INDEX((COPIA!$DA$3:$DE$2300),MATCH(ROWS(D$8:D211),COPIA!$DF$3:$DF$2300,0),COLUMN()-1),"")=0,"",IFERROR(INDEX((COPIA!$DA$3:$DE$2300),MATCH(ROWS(D$8:D211),COPIA!$DF$3:$DF$2300,0),COLUMN()-1),""))</f>
        <v/>
      </c>
      <c r="E211" s="45" t="str">
        <f ca="1">IF(IFERROR(INDEX((COPIA!$DA$3:$DE$2300),MATCH(ROWS(E$8:E211),COPIA!$DF$3:$DF$2300,0),COLUMN()-1),"")=0,"",IFERROR(INDEX((COPIA!$DA$3:$DE$2300),MATCH(ROWS(E$8:E211),COPIA!$DF$3:$DF$2300,0),COLUMN()-1),""))</f>
        <v/>
      </c>
      <c r="F211" s="120" t="str">
        <f ca="1">IF(IFERROR(INDEX((COPIA!$DA$3:$DE$2300),MATCH(ROWS(F$8:F211),COPIA!$DF$3:$DF$2300,0),COLUMN()-1),"")=0,"",IFERROR(INDEX((COPIA!$DA$3:$DE$2300),MATCH(ROWS(F$8:F211),COPIA!$DF$3:$DF$2300,0),COLUMN()-1),""))</f>
        <v/>
      </c>
    </row>
    <row r="212" spans="1:6">
      <c r="A212" s="12"/>
      <c r="B212" s="119" t="str">
        <f ca="1">IF(IFERROR(INDEX((COPIA!$DA$3:$DE$2300),MATCH(ROWS(B$8:B212),COPIA!$DF$3:$DF$2300,0),COLUMN()-1),"")&gt;=1,IFERROR(INDEX((COPIA!$DA$3:$DE$2300),MATCH(ROWS(B$8:B212),COPIA!$DF$3:$DF$2300,0),COLUMN()-1),""),"")</f>
        <v/>
      </c>
      <c r="C212" s="118" t="str">
        <f ca="1">SUBSTITUTE(IFERROR(INDEX((COPIA!$DA$3:$DE$2300),MATCH(ROWS(C$8:C212),COPIA!$DF$3:$DF$2300,0),COLUMN()-1),""),"MASTRO","")</f>
        <v/>
      </c>
      <c r="D212" s="29" t="str">
        <f ca="1">IF(IFERROR(INDEX((COPIA!$DA$3:$DE$2300),MATCH(ROWS(D$8:D212),COPIA!$DF$3:$DF$2300,0),COLUMN()-1),"")=0,"",IFERROR(INDEX((COPIA!$DA$3:$DE$2300),MATCH(ROWS(D$8:D212),COPIA!$DF$3:$DF$2300,0),COLUMN()-1),""))</f>
        <v/>
      </c>
      <c r="E212" s="45" t="str">
        <f ca="1">IF(IFERROR(INDEX((COPIA!$DA$3:$DE$2300),MATCH(ROWS(E$8:E212),COPIA!$DF$3:$DF$2300,0),COLUMN()-1),"")=0,"",IFERROR(INDEX((COPIA!$DA$3:$DE$2300),MATCH(ROWS(E$8:E212),COPIA!$DF$3:$DF$2300,0),COLUMN()-1),""))</f>
        <v/>
      </c>
      <c r="F212" s="120" t="str">
        <f ca="1">IF(IFERROR(INDEX((COPIA!$DA$3:$DE$2300),MATCH(ROWS(F$8:F212),COPIA!$DF$3:$DF$2300,0),COLUMN()-1),"")=0,"",IFERROR(INDEX((COPIA!$DA$3:$DE$2300),MATCH(ROWS(F$8:F212),COPIA!$DF$3:$DF$2300,0),COLUMN()-1),""))</f>
        <v/>
      </c>
    </row>
    <row r="213" spans="1:6">
      <c r="A213" s="12"/>
      <c r="B213" s="119" t="str">
        <f ca="1">IF(IFERROR(INDEX((COPIA!$DA$3:$DE$2300),MATCH(ROWS(B$8:B213),COPIA!$DF$3:$DF$2300,0),COLUMN()-1),"")&gt;=1,IFERROR(INDEX((COPIA!$DA$3:$DE$2300),MATCH(ROWS(B$8:B213),COPIA!$DF$3:$DF$2300,0),COLUMN()-1),""),"")</f>
        <v/>
      </c>
      <c r="C213" s="118" t="str">
        <f ca="1">SUBSTITUTE(IFERROR(INDEX((COPIA!$DA$3:$DE$2300),MATCH(ROWS(C$8:C213),COPIA!$DF$3:$DF$2300,0),COLUMN()-1),""),"MASTRO","")</f>
        <v/>
      </c>
      <c r="D213" s="29" t="str">
        <f ca="1">IF(IFERROR(INDEX((COPIA!$DA$3:$DE$2300),MATCH(ROWS(D$8:D213),COPIA!$DF$3:$DF$2300,0),COLUMN()-1),"")=0,"",IFERROR(INDEX((COPIA!$DA$3:$DE$2300),MATCH(ROWS(D$8:D213),COPIA!$DF$3:$DF$2300,0),COLUMN()-1),""))</f>
        <v/>
      </c>
      <c r="E213" s="45" t="str">
        <f ca="1">IF(IFERROR(INDEX((COPIA!$DA$3:$DE$2300),MATCH(ROWS(E$8:E213),COPIA!$DF$3:$DF$2300,0),COLUMN()-1),"")=0,"",IFERROR(INDEX((COPIA!$DA$3:$DE$2300),MATCH(ROWS(E$8:E213),COPIA!$DF$3:$DF$2300,0),COLUMN()-1),""))</f>
        <v/>
      </c>
      <c r="F213" s="120" t="str">
        <f ca="1">IF(IFERROR(INDEX((COPIA!$DA$3:$DE$2300),MATCH(ROWS(F$8:F213),COPIA!$DF$3:$DF$2300,0),COLUMN()-1),"")=0,"",IFERROR(INDEX((COPIA!$DA$3:$DE$2300),MATCH(ROWS(F$8:F213),COPIA!$DF$3:$DF$2300,0),COLUMN()-1),""))</f>
        <v/>
      </c>
    </row>
    <row r="214" spans="1:6">
      <c r="A214" s="12"/>
      <c r="B214" s="119" t="str">
        <f ca="1">IF(IFERROR(INDEX((COPIA!$DA$3:$DE$2300),MATCH(ROWS(B$8:B214),COPIA!$DF$3:$DF$2300,0),COLUMN()-1),"")&gt;=1,IFERROR(INDEX((COPIA!$DA$3:$DE$2300),MATCH(ROWS(B$8:B214),COPIA!$DF$3:$DF$2300,0),COLUMN()-1),""),"")</f>
        <v/>
      </c>
      <c r="C214" s="118" t="str">
        <f ca="1">SUBSTITUTE(IFERROR(INDEX((COPIA!$DA$3:$DE$2300),MATCH(ROWS(C$8:C214),COPIA!$DF$3:$DF$2300,0),COLUMN()-1),""),"MASTRO","")</f>
        <v/>
      </c>
      <c r="D214" s="29" t="str">
        <f ca="1">IF(IFERROR(INDEX((COPIA!$DA$3:$DE$2300),MATCH(ROWS(D$8:D214),COPIA!$DF$3:$DF$2300,0),COLUMN()-1),"")=0,"",IFERROR(INDEX((COPIA!$DA$3:$DE$2300),MATCH(ROWS(D$8:D214),COPIA!$DF$3:$DF$2300,0),COLUMN()-1),""))</f>
        <v/>
      </c>
      <c r="E214" s="45" t="str">
        <f ca="1">IF(IFERROR(INDEX((COPIA!$DA$3:$DE$2300),MATCH(ROWS(E$8:E214),COPIA!$DF$3:$DF$2300,0),COLUMN()-1),"")=0,"",IFERROR(INDEX((COPIA!$DA$3:$DE$2300),MATCH(ROWS(E$8:E214),COPIA!$DF$3:$DF$2300,0),COLUMN()-1),""))</f>
        <v/>
      </c>
      <c r="F214" s="120" t="str">
        <f ca="1">IF(IFERROR(INDEX((COPIA!$DA$3:$DE$2300),MATCH(ROWS(F$8:F214),COPIA!$DF$3:$DF$2300,0),COLUMN()-1),"")=0,"",IFERROR(INDEX((COPIA!$DA$3:$DE$2300),MATCH(ROWS(F$8:F214),COPIA!$DF$3:$DF$2300,0),COLUMN()-1),""))</f>
        <v/>
      </c>
    </row>
    <row r="215" spans="1:6">
      <c r="A215" s="12"/>
      <c r="B215" s="119" t="str">
        <f ca="1">IF(IFERROR(INDEX((COPIA!$DA$3:$DE$2300),MATCH(ROWS(B$8:B215),COPIA!$DF$3:$DF$2300,0),COLUMN()-1),"")&gt;=1,IFERROR(INDEX((COPIA!$DA$3:$DE$2300),MATCH(ROWS(B$8:B215),COPIA!$DF$3:$DF$2300,0),COLUMN()-1),""),"")</f>
        <v/>
      </c>
      <c r="C215" s="118" t="str">
        <f ca="1">SUBSTITUTE(IFERROR(INDEX((COPIA!$DA$3:$DE$2300),MATCH(ROWS(C$8:C215),COPIA!$DF$3:$DF$2300,0),COLUMN()-1),""),"MASTRO","")</f>
        <v/>
      </c>
      <c r="D215" s="29" t="str">
        <f ca="1">IF(IFERROR(INDEX((COPIA!$DA$3:$DE$2300),MATCH(ROWS(D$8:D215),COPIA!$DF$3:$DF$2300,0),COLUMN()-1),"")=0,"",IFERROR(INDEX((COPIA!$DA$3:$DE$2300),MATCH(ROWS(D$8:D215),COPIA!$DF$3:$DF$2300,0),COLUMN()-1),""))</f>
        <v/>
      </c>
      <c r="E215" s="45" t="str">
        <f ca="1">IF(IFERROR(INDEX((COPIA!$DA$3:$DE$2300),MATCH(ROWS(E$8:E215),COPIA!$DF$3:$DF$2300,0),COLUMN()-1),"")=0,"",IFERROR(INDEX((COPIA!$DA$3:$DE$2300),MATCH(ROWS(E$8:E215),COPIA!$DF$3:$DF$2300,0),COLUMN()-1),""))</f>
        <v/>
      </c>
      <c r="F215" s="120" t="str">
        <f ca="1">IF(IFERROR(INDEX((COPIA!$DA$3:$DE$2300),MATCH(ROWS(F$8:F215),COPIA!$DF$3:$DF$2300,0),COLUMN()-1),"")=0,"",IFERROR(INDEX((COPIA!$DA$3:$DE$2300),MATCH(ROWS(F$8:F215),COPIA!$DF$3:$DF$2300,0),COLUMN()-1),""))</f>
        <v/>
      </c>
    </row>
    <row r="216" spans="1:6">
      <c r="A216" s="12"/>
      <c r="B216" s="119" t="str">
        <f ca="1">IF(IFERROR(INDEX((COPIA!$DA$3:$DE$2300),MATCH(ROWS(B$8:B216),COPIA!$DF$3:$DF$2300,0),COLUMN()-1),"")&gt;=1,IFERROR(INDEX((COPIA!$DA$3:$DE$2300),MATCH(ROWS(B$8:B216),COPIA!$DF$3:$DF$2300,0),COLUMN()-1),""),"")</f>
        <v/>
      </c>
      <c r="C216" s="118" t="str">
        <f ca="1">SUBSTITUTE(IFERROR(INDEX((COPIA!$DA$3:$DE$2300),MATCH(ROWS(C$8:C216),COPIA!$DF$3:$DF$2300,0),COLUMN()-1),""),"MASTRO","")</f>
        <v/>
      </c>
      <c r="D216" s="29" t="str">
        <f ca="1">IF(IFERROR(INDEX((COPIA!$DA$3:$DE$2300),MATCH(ROWS(D$8:D216),COPIA!$DF$3:$DF$2300,0),COLUMN()-1),"")=0,"",IFERROR(INDEX((COPIA!$DA$3:$DE$2300),MATCH(ROWS(D$8:D216),COPIA!$DF$3:$DF$2300,0),COLUMN()-1),""))</f>
        <v/>
      </c>
      <c r="E216" s="45" t="str">
        <f ca="1">IF(IFERROR(INDEX((COPIA!$DA$3:$DE$2300),MATCH(ROWS(E$8:E216),COPIA!$DF$3:$DF$2300,0),COLUMN()-1),"")=0,"",IFERROR(INDEX((COPIA!$DA$3:$DE$2300),MATCH(ROWS(E$8:E216),COPIA!$DF$3:$DF$2300,0),COLUMN()-1),""))</f>
        <v/>
      </c>
      <c r="F216" s="120" t="str">
        <f ca="1">IF(IFERROR(INDEX((COPIA!$DA$3:$DE$2300),MATCH(ROWS(F$8:F216),COPIA!$DF$3:$DF$2300,0),COLUMN()-1),"")=0,"",IFERROR(INDEX((COPIA!$DA$3:$DE$2300),MATCH(ROWS(F$8:F216),COPIA!$DF$3:$DF$2300,0),COLUMN()-1),""))</f>
        <v/>
      </c>
    </row>
    <row r="217" spans="1:6">
      <c r="A217" s="12"/>
      <c r="B217" s="119" t="str">
        <f ca="1">IF(IFERROR(INDEX((COPIA!$DA$3:$DE$2300),MATCH(ROWS(B$8:B217),COPIA!$DF$3:$DF$2300,0),COLUMN()-1),"")&gt;=1,IFERROR(INDEX((COPIA!$DA$3:$DE$2300),MATCH(ROWS(B$8:B217),COPIA!$DF$3:$DF$2300,0),COLUMN()-1),""),"")</f>
        <v/>
      </c>
      <c r="C217" s="118" t="str">
        <f ca="1">SUBSTITUTE(IFERROR(INDEX((COPIA!$DA$3:$DE$2300),MATCH(ROWS(C$8:C217),COPIA!$DF$3:$DF$2300,0),COLUMN()-1),""),"MASTRO","")</f>
        <v/>
      </c>
      <c r="D217" s="29" t="str">
        <f ca="1">IF(IFERROR(INDEX((COPIA!$DA$3:$DE$2300),MATCH(ROWS(D$8:D217),COPIA!$DF$3:$DF$2300,0),COLUMN()-1),"")=0,"",IFERROR(INDEX((COPIA!$DA$3:$DE$2300),MATCH(ROWS(D$8:D217),COPIA!$DF$3:$DF$2300,0),COLUMN()-1),""))</f>
        <v/>
      </c>
      <c r="E217" s="45" t="str">
        <f ca="1">IF(IFERROR(INDEX((COPIA!$DA$3:$DE$2300),MATCH(ROWS(E$8:E217),COPIA!$DF$3:$DF$2300,0),COLUMN()-1),"")=0,"",IFERROR(INDEX((COPIA!$DA$3:$DE$2300),MATCH(ROWS(E$8:E217),COPIA!$DF$3:$DF$2300,0),COLUMN()-1),""))</f>
        <v/>
      </c>
      <c r="F217" s="120" t="str">
        <f ca="1">IF(IFERROR(INDEX((COPIA!$DA$3:$DE$2300),MATCH(ROWS(F$8:F217),COPIA!$DF$3:$DF$2300,0),COLUMN()-1),"")=0,"",IFERROR(INDEX((COPIA!$DA$3:$DE$2300),MATCH(ROWS(F$8:F217),COPIA!$DF$3:$DF$2300,0),COLUMN()-1),""))</f>
        <v/>
      </c>
    </row>
    <row r="218" spans="1:6">
      <c r="A218" s="12"/>
      <c r="B218" s="119" t="str">
        <f ca="1">IF(IFERROR(INDEX((COPIA!$DA$3:$DE$2300),MATCH(ROWS(B$8:B218),COPIA!$DF$3:$DF$2300,0),COLUMN()-1),"")&gt;=1,IFERROR(INDEX((COPIA!$DA$3:$DE$2300),MATCH(ROWS(B$8:B218),COPIA!$DF$3:$DF$2300,0),COLUMN()-1),""),"")</f>
        <v/>
      </c>
      <c r="C218" s="118" t="str">
        <f ca="1">SUBSTITUTE(IFERROR(INDEX((COPIA!$DA$3:$DE$2300),MATCH(ROWS(C$8:C218),COPIA!$DF$3:$DF$2300,0),COLUMN()-1),""),"MASTRO","")</f>
        <v/>
      </c>
      <c r="D218" s="29" t="str">
        <f ca="1">IF(IFERROR(INDEX((COPIA!$DA$3:$DE$2300),MATCH(ROWS(D$8:D218),COPIA!$DF$3:$DF$2300,0),COLUMN()-1),"")=0,"",IFERROR(INDEX((COPIA!$DA$3:$DE$2300),MATCH(ROWS(D$8:D218),COPIA!$DF$3:$DF$2300,0),COLUMN()-1),""))</f>
        <v/>
      </c>
      <c r="E218" s="45" t="str">
        <f ca="1">IF(IFERROR(INDEX((COPIA!$DA$3:$DE$2300),MATCH(ROWS(E$8:E218),COPIA!$DF$3:$DF$2300,0),COLUMN()-1),"")=0,"",IFERROR(INDEX((COPIA!$DA$3:$DE$2300),MATCH(ROWS(E$8:E218),COPIA!$DF$3:$DF$2300,0),COLUMN()-1),""))</f>
        <v/>
      </c>
      <c r="F218" s="120" t="str">
        <f ca="1">IF(IFERROR(INDEX((COPIA!$DA$3:$DE$2300),MATCH(ROWS(F$8:F218),COPIA!$DF$3:$DF$2300,0),COLUMN()-1),"")=0,"",IFERROR(INDEX((COPIA!$DA$3:$DE$2300),MATCH(ROWS(F$8:F218),COPIA!$DF$3:$DF$2300,0),COLUMN()-1),""))</f>
        <v/>
      </c>
    </row>
    <row r="219" spans="1:6">
      <c r="A219" s="12"/>
      <c r="B219" s="119" t="str">
        <f ca="1">IF(IFERROR(INDEX((COPIA!$DA$3:$DE$2300),MATCH(ROWS(B$8:B219),COPIA!$DF$3:$DF$2300,0),COLUMN()-1),"")&gt;=1,IFERROR(INDEX((COPIA!$DA$3:$DE$2300),MATCH(ROWS(B$8:B219),COPIA!$DF$3:$DF$2300,0),COLUMN()-1),""),"")</f>
        <v/>
      </c>
      <c r="C219" s="118" t="str">
        <f ca="1">SUBSTITUTE(IFERROR(INDEX((COPIA!$DA$3:$DE$2300),MATCH(ROWS(C$8:C219),COPIA!$DF$3:$DF$2300,0),COLUMN()-1),""),"MASTRO","")</f>
        <v/>
      </c>
      <c r="D219" s="29" t="str">
        <f ca="1">IF(IFERROR(INDEX((COPIA!$DA$3:$DE$2300),MATCH(ROWS(D$8:D219),COPIA!$DF$3:$DF$2300,0),COLUMN()-1),"")=0,"",IFERROR(INDEX((COPIA!$DA$3:$DE$2300),MATCH(ROWS(D$8:D219),COPIA!$DF$3:$DF$2300,0),COLUMN()-1),""))</f>
        <v/>
      </c>
      <c r="E219" s="45" t="str">
        <f ca="1">IF(IFERROR(INDEX((COPIA!$DA$3:$DE$2300),MATCH(ROWS(E$8:E219),COPIA!$DF$3:$DF$2300,0),COLUMN()-1),"")=0,"",IFERROR(INDEX((COPIA!$DA$3:$DE$2300),MATCH(ROWS(E$8:E219),COPIA!$DF$3:$DF$2300,0),COLUMN()-1),""))</f>
        <v/>
      </c>
      <c r="F219" s="120" t="str">
        <f ca="1">IF(IFERROR(INDEX((COPIA!$DA$3:$DE$2300),MATCH(ROWS(F$8:F219),COPIA!$DF$3:$DF$2300,0),COLUMN()-1),"")=0,"",IFERROR(INDEX((COPIA!$DA$3:$DE$2300),MATCH(ROWS(F$8:F219),COPIA!$DF$3:$DF$2300,0),COLUMN()-1),""))</f>
        <v/>
      </c>
    </row>
    <row r="220" spans="1:6">
      <c r="A220" s="12"/>
      <c r="B220" s="119" t="str">
        <f ca="1">IF(IFERROR(INDEX((COPIA!$DA$3:$DE$2300),MATCH(ROWS(B$8:B220),COPIA!$DF$3:$DF$2300,0),COLUMN()-1),"")&gt;=1,IFERROR(INDEX((COPIA!$DA$3:$DE$2300),MATCH(ROWS(B$8:B220),COPIA!$DF$3:$DF$2300,0),COLUMN()-1),""),"")</f>
        <v/>
      </c>
      <c r="C220" s="118" t="str">
        <f ca="1">SUBSTITUTE(IFERROR(INDEX((COPIA!$DA$3:$DE$2300),MATCH(ROWS(C$8:C220),COPIA!$DF$3:$DF$2300,0),COLUMN()-1),""),"MASTRO","")</f>
        <v/>
      </c>
      <c r="D220" s="29" t="str">
        <f ca="1">IF(IFERROR(INDEX((COPIA!$DA$3:$DE$2300),MATCH(ROWS(D$8:D220),COPIA!$DF$3:$DF$2300,0),COLUMN()-1),"")=0,"",IFERROR(INDEX((COPIA!$DA$3:$DE$2300),MATCH(ROWS(D$8:D220),COPIA!$DF$3:$DF$2300,0),COLUMN()-1),""))</f>
        <v/>
      </c>
      <c r="E220" s="45" t="str">
        <f ca="1">IF(IFERROR(INDEX((COPIA!$DA$3:$DE$2300),MATCH(ROWS(E$8:E220),COPIA!$DF$3:$DF$2300,0),COLUMN()-1),"")=0,"",IFERROR(INDEX((COPIA!$DA$3:$DE$2300),MATCH(ROWS(E$8:E220),COPIA!$DF$3:$DF$2300,0),COLUMN()-1),""))</f>
        <v/>
      </c>
      <c r="F220" s="120" t="str">
        <f ca="1">IF(IFERROR(INDEX((COPIA!$DA$3:$DE$2300),MATCH(ROWS(F$8:F220),COPIA!$DF$3:$DF$2300,0),COLUMN()-1),"")=0,"",IFERROR(INDEX((COPIA!$DA$3:$DE$2300),MATCH(ROWS(F$8:F220),COPIA!$DF$3:$DF$2300,0),COLUMN()-1),""))</f>
        <v/>
      </c>
    </row>
    <row r="221" spans="1:6">
      <c r="A221" s="12"/>
      <c r="B221" s="119" t="str">
        <f ca="1">IF(IFERROR(INDEX((COPIA!$DA$3:$DE$2300),MATCH(ROWS(B$8:B221),COPIA!$DF$3:$DF$2300,0),COLUMN()-1),"")&gt;=1,IFERROR(INDEX((COPIA!$DA$3:$DE$2300),MATCH(ROWS(B$8:B221),COPIA!$DF$3:$DF$2300,0),COLUMN()-1),""),"")</f>
        <v/>
      </c>
      <c r="C221" s="118" t="str">
        <f ca="1">SUBSTITUTE(IFERROR(INDEX((COPIA!$DA$3:$DE$2300),MATCH(ROWS(C$8:C221),COPIA!$DF$3:$DF$2300,0),COLUMN()-1),""),"MASTRO","")</f>
        <v/>
      </c>
      <c r="D221" s="29" t="str">
        <f ca="1">IF(IFERROR(INDEX((COPIA!$DA$3:$DE$2300),MATCH(ROWS(D$8:D221),COPIA!$DF$3:$DF$2300,0),COLUMN()-1),"")=0,"",IFERROR(INDEX((COPIA!$DA$3:$DE$2300),MATCH(ROWS(D$8:D221),COPIA!$DF$3:$DF$2300,0),COLUMN()-1),""))</f>
        <v/>
      </c>
      <c r="E221" s="45" t="str">
        <f ca="1">IF(IFERROR(INDEX((COPIA!$DA$3:$DE$2300),MATCH(ROWS(E$8:E221),COPIA!$DF$3:$DF$2300,0),COLUMN()-1),"")=0,"",IFERROR(INDEX((COPIA!$DA$3:$DE$2300),MATCH(ROWS(E$8:E221),COPIA!$DF$3:$DF$2300,0),COLUMN()-1),""))</f>
        <v/>
      </c>
      <c r="F221" s="120" t="str">
        <f ca="1">IF(IFERROR(INDEX((COPIA!$DA$3:$DE$2300),MATCH(ROWS(F$8:F221),COPIA!$DF$3:$DF$2300,0),COLUMN()-1),"")=0,"",IFERROR(INDEX((COPIA!$DA$3:$DE$2300),MATCH(ROWS(F$8:F221),COPIA!$DF$3:$DF$2300,0),COLUMN()-1),""))</f>
        <v/>
      </c>
    </row>
    <row r="222" spans="1:6">
      <c r="A222" s="12"/>
      <c r="B222" s="119" t="str">
        <f ca="1">IF(IFERROR(INDEX((COPIA!$DA$3:$DE$2300),MATCH(ROWS(B$8:B222),COPIA!$DF$3:$DF$2300,0),COLUMN()-1),"")&gt;=1,IFERROR(INDEX((COPIA!$DA$3:$DE$2300),MATCH(ROWS(B$8:B222),COPIA!$DF$3:$DF$2300,0),COLUMN()-1),""),"")</f>
        <v/>
      </c>
      <c r="C222" s="118" t="str">
        <f ca="1">SUBSTITUTE(IFERROR(INDEX((COPIA!$DA$3:$DE$2300),MATCH(ROWS(C$8:C222),COPIA!$DF$3:$DF$2300,0),COLUMN()-1),""),"MASTRO","")</f>
        <v/>
      </c>
      <c r="D222" s="29" t="str">
        <f ca="1">IF(IFERROR(INDEX((COPIA!$DA$3:$DE$2300),MATCH(ROWS(D$8:D222),COPIA!$DF$3:$DF$2300,0),COLUMN()-1),"")=0,"",IFERROR(INDEX((COPIA!$DA$3:$DE$2300),MATCH(ROWS(D$8:D222),COPIA!$DF$3:$DF$2300,0),COLUMN()-1),""))</f>
        <v/>
      </c>
      <c r="E222" s="45" t="str">
        <f ca="1">IF(IFERROR(INDEX((COPIA!$DA$3:$DE$2300),MATCH(ROWS(E$8:E222),COPIA!$DF$3:$DF$2300,0),COLUMN()-1),"")=0,"",IFERROR(INDEX((COPIA!$DA$3:$DE$2300),MATCH(ROWS(E$8:E222),COPIA!$DF$3:$DF$2300,0),COLUMN()-1),""))</f>
        <v/>
      </c>
      <c r="F222" s="120" t="str">
        <f ca="1">IF(IFERROR(INDEX((COPIA!$DA$3:$DE$2300),MATCH(ROWS(F$8:F222),COPIA!$DF$3:$DF$2300,0),COLUMN()-1),"")=0,"",IFERROR(INDEX((COPIA!$DA$3:$DE$2300),MATCH(ROWS(F$8:F222),COPIA!$DF$3:$DF$2300,0),COLUMN()-1),""))</f>
        <v/>
      </c>
    </row>
    <row r="223" spans="1:6">
      <c r="A223" s="12"/>
      <c r="B223" s="119" t="str">
        <f ca="1">IF(IFERROR(INDEX((COPIA!$DA$3:$DE$2300),MATCH(ROWS(B$8:B223),COPIA!$DF$3:$DF$2300,0),COLUMN()-1),"")&gt;=1,IFERROR(INDEX((COPIA!$DA$3:$DE$2300),MATCH(ROWS(B$8:B223),COPIA!$DF$3:$DF$2300,0),COLUMN()-1),""),"")</f>
        <v/>
      </c>
      <c r="C223" s="118" t="str">
        <f ca="1">SUBSTITUTE(IFERROR(INDEX((COPIA!$DA$3:$DE$2300),MATCH(ROWS(C$8:C223),COPIA!$DF$3:$DF$2300,0),COLUMN()-1),""),"MASTRO","")</f>
        <v/>
      </c>
      <c r="D223" s="29" t="str">
        <f ca="1">IF(IFERROR(INDEX((COPIA!$DA$3:$DE$2300),MATCH(ROWS(D$8:D223),COPIA!$DF$3:$DF$2300,0),COLUMN()-1),"")=0,"",IFERROR(INDEX((COPIA!$DA$3:$DE$2300),MATCH(ROWS(D$8:D223),COPIA!$DF$3:$DF$2300,0),COLUMN()-1),""))</f>
        <v/>
      </c>
      <c r="E223" s="45" t="str">
        <f ca="1">IF(IFERROR(INDEX((COPIA!$DA$3:$DE$2300),MATCH(ROWS(E$8:E223),COPIA!$DF$3:$DF$2300,0),COLUMN()-1),"")=0,"",IFERROR(INDEX((COPIA!$DA$3:$DE$2300),MATCH(ROWS(E$8:E223),COPIA!$DF$3:$DF$2300,0),COLUMN()-1),""))</f>
        <v/>
      </c>
      <c r="F223" s="120" t="str">
        <f ca="1">IF(IFERROR(INDEX((COPIA!$DA$3:$DE$2300),MATCH(ROWS(F$8:F223),COPIA!$DF$3:$DF$2300,0),COLUMN()-1),"")=0,"",IFERROR(INDEX((COPIA!$DA$3:$DE$2300),MATCH(ROWS(F$8:F223),COPIA!$DF$3:$DF$2300,0),COLUMN()-1),""))</f>
        <v/>
      </c>
    </row>
    <row r="224" spans="1:6">
      <c r="A224" s="12"/>
      <c r="B224" s="119" t="str">
        <f ca="1">IF(IFERROR(INDEX((COPIA!$DA$3:$DE$2300),MATCH(ROWS(B$8:B224),COPIA!$DF$3:$DF$2300,0),COLUMN()-1),"")&gt;=1,IFERROR(INDEX((COPIA!$DA$3:$DE$2300),MATCH(ROWS(B$8:B224),COPIA!$DF$3:$DF$2300,0),COLUMN()-1),""),"")</f>
        <v/>
      </c>
      <c r="C224" s="118" t="str">
        <f ca="1">SUBSTITUTE(IFERROR(INDEX((COPIA!$DA$3:$DE$2300),MATCH(ROWS(C$8:C224),COPIA!$DF$3:$DF$2300,0),COLUMN()-1),""),"MASTRO","")</f>
        <v/>
      </c>
      <c r="D224" s="29" t="str">
        <f ca="1">IF(IFERROR(INDEX((COPIA!$DA$3:$DE$2300),MATCH(ROWS(D$8:D224),COPIA!$DF$3:$DF$2300,0),COLUMN()-1),"")=0,"",IFERROR(INDEX((COPIA!$DA$3:$DE$2300),MATCH(ROWS(D$8:D224),COPIA!$DF$3:$DF$2300,0),COLUMN()-1),""))</f>
        <v/>
      </c>
      <c r="E224" s="45" t="str">
        <f ca="1">IF(IFERROR(INDEX((COPIA!$DA$3:$DE$2300),MATCH(ROWS(E$8:E224),COPIA!$DF$3:$DF$2300,0),COLUMN()-1),"")=0,"",IFERROR(INDEX((COPIA!$DA$3:$DE$2300),MATCH(ROWS(E$8:E224),COPIA!$DF$3:$DF$2300,0),COLUMN()-1),""))</f>
        <v/>
      </c>
      <c r="F224" s="120" t="str">
        <f ca="1">IF(IFERROR(INDEX((COPIA!$DA$3:$DE$2300),MATCH(ROWS(F$8:F224),COPIA!$DF$3:$DF$2300,0),COLUMN()-1),"")=0,"",IFERROR(INDEX((COPIA!$DA$3:$DE$2300),MATCH(ROWS(F$8:F224),COPIA!$DF$3:$DF$2300,0),COLUMN()-1),""))</f>
        <v/>
      </c>
    </row>
    <row r="225" spans="1:6">
      <c r="A225" s="12"/>
      <c r="B225" s="119" t="str">
        <f ca="1">IF(IFERROR(INDEX((COPIA!$DA$3:$DE$2300),MATCH(ROWS(B$8:B225),COPIA!$DF$3:$DF$2300,0),COLUMN()-1),"")&gt;=1,IFERROR(INDEX((COPIA!$DA$3:$DE$2300),MATCH(ROWS(B$8:B225),COPIA!$DF$3:$DF$2300,0),COLUMN()-1),""),"")</f>
        <v/>
      </c>
      <c r="C225" s="118" t="str">
        <f ca="1">SUBSTITUTE(IFERROR(INDEX((COPIA!$DA$3:$DE$2300),MATCH(ROWS(C$8:C225),COPIA!$DF$3:$DF$2300,0),COLUMN()-1),""),"MASTRO","")</f>
        <v/>
      </c>
      <c r="D225" s="29" t="str">
        <f ca="1">IF(IFERROR(INDEX((COPIA!$DA$3:$DE$2300),MATCH(ROWS(D$8:D225),COPIA!$DF$3:$DF$2300,0),COLUMN()-1),"")=0,"",IFERROR(INDEX((COPIA!$DA$3:$DE$2300),MATCH(ROWS(D$8:D225),COPIA!$DF$3:$DF$2300,0),COLUMN()-1),""))</f>
        <v/>
      </c>
      <c r="E225" s="45" t="str">
        <f ca="1">IF(IFERROR(INDEX((COPIA!$DA$3:$DE$2300),MATCH(ROWS(E$8:E225),COPIA!$DF$3:$DF$2300,0),COLUMN()-1),"")=0,"",IFERROR(INDEX((COPIA!$DA$3:$DE$2300),MATCH(ROWS(E$8:E225),COPIA!$DF$3:$DF$2300,0),COLUMN()-1),""))</f>
        <v/>
      </c>
      <c r="F225" s="120" t="str">
        <f ca="1">IF(IFERROR(INDEX((COPIA!$DA$3:$DE$2300),MATCH(ROWS(F$8:F225),COPIA!$DF$3:$DF$2300,0),COLUMN()-1),"")=0,"",IFERROR(INDEX((COPIA!$DA$3:$DE$2300),MATCH(ROWS(F$8:F225),COPIA!$DF$3:$DF$2300,0),COLUMN()-1),""))</f>
        <v/>
      </c>
    </row>
    <row r="226" spans="1:6">
      <c r="B226" s="119" t="str">
        <f ca="1">IF(IFERROR(INDEX((COPIA!$DA$3:$DE$2300),MATCH(ROWS(B$8:B226),COPIA!$DF$3:$DF$2300,0),COLUMN()-1),"")&gt;=1,IFERROR(INDEX((COPIA!$DA$3:$DE$2300),MATCH(ROWS(B$8:B226),COPIA!$DF$3:$DF$2300,0),COLUMN()-1),""),"")</f>
        <v/>
      </c>
      <c r="C226" s="118" t="str">
        <f ca="1">SUBSTITUTE(IFERROR(INDEX((COPIA!$DA$3:$DE$2300),MATCH(ROWS(C$8:C226),COPIA!$DF$3:$DF$2300,0),COLUMN()-1),""),"MASTRO","")</f>
        <v/>
      </c>
      <c r="D226" s="29" t="str">
        <f ca="1">IF(IFERROR(INDEX((COPIA!$DA$3:$DE$2300),MATCH(ROWS(D$8:D226),COPIA!$DF$3:$DF$2300,0),COLUMN()-1),"")=0,"",IFERROR(INDEX((COPIA!$DA$3:$DE$2300),MATCH(ROWS(D$8:D226),COPIA!$DF$3:$DF$2300,0),COLUMN()-1),""))</f>
        <v/>
      </c>
      <c r="E226" s="45" t="str">
        <f ca="1">IF(IFERROR(INDEX((COPIA!$DA$3:$DE$2300),MATCH(ROWS(E$8:E226),COPIA!$DF$3:$DF$2300,0),COLUMN()-1),"")=0,"",IFERROR(INDEX((COPIA!$DA$3:$DE$2300),MATCH(ROWS(E$8:E226),COPIA!$DF$3:$DF$2300,0),COLUMN()-1),""))</f>
        <v/>
      </c>
      <c r="F226" s="120" t="str">
        <f ca="1">IF(IFERROR(INDEX((COPIA!$DA$3:$DE$2300),MATCH(ROWS(F$8:F226),COPIA!$DF$3:$DF$2300,0),COLUMN()-1),"")=0,"",IFERROR(INDEX((COPIA!$DA$3:$DE$2300),MATCH(ROWS(F$8:F226),COPIA!$DF$3:$DF$2300,0),COLUMN()-1),""))</f>
        <v/>
      </c>
    </row>
    <row r="227" spans="1:6">
      <c r="B227" s="119" t="str">
        <f ca="1">IF(IFERROR(INDEX((COPIA!$DA$3:$DE$2300),MATCH(ROWS(B$8:B227),COPIA!$DF$3:$DF$2300,0),COLUMN()-1),"")&gt;=1,IFERROR(INDEX((COPIA!$DA$3:$DE$2300),MATCH(ROWS(B$8:B227),COPIA!$DF$3:$DF$2300,0),COLUMN()-1),""),"")</f>
        <v/>
      </c>
      <c r="C227" s="118" t="str">
        <f ca="1">SUBSTITUTE(IFERROR(INDEX((COPIA!$DA$3:$DE$2300),MATCH(ROWS(C$8:C227),COPIA!$DF$3:$DF$2300,0),COLUMN()-1),""),"MASTRO","")</f>
        <v/>
      </c>
      <c r="D227" s="29" t="str">
        <f ca="1">IF(IFERROR(INDEX((COPIA!$DA$3:$DE$2300),MATCH(ROWS(D$8:D227),COPIA!$DF$3:$DF$2300,0),COLUMN()-1),"")=0,"",IFERROR(INDEX((COPIA!$DA$3:$DE$2300),MATCH(ROWS(D$8:D227),COPIA!$DF$3:$DF$2300,0),COLUMN()-1),""))</f>
        <v/>
      </c>
      <c r="E227" s="45" t="str">
        <f ca="1">IF(IFERROR(INDEX((COPIA!$DA$3:$DE$2300),MATCH(ROWS(E$8:E227),COPIA!$DF$3:$DF$2300,0),COLUMN()-1),"")=0,"",IFERROR(INDEX((COPIA!$DA$3:$DE$2300),MATCH(ROWS(E$8:E227),COPIA!$DF$3:$DF$2300,0),COLUMN()-1),""))</f>
        <v/>
      </c>
      <c r="F227" s="120" t="str">
        <f ca="1">IF(IFERROR(INDEX((COPIA!$DA$3:$DE$2300),MATCH(ROWS(F$8:F227),COPIA!$DF$3:$DF$2300,0),COLUMN()-1),"")=0,"",IFERROR(INDEX((COPIA!$DA$3:$DE$2300),MATCH(ROWS(F$8:F227),COPIA!$DF$3:$DF$2300,0),COLUMN()-1),""))</f>
        <v/>
      </c>
    </row>
    <row r="228" spans="1:6">
      <c r="B228" s="119" t="str">
        <f ca="1">IF(IFERROR(INDEX((COPIA!$DA$3:$DE$2300),MATCH(ROWS(B$8:B228),COPIA!$DF$3:$DF$2300,0),COLUMN()-1),"")&gt;=1,IFERROR(INDEX((COPIA!$DA$3:$DE$2300),MATCH(ROWS(B$8:B228),COPIA!$DF$3:$DF$2300,0),COLUMN()-1),""),"")</f>
        <v/>
      </c>
      <c r="C228" s="118" t="str">
        <f ca="1">SUBSTITUTE(IFERROR(INDEX((COPIA!$DA$3:$DE$2300),MATCH(ROWS(C$8:C228),COPIA!$DF$3:$DF$2300,0),COLUMN()-1),""),"MASTRO","")</f>
        <v/>
      </c>
      <c r="D228" s="29" t="str">
        <f ca="1">IF(IFERROR(INDEX((COPIA!$DA$3:$DE$2300),MATCH(ROWS(D$8:D228),COPIA!$DF$3:$DF$2300,0),COLUMN()-1),"")=0,"",IFERROR(INDEX((COPIA!$DA$3:$DE$2300),MATCH(ROWS(D$8:D228),COPIA!$DF$3:$DF$2300,0),COLUMN()-1),""))</f>
        <v/>
      </c>
      <c r="E228" s="45" t="str">
        <f ca="1">IF(IFERROR(INDEX((COPIA!$DA$3:$DE$2300),MATCH(ROWS(E$8:E228),COPIA!$DF$3:$DF$2300,0),COLUMN()-1),"")=0,"",IFERROR(INDEX((COPIA!$DA$3:$DE$2300),MATCH(ROWS(E$8:E228),COPIA!$DF$3:$DF$2300,0),COLUMN()-1),""))</f>
        <v/>
      </c>
      <c r="F228" s="120" t="str">
        <f ca="1">IF(IFERROR(INDEX((COPIA!$DA$3:$DE$2300),MATCH(ROWS(F$8:F228),COPIA!$DF$3:$DF$2300,0),COLUMN()-1),"")=0,"",IFERROR(INDEX((COPIA!$DA$3:$DE$2300),MATCH(ROWS(F$8:F228),COPIA!$DF$3:$DF$2300,0),COLUMN()-1),""))</f>
        <v/>
      </c>
    </row>
    <row r="229" spans="1:6">
      <c r="B229" s="119" t="str">
        <f ca="1">IF(IFERROR(INDEX((COPIA!$DA$3:$DE$2300),MATCH(ROWS(B$8:B229),COPIA!$DF$3:$DF$2300,0),COLUMN()-1),"")&gt;=1,IFERROR(INDEX((COPIA!$DA$3:$DE$2300),MATCH(ROWS(B$8:B229),COPIA!$DF$3:$DF$2300,0),COLUMN()-1),""),"")</f>
        <v/>
      </c>
      <c r="C229" s="118" t="str">
        <f ca="1">SUBSTITUTE(IFERROR(INDEX((COPIA!$DA$3:$DE$2300),MATCH(ROWS(C$8:C229),COPIA!$DF$3:$DF$2300,0),COLUMN()-1),""),"MASTRO","")</f>
        <v/>
      </c>
      <c r="D229" s="29" t="str">
        <f ca="1">IF(IFERROR(INDEX((COPIA!$DA$3:$DE$2300),MATCH(ROWS(D$8:D229),COPIA!$DF$3:$DF$2300,0),COLUMN()-1),"")=0,"",IFERROR(INDEX((COPIA!$DA$3:$DE$2300),MATCH(ROWS(D$8:D229),COPIA!$DF$3:$DF$2300,0),COLUMN()-1),""))</f>
        <v/>
      </c>
      <c r="E229" s="45" t="str">
        <f ca="1">IF(IFERROR(INDEX((COPIA!$DA$3:$DE$2300),MATCH(ROWS(E$8:E229),COPIA!$DF$3:$DF$2300,0),COLUMN()-1),"")=0,"",IFERROR(INDEX((COPIA!$DA$3:$DE$2300),MATCH(ROWS(E$8:E229),COPIA!$DF$3:$DF$2300,0),COLUMN()-1),""))</f>
        <v/>
      </c>
      <c r="F229" s="120" t="str">
        <f ca="1">IF(IFERROR(INDEX((COPIA!$DA$3:$DE$2300),MATCH(ROWS(F$8:F229),COPIA!$DF$3:$DF$2300,0),COLUMN()-1),"")=0,"",IFERROR(INDEX((COPIA!$DA$3:$DE$2300),MATCH(ROWS(F$8:F229),COPIA!$DF$3:$DF$2300,0),COLUMN()-1),""))</f>
        <v/>
      </c>
    </row>
    <row r="230" spans="1:6">
      <c r="B230" s="119" t="str">
        <f ca="1">IF(IFERROR(INDEX((COPIA!$DA$3:$DE$2300),MATCH(ROWS(B$8:B230),COPIA!$DF$3:$DF$2300,0),COLUMN()-1),"")&gt;=1,IFERROR(INDEX((COPIA!$DA$3:$DE$2300),MATCH(ROWS(B$8:B230),COPIA!$DF$3:$DF$2300,0),COLUMN()-1),""),"")</f>
        <v/>
      </c>
      <c r="C230" s="118" t="str">
        <f ca="1">SUBSTITUTE(IFERROR(INDEX((COPIA!$DA$3:$DE$2300),MATCH(ROWS(C$8:C230),COPIA!$DF$3:$DF$2300,0),COLUMN()-1),""),"MASTRO","")</f>
        <v/>
      </c>
      <c r="D230" s="29" t="str">
        <f ca="1">IF(IFERROR(INDEX((COPIA!$DA$3:$DE$2300),MATCH(ROWS(D$8:D230),COPIA!$DF$3:$DF$2300,0),COLUMN()-1),"")=0,"",IFERROR(INDEX((COPIA!$DA$3:$DE$2300),MATCH(ROWS(D$8:D230),COPIA!$DF$3:$DF$2300,0),COLUMN()-1),""))</f>
        <v/>
      </c>
      <c r="E230" s="45" t="str">
        <f ca="1">IF(IFERROR(INDEX((COPIA!$DA$3:$DE$2300),MATCH(ROWS(E$8:E230),COPIA!$DF$3:$DF$2300,0),COLUMN()-1),"")=0,"",IFERROR(INDEX((COPIA!$DA$3:$DE$2300),MATCH(ROWS(E$8:E230),COPIA!$DF$3:$DF$2300,0),COLUMN()-1),""))</f>
        <v/>
      </c>
      <c r="F230" s="120" t="str">
        <f ca="1">IF(IFERROR(INDEX((COPIA!$DA$3:$DE$2300),MATCH(ROWS(F$8:F230),COPIA!$DF$3:$DF$2300,0),COLUMN()-1),"")=0,"",IFERROR(INDEX((COPIA!$DA$3:$DE$2300),MATCH(ROWS(F$8:F230),COPIA!$DF$3:$DF$2300,0),COLUMN()-1),""))</f>
        <v/>
      </c>
    </row>
    <row r="231" spans="1:6">
      <c r="B231" s="119" t="str">
        <f ca="1">IF(IFERROR(INDEX((COPIA!$DA$3:$DE$2300),MATCH(ROWS(B$8:B231),COPIA!$DF$3:$DF$2300,0),COLUMN()-1),"")&gt;=1,IFERROR(INDEX((COPIA!$DA$3:$DE$2300),MATCH(ROWS(B$8:B231),COPIA!$DF$3:$DF$2300,0),COLUMN()-1),""),"")</f>
        <v/>
      </c>
      <c r="C231" s="118" t="str">
        <f ca="1">SUBSTITUTE(IFERROR(INDEX((COPIA!$DA$3:$DE$2300),MATCH(ROWS(C$8:C231),COPIA!$DF$3:$DF$2300,0),COLUMN()-1),""),"MASTRO","")</f>
        <v/>
      </c>
      <c r="D231" s="29" t="str">
        <f ca="1">IF(IFERROR(INDEX((COPIA!$DA$3:$DE$2300),MATCH(ROWS(D$8:D231),COPIA!$DF$3:$DF$2300,0),COLUMN()-1),"")=0,"",IFERROR(INDEX((COPIA!$DA$3:$DE$2300),MATCH(ROWS(D$8:D231),COPIA!$DF$3:$DF$2300,0),COLUMN()-1),""))</f>
        <v/>
      </c>
      <c r="E231" s="45" t="str">
        <f ca="1">IF(IFERROR(INDEX((COPIA!$DA$3:$DE$2300),MATCH(ROWS(E$8:E231),COPIA!$DF$3:$DF$2300,0),COLUMN()-1),"")=0,"",IFERROR(INDEX((COPIA!$DA$3:$DE$2300),MATCH(ROWS(E$8:E231),COPIA!$DF$3:$DF$2300,0),COLUMN()-1),""))</f>
        <v/>
      </c>
      <c r="F231" s="120" t="str">
        <f ca="1">IF(IFERROR(INDEX((COPIA!$DA$3:$DE$2300),MATCH(ROWS(F$8:F231),COPIA!$DF$3:$DF$2300,0),COLUMN()-1),"")=0,"",IFERROR(INDEX((COPIA!$DA$3:$DE$2300),MATCH(ROWS(F$8:F231),COPIA!$DF$3:$DF$2300,0),COLUMN()-1),""))</f>
        <v/>
      </c>
    </row>
    <row r="232" spans="1:6">
      <c r="B232" s="119" t="str">
        <f ca="1">IF(IFERROR(INDEX((COPIA!$DA$3:$DE$2300),MATCH(ROWS(B$8:B232),COPIA!$DF$3:$DF$2300,0),COLUMN()-1),"")&gt;=1,IFERROR(INDEX((COPIA!$DA$3:$DE$2300),MATCH(ROWS(B$8:B232),COPIA!$DF$3:$DF$2300,0),COLUMN()-1),""),"")</f>
        <v/>
      </c>
      <c r="C232" s="118" t="str">
        <f ca="1">SUBSTITUTE(IFERROR(INDEX((COPIA!$DA$3:$DE$2300),MATCH(ROWS(C$8:C232),COPIA!$DF$3:$DF$2300,0),COLUMN()-1),""),"MASTRO","")</f>
        <v/>
      </c>
      <c r="D232" s="29" t="str">
        <f ca="1">IF(IFERROR(INDEX((COPIA!$DA$3:$DE$2300),MATCH(ROWS(D$8:D232),COPIA!$DF$3:$DF$2300,0),COLUMN()-1),"")=0,"",IFERROR(INDEX((COPIA!$DA$3:$DE$2300),MATCH(ROWS(D$8:D232),COPIA!$DF$3:$DF$2300,0),COLUMN()-1),""))</f>
        <v/>
      </c>
      <c r="E232" s="45" t="str">
        <f ca="1">IF(IFERROR(INDEX((COPIA!$DA$3:$DE$2300),MATCH(ROWS(E$8:E232),COPIA!$DF$3:$DF$2300,0),COLUMN()-1),"")=0,"",IFERROR(INDEX((COPIA!$DA$3:$DE$2300),MATCH(ROWS(E$8:E232),COPIA!$DF$3:$DF$2300,0),COLUMN()-1),""))</f>
        <v/>
      </c>
      <c r="F232" s="120" t="str">
        <f ca="1">IF(IFERROR(INDEX((COPIA!$DA$3:$DE$2300),MATCH(ROWS(F$8:F232),COPIA!$DF$3:$DF$2300,0),COLUMN()-1),"")=0,"",IFERROR(INDEX((COPIA!$DA$3:$DE$2300),MATCH(ROWS(F$8:F232),COPIA!$DF$3:$DF$2300,0),COLUMN()-1),""))</f>
        <v/>
      </c>
    </row>
    <row r="233" spans="1:6">
      <c r="B233" s="119" t="str">
        <f ca="1">IF(IFERROR(INDEX((COPIA!$DA$3:$DE$2300),MATCH(ROWS(B$8:B233),COPIA!$DF$3:$DF$2300,0),COLUMN()-1),"")&gt;=1,IFERROR(INDEX((COPIA!$DA$3:$DE$2300),MATCH(ROWS(B$8:B233),COPIA!$DF$3:$DF$2300,0),COLUMN()-1),""),"")</f>
        <v/>
      </c>
      <c r="C233" s="118" t="str">
        <f ca="1">SUBSTITUTE(IFERROR(INDEX((COPIA!$DA$3:$DE$2300),MATCH(ROWS(C$8:C233),COPIA!$DF$3:$DF$2300,0),COLUMN()-1),""),"MASTRO","")</f>
        <v/>
      </c>
      <c r="D233" s="29" t="str">
        <f ca="1">IF(IFERROR(INDEX((COPIA!$DA$3:$DE$2300),MATCH(ROWS(D$8:D233),COPIA!$DF$3:$DF$2300,0),COLUMN()-1),"")=0,"",IFERROR(INDEX((COPIA!$DA$3:$DE$2300),MATCH(ROWS(D$8:D233),COPIA!$DF$3:$DF$2300,0),COLUMN()-1),""))</f>
        <v/>
      </c>
      <c r="E233" s="45" t="str">
        <f ca="1">IF(IFERROR(INDEX((COPIA!$DA$3:$DE$2300),MATCH(ROWS(E$8:E233),COPIA!$DF$3:$DF$2300,0),COLUMN()-1),"")=0,"",IFERROR(INDEX((COPIA!$DA$3:$DE$2300),MATCH(ROWS(E$8:E233),COPIA!$DF$3:$DF$2300,0),COLUMN()-1),""))</f>
        <v/>
      </c>
      <c r="F233" s="120" t="str">
        <f ca="1">IF(IFERROR(INDEX((COPIA!$DA$3:$DE$2300),MATCH(ROWS(F$8:F233),COPIA!$DF$3:$DF$2300,0),COLUMN()-1),"")=0,"",IFERROR(INDEX((COPIA!$DA$3:$DE$2300),MATCH(ROWS(F$8:F233),COPIA!$DF$3:$DF$2300,0),COLUMN()-1),""))</f>
        <v/>
      </c>
    </row>
    <row r="234" spans="1:6">
      <c r="B234" s="119" t="str">
        <f ca="1">IF(IFERROR(INDEX((COPIA!$DA$3:$DE$2300),MATCH(ROWS(B$8:B234),COPIA!$DF$3:$DF$2300,0),COLUMN()-1),"")&gt;=1,IFERROR(INDEX((COPIA!$DA$3:$DE$2300),MATCH(ROWS(B$8:B234),COPIA!$DF$3:$DF$2300,0),COLUMN()-1),""),"")</f>
        <v/>
      </c>
      <c r="C234" s="118" t="str">
        <f ca="1">SUBSTITUTE(IFERROR(INDEX((COPIA!$DA$3:$DE$2300),MATCH(ROWS(C$8:C234),COPIA!$DF$3:$DF$2300,0),COLUMN()-1),""),"MASTRO","")</f>
        <v/>
      </c>
      <c r="D234" s="29" t="str">
        <f ca="1">IF(IFERROR(INDEX((COPIA!$DA$3:$DE$2300),MATCH(ROWS(D$8:D234),COPIA!$DF$3:$DF$2300,0),COLUMN()-1),"")=0,"",IFERROR(INDEX((COPIA!$DA$3:$DE$2300),MATCH(ROWS(D$8:D234),COPIA!$DF$3:$DF$2300,0),COLUMN()-1),""))</f>
        <v/>
      </c>
      <c r="E234" s="45" t="str">
        <f ca="1">IF(IFERROR(INDEX((COPIA!$DA$3:$DE$2300),MATCH(ROWS(E$8:E234),COPIA!$DF$3:$DF$2300,0),COLUMN()-1),"")=0,"",IFERROR(INDEX((COPIA!$DA$3:$DE$2300),MATCH(ROWS(E$8:E234),COPIA!$DF$3:$DF$2300,0),COLUMN()-1),""))</f>
        <v/>
      </c>
      <c r="F234" s="120" t="str">
        <f ca="1">IF(IFERROR(INDEX((COPIA!$DA$3:$DE$2300),MATCH(ROWS(F$8:F234),COPIA!$DF$3:$DF$2300,0),COLUMN()-1),"")=0,"",IFERROR(INDEX((COPIA!$DA$3:$DE$2300),MATCH(ROWS(F$8:F234),COPIA!$DF$3:$DF$2300,0),COLUMN()-1),""))</f>
        <v/>
      </c>
    </row>
    <row r="235" spans="1:6">
      <c r="B235" s="119" t="str">
        <f ca="1">IF(IFERROR(INDEX((COPIA!$DA$3:$DE$2300),MATCH(ROWS(B$8:B235),COPIA!$DF$3:$DF$2300,0),COLUMN()-1),"")&gt;=1,IFERROR(INDEX((COPIA!$DA$3:$DE$2300),MATCH(ROWS(B$8:B235),COPIA!$DF$3:$DF$2300,0),COLUMN()-1),""),"")</f>
        <v/>
      </c>
      <c r="C235" s="118" t="str">
        <f ca="1">SUBSTITUTE(IFERROR(INDEX((COPIA!$DA$3:$DE$2300),MATCH(ROWS(C$8:C235),COPIA!$DF$3:$DF$2300,0),COLUMN()-1),""),"MASTRO","")</f>
        <v/>
      </c>
      <c r="D235" s="29" t="str">
        <f ca="1">IF(IFERROR(INDEX((COPIA!$DA$3:$DE$2300),MATCH(ROWS(D$8:D235),COPIA!$DF$3:$DF$2300,0),COLUMN()-1),"")=0,"",IFERROR(INDEX((COPIA!$DA$3:$DE$2300),MATCH(ROWS(D$8:D235),COPIA!$DF$3:$DF$2300,0),COLUMN()-1),""))</f>
        <v/>
      </c>
      <c r="E235" s="45" t="str">
        <f ca="1">IF(IFERROR(INDEX((COPIA!$DA$3:$DE$2300),MATCH(ROWS(E$8:E235),COPIA!$DF$3:$DF$2300,0),COLUMN()-1),"")=0,"",IFERROR(INDEX((COPIA!$DA$3:$DE$2300),MATCH(ROWS(E$8:E235),COPIA!$DF$3:$DF$2300,0),COLUMN()-1),""))</f>
        <v/>
      </c>
      <c r="F235" s="120" t="str">
        <f ca="1">IF(IFERROR(INDEX((COPIA!$DA$3:$DE$2300),MATCH(ROWS(F$8:F235),COPIA!$DF$3:$DF$2300,0),COLUMN()-1),"")=0,"",IFERROR(INDEX((COPIA!$DA$3:$DE$2300),MATCH(ROWS(F$8:F235),COPIA!$DF$3:$DF$2300,0),COLUMN()-1),""))</f>
        <v/>
      </c>
    </row>
    <row r="236" spans="1:6">
      <c r="B236" s="119" t="str">
        <f ca="1">IF(IFERROR(INDEX((COPIA!$DA$3:$DE$2300),MATCH(ROWS(B$8:B236),COPIA!$DF$3:$DF$2300,0),COLUMN()-1),"")&gt;=1,IFERROR(INDEX((COPIA!$DA$3:$DE$2300),MATCH(ROWS(B$8:B236),COPIA!$DF$3:$DF$2300,0),COLUMN()-1),""),"")</f>
        <v/>
      </c>
      <c r="C236" s="118" t="str">
        <f ca="1">SUBSTITUTE(IFERROR(INDEX((COPIA!$DA$3:$DE$2300),MATCH(ROWS(C$8:C236),COPIA!$DF$3:$DF$2300,0),COLUMN()-1),""),"MASTRO","")</f>
        <v/>
      </c>
      <c r="D236" s="29" t="str">
        <f ca="1">IF(IFERROR(INDEX((COPIA!$DA$3:$DE$2300),MATCH(ROWS(D$8:D236),COPIA!$DF$3:$DF$2300,0),COLUMN()-1),"")=0,"",IFERROR(INDEX((COPIA!$DA$3:$DE$2300),MATCH(ROWS(D$8:D236),COPIA!$DF$3:$DF$2300,0),COLUMN()-1),""))</f>
        <v/>
      </c>
      <c r="E236" s="45" t="str">
        <f ca="1">IF(IFERROR(INDEX((COPIA!$DA$3:$DE$2300),MATCH(ROWS(E$8:E236),COPIA!$DF$3:$DF$2300,0),COLUMN()-1),"")=0,"",IFERROR(INDEX((COPIA!$DA$3:$DE$2300),MATCH(ROWS(E$8:E236),COPIA!$DF$3:$DF$2300,0),COLUMN()-1),""))</f>
        <v/>
      </c>
      <c r="F236" s="120" t="str">
        <f ca="1">IF(IFERROR(INDEX((COPIA!$DA$3:$DE$2300),MATCH(ROWS(F$8:F236),COPIA!$DF$3:$DF$2300,0),COLUMN()-1),"")=0,"",IFERROR(INDEX((COPIA!$DA$3:$DE$2300),MATCH(ROWS(F$8:F236),COPIA!$DF$3:$DF$2300,0),COLUMN()-1),""))</f>
        <v/>
      </c>
    </row>
    <row r="237" spans="1:6">
      <c r="B237" s="119" t="str">
        <f ca="1">IF(IFERROR(INDEX((COPIA!$DA$3:$DE$2300),MATCH(ROWS(B$8:B237),COPIA!$DF$3:$DF$2300,0),COLUMN()-1),"")&gt;=1,IFERROR(INDEX((COPIA!$DA$3:$DE$2300),MATCH(ROWS(B$8:B237),COPIA!$DF$3:$DF$2300,0),COLUMN()-1),""),"")</f>
        <v/>
      </c>
      <c r="C237" s="118" t="str">
        <f ca="1">SUBSTITUTE(IFERROR(INDEX((COPIA!$DA$3:$DE$2300),MATCH(ROWS(C$8:C237),COPIA!$DF$3:$DF$2300,0),COLUMN()-1),""),"MASTRO","")</f>
        <v/>
      </c>
      <c r="D237" s="29" t="str">
        <f ca="1">IF(IFERROR(INDEX((COPIA!$DA$3:$DE$2300),MATCH(ROWS(D$8:D237),COPIA!$DF$3:$DF$2300,0),COLUMN()-1),"")=0,"",IFERROR(INDEX((COPIA!$DA$3:$DE$2300),MATCH(ROWS(D$8:D237),COPIA!$DF$3:$DF$2300,0),COLUMN()-1),""))</f>
        <v/>
      </c>
      <c r="E237" s="45" t="str">
        <f ca="1">IF(IFERROR(INDEX((COPIA!$DA$3:$DE$2300),MATCH(ROWS(E$8:E237),COPIA!$DF$3:$DF$2300,0),COLUMN()-1),"")=0,"",IFERROR(INDEX((COPIA!$DA$3:$DE$2300),MATCH(ROWS(E$8:E237),COPIA!$DF$3:$DF$2300,0),COLUMN()-1),""))</f>
        <v/>
      </c>
      <c r="F237" s="120" t="str">
        <f ca="1">IF(IFERROR(INDEX((COPIA!$DA$3:$DE$2300),MATCH(ROWS(F$8:F237),COPIA!$DF$3:$DF$2300,0),COLUMN()-1),"")=0,"",IFERROR(INDEX((COPIA!$DA$3:$DE$2300),MATCH(ROWS(F$8:F237),COPIA!$DF$3:$DF$2300,0),COLUMN()-1),""))</f>
        <v/>
      </c>
    </row>
    <row r="238" spans="1:6">
      <c r="B238" s="119" t="str">
        <f ca="1">IF(IFERROR(INDEX((COPIA!$DA$3:$DE$2300),MATCH(ROWS(B$8:B238),COPIA!$DF$3:$DF$2300,0),COLUMN()-1),"")&gt;=1,IFERROR(INDEX((COPIA!$DA$3:$DE$2300),MATCH(ROWS(B$8:B238),COPIA!$DF$3:$DF$2300,0),COLUMN()-1),""),"")</f>
        <v/>
      </c>
      <c r="C238" s="118" t="str">
        <f ca="1">SUBSTITUTE(IFERROR(INDEX((COPIA!$DA$3:$DE$2300),MATCH(ROWS(C$8:C238),COPIA!$DF$3:$DF$2300,0),COLUMN()-1),""),"MASTRO","")</f>
        <v/>
      </c>
      <c r="D238" s="29" t="str">
        <f ca="1">IF(IFERROR(INDEX((COPIA!$DA$3:$DE$2300),MATCH(ROWS(D$8:D238),COPIA!$DF$3:$DF$2300,0),COLUMN()-1),"")=0,"",IFERROR(INDEX((COPIA!$DA$3:$DE$2300),MATCH(ROWS(D$8:D238),COPIA!$DF$3:$DF$2300,0),COLUMN()-1),""))</f>
        <v/>
      </c>
      <c r="E238" s="45" t="str">
        <f ca="1">IF(IFERROR(INDEX((COPIA!$DA$3:$DE$2300),MATCH(ROWS(E$8:E238),COPIA!$DF$3:$DF$2300,0),COLUMN()-1),"")=0,"",IFERROR(INDEX((COPIA!$DA$3:$DE$2300),MATCH(ROWS(E$8:E238),COPIA!$DF$3:$DF$2300,0),COLUMN()-1),""))</f>
        <v/>
      </c>
      <c r="F238" s="120" t="str">
        <f ca="1">IF(IFERROR(INDEX((COPIA!$DA$3:$DE$2300),MATCH(ROWS(F$8:F238),COPIA!$DF$3:$DF$2300,0),COLUMN()-1),"")=0,"",IFERROR(INDEX((COPIA!$DA$3:$DE$2300),MATCH(ROWS(F$8:F238),COPIA!$DF$3:$DF$2300,0),COLUMN()-1),""))</f>
        <v/>
      </c>
    </row>
    <row r="239" spans="1:6">
      <c r="B239" s="119" t="str">
        <f ca="1">IF(IFERROR(INDEX((COPIA!$DA$3:$DE$2300),MATCH(ROWS(B$8:B239),COPIA!$DF$3:$DF$2300,0),COLUMN()-1),"")&gt;=1,IFERROR(INDEX((COPIA!$DA$3:$DE$2300),MATCH(ROWS(B$8:B239),COPIA!$DF$3:$DF$2300,0),COLUMN()-1),""),"")</f>
        <v/>
      </c>
      <c r="C239" s="118" t="str">
        <f ca="1">SUBSTITUTE(IFERROR(INDEX((COPIA!$DA$3:$DE$2300),MATCH(ROWS(C$8:C239),COPIA!$DF$3:$DF$2300,0),COLUMN()-1),""),"MASTRO","")</f>
        <v/>
      </c>
      <c r="D239" s="29" t="str">
        <f ca="1">IF(IFERROR(INDEX((COPIA!$DA$3:$DE$2300),MATCH(ROWS(D$8:D239),COPIA!$DF$3:$DF$2300,0),COLUMN()-1),"")=0,"",IFERROR(INDEX((COPIA!$DA$3:$DE$2300),MATCH(ROWS(D$8:D239),COPIA!$DF$3:$DF$2300,0),COLUMN()-1),""))</f>
        <v/>
      </c>
      <c r="E239" s="45" t="str">
        <f ca="1">IF(IFERROR(INDEX((COPIA!$DA$3:$DE$2300),MATCH(ROWS(E$8:E239),COPIA!$DF$3:$DF$2300,0),COLUMN()-1),"")=0,"",IFERROR(INDEX((COPIA!$DA$3:$DE$2300),MATCH(ROWS(E$8:E239),COPIA!$DF$3:$DF$2300,0),COLUMN()-1),""))</f>
        <v/>
      </c>
      <c r="F239" s="120" t="str">
        <f ca="1">IF(IFERROR(INDEX((COPIA!$DA$3:$DE$2300),MATCH(ROWS(F$8:F239),COPIA!$DF$3:$DF$2300,0),COLUMN()-1),"")=0,"",IFERROR(INDEX((COPIA!$DA$3:$DE$2300),MATCH(ROWS(F$8:F239),COPIA!$DF$3:$DF$2300,0),COLUMN()-1),""))</f>
        <v/>
      </c>
    </row>
    <row r="240" spans="1:6">
      <c r="B240" s="119" t="str">
        <f ca="1">IF(IFERROR(INDEX((COPIA!$DA$3:$DE$2300),MATCH(ROWS(B$8:B240),COPIA!$DF$3:$DF$2300,0),COLUMN()-1),"")&gt;=1,IFERROR(INDEX((COPIA!$DA$3:$DE$2300),MATCH(ROWS(B$8:B240),COPIA!$DF$3:$DF$2300,0),COLUMN()-1),""),"")</f>
        <v/>
      </c>
      <c r="C240" s="118" t="str">
        <f ca="1">SUBSTITUTE(IFERROR(INDEX((COPIA!$DA$3:$DE$2300),MATCH(ROWS(C$8:C240),COPIA!$DF$3:$DF$2300,0),COLUMN()-1),""),"MASTRO","")</f>
        <v/>
      </c>
      <c r="D240" s="29" t="str">
        <f ca="1">IF(IFERROR(INDEX((COPIA!$DA$3:$DE$2300),MATCH(ROWS(D$8:D240),COPIA!$DF$3:$DF$2300,0),COLUMN()-1),"")=0,"",IFERROR(INDEX((COPIA!$DA$3:$DE$2300),MATCH(ROWS(D$8:D240),COPIA!$DF$3:$DF$2300,0),COLUMN()-1),""))</f>
        <v/>
      </c>
      <c r="E240" s="45" t="str">
        <f ca="1">IF(IFERROR(INDEX((COPIA!$DA$3:$DE$2300),MATCH(ROWS(E$8:E240),COPIA!$DF$3:$DF$2300,0),COLUMN()-1),"")=0,"",IFERROR(INDEX((COPIA!$DA$3:$DE$2300),MATCH(ROWS(E$8:E240),COPIA!$DF$3:$DF$2300,0),COLUMN()-1),""))</f>
        <v/>
      </c>
      <c r="F240" s="120" t="str">
        <f ca="1">IF(IFERROR(INDEX((COPIA!$DA$3:$DE$2300),MATCH(ROWS(F$8:F240),COPIA!$DF$3:$DF$2300,0),COLUMN()-1),"")=0,"",IFERROR(INDEX((COPIA!$DA$3:$DE$2300),MATCH(ROWS(F$8:F240),COPIA!$DF$3:$DF$2300,0),COLUMN()-1),""))</f>
        <v/>
      </c>
    </row>
    <row r="241" spans="2:6">
      <c r="B241" s="119" t="str">
        <f ca="1">IF(IFERROR(INDEX((COPIA!$DA$3:$DE$2300),MATCH(ROWS(B$8:B241),COPIA!$DF$3:$DF$2300,0),COLUMN()-1),"")&gt;=1,IFERROR(INDEX((COPIA!$DA$3:$DE$2300),MATCH(ROWS(B$8:B241),COPIA!$DF$3:$DF$2300,0),COLUMN()-1),""),"")</f>
        <v/>
      </c>
      <c r="C241" s="118" t="str">
        <f ca="1">SUBSTITUTE(IFERROR(INDEX((COPIA!$DA$3:$DE$2300),MATCH(ROWS(C$8:C241),COPIA!$DF$3:$DF$2300,0),COLUMN()-1),""),"MASTRO","")</f>
        <v/>
      </c>
      <c r="D241" s="29" t="str">
        <f ca="1">IF(IFERROR(INDEX((COPIA!$DA$3:$DE$2300),MATCH(ROWS(D$8:D241),COPIA!$DF$3:$DF$2300,0),COLUMN()-1),"")=0,"",IFERROR(INDEX((COPIA!$DA$3:$DE$2300),MATCH(ROWS(D$8:D241),COPIA!$DF$3:$DF$2300,0),COLUMN()-1),""))</f>
        <v/>
      </c>
      <c r="E241" s="45" t="str">
        <f ca="1">IF(IFERROR(INDEX((COPIA!$DA$3:$DE$2300),MATCH(ROWS(E$8:E241),COPIA!$DF$3:$DF$2300,0),COLUMN()-1),"")=0,"",IFERROR(INDEX((COPIA!$DA$3:$DE$2300),MATCH(ROWS(E$8:E241),COPIA!$DF$3:$DF$2300,0),COLUMN()-1),""))</f>
        <v/>
      </c>
      <c r="F241" s="120" t="str">
        <f ca="1">IF(IFERROR(INDEX((COPIA!$DA$3:$DE$2300),MATCH(ROWS(F$8:F241),COPIA!$DF$3:$DF$2300,0),COLUMN()-1),"")=0,"",IFERROR(INDEX((COPIA!$DA$3:$DE$2300),MATCH(ROWS(F$8:F241),COPIA!$DF$3:$DF$2300,0),COLUMN()-1),""))</f>
        <v/>
      </c>
    </row>
    <row r="242" spans="2:6">
      <c r="B242" s="119" t="str">
        <f ca="1">IF(IFERROR(INDEX((COPIA!$DA$3:$DE$2300),MATCH(ROWS(B$8:B242),COPIA!$DF$3:$DF$2300,0),COLUMN()-1),"")&gt;=1,IFERROR(INDEX((COPIA!$DA$3:$DE$2300),MATCH(ROWS(B$8:B242),COPIA!$DF$3:$DF$2300,0),COLUMN()-1),""),"")</f>
        <v/>
      </c>
      <c r="C242" s="118" t="str">
        <f ca="1">SUBSTITUTE(IFERROR(INDEX((COPIA!$DA$3:$DE$2300),MATCH(ROWS(C$8:C242),COPIA!$DF$3:$DF$2300,0),COLUMN()-1),""),"MASTRO","")</f>
        <v/>
      </c>
      <c r="D242" s="29" t="str">
        <f ca="1">IF(IFERROR(INDEX((COPIA!$DA$3:$DE$2300),MATCH(ROWS(D$8:D242),COPIA!$DF$3:$DF$2300,0),COLUMN()-1),"")=0,"",IFERROR(INDEX((COPIA!$DA$3:$DE$2300),MATCH(ROWS(D$8:D242),COPIA!$DF$3:$DF$2300,0),COLUMN()-1),""))</f>
        <v/>
      </c>
      <c r="E242" s="45" t="str">
        <f ca="1">IF(IFERROR(INDEX((COPIA!$DA$3:$DE$2300),MATCH(ROWS(E$8:E242),COPIA!$DF$3:$DF$2300,0),COLUMN()-1),"")=0,"",IFERROR(INDEX((COPIA!$DA$3:$DE$2300),MATCH(ROWS(E$8:E242),COPIA!$DF$3:$DF$2300,0),COLUMN()-1),""))</f>
        <v/>
      </c>
      <c r="F242" s="120" t="str">
        <f ca="1">IF(IFERROR(INDEX((COPIA!$DA$3:$DE$2300),MATCH(ROWS(F$8:F242),COPIA!$DF$3:$DF$2300,0),COLUMN()-1),"")=0,"",IFERROR(INDEX((COPIA!$DA$3:$DE$2300),MATCH(ROWS(F$8:F242),COPIA!$DF$3:$DF$2300,0),COLUMN()-1),""))</f>
        <v/>
      </c>
    </row>
    <row r="243" spans="2:6">
      <c r="B243" s="119" t="str">
        <f ca="1">IF(IFERROR(INDEX((COPIA!$DA$3:$DE$2300),MATCH(ROWS(B$8:B243),COPIA!$DF$3:$DF$2300,0),COLUMN()-1),"")&gt;=1,IFERROR(INDEX((COPIA!$DA$3:$DE$2300),MATCH(ROWS(B$8:B243),COPIA!$DF$3:$DF$2300,0),COLUMN()-1),""),"")</f>
        <v/>
      </c>
      <c r="C243" s="118" t="str">
        <f ca="1">SUBSTITUTE(IFERROR(INDEX((COPIA!$DA$3:$DE$2300),MATCH(ROWS(C$8:C243),COPIA!$DF$3:$DF$2300,0),COLUMN()-1),""),"MASTRO","")</f>
        <v/>
      </c>
      <c r="D243" s="29" t="str">
        <f ca="1">IF(IFERROR(INDEX((COPIA!$DA$3:$DE$2300),MATCH(ROWS(D$8:D243),COPIA!$DF$3:$DF$2300,0),COLUMN()-1),"")=0,"",IFERROR(INDEX((COPIA!$DA$3:$DE$2300),MATCH(ROWS(D$8:D243),COPIA!$DF$3:$DF$2300,0),COLUMN()-1),""))</f>
        <v/>
      </c>
      <c r="E243" s="45" t="str">
        <f ca="1">IF(IFERROR(INDEX((COPIA!$DA$3:$DE$2300),MATCH(ROWS(E$8:E243),COPIA!$DF$3:$DF$2300,0),COLUMN()-1),"")=0,"",IFERROR(INDEX((COPIA!$DA$3:$DE$2300),MATCH(ROWS(E$8:E243),COPIA!$DF$3:$DF$2300,0),COLUMN()-1),""))</f>
        <v/>
      </c>
      <c r="F243" s="120" t="str">
        <f ca="1">IF(IFERROR(INDEX((COPIA!$DA$3:$DE$2300),MATCH(ROWS(F$8:F243),COPIA!$DF$3:$DF$2300,0),COLUMN()-1),"")=0,"",IFERROR(INDEX((COPIA!$DA$3:$DE$2300),MATCH(ROWS(F$8:F243),COPIA!$DF$3:$DF$2300,0),COLUMN()-1),""))</f>
        <v/>
      </c>
    </row>
    <row r="244" spans="2:6">
      <c r="B244" s="119" t="str">
        <f ca="1">IF(IFERROR(INDEX((COPIA!$DA$3:$DE$2300),MATCH(ROWS(B$8:B244),COPIA!$DF$3:$DF$2300,0),COLUMN()-1),"")&gt;=1,IFERROR(INDEX((COPIA!$DA$3:$DE$2300),MATCH(ROWS(B$8:B244),COPIA!$DF$3:$DF$2300,0),COLUMN()-1),""),"")</f>
        <v/>
      </c>
      <c r="C244" s="118" t="str">
        <f ca="1">SUBSTITUTE(IFERROR(INDEX((COPIA!$DA$3:$DE$2300),MATCH(ROWS(C$8:C244),COPIA!$DF$3:$DF$2300,0),COLUMN()-1),""),"MASTRO","")</f>
        <v/>
      </c>
      <c r="D244" s="29" t="str">
        <f ca="1">IF(IFERROR(INDEX((COPIA!$DA$3:$DE$2300),MATCH(ROWS(D$8:D244),COPIA!$DF$3:$DF$2300,0),COLUMN()-1),"")=0,"",IFERROR(INDEX((COPIA!$DA$3:$DE$2300),MATCH(ROWS(D$8:D244),COPIA!$DF$3:$DF$2300,0),COLUMN()-1),""))</f>
        <v/>
      </c>
      <c r="E244" s="45" t="str">
        <f ca="1">IF(IFERROR(INDEX((COPIA!$DA$3:$DE$2300),MATCH(ROWS(E$8:E244),COPIA!$DF$3:$DF$2300,0),COLUMN()-1),"")=0,"",IFERROR(INDEX((COPIA!$DA$3:$DE$2300),MATCH(ROWS(E$8:E244),COPIA!$DF$3:$DF$2300,0),COLUMN()-1),""))</f>
        <v/>
      </c>
      <c r="F244" s="120" t="str">
        <f ca="1">IF(IFERROR(INDEX((COPIA!$DA$3:$DE$2300),MATCH(ROWS(F$8:F244),COPIA!$DF$3:$DF$2300,0),COLUMN()-1),"")=0,"",IFERROR(INDEX((COPIA!$DA$3:$DE$2300),MATCH(ROWS(F$8:F244),COPIA!$DF$3:$DF$2300,0),COLUMN()-1),""))</f>
        <v/>
      </c>
    </row>
    <row r="245" spans="2:6">
      <c r="B245" s="119" t="str">
        <f ca="1">IF(IFERROR(INDEX((COPIA!$DA$3:$DE$2300),MATCH(ROWS(B$8:B245),COPIA!$DF$3:$DF$2300,0),COLUMN()-1),"")&gt;=1,IFERROR(INDEX((COPIA!$DA$3:$DE$2300),MATCH(ROWS(B$8:B245),COPIA!$DF$3:$DF$2300,0),COLUMN()-1),""),"")</f>
        <v/>
      </c>
      <c r="C245" s="118" t="str">
        <f ca="1">SUBSTITUTE(IFERROR(INDEX((COPIA!$DA$3:$DE$2300),MATCH(ROWS(C$8:C245),COPIA!$DF$3:$DF$2300,0),COLUMN()-1),""),"MASTRO","")</f>
        <v/>
      </c>
      <c r="D245" s="29" t="str">
        <f ca="1">IF(IFERROR(INDEX((COPIA!$DA$3:$DE$2300),MATCH(ROWS(D$8:D245),COPIA!$DF$3:$DF$2300,0),COLUMN()-1),"")=0,"",IFERROR(INDEX((COPIA!$DA$3:$DE$2300),MATCH(ROWS(D$8:D245),COPIA!$DF$3:$DF$2300,0),COLUMN()-1),""))</f>
        <v/>
      </c>
      <c r="E245" s="45" t="str">
        <f ca="1">IF(IFERROR(INDEX((COPIA!$DA$3:$DE$2300),MATCH(ROWS(E$8:E245),COPIA!$DF$3:$DF$2300,0),COLUMN()-1),"")=0,"",IFERROR(INDEX((COPIA!$DA$3:$DE$2300),MATCH(ROWS(E$8:E245),COPIA!$DF$3:$DF$2300,0),COLUMN()-1),""))</f>
        <v/>
      </c>
      <c r="F245" s="120" t="str">
        <f ca="1">IF(IFERROR(INDEX((COPIA!$DA$3:$DE$2300),MATCH(ROWS(F$8:F245),COPIA!$DF$3:$DF$2300,0),COLUMN()-1),"")=0,"",IFERROR(INDEX((COPIA!$DA$3:$DE$2300),MATCH(ROWS(F$8:F245),COPIA!$DF$3:$DF$2300,0),COLUMN()-1),""))</f>
        <v/>
      </c>
    </row>
    <row r="246" spans="2:6">
      <c r="B246" s="119" t="str">
        <f ca="1">IF(IFERROR(INDEX((COPIA!$DA$3:$DE$2300),MATCH(ROWS(B$8:B246),COPIA!$DF$3:$DF$2300,0),COLUMN()-1),"")&gt;=1,IFERROR(INDEX((COPIA!$DA$3:$DE$2300),MATCH(ROWS(B$8:B246),COPIA!$DF$3:$DF$2300,0),COLUMN()-1),""),"")</f>
        <v/>
      </c>
      <c r="C246" s="118" t="str">
        <f ca="1">SUBSTITUTE(IFERROR(INDEX((COPIA!$DA$3:$DE$2300),MATCH(ROWS(C$8:C246),COPIA!$DF$3:$DF$2300,0),COLUMN()-1),""),"MASTRO","")</f>
        <v/>
      </c>
      <c r="D246" s="29" t="str">
        <f ca="1">IF(IFERROR(INDEX((COPIA!$DA$3:$DE$2300),MATCH(ROWS(D$8:D246),COPIA!$DF$3:$DF$2300,0),COLUMN()-1),"")=0,"",IFERROR(INDEX((COPIA!$DA$3:$DE$2300),MATCH(ROWS(D$8:D246),COPIA!$DF$3:$DF$2300,0),COLUMN()-1),""))</f>
        <v/>
      </c>
      <c r="E246" s="45" t="str">
        <f ca="1">IF(IFERROR(INDEX((COPIA!$DA$3:$DE$2300),MATCH(ROWS(E$8:E246),COPIA!$DF$3:$DF$2300,0),COLUMN()-1),"")=0,"",IFERROR(INDEX((COPIA!$DA$3:$DE$2300),MATCH(ROWS(E$8:E246),COPIA!$DF$3:$DF$2300,0),COLUMN()-1),""))</f>
        <v/>
      </c>
      <c r="F246" s="120" t="str">
        <f ca="1">IF(IFERROR(INDEX((COPIA!$DA$3:$DE$2300),MATCH(ROWS(F$8:F246),COPIA!$DF$3:$DF$2300,0),COLUMN()-1),"")=0,"",IFERROR(INDEX((COPIA!$DA$3:$DE$2300),MATCH(ROWS(F$8:F246),COPIA!$DF$3:$DF$2300,0),COLUMN()-1),""))</f>
        <v/>
      </c>
    </row>
    <row r="247" spans="2:6">
      <c r="B247" s="119" t="str">
        <f ca="1">IF(IFERROR(INDEX((COPIA!$DA$3:$DE$2300),MATCH(ROWS(B$8:B247),COPIA!$DF$3:$DF$2300,0),COLUMN()-1),"")&gt;=1,IFERROR(INDEX((COPIA!$DA$3:$DE$2300),MATCH(ROWS(B$8:B247),COPIA!$DF$3:$DF$2300,0),COLUMN()-1),""),"")</f>
        <v/>
      </c>
      <c r="C247" s="118" t="str">
        <f ca="1">SUBSTITUTE(IFERROR(INDEX((COPIA!$DA$3:$DE$2300),MATCH(ROWS(C$8:C247),COPIA!$DF$3:$DF$2300,0),COLUMN()-1),""),"MASTRO","")</f>
        <v/>
      </c>
      <c r="D247" s="29" t="str">
        <f ca="1">IF(IFERROR(INDEX((COPIA!$DA$3:$DE$2300),MATCH(ROWS(D$8:D247),COPIA!$DF$3:$DF$2300,0),COLUMN()-1),"")=0,"",IFERROR(INDEX((COPIA!$DA$3:$DE$2300),MATCH(ROWS(D$8:D247),COPIA!$DF$3:$DF$2300,0),COLUMN()-1),""))</f>
        <v/>
      </c>
      <c r="E247" s="45" t="str">
        <f ca="1">IF(IFERROR(INDEX((COPIA!$DA$3:$DE$2300),MATCH(ROWS(E$8:E247),COPIA!$DF$3:$DF$2300,0),COLUMN()-1),"")=0,"",IFERROR(INDEX((COPIA!$DA$3:$DE$2300),MATCH(ROWS(E$8:E247),COPIA!$DF$3:$DF$2300,0),COLUMN()-1),""))</f>
        <v/>
      </c>
      <c r="F247" s="120" t="str">
        <f ca="1">IF(IFERROR(INDEX((COPIA!$DA$3:$DE$2300),MATCH(ROWS(F$8:F247),COPIA!$DF$3:$DF$2300,0),COLUMN()-1),"")=0,"",IFERROR(INDEX((COPIA!$DA$3:$DE$2300),MATCH(ROWS(F$8:F247),COPIA!$DF$3:$DF$2300,0),COLUMN()-1),""))</f>
        <v/>
      </c>
    </row>
    <row r="248" spans="2:6">
      <c r="B248" s="119" t="str">
        <f ca="1">IF(IFERROR(INDEX((COPIA!$DA$3:$DE$2300),MATCH(ROWS(B$8:B248),COPIA!$DF$3:$DF$2300,0),COLUMN()-1),"")&gt;=1,IFERROR(INDEX((COPIA!$DA$3:$DE$2300),MATCH(ROWS(B$8:B248),COPIA!$DF$3:$DF$2300,0),COLUMN()-1),""),"")</f>
        <v/>
      </c>
      <c r="C248" s="118" t="str">
        <f ca="1">SUBSTITUTE(IFERROR(INDEX((COPIA!$DA$3:$DE$2300),MATCH(ROWS(C$8:C248),COPIA!$DF$3:$DF$2300,0),COLUMN()-1),""),"MASTRO","")</f>
        <v/>
      </c>
      <c r="D248" s="29" t="str">
        <f ca="1">IF(IFERROR(INDEX((COPIA!$DA$3:$DE$2300),MATCH(ROWS(D$8:D248),COPIA!$DF$3:$DF$2300,0),COLUMN()-1),"")=0,"",IFERROR(INDEX((COPIA!$DA$3:$DE$2300),MATCH(ROWS(D$8:D248),COPIA!$DF$3:$DF$2300,0),COLUMN()-1),""))</f>
        <v/>
      </c>
      <c r="E248" s="45" t="str">
        <f ca="1">IF(IFERROR(INDEX((COPIA!$DA$3:$DE$2300),MATCH(ROWS(E$8:E248),COPIA!$DF$3:$DF$2300,0),COLUMN()-1),"")=0,"",IFERROR(INDEX((COPIA!$DA$3:$DE$2300),MATCH(ROWS(E$8:E248),COPIA!$DF$3:$DF$2300,0),COLUMN()-1),""))</f>
        <v/>
      </c>
      <c r="F248" s="120" t="str">
        <f ca="1">IF(IFERROR(INDEX((COPIA!$DA$3:$DE$2300),MATCH(ROWS(F$8:F248),COPIA!$DF$3:$DF$2300,0),COLUMN()-1),"")=0,"",IFERROR(INDEX((COPIA!$DA$3:$DE$2300),MATCH(ROWS(F$8:F248),COPIA!$DF$3:$DF$2300,0),COLUMN()-1),""))</f>
        <v/>
      </c>
    </row>
    <row r="249" spans="2:6">
      <c r="B249" s="119" t="str">
        <f ca="1">IF(IFERROR(INDEX((COPIA!$DA$3:$DE$2300),MATCH(ROWS(B$8:B249),COPIA!$DF$3:$DF$2300,0),COLUMN()-1),"")&gt;=1,IFERROR(INDEX((COPIA!$DA$3:$DE$2300),MATCH(ROWS(B$8:B249),COPIA!$DF$3:$DF$2300,0),COLUMN()-1),""),"")</f>
        <v/>
      </c>
      <c r="C249" s="118" t="str">
        <f ca="1">SUBSTITUTE(IFERROR(INDEX((COPIA!$DA$3:$DE$2300),MATCH(ROWS(C$8:C249),COPIA!$DF$3:$DF$2300,0),COLUMN()-1),""),"MASTRO","")</f>
        <v/>
      </c>
      <c r="D249" s="29" t="str">
        <f ca="1">IF(IFERROR(INDEX((COPIA!$DA$3:$DE$2300),MATCH(ROWS(D$8:D249),COPIA!$DF$3:$DF$2300,0),COLUMN()-1),"")=0,"",IFERROR(INDEX((COPIA!$DA$3:$DE$2300),MATCH(ROWS(D$8:D249),COPIA!$DF$3:$DF$2300,0),COLUMN()-1),""))</f>
        <v/>
      </c>
      <c r="E249" s="45" t="str">
        <f ca="1">IF(IFERROR(INDEX((COPIA!$DA$3:$DE$2300),MATCH(ROWS(E$8:E249),COPIA!$DF$3:$DF$2300,0),COLUMN()-1),"")=0,"",IFERROR(INDEX((COPIA!$DA$3:$DE$2300),MATCH(ROWS(E$8:E249),COPIA!$DF$3:$DF$2300,0),COLUMN()-1),""))</f>
        <v/>
      </c>
      <c r="F249" s="120" t="str">
        <f ca="1">IF(IFERROR(INDEX((COPIA!$DA$3:$DE$2300),MATCH(ROWS(F$8:F249),COPIA!$DF$3:$DF$2300,0),COLUMN()-1),"")=0,"",IFERROR(INDEX((COPIA!$DA$3:$DE$2300),MATCH(ROWS(F$8:F249),COPIA!$DF$3:$DF$2300,0),COLUMN()-1),""))</f>
        <v/>
      </c>
    </row>
    <row r="250" spans="2:6">
      <c r="B250" s="119" t="str">
        <f ca="1">IF(IFERROR(INDEX((COPIA!$DA$3:$DE$2300),MATCH(ROWS(B$8:B250),COPIA!$DF$3:$DF$2300,0),COLUMN()-1),"")&gt;=1,IFERROR(INDEX((COPIA!$DA$3:$DE$2300),MATCH(ROWS(B$8:B250),COPIA!$DF$3:$DF$2300,0),COLUMN()-1),""),"")</f>
        <v/>
      </c>
      <c r="C250" s="118" t="str">
        <f ca="1">SUBSTITUTE(IFERROR(INDEX((COPIA!$DA$3:$DE$2300),MATCH(ROWS(C$8:C250),COPIA!$DF$3:$DF$2300,0),COLUMN()-1),""),"MASTRO","")</f>
        <v/>
      </c>
      <c r="D250" s="29" t="str">
        <f ca="1">IF(IFERROR(INDEX((COPIA!$DA$3:$DE$2300),MATCH(ROWS(D$8:D250),COPIA!$DF$3:$DF$2300,0),COLUMN()-1),"")=0,"",IFERROR(INDEX((COPIA!$DA$3:$DE$2300),MATCH(ROWS(D$8:D250),COPIA!$DF$3:$DF$2300,0),COLUMN()-1),""))</f>
        <v/>
      </c>
      <c r="E250" s="45" t="str">
        <f ca="1">IF(IFERROR(INDEX((COPIA!$DA$3:$DE$2300),MATCH(ROWS(E$8:E250),COPIA!$DF$3:$DF$2300,0),COLUMN()-1),"")=0,"",IFERROR(INDEX((COPIA!$DA$3:$DE$2300),MATCH(ROWS(E$8:E250),COPIA!$DF$3:$DF$2300,0),COLUMN()-1),""))</f>
        <v/>
      </c>
      <c r="F250" s="120" t="str">
        <f ca="1">IF(IFERROR(INDEX((COPIA!$DA$3:$DE$2300),MATCH(ROWS(F$8:F250),COPIA!$DF$3:$DF$2300,0),COLUMN()-1),"")=0,"",IFERROR(INDEX((COPIA!$DA$3:$DE$2300),MATCH(ROWS(F$8:F250),COPIA!$DF$3:$DF$2300,0),COLUMN()-1),""))</f>
        <v/>
      </c>
    </row>
    <row r="251" spans="2:6">
      <c r="B251" s="119" t="str">
        <f ca="1">IF(IFERROR(INDEX((COPIA!$DA$3:$DE$2300),MATCH(ROWS(B$8:B251),COPIA!$DF$3:$DF$2300,0),COLUMN()-1),"")&gt;=1,IFERROR(INDEX((COPIA!$DA$3:$DE$2300),MATCH(ROWS(B$8:B251),COPIA!$DF$3:$DF$2300,0),COLUMN()-1),""),"")</f>
        <v/>
      </c>
      <c r="C251" s="118" t="str">
        <f ca="1">SUBSTITUTE(IFERROR(INDEX((COPIA!$DA$3:$DE$2300),MATCH(ROWS(C$8:C251),COPIA!$DF$3:$DF$2300,0),COLUMN()-1),""),"MASTRO","")</f>
        <v/>
      </c>
      <c r="D251" s="29" t="str">
        <f ca="1">IF(IFERROR(INDEX((COPIA!$DA$3:$DE$2300),MATCH(ROWS(D$8:D251),COPIA!$DF$3:$DF$2300,0),COLUMN()-1),"")=0,"",IFERROR(INDEX((COPIA!$DA$3:$DE$2300),MATCH(ROWS(D$8:D251),COPIA!$DF$3:$DF$2300,0),COLUMN()-1),""))</f>
        <v/>
      </c>
      <c r="E251" s="45" t="str">
        <f ca="1">IF(IFERROR(INDEX((COPIA!$DA$3:$DE$2300),MATCH(ROWS(E$8:E251),COPIA!$DF$3:$DF$2300,0),COLUMN()-1),"")=0,"",IFERROR(INDEX((COPIA!$DA$3:$DE$2300),MATCH(ROWS(E$8:E251),COPIA!$DF$3:$DF$2300,0),COLUMN()-1),""))</f>
        <v/>
      </c>
      <c r="F251" s="120" t="str">
        <f ca="1">IF(IFERROR(INDEX((COPIA!$DA$3:$DE$2300),MATCH(ROWS(F$8:F251),COPIA!$DF$3:$DF$2300,0),COLUMN()-1),"")=0,"",IFERROR(INDEX((COPIA!$DA$3:$DE$2300),MATCH(ROWS(F$8:F251),COPIA!$DF$3:$DF$2300,0),COLUMN()-1),""))</f>
        <v/>
      </c>
    </row>
    <row r="252" spans="2:6">
      <c r="B252" s="119" t="str">
        <f ca="1">IF(IFERROR(INDEX((COPIA!$DA$3:$DE$2300),MATCH(ROWS(B$8:B252),COPIA!$DF$3:$DF$2300,0),COLUMN()-1),"")&gt;=1,IFERROR(INDEX((COPIA!$DA$3:$DE$2300),MATCH(ROWS(B$8:B252),COPIA!$DF$3:$DF$2300,0),COLUMN()-1),""),"")</f>
        <v/>
      </c>
      <c r="C252" s="118" t="str">
        <f ca="1">SUBSTITUTE(IFERROR(INDEX((COPIA!$DA$3:$DE$2300),MATCH(ROWS(C$8:C252),COPIA!$DF$3:$DF$2300,0),COLUMN()-1),""),"MASTRO","")</f>
        <v/>
      </c>
      <c r="D252" s="29" t="str">
        <f ca="1">IF(IFERROR(INDEX((COPIA!$DA$3:$DE$2300),MATCH(ROWS(D$8:D252),COPIA!$DF$3:$DF$2300,0),COLUMN()-1),"")=0,"",IFERROR(INDEX((COPIA!$DA$3:$DE$2300),MATCH(ROWS(D$8:D252),COPIA!$DF$3:$DF$2300,0),COLUMN()-1),""))</f>
        <v/>
      </c>
      <c r="E252" s="45" t="str">
        <f ca="1">IF(IFERROR(INDEX((COPIA!$DA$3:$DE$2300),MATCH(ROWS(E$8:E252),COPIA!$DF$3:$DF$2300,0),COLUMN()-1),"")=0,"",IFERROR(INDEX((COPIA!$DA$3:$DE$2300),MATCH(ROWS(E$8:E252),COPIA!$DF$3:$DF$2300,0),COLUMN()-1),""))</f>
        <v/>
      </c>
      <c r="F252" s="120" t="str">
        <f ca="1">IF(IFERROR(INDEX((COPIA!$DA$3:$DE$2300),MATCH(ROWS(F$8:F252),COPIA!$DF$3:$DF$2300,0),COLUMN()-1),"")=0,"",IFERROR(INDEX((COPIA!$DA$3:$DE$2300),MATCH(ROWS(F$8:F252),COPIA!$DF$3:$DF$2300,0),COLUMN()-1),""))</f>
        <v/>
      </c>
    </row>
    <row r="253" spans="2:6">
      <c r="B253" s="119" t="str">
        <f ca="1">IF(IFERROR(INDEX((COPIA!$DA$3:$DE$2300),MATCH(ROWS(B$8:B253),COPIA!$DF$3:$DF$2300,0),COLUMN()-1),"")&gt;=1,IFERROR(INDEX((COPIA!$DA$3:$DE$2300),MATCH(ROWS(B$8:B253),COPIA!$DF$3:$DF$2300,0),COLUMN()-1),""),"")</f>
        <v/>
      </c>
      <c r="C253" s="118" t="str">
        <f ca="1">SUBSTITUTE(IFERROR(INDEX((COPIA!$DA$3:$DE$2300),MATCH(ROWS(C$8:C253),COPIA!$DF$3:$DF$2300,0),COLUMN()-1),""),"MASTRO","")</f>
        <v/>
      </c>
      <c r="D253" s="29" t="str">
        <f ca="1">IF(IFERROR(INDEX((COPIA!$DA$3:$DE$2300),MATCH(ROWS(D$8:D253),COPIA!$DF$3:$DF$2300,0),COLUMN()-1),"")=0,"",IFERROR(INDEX((COPIA!$DA$3:$DE$2300),MATCH(ROWS(D$8:D253),COPIA!$DF$3:$DF$2300,0),COLUMN()-1),""))</f>
        <v/>
      </c>
      <c r="E253" s="45" t="str">
        <f ca="1">IF(IFERROR(INDEX((COPIA!$DA$3:$DE$2300),MATCH(ROWS(E$8:E253),COPIA!$DF$3:$DF$2300,0),COLUMN()-1),"")=0,"",IFERROR(INDEX((COPIA!$DA$3:$DE$2300),MATCH(ROWS(E$8:E253),COPIA!$DF$3:$DF$2300,0),COLUMN()-1),""))</f>
        <v/>
      </c>
      <c r="F253" s="120" t="str">
        <f ca="1">IF(IFERROR(INDEX((COPIA!$DA$3:$DE$2300),MATCH(ROWS(F$8:F253),COPIA!$DF$3:$DF$2300,0),COLUMN()-1),"")=0,"",IFERROR(INDEX((COPIA!$DA$3:$DE$2300),MATCH(ROWS(F$8:F253),COPIA!$DF$3:$DF$2300,0),COLUMN()-1),""))</f>
        <v/>
      </c>
    </row>
    <row r="254" spans="2:6">
      <c r="B254" s="119" t="str">
        <f ca="1">IF(IFERROR(INDEX((COPIA!$DA$3:$DE$2300),MATCH(ROWS(B$8:B254),COPIA!$DF$3:$DF$2300,0),COLUMN()-1),"")&gt;=1,IFERROR(INDEX((COPIA!$DA$3:$DE$2300),MATCH(ROWS(B$8:B254),COPIA!$DF$3:$DF$2300,0),COLUMN()-1),""),"")</f>
        <v/>
      </c>
      <c r="C254" s="118" t="str">
        <f ca="1">SUBSTITUTE(IFERROR(INDEX((COPIA!$DA$3:$DE$2300),MATCH(ROWS(C$8:C254),COPIA!$DF$3:$DF$2300,0),COLUMN()-1),""),"MASTRO","")</f>
        <v/>
      </c>
      <c r="D254" s="29" t="str">
        <f ca="1">IF(IFERROR(INDEX((COPIA!$DA$3:$DE$2300),MATCH(ROWS(D$8:D254),COPIA!$DF$3:$DF$2300,0),COLUMN()-1),"")=0,"",IFERROR(INDEX((COPIA!$DA$3:$DE$2300),MATCH(ROWS(D$8:D254),COPIA!$DF$3:$DF$2300,0),COLUMN()-1),""))</f>
        <v/>
      </c>
      <c r="E254" s="45" t="str">
        <f ca="1">IF(IFERROR(INDEX((COPIA!$DA$3:$DE$2300),MATCH(ROWS(E$8:E254),COPIA!$DF$3:$DF$2300,0),COLUMN()-1),"")=0,"",IFERROR(INDEX((COPIA!$DA$3:$DE$2300),MATCH(ROWS(E$8:E254),COPIA!$DF$3:$DF$2300,0),COLUMN()-1),""))</f>
        <v/>
      </c>
      <c r="F254" s="120" t="str">
        <f ca="1">IF(IFERROR(INDEX((COPIA!$DA$3:$DE$2300),MATCH(ROWS(F$8:F254),COPIA!$DF$3:$DF$2300,0),COLUMN()-1),"")=0,"",IFERROR(INDEX((COPIA!$DA$3:$DE$2300),MATCH(ROWS(F$8:F254),COPIA!$DF$3:$DF$2300,0),COLUMN()-1),""))</f>
        <v/>
      </c>
    </row>
    <row r="255" spans="2:6">
      <c r="B255" s="119" t="str">
        <f ca="1">IF(IFERROR(INDEX((COPIA!$DA$3:$DE$2300),MATCH(ROWS(B$8:B255),COPIA!$DF$3:$DF$2300,0),COLUMN()-1),"")&gt;=1,IFERROR(INDEX((COPIA!$DA$3:$DE$2300),MATCH(ROWS(B$8:B255),COPIA!$DF$3:$DF$2300,0),COLUMN()-1),""),"")</f>
        <v/>
      </c>
      <c r="C255" s="118" t="str">
        <f ca="1">SUBSTITUTE(IFERROR(INDEX((COPIA!$DA$3:$DE$2300),MATCH(ROWS(C$8:C255),COPIA!$DF$3:$DF$2300,0),COLUMN()-1),""),"MASTRO","")</f>
        <v/>
      </c>
      <c r="D255" s="29" t="str">
        <f ca="1">IF(IFERROR(INDEX((COPIA!$DA$3:$DE$2300),MATCH(ROWS(D$8:D255),COPIA!$DF$3:$DF$2300,0),COLUMN()-1),"")=0,"",IFERROR(INDEX((COPIA!$DA$3:$DE$2300),MATCH(ROWS(D$8:D255),COPIA!$DF$3:$DF$2300,0),COLUMN()-1),""))</f>
        <v/>
      </c>
      <c r="E255" s="45" t="str">
        <f ca="1">IF(IFERROR(INDEX((COPIA!$DA$3:$DE$2300),MATCH(ROWS(E$8:E255),COPIA!$DF$3:$DF$2300,0),COLUMN()-1),"")=0,"",IFERROR(INDEX((COPIA!$DA$3:$DE$2300),MATCH(ROWS(E$8:E255),COPIA!$DF$3:$DF$2300,0),COLUMN()-1),""))</f>
        <v/>
      </c>
      <c r="F255" s="120" t="str">
        <f ca="1">IF(IFERROR(INDEX((COPIA!$DA$3:$DE$2300),MATCH(ROWS(F$8:F255),COPIA!$DF$3:$DF$2300,0),COLUMN()-1),"")=0,"",IFERROR(INDEX((COPIA!$DA$3:$DE$2300),MATCH(ROWS(F$8:F255),COPIA!$DF$3:$DF$2300,0),COLUMN()-1),""))</f>
        <v/>
      </c>
    </row>
    <row r="256" spans="2:6">
      <c r="B256" s="119" t="str">
        <f ca="1">IF(IFERROR(INDEX((COPIA!$DA$3:$DE$2300),MATCH(ROWS(B$8:B256),COPIA!$DF$3:$DF$2300,0),COLUMN()-1),"")&gt;=1,IFERROR(INDEX((COPIA!$DA$3:$DE$2300),MATCH(ROWS(B$8:B256),COPIA!$DF$3:$DF$2300,0),COLUMN()-1),""),"")</f>
        <v/>
      </c>
      <c r="C256" s="118" t="str">
        <f ca="1">SUBSTITUTE(IFERROR(INDEX((COPIA!$DA$3:$DE$2300),MATCH(ROWS(C$8:C256),COPIA!$DF$3:$DF$2300,0),COLUMN()-1),""),"MASTRO","")</f>
        <v/>
      </c>
      <c r="D256" s="29" t="str">
        <f ca="1">IF(IFERROR(INDEX((COPIA!$DA$3:$DE$2300),MATCH(ROWS(D$8:D256),COPIA!$DF$3:$DF$2300,0),COLUMN()-1),"")=0,"",IFERROR(INDEX((COPIA!$DA$3:$DE$2300),MATCH(ROWS(D$8:D256),COPIA!$DF$3:$DF$2300,0),COLUMN()-1),""))</f>
        <v/>
      </c>
      <c r="E256" s="45" t="str">
        <f ca="1">IF(IFERROR(INDEX((COPIA!$DA$3:$DE$2300),MATCH(ROWS(E$8:E256),COPIA!$DF$3:$DF$2300,0),COLUMN()-1),"")=0,"",IFERROR(INDEX((COPIA!$DA$3:$DE$2300),MATCH(ROWS(E$8:E256),COPIA!$DF$3:$DF$2300,0),COLUMN()-1),""))</f>
        <v/>
      </c>
      <c r="F256" s="120" t="str">
        <f ca="1">IF(IFERROR(INDEX((COPIA!$DA$3:$DE$2300),MATCH(ROWS(F$8:F256),COPIA!$DF$3:$DF$2300,0),COLUMN()-1),"")=0,"",IFERROR(INDEX((COPIA!$DA$3:$DE$2300),MATCH(ROWS(F$8:F256),COPIA!$DF$3:$DF$2300,0),COLUMN()-1),""))</f>
        <v/>
      </c>
    </row>
    <row r="257" spans="2:6">
      <c r="B257" s="119" t="str">
        <f ca="1">IF(IFERROR(INDEX((COPIA!$DA$3:$DE$2300),MATCH(ROWS(B$8:B257),COPIA!$DF$3:$DF$2300,0),COLUMN()-1),"")&gt;=1,IFERROR(INDEX((COPIA!$DA$3:$DE$2300),MATCH(ROWS(B$8:B257),COPIA!$DF$3:$DF$2300,0),COLUMN()-1),""),"")</f>
        <v/>
      </c>
      <c r="C257" s="118" t="str">
        <f ca="1">SUBSTITUTE(IFERROR(INDEX((COPIA!$DA$3:$DE$2300),MATCH(ROWS(C$8:C257),COPIA!$DF$3:$DF$2300,0),COLUMN()-1),""),"MASTRO","")</f>
        <v/>
      </c>
      <c r="D257" s="29" t="str">
        <f ca="1">IF(IFERROR(INDEX((COPIA!$DA$3:$DE$2300),MATCH(ROWS(D$8:D257),COPIA!$DF$3:$DF$2300,0),COLUMN()-1),"")=0,"",IFERROR(INDEX((COPIA!$DA$3:$DE$2300),MATCH(ROWS(D$8:D257),COPIA!$DF$3:$DF$2300,0),COLUMN()-1),""))</f>
        <v/>
      </c>
      <c r="E257" s="45" t="str">
        <f ca="1">IF(IFERROR(INDEX((COPIA!$DA$3:$DE$2300),MATCH(ROWS(E$8:E257),COPIA!$DF$3:$DF$2300,0),COLUMN()-1),"")=0,"",IFERROR(INDEX((COPIA!$DA$3:$DE$2300),MATCH(ROWS(E$8:E257),COPIA!$DF$3:$DF$2300,0),COLUMN()-1),""))</f>
        <v/>
      </c>
      <c r="F257" s="120" t="str">
        <f ca="1">IF(IFERROR(INDEX((COPIA!$DA$3:$DE$2300),MATCH(ROWS(F$8:F257),COPIA!$DF$3:$DF$2300,0),COLUMN()-1),"")=0,"",IFERROR(INDEX((COPIA!$DA$3:$DE$2300),MATCH(ROWS(F$8:F257),COPIA!$DF$3:$DF$2300,0),COLUMN()-1),""))</f>
        <v/>
      </c>
    </row>
    <row r="258" spans="2:6">
      <c r="B258" s="119" t="str">
        <f ca="1">IF(IFERROR(INDEX((COPIA!$DA$3:$DE$2300),MATCH(ROWS(B$8:B258),COPIA!$DF$3:$DF$2300,0),COLUMN()-1),"")&gt;=1,IFERROR(INDEX((COPIA!$DA$3:$DE$2300),MATCH(ROWS(B$8:B258),COPIA!$DF$3:$DF$2300,0),COLUMN()-1),""),"")</f>
        <v/>
      </c>
      <c r="C258" s="118" t="str">
        <f ca="1">SUBSTITUTE(IFERROR(INDEX((COPIA!$DA$3:$DE$2300),MATCH(ROWS(C$8:C258),COPIA!$DF$3:$DF$2300,0),COLUMN()-1),""),"MASTRO","")</f>
        <v/>
      </c>
      <c r="D258" s="29" t="str">
        <f ca="1">IF(IFERROR(INDEX((COPIA!$DA$3:$DE$2300),MATCH(ROWS(D$8:D258),COPIA!$DF$3:$DF$2300,0),COLUMN()-1),"")=0,"",IFERROR(INDEX((COPIA!$DA$3:$DE$2300),MATCH(ROWS(D$8:D258),COPIA!$DF$3:$DF$2300,0),COLUMN()-1),""))</f>
        <v/>
      </c>
      <c r="E258" s="45" t="str">
        <f ca="1">IF(IFERROR(INDEX((COPIA!$DA$3:$DE$2300),MATCH(ROWS(E$8:E258),COPIA!$DF$3:$DF$2300,0),COLUMN()-1),"")=0,"",IFERROR(INDEX((COPIA!$DA$3:$DE$2300),MATCH(ROWS(E$8:E258),COPIA!$DF$3:$DF$2300,0),COLUMN()-1),""))</f>
        <v/>
      </c>
      <c r="F258" s="120" t="str">
        <f ca="1">IF(IFERROR(INDEX((COPIA!$DA$3:$DE$2300),MATCH(ROWS(F$8:F258),COPIA!$DF$3:$DF$2300,0),COLUMN()-1),"")=0,"",IFERROR(INDEX((COPIA!$DA$3:$DE$2300),MATCH(ROWS(F$8:F258),COPIA!$DF$3:$DF$2300,0),COLUMN()-1),""))</f>
        <v/>
      </c>
    </row>
    <row r="259" spans="2:6">
      <c r="B259" s="119" t="str">
        <f ca="1">IF(IFERROR(INDEX((COPIA!$DA$3:$DE$2300),MATCH(ROWS(B$8:B259),COPIA!$DF$3:$DF$2300,0),COLUMN()-1),"")&gt;=1,IFERROR(INDEX((COPIA!$DA$3:$DE$2300),MATCH(ROWS(B$8:B259),COPIA!$DF$3:$DF$2300,0),COLUMN()-1),""),"")</f>
        <v/>
      </c>
      <c r="C259" s="118" t="str">
        <f ca="1">SUBSTITUTE(IFERROR(INDEX((COPIA!$DA$3:$DE$2300),MATCH(ROWS(C$8:C259),COPIA!$DF$3:$DF$2300,0),COLUMN()-1),""),"MASTRO","")</f>
        <v/>
      </c>
      <c r="D259" s="29" t="str">
        <f ca="1">IF(IFERROR(INDEX((COPIA!$DA$3:$DE$2300),MATCH(ROWS(D$8:D259),COPIA!$DF$3:$DF$2300,0),COLUMN()-1),"")=0,"",IFERROR(INDEX((COPIA!$DA$3:$DE$2300),MATCH(ROWS(D$8:D259),COPIA!$DF$3:$DF$2300,0),COLUMN()-1),""))</f>
        <v/>
      </c>
      <c r="E259" s="45" t="str">
        <f ca="1">IF(IFERROR(INDEX((COPIA!$DA$3:$DE$2300),MATCH(ROWS(E$8:E259),COPIA!$DF$3:$DF$2300,0),COLUMN()-1),"")=0,"",IFERROR(INDEX((COPIA!$DA$3:$DE$2300),MATCH(ROWS(E$8:E259),COPIA!$DF$3:$DF$2300,0),COLUMN()-1),""))</f>
        <v/>
      </c>
      <c r="F259" s="120" t="str">
        <f ca="1">IF(IFERROR(INDEX((COPIA!$DA$3:$DE$2300),MATCH(ROWS(F$8:F259),COPIA!$DF$3:$DF$2300,0),COLUMN()-1),"")=0,"",IFERROR(INDEX((COPIA!$DA$3:$DE$2300),MATCH(ROWS(F$8:F259),COPIA!$DF$3:$DF$2300,0),COLUMN()-1),""))</f>
        <v/>
      </c>
    </row>
    <row r="260" spans="2:6">
      <c r="B260" s="119" t="str">
        <f ca="1">IF(IFERROR(INDEX((COPIA!$DA$3:$DE$2300),MATCH(ROWS(B$8:B260),COPIA!$DF$3:$DF$2300,0),COLUMN()-1),"")&gt;=1,IFERROR(INDEX((COPIA!$DA$3:$DE$2300),MATCH(ROWS(B$8:B260),COPIA!$DF$3:$DF$2300,0),COLUMN()-1),""),"")</f>
        <v/>
      </c>
      <c r="C260" s="118" t="str">
        <f ca="1">SUBSTITUTE(IFERROR(INDEX((COPIA!$DA$3:$DE$2300),MATCH(ROWS(C$8:C260),COPIA!$DF$3:$DF$2300,0),COLUMN()-1),""),"MASTRO","")</f>
        <v/>
      </c>
      <c r="D260" s="29" t="str">
        <f ca="1">IF(IFERROR(INDEX((COPIA!$DA$3:$DE$2300),MATCH(ROWS(D$8:D260),COPIA!$DF$3:$DF$2300,0),COLUMN()-1),"")=0,"",IFERROR(INDEX((COPIA!$DA$3:$DE$2300),MATCH(ROWS(D$8:D260),COPIA!$DF$3:$DF$2300,0),COLUMN()-1),""))</f>
        <v/>
      </c>
      <c r="E260" s="45" t="str">
        <f ca="1">IF(IFERROR(INDEX((COPIA!$DA$3:$DE$2300),MATCH(ROWS(E$8:E260),COPIA!$DF$3:$DF$2300,0),COLUMN()-1),"")=0,"",IFERROR(INDEX((COPIA!$DA$3:$DE$2300),MATCH(ROWS(E$8:E260),COPIA!$DF$3:$DF$2300,0),COLUMN()-1),""))</f>
        <v/>
      </c>
      <c r="F260" s="120" t="str">
        <f ca="1">IF(IFERROR(INDEX((COPIA!$DA$3:$DE$2300),MATCH(ROWS(F$8:F260),COPIA!$DF$3:$DF$2300,0),COLUMN()-1),"")=0,"",IFERROR(INDEX((COPIA!$DA$3:$DE$2300),MATCH(ROWS(F$8:F260),COPIA!$DF$3:$DF$2300,0),COLUMN()-1),""))</f>
        <v/>
      </c>
    </row>
    <row r="261" spans="2:6">
      <c r="B261" s="119" t="str">
        <f ca="1">IF(IFERROR(INDEX((COPIA!$DA$3:$DE$2300),MATCH(ROWS(B$8:B261),COPIA!$DF$3:$DF$2300,0),COLUMN()-1),"")&gt;=1,IFERROR(INDEX((COPIA!$DA$3:$DE$2300),MATCH(ROWS(B$8:B261),COPIA!$DF$3:$DF$2300,0),COLUMN()-1),""),"")</f>
        <v/>
      </c>
      <c r="C261" s="118" t="str">
        <f ca="1">SUBSTITUTE(IFERROR(INDEX((COPIA!$DA$3:$DE$2300),MATCH(ROWS(C$8:C261),COPIA!$DF$3:$DF$2300,0),COLUMN()-1),""),"MASTRO","")</f>
        <v/>
      </c>
      <c r="D261" s="29" t="str">
        <f ca="1">IF(IFERROR(INDEX((COPIA!$DA$3:$DE$2300),MATCH(ROWS(D$8:D261),COPIA!$DF$3:$DF$2300,0),COLUMN()-1),"")=0,"",IFERROR(INDEX((COPIA!$DA$3:$DE$2300),MATCH(ROWS(D$8:D261),COPIA!$DF$3:$DF$2300,0),COLUMN()-1),""))</f>
        <v/>
      </c>
      <c r="E261" s="45" t="str">
        <f ca="1">IF(IFERROR(INDEX((COPIA!$DA$3:$DE$2300),MATCH(ROWS(E$8:E261),COPIA!$DF$3:$DF$2300,0),COLUMN()-1),"")=0,"",IFERROR(INDEX((COPIA!$DA$3:$DE$2300),MATCH(ROWS(E$8:E261),COPIA!$DF$3:$DF$2300,0),COLUMN()-1),""))</f>
        <v/>
      </c>
      <c r="F261" s="120" t="str">
        <f ca="1">IF(IFERROR(INDEX((COPIA!$DA$3:$DE$2300),MATCH(ROWS(F$8:F261),COPIA!$DF$3:$DF$2300,0),COLUMN()-1),"")=0,"",IFERROR(INDEX((COPIA!$DA$3:$DE$2300),MATCH(ROWS(F$8:F261),COPIA!$DF$3:$DF$2300,0),COLUMN()-1),""))</f>
        <v/>
      </c>
    </row>
    <row r="262" spans="2:6">
      <c r="B262" s="119" t="str">
        <f ca="1">IF(IFERROR(INDEX((COPIA!$DA$3:$DE$2300),MATCH(ROWS(B$8:B262),COPIA!$DF$3:$DF$2300,0),COLUMN()-1),"")&gt;=1,IFERROR(INDEX((COPIA!$DA$3:$DE$2300),MATCH(ROWS(B$8:B262),COPIA!$DF$3:$DF$2300,0),COLUMN()-1),""),"")</f>
        <v/>
      </c>
      <c r="C262" s="118" t="str">
        <f ca="1">SUBSTITUTE(IFERROR(INDEX((COPIA!$DA$3:$DE$2300),MATCH(ROWS(C$8:C262),COPIA!$DF$3:$DF$2300,0),COLUMN()-1),""),"MASTRO","")</f>
        <v/>
      </c>
      <c r="D262" s="29" t="str">
        <f ca="1">IF(IFERROR(INDEX((COPIA!$DA$3:$DE$2300),MATCH(ROWS(D$8:D262),COPIA!$DF$3:$DF$2300,0),COLUMN()-1),"")=0,"",IFERROR(INDEX((COPIA!$DA$3:$DE$2300),MATCH(ROWS(D$8:D262),COPIA!$DF$3:$DF$2300,0),COLUMN()-1),""))</f>
        <v/>
      </c>
      <c r="E262" s="45" t="str">
        <f ca="1">IF(IFERROR(INDEX((COPIA!$DA$3:$DE$2300),MATCH(ROWS(E$8:E262),COPIA!$DF$3:$DF$2300,0),COLUMN()-1),"")=0,"",IFERROR(INDEX((COPIA!$DA$3:$DE$2300),MATCH(ROWS(E$8:E262),COPIA!$DF$3:$DF$2300,0),COLUMN()-1),""))</f>
        <v/>
      </c>
      <c r="F262" s="120" t="str">
        <f ca="1">IF(IFERROR(INDEX((COPIA!$DA$3:$DE$2300),MATCH(ROWS(F$8:F262),COPIA!$DF$3:$DF$2300,0),COLUMN()-1),"")=0,"",IFERROR(INDEX((COPIA!$DA$3:$DE$2300),MATCH(ROWS(F$8:F262),COPIA!$DF$3:$DF$2300,0),COLUMN()-1),""))</f>
        <v/>
      </c>
    </row>
    <row r="263" spans="2:6">
      <c r="B263" s="119" t="str">
        <f ca="1">IF(IFERROR(INDEX((COPIA!$DA$3:$DE$2300),MATCH(ROWS(B$8:B263),COPIA!$DF$3:$DF$2300,0),COLUMN()-1),"")&gt;=1,IFERROR(INDEX((COPIA!$DA$3:$DE$2300),MATCH(ROWS(B$8:B263),COPIA!$DF$3:$DF$2300,0),COLUMN()-1),""),"")</f>
        <v/>
      </c>
      <c r="C263" s="118" t="str">
        <f ca="1">SUBSTITUTE(IFERROR(INDEX((COPIA!$DA$3:$DE$2300),MATCH(ROWS(C$8:C263),COPIA!$DF$3:$DF$2300,0),COLUMN()-1),""),"MASTRO","")</f>
        <v/>
      </c>
      <c r="D263" s="29" t="str">
        <f ca="1">IF(IFERROR(INDEX((COPIA!$DA$3:$DE$2300),MATCH(ROWS(D$8:D263),COPIA!$DF$3:$DF$2300,0),COLUMN()-1),"")=0,"",IFERROR(INDEX((COPIA!$DA$3:$DE$2300),MATCH(ROWS(D$8:D263),COPIA!$DF$3:$DF$2300,0),COLUMN()-1),""))</f>
        <v/>
      </c>
      <c r="E263" s="45" t="str">
        <f ca="1">IF(IFERROR(INDEX((COPIA!$DA$3:$DE$2300),MATCH(ROWS(E$8:E263),COPIA!$DF$3:$DF$2300,0),COLUMN()-1),"")=0,"",IFERROR(INDEX((COPIA!$DA$3:$DE$2300),MATCH(ROWS(E$8:E263),COPIA!$DF$3:$DF$2300,0),COLUMN()-1),""))</f>
        <v/>
      </c>
      <c r="F263" s="120" t="str">
        <f ca="1">IF(IFERROR(INDEX((COPIA!$DA$3:$DE$2300),MATCH(ROWS(F$8:F263),COPIA!$DF$3:$DF$2300,0),COLUMN()-1),"")=0,"",IFERROR(INDEX((COPIA!$DA$3:$DE$2300),MATCH(ROWS(F$8:F263),COPIA!$DF$3:$DF$2300,0),COLUMN()-1),""))</f>
        <v/>
      </c>
    </row>
    <row r="264" spans="2:6">
      <c r="B264" s="119" t="str">
        <f ca="1">IF(IFERROR(INDEX((COPIA!$DA$3:$DE$2300),MATCH(ROWS(B$8:B264),COPIA!$DF$3:$DF$2300,0),COLUMN()-1),"")&gt;=1,IFERROR(INDEX((COPIA!$DA$3:$DE$2300),MATCH(ROWS(B$8:B264),COPIA!$DF$3:$DF$2300,0),COLUMN()-1),""),"")</f>
        <v/>
      </c>
      <c r="C264" s="118" t="str">
        <f ca="1">SUBSTITUTE(IFERROR(INDEX((COPIA!$DA$3:$DE$2300),MATCH(ROWS(C$8:C264),COPIA!$DF$3:$DF$2300,0),COLUMN()-1),""),"MASTRO","")</f>
        <v/>
      </c>
      <c r="D264" s="29" t="str">
        <f ca="1">IF(IFERROR(INDEX((COPIA!$DA$3:$DE$2300),MATCH(ROWS(D$8:D264),COPIA!$DF$3:$DF$2300,0),COLUMN()-1),"")=0,"",IFERROR(INDEX((COPIA!$DA$3:$DE$2300),MATCH(ROWS(D$8:D264),COPIA!$DF$3:$DF$2300,0),COLUMN()-1),""))</f>
        <v/>
      </c>
      <c r="E264" s="45" t="str">
        <f ca="1">IF(IFERROR(INDEX((COPIA!$DA$3:$DE$2300),MATCH(ROWS(E$8:E264),COPIA!$DF$3:$DF$2300,0),COLUMN()-1),"")=0,"",IFERROR(INDEX((COPIA!$DA$3:$DE$2300),MATCH(ROWS(E$8:E264),COPIA!$DF$3:$DF$2300,0),COLUMN()-1),""))</f>
        <v/>
      </c>
      <c r="F264" s="120" t="str">
        <f ca="1">IF(IFERROR(INDEX((COPIA!$DA$3:$DE$2300),MATCH(ROWS(F$8:F264),COPIA!$DF$3:$DF$2300,0),COLUMN()-1),"")=0,"",IFERROR(INDEX((COPIA!$DA$3:$DE$2300),MATCH(ROWS(F$8:F264),COPIA!$DF$3:$DF$2300,0),COLUMN()-1),""))</f>
        <v/>
      </c>
    </row>
    <row r="265" spans="2:6">
      <c r="B265" s="119" t="str">
        <f ca="1">IF(IFERROR(INDEX((COPIA!$DA$3:$DE$2300),MATCH(ROWS(B$8:B265),COPIA!$DF$3:$DF$2300,0),COLUMN()-1),"")&gt;=1,IFERROR(INDEX((COPIA!$DA$3:$DE$2300),MATCH(ROWS(B$8:B265),COPIA!$DF$3:$DF$2300,0),COLUMN()-1),""),"")</f>
        <v/>
      </c>
      <c r="C265" s="118" t="str">
        <f ca="1">SUBSTITUTE(IFERROR(INDEX((COPIA!$DA$3:$DE$2300),MATCH(ROWS(C$8:C265),COPIA!$DF$3:$DF$2300,0),COLUMN()-1),""),"MASTRO","")</f>
        <v/>
      </c>
      <c r="D265" s="29" t="str">
        <f ca="1">IF(IFERROR(INDEX((COPIA!$DA$3:$DE$2300),MATCH(ROWS(D$8:D265),COPIA!$DF$3:$DF$2300,0),COLUMN()-1),"")=0,"",IFERROR(INDEX((COPIA!$DA$3:$DE$2300),MATCH(ROWS(D$8:D265),COPIA!$DF$3:$DF$2300,0),COLUMN()-1),""))</f>
        <v/>
      </c>
      <c r="E265" s="45" t="str">
        <f ca="1">IF(IFERROR(INDEX((COPIA!$DA$3:$DE$2300),MATCH(ROWS(E$8:E265),COPIA!$DF$3:$DF$2300,0),COLUMN()-1),"")=0,"",IFERROR(INDEX((COPIA!$DA$3:$DE$2300),MATCH(ROWS(E$8:E265),COPIA!$DF$3:$DF$2300,0),COLUMN()-1),""))</f>
        <v/>
      </c>
      <c r="F265" s="120" t="str">
        <f ca="1">IF(IFERROR(INDEX((COPIA!$DA$3:$DE$2300),MATCH(ROWS(F$8:F265),COPIA!$DF$3:$DF$2300,0),COLUMN()-1),"")=0,"",IFERROR(INDEX((COPIA!$DA$3:$DE$2300),MATCH(ROWS(F$8:F265),COPIA!$DF$3:$DF$2300,0),COLUMN()-1),""))</f>
        <v/>
      </c>
    </row>
    <row r="266" spans="2:6">
      <c r="B266" s="119" t="str">
        <f ca="1">IF(IFERROR(INDEX((COPIA!$DA$3:$DE$2300),MATCH(ROWS(B$8:B266),COPIA!$DF$3:$DF$2300,0),COLUMN()-1),"")&gt;=1,IFERROR(INDEX((COPIA!$DA$3:$DE$2300),MATCH(ROWS(B$8:B266),COPIA!$DF$3:$DF$2300,0),COLUMN()-1),""),"")</f>
        <v/>
      </c>
      <c r="C266" s="118" t="str">
        <f ca="1">SUBSTITUTE(IFERROR(INDEX((COPIA!$DA$3:$DE$2300),MATCH(ROWS(C$8:C266),COPIA!$DF$3:$DF$2300,0),COLUMN()-1),""),"MASTRO","")</f>
        <v/>
      </c>
      <c r="D266" s="29" t="str">
        <f ca="1">IF(IFERROR(INDEX((COPIA!$DA$3:$DE$2300),MATCH(ROWS(D$8:D266),COPIA!$DF$3:$DF$2300,0),COLUMN()-1),"")=0,"",IFERROR(INDEX((COPIA!$DA$3:$DE$2300),MATCH(ROWS(D$8:D266),COPIA!$DF$3:$DF$2300,0),COLUMN()-1),""))</f>
        <v/>
      </c>
      <c r="E266" s="45" t="str">
        <f ca="1">IF(IFERROR(INDEX((COPIA!$DA$3:$DE$2300),MATCH(ROWS(E$8:E266),COPIA!$DF$3:$DF$2300,0),COLUMN()-1),"")=0,"",IFERROR(INDEX((COPIA!$DA$3:$DE$2300),MATCH(ROWS(E$8:E266),COPIA!$DF$3:$DF$2300,0),COLUMN()-1),""))</f>
        <v/>
      </c>
      <c r="F266" s="120" t="str">
        <f ca="1">IF(IFERROR(INDEX((COPIA!$DA$3:$DE$2300),MATCH(ROWS(F$8:F266),COPIA!$DF$3:$DF$2300,0),COLUMN()-1),"")=0,"",IFERROR(INDEX((COPIA!$DA$3:$DE$2300),MATCH(ROWS(F$8:F266),COPIA!$DF$3:$DF$2300,0),COLUMN()-1),""))</f>
        <v/>
      </c>
    </row>
    <row r="267" spans="2:6">
      <c r="B267" s="119" t="str">
        <f ca="1">IF(IFERROR(INDEX((COPIA!$DA$3:$DE$2300),MATCH(ROWS(B$8:B267),COPIA!$DF$3:$DF$2300,0),COLUMN()-1),"")&gt;=1,IFERROR(INDEX((COPIA!$DA$3:$DE$2300),MATCH(ROWS(B$8:B267),COPIA!$DF$3:$DF$2300,0),COLUMN()-1),""),"")</f>
        <v/>
      </c>
      <c r="C267" s="118" t="str">
        <f ca="1">SUBSTITUTE(IFERROR(INDEX((COPIA!$DA$3:$DE$2300),MATCH(ROWS(C$8:C267),COPIA!$DF$3:$DF$2300,0),COLUMN()-1),""),"MASTRO","")</f>
        <v/>
      </c>
      <c r="D267" s="29" t="str">
        <f ca="1">IF(IFERROR(INDEX((COPIA!$DA$3:$DE$2300),MATCH(ROWS(D$8:D267),COPIA!$DF$3:$DF$2300,0),COLUMN()-1),"")=0,"",IFERROR(INDEX((COPIA!$DA$3:$DE$2300),MATCH(ROWS(D$8:D267),COPIA!$DF$3:$DF$2300,0),COLUMN()-1),""))</f>
        <v/>
      </c>
      <c r="E267" s="45" t="str">
        <f ca="1">IF(IFERROR(INDEX((COPIA!$DA$3:$DE$2300),MATCH(ROWS(E$8:E267),COPIA!$DF$3:$DF$2300,0),COLUMN()-1),"")=0,"",IFERROR(INDEX((COPIA!$DA$3:$DE$2300),MATCH(ROWS(E$8:E267),COPIA!$DF$3:$DF$2300,0),COLUMN()-1),""))</f>
        <v/>
      </c>
      <c r="F267" s="120" t="str">
        <f ca="1">IF(IFERROR(INDEX((COPIA!$DA$3:$DE$2300),MATCH(ROWS(F$8:F267),COPIA!$DF$3:$DF$2300,0),COLUMN()-1),"")=0,"",IFERROR(INDEX((COPIA!$DA$3:$DE$2300),MATCH(ROWS(F$8:F267),COPIA!$DF$3:$DF$2300,0),COLUMN()-1),""))</f>
        <v/>
      </c>
    </row>
    <row r="268" spans="2:6">
      <c r="B268" s="119" t="str">
        <f ca="1">IF(IFERROR(INDEX((COPIA!$DA$3:$DE$2300),MATCH(ROWS(B$8:B268),COPIA!$DF$3:$DF$2300,0),COLUMN()-1),"")&gt;=1,IFERROR(INDEX((COPIA!$DA$3:$DE$2300),MATCH(ROWS(B$8:B268),COPIA!$DF$3:$DF$2300,0),COLUMN()-1),""),"")</f>
        <v/>
      </c>
      <c r="C268" s="118" t="str">
        <f ca="1">SUBSTITUTE(IFERROR(INDEX((COPIA!$DA$3:$DE$2300),MATCH(ROWS(C$8:C268),COPIA!$DF$3:$DF$2300,0),COLUMN()-1),""),"MASTRO","")</f>
        <v/>
      </c>
      <c r="D268" s="29" t="str">
        <f ca="1">IF(IFERROR(INDEX((COPIA!$DA$3:$DE$2300),MATCH(ROWS(D$8:D268),COPIA!$DF$3:$DF$2300,0),COLUMN()-1),"")=0,"",IFERROR(INDEX((COPIA!$DA$3:$DE$2300),MATCH(ROWS(D$8:D268),COPIA!$DF$3:$DF$2300,0),COLUMN()-1),""))</f>
        <v/>
      </c>
      <c r="E268" s="45" t="str">
        <f ca="1">IF(IFERROR(INDEX((COPIA!$DA$3:$DE$2300),MATCH(ROWS(E$8:E268),COPIA!$DF$3:$DF$2300,0),COLUMN()-1),"")=0,"",IFERROR(INDEX((COPIA!$DA$3:$DE$2300),MATCH(ROWS(E$8:E268),COPIA!$DF$3:$DF$2300,0),COLUMN()-1),""))</f>
        <v/>
      </c>
      <c r="F268" s="120" t="str">
        <f ca="1">IF(IFERROR(INDEX((COPIA!$DA$3:$DE$2300),MATCH(ROWS(F$8:F268),COPIA!$DF$3:$DF$2300,0),COLUMN()-1),"")=0,"",IFERROR(INDEX((COPIA!$DA$3:$DE$2300),MATCH(ROWS(F$8:F268),COPIA!$DF$3:$DF$2300,0),COLUMN()-1),""))</f>
        <v/>
      </c>
    </row>
    <row r="269" spans="2:6">
      <c r="B269" s="119" t="str">
        <f ca="1">IF(IFERROR(INDEX((COPIA!$DA$3:$DE$2300),MATCH(ROWS(B$8:B269),COPIA!$DF$3:$DF$2300,0),COLUMN()-1),"")&gt;=1,IFERROR(INDEX((COPIA!$DA$3:$DE$2300),MATCH(ROWS(B$8:B269),COPIA!$DF$3:$DF$2300,0),COLUMN()-1),""),"")</f>
        <v/>
      </c>
      <c r="C269" s="118" t="str">
        <f ca="1">SUBSTITUTE(IFERROR(INDEX((COPIA!$DA$3:$DE$2300),MATCH(ROWS(C$8:C269),COPIA!$DF$3:$DF$2300,0),COLUMN()-1),""),"MASTRO","")</f>
        <v/>
      </c>
      <c r="D269" s="29" t="str">
        <f ca="1">IF(IFERROR(INDEX((COPIA!$DA$3:$DE$2300),MATCH(ROWS(D$8:D269),COPIA!$DF$3:$DF$2300,0),COLUMN()-1),"")=0,"",IFERROR(INDEX((COPIA!$DA$3:$DE$2300),MATCH(ROWS(D$8:D269),COPIA!$DF$3:$DF$2300,0),COLUMN()-1),""))</f>
        <v/>
      </c>
      <c r="E269" s="45" t="str">
        <f ca="1">IF(IFERROR(INDEX((COPIA!$DA$3:$DE$2300),MATCH(ROWS(E$8:E269),COPIA!$DF$3:$DF$2300,0),COLUMN()-1),"")=0,"",IFERROR(INDEX((COPIA!$DA$3:$DE$2300),MATCH(ROWS(E$8:E269),COPIA!$DF$3:$DF$2300,0),COLUMN()-1),""))</f>
        <v/>
      </c>
      <c r="F269" s="120" t="str">
        <f ca="1">IF(IFERROR(INDEX((COPIA!$DA$3:$DE$2300),MATCH(ROWS(F$8:F269),COPIA!$DF$3:$DF$2300,0),COLUMN()-1),"")=0,"",IFERROR(INDEX((COPIA!$DA$3:$DE$2300),MATCH(ROWS(F$8:F269),COPIA!$DF$3:$DF$2300,0),COLUMN()-1),""))</f>
        <v/>
      </c>
    </row>
    <row r="270" spans="2:6">
      <c r="B270" s="119" t="str">
        <f ca="1">IF(IFERROR(INDEX((COPIA!$DA$3:$DE$2300),MATCH(ROWS(B$8:B270),COPIA!$DF$3:$DF$2300,0),COLUMN()-1),"")&gt;=1,IFERROR(INDEX((COPIA!$DA$3:$DE$2300),MATCH(ROWS(B$8:B270),COPIA!$DF$3:$DF$2300,0),COLUMN()-1),""),"")</f>
        <v/>
      </c>
      <c r="C270" s="118" t="str">
        <f ca="1">SUBSTITUTE(IFERROR(INDEX((COPIA!$DA$3:$DE$2300),MATCH(ROWS(C$8:C270),COPIA!$DF$3:$DF$2300,0),COLUMN()-1),""),"MASTRO","")</f>
        <v/>
      </c>
      <c r="D270" s="29" t="str">
        <f ca="1">IF(IFERROR(INDEX((COPIA!$DA$3:$DE$2300),MATCH(ROWS(D$8:D270),COPIA!$DF$3:$DF$2300,0),COLUMN()-1),"")=0,"",IFERROR(INDEX((COPIA!$DA$3:$DE$2300),MATCH(ROWS(D$8:D270),COPIA!$DF$3:$DF$2300,0),COLUMN()-1),""))</f>
        <v/>
      </c>
      <c r="E270" s="45" t="str">
        <f ca="1">IF(IFERROR(INDEX((COPIA!$DA$3:$DE$2300),MATCH(ROWS(E$8:E270),COPIA!$DF$3:$DF$2300,0),COLUMN()-1),"")=0,"",IFERROR(INDEX((COPIA!$DA$3:$DE$2300),MATCH(ROWS(E$8:E270),COPIA!$DF$3:$DF$2300,0),COLUMN()-1),""))</f>
        <v/>
      </c>
      <c r="F270" s="120" t="str">
        <f ca="1">IF(IFERROR(INDEX((COPIA!$DA$3:$DE$2300),MATCH(ROWS(F$8:F270),COPIA!$DF$3:$DF$2300,0),COLUMN()-1),"")=0,"",IFERROR(INDEX((COPIA!$DA$3:$DE$2300),MATCH(ROWS(F$8:F270),COPIA!$DF$3:$DF$2300,0),COLUMN()-1),""))</f>
        <v/>
      </c>
    </row>
    <row r="271" spans="2:6">
      <c r="B271" s="119" t="str">
        <f ca="1">IF(IFERROR(INDEX((COPIA!$DA$3:$DE$2300),MATCH(ROWS(B$8:B271),COPIA!$DF$3:$DF$2300,0),COLUMN()-1),"")&gt;=1,IFERROR(INDEX((COPIA!$DA$3:$DE$2300),MATCH(ROWS(B$8:B271),COPIA!$DF$3:$DF$2300,0),COLUMN()-1),""),"")</f>
        <v/>
      </c>
      <c r="C271" s="118" t="str">
        <f ca="1">SUBSTITUTE(IFERROR(INDEX((COPIA!$DA$3:$DE$2300),MATCH(ROWS(C$8:C271),COPIA!$DF$3:$DF$2300,0),COLUMN()-1),""),"MASTRO","")</f>
        <v/>
      </c>
      <c r="D271" s="29" t="str">
        <f ca="1">IF(IFERROR(INDEX((COPIA!$DA$3:$DE$2300),MATCH(ROWS(D$8:D271),COPIA!$DF$3:$DF$2300,0),COLUMN()-1),"")=0,"",IFERROR(INDEX((COPIA!$DA$3:$DE$2300),MATCH(ROWS(D$8:D271),COPIA!$DF$3:$DF$2300,0),COLUMN()-1),""))</f>
        <v/>
      </c>
      <c r="E271" s="45" t="str">
        <f ca="1">IF(IFERROR(INDEX((COPIA!$DA$3:$DE$2300),MATCH(ROWS(E$8:E271),COPIA!$DF$3:$DF$2300,0),COLUMN()-1),"")=0,"",IFERROR(INDEX((COPIA!$DA$3:$DE$2300),MATCH(ROWS(E$8:E271),COPIA!$DF$3:$DF$2300,0),COLUMN()-1),""))</f>
        <v/>
      </c>
      <c r="F271" s="120" t="str">
        <f ca="1">IF(IFERROR(INDEX((COPIA!$DA$3:$DE$2300),MATCH(ROWS(F$8:F271),COPIA!$DF$3:$DF$2300,0),COLUMN()-1),"")=0,"",IFERROR(INDEX((COPIA!$DA$3:$DE$2300),MATCH(ROWS(F$8:F271),COPIA!$DF$3:$DF$2300,0),COLUMN()-1),""))</f>
        <v/>
      </c>
    </row>
    <row r="272" spans="2:6">
      <c r="B272" s="119" t="str">
        <f ca="1">IF(IFERROR(INDEX((COPIA!$DA$3:$DE$2300),MATCH(ROWS(B$8:B272),COPIA!$DF$3:$DF$2300,0),COLUMN()-1),"")&gt;=1,IFERROR(INDEX((COPIA!$DA$3:$DE$2300),MATCH(ROWS(B$8:B272),COPIA!$DF$3:$DF$2300,0),COLUMN()-1),""),"")</f>
        <v/>
      </c>
      <c r="C272" s="118" t="str">
        <f ca="1">SUBSTITUTE(IFERROR(INDEX((COPIA!$DA$3:$DE$2300),MATCH(ROWS(C$8:C272),COPIA!$DF$3:$DF$2300,0),COLUMN()-1),""),"MASTRO","")</f>
        <v/>
      </c>
      <c r="D272" s="29" t="str">
        <f ca="1">IF(IFERROR(INDEX((COPIA!$DA$3:$DE$2300),MATCH(ROWS(D$8:D272),COPIA!$DF$3:$DF$2300,0),COLUMN()-1),"")=0,"",IFERROR(INDEX((COPIA!$DA$3:$DE$2300),MATCH(ROWS(D$8:D272),COPIA!$DF$3:$DF$2300,0),COLUMN()-1),""))</f>
        <v/>
      </c>
      <c r="E272" s="45" t="str">
        <f ca="1">IF(IFERROR(INDEX((COPIA!$DA$3:$DE$2300),MATCH(ROWS(E$8:E272),COPIA!$DF$3:$DF$2300,0),COLUMN()-1),"")=0,"",IFERROR(INDEX((COPIA!$DA$3:$DE$2300),MATCH(ROWS(E$8:E272),COPIA!$DF$3:$DF$2300,0),COLUMN()-1),""))</f>
        <v/>
      </c>
      <c r="F272" s="120" t="str">
        <f ca="1">IF(IFERROR(INDEX((COPIA!$DA$3:$DE$2300),MATCH(ROWS(F$8:F272),COPIA!$DF$3:$DF$2300,0),COLUMN()-1),"")=0,"",IFERROR(INDEX((COPIA!$DA$3:$DE$2300),MATCH(ROWS(F$8:F272),COPIA!$DF$3:$DF$2300,0),COLUMN()-1),""))</f>
        <v/>
      </c>
    </row>
    <row r="273" spans="2:6">
      <c r="B273" s="119" t="str">
        <f ca="1">IF(IFERROR(INDEX((COPIA!$DA$3:$DE$2300),MATCH(ROWS(B$8:B273),COPIA!$DF$3:$DF$2300,0),COLUMN()-1),"")&gt;=1,IFERROR(INDEX((COPIA!$DA$3:$DE$2300),MATCH(ROWS(B$8:B273),COPIA!$DF$3:$DF$2300,0),COLUMN()-1),""),"")</f>
        <v/>
      </c>
      <c r="C273" s="118" t="str">
        <f ca="1">SUBSTITUTE(IFERROR(INDEX((COPIA!$DA$3:$DE$2300),MATCH(ROWS(C$8:C273),COPIA!$DF$3:$DF$2300,0),COLUMN()-1),""),"MASTRO","")</f>
        <v/>
      </c>
      <c r="D273" s="29" t="str">
        <f ca="1">IF(IFERROR(INDEX((COPIA!$DA$3:$DE$2300),MATCH(ROWS(D$8:D273),COPIA!$DF$3:$DF$2300,0),COLUMN()-1),"")=0,"",IFERROR(INDEX((COPIA!$DA$3:$DE$2300),MATCH(ROWS(D$8:D273),COPIA!$DF$3:$DF$2300,0),COLUMN()-1),""))</f>
        <v/>
      </c>
      <c r="E273" s="45" t="str">
        <f ca="1">IF(IFERROR(INDEX((COPIA!$DA$3:$DE$2300),MATCH(ROWS(E$8:E273),COPIA!$DF$3:$DF$2300,0),COLUMN()-1),"")=0,"",IFERROR(INDEX((COPIA!$DA$3:$DE$2300),MATCH(ROWS(E$8:E273),COPIA!$DF$3:$DF$2300,0),COLUMN()-1),""))</f>
        <v/>
      </c>
      <c r="F273" s="120" t="str">
        <f ca="1">IF(IFERROR(INDEX((COPIA!$DA$3:$DE$2300),MATCH(ROWS(F$8:F273),COPIA!$DF$3:$DF$2300,0),COLUMN()-1),"")=0,"",IFERROR(INDEX((COPIA!$DA$3:$DE$2300),MATCH(ROWS(F$8:F273),COPIA!$DF$3:$DF$2300,0),COLUMN()-1),""))</f>
        <v/>
      </c>
    </row>
    <row r="274" spans="2:6">
      <c r="B274" s="119" t="str">
        <f ca="1">IF(IFERROR(INDEX((COPIA!$DA$3:$DE$2300),MATCH(ROWS(B$8:B274),COPIA!$DF$3:$DF$2300,0),COLUMN()-1),"")&gt;=1,IFERROR(INDEX((COPIA!$DA$3:$DE$2300),MATCH(ROWS(B$8:B274),COPIA!$DF$3:$DF$2300,0),COLUMN()-1),""),"")</f>
        <v/>
      </c>
      <c r="C274" s="118" t="str">
        <f ca="1">SUBSTITUTE(IFERROR(INDEX((COPIA!$DA$3:$DE$2300),MATCH(ROWS(C$8:C274),COPIA!$DF$3:$DF$2300,0),COLUMN()-1),""),"MASTRO","")</f>
        <v/>
      </c>
      <c r="D274" s="29" t="str">
        <f ca="1">IF(IFERROR(INDEX((COPIA!$DA$3:$DE$2300),MATCH(ROWS(D$8:D274),COPIA!$DF$3:$DF$2300,0),COLUMN()-1),"")=0,"",IFERROR(INDEX((COPIA!$DA$3:$DE$2300),MATCH(ROWS(D$8:D274),COPIA!$DF$3:$DF$2300,0),COLUMN()-1),""))</f>
        <v/>
      </c>
      <c r="E274" s="45" t="str">
        <f ca="1">IF(IFERROR(INDEX((COPIA!$DA$3:$DE$2300),MATCH(ROWS(E$8:E274),COPIA!$DF$3:$DF$2300,0),COLUMN()-1),"")=0,"",IFERROR(INDEX((COPIA!$DA$3:$DE$2300),MATCH(ROWS(E$8:E274),COPIA!$DF$3:$DF$2300,0),COLUMN()-1),""))</f>
        <v/>
      </c>
      <c r="F274" s="120" t="str">
        <f ca="1">IF(IFERROR(INDEX((COPIA!$DA$3:$DE$2300),MATCH(ROWS(F$8:F274),COPIA!$DF$3:$DF$2300,0),COLUMN()-1),"")=0,"",IFERROR(INDEX((COPIA!$DA$3:$DE$2300),MATCH(ROWS(F$8:F274),COPIA!$DF$3:$DF$2300,0),COLUMN()-1),""))</f>
        <v/>
      </c>
    </row>
    <row r="275" spans="2:6">
      <c r="B275" s="119" t="str">
        <f ca="1">IF(IFERROR(INDEX((COPIA!$DA$3:$DE$2300),MATCH(ROWS(B$8:B275),COPIA!$DF$3:$DF$2300,0),COLUMN()-1),"")&gt;=1,IFERROR(INDEX((COPIA!$DA$3:$DE$2300),MATCH(ROWS(B$8:B275),COPIA!$DF$3:$DF$2300,0),COLUMN()-1),""),"")</f>
        <v/>
      </c>
      <c r="C275" s="118" t="str">
        <f ca="1">SUBSTITUTE(IFERROR(INDEX((COPIA!$DA$3:$DE$2300),MATCH(ROWS(C$8:C275),COPIA!$DF$3:$DF$2300,0),COLUMN()-1),""),"MASTRO","")</f>
        <v/>
      </c>
      <c r="D275" s="29" t="str">
        <f ca="1">IF(IFERROR(INDEX((COPIA!$DA$3:$DE$2300),MATCH(ROWS(D$8:D275),COPIA!$DF$3:$DF$2300,0),COLUMN()-1),"")=0,"",IFERROR(INDEX((COPIA!$DA$3:$DE$2300),MATCH(ROWS(D$8:D275),COPIA!$DF$3:$DF$2300,0),COLUMN()-1),""))</f>
        <v/>
      </c>
      <c r="E275" s="45" t="str">
        <f ca="1">IF(IFERROR(INDEX((COPIA!$DA$3:$DE$2300),MATCH(ROWS(E$8:E275),COPIA!$DF$3:$DF$2300,0),COLUMN()-1),"")=0,"",IFERROR(INDEX((COPIA!$DA$3:$DE$2300),MATCH(ROWS(E$8:E275),COPIA!$DF$3:$DF$2300,0),COLUMN()-1),""))</f>
        <v/>
      </c>
      <c r="F275" s="120" t="str">
        <f ca="1">IF(IFERROR(INDEX((COPIA!$DA$3:$DE$2300),MATCH(ROWS(F$8:F275),COPIA!$DF$3:$DF$2300,0),COLUMN()-1),"")=0,"",IFERROR(INDEX((COPIA!$DA$3:$DE$2300),MATCH(ROWS(F$8:F275),COPIA!$DF$3:$DF$2300,0),COLUMN()-1),""))</f>
        <v/>
      </c>
    </row>
    <row r="276" spans="2:6">
      <c r="B276" s="119" t="str">
        <f ca="1">IF(IFERROR(INDEX((COPIA!$DA$3:$DE$2300),MATCH(ROWS(B$8:B276),COPIA!$DF$3:$DF$2300,0),COLUMN()-1),"")&gt;=1,IFERROR(INDEX((COPIA!$DA$3:$DE$2300),MATCH(ROWS(B$8:B276),COPIA!$DF$3:$DF$2300,0),COLUMN()-1),""),"")</f>
        <v/>
      </c>
      <c r="C276" s="118" t="str">
        <f ca="1">SUBSTITUTE(IFERROR(INDEX((COPIA!$DA$3:$DE$2300),MATCH(ROWS(C$8:C276),COPIA!$DF$3:$DF$2300,0),COLUMN()-1),""),"MASTRO","")</f>
        <v/>
      </c>
      <c r="D276" s="29" t="str">
        <f ca="1">IF(IFERROR(INDEX((COPIA!$DA$3:$DE$2300),MATCH(ROWS(D$8:D276),COPIA!$DF$3:$DF$2300,0),COLUMN()-1),"")=0,"",IFERROR(INDEX((COPIA!$DA$3:$DE$2300),MATCH(ROWS(D$8:D276),COPIA!$DF$3:$DF$2300,0),COLUMN()-1),""))</f>
        <v/>
      </c>
      <c r="E276" s="45" t="str">
        <f ca="1">IF(IFERROR(INDEX((COPIA!$DA$3:$DE$2300),MATCH(ROWS(E$8:E276),COPIA!$DF$3:$DF$2300,0),COLUMN()-1),"")=0,"",IFERROR(INDEX((COPIA!$DA$3:$DE$2300),MATCH(ROWS(E$8:E276),COPIA!$DF$3:$DF$2300,0),COLUMN()-1),""))</f>
        <v/>
      </c>
      <c r="F276" s="120" t="str">
        <f ca="1">IF(IFERROR(INDEX((COPIA!$DA$3:$DE$2300),MATCH(ROWS(F$8:F276),COPIA!$DF$3:$DF$2300,0),COLUMN()-1),"")=0,"",IFERROR(INDEX((COPIA!$DA$3:$DE$2300),MATCH(ROWS(F$8:F276),COPIA!$DF$3:$DF$2300,0),COLUMN()-1),""))</f>
        <v/>
      </c>
    </row>
    <row r="277" spans="2:6">
      <c r="B277" s="119" t="str">
        <f ca="1">IF(IFERROR(INDEX((COPIA!$DA$3:$DE$2300),MATCH(ROWS(B$8:B277),COPIA!$DF$3:$DF$2300,0),COLUMN()-1),"")&gt;=1,IFERROR(INDEX((COPIA!$DA$3:$DE$2300),MATCH(ROWS(B$8:B277),COPIA!$DF$3:$DF$2300,0),COLUMN()-1),""),"")</f>
        <v/>
      </c>
      <c r="C277" s="118" t="str">
        <f ca="1">SUBSTITUTE(IFERROR(INDEX((COPIA!$DA$3:$DE$2300),MATCH(ROWS(C$8:C277),COPIA!$DF$3:$DF$2300,0),COLUMN()-1),""),"MASTRO","")</f>
        <v/>
      </c>
      <c r="D277" s="29" t="str">
        <f ca="1">IF(IFERROR(INDEX((COPIA!$DA$3:$DE$2300),MATCH(ROWS(D$8:D277),COPIA!$DF$3:$DF$2300,0),COLUMN()-1),"")=0,"",IFERROR(INDEX((COPIA!$DA$3:$DE$2300),MATCH(ROWS(D$8:D277),COPIA!$DF$3:$DF$2300,0),COLUMN()-1),""))</f>
        <v/>
      </c>
      <c r="E277" s="45" t="str">
        <f ca="1">IF(IFERROR(INDEX((COPIA!$DA$3:$DE$2300),MATCH(ROWS(E$8:E277),COPIA!$DF$3:$DF$2300,0),COLUMN()-1),"")=0,"",IFERROR(INDEX((COPIA!$DA$3:$DE$2300),MATCH(ROWS(E$8:E277),COPIA!$DF$3:$DF$2300,0),COLUMN()-1),""))</f>
        <v/>
      </c>
      <c r="F277" s="120" t="str">
        <f ca="1">IF(IFERROR(INDEX((COPIA!$DA$3:$DE$2300),MATCH(ROWS(F$8:F277),COPIA!$DF$3:$DF$2300,0),COLUMN()-1),"")=0,"",IFERROR(INDEX((COPIA!$DA$3:$DE$2300),MATCH(ROWS(F$8:F277),COPIA!$DF$3:$DF$2300,0),COLUMN()-1),""))</f>
        <v/>
      </c>
    </row>
    <row r="278" spans="2:6">
      <c r="B278" s="119" t="str">
        <f ca="1">IF(IFERROR(INDEX((COPIA!$DA$3:$DE$2300),MATCH(ROWS(B$8:B278),COPIA!$DF$3:$DF$2300,0),COLUMN()-1),"")&gt;=1,IFERROR(INDEX((COPIA!$DA$3:$DE$2300),MATCH(ROWS(B$8:B278),COPIA!$DF$3:$DF$2300,0),COLUMN()-1),""),"")</f>
        <v/>
      </c>
      <c r="C278" s="118" t="str">
        <f ca="1">SUBSTITUTE(IFERROR(INDEX((COPIA!$DA$3:$DE$2300),MATCH(ROWS(C$8:C278),COPIA!$DF$3:$DF$2300,0),COLUMN()-1),""),"MASTRO","")</f>
        <v/>
      </c>
      <c r="D278" s="29" t="str">
        <f ca="1">IF(IFERROR(INDEX((COPIA!$DA$3:$DE$2300),MATCH(ROWS(D$8:D278),COPIA!$DF$3:$DF$2300,0),COLUMN()-1),"")=0,"",IFERROR(INDEX((COPIA!$DA$3:$DE$2300),MATCH(ROWS(D$8:D278),COPIA!$DF$3:$DF$2300,0),COLUMN()-1),""))</f>
        <v/>
      </c>
      <c r="E278" s="45" t="str">
        <f ca="1">IF(IFERROR(INDEX((COPIA!$DA$3:$DE$2300),MATCH(ROWS(E$8:E278),COPIA!$DF$3:$DF$2300,0),COLUMN()-1),"")=0,"",IFERROR(INDEX((COPIA!$DA$3:$DE$2300),MATCH(ROWS(E$8:E278),COPIA!$DF$3:$DF$2300,0),COLUMN()-1),""))</f>
        <v/>
      </c>
      <c r="F278" s="120" t="str">
        <f ca="1">IF(IFERROR(INDEX((COPIA!$DA$3:$DE$2300),MATCH(ROWS(F$8:F278),COPIA!$DF$3:$DF$2300,0),COLUMN()-1),"")=0,"",IFERROR(INDEX((COPIA!$DA$3:$DE$2300),MATCH(ROWS(F$8:F278),COPIA!$DF$3:$DF$2300,0),COLUMN()-1),""))</f>
        <v/>
      </c>
    </row>
    <row r="279" spans="2:6">
      <c r="B279" s="119" t="str">
        <f ca="1">IF(IFERROR(INDEX((COPIA!$DA$3:$DE$2300),MATCH(ROWS(B$8:B279),COPIA!$DF$3:$DF$2300,0),COLUMN()-1),"")&gt;=1,IFERROR(INDEX((COPIA!$DA$3:$DE$2300),MATCH(ROWS(B$8:B279),COPIA!$DF$3:$DF$2300,0),COLUMN()-1),""),"")</f>
        <v/>
      </c>
      <c r="C279" s="118" t="str">
        <f ca="1">SUBSTITUTE(IFERROR(INDEX((COPIA!$DA$3:$DE$2300),MATCH(ROWS(C$8:C279),COPIA!$DF$3:$DF$2300,0),COLUMN()-1),""),"MASTRO","")</f>
        <v/>
      </c>
      <c r="D279" s="29" t="str">
        <f ca="1">IF(IFERROR(INDEX((COPIA!$DA$3:$DE$2300),MATCH(ROWS(D$8:D279),COPIA!$DF$3:$DF$2300,0),COLUMN()-1),"")=0,"",IFERROR(INDEX((COPIA!$DA$3:$DE$2300),MATCH(ROWS(D$8:D279),COPIA!$DF$3:$DF$2300,0),COLUMN()-1),""))</f>
        <v/>
      </c>
      <c r="E279" s="45" t="str">
        <f ca="1">IF(IFERROR(INDEX((COPIA!$DA$3:$DE$2300),MATCH(ROWS(E$8:E279),COPIA!$DF$3:$DF$2300,0),COLUMN()-1),"")=0,"",IFERROR(INDEX((COPIA!$DA$3:$DE$2300),MATCH(ROWS(E$8:E279),COPIA!$DF$3:$DF$2300,0),COLUMN()-1),""))</f>
        <v/>
      </c>
      <c r="F279" s="120" t="str">
        <f ca="1">IF(IFERROR(INDEX((COPIA!$DA$3:$DE$2300),MATCH(ROWS(F$8:F279),COPIA!$DF$3:$DF$2300,0),COLUMN()-1),"")=0,"",IFERROR(INDEX((COPIA!$DA$3:$DE$2300),MATCH(ROWS(F$8:F279),COPIA!$DF$3:$DF$2300,0),COLUMN()-1),""))</f>
        <v/>
      </c>
    </row>
    <row r="280" spans="2:6">
      <c r="B280" s="119" t="str">
        <f ca="1">IF(IFERROR(INDEX((COPIA!$DA$3:$DE$2300),MATCH(ROWS(B$8:B280),COPIA!$DF$3:$DF$2300,0),COLUMN()-1),"")&gt;=1,IFERROR(INDEX((COPIA!$DA$3:$DE$2300),MATCH(ROWS(B$8:B280),COPIA!$DF$3:$DF$2300,0),COLUMN()-1),""),"")</f>
        <v/>
      </c>
      <c r="C280" s="118" t="str">
        <f ca="1">SUBSTITUTE(IFERROR(INDEX((COPIA!$DA$3:$DE$2300),MATCH(ROWS(C$8:C280),COPIA!$DF$3:$DF$2300,0),COLUMN()-1),""),"MASTRO","")</f>
        <v/>
      </c>
      <c r="D280" s="29" t="str">
        <f ca="1">IF(IFERROR(INDEX((COPIA!$DA$3:$DE$2300),MATCH(ROWS(D$8:D280),COPIA!$DF$3:$DF$2300,0),COLUMN()-1),"")=0,"",IFERROR(INDEX((COPIA!$DA$3:$DE$2300),MATCH(ROWS(D$8:D280),COPIA!$DF$3:$DF$2300,0),COLUMN()-1),""))</f>
        <v/>
      </c>
      <c r="E280" s="45" t="str">
        <f ca="1">IF(IFERROR(INDEX((COPIA!$DA$3:$DE$2300),MATCH(ROWS(E$8:E280),COPIA!$DF$3:$DF$2300,0),COLUMN()-1),"")=0,"",IFERROR(INDEX((COPIA!$DA$3:$DE$2300),MATCH(ROWS(E$8:E280),COPIA!$DF$3:$DF$2300,0),COLUMN()-1),""))</f>
        <v/>
      </c>
      <c r="F280" s="120" t="str">
        <f ca="1">IF(IFERROR(INDEX((COPIA!$DA$3:$DE$2300),MATCH(ROWS(F$8:F280),COPIA!$DF$3:$DF$2300,0),COLUMN()-1),"")=0,"",IFERROR(INDEX((COPIA!$DA$3:$DE$2300),MATCH(ROWS(F$8:F280),COPIA!$DF$3:$DF$2300,0),COLUMN()-1),""))</f>
        <v/>
      </c>
    </row>
    <row r="281" spans="2:6">
      <c r="B281" s="119" t="str">
        <f ca="1">IF(IFERROR(INDEX((COPIA!$DA$3:$DE$2300),MATCH(ROWS(B$8:B281),COPIA!$DF$3:$DF$2300,0),COLUMN()-1),"")&gt;=1,IFERROR(INDEX((COPIA!$DA$3:$DE$2300),MATCH(ROWS(B$8:B281),COPIA!$DF$3:$DF$2300,0),COLUMN()-1),""),"")</f>
        <v/>
      </c>
      <c r="C281" s="118" t="str">
        <f ca="1">SUBSTITUTE(IFERROR(INDEX((COPIA!$DA$3:$DE$2300),MATCH(ROWS(C$8:C281),COPIA!$DF$3:$DF$2300,0),COLUMN()-1),""),"MASTRO","")</f>
        <v/>
      </c>
      <c r="D281" s="29" t="str">
        <f ca="1">IF(IFERROR(INDEX((COPIA!$DA$3:$DE$2300),MATCH(ROWS(D$8:D281),COPIA!$DF$3:$DF$2300,0),COLUMN()-1),"")=0,"",IFERROR(INDEX((COPIA!$DA$3:$DE$2300),MATCH(ROWS(D$8:D281),COPIA!$DF$3:$DF$2300,0),COLUMN()-1),""))</f>
        <v/>
      </c>
      <c r="E281" s="45" t="str">
        <f ca="1">IF(IFERROR(INDEX((COPIA!$DA$3:$DE$2300),MATCH(ROWS(E$8:E281),COPIA!$DF$3:$DF$2300,0),COLUMN()-1),"")=0,"",IFERROR(INDEX((COPIA!$DA$3:$DE$2300),MATCH(ROWS(E$8:E281),COPIA!$DF$3:$DF$2300,0),COLUMN()-1),""))</f>
        <v/>
      </c>
      <c r="F281" s="120" t="str">
        <f ca="1">IF(IFERROR(INDEX((COPIA!$DA$3:$DE$2300),MATCH(ROWS(F$8:F281),COPIA!$DF$3:$DF$2300,0),COLUMN()-1),"")=0,"",IFERROR(INDEX((COPIA!$DA$3:$DE$2300),MATCH(ROWS(F$8:F281),COPIA!$DF$3:$DF$2300,0),COLUMN()-1),""))</f>
        <v/>
      </c>
    </row>
    <row r="282" spans="2:6">
      <c r="B282" s="119" t="str">
        <f ca="1">IF(IFERROR(INDEX((COPIA!$DA$3:$DE$2300),MATCH(ROWS(B$8:B282),COPIA!$DF$3:$DF$2300,0),COLUMN()-1),"")&gt;=1,IFERROR(INDEX((COPIA!$DA$3:$DE$2300),MATCH(ROWS(B$8:B282),COPIA!$DF$3:$DF$2300,0),COLUMN()-1),""),"")</f>
        <v/>
      </c>
      <c r="C282" s="118" t="str">
        <f ca="1">SUBSTITUTE(IFERROR(INDEX((COPIA!$DA$3:$DE$2300),MATCH(ROWS(C$8:C282),COPIA!$DF$3:$DF$2300,0),COLUMN()-1),""),"MASTRO","")</f>
        <v/>
      </c>
      <c r="D282" s="29" t="str">
        <f ca="1">IF(IFERROR(INDEX((COPIA!$DA$3:$DE$2300),MATCH(ROWS(D$8:D282),COPIA!$DF$3:$DF$2300,0),COLUMN()-1),"")=0,"",IFERROR(INDEX((COPIA!$DA$3:$DE$2300),MATCH(ROWS(D$8:D282),COPIA!$DF$3:$DF$2300,0),COLUMN()-1),""))</f>
        <v/>
      </c>
      <c r="E282" s="45" t="str">
        <f ca="1">IF(IFERROR(INDEX((COPIA!$DA$3:$DE$2300),MATCH(ROWS(E$8:E282),COPIA!$DF$3:$DF$2300,0),COLUMN()-1),"")=0,"",IFERROR(INDEX((COPIA!$DA$3:$DE$2300),MATCH(ROWS(E$8:E282),COPIA!$DF$3:$DF$2300,0),COLUMN()-1),""))</f>
        <v/>
      </c>
      <c r="F282" s="120" t="str">
        <f ca="1">IF(IFERROR(INDEX((COPIA!$DA$3:$DE$2300),MATCH(ROWS(F$8:F282),COPIA!$DF$3:$DF$2300,0),COLUMN()-1),"")=0,"",IFERROR(INDEX((COPIA!$DA$3:$DE$2300),MATCH(ROWS(F$8:F282),COPIA!$DF$3:$DF$2300,0),COLUMN()-1),""))</f>
        <v/>
      </c>
    </row>
    <row r="283" spans="2:6">
      <c r="B283" s="119" t="str">
        <f ca="1">IF(IFERROR(INDEX((COPIA!$DA$3:$DE$2300),MATCH(ROWS(B$8:B283),COPIA!$DF$3:$DF$2300,0),COLUMN()-1),"")&gt;=1,IFERROR(INDEX((COPIA!$DA$3:$DE$2300),MATCH(ROWS(B$8:B283),COPIA!$DF$3:$DF$2300,0),COLUMN()-1),""),"")</f>
        <v/>
      </c>
      <c r="C283" s="118" t="str">
        <f ca="1">SUBSTITUTE(IFERROR(INDEX((COPIA!$DA$3:$DE$2300),MATCH(ROWS(C$8:C283),COPIA!$DF$3:$DF$2300,0),COLUMN()-1),""),"MASTRO","")</f>
        <v/>
      </c>
      <c r="D283" s="29" t="str">
        <f ca="1">IF(IFERROR(INDEX((COPIA!$DA$3:$DE$2300),MATCH(ROWS(D$8:D283),COPIA!$DF$3:$DF$2300,0),COLUMN()-1),"")=0,"",IFERROR(INDEX((COPIA!$DA$3:$DE$2300),MATCH(ROWS(D$8:D283),COPIA!$DF$3:$DF$2300,0),COLUMN()-1),""))</f>
        <v/>
      </c>
      <c r="E283" s="45" t="str">
        <f ca="1">IF(IFERROR(INDEX((COPIA!$DA$3:$DE$2300),MATCH(ROWS(E$8:E283),COPIA!$DF$3:$DF$2300,0),COLUMN()-1),"")=0,"",IFERROR(INDEX((COPIA!$DA$3:$DE$2300),MATCH(ROWS(E$8:E283),COPIA!$DF$3:$DF$2300,0),COLUMN()-1),""))</f>
        <v/>
      </c>
      <c r="F283" s="120" t="str">
        <f ca="1">IF(IFERROR(INDEX((COPIA!$DA$3:$DE$2300),MATCH(ROWS(F$8:F283),COPIA!$DF$3:$DF$2300,0),COLUMN()-1),"")=0,"",IFERROR(INDEX((COPIA!$DA$3:$DE$2300),MATCH(ROWS(F$8:F283),COPIA!$DF$3:$DF$2300,0),COLUMN()-1),""))</f>
        <v/>
      </c>
    </row>
    <row r="284" spans="2:6">
      <c r="B284" s="119" t="str">
        <f ca="1">IF(IFERROR(INDEX((COPIA!$DA$3:$DE$2300),MATCH(ROWS(B$8:B284),COPIA!$DF$3:$DF$2300,0),COLUMN()-1),"")&gt;=1,IFERROR(INDEX((COPIA!$DA$3:$DE$2300),MATCH(ROWS(B$8:B284),COPIA!$DF$3:$DF$2300,0),COLUMN()-1),""),"")</f>
        <v/>
      </c>
      <c r="C284" s="118" t="str">
        <f ca="1">SUBSTITUTE(IFERROR(INDEX((COPIA!$DA$3:$DE$2300),MATCH(ROWS(C$8:C284),COPIA!$DF$3:$DF$2300,0),COLUMN()-1),""),"MASTRO","")</f>
        <v/>
      </c>
      <c r="D284" s="29" t="str">
        <f ca="1">IF(IFERROR(INDEX((COPIA!$DA$3:$DE$2300),MATCH(ROWS(D$8:D284),COPIA!$DF$3:$DF$2300,0),COLUMN()-1),"")=0,"",IFERROR(INDEX((COPIA!$DA$3:$DE$2300),MATCH(ROWS(D$8:D284),COPIA!$DF$3:$DF$2300,0),COLUMN()-1),""))</f>
        <v/>
      </c>
      <c r="E284" s="45" t="str">
        <f ca="1">IF(IFERROR(INDEX((COPIA!$DA$3:$DE$2300),MATCH(ROWS(E$8:E284),COPIA!$DF$3:$DF$2300,0),COLUMN()-1),"")=0,"",IFERROR(INDEX((COPIA!$DA$3:$DE$2300),MATCH(ROWS(E$8:E284),COPIA!$DF$3:$DF$2300,0),COLUMN()-1),""))</f>
        <v/>
      </c>
      <c r="F284" s="120" t="str">
        <f ca="1">IF(IFERROR(INDEX((COPIA!$DA$3:$DE$2300),MATCH(ROWS(F$8:F284),COPIA!$DF$3:$DF$2300,0),COLUMN()-1),"")=0,"",IFERROR(INDEX((COPIA!$DA$3:$DE$2300),MATCH(ROWS(F$8:F284),COPIA!$DF$3:$DF$2300,0),COLUMN()-1),""))</f>
        <v/>
      </c>
    </row>
    <row r="285" spans="2:6">
      <c r="B285" s="119" t="str">
        <f ca="1">IF(IFERROR(INDEX((COPIA!$DA$3:$DE$2300),MATCH(ROWS(B$8:B285),COPIA!$DF$3:$DF$2300,0),COLUMN()-1),"")&gt;=1,IFERROR(INDEX((COPIA!$DA$3:$DE$2300),MATCH(ROWS(B$8:B285),COPIA!$DF$3:$DF$2300,0),COLUMN()-1),""),"")</f>
        <v/>
      </c>
      <c r="C285" s="118" t="str">
        <f ca="1">SUBSTITUTE(IFERROR(INDEX((COPIA!$DA$3:$DE$2300),MATCH(ROWS(C$8:C285),COPIA!$DF$3:$DF$2300,0),COLUMN()-1),""),"MASTRO","")</f>
        <v/>
      </c>
      <c r="D285" s="29" t="str">
        <f ca="1">IF(IFERROR(INDEX((COPIA!$DA$3:$DE$2300),MATCH(ROWS(D$8:D285),COPIA!$DF$3:$DF$2300,0),COLUMN()-1),"")=0,"",IFERROR(INDEX((COPIA!$DA$3:$DE$2300),MATCH(ROWS(D$8:D285),COPIA!$DF$3:$DF$2300,0),COLUMN()-1),""))</f>
        <v/>
      </c>
      <c r="E285" s="45" t="str">
        <f ca="1">IF(IFERROR(INDEX((COPIA!$DA$3:$DE$2300),MATCH(ROWS(E$8:E285),COPIA!$DF$3:$DF$2300,0),COLUMN()-1),"")=0,"",IFERROR(INDEX((COPIA!$DA$3:$DE$2300),MATCH(ROWS(E$8:E285),COPIA!$DF$3:$DF$2300,0),COLUMN()-1),""))</f>
        <v/>
      </c>
      <c r="F285" s="120" t="str">
        <f ca="1">IF(IFERROR(INDEX((COPIA!$DA$3:$DE$2300),MATCH(ROWS(F$8:F285),COPIA!$DF$3:$DF$2300,0),COLUMN()-1),"")=0,"",IFERROR(INDEX((COPIA!$DA$3:$DE$2300),MATCH(ROWS(F$8:F285),COPIA!$DF$3:$DF$2300,0),COLUMN()-1),""))</f>
        <v/>
      </c>
    </row>
    <row r="286" spans="2:6">
      <c r="B286" s="119" t="str">
        <f ca="1">IF(IFERROR(INDEX((COPIA!$DA$3:$DE$2300),MATCH(ROWS(B$8:B286),COPIA!$DF$3:$DF$2300,0),COLUMN()-1),"")&gt;=1,IFERROR(INDEX((COPIA!$DA$3:$DE$2300),MATCH(ROWS(B$8:B286),COPIA!$DF$3:$DF$2300,0),COLUMN()-1),""),"")</f>
        <v/>
      </c>
      <c r="C286" s="118" t="str">
        <f ca="1">SUBSTITUTE(IFERROR(INDEX((COPIA!$DA$3:$DE$2300),MATCH(ROWS(C$8:C286),COPIA!$DF$3:$DF$2300,0),COLUMN()-1),""),"MASTRO","")</f>
        <v/>
      </c>
      <c r="D286" s="29" t="str">
        <f ca="1">IF(IFERROR(INDEX((COPIA!$DA$3:$DE$2300),MATCH(ROWS(D$8:D286),COPIA!$DF$3:$DF$2300,0),COLUMN()-1),"")=0,"",IFERROR(INDEX((COPIA!$DA$3:$DE$2300),MATCH(ROWS(D$8:D286),COPIA!$DF$3:$DF$2300,0),COLUMN()-1),""))</f>
        <v/>
      </c>
      <c r="E286" s="45" t="str">
        <f ca="1">IF(IFERROR(INDEX((COPIA!$DA$3:$DE$2300),MATCH(ROWS(E$8:E286),COPIA!$DF$3:$DF$2300,0),COLUMN()-1),"")=0,"",IFERROR(INDEX((COPIA!$DA$3:$DE$2300),MATCH(ROWS(E$8:E286),COPIA!$DF$3:$DF$2300,0),COLUMN()-1),""))</f>
        <v/>
      </c>
      <c r="F286" s="120" t="str">
        <f ca="1">IF(IFERROR(INDEX((COPIA!$DA$3:$DE$2300),MATCH(ROWS(F$8:F286),COPIA!$DF$3:$DF$2300,0),COLUMN()-1),"")=0,"",IFERROR(INDEX((COPIA!$DA$3:$DE$2300),MATCH(ROWS(F$8:F286),COPIA!$DF$3:$DF$2300,0),COLUMN()-1),""))</f>
        <v/>
      </c>
    </row>
    <row r="287" spans="2:6">
      <c r="B287" s="119" t="str">
        <f ca="1">IF(IFERROR(INDEX((COPIA!$DA$3:$DE$2300),MATCH(ROWS(B$8:B287),COPIA!$DF$3:$DF$2300,0),COLUMN()-1),"")&gt;=1,IFERROR(INDEX((COPIA!$DA$3:$DE$2300),MATCH(ROWS(B$8:B287),COPIA!$DF$3:$DF$2300,0),COLUMN()-1),""),"")</f>
        <v/>
      </c>
      <c r="C287" s="118" t="str">
        <f ca="1">SUBSTITUTE(IFERROR(INDEX((COPIA!$DA$3:$DE$2300),MATCH(ROWS(C$8:C287),COPIA!$DF$3:$DF$2300,0),COLUMN()-1),""),"MASTRO","")</f>
        <v/>
      </c>
      <c r="D287" s="29" t="str">
        <f ca="1">IF(IFERROR(INDEX((COPIA!$DA$3:$DE$2300),MATCH(ROWS(D$8:D287),COPIA!$DF$3:$DF$2300,0),COLUMN()-1),"")=0,"",IFERROR(INDEX((COPIA!$DA$3:$DE$2300),MATCH(ROWS(D$8:D287),COPIA!$DF$3:$DF$2300,0),COLUMN()-1),""))</f>
        <v/>
      </c>
      <c r="E287" s="45" t="str">
        <f ca="1">IF(IFERROR(INDEX((COPIA!$DA$3:$DE$2300),MATCH(ROWS(E$8:E287),COPIA!$DF$3:$DF$2300,0),COLUMN()-1),"")=0,"",IFERROR(INDEX((COPIA!$DA$3:$DE$2300),MATCH(ROWS(E$8:E287),COPIA!$DF$3:$DF$2300,0),COLUMN()-1),""))</f>
        <v/>
      </c>
      <c r="F287" s="120" t="str">
        <f ca="1">IF(IFERROR(INDEX((COPIA!$DA$3:$DE$2300),MATCH(ROWS(F$8:F287),COPIA!$DF$3:$DF$2300,0),COLUMN()-1),"")=0,"",IFERROR(INDEX((COPIA!$DA$3:$DE$2300),MATCH(ROWS(F$8:F287),COPIA!$DF$3:$DF$2300,0),COLUMN()-1),""))</f>
        <v/>
      </c>
    </row>
    <row r="288" spans="2:6">
      <c r="B288" s="119" t="str">
        <f ca="1">IF(IFERROR(INDEX((COPIA!$DA$3:$DE$2300),MATCH(ROWS(B$8:B288),COPIA!$DF$3:$DF$2300,0),COLUMN()-1),"")&gt;=1,IFERROR(INDEX((COPIA!$DA$3:$DE$2300),MATCH(ROWS(B$8:B288),COPIA!$DF$3:$DF$2300,0),COLUMN()-1),""),"")</f>
        <v/>
      </c>
      <c r="C288" s="118" t="str">
        <f ca="1">SUBSTITUTE(IFERROR(INDEX((COPIA!$DA$3:$DE$2300),MATCH(ROWS(C$8:C288),COPIA!$DF$3:$DF$2300,0),COLUMN()-1),""),"MASTRO","")</f>
        <v/>
      </c>
      <c r="D288" s="29" t="str">
        <f ca="1">IF(IFERROR(INDEX((COPIA!$DA$3:$DE$2300),MATCH(ROWS(D$8:D288),COPIA!$DF$3:$DF$2300,0),COLUMN()-1),"")=0,"",IFERROR(INDEX((COPIA!$DA$3:$DE$2300),MATCH(ROWS(D$8:D288),COPIA!$DF$3:$DF$2300,0),COLUMN()-1),""))</f>
        <v/>
      </c>
      <c r="E288" s="45" t="str">
        <f ca="1">IF(IFERROR(INDEX((COPIA!$DA$3:$DE$2300),MATCH(ROWS(E$8:E288),COPIA!$DF$3:$DF$2300,0),COLUMN()-1),"")=0,"",IFERROR(INDEX((COPIA!$DA$3:$DE$2300),MATCH(ROWS(E$8:E288),COPIA!$DF$3:$DF$2300,0),COLUMN()-1),""))</f>
        <v/>
      </c>
      <c r="F288" s="120" t="str">
        <f ca="1">IF(IFERROR(INDEX((COPIA!$DA$3:$DE$2300),MATCH(ROWS(F$8:F288),COPIA!$DF$3:$DF$2300,0),COLUMN()-1),"")=0,"",IFERROR(INDEX((COPIA!$DA$3:$DE$2300),MATCH(ROWS(F$8:F288),COPIA!$DF$3:$DF$2300,0),COLUMN()-1),""))</f>
        <v/>
      </c>
    </row>
    <row r="289" spans="2:6">
      <c r="B289" s="119" t="str">
        <f ca="1">IF(IFERROR(INDEX((COPIA!$DA$3:$DE$2300),MATCH(ROWS(B$8:B289),COPIA!$DF$3:$DF$2300,0),COLUMN()-1),"")&gt;=1,IFERROR(INDEX((COPIA!$DA$3:$DE$2300),MATCH(ROWS(B$8:B289),COPIA!$DF$3:$DF$2300,0),COLUMN()-1),""),"")</f>
        <v/>
      </c>
      <c r="C289" s="118" t="str">
        <f ca="1">SUBSTITUTE(IFERROR(INDEX((COPIA!$DA$3:$DE$2300),MATCH(ROWS(C$8:C289),COPIA!$DF$3:$DF$2300,0),COLUMN()-1),""),"MASTRO","")</f>
        <v/>
      </c>
      <c r="D289" s="29" t="str">
        <f ca="1">IF(IFERROR(INDEX((COPIA!$DA$3:$DE$2300),MATCH(ROWS(D$8:D289),COPIA!$DF$3:$DF$2300,0),COLUMN()-1),"")=0,"",IFERROR(INDEX((COPIA!$DA$3:$DE$2300),MATCH(ROWS(D$8:D289),COPIA!$DF$3:$DF$2300,0),COLUMN()-1),""))</f>
        <v/>
      </c>
      <c r="E289" s="45" t="str">
        <f ca="1">IF(IFERROR(INDEX((COPIA!$DA$3:$DE$2300),MATCH(ROWS(E$8:E289),COPIA!$DF$3:$DF$2300,0),COLUMN()-1),"")=0,"",IFERROR(INDEX((COPIA!$DA$3:$DE$2300),MATCH(ROWS(E$8:E289),COPIA!$DF$3:$DF$2300,0),COLUMN()-1),""))</f>
        <v/>
      </c>
      <c r="F289" s="120" t="str">
        <f ca="1">IF(IFERROR(INDEX((COPIA!$DA$3:$DE$2300),MATCH(ROWS(F$8:F289),COPIA!$DF$3:$DF$2300,0),COLUMN()-1),"")=0,"",IFERROR(INDEX((COPIA!$DA$3:$DE$2300),MATCH(ROWS(F$8:F289),COPIA!$DF$3:$DF$2300,0),COLUMN()-1),""))</f>
        <v/>
      </c>
    </row>
    <row r="290" spans="2:6">
      <c r="B290" s="119" t="str">
        <f ca="1">IF(IFERROR(INDEX((COPIA!$DA$3:$DE$2300),MATCH(ROWS(B$8:B290),COPIA!$DF$3:$DF$2300,0),COLUMN()-1),"")&gt;=1,IFERROR(INDEX((COPIA!$DA$3:$DE$2300),MATCH(ROWS(B$8:B290),COPIA!$DF$3:$DF$2300,0),COLUMN()-1),""),"")</f>
        <v/>
      </c>
      <c r="C290" s="118" t="str">
        <f ca="1">SUBSTITUTE(IFERROR(INDEX((COPIA!$DA$3:$DE$2300),MATCH(ROWS(C$8:C290),COPIA!$DF$3:$DF$2300,0),COLUMN()-1),""),"MASTRO","")</f>
        <v/>
      </c>
      <c r="D290" s="29" t="str">
        <f ca="1">IF(IFERROR(INDEX((COPIA!$DA$3:$DE$2300),MATCH(ROWS(D$8:D290),COPIA!$DF$3:$DF$2300,0),COLUMN()-1),"")=0,"",IFERROR(INDEX((COPIA!$DA$3:$DE$2300),MATCH(ROWS(D$8:D290),COPIA!$DF$3:$DF$2300,0),COLUMN()-1),""))</f>
        <v/>
      </c>
      <c r="E290" s="45" t="str">
        <f ca="1">IF(IFERROR(INDEX((COPIA!$DA$3:$DE$2300),MATCH(ROWS(E$8:E290),COPIA!$DF$3:$DF$2300,0),COLUMN()-1),"")=0,"",IFERROR(INDEX((COPIA!$DA$3:$DE$2300),MATCH(ROWS(E$8:E290),COPIA!$DF$3:$DF$2300,0),COLUMN()-1),""))</f>
        <v/>
      </c>
      <c r="F290" s="120" t="str">
        <f ca="1">IF(IFERROR(INDEX((COPIA!$DA$3:$DE$2300),MATCH(ROWS(F$8:F290),COPIA!$DF$3:$DF$2300,0),COLUMN()-1),"")=0,"",IFERROR(INDEX((COPIA!$DA$3:$DE$2300),MATCH(ROWS(F$8:F290),COPIA!$DF$3:$DF$2300,0),COLUMN()-1),""))</f>
        <v/>
      </c>
    </row>
    <row r="291" spans="2:6">
      <c r="B291" s="119" t="str">
        <f ca="1">IF(IFERROR(INDEX((COPIA!$DA$3:$DE$2300),MATCH(ROWS(B$8:B291),COPIA!$DF$3:$DF$2300,0),COLUMN()-1),"")&gt;=1,IFERROR(INDEX((COPIA!$DA$3:$DE$2300),MATCH(ROWS(B$8:B291),COPIA!$DF$3:$DF$2300,0),COLUMN()-1),""),"")</f>
        <v/>
      </c>
      <c r="C291" s="118" t="str">
        <f ca="1">SUBSTITUTE(IFERROR(INDEX((COPIA!$DA$3:$DE$2300),MATCH(ROWS(C$8:C291),COPIA!$DF$3:$DF$2300,0),COLUMN()-1),""),"MASTRO","")</f>
        <v/>
      </c>
      <c r="D291" s="29" t="str">
        <f ca="1">IF(IFERROR(INDEX((COPIA!$DA$3:$DE$2300),MATCH(ROWS(D$8:D291),COPIA!$DF$3:$DF$2300,0),COLUMN()-1),"")=0,"",IFERROR(INDEX((COPIA!$DA$3:$DE$2300),MATCH(ROWS(D$8:D291),COPIA!$DF$3:$DF$2300,0),COLUMN()-1),""))</f>
        <v/>
      </c>
      <c r="E291" s="45" t="str">
        <f ca="1">IF(IFERROR(INDEX((COPIA!$DA$3:$DE$2300),MATCH(ROWS(E$8:E291),COPIA!$DF$3:$DF$2300,0),COLUMN()-1),"")=0,"",IFERROR(INDEX((COPIA!$DA$3:$DE$2300),MATCH(ROWS(E$8:E291),COPIA!$DF$3:$DF$2300,0),COLUMN()-1),""))</f>
        <v/>
      </c>
      <c r="F291" s="120" t="str">
        <f ca="1">IF(IFERROR(INDEX((COPIA!$DA$3:$DE$2300),MATCH(ROWS(F$8:F291),COPIA!$DF$3:$DF$2300,0),COLUMN()-1),"")=0,"",IFERROR(INDEX((COPIA!$DA$3:$DE$2300),MATCH(ROWS(F$8:F291),COPIA!$DF$3:$DF$2300,0),COLUMN()-1),""))</f>
        <v/>
      </c>
    </row>
    <row r="292" spans="2:6">
      <c r="B292" s="119" t="str">
        <f ca="1">IF(IFERROR(INDEX((COPIA!$DA$3:$DE$2300),MATCH(ROWS(B$8:B292),COPIA!$DF$3:$DF$2300,0),COLUMN()-1),"")&gt;=1,IFERROR(INDEX((COPIA!$DA$3:$DE$2300),MATCH(ROWS(B$8:B292),COPIA!$DF$3:$DF$2300,0),COLUMN()-1),""),"")</f>
        <v/>
      </c>
      <c r="C292" s="118" t="str">
        <f ca="1">SUBSTITUTE(IFERROR(INDEX((COPIA!$DA$3:$DE$2300),MATCH(ROWS(C$8:C292),COPIA!$DF$3:$DF$2300,0),COLUMN()-1),""),"MASTRO","")</f>
        <v/>
      </c>
      <c r="D292" s="29" t="str">
        <f ca="1">IF(IFERROR(INDEX((COPIA!$DA$3:$DE$2300),MATCH(ROWS(D$8:D292),COPIA!$DF$3:$DF$2300,0),COLUMN()-1),"")=0,"",IFERROR(INDEX((COPIA!$DA$3:$DE$2300),MATCH(ROWS(D$8:D292),COPIA!$DF$3:$DF$2300,0),COLUMN()-1),""))</f>
        <v/>
      </c>
      <c r="E292" s="45" t="str">
        <f ca="1">IF(IFERROR(INDEX((COPIA!$DA$3:$DE$2300),MATCH(ROWS(E$8:E292),COPIA!$DF$3:$DF$2300,0),COLUMN()-1),"")=0,"",IFERROR(INDEX((COPIA!$DA$3:$DE$2300),MATCH(ROWS(E$8:E292),COPIA!$DF$3:$DF$2300,0),COLUMN()-1),""))</f>
        <v/>
      </c>
      <c r="F292" s="120" t="str">
        <f ca="1">IF(IFERROR(INDEX((COPIA!$DA$3:$DE$2300),MATCH(ROWS(F$8:F292),COPIA!$DF$3:$DF$2300,0),COLUMN()-1),"")=0,"",IFERROR(INDEX((COPIA!$DA$3:$DE$2300),MATCH(ROWS(F$8:F292),COPIA!$DF$3:$DF$2300,0),COLUMN()-1),""))</f>
        <v/>
      </c>
    </row>
    <row r="293" spans="2:6">
      <c r="B293" s="119" t="str">
        <f ca="1">IF(IFERROR(INDEX((COPIA!$DA$3:$DE$2300),MATCH(ROWS(B$8:B293),COPIA!$DF$3:$DF$2300,0),COLUMN()-1),"")&gt;=1,IFERROR(INDEX((COPIA!$DA$3:$DE$2300),MATCH(ROWS(B$8:B293),COPIA!$DF$3:$DF$2300,0),COLUMN()-1),""),"")</f>
        <v/>
      </c>
      <c r="C293" s="118" t="str">
        <f ca="1">SUBSTITUTE(IFERROR(INDEX((COPIA!$DA$3:$DE$2300),MATCH(ROWS(C$8:C293),COPIA!$DF$3:$DF$2300,0),COLUMN()-1),""),"MASTRO","")</f>
        <v/>
      </c>
      <c r="D293" s="29" t="str">
        <f ca="1">IF(IFERROR(INDEX((COPIA!$DA$3:$DE$2300),MATCH(ROWS(D$8:D293),COPIA!$DF$3:$DF$2300,0),COLUMN()-1),"")=0,"",IFERROR(INDEX((COPIA!$DA$3:$DE$2300),MATCH(ROWS(D$8:D293),COPIA!$DF$3:$DF$2300,0),COLUMN()-1),""))</f>
        <v/>
      </c>
      <c r="E293" s="45" t="str">
        <f ca="1">IF(IFERROR(INDEX((COPIA!$DA$3:$DE$2300),MATCH(ROWS(E$8:E293),COPIA!$DF$3:$DF$2300,0),COLUMN()-1),"")=0,"",IFERROR(INDEX((COPIA!$DA$3:$DE$2300),MATCH(ROWS(E$8:E293),COPIA!$DF$3:$DF$2300,0),COLUMN()-1),""))</f>
        <v/>
      </c>
      <c r="F293" s="120" t="str">
        <f ca="1">IF(IFERROR(INDEX((COPIA!$DA$3:$DE$2300),MATCH(ROWS(F$8:F293),COPIA!$DF$3:$DF$2300,0),COLUMN()-1),"")=0,"",IFERROR(INDEX((COPIA!$DA$3:$DE$2300),MATCH(ROWS(F$8:F293),COPIA!$DF$3:$DF$2300,0),COLUMN()-1),""))</f>
        <v/>
      </c>
    </row>
    <row r="294" spans="2:6">
      <c r="B294" s="119" t="str">
        <f ca="1">IF(IFERROR(INDEX((COPIA!$DA$3:$DE$2300),MATCH(ROWS(B$8:B294),COPIA!$DF$3:$DF$2300,0),COLUMN()-1),"")&gt;=1,IFERROR(INDEX((COPIA!$DA$3:$DE$2300),MATCH(ROWS(B$8:B294),COPIA!$DF$3:$DF$2300,0),COLUMN()-1),""),"")</f>
        <v/>
      </c>
      <c r="C294" s="118" t="str">
        <f ca="1">SUBSTITUTE(IFERROR(INDEX((COPIA!$DA$3:$DE$2300),MATCH(ROWS(C$8:C294),COPIA!$DF$3:$DF$2300,0),COLUMN()-1),""),"MASTRO","")</f>
        <v/>
      </c>
      <c r="D294" s="29" t="str">
        <f ca="1">IF(IFERROR(INDEX((COPIA!$DA$3:$DE$2300),MATCH(ROWS(D$8:D294),COPIA!$DF$3:$DF$2300,0),COLUMN()-1),"")=0,"",IFERROR(INDEX((COPIA!$DA$3:$DE$2300),MATCH(ROWS(D$8:D294),COPIA!$DF$3:$DF$2300,0),COLUMN()-1),""))</f>
        <v/>
      </c>
      <c r="E294" s="45" t="str">
        <f ca="1">IF(IFERROR(INDEX((COPIA!$DA$3:$DE$2300),MATCH(ROWS(E$8:E294),COPIA!$DF$3:$DF$2300,0),COLUMN()-1),"")=0,"",IFERROR(INDEX((COPIA!$DA$3:$DE$2300),MATCH(ROWS(E$8:E294),COPIA!$DF$3:$DF$2300,0),COLUMN()-1),""))</f>
        <v/>
      </c>
      <c r="F294" s="120" t="str">
        <f ca="1">IF(IFERROR(INDEX((COPIA!$DA$3:$DE$2300),MATCH(ROWS(F$8:F294),COPIA!$DF$3:$DF$2300,0),COLUMN()-1),"")=0,"",IFERROR(INDEX((COPIA!$DA$3:$DE$2300),MATCH(ROWS(F$8:F294),COPIA!$DF$3:$DF$2300,0),COLUMN()-1),""))</f>
        <v/>
      </c>
    </row>
    <row r="295" spans="2:6">
      <c r="B295" s="119" t="str">
        <f ca="1">IF(IFERROR(INDEX((COPIA!$DA$3:$DE$2300),MATCH(ROWS(B$8:B295),COPIA!$DF$3:$DF$2300,0),COLUMN()-1),"")&gt;=1,IFERROR(INDEX((COPIA!$DA$3:$DE$2300),MATCH(ROWS(B$8:B295),COPIA!$DF$3:$DF$2300,0),COLUMN()-1),""),"")</f>
        <v/>
      </c>
      <c r="C295" s="118" t="str">
        <f ca="1">SUBSTITUTE(IFERROR(INDEX((COPIA!$DA$3:$DE$2300),MATCH(ROWS(C$8:C295),COPIA!$DF$3:$DF$2300,0),COLUMN()-1),""),"MASTRO","")</f>
        <v/>
      </c>
      <c r="D295" s="29" t="str">
        <f ca="1">IF(IFERROR(INDEX((COPIA!$DA$3:$DE$2300),MATCH(ROWS(D$8:D295),COPIA!$DF$3:$DF$2300,0),COLUMN()-1),"")=0,"",IFERROR(INDEX((COPIA!$DA$3:$DE$2300),MATCH(ROWS(D$8:D295),COPIA!$DF$3:$DF$2300,0),COLUMN()-1),""))</f>
        <v/>
      </c>
      <c r="E295" s="45" t="str">
        <f ca="1">IF(IFERROR(INDEX((COPIA!$DA$3:$DE$2300),MATCH(ROWS(E$8:E295),COPIA!$DF$3:$DF$2300,0),COLUMN()-1),"")=0,"",IFERROR(INDEX((COPIA!$DA$3:$DE$2300),MATCH(ROWS(E$8:E295),COPIA!$DF$3:$DF$2300,0),COLUMN()-1),""))</f>
        <v/>
      </c>
      <c r="F295" s="120" t="str">
        <f ca="1">IF(IFERROR(INDEX((COPIA!$DA$3:$DE$2300),MATCH(ROWS(F$8:F295),COPIA!$DF$3:$DF$2300,0),COLUMN()-1),"")=0,"",IFERROR(INDEX((COPIA!$DA$3:$DE$2300),MATCH(ROWS(F$8:F295),COPIA!$DF$3:$DF$2300,0),COLUMN()-1),""))</f>
        <v/>
      </c>
    </row>
    <row r="296" spans="2:6">
      <c r="B296" s="119" t="str">
        <f ca="1">IF(IFERROR(INDEX((COPIA!$DA$3:$DE$2300),MATCH(ROWS(B$8:B296),COPIA!$DF$3:$DF$2300,0),COLUMN()-1),"")&gt;=1,IFERROR(INDEX((COPIA!$DA$3:$DE$2300),MATCH(ROWS(B$8:B296),COPIA!$DF$3:$DF$2300,0),COLUMN()-1),""),"")</f>
        <v/>
      </c>
      <c r="C296" s="118" t="str">
        <f ca="1">SUBSTITUTE(IFERROR(INDEX((COPIA!$DA$3:$DE$2300),MATCH(ROWS(C$8:C296),COPIA!$DF$3:$DF$2300,0),COLUMN()-1),""),"MASTRO","")</f>
        <v/>
      </c>
      <c r="D296" s="29" t="str">
        <f ca="1">IF(IFERROR(INDEX((COPIA!$DA$3:$DE$2300),MATCH(ROWS(D$8:D296),COPIA!$DF$3:$DF$2300,0),COLUMN()-1),"")=0,"",IFERROR(INDEX((COPIA!$DA$3:$DE$2300),MATCH(ROWS(D$8:D296),COPIA!$DF$3:$DF$2300,0),COLUMN()-1),""))</f>
        <v/>
      </c>
      <c r="E296" s="45" t="str">
        <f ca="1">IF(IFERROR(INDEX((COPIA!$DA$3:$DE$2300),MATCH(ROWS(E$8:E296),COPIA!$DF$3:$DF$2300,0),COLUMN()-1),"")=0,"",IFERROR(INDEX((COPIA!$DA$3:$DE$2300),MATCH(ROWS(E$8:E296),COPIA!$DF$3:$DF$2300,0),COLUMN()-1),""))</f>
        <v/>
      </c>
      <c r="F296" s="120" t="str">
        <f ca="1">IF(IFERROR(INDEX((COPIA!$DA$3:$DE$2300),MATCH(ROWS(F$8:F296),COPIA!$DF$3:$DF$2300,0),COLUMN()-1),"")=0,"",IFERROR(INDEX((COPIA!$DA$3:$DE$2300),MATCH(ROWS(F$8:F296),COPIA!$DF$3:$DF$2300,0),COLUMN()-1),""))</f>
        <v/>
      </c>
    </row>
    <row r="297" spans="2:6">
      <c r="B297" s="119" t="str">
        <f ca="1">IF(IFERROR(INDEX((COPIA!$DA$3:$DE$2300),MATCH(ROWS(B$8:B297),COPIA!$DF$3:$DF$2300,0),COLUMN()-1),"")&gt;=1,IFERROR(INDEX((COPIA!$DA$3:$DE$2300),MATCH(ROWS(B$8:B297),COPIA!$DF$3:$DF$2300,0),COLUMN()-1),""),"")</f>
        <v/>
      </c>
      <c r="C297" s="118" t="str">
        <f ca="1">SUBSTITUTE(IFERROR(INDEX((COPIA!$DA$3:$DE$2300),MATCH(ROWS(C$8:C297),COPIA!$DF$3:$DF$2300,0),COLUMN()-1),""),"MASTRO","")</f>
        <v/>
      </c>
      <c r="D297" s="29" t="str">
        <f ca="1">IF(IFERROR(INDEX((COPIA!$DA$3:$DE$2300),MATCH(ROWS(D$8:D297),COPIA!$DF$3:$DF$2300,0),COLUMN()-1),"")=0,"",IFERROR(INDEX((COPIA!$DA$3:$DE$2300),MATCH(ROWS(D$8:D297),COPIA!$DF$3:$DF$2300,0),COLUMN()-1),""))</f>
        <v/>
      </c>
      <c r="E297" s="45" t="str">
        <f ca="1">IF(IFERROR(INDEX((COPIA!$DA$3:$DE$2300),MATCH(ROWS(E$8:E297),COPIA!$DF$3:$DF$2300,0),COLUMN()-1),"")=0,"",IFERROR(INDEX((COPIA!$DA$3:$DE$2300),MATCH(ROWS(E$8:E297),COPIA!$DF$3:$DF$2300,0),COLUMN()-1),""))</f>
        <v/>
      </c>
      <c r="F297" s="120" t="str">
        <f ca="1">IF(IFERROR(INDEX((COPIA!$DA$3:$DE$2300),MATCH(ROWS(F$8:F297),COPIA!$DF$3:$DF$2300,0),COLUMN()-1),"")=0,"",IFERROR(INDEX((COPIA!$DA$3:$DE$2300),MATCH(ROWS(F$8:F297),COPIA!$DF$3:$DF$2300,0),COLUMN()-1),""))</f>
        <v/>
      </c>
    </row>
    <row r="298" spans="2:6">
      <c r="B298" s="119" t="str">
        <f ca="1">IF(IFERROR(INDEX((COPIA!$DA$3:$DE$2300),MATCH(ROWS(B$8:B298),COPIA!$DF$3:$DF$2300,0),COLUMN()-1),"")&gt;=1,IFERROR(INDEX((COPIA!$DA$3:$DE$2300),MATCH(ROWS(B$8:B298),COPIA!$DF$3:$DF$2300,0),COLUMN()-1),""),"")</f>
        <v/>
      </c>
      <c r="C298" s="118" t="str">
        <f ca="1">SUBSTITUTE(IFERROR(INDEX((COPIA!$DA$3:$DE$2300),MATCH(ROWS(C$8:C298),COPIA!$DF$3:$DF$2300,0),COLUMN()-1),""),"MASTRO","")</f>
        <v/>
      </c>
      <c r="D298" s="29" t="str">
        <f ca="1">IF(IFERROR(INDEX((COPIA!$DA$3:$DE$2300),MATCH(ROWS(D$8:D298),COPIA!$DF$3:$DF$2300,0),COLUMN()-1),"")=0,"",IFERROR(INDEX((COPIA!$DA$3:$DE$2300),MATCH(ROWS(D$8:D298),COPIA!$DF$3:$DF$2300,0),COLUMN()-1),""))</f>
        <v/>
      </c>
      <c r="E298" s="45" t="str">
        <f ca="1">IF(IFERROR(INDEX((COPIA!$DA$3:$DE$2300),MATCH(ROWS(E$8:E298),COPIA!$DF$3:$DF$2300,0),COLUMN()-1),"")=0,"",IFERROR(INDEX((COPIA!$DA$3:$DE$2300),MATCH(ROWS(E$8:E298),COPIA!$DF$3:$DF$2300,0),COLUMN()-1),""))</f>
        <v/>
      </c>
      <c r="F298" s="120" t="str">
        <f ca="1">IF(IFERROR(INDEX((COPIA!$DA$3:$DE$2300),MATCH(ROWS(F$8:F298),COPIA!$DF$3:$DF$2300,0),COLUMN()-1),"")=0,"",IFERROR(INDEX((COPIA!$DA$3:$DE$2300),MATCH(ROWS(F$8:F298),COPIA!$DF$3:$DF$2300,0),COLUMN()-1),""))</f>
        <v/>
      </c>
    </row>
    <row r="299" spans="2:6">
      <c r="B299" s="119" t="str">
        <f ca="1">IF(IFERROR(INDEX((COPIA!$DA$3:$DE$2300),MATCH(ROWS(B$8:B299),COPIA!$DF$3:$DF$2300,0),COLUMN()-1),"")&gt;=1,IFERROR(INDEX((COPIA!$DA$3:$DE$2300),MATCH(ROWS(B$8:B299),COPIA!$DF$3:$DF$2300,0),COLUMN()-1),""),"")</f>
        <v/>
      </c>
      <c r="C299" s="118" t="str">
        <f ca="1">SUBSTITUTE(IFERROR(INDEX((COPIA!$DA$3:$DE$2300),MATCH(ROWS(C$8:C299),COPIA!$DF$3:$DF$2300,0),COLUMN()-1),""),"MASTRO","")</f>
        <v/>
      </c>
      <c r="D299" s="29" t="str">
        <f ca="1">IF(IFERROR(INDEX((COPIA!$DA$3:$DE$2300),MATCH(ROWS(D$8:D299),COPIA!$DF$3:$DF$2300,0),COLUMN()-1),"")=0,"",IFERROR(INDEX((COPIA!$DA$3:$DE$2300),MATCH(ROWS(D$8:D299),COPIA!$DF$3:$DF$2300,0),COLUMN()-1),""))</f>
        <v/>
      </c>
      <c r="E299" s="45" t="str">
        <f ca="1">IF(IFERROR(INDEX((COPIA!$DA$3:$DE$2300),MATCH(ROWS(E$8:E299),COPIA!$DF$3:$DF$2300,0),COLUMN()-1),"")=0,"",IFERROR(INDEX((COPIA!$DA$3:$DE$2300),MATCH(ROWS(E$8:E299),COPIA!$DF$3:$DF$2300,0),COLUMN()-1),""))</f>
        <v/>
      </c>
      <c r="F299" s="120" t="str">
        <f ca="1">IF(IFERROR(INDEX((COPIA!$DA$3:$DE$2300),MATCH(ROWS(F$8:F299),COPIA!$DF$3:$DF$2300,0),COLUMN()-1),"")=0,"",IFERROR(INDEX((COPIA!$DA$3:$DE$2300),MATCH(ROWS(F$8:F299),COPIA!$DF$3:$DF$2300,0),COLUMN()-1),""))</f>
        <v/>
      </c>
    </row>
    <row r="300" spans="2:6">
      <c r="B300" s="119" t="str">
        <f ca="1">IF(IFERROR(INDEX((COPIA!$DA$3:$DE$2300),MATCH(ROWS(B$8:B300),COPIA!$DF$3:$DF$2300,0),COLUMN()-1),"")&gt;=1,IFERROR(INDEX((COPIA!$DA$3:$DE$2300),MATCH(ROWS(B$8:B300),COPIA!$DF$3:$DF$2300,0),COLUMN()-1),""),"")</f>
        <v/>
      </c>
      <c r="C300" s="118" t="str">
        <f ca="1">SUBSTITUTE(IFERROR(INDEX((COPIA!$DA$3:$DE$2300),MATCH(ROWS(C$8:C300),COPIA!$DF$3:$DF$2300,0),COLUMN()-1),""),"MASTRO","")</f>
        <v/>
      </c>
      <c r="D300" s="29" t="str">
        <f ca="1">IF(IFERROR(INDEX((COPIA!$DA$3:$DE$2300),MATCH(ROWS(D$8:D300),COPIA!$DF$3:$DF$2300,0),COLUMN()-1),"")=0,"",IFERROR(INDEX((COPIA!$DA$3:$DE$2300),MATCH(ROWS(D$8:D300),COPIA!$DF$3:$DF$2300,0),COLUMN()-1),""))</f>
        <v/>
      </c>
      <c r="E300" s="45" t="str">
        <f ca="1">IF(IFERROR(INDEX((COPIA!$DA$3:$DE$2300),MATCH(ROWS(E$8:E300),COPIA!$DF$3:$DF$2300,0),COLUMN()-1),"")=0,"",IFERROR(INDEX((COPIA!$DA$3:$DE$2300),MATCH(ROWS(E$8:E300),COPIA!$DF$3:$DF$2300,0),COLUMN()-1),""))</f>
        <v/>
      </c>
      <c r="F300" s="120" t="str">
        <f ca="1">IF(IFERROR(INDEX((COPIA!$DA$3:$DE$2300),MATCH(ROWS(F$8:F300),COPIA!$DF$3:$DF$2300,0),COLUMN()-1),"")=0,"",IFERROR(INDEX((COPIA!$DA$3:$DE$2300),MATCH(ROWS(F$8:F300),COPIA!$DF$3:$DF$2300,0),COLUMN()-1),""))</f>
        <v/>
      </c>
    </row>
    <row r="301" spans="2:6">
      <c r="B301" s="119" t="str">
        <f ca="1">IF(IFERROR(INDEX((COPIA!$DA$3:$DE$2300),MATCH(ROWS(B$8:B301),COPIA!$DF$3:$DF$2300,0),COLUMN()-1),"")&gt;=1,IFERROR(INDEX((COPIA!$DA$3:$DE$2300),MATCH(ROWS(B$8:B301),COPIA!$DF$3:$DF$2300,0),COLUMN()-1),""),"")</f>
        <v/>
      </c>
      <c r="C301" s="118" t="str">
        <f ca="1">SUBSTITUTE(IFERROR(INDEX((COPIA!$DA$3:$DE$2300),MATCH(ROWS(C$8:C301),COPIA!$DF$3:$DF$2300,0),COLUMN()-1),""),"MASTRO","")</f>
        <v/>
      </c>
      <c r="D301" s="29" t="str">
        <f ca="1">IF(IFERROR(INDEX((COPIA!$DA$3:$DE$2300),MATCH(ROWS(D$8:D301),COPIA!$DF$3:$DF$2300,0),COLUMN()-1),"")=0,"",IFERROR(INDEX((COPIA!$DA$3:$DE$2300),MATCH(ROWS(D$8:D301),COPIA!$DF$3:$DF$2300,0),COLUMN()-1),""))</f>
        <v/>
      </c>
      <c r="E301" s="45" t="str">
        <f ca="1">IF(IFERROR(INDEX((COPIA!$DA$3:$DE$2300),MATCH(ROWS(E$8:E301),COPIA!$DF$3:$DF$2300,0),COLUMN()-1),"")=0,"",IFERROR(INDEX((COPIA!$DA$3:$DE$2300),MATCH(ROWS(E$8:E301),COPIA!$DF$3:$DF$2300,0),COLUMN()-1),""))</f>
        <v/>
      </c>
      <c r="F301" s="120" t="str">
        <f ca="1">IF(IFERROR(INDEX((COPIA!$DA$3:$DE$2300),MATCH(ROWS(F$8:F301),COPIA!$DF$3:$DF$2300,0),COLUMN()-1),"")=0,"",IFERROR(INDEX((COPIA!$DA$3:$DE$2300),MATCH(ROWS(F$8:F301),COPIA!$DF$3:$DF$2300,0),COLUMN()-1),""))</f>
        <v/>
      </c>
    </row>
    <row r="302" spans="2:6">
      <c r="B302" s="119" t="str">
        <f ca="1">IF(IFERROR(INDEX((COPIA!$DA$3:$DE$2300),MATCH(ROWS(B$8:B302),COPIA!$DF$3:$DF$2300,0),COLUMN()-1),"")&gt;=1,IFERROR(INDEX((COPIA!$DA$3:$DE$2300),MATCH(ROWS(B$8:B302),COPIA!$DF$3:$DF$2300,0),COLUMN()-1),""),"")</f>
        <v/>
      </c>
      <c r="C302" s="118" t="str">
        <f ca="1">SUBSTITUTE(IFERROR(INDEX((COPIA!$DA$3:$DE$2300),MATCH(ROWS(C$8:C302),COPIA!$DF$3:$DF$2300,0),COLUMN()-1),""),"MASTRO","")</f>
        <v/>
      </c>
      <c r="D302" s="29" t="str">
        <f ca="1">IF(IFERROR(INDEX((COPIA!$DA$3:$DE$2300),MATCH(ROWS(D$8:D302),COPIA!$DF$3:$DF$2300,0),COLUMN()-1),"")=0,"",IFERROR(INDEX((COPIA!$DA$3:$DE$2300),MATCH(ROWS(D$8:D302),COPIA!$DF$3:$DF$2300,0),COLUMN()-1),""))</f>
        <v/>
      </c>
      <c r="E302" s="45" t="str">
        <f ca="1">IF(IFERROR(INDEX((COPIA!$DA$3:$DE$2300),MATCH(ROWS(E$8:E302),COPIA!$DF$3:$DF$2300,0),COLUMN()-1),"")=0,"",IFERROR(INDEX((COPIA!$DA$3:$DE$2300),MATCH(ROWS(E$8:E302),COPIA!$DF$3:$DF$2300,0),COLUMN()-1),""))</f>
        <v/>
      </c>
      <c r="F302" s="120" t="str">
        <f ca="1">IF(IFERROR(INDEX((COPIA!$DA$3:$DE$2300),MATCH(ROWS(F$8:F302),COPIA!$DF$3:$DF$2300,0),COLUMN()-1),"")=0,"",IFERROR(INDEX((COPIA!$DA$3:$DE$2300),MATCH(ROWS(F$8:F302),COPIA!$DF$3:$DF$2300,0),COLUMN()-1),""))</f>
        <v/>
      </c>
    </row>
    <row r="303" spans="2:6">
      <c r="B303" s="119" t="str">
        <f ca="1">IF(IFERROR(INDEX((COPIA!$DA$3:$DE$2300),MATCH(ROWS(B$8:B303),COPIA!$DF$3:$DF$2300,0),COLUMN()-1),"")&gt;=1,IFERROR(INDEX((COPIA!$DA$3:$DE$2300),MATCH(ROWS(B$8:B303),COPIA!$DF$3:$DF$2300,0),COLUMN()-1),""),"")</f>
        <v/>
      </c>
      <c r="C303" s="118" t="str">
        <f ca="1">SUBSTITUTE(IFERROR(INDEX((COPIA!$DA$3:$DE$2300),MATCH(ROWS(C$8:C303),COPIA!$DF$3:$DF$2300,0),COLUMN()-1),""),"MASTRO","")</f>
        <v/>
      </c>
      <c r="D303" s="29" t="str">
        <f ca="1">IF(IFERROR(INDEX((COPIA!$DA$3:$DE$2300),MATCH(ROWS(D$8:D303),COPIA!$DF$3:$DF$2300,0),COLUMN()-1),"")=0,"",IFERROR(INDEX((COPIA!$DA$3:$DE$2300),MATCH(ROWS(D$8:D303),COPIA!$DF$3:$DF$2300,0),COLUMN()-1),""))</f>
        <v/>
      </c>
      <c r="E303" s="45" t="str">
        <f ca="1">IF(IFERROR(INDEX((COPIA!$DA$3:$DE$2300),MATCH(ROWS(E$8:E303),COPIA!$DF$3:$DF$2300,0),COLUMN()-1),"")=0,"",IFERROR(INDEX((COPIA!$DA$3:$DE$2300),MATCH(ROWS(E$8:E303),COPIA!$DF$3:$DF$2300,0),COLUMN()-1),""))</f>
        <v/>
      </c>
      <c r="F303" s="120" t="str">
        <f ca="1">IF(IFERROR(INDEX((COPIA!$DA$3:$DE$2300),MATCH(ROWS(F$8:F303),COPIA!$DF$3:$DF$2300,0),COLUMN()-1),"")=0,"",IFERROR(INDEX((COPIA!$DA$3:$DE$2300),MATCH(ROWS(F$8:F303),COPIA!$DF$3:$DF$2300,0),COLUMN()-1),""))</f>
        <v/>
      </c>
    </row>
    <row r="304" spans="2:6">
      <c r="B304" s="119" t="str">
        <f ca="1">IF(IFERROR(INDEX((COPIA!$DA$3:$DE$2300),MATCH(ROWS(B$8:B304),COPIA!$DF$3:$DF$2300,0),COLUMN()-1),"")&gt;=1,IFERROR(INDEX((COPIA!$DA$3:$DE$2300),MATCH(ROWS(B$8:B304),COPIA!$DF$3:$DF$2300,0),COLUMN()-1),""),"")</f>
        <v/>
      </c>
      <c r="C304" s="118" t="str">
        <f ca="1">SUBSTITUTE(IFERROR(INDEX((COPIA!$DA$3:$DE$2300),MATCH(ROWS(C$8:C304),COPIA!$DF$3:$DF$2300,0),COLUMN()-1),""),"MASTRO","")</f>
        <v/>
      </c>
      <c r="D304" s="29" t="str">
        <f ca="1">IF(IFERROR(INDEX((COPIA!$DA$3:$DE$2300),MATCH(ROWS(D$8:D304),COPIA!$DF$3:$DF$2300,0),COLUMN()-1),"")=0,"",IFERROR(INDEX((COPIA!$DA$3:$DE$2300),MATCH(ROWS(D$8:D304),COPIA!$DF$3:$DF$2300,0),COLUMN()-1),""))</f>
        <v/>
      </c>
      <c r="E304" s="45" t="str">
        <f ca="1">IF(IFERROR(INDEX((COPIA!$DA$3:$DE$2300),MATCH(ROWS(E$8:E304),COPIA!$DF$3:$DF$2300,0),COLUMN()-1),"")=0,"",IFERROR(INDEX((COPIA!$DA$3:$DE$2300),MATCH(ROWS(E$8:E304),COPIA!$DF$3:$DF$2300,0),COLUMN()-1),""))</f>
        <v/>
      </c>
      <c r="F304" s="120" t="str">
        <f ca="1">IF(IFERROR(INDEX((COPIA!$DA$3:$DE$2300),MATCH(ROWS(F$8:F304),COPIA!$DF$3:$DF$2300,0),COLUMN()-1),"")=0,"",IFERROR(INDEX((COPIA!$DA$3:$DE$2300),MATCH(ROWS(F$8:F304),COPIA!$DF$3:$DF$2300,0),COLUMN()-1),""))</f>
        <v/>
      </c>
    </row>
    <row r="305" spans="2:6">
      <c r="B305" s="119" t="str">
        <f ca="1">IF(IFERROR(INDEX((COPIA!$DA$3:$DE$2300),MATCH(ROWS(B$8:B305),COPIA!$DF$3:$DF$2300,0),COLUMN()-1),"")&gt;=1,IFERROR(INDEX((COPIA!$DA$3:$DE$2300),MATCH(ROWS(B$8:B305),COPIA!$DF$3:$DF$2300,0),COLUMN()-1),""),"")</f>
        <v/>
      </c>
      <c r="C305" s="118" t="str">
        <f ca="1">SUBSTITUTE(IFERROR(INDEX((COPIA!$DA$3:$DE$2300),MATCH(ROWS(C$8:C305),COPIA!$DF$3:$DF$2300,0),COLUMN()-1),""),"MASTRO","")</f>
        <v/>
      </c>
      <c r="D305" s="29" t="str">
        <f ca="1">IF(IFERROR(INDEX((COPIA!$DA$3:$DE$2300),MATCH(ROWS(D$8:D305),COPIA!$DF$3:$DF$2300,0),COLUMN()-1),"")=0,"",IFERROR(INDEX((COPIA!$DA$3:$DE$2300),MATCH(ROWS(D$8:D305),COPIA!$DF$3:$DF$2300,0),COLUMN()-1),""))</f>
        <v/>
      </c>
      <c r="E305" s="45" t="str">
        <f ca="1">IF(IFERROR(INDEX((COPIA!$DA$3:$DE$2300),MATCH(ROWS(E$8:E305),COPIA!$DF$3:$DF$2300,0),COLUMN()-1),"")=0,"",IFERROR(INDEX((COPIA!$DA$3:$DE$2300),MATCH(ROWS(E$8:E305),COPIA!$DF$3:$DF$2300,0),COLUMN()-1),""))</f>
        <v/>
      </c>
      <c r="F305" s="120" t="str">
        <f ca="1">IF(IFERROR(INDEX((COPIA!$DA$3:$DE$2300),MATCH(ROWS(F$8:F305),COPIA!$DF$3:$DF$2300,0),COLUMN()-1),"")=0,"",IFERROR(INDEX((COPIA!$DA$3:$DE$2300),MATCH(ROWS(F$8:F305),COPIA!$DF$3:$DF$2300,0),COLUMN()-1),""))</f>
        <v/>
      </c>
    </row>
    <row r="306" spans="2:6">
      <c r="B306" s="119" t="str">
        <f ca="1">IF(IFERROR(INDEX((COPIA!$DA$3:$DE$2300),MATCH(ROWS(B$8:B306),COPIA!$DF$3:$DF$2300,0),COLUMN()-1),"")&gt;=1,IFERROR(INDEX((COPIA!$DA$3:$DE$2300),MATCH(ROWS(B$8:B306),COPIA!$DF$3:$DF$2300,0),COLUMN()-1),""),"")</f>
        <v/>
      </c>
      <c r="C306" s="118" t="str">
        <f ca="1">SUBSTITUTE(IFERROR(INDEX((COPIA!$DA$3:$DE$2300),MATCH(ROWS(C$8:C306),COPIA!$DF$3:$DF$2300,0),COLUMN()-1),""),"MASTRO","")</f>
        <v/>
      </c>
      <c r="D306" s="29" t="str">
        <f ca="1">IF(IFERROR(INDEX((COPIA!$DA$3:$DE$2300),MATCH(ROWS(D$8:D306),COPIA!$DF$3:$DF$2300,0),COLUMN()-1),"")=0,"",IFERROR(INDEX((COPIA!$DA$3:$DE$2300),MATCH(ROWS(D$8:D306),COPIA!$DF$3:$DF$2300,0),COLUMN()-1),""))</f>
        <v/>
      </c>
      <c r="E306" s="45" t="str">
        <f ca="1">IF(IFERROR(INDEX((COPIA!$DA$3:$DE$2300),MATCH(ROWS(E$8:E306),COPIA!$DF$3:$DF$2300,0),COLUMN()-1),"")=0,"",IFERROR(INDEX((COPIA!$DA$3:$DE$2300),MATCH(ROWS(E$8:E306),COPIA!$DF$3:$DF$2300,0),COLUMN()-1),""))</f>
        <v/>
      </c>
      <c r="F306" s="120" t="str">
        <f ca="1">IF(IFERROR(INDEX((COPIA!$DA$3:$DE$2300),MATCH(ROWS(F$8:F306),COPIA!$DF$3:$DF$2300,0),COLUMN()-1),"")=0,"",IFERROR(INDEX((COPIA!$DA$3:$DE$2300),MATCH(ROWS(F$8:F306),COPIA!$DF$3:$DF$2300,0),COLUMN()-1),""))</f>
        <v/>
      </c>
    </row>
    <row r="307" spans="2:6">
      <c r="B307" s="119" t="str">
        <f ca="1">IF(IFERROR(INDEX((COPIA!$DA$3:$DE$2300),MATCH(ROWS(B$8:B307),COPIA!$DF$3:$DF$2300,0),COLUMN()-1),"")&gt;=1,IFERROR(INDEX((COPIA!$DA$3:$DE$2300),MATCH(ROWS(B$8:B307),COPIA!$DF$3:$DF$2300,0),COLUMN()-1),""),"")</f>
        <v/>
      </c>
      <c r="C307" s="118" t="str">
        <f ca="1">SUBSTITUTE(IFERROR(INDEX((COPIA!$DA$3:$DE$2300),MATCH(ROWS(C$8:C307),COPIA!$DF$3:$DF$2300,0),COLUMN()-1),""),"MASTRO","")</f>
        <v/>
      </c>
      <c r="D307" s="29" t="str">
        <f ca="1">IF(IFERROR(INDEX((COPIA!$DA$3:$DE$2300),MATCH(ROWS(D$8:D307),COPIA!$DF$3:$DF$2300,0),COLUMN()-1),"")=0,"",IFERROR(INDEX((COPIA!$DA$3:$DE$2300),MATCH(ROWS(D$8:D307),COPIA!$DF$3:$DF$2300,0),COLUMN()-1),""))</f>
        <v/>
      </c>
      <c r="E307" s="45" t="str">
        <f ca="1">IF(IFERROR(INDEX((COPIA!$DA$3:$DE$2300),MATCH(ROWS(E$8:E307),COPIA!$DF$3:$DF$2300,0),COLUMN()-1),"")=0,"",IFERROR(INDEX((COPIA!$DA$3:$DE$2300),MATCH(ROWS(E$8:E307),COPIA!$DF$3:$DF$2300,0),COLUMN()-1),""))</f>
        <v/>
      </c>
      <c r="F307" s="120" t="str">
        <f ca="1">IF(IFERROR(INDEX((COPIA!$DA$3:$DE$2300),MATCH(ROWS(F$8:F307),COPIA!$DF$3:$DF$2300,0),COLUMN()-1),"")=0,"",IFERROR(INDEX((COPIA!$DA$3:$DE$2300),MATCH(ROWS(F$8:F307),COPIA!$DF$3:$DF$2300,0),COLUMN()-1),""))</f>
        <v/>
      </c>
    </row>
    <row r="308" spans="2:6">
      <c r="B308" s="119" t="str">
        <f ca="1">IF(IFERROR(INDEX((COPIA!$DA$3:$DE$2300),MATCH(ROWS(B$8:B308),COPIA!$DF$3:$DF$2300,0),COLUMN()-1),"")&gt;=1,IFERROR(INDEX((COPIA!$DA$3:$DE$2300),MATCH(ROWS(B$8:B308),COPIA!$DF$3:$DF$2300,0),COLUMN()-1),""),"")</f>
        <v/>
      </c>
      <c r="C308" s="118" t="str">
        <f ca="1">SUBSTITUTE(IFERROR(INDEX((COPIA!$DA$3:$DE$2300),MATCH(ROWS(C$8:C308),COPIA!$DF$3:$DF$2300,0),COLUMN()-1),""),"MASTRO","")</f>
        <v/>
      </c>
      <c r="D308" s="29" t="str">
        <f ca="1">IF(IFERROR(INDEX((COPIA!$DA$3:$DE$2300),MATCH(ROWS(D$8:D308),COPIA!$DF$3:$DF$2300,0),COLUMN()-1),"")=0,"",IFERROR(INDEX((COPIA!$DA$3:$DE$2300),MATCH(ROWS(D$8:D308),COPIA!$DF$3:$DF$2300,0),COLUMN()-1),""))</f>
        <v/>
      </c>
      <c r="E308" s="45" t="str">
        <f ca="1">IF(IFERROR(INDEX((COPIA!$DA$3:$DE$2300),MATCH(ROWS(E$8:E308),COPIA!$DF$3:$DF$2300,0),COLUMN()-1),"")=0,"",IFERROR(INDEX((COPIA!$DA$3:$DE$2300),MATCH(ROWS(E$8:E308),COPIA!$DF$3:$DF$2300,0),COLUMN()-1),""))</f>
        <v/>
      </c>
      <c r="F308" s="120" t="str">
        <f ca="1">IF(IFERROR(INDEX((COPIA!$DA$3:$DE$2300),MATCH(ROWS(F$8:F308),COPIA!$DF$3:$DF$2300,0),COLUMN()-1),"")=0,"",IFERROR(INDEX((COPIA!$DA$3:$DE$2300),MATCH(ROWS(F$8:F308),COPIA!$DF$3:$DF$2300,0),COLUMN()-1),""))</f>
        <v/>
      </c>
    </row>
    <row r="309" spans="2:6">
      <c r="B309" s="119" t="str">
        <f ca="1">IF(IFERROR(INDEX((COPIA!$DA$3:$DE$2300),MATCH(ROWS(B$8:B309),COPIA!$DF$3:$DF$2300,0),COLUMN()-1),"")&gt;=1,IFERROR(INDEX((COPIA!$DA$3:$DE$2300),MATCH(ROWS(B$8:B309),COPIA!$DF$3:$DF$2300,0),COLUMN()-1),""),"")</f>
        <v/>
      </c>
      <c r="C309" s="118" t="str">
        <f ca="1">SUBSTITUTE(IFERROR(INDEX((COPIA!$DA$3:$DE$2300),MATCH(ROWS(C$8:C309),COPIA!$DF$3:$DF$2300,0),COLUMN()-1),""),"MASTRO","")</f>
        <v/>
      </c>
      <c r="D309" s="29" t="str">
        <f ca="1">IF(IFERROR(INDEX((COPIA!$DA$3:$DE$2300),MATCH(ROWS(D$8:D309),COPIA!$DF$3:$DF$2300,0),COLUMN()-1),"")=0,"",IFERROR(INDEX((COPIA!$DA$3:$DE$2300),MATCH(ROWS(D$8:D309),COPIA!$DF$3:$DF$2300,0),COLUMN()-1),""))</f>
        <v/>
      </c>
      <c r="E309" s="45" t="str">
        <f ca="1">IF(IFERROR(INDEX((COPIA!$DA$3:$DE$2300),MATCH(ROWS(E$8:E309),COPIA!$DF$3:$DF$2300,0),COLUMN()-1),"")=0,"",IFERROR(INDEX((COPIA!$DA$3:$DE$2300),MATCH(ROWS(E$8:E309),COPIA!$DF$3:$DF$2300,0),COLUMN()-1),""))</f>
        <v/>
      </c>
      <c r="F309" s="120" t="str">
        <f ca="1">IF(IFERROR(INDEX((COPIA!$DA$3:$DE$2300),MATCH(ROWS(F$8:F309),COPIA!$DF$3:$DF$2300,0),COLUMN()-1),"")=0,"",IFERROR(INDEX((COPIA!$DA$3:$DE$2300),MATCH(ROWS(F$8:F309),COPIA!$DF$3:$DF$2300,0),COLUMN()-1),""))</f>
        <v/>
      </c>
    </row>
    <row r="310" spans="2:6">
      <c r="B310" s="119" t="str">
        <f ca="1">IF(IFERROR(INDEX((COPIA!$DA$3:$DE$2300),MATCH(ROWS(B$8:B310),COPIA!$DF$3:$DF$2300,0),COLUMN()-1),"")&gt;=1,IFERROR(INDEX((COPIA!$DA$3:$DE$2300),MATCH(ROWS(B$8:B310),COPIA!$DF$3:$DF$2300,0),COLUMN()-1),""),"")</f>
        <v/>
      </c>
      <c r="C310" s="118" t="str">
        <f ca="1">SUBSTITUTE(IFERROR(INDEX((COPIA!$DA$3:$DE$2300),MATCH(ROWS(C$8:C310),COPIA!$DF$3:$DF$2300,0),COLUMN()-1),""),"MASTRO","")</f>
        <v/>
      </c>
      <c r="D310" s="29" t="str">
        <f ca="1">IF(IFERROR(INDEX((COPIA!$DA$3:$DE$2300),MATCH(ROWS(D$8:D310),COPIA!$DF$3:$DF$2300,0),COLUMN()-1),"")=0,"",IFERROR(INDEX((COPIA!$DA$3:$DE$2300),MATCH(ROWS(D$8:D310),COPIA!$DF$3:$DF$2300,0),COLUMN()-1),""))</f>
        <v/>
      </c>
      <c r="E310" s="45" t="str">
        <f ca="1">IF(IFERROR(INDEX((COPIA!$DA$3:$DE$2300),MATCH(ROWS(E$8:E310),COPIA!$DF$3:$DF$2300,0),COLUMN()-1),"")=0,"",IFERROR(INDEX((COPIA!$DA$3:$DE$2300),MATCH(ROWS(E$8:E310),COPIA!$DF$3:$DF$2300,0),COLUMN()-1),""))</f>
        <v/>
      </c>
      <c r="F310" s="120" t="str">
        <f ca="1">IF(IFERROR(INDEX((COPIA!$DA$3:$DE$2300),MATCH(ROWS(F$8:F310),COPIA!$DF$3:$DF$2300,0),COLUMN()-1),"")=0,"",IFERROR(INDEX((COPIA!$DA$3:$DE$2300),MATCH(ROWS(F$8:F310),COPIA!$DF$3:$DF$2300,0),COLUMN()-1),""))</f>
        <v/>
      </c>
    </row>
    <row r="311" spans="2:6">
      <c r="B311" s="119" t="str">
        <f ca="1">IF(IFERROR(INDEX((COPIA!$DA$3:$DE$2300),MATCH(ROWS(B$8:B311),COPIA!$DF$3:$DF$2300,0),COLUMN()-1),"")&gt;=1,IFERROR(INDEX((COPIA!$DA$3:$DE$2300),MATCH(ROWS(B$8:B311),COPIA!$DF$3:$DF$2300,0),COLUMN()-1),""),"")</f>
        <v/>
      </c>
      <c r="C311" s="118" t="str">
        <f ca="1">SUBSTITUTE(IFERROR(INDEX((COPIA!$DA$3:$DE$2300),MATCH(ROWS(C$8:C311),COPIA!$DF$3:$DF$2300,0),COLUMN()-1),""),"MASTRO","")</f>
        <v/>
      </c>
      <c r="D311" s="29" t="str">
        <f ca="1">IF(IFERROR(INDEX((COPIA!$DA$3:$DE$2300),MATCH(ROWS(D$8:D311),COPIA!$DF$3:$DF$2300,0),COLUMN()-1),"")=0,"",IFERROR(INDEX((COPIA!$DA$3:$DE$2300),MATCH(ROWS(D$8:D311),COPIA!$DF$3:$DF$2300,0),COLUMN()-1),""))</f>
        <v/>
      </c>
      <c r="E311" s="45" t="str">
        <f ca="1">IF(IFERROR(INDEX((COPIA!$DA$3:$DE$2300),MATCH(ROWS(E$8:E311),COPIA!$DF$3:$DF$2300,0),COLUMN()-1),"")=0,"",IFERROR(INDEX((COPIA!$DA$3:$DE$2300),MATCH(ROWS(E$8:E311),COPIA!$DF$3:$DF$2300,0),COLUMN()-1),""))</f>
        <v/>
      </c>
      <c r="F311" s="120" t="str">
        <f ca="1">IF(IFERROR(INDEX((COPIA!$DA$3:$DE$2300),MATCH(ROWS(F$8:F311),COPIA!$DF$3:$DF$2300,0),COLUMN()-1),"")=0,"",IFERROR(INDEX((COPIA!$DA$3:$DE$2300),MATCH(ROWS(F$8:F311),COPIA!$DF$3:$DF$2300,0),COLUMN()-1),""))</f>
        <v/>
      </c>
    </row>
    <row r="312" spans="2:6">
      <c r="B312" s="119" t="str">
        <f ca="1">IF(IFERROR(INDEX((COPIA!$DA$3:$DE$2300),MATCH(ROWS(B$8:B312),COPIA!$DF$3:$DF$2300,0),COLUMN()-1),"")&gt;=1,IFERROR(INDEX((COPIA!$DA$3:$DE$2300),MATCH(ROWS(B$8:B312),COPIA!$DF$3:$DF$2300,0),COLUMN()-1),""),"")</f>
        <v/>
      </c>
      <c r="C312" s="118" t="str">
        <f ca="1">SUBSTITUTE(IFERROR(INDEX((COPIA!$DA$3:$DE$2300),MATCH(ROWS(C$8:C312),COPIA!$DF$3:$DF$2300,0),COLUMN()-1),""),"MASTRO","")</f>
        <v/>
      </c>
      <c r="D312" s="29" t="str">
        <f ca="1">IF(IFERROR(INDEX((COPIA!$DA$3:$DE$2300),MATCH(ROWS(D$8:D312),COPIA!$DF$3:$DF$2300,0),COLUMN()-1),"")=0,"",IFERROR(INDEX((COPIA!$DA$3:$DE$2300),MATCH(ROWS(D$8:D312),COPIA!$DF$3:$DF$2300,0),COLUMN()-1),""))</f>
        <v/>
      </c>
      <c r="E312" s="45" t="str">
        <f ca="1">IF(IFERROR(INDEX((COPIA!$DA$3:$DE$2300),MATCH(ROWS(E$8:E312),COPIA!$DF$3:$DF$2300,0),COLUMN()-1),"")=0,"",IFERROR(INDEX((COPIA!$DA$3:$DE$2300),MATCH(ROWS(E$8:E312),COPIA!$DF$3:$DF$2300,0),COLUMN()-1),""))</f>
        <v/>
      </c>
      <c r="F312" s="120" t="str">
        <f ca="1">IF(IFERROR(INDEX((COPIA!$DA$3:$DE$2300),MATCH(ROWS(F$8:F312),COPIA!$DF$3:$DF$2300,0),COLUMN()-1),"")=0,"",IFERROR(INDEX((COPIA!$DA$3:$DE$2300),MATCH(ROWS(F$8:F312),COPIA!$DF$3:$DF$2300,0),COLUMN()-1),""))</f>
        <v/>
      </c>
    </row>
    <row r="313" spans="2:6">
      <c r="B313" s="119" t="str">
        <f ca="1">IF(IFERROR(INDEX((COPIA!$DA$3:$DE$2300),MATCH(ROWS(B$8:B313),COPIA!$DF$3:$DF$2300,0),COLUMN()-1),"")&gt;=1,IFERROR(INDEX((COPIA!$DA$3:$DE$2300),MATCH(ROWS(B$8:B313),COPIA!$DF$3:$DF$2300,0),COLUMN()-1),""),"")</f>
        <v/>
      </c>
      <c r="C313" s="118" t="str">
        <f ca="1">SUBSTITUTE(IFERROR(INDEX((COPIA!$DA$3:$DE$2300),MATCH(ROWS(C$8:C313),COPIA!$DF$3:$DF$2300,0),COLUMN()-1),""),"MASTRO","")</f>
        <v/>
      </c>
      <c r="D313" s="29" t="str">
        <f ca="1">IF(IFERROR(INDEX((COPIA!$DA$3:$DE$2300),MATCH(ROWS(D$8:D313),COPIA!$DF$3:$DF$2300,0),COLUMN()-1),"")=0,"",IFERROR(INDEX((COPIA!$DA$3:$DE$2300),MATCH(ROWS(D$8:D313),COPIA!$DF$3:$DF$2300,0),COLUMN()-1),""))</f>
        <v/>
      </c>
      <c r="E313" s="45" t="str">
        <f ca="1">IF(IFERROR(INDEX((COPIA!$DA$3:$DE$2300),MATCH(ROWS(E$8:E313),COPIA!$DF$3:$DF$2300,0),COLUMN()-1),"")=0,"",IFERROR(INDEX((COPIA!$DA$3:$DE$2300),MATCH(ROWS(E$8:E313),COPIA!$DF$3:$DF$2300,0),COLUMN()-1),""))</f>
        <v/>
      </c>
      <c r="F313" s="120" t="str">
        <f ca="1">IF(IFERROR(INDEX((COPIA!$DA$3:$DE$2300),MATCH(ROWS(F$8:F313),COPIA!$DF$3:$DF$2300,0),COLUMN()-1),"")=0,"",IFERROR(INDEX((COPIA!$DA$3:$DE$2300),MATCH(ROWS(F$8:F313),COPIA!$DF$3:$DF$2300,0),COLUMN()-1),""))</f>
        <v/>
      </c>
    </row>
    <row r="314" spans="2:6">
      <c r="B314" s="119" t="str">
        <f ca="1">IF(IFERROR(INDEX((COPIA!$DA$3:$DE$2300),MATCH(ROWS(B$8:B314),COPIA!$DF$3:$DF$2300,0),COLUMN()-1),"")&gt;=1,IFERROR(INDEX((COPIA!$DA$3:$DE$2300),MATCH(ROWS(B$8:B314),COPIA!$DF$3:$DF$2300,0),COLUMN()-1),""),"")</f>
        <v/>
      </c>
      <c r="C314" s="118" t="str">
        <f ca="1">SUBSTITUTE(IFERROR(INDEX((COPIA!$DA$3:$DE$2300),MATCH(ROWS(C$8:C314),COPIA!$DF$3:$DF$2300,0),COLUMN()-1),""),"MASTRO","")</f>
        <v/>
      </c>
      <c r="D314" s="29" t="str">
        <f ca="1">IF(IFERROR(INDEX((COPIA!$DA$3:$DE$2300),MATCH(ROWS(D$8:D314),COPIA!$DF$3:$DF$2300,0),COLUMN()-1),"")=0,"",IFERROR(INDEX((COPIA!$DA$3:$DE$2300),MATCH(ROWS(D$8:D314),COPIA!$DF$3:$DF$2300,0),COLUMN()-1),""))</f>
        <v/>
      </c>
      <c r="E314" s="45" t="str">
        <f ca="1">IF(IFERROR(INDEX((COPIA!$DA$3:$DE$2300),MATCH(ROWS(E$8:E314),COPIA!$DF$3:$DF$2300,0),COLUMN()-1),"")=0,"",IFERROR(INDEX((COPIA!$DA$3:$DE$2300),MATCH(ROWS(E$8:E314),COPIA!$DF$3:$DF$2300,0),COLUMN()-1),""))</f>
        <v/>
      </c>
      <c r="F314" s="120" t="str">
        <f ca="1">IF(IFERROR(INDEX((COPIA!$DA$3:$DE$2300),MATCH(ROWS(F$8:F314),COPIA!$DF$3:$DF$2300,0),COLUMN()-1),"")=0,"",IFERROR(INDEX((COPIA!$DA$3:$DE$2300),MATCH(ROWS(F$8:F314),COPIA!$DF$3:$DF$2300,0),COLUMN()-1),""))</f>
        <v/>
      </c>
    </row>
    <row r="315" spans="2:6">
      <c r="B315" s="119" t="str">
        <f ca="1">IF(IFERROR(INDEX((COPIA!$DA$3:$DE$2300),MATCH(ROWS(B$8:B315),COPIA!$DF$3:$DF$2300,0),COLUMN()-1),"")&gt;=1,IFERROR(INDEX((COPIA!$DA$3:$DE$2300),MATCH(ROWS(B$8:B315),COPIA!$DF$3:$DF$2300,0),COLUMN()-1),""),"")</f>
        <v/>
      </c>
      <c r="C315" s="118" t="str">
        <f ca="1">SUBSTITUTE(IFERROR(INDEX((COPIA!$DA$3:$DE$2300),MATCH(ROWS(C$8:C315),COPIA!$DF$3:$DF$2300,0),COLUMN()-1),""),"MASTRO","")</f>
        <v/>
      </c>
      <c r="D315" s="29" t="str">
        <f ca="1">IF(IFERROR(INDEX((COPIA!$DA$3:$DE$2300),MATCH(ROWS(D$8:D315),COPIA!$DF$3:$DF$2300,0),COLUMN()-1),"")=0,"",IFERROR(INDEX((COPIA!$DA$3:$DE$2300),MATCH(ROWS(D$8:D315),COPIA!$DF$3:$DF$2300,0),COLUMN()-1),""))</f>
        <v/>
      </c>
      <c r="E315" s="45" t="str">
        <f ca="1">IF(IFERROR(INDEX((COPIA!$DA$3:$DE$2300),MATCH(ROWS(E$8:E315),COPIA!$DF$3:$DF$2300,0),COLUMN()-1),"")=0,"",IFERROR(INDEX((COPIA!$DA$3:$DE$2300),MATCH(ROWS(E$8:E315),COPIA!$DF$3:$DF$2300,0),COLUMN()-1),""))</f>
        <v/>
      </c>
      <c r="F315" s="120" t="str">
        <f ca="1">IF(IFERROR(INDEX((COPIA!$DA$3:$DE$2300),MATCH(ROWS(F$8:F315),COPIA!$DF$3:$DF$2300,0),COLUMN()-1),"")=0,"",IFERROR(INDEX((COPIA!$DA$3:$DE$2300),MATCH(ROWS(F$8:F315),COPIA!$DF$3:$DF$2300,0),COLUMN()-1),""))</f>
        <v/>
      </c>
    </row>
    <row r="316" spans="2:6">
      <c r="B316" s="119" t="str">
        <f ca="1">IF(IFERROR(INDEX((COPIA!$DA$3:$DE$2300),MATCH(ROWS(B$8:B316),COPIA!$DF$3:$DF$2300,0),COLUMN()-1),"")&gt;=1,IFERROR(INDEX((COPIA!$DA$3:$DE$2300),MATCH(ROWS(B$8:B316),COPIA!$DF$3:$DF$2300,0),COLUMN()-1),""),"")</f>
        <v/>
      </c>
      <c r="C316" s="118" t="str">
        <f ca="1">SUBSTITUTE(IFERROR(INDEX((COPIA!$DA$3:$DE$2300),MATCH(ROWS(C$8:C316),COPIA!$DF$3:$DF$2300,0),COLUMN()-1),""),"MASTRO","")</f>
        <v/>
      </c>
      <c r="D316" s="29" t="str">
        <f ca="1">IF(IFERROR(INDEX((COPIA!$DA$3:$DE$2300),MATCH(ROWS(D$8:D316),COPIA!$DF$3:$DF$2300,0),COLUMN()-1),"")=0,"",IFERROR(INDEX((COPIA!$DA$3:$DE$2300),MATCH(ROWS(D$8:D316),COPIA!$DF$3:$DF$2300,0),COLUMN()-1),""))</f>
        <v/>
      </c>
      <c r="E316" s="45" t="str">
        <f ca="1">IF(IFERROR(INDEX((COPIA!$DA$3:$DE$2300),MATCH(ROWS(E$8:E316),COPIA!$DF$3:$DF$2300,0),COLUMN()-1),"")=0,"",IFERROR(INDEX((COPIA!$DA$3:$DE$2300),MATCH(ROWS(E$8:E316),COPIA!$DF$3:$DF$2300,0),COLUMN()-1),""))</f>
        <v/>
      </c>
      <c r="F316" s="120" t="str">
        <f ca="1">IF(IFERROR(INDEX((COPIA!$DA$3:$DE$2300),MATCH(ROWS(F$8:F316),COPIA!$DF$3:$DF$2300,0),COLUMN()-1),"")=0,"",IFERROR(INDEX((COPIA!$DA$3:$DE$2300),MATCH(ROWS(F$8:F316),COPIA!$DF$3:$DF$2300,0),COLUMN()-1),""))</f>
        <v/>
      </c>
    </row>
    <row r="317" spans="2:6">
      <c r="B317" s="119" t="str">
        <f ca="1">IF(IFERROR(INDEX((COPIA!$DA$3:$DE$2300),MATCH(ROWS(B$8:B317),COPIA!$DF$3:$DF$2300,0),COLUMN()-1),"")&gt;=1,IFERROR(INDEX((COPIA!$DA$3:$DE$2300),MATCH(ROWS(B$8:B317),COPIA!$DF$3:$DF$2300,0),COLUMN()-1),""),"")</f>
        <v/>
      </c>
      <c r="C317" s="118" t="str">
        <f ca="1">SUBSTITUTE(IFERROR(INDEX((COPIA!$DA$3:$DE$2300),MATCH(ROWS(C$8:C317),COPIA!$DF$3:$DF$2300,0),COLUMN()-1),""),"MASTRO","")</f>
        <v/>
      </c>
      <c r="D317" s="29" t="str">
        <f ca="1">IF(IFERROR(INDEX((COPIA!$DA$3:$DE$2300),MATCH(ROWS(D$8:D317),COPIA!$DF$3:$DF$2300,0),COLUMN()-1),"")=0,"",IFERROR(INDEX((COPIA!$DA$3:$DE$2300),MATCH(ROWS(D$8:D317),COPIA!$DF$3:$DF$2300,0),COLUMN()-1),""))</f>
        <v/>
      </c>
      <c r="E317" s="45" t="str">
        <f ca="1">IF(IFERROR(INDEX((COPIA!$DA$3:$DE$2300),MATCH(ROWS(E$8:E317),COPIA!$DF$3:$DF$2300,0),COLUMN()-1),"")=0,"",IFERROR(INDEX((COPIA!$DA$3:$DE$2300),MATCH(ROWS(E$8:E317),COPIA!$DF$3:$DF$2300,0),COLUMN()-1),""))</f>
        <v/>
      </c>
      <c r="F317" s="120" t="str">
        <f ca="1">IF(IFERROR(INDEX((COPIA!$DA$3:$DE$2300),MATCH(ROWS(F$8:F317),COPIA!$DF$3:$DF$2300,0),COLUMN()-1),"")=0,"",IFERROR(INDEX((COPIA!$DA$3:$DE$2300),MATCH(ROWS(F$8:F317),COPIA!$DF$3:$DF$2300,0),COLUMN()-1),""))</f>
        <v/>
      </c>
    </row>
    <row r="318" spans="2:6">
      <c r="B318" s="119" t="str">
        <f ca="1">IF(IFERROR(INDEX((COPIA!$DA$3:$DE$2300),MATCH(ROWS(B$8:B318),COPIA!$DF$3:$DF$2300,0),COLUMN()-1),"")&gt;=1,IFERROR(INDEX((COPIA!$DA$3:$DE$2300),MATCH(ROWS(B$8:B318),COPIA!$DF$3:$DF$2300,0),COLUMN()-1),""),"")</f>
        <v/>
      </c>
      <c r="C318" s="118" t="str">
        <f ca="1">SUBSTITUTE(IFERROR(INDEX((COPIA!$DA$3:$DE$2300),MATCH(ROWS(C$8:C318),COPIA!$DF$3:$DF$2300,0),COLUMN()-1),""),"MASTRO","")</f>
        <v/>
      </c>
      <c r="D318" s="29" t="str">
        <f ca="1">IF(IFERROR(INDEX((COPIA!$DA$3:$DE$2300),MATCH(ROWS(D$8:D318),COPIA!$DF$3:$DF$2300,0),COLUMN()-1),"")=0,"",IFERROR(INDEX((COPIA!$DA$3:$DE$2300),MATCH(ROWS(D$8:D318),COPIA!$DF$3:$DF$2300,0),COLUMN()-1),""))</f>
        <v/>
      </c>
      <c r="E318" s="45" t="str">
        <f ca="1">IF(IFERROR(INDEX((COPIA!$DA$3:$DE$2300),MATCH(ROWS(E$8:E318),COPIA!$DF$3:$DF$2300,0),COLUMN()-1),"")=0,"",IFERROR(INDEX((COPIA!$DA$3:$DE$2300),MATCH(ROWS(E$8:E318),COPIA!$DF$3:$DF$2300,0),COLUMN()-1),""))</f>
        <v/>
      </c>
      <c r="F318" s="120" t="str">
        <f ca="1">IF(IFERROR(INDEX((COPIA!$DA$3:$DE$2300),MATCH(ROWS(F$8:F318),COPIA!$DF$3:$DF$2300,0),COLUMN()-1),"")=0,"",IFERROR(INDEX((COPIA!$DA$3:$DE$2300),MATCH(ROWS(F$8:F318),COPIA!$DF$3:$DF$2300,0),COLUMN()-1),""))</f>
        <v/>
      </c>
    </row>
    <row r="319" spans="2:6">
      <c r="B319" s="119" t="str">
        <f ca="1">IF(IFERROR(INDEX((COPIA!$DA$3:$DE$2300),MATCH(ROWS(B$8:B319),COPIA!$DF$3:$DF$2300,0),COLUMN()-1),"")&gt;=1,IFERROR(INDEX((COPIA!$DA$3:$DE$2300),MATCH(ROWS(B$8:B319),COPIA!$DF$3:$DF$2300,0),COLUMN()-1),""),"")</f>
        <v/>
      </c>
      <c r="C319" s="118" t="str">
        <f ca="1">SUBSTITUTE(IFERROR(INDEX((COPIA!$DA$3:$DE$2300),MATCH(ROWS(C$8:C319),COPIA!$DF$3:$DF$2300,0),COLUMN()-1),""),"MASTRO","")</f>
        <v/>
      </c>
      <c r="D319" s="29" t="str">
        <f ca="1">IF(IFERROR(INDEX((COPIA!$DA$3:$DE$2300),MATCH(ROWS(D$8:D319),COPIA!$DF$3:$DF$2300,0),COLUMN()-1),"")=0,"",IFERROR(INDEX((COPIA!$DA$3:$DE$2300),MATCH(ROWS(D$8:D319),COPIA!$DF$3:$DF$2300,0),COLUMN()-1),""))</f>
        <v/>
      </c>
      <c r="E319" s="45" t="str">
        <f ca="1">IF(IFERROR(INDEX((COPIA!$DA$3:$DE$2300),MATCH(ROWS(E$8:E319),COPIA!$DF$3:$DF$2300,0),COLUMN()-1),"")=0,"",IFERROR(INDEX((COPIA!$DA$3:$DE$2300),MATCH(ROWS(E$8:E319),COPIA!$DF$3:$DF$2300,0),COLUMN()-1),""))</f>
        <v/>
      </c>
      <c r="F319" s="120" t="str">
        <f ca="1">IF(IFERROR(INDEX((COPIA!$DA$3:$DE$2300),MATCH(ROWS(F$8:F319),COPIA!$DF$3:$DF$2300,0),COLUMN()-1),"")=0,"",IFERROR(INDEX((COPIA!$DA$3:$DE$2300),MATCH(ROWS(F$8:F319),COPIA!$DF$3:$DF$2300,0),COLUMN()-1),""))</f>
        <v/>
      </c>
    </row>
    <row r="320" spans="2:6">
      <c r="B320" s="119" t="str">
        <f ca="1">IF(IFERROR(INDEX((COPIA!$DA$3:$DE$2300),MATCH(ROWS(B$8:B320),COPIA!$DF$3:$DF$2300,0),COLUMN()-1),"")&gt;=1,IFERROR(INDEX((COPIA!$DA$3:$DE$2300),MATCH(ROWS(B$8:B320),COPIA!$DF$3:$DF$2300,0),COLUMN()-1),""),"")</f>
        <v/>
      </c>
      <c r="C320" s="118" t="str">
        <f ca="1">SUBSTITUTE(IFERROR(INDEX((COPIA!$DA$3:$DE$2300),MATCH(ROWS(C$8:C320),COPIA!$DF$3:$DF$2300,0),COLUMN()-1),""),"MASTRO","")</f>
        <v/>
      </c>
      <c r="D320" s="29" t="str">
        <f ca="1">IF(IFERROR(INDEX((COPIA!$DA$3:$DE$2300),MATCH(ROWS(D$8:D320),COPIA!$DF$3:$DF$2300,0),COLUMN()-1),"")=0,"",IFERROR(INDEX((COPIA!$DA$3:$DE$2300),MATCH(ROWS(D$8:D320),COPIA!$DF$3:$DF$2300,0),COLUMN()-1),""))</f>
        <v/>
      </c>
      <c r="E320" s="45" t="str">
        <f ca="1">IF(IFERROR(INDEX((COPIA!$DA$3:$DE$2300),MATCH(ROWS(E$8:E320),COPIA!$DF$3:$DF$2300,0),COLUMN()-1),"")=0,"",IFERROR(INDEX((COPIA!$DA$3:$DE$2300),MATCH(ROWS(E$8:E320),COPIA!$DF$3:$DF$2300,0),COLUMN()-1),""))</f>
        <v/>
      </c>
      <c r="F320" s="120" t="str">
        <f ca="1">IF(IFERROR(INDEX((COPIA!$DA$3:$DE$2300),MATCH(ROWS(F$8:F320),COPIA!$DF$3:$DF$2300,0),COLUMN()-1),"")=0,"",IFERROR(INDEX((COPIA!$DA$3:$DE$2300),MATCH(ROWS(F$8:F320),COPIA!$DF$3:$DF$2300,0),COLUMN()-1),""))</f>
        <v/>
      </c>
    </row>
    <row r="321" spans="2:6">
      <c r="B321" s="119" t="str">
        <f ca="1">IF(IFERROR(INDEX((COPIA!$DA$3:$DE$2300),MATCH(ROWS(B$8:B321),COPIA!$DF$3:$DF$2300,0),COLUMN()-1),"")&gt;=1,IFERROR(INDEX((COPIA!$DA$3:$DE$2300),MATCH(ROWS(B$8:B321),COPIA!$DF$3:$DF$2300,0),COLUMN()-1),""),"")</f>
        <v/>
      </c>
      <c r="C321" s="118" t="str">
        <f ca="1">SUBSTITUTE(IFERROR(INDEX((COPIA!$DA$3:$DE$2300),MATCH(ROWS(C$8:C321),COPIA!$DF$3:$DF$2300,0),COLUMN()-1),""),"MASTRO","")</f>
        <v/>
      </c>
      <c r="D321" s="29" t="str">
        <f ca="1">IF(IFERROR(INDEX((COPIA!$DA$3:$DE$2300),MATCH(ROWS(D$8:D321),COPIA!$DF$3:$DF$2300,0),COLUMN()-1),"")=0,"",IFERROR(INDEX((COPIA!$DA$3:$DE$2300),MATCH(ROWS(D$8:D321),COPIA!$DF$3:$DF$2300,0),COLUMN()-1),""))</f>
        <v/>
      </c>
      <c r="E321" s="45" t="str">
        <f ca="1">IF(IFERROR(INDEX((COPIA!$DA$3:$DE$2300),MATCH(ROWS(E$8:E321),COPIA!$DF$3:$DF$2300,0),COLUMN()-1),"")=0,"",IFERROR(INDEX((COPIA!$DA$3:$DE$2300),MATCH(ROWS(E$8:E321),COPIA!$DF$3:$DF$2300,0),COLUMN()-1),""))</f>
        <v/>
      </c>
      <c r="F321" s="120" t="str">
        <f ca="1">IF(IFERROR(INDEX((COPIA!$DA$3:$DE$2300),MATCH(ROWS(F$8:F321),COPIA!$DF$3:$DF$2300,0),COLUMN()-1),"")=0,"",IFERROR(INDEX((COPIA!$DA$3:$DE$2300),MATCH(ROWS(F$8:F321),COPIA!$DF$3:$DF$2300,0),COLUMN()-1),""))</f>
        <v/>
      </c>
    </row>
    <row r="322" spans="2:6">
      <c r="B322" s="119" t="str">
        <f ca="1">IF(IFERROR(INDEX((COPIA!$DA$3:$DE$2300),MATCH(ROWS(B$8:B322),COPIA!$DF$3:$DF$2300,0),COLUMN()-1),"")&gt;=1,IFERROR(INDEX((COPIA!$DA$3:$DE$2300),MATCH(ROWS(B$8:B322),COPIA!$DF$3:$DF$2300,0),COLUMN()-1),""),"")</f>
        <v/>
      </c>
      <c r="C322" s="118" t="str">
        <f ca="1">SUBSTITUTE(IFERROR(INDEX((COPIA!$DA$3:$DE$2300),MATCH(ROWS(C$8:C322),COPIA!$DF$3:$DF$2300,0),COLUMN()-1),""),"MASTRO","")</f>
        <v/>
      </c>
      <c r="D322" s="29" t="str">
        <f ca="1">IF(IFERROR(INDEX((COPIA!$DA$3:$DE$2300),MATCH(ROWS(D$8:D322),COPIA!$DF$3:$DF$2300,0),COLUMN()-1),"")=0,"",IFERROR(INDEX((COPIA!$DA$3:$DE$2300),MATCH(ROWS(D$8:D322),COPIA!$DF$3:$DF$2300,0),COLUMN()-1),""))</f>
        <v/>
      </c>
      <c r="E322" s="45" t="str">
        <f ca="1">IF(IFERROR(INDEX((COPIA!$DA$3:$DE$2300),MATCH(ROWS(E$8:E322),COPIA!$DF$3:$DF$2300,0),COLUMN()-1),"")=0,"",IFERROR(INDEX((COPIA!$DA$3:$DE$2300),MATCH(ROWS(E$8:E322),COPIA!$DF$3:$DF$2300,0),COLUMN()-1),""))</f>
        <v/>
      </c>
      <c r="F322" s="120" t="str">
        <f ca="1">IF(IFERROR(INDEX((COPIA!$DA$3:$DE$2300),MATCH(ROWS(F$8:F322),COPIA!$DF$3:$DF$2300,0),COLUMN()-1),"")=0,"",IFERROR(INDEX((COPIA!$DA$3:$DE$2300),MATCH(ROWS(F$8:F322),COPIA!$DF$3:$DF$2300,0),COLUMN()-1),""))</f>
        <v/>
      </c>
    </row>
    <row r="323" spans="2:6">
      <c r="B323" s="119" t="str">
        <f ca="1">IF(IFERROR(INDEX((COPIA!$DA$3:$DE$2300),MATCH(ROWS(B$8:B323),COPIA!$DF$3:$DF$2300,0),COLUMN()-1),"")&gt;=1,IFERROR(INDEX((COPIA!$DA$3:$DE$2300),MATCH(ROWS(B$8:B323),COPIA!$DF$3:$DF$2300,0),COLUMN()-1),""),"")</f>
        <v/>
      </c>
      <c r="C323" s="118" t="str">
        <f ca="1">SUBSTITUTE(IFERROR(INDEX((COPIA!$DA$3:$DE$2300),MATCH(ROWS(C$8:C323),COPIA!$DF$3:$DF$2300,0),COLUMN()-1),""),"MASTRO","")</f>
        <v/>
      </c>
      <c r="D323" s="29" t="str">
        <f ca="1">IF(IFERROR(INDEX((COPIA!$DA$3:$DE$2300),MATCH(ROWS(D$8:D323),COPIA!$DF$3:$DF$2300,0),COLUMN()-1),"")=0,"",IFERROR(INDEX((COPIA!$DA$3:$DE$2300),MATCH(ROWS(D$8:D323),COPIA!$DF$3:$DF$2300,0),COLUMN()-1),""))</f>
        <v/>
      </c>
      <c r="E323" s="45" t="str">
        <f ca="1">IF(IFERROR(INDEX((COPIA!$DA$3:$DE$2300),MATCH(ROWS(E$8:E323),COPIA!$DF$3:$DF$2300,0),COLUMN()-1),"")=0,"",IFERROR(INDEX((COPIA!$DA$3:$DE$2300),MATCH(ROWS(E$8:E323),COPIA!$DF$3:$DF$2300,0),COLUMN()-1),""))</f>
        <v/>
      </c>
      <c r="F323" s="120" t="str">
        <f ca="1">IF(IFERROR(INDEX((COPIA!$DA$3:$DE$2300),MATCH(ROWS(F$8:F323),COPIA!$DF$3:$DF$2300,0),COLUMN()-1),"")=0,"",IFERROR(INDEX((COPIA!$DA$3:$DE$2300),MATCH(ROWS(F$8:F323),COPIA!$DF$3:$DF$2300,0),COLUMN()-1),""))</f>
        <v/>
      </c>
    </row>
    <row r="324" spans="2:6">
      <c r="B324" s="119" t="str">
        <f ca="1">IF(IFERROR(INDEX((COPIA!$DA$3:$DE$2300),MATCH(ROWS(B$8:B324),COPIA!$DF$3:$DF$2300,0),COLUMN()-1),"")&gt;=1,IFERROR(INDEX((COPIA!$DA$3:$DE$2300),MATCH(ROWS(B$8:B324),COPIA!$DF$3:$DF$2300,0),COLUMN()-1),""),"")</f>
        <v/>
      </c>
      <c r="C324" s="118" t="str">
        <f ca="1">SUBSTITUTE(IFERROR(INDEX((COPIA!$DA$3:$DE$2300),MATCH(ROWS(C$8:C324),COPIA!$DF$3:$DF$2300,0),COLUMN()-1),""),"MASTRO","")</f>
        <v/>
      </c>
      <c r="D324" s="29" t="str">
        <f ca="1">IF(IFERROR(INDEX((COPIA!$DA$3:$DE$2300),MATCH(ROWS(D$8:D324),COPIA!$DF$3:$DF$2300,0),COLUMN()-1),"")=0,"",IFERROR(INDEX((COPIA!$DA$3:$DE$2300),MATCH(ROWS(D$8:D324),COPIA!$DF$3:$DF$2300,0),COLUMN()-1),""))</f>
        <v/>
      </c>
      <c r="E324" s="45" t="str">
        <f ca="1">IF(IFERROR(INDEX((COPIA!$DA$3:$DE$2300),MATCH(ROWS(E$8:E324),COPIA!$DF$3:$DF$2300,0),COLUMN()-1),"")=0,"",IFERROR(INDEX((COPIA!$DA$3:$DE$2300),MATCH(ROWS(E$8:E324),COPIA!$DF$3:$DF$2300,0),COLUMN()-1),""))</f>
        <v/>
      </c>
      <c r="F324" s="120" t="str">
        <f ca="1">IF(IFERROR(INDEX((COPIA!$DA$3:$DE$2300),MATCH(ROWS(F$8:F324),COPIA!$DF$3:$DF$2300,0),COLUMN()-1),"")=0,"",IFERROR(INDEX((COPIA!$DA$3:$DE$2300),MATCH(ROWS(F$8:F324),COPIA!$DF$3:$DF$2300,0),COLUMN()-1),""))</f>
        <v/>
      </c>
    </row>
    <row r="325" spans="2:6">
      <c r="B325" s="119" t="str">
        <f ca="1">IF(IFERROR(INDEX((COPIA!$DA$3:$DE$2300),MATCH(ROWS(B$8:B325),COPIA!$DF$3:$DF$2300,0),COLUMN()-1),"")&gt;=1,IFERROR(INDEX((COPIA!$DA$3:$DE$2300),MATCH(ROWS(B$8:B325),COPIA!$DF$3:$DF$2300,0),COLUMN()-1),""),"")</f>
        <v/>
      </c>
      <c r="C325" s="118" t="str">
        <f ca="1">SUBSTITUTE(IFERROR(INDEX((COPIA!$DA$3:$DE$2300),MATCH(ROWS(C$8:C325),COPIA!$DF$3:$DF$2300,0),COLUMN()-1),""),"MASTRO","")</f>
        <v/>
      </c>
      <c r="D325" s="29" t="str">
        <f ca="1">IF(IFERROR(INDEX((COPIA!$DA$3:$DE$2300),MATCH(ROWS(D$8:D325),COPIA!$DF$3:$DF$2300,0),COLUMN()-1),"")=0,"",IFERROR(INDEX((COPIA!$DA$3:$DE$2300),MATCH(ROWS(D$8:D325),COPIA!$DF$3:$DF$2300,0),COLUMN()-1),""))</f>
        <v/>
      </c>
      <c r="E325" s="45" t="str">
        <f ca="1">IF(IFERROR(INDEX((COPIA!$DA$3:$DE$2300),MATCH(ROWS(E$8:E325),COPIA!$DF$3:$DF$2300,0),COLUMN()-1),"")=0,"",IFERROR(INDEX((COPIA!$DA$3:$DE$2300),MATCH(ROWS(E$8:E325),COPIA!$DF$3:$DF$2300,0),COLUMN()-1),""))</f>
        <v/>
      </c>
      <c r="F325" s="120" t="str">
        <f ca="1">IF(IFERROR(INDEX((COPIA!$DA$3:$DE$2300),MATCH(ROWS(F$8:F325),COPIA!$DF$3:$DF$2300,0),COLUMN()-1),"")=0,"",IFERROR(INDEX((COPIA!$DA$3:$DE$2300),MATCH(ROWS(F$8:F325),COPIA!$DF$3:$DF$2300,0),COLUMN()-1),""))</f>
        <v/>
      </c>
    </row>
    <row r="326" spans="2:6">
      <c r="B326" s="119" t="str">
        <f ca="1">IF(IFERROR(INDEX((COPIA!$DA$3:$DE$2300),MATCH(ROWS(B$8:B326),COPIA!$DF$3:$DF$2300,0),COLUMN()-1),"")&gt;=1,IFERROR(INDEX((COPIA!$DA$3:$DE$2300),MATCH(ROWS(B$8:B326),COPIA!$DF$3:$DF$2300,0),COLUMN()-1),""),"")</f>
        <v/>
      </c>
      <c r="C326" s="118" t="str">
        <f ca="1">SUBSTITUTE(IFERROR(INDEX((COPIA!$DA$3:$DE$2300),MATCH(ROWS(C$8:C326),COPIA!$DF$3:$DF$2300,0),COLUMN()-1),""),"MASTRO","")</f>
        <v/>
      </c>
      <c r="D326" s="29" t="str">
        <f ca="1">IF(IFERROR(INDEX((COPIA!$DA$3:$DE$2300),MATCH(ROWS(D$8:D326),COPIA!$DF$3:$DF$2300,0),COLUMN()-1),"")=0,"",IFERROR(INDEX((COPIA!$DA$3:$DE$2300),MATCH(ROWS(D$8:D326),COPIA!$DF$3:$DF$2300,0),COLUMN()-1),""))</f>
        <v/>
      </c>
      <c r="E326" s="45" t="str">
        <f ca="1">IF(IFERROR(INDEX((COPIA!$DA$3:$DE$2300),MATCH(ROWS(E$8:E326),COPIA!$DF$3:$DF$2300,0),COLUMN()-1),"")=0,"",IFERROR(INDEX((COPIA!$DA$3:$DE$2300),MATCH(ROWS(E$8:E326),COPIA!$DF$3:$DF$2300,0),COLUMN()-1),""))</f>
        <v/>
      </c>
      <c r="F326" s="120" t="str">
        <f ca="1">IF(IFERROR(INDEX((COPIA!$DA$3:$DE$2300),MATCH(ROWS(F$8:F326),COPIA!$DF$3:$DF$2300,0),COLUMN()-1),"")=0,"",IFERROR(INDEX((COPIA!$DA$3:$DE$2300),MATCH(ROWS(F$8:F326),COPIA!$DF$3:$DF$2300,0),COLUMN()-1),""))</f>
        <v/>
      </c>
    </row>
    <row r="327" spans="2:6">
      <c r="B327" s="119" t="str">
        <f ca="1">IF(IFERROR(INDEX((COPIA!$DA$3:$DE$2300),MATCH(ROWS(B$8:B327),COPIA!$DF$3:$DF$2300,0),COLUMN()-1),"")&gt;=1,IFERROR(INDEX((COPIA!$DA$3:$DE$2300),MATCH(ROWS(B$8:B327),COPIA!$DF$3:$DF$2300,0),COLUMN()-1),""),"")</f>
        <v/>
      </c>
      <c r="C327" s="118" t="str">
        <f ca="1">SUBSTITUTE(IFERROR(INDEX((COPIA!$DA$3:$DE$2300),MATCH(ROWS(C$8:C327),COPIA!$DF$3:$DF$2300,0),COLUMN()-1),""),"MASTRO","")</f>
        <v/>
      </c>
      <c r="D327" s="29" t="str">
        <f ca="1">IF(IFERROR(INDEX((COPIA!$DA$3:$DE$2300),MATCH(ROWS(D$8:D327),COPIA!$DF$3:$DF$2300,0),COLUMN()-1),"")=0,"",IFERROR(INDEX((COPIA!$DA$3:$DE$2300),MATCH(ROWS(D$8:D327),COPIA!$DF$3:$DF$2300,0),COLUMN()-1),""))</f>
        <v/>
      </c>
      <c r="E327" s="45" t="str">
        <f ca="1">IF(IFERROR(INDEX((COPIA!$DA$3:$DE$2300),MATCH(ROWS(E$8:E327),COPIA!$DF$3:$DF$2300,0),COLUMN()-1),"")=0,"",IFERROR(INDEX((COPIA!$DA$3:$DE$2300),MATCH(ROWS(E$8:E327),COPIA!$DF$3:$DF$2300,0),COLUMN()-1),""))</f>
        <v/>
      </c>
      <c r="F327" s="120" t="str">
        <f ca="1">IF(IFERROR(INDEX((COPIA!$DA$3:$DE$2300),MATCH(ROWS(F$8:F327),COPIA!$DF$3:$DF$2300,0),COLUMN()-1),"")=0,"",IFERROR(INDEX((COPIA!$DA$3:$DE$2300),MATCH(ROWS(F$8:F327),COPIA!$DF$3:$DF$2300,0),COLUMN()-1),""))</f>
        <v/>
      </c>
    </row>
    <row r="328" spans="2:6">
      <c r="B328" s="119" t="str">
        <f ca="1">IF(IFERROR(INDEX((COPIA!$DA$3:$DE$2300),MATCH(ROWS(B$8:B328),COPIA!$DF$3:$DF$2300,0),COLUMN()-1),"")&gt;=1,IFERROR(INDEX((COPIA!$DA$3:$DE$2300),MATCH(ROWS(B$8:B328),COPIA!$DF$3:$DF$2300,0),COLUMN()-1),""),"")</f>
        <v/>
      </c>
      <c r="C328" s="118" t="str">
        <f ca="1">SUBSTITUTE(IFERROR(INDEX((COPIA!$DA$3:$DE$2300),MATCH(ROWS(C$8:C328),COPIA!$DF$3:$DF$2300,0),COLUMN()-1),""),"MASTRO","")</f>
        <v/>
      </c>
      <c r="D328" s="29" t="str">
        <f ca="1">IF(IFERROR(INDEX((COPIA!$DA$3:$DE$2300),MATCH(ROWS(D$8:D328),COPIA!$DF$3:$DF$2300,0),COLUMN()-1),"")=0,"",IFERROR(INDEX((COPIA!$DA$3:$DE$2300),MATCH(ROWS(D$8:D328),COPIA!$DF$3:$DF$2300,0),COLUMN()-1),""))</f>
        <v/>
      </c>
      <c r="E328" s="45" t="str">
        <f ca="1">IF(IFERROR(INDEX((COPIA!$DA$3:$DE$2300),MATCH(ROWS(E$8:E328),COPIA!$DF$3:$DF$2300,0),COLUMN()-1),"")=0,"",IFERROR(INDEX((COPIA!$DA$3:$DE$2300),MATCH(ROWS(E$8:E328),COPIA!$DF$3:$DF$2300,0),COLUMN()-1),""))</f>
        <v/>
      </c>
      <c r="F328" s="120" t="str">
        <f ca="1">IF(IFERROR(INDEX((COPIA!$DA$3:$DE$2300),MATCH(ROWS(F$8:F328),COPIA!$DF$3:$DF$2300,0),COLUMN()-1),"")=0,"",IFERROR(INDEX((COPIA!$DA$3:$DE$2300),MATCH(ROWS(F$8:F328),COPIA!$DF$3:$DF$2300,0),COLUMN()-1),""))</f>
        <v/>
      </c>
    </row>
    <row r="329" spans="2:6">
      <c r="B329" s="119" t="str">
        <f ca="1">IF(IFERROR(INDEX((COPIA!$DA$3:$DE$2300),MATCH(ROWS(B$8:B329),COPIA!$DF$3:$DF$2300,0),COLUMN()-1),"")&gt;=1,IFERROR(INDEX((COPIA!$DA$3:$DE$2300),MATCH(ROWS(B$8:B329),COPIA!$DF$3:$DF$2300,0),COLUMN()-1),""),"")</f>
        <v/>
      </c>
      <c r="C329" s="118" t="str">
        <f ca="1">SUBSTITUTE(IFERROR(INDEX((COPIA!$DA$3:$DE$2300),MATCH(ROWS(C$8:C329),COPIA!$DF$3:$DF$2300,0),COLUMN()-1),""),"MASTRO","")</f>
        <v/>
      </c>
      <c r="D329" s="29" t="str">
        <f ca="1">IF(IFERROR(INDEX((COPIA!$DA$3:$DE$2300),MATCH(ROWS(D$8:D329),COPIA!$DF$3:$DF$2300,0),COLUMN()-1),"")=0,"",IFERROR(INDEX((COPIA!$DA$3:$DE$2300),MATCH(ROWS(D$8:D329),COPIA!$DF$3:$DF$2300,0),COLUMN()-1),""))</f>
        <v/>
      </c>
      <c r="E329" s="45" t="str">
        <f ca="1">IF(IFERROR(INDEX((COPIA!$DA$3:$DE$2300),MATCH(ROWS(E$8:E329),COPIA!$DF$3:$DF$2300,0),COLUMN()-1),"")=0,"",IFERROR(INDEX((COPIA!$DA$3:$DE$2300),MATCH(ROWS(E$8:E329),COPIA!$DF$3:$DF$2300,0),COLUMN()-1),""))</f>
        <v/>
      </c>
      <c r="F329" s="120" t="str">
        <f ca="1">IF(IFERROR(INDEX((COPIA!$DA$3:$DE$2300),MATCH(ROWS(F$8:F329),COPIA!$DF$3:$DF$2300,0),COLUMN()-1),"")=0,"",IFERROR(INDEX((COPIA!$DA$3:$DE$2300),MATCH(ROWS(F$8:F329),COPIA!$DF$3:$DF$2300,0),COLUMN()-1),""))</f>
        <v/>
      </c>
    </row>
    <row r="330" spans="2:6">
      <c r="B330" s="119" t="str">
        <f ca="1">IF(IFERROR(INDEX((COPIA!$DA$3:$DE$2300),MATCH(ROWS(B$8:B330),COPIA!$DF$3:$DF$2300,0),COLUMN()-1),"")&gt;=1,IFERROR(INDEX((COPIA!$DA$3:$DE$2300),MATCH(ROWS(B$8:B330),COPIA!$DF$3:$DF$2300,0),COLUMN()-1),""),"")</f>
        <v/>
      </c>
      <c r="C330" s="118" t="str">
        <f ca="1">SUBSTITUTE(IFERROR(INDEX((COPIA!$DA$3:$DE$2300),MATCH(ROWS(C$8:C330),COPIA!$DF$3:$DF$2300,0),COLUMN()-1),""),"MASTRO","")</f>
        <v/>
      </c>
      <c r="D330" s="29" t="str">
        <f ca="1">IF(IFERROR(INDEX((COPIA!$DA$3:$DE$2300),MATCH(ROWS(D$8:D330),COPIA!$DF$3:$DF$2300,0),COLUMN()-1),"")=0,"",IFERROR(INDEX((COPIA!$DA$3:$DE$2300),MATCH(ROWS(D$8:D330),COPIA!$DF$3:$DF$2300,0),COLUMN()-1),""))</f>
        <v/>
      </c>
      <c r="E330" s="45" t="str">
        <f ca="1">IF(IFERROR(INDEX((COPIA!$DA$3:$DE$2300),MATCH(ROWS(E$8:E330),COPIA!$DF$3:$DF$2300,0),COLUMN()-1),"")=0,"",IFERROR(INDEX((COPIA!$DA$3:$DE$2300),MATCH(ROWS(E$8:E330),COPIA!$DF$3:$DF$2300,0),COLUMN()-1),""))</f>
        <v/>
      </c>
      <c r="F330" s="120" t="str">
        <f ca="1">IF(IFERROR(INDEX((COPIA!$DA$3:$DE$2300),MATCH(ROWS(F$8:F330),COPIA!$DF$3:$DF$2300,0),COLUMN()-1),"")=0,"",IFERROR(INDEX((COPIA!$DA$3:$DE$2300),MATCH(ROWS(F$8:F330),COPIA!$DF$3:$DF$2300,0),COLUMN()-1),""))</f>
        <v/>
      </c>
    </row>
    <row r="331" spans="2:6">
      <c r="B331" s="119" t="str">
        <f ca="1">IF(IFERROR(INDEX((COPIA!$DA$3:$DE$2300),MATCH(ROWS(B$8:B331),COPIA!$DF$3:$DF$2300,0),COLUMN()-1),"")&gt;=1,IFERROR(INDEX((COPIA!$DA$3:$DE$2300),MATCH(ROWS(B$8:B331),COPIA!$DF$3:$DF$2300,0),COLUMN()-1),""),"")</f>
        <v/>
      </c>
      <c r="C331" s="118" t="str">
        <f ca="1">SUBSTITUTE(IFERROR(INDEX((COPIA!$DA$3:$DE$2300),MATCH(ROWS(C$8:C331),COPIA!$DF$3:$DF$2300,0),COLUMN()-1),""),"MASTRO","")</f>
        <v/>
      </c>
      <c r="D331" s="29" t="str">
        <f ca="1">IF(IFERROR(INDEX((COPIA!$DA$3:$DE$2300),MATCH(ROWS(D$8:D331),COPIA!$DF$3:$DF$2300,0),COLUMN()-1),"")=0,"",IFERROR(INDEX((COPIA!$DA$3:$DE$2300),MATCH(ROWS(D$8:D331),COPIA!$DF$3:$DF$2300,0),COLUMN()-1),""))</f>
        <v/>
      </c>
      <c r="E331" s="45" t="str">
        <f ca="1">IF(IFERROR(INDEX((COPIA!$DA$3:$DE$2300),MATCH(ROWS(E$8:E331),COPIA!$DF$3:$DF$2300,0),COLUMN()-1),"")=0,"",IFERROR(INDEX((COPIA!$DA$3:$DE$2300),MATCH(ROWS(E$8:E331),COPIA!$DF$3:$DF$2300,0),COLUMN()-1),""))</f>
        <v/>
      </c>
      <c r="F331" s="120" t="str">
        <f ca="1">IF(IFERROR(INDEX((COPIA!$DA$3:$DE$2300),MATCH(ROWS(F$8:F331),COPIA!$DF$3:$DF$2300,0),COLUMN()-1),"")=0,"",IFERROR(INDEX((COPIA!$DA$3:$DE$2300),MATCH(ROWS(F$8:F331),COPIA!$DF$3:$DF$2300,0),COLUMN()-1),""))</f>
        <v/>
      </c>
    </row>
    <row r="332" spans="2:6">
      <c r="B332" s="119" t="str">
        <f ca="1">IF(IFERROR(INDEX((COPIA!$DA$3:$DE$2300),MATCH(ROWS(B$8:B332),COPIA!$DF$3:$DF$2300,0),COLUMN()-1),"")&gt;=1,IFERROR(INDEX((COPIA!$DA$3:$DE$2300),MATCH(ROWS(B$8:B332),COPIA!$DF$3:$DF$2300,0),COLUMN()-1),""),"")</f>
        <v/>
      </c>
      <c r="C332" s="118" t="str">
        <f ca="1">SUBSTITUTE(IFERROR(INDEX((COPIA!$DA$3:$DE$2300),MATCH(ROWS(C$8:C332),COPIA!$DF$3:$DF$2300,0),COLUMN()-1),""),"MASTRO","")</f>
        <v/>
      </c>
      <c r="D332" s="29" t="str">
        <f ca="1">IF(IFERROR(INDEX((COPIA!$DA$3:$DE$2300),MATCH(ROWS(D$8:D332),COPIA!$DF$3:$DF$2300,0),COLUMN()-1),"")=0,"",IFERROR(INDEX((COPIA!$DA$3:$DE$2300),MATCH(ROWS(D$8:D332),COPIA!$DF$3:$DF$2300,0),COLUMN()-1),""))</f>
        <v/>
      </c>
      <c r="E332" s="45" t="str">
        <f ca="1">IF(IFERROR(INDEX((COPIA!$DA$3:$DE$2300),MATCH(ROWS(E$8:E332),COPIA!$DF$3:$DF$2300,0),COLUMN()-1),"")=0,"",IFERROR(INDEX((COPIA!$DA$3:$DE$2300),MATCH(ROWS(E$8:E332),COPIA!$DF$3:$DF$2300,0),COLUMN()-1),""))</f>
        <v/>
      </c>
      <c r="F332" s="120" t="str">
        <f ca="1">IF(IFERROR(INDEX((COPIA!$DA$3:$DE$2300),MATCH(ROWS(F$8:F332),COPIA!$DF$3:$DF$2300,0),COLUMN()-1),"")=0,"",IFERROR(INDEX((COPIA!$DA$3:$DE$2300),MATCH(ROWS(F$8:F332),COPIA!$DF$3:$DF$2300,0),COLUMN()-1),""))</f>
        <v/>
      </c>
    </row>
    <row r="333" spans="2:6">
      <c r="B333" s="119" t="str">
        <f ca="1">IF(IFERROR(INDEX((COPIA!$DA$3:$DE$2300),MATCH(ROWS(B$8:B333),COPIA!$DF$3:$DF$2300,0),COLUMN()-1),"")&gt;=1,IFERROR(INDEX((COPIA!$DA$3:$DE$2300),MATCH(ROWS(B$8:B333),COPIA!$DF$3:$DF$2300,0),COLUMN()-1),""),"")</f>
        <v/>
      </c>
      <c r="C333" s="118" t="str">
        <f ca="1">SUBSTITUTE(IFERROR(INDEX((COPIA!$DA$3:$DE$2300),MATCH(ROWS(C$8:C333),COPIA!$DF$3:$DF$2300,0),COLUMN()-1),""),"MASTRO","")</f>
        <v/>
      </c>
      <c r="D333" s="29" t="str">
        <f ca="1">IF(IFERROR(INDEX((COPIA!$DA$3:$DE$2300),MATCH(ROWS(D$8:D333),COPIA!$DF$3:$DF$2300,0),COLUMN()-1),"")=0,"",IFERROR(INDEX((COPIA!$DA$3:$DE$2300),MATCH(ROWS(D$8:D333),COPIA!$DF$3:$DF$2300,0),COLUMN()-1),""))</f>
        <v/>
      </c>
      <c r="E333" s="45" t="str">
        <f ca="1">IF(IFERROR(INDEX((COPIA!$DA$3:$DE$2300),MATCH(ROWS(E$8:E333),COPIA!$DF$3:$DF$2300,0),COLUMN()-1),"")=0,"",IFERROR(INDEX((COPIA!$DA$3:$DE$2300),MATCH(ROWS(E$8:E333),COPIA!$DF$3:$DF$2300,0),COLUMN()-1),""))</f>
        <v/>
      </c>
      <c r="F333" s="120" t="str">
        <f ca="1">IF(IFERROR(INDEX((COPIA!$DA$3:$DE$2300),MATCH(ROWS(F$8:F333),COPIA!$DF$3:$DF$2300,0),COLUMN()-1),"")=0,"",IFERROR(INDEX((COPIA!$DA$3:$DE$2300),MATCH(ROWS(F$8:F333),COPIA!$DF$3:$DF$2300,0),COLUMN()-1),""))</f>
        <v/>
      </c>
    </row>
    <row r="334" spans="2:6">
      <c r="B334" s="119" t="str">
        <f ca="1">IF(IFERROR(INDEX((COPIA!$DA$3:$DE$2300),MATCH(ROWS(B$8:B334),COPIA!$DF$3:$DF$2300,0),COLUMN()-1),"")&gt;=1,IFERROR(INDEX((COPIA!$DA$3:$DE$2300),MATCH(ROWS(B$8:B334),COPIA!$DF$3:$DF$2300,0),COLUMN()-1),""),"")</f>
        <v/>
      </c>
      <c r="C334" s="118" t="str">
        <f ca="1">SUBSTITUTE(IFERROR(INDEX((COPIA!$DA$3:$DE$2300),MATCH(ROWS(C$8:C334),COPIA!$DF$3:$DF$2300,0),COLUMN()-1),""),"MASTRO","")</f>
        <v/>
      </c>
      <c r="D334" s="29" t="str">
        <f ca="1">IF(IFERROR(INDEX((COPIA!$DA$3:$DE$2300),MATCH(ROWS(D$8:D334),COPIA!$DF$3:$DF$2300,0),COLUMN()-1),"")=0,"",IFERROR(INDEX((COPIA!$DA$3:$DE$2300),MATCH(ROWS(D$8:D334),COPIA!$DF$3:$DF$2300,0),COLUMN()-1),""))</f>
        <v/>
      </c>
      <c r="E334" s="45" t="str">
        <f ca="1">IF(IFERROR(INDEX((COPIA!$DA$3:$DE$2300),MATCH(ROWS(E$8:E334),COPIA!$DF$3:$DF$2300,0),COLUMN()-1),"")=0,"",IFERROR(INDEX((COPIA!$DA$3:$DE$2300),MATCH(ROWS(E$8:E334),COPIA!$DF$3:$DF$2300,0),COLUMN()-1),""))</f>
        <v/>
      </c>
      <c r="F334" s="120" t="str">
        <f ca="1">IF(IFERROR(INDEX((COPIA!$DA$3:$DE$2300),MATCH(ROWS(F$8:F334),COPIA!$DF$3:$DF$2300,0),COLUMN()-1),"")=0,"",IFERROR(INDEX((COPIA!$DA$3:$DE$2300),MATCH(ROWS(F$8:F334),COPIA!$DF$3:$DF$2300,0),COLUMN()-1),""))</f>
        <v/>
      </c>
    </row>
    <row r="335" spans="2:6">
      <c r="B335" s="119" t="str">
        <f ca="1">IF(IFERROR(INDEX((COPIA!$DA$3:$DE$2300),MATCH(ROWS(B$8:B335),COPIA!$DF$3:$DF$2300,0),COLUMN()-1),"")&gt;=1,IFERROR(INDEX((COPIA!$DA$3:$DE$2300),MATCH(ROWS(B$8:B335),COPIA!$DF$3:$DF$2300,0),COLUMN()-1),""),"")</f>
        <v/>
      </c>
      <c r="C335" s="118" t="str">
        <f ca="1">SUBSTITUTE(IFERROR(INDEX((COPIA!$DA$3:$DE$2300),MATCH(ROWS(C$8:C335),COPIA!$DF$3:$DF$2300,0),COLUMN()-1),""),"MASTRO","")</f>
        <v/>
      </c>
      <c r="D335" s="29" t="str">
        <f ca="1">IF(IFERROR(INDEX((COPIA!$DA$3:$DE$2300),MATCH(ROWS(D$8:D335),COPIA!$DF$3:$DF$2300,0),COLUMN()-1),"")=0,"",IFERROR(INDEX((COPIA!$DA$3:$DE$2300),MATCH(ROWS(D$8:D335),COPIA!$DF$3:$DF$2300,0),COLUMN()-1),""))</f>
        <v/>
      </c>
      <c r="E335" s="45" t="str">
        <f ca="1">IF(IFERROR(INDEX((COPIA!$DA$3:$DE$2300),MATCH(ROWS(E$8:E335),COPIA!$DF$3:$DF$2300,0),COLUMN()-1),"")=0,"",IFERROR(INDEX((COPIA!$DA$3:$DE$2300),MATCH(ROWS(E$8:E335),COPIA!$DF$3:$DF$2300,0),COLUMN()-1),""))</f>
        <v/>
      </c>
      <c r="F335" s="120" t="str">
        <f ca="1">IF(IFERROR(INDEX((COPIA!$DA$3:$DE$2300),MATCH(ROWS(F$8:F335),COPIA!$DF$3:$DF$2300,0),COLUMN()-1),"")=0,"",IFERROR(INDEX((COPIA!$DA$3:$DE$2300),MATCH(ROWS(F$8:F335),COPIA!$DF$3:$DF$2300,0),COLUMN()-1),""))</f>
        <v/>
      </c>
    </row>
    <row r="336" spans="2:6">
      <c r="B336" s="119" t="str">
        <f ca="1">IF(IFERROR(INDEX((COPIA!$DA$3:$DE$2300),MATCH(ROWS(B$8:B336),COPIA!$DF$3:$DF$2300,0),COLUMN()-1),"")&gt;=1,IFERROR(INDEX((COPIA!$DA$3:$DE$2300),MATCH(ROWS(B$8:B336),COPIA!$DF$3:$DF$2300,0),COLUMN()-1),""),"")</f>
        <v/>
      </c>
      <c r="C336" s="118" t="str">
        <f ca="1">SUBSTITUTE(IFERROR(INDEX((COPIA!$DA$3:$DE$2300),MATCH(ROWS(C$8:C336),COPIA!$DF$3:$DF$2300,0),COLUMN()-1),""),"MASTRO","")</f>
        <v/>
      </c>
      <c r="D336" s="29" t="str">
        <f ca="1">IF(IFERROR(INDEX((COPIA!$DA$3:$DE$2300),MATCH(ROWS(D$8:D336),COPIA!$DF$3:$DF$2300,0),COLUMN()-1),"")=0,"",IFERROR(INDEX((COPIA!$DA$3:$DE$2300),MATCH(ROWS(D$8:D336),COPIA!$DF$3:$DF$2300,0),COLUMN()-1),""))</f>
        <v/>
      </c>
      <c r="E336" s="45" t="str">
        <f ca="1">IF(IFERROR(INDEX((COPIA!$DA$3:$DE$2300),MATCH(ROWS(E$8:E336),COPIA!$DF$3:$DF$2300,0),COLUMN()-1),"")=0,"",IFERROR(INDEX((COPIA!$DA$3:$DE$2300),MATCH(ROWS(E$8:E336),COPIA!$DF$3:$DF$2300,0),COLUMN()-1),""))</f>
        <v/>
      </c>
      <c r="F336" s="120" t="str">
        <f ca="1">IF(IFERROR(INDEX((COPIA!$DA$3:$DE$2300),MATCH(ROWS(F$8:F336),COPIA!$DF$3:$DF$2300,0),COLUMN()-1),"")=0,"",IFERROR(INDEX((COPIA!$DA$3:$DE$2300),MATCH(ROWS(F$8:F336),COPIA!$DF$3:$DF$2300,0),COLUMN()-1),""))</f>
        <v/>
      </c>
    </row>
    <row r="337" spans="2:6">
      <c r="B337" s="119" t="str">
        <f ca="1">IF(IFERROR(INDEX((COPIA!$DA$3:$DE$2300),MATCH(ROWS(B$8:B337),COPIA!$DF$3:$DF$2300,0),COLUMN()-1),"")&gt;=1,IFERROR(INDEX((COPIA!$DA$3:$DE$2300),MATCH(ROWS(B$8:B337),COPIA!$DF$3:$DF$2300,0),COLUMN()-1),""),"")</f>
        <v/>
      </c>
      <c r="C337" s="118" t="str">
        <f ca="1">SUBSTITUTE(IFERROR(INDEX((COPIA!$DA$3:$DE$2300),MATCH(ROWS(C$8:C337),COPIA!$DF$3:$DF$2300,0),COLUMN()-1),""),"MASTRO","")</f>
        <v/>
      </c>
      <c r="D337" s="29" t="str">
        <f ca="1">IF(IFERROR(INDEX((COPIA!$DA$3:$DE$2300),MATCH(ROWS(D$8:D337),COPIA!$DF$3:$DF$2300,0),COLUMN()-1),"")=0,"",IFERROR(INDEX((COPIA!$DA$3:$DE$2300),MATCH(ROWS(D$8:D337),COPIA!$DF$3:$DF$2300,0),COLUMN()-1),""))</f>
        <v/>
      </c>
      <c r="E337" s="45" t="str">
        <f ca="1">IF(IFERROR(INDEX((COPIA!$DA$3:$DE$2300),MATCH(ROWS(E$8:E337),COPIA!$DF$3:$DF$2300,0),COLUMN()-1),"")=0,"",IFERROR(INDEX((COPIA!$DA$3:$DE$2300),MATCH(ROWS(E$8:E337),COPIA!$DF$3:$DF$2300,0),COLUMN()-1),""))</f>
        <v/>
      </c>
      <c r="F337" s="120" t="str">
        <f ca="1">IF(IFERROR(INDEX((COPIA!$DA$3:$DE$2300),MATCH(ROWS(F$8:F337),COPIA!$DF$3:$DF$2300,0),COLUMN()-1),"")=0,"",IFERROR(INDEX((COPIA!$DA$3:$DE$2300),MATCH(ROWS(F$8:F337),COPIA!$DF$3:$DF$2300,0),COLUMN()-1),""))</f>
        <v/>
      </c>
    </row>
    <row r="338" spans="2:6">
      <c r="B338" s="119" t="str">
        <f ca="1">IF(IFERROR(INDEX((COPIA!$DA$3:$DE$2300),MATCH(ROWS(B$8:B338),COPIA!$DF$3:$DF$2300,0),COLUMN()-1),"")&gt;=1,IFERROR(INDEX((COPIA!$DA$3:$DE$2300),MATCH(ROWS(B$8:B338),COPIA!$DF$3:$DF$2300,0),COLUMN()-1),""),"")</f>
        <v/>
      </c>
      <c r="C338" s="118" t="str">
        <f ca="1">SUBSTITUTE(IFERROR(INDEX((COPIA!$DA$3:$DE$2300),MATCH(ROWS(C$8:C338),COPIA!$DF$3:$DF$2300,0),COLUMN()-1),""),"MASTRO","")</f>
        <v/>
      </c>
      <c r="D338" s="29" t="str">
        <f ca="1">IF(IFERROR(INDEX((COPIA!$DA$3:$DE$2300),MATCH(ROWS(D$8:D338),COPIA!$DF$3:$DF$2300,0),COLUMN()-1),"")=0,"",IFERROR(INDEX((COPIA!$DA$3:$DE$2300),MATCH(ROWS(D$8:D338),COPIA!$DF$3:$DF$2300,0),COLUMN()-1),""))</f>
        <v/>
      </c>
      <c r="E338" s="45" t="str">
        <f ca="1">IF(IFERROR(INDEX((COPIA!$DA$3:$DE$2300),MATCH(ROWS(E$8:E338),COPIA!$DF$3:$DF$2300,0),COLUMN()-1),"")=0,"",IFERROR(INDEX((COPIA!$DA$3:$DE$2300),MATCH(ROWS(E$8:E338),COPIA!$DF$3:$DF$2300,0),COLUMN()-1),""))</f>
        <v/>
      </c>
      <c r="F338" s="120" t="str">
        <f ca="1">IF(IFERROR(INDEX((COPIA!$DA$3:$DE$2300),MATCH(ROWS(F$8:F338),COPIA!$DF$3:$DF$2300,0),COLUMN()-1),"")=0,"",IFERROR(INDEX((COPIA!$DA$3:$DE$2300),MATCH(ROWS(F$8:F338),COPIA!$DF$3:$DF$2300,0),COLUMN()-1),""))</f>
        <v/>
      </c>
    </row>
    <row r="339" spans="2:6">
      <c r="B339" s="119" t="str">
        <f ca="1">IF(IFERROR(INDEX((COPIA!$DA$3:$DE$2300),MATCH(ROWS(B$8:B339),COPIA!$DF$3:$DF$2300,0),COLUMN()-1),"")&gt;=1,IFERROR(INDEX((COPIA!$DA$3:$DE$2300),MATCH(ROWS(B$8:B339),COPIA!$DF$3:$DF$2300,0),COLUMN()-1),""),"")</f>
        <v/>
      </c>
      <c r="C339" s="118" t="str">
        <f ca="1">SUBSTITUTE(IFERROR(INDEX((COPIA!$DA$3:$DE$2300),MATCH(ROWS(C$8:C339),COPIA!$DF$3:$DF$2300,0),COLUMN()-1),""),"MASTRO","")</f>
        <v/>
      </c>
      <c r="D339" s="29" t="str">
        <f ca="1">IF(IFERROR(INDEX((COPIA!$DA$3:$DE$2300),MATCH(ROWS(D$8:D339),COPIA!$DF$3:$DF$2300,0),COLUMN()-1),"")=0,"",IFERROR(INDEX((COPIA!$DA$3:$DE$2300),MATCH(ROWS(D$8:D339),COPIA!$DF$3:$DF$2300,0),COLUMN()-1),""))</f>
        <v/>
      </c>
      <c r="E339" s="45" t="str">
        <f ca="1">IF(IFERROR(INDEX((COPIA!$DA$3:$DE$2300),MATCH(ROWS(E$8:E339),COPIA!$DF$3:$DF$2300,0),COLUMN()-1),"")=0,"",IFERROR(INDEX((COPIA!$DA$3:$DE$2300),MATCH(ROWS(E$8:E339),COPIA!$DF$3:$DF$2300,0),COLUMN()-1),""))</f>
        <v/>
      </c>
      <c r="F339" s="120" t="str">
        <f ca="1">IF(IFERROR(INDEX((COPIA!$DA$3:$DE$2300),MATCH(ROWS(F$8:F339),COPIA!$DF$3:$DF$2300,0),COLUMN()-1),"")=0,"",IFERROR(INDEX((COPIA!$DA$3:$DE$2300),MATCH(ROWS(F$8:F339),COPIA!$DF$3:$DF$2300,0),COLUMN()-1),""))</f>
        <v/>
      </c>
    </row>
    <row r="340" spans="2:6">
      <c r="B340" s="119" t="str">
        <f ca="1">IF(IFERROR(INDEX((COPIA!$DA$3:$DE$2300),MATCH(ROWS(B$8:B340),COPIA!$DF$3:$DF$2300,0),COLUMN()-1),"")&gt;=1,IFERROR(INDEX((COPIA!$DA$3:$DE$2300),MATCH(ROWS(B$8:B340),COPIA!$DF$3:$DF$2300,0),COLUMN()-1),""),"")</f>
        <v/>
      </c>
      <c r="C340" s="118" t="str">
        <f ca="1">SUBSTITUTE(IFERROR(INDEX((COPIA!$DA$3:$DE$2300),MATCH(ROWS(C$8:C340),COPIA!$DF$3:$DF$2300,0),COLUMN()-1),""),"MASTRO","")</f>
        <v/>
      </c>
      <c r="D340" s="29" t="str">
        <f ca="1">IF(IFERROR(INDEX((COPIA!$DA$3:$DE$2300),MATCH(ROWS(D$8:D340),COPIA!$DF$3:$DF$2300,0),COLUMN()-1),"")=0,"",IFERROR(INDEX((COPIA!$DA$3:$DE$2300),MATCH(ROWS(D$8:D340),COPIA!$DF$3:$DF$2300,0),COLUMN()-1),""))</f>
        <v/>
      </c>
      <c r="E340" s="45" t="str">
        <f ca="1">IF(IFERROR(INDEX((COPIA!$DA$3:$DE$2300),MATCH(ROWS(E$8:E340),COPIA!$DF$3:$DF$2300,0),COLUMN()-1),"")=0,"",IFERROR(INDEX((COPIA!$DA$3:$DE$2300),MATCH(ROWS(E$8:E340),COPIA!$DF$3:$DF$2300,0),COLUMN()-1),""))</f>
        <v/>
      </c>
      <c r="F340" s="120" t="str">
        <f ca="1">IF(IFERROR(INDEX((COPIA!$DA$3:$DE$2300),MATCH(ROWS(F$8:F340),COPIA!$DF$3:$DF$2300,0),COLUMN()-1),"")=0,"",IFERROR(INDEX((COPIA!$DA$3:$DE$2300),MATCH(ROWS(F$8:F340),COPIA!$DF$3:$DF$2300,0),COLUMN()-1),""))</f>
        <v/>
      </c>
    </row>
    <row r="341" spans="2:6">
      <c r="B341" s="119" t="str">
        <f ca="1">IF(IFERROR(INDEX((COPIA!$DA$3:$DE$2300),MATCH(ROWS(B$8:B341),COPIA!$DF$3:$DF$2300,0),COLUMN()-1),"")&gt;=1,IFERROR(INDEX((COPIA!$DA$3:$DE$2300),MATCH(ROWS(B$8:B341),COPIA!$DF$3:$DF$2300,0),COLUMN()-1),""),"")</f>
        <v/>
      </c>
      <c r="C341" s="118" t="str">
        <f ca="1">SUBSTITUTE(IFERROR(INDEX((COPIA!$DA$3:$DE$2300),MATCH(ROWS(C$8:C341),COPIA!$DF$3:$DF$2300,0),COLUMN()-1),""),"MASTRO","")</f>
        <v/>
      </c>
      <c r="D341" s="29" t="str">
        <f ca="1">IF(IFERROR(INDEX((COPIA!$DA$3:$DE$2300),MATCH(ROWS(D$8:D341),COPIA!$DF$3:$DF$2300,0),COLUMN()-1),"")=0,"",IFERROR(INDEX((COPIA!$DA$3:$DE$2300),MATCH(ROWS(D$8:D341),COPIA!$DF$3:$DF$2300,0),COLUMN()-1),""))</f>
        <v/>
      </c>
      <c r="E341" s="45" t="str">
        <f ca="1">IF(IFERROR(INDEX((COPIA!$DA$3:$DE$2300),MATCH(ROWS(E$8:E341),COPIA!$DF$3:$DF$2300,0),COLUMN()-1),"")=0,"",IFERROR(INDEX((COPIA!$DA$3:$DE$2300),MATCH(ROWS(E$8:E341),COPIA!$DF$3:$DF$2300,0),COLUMN()-1),""))</f>
        <v/>
      </c>
      <c r="F341" s="120" t="str">
        <f ca="1">IF(IFERROR(INDEX((COPIA!$DA$3:$DE$2300),MATCH(ROWS(F$8:F341),COPIA!$DF$3:$DF$2300,0),COLUMN()-1),"")=0,"",IFERROR(INDEX((COPIA!$DA$3:$DE$2300),MATCH(ROWS(F$8:F341),COPIA!$DF$3:$DF$2300,0),COLUMN()-1),""))</f>
        <v/>
      </c>
    </row>
    <row r="342" spans="2:6">
      <c r="B342" s="119" t="str">
        <f ca="1">IF(IFERROR(INDEX((COPIA!$DA$3:$DE$2300),MATCH(ROWS(B$8:B342),COPIA!$DF$3:$DF$2300,0),COLUMN()-1),"")&gt;=1,IFERROR(INDEX((COPIA!$DA$3:$DE$2300),MATCH(ROWS(B$8:B342),COPIA!$DF$3:$DF$2300,0),COLUMN()-1),""),"")</f>
        <v/>
      </c>
      <c r="C342" s="118" t="str">
        <f ca="1">SUBSTITUTE(IFERROR(INDEX((COPIA!$DA$3:$DE$2300),MATCH(ROWS(C$8:C342),COPIA!$DF$3:$DF$2300,0),COLUMN()-1),""),"MASTRO","")</f>
        <v/>
      </c>
      <c r="D342" s="29" t="str">
        <f ca="1">IF(IFERROR(INDEX((COPIA!$DA$3:$DE$2300),MATCH(ROWS(D$8:D342),COPIA!$DF$3:$DF$2300,0),COLUMN()-1),"")=0,"",IFERROR(INDEX((COPIA!$DA$3:$DE$2300),MATCH(ROWS(D$8:D342),COPIA!$DF$3:$DF$2300,0),COLUMN()-1),""))</f>
        <v/>
      </c>
      <c r="E342" s="45" t="str">
        <f ca="1">IF(IFERROR(INDEX((COPIA!$DA$3:$DE$2300),MATCH(ROWS(E$8:E342),COPIA!$DF$3:$DF$2300,0),COLUMN()-1),"")=0,"",IFERROR(INDEX((COPIA!$DA$3:$DE$2300),MATCH(ROWS(E$8:E342),COPIA!$DF$3:$DF$2300,0),COLUMN()-1),""))</f>
        <v/>
      </c>
      <c r="F342" s="120" t="str">
        <f ca="1">IF(IFERROR(INDEX((COPIA!$DA$3:$DE$2300),MATCH(ROWS(F$8:F342),COPIA!$DF$3:$DF$2300,0),COLUMN()-1),"")=0,"",IFERROR(INDEX((COPIA!$DA$3:$DE$2300),MATCH(ROWS(F$8:F342),COPIA!$DF$3:$DF$2300,0),COLUMN()-1),""))</f>
        <v/>
      </c>
    </row>
    <row r="343" spans="2:6">
      <c r="B343" s="119" t="str">
        <f ca="1">IF(IFERROR(INDEX((COPIA!$DA$3:$DE$2300),MATCH(ROWS(B$8:B343),COPIA!$DF$3:$DF$2300,0),COLUMN()-1),"")&gt;=1,IFERROR(INDEX((COPIA!$DA$3:$DE$2300),MATCH(ROWS(B$8:B343),COPIA!$DF$3:$DF$2300,0),COLUMN()-1),""),"")</f>
        <v/>
      </c>
      <c r="C343" s="118" t="str">
        <f ca="1">SUBSTITUTE(IFERROR(INDEX((COPIA!$DA$3:$DE$2300),MATCH(ROWS(C$8:C343),COPIA!$DF$3:$DF$2300,0),COLUMN()-1),""),"MASTRO","")</f>
        <v/>
      </c>
      <c r="D343" s="29" t="str">
        <f ca="1">IF(IFERROR(INDEX((COPIA!$DA$3:$DE$2300),MATCH(ROWS(D$8:D343),COPIA!$DF$3:$DF$2300,0),COLUMN()-1),"")=0,"",IFERROR(INDEX((COPIA!$DA$3:$DE$2300),MATCH(ROWS(D$8:D343),COPIA!$DF$3:$DF$2300,0),COLUMN()-1),""))</f>
        <v/>
      </c>
      <c r="E343" s="45" t="str">
        <f ca="1">IF(IFERROR(INDEX((COPIA!$DA$3:$DE$2300),MATCH(ROWS(E$8:E343),COPIA!$DF$3:$DF$2300,0),COLUMN()-1),"")=0,"",IFERROR(INDEX((COPIA!$DA$3:$DE$2300),MATCH(ROWS(E$8:E343),COPIA!$DF$3:$DF$2300,0),COLUMN()-1),""))</f>
        <v/>
      </c>
      <c r="F343" s="120" t="str">
        <f ca="1">IF(IFERROR(INDEX((COPIA!$DA$3:$DE$2300),MATCH(ROWS(F$8:F343),COPIA!$DF$3:$DF$2300,0),COLUMN()-1),"")=0,"",IFERROR(INDEX((COPIA!$DA$3:$DE$2300),MATCH(ROWS(F$8:F343),COPIA!$DF$3:$DF$2300,0),COLUMN()-1),""))</f>
        <v/>
      </c>
    </row>
    <row r="344" spans="2:6">
      <c r="B344" s="119" t="str">
        <f ca="1">IF(IFERROR(INDEX((COPIA!$DA$3:$DE$2300),MATCH(ROWS(B$8:B344),COPIA!$DF$3:$DF$2300,0),COLUMN()-1),"")&gt;=1,IFERROR(INDEX((COPIA!$DA$3:$DE$2300),MATCH(ROWS(B$8:B344),COPIA!$DF$3:$DF$2300,0),COLUMN()-1),""),"")</f>
        <v/>
      </c>
      <c r="C344" s="118" t="str">
        <f ca="1">SUBSTITUTE(IFERROR(INDEX((COPIA!$DA$3:$DE$2300),MATCH(ROWS(C$8:C344),COPIA!$DF$3:$DF$2300,0),COLUMN()-1),""),"MASTRO","")</f>
        <v/>
      </c>
      <c r="D344" s="29" t="str">
        <f ca="1">IF(IFERROR(INDEX((COPIA!$DA$3:$DE$2300),MATCH(ROWS(D$8:D344),COPIA!$DF$3:$DF$2300,0),COLUMN()-1),"")=0,"",IFERROR(INDEX((COPIA!$DA$3:$DE$2300),MATCH(ROWS(D$8:D344),COPIA!$DF$3:$DF$2300,0),COLUMN()-1),""))</f>
        <v/>
      </c>
      <c r="E344" s="45" t="str">
        <f ca="1">IF(IFERROR(INDEX((COPIA!$DA$3:$DE$2300),MATCH(ROWS(E$8:E344),COPIA!$DF$3:$DF$2300,0),COLUMN()-1),"")=0,"",IFERROR(INDEX((COPIA!$DA$3:$DE$2300),MATCH(ROWS(E$8:E344),COPIA!$DF$3:$DF$2300,0),COLUMN()-1),""))</f>
        <v/>
      </c>
      <c r="F344" s="120" t="str">
        <f ca="1">IF(IFERROR(INDEX((COPIA!$DA$3:$DE$2300),MATCH(ROWS(F$8:F344),COPIA!$DF$3:$DF$2300,0),COLUMN()-1),"")=0,"",IFERROR(INDEX((COPIA!$DA$3:$DE$2300),MATCH(ROWS(F$8:F344),COPIA!$DF$3:$DF$2300,0),COLUMN()-1),""))</f>
        <v/>
      </c>
    </row>
    <row r="345" spans="2:6">
      <c r="B345" s="119" t="str">
        <f ca="1">IF(IFERROR(INDEX((COPIA!$DA$3:$DE$2300),MATCH(ROWS(B$8:B345),COPIA!$DF$3:$DF$2300,0),COLUMN()-1),"")&gt;=1,IFERROR(INDEX((COPIA!$DA$3:$DE$2300),MATCH(ROWS(B$8:B345),COPIA!$DF$3:$DF$2300,0),COLUMN()-1),""),"")</f>
        <v/>
      </c>
      <c r="C345" s="118" t="str">
        <f ca="1">SUBSTITUTE(IFERROR(INDEX((COPIA!$DA$3:$DE$2300),MATCH(ROWS(C$8:C345),COPIA!$DF$3:$DF$2300,0),COLUMN()-1),""),"MASTRO","")</f>
        <v/>
      </c>
      <c r="D345" s="29" t="str">
        <f ca="1">IF(IFERROR(INDEX((COPIA!$DA$3:$DE$2300),MATCH(ROWS(D$8:D345),COPIA!$DF$3:$DF$2300,0),COLUMN()-1),"")=0,"",IFERROR(INDEX((COPIA!$DA$3:$DE$2300),MATCH(ROWS(D$8:D345),COPIA!$DF$3:$DF$2300,0),COLUMN()-1),""))</f>
        <v/>
      </c>
      <c r="E345" s="45" t="str">
        <f ca="1">IF(IFERROR(INDEX((COPIA!$DA$3:$DE$2300),MATCH(ROWS(E$8:E345),COPIA!$DF$3:$DF$2300,0),COLUMN()-1),"")=0,"",IFERROR(INDEX((COPIA!$DA$3:$DE$2300),MATCH(ROWS(E$8:E345),COPIA!$DF$3:$DF$2300,0),COLUMN()-1),""))</f>
        <v/>
      </c>
      <c r="F345" s="120" t="str">
        <f ca="1">IF(IFERROR(INDEX((COPIA!$DA$3:$DE$2300),MATCH(ROWS(F$8:F345),COPIA!$DF$3:$DF$2300,0),COLUMN()-1),"")=0,"",IFERROR(INDEX((COPIA!$DA$3:$DE$2300),MATCH(ROWS(F$8:F345),COPIA!$DF$3:$DF$2300,0),COLUMN()-1),""))</f>
        <v/>
      </c>
    </row>
    <row r="346" spans="2:6">
      <c r="B346" s="119" t="str">
        <f ca="1">IF(IFERROR(INDEX((COPIA!$DA$3:$DE$2300),MATCH(ROWS(B$8:B346),COPIA!$DF$3:$DF$2300,0),COLUMN()-1),"")&gt;=1,IFERROR(INDEX((COPIA!$DA$3:$DE$2300),MATCH(ROWS(B$8:B346),COPIA!$DF$3:$DF$2300,0),COLUMN()-1),""),"")</f>
        <v/>
      </c>
      <c r="C346" s="118" t="str">
        <f ca="1">SUBSTITUTE(IFERROR(INDEX((COPIA!$DA$3:$DE$2300),MATCH(ROWS(C$8:C346),COPIA!$DF$3:$DF$2300,0),COLUMN()-1),""),"MASTRO","")</f>
        <v/>
      </c>
      <c r="D346" s="29" t="str">
        <f ca="1">IF(IFERROR(INDEX((COPIA!$DA$3:$DE$2300),MATCH(ROWS(D$8:D346),COPIA!$DF$3:$DF$2300,0),COLUMN()-1),"")=0,"",IFERROR(INDEX((COPIA!$DA$3:$DE$2300),MATCH(ROWS(D$8:D346),COPIA!$DF$3:$DF$2300,0),COLUMN()-1),""))</f>
        <v/>
      </c>
      <c r="E346" s="45" t="str">
        <f ca="1">IF(IFERROR(INDEX((COPIA!$DA$3:$DE$2300),MATCH(ROWS(E$8:E346),COPIA!$DF$3:$DF$2300,0),COLUMN()-1),"")=0,"",IFERROR(INDEX((COPIA!$DA$3:$DE$2300),MATCH(ROWS(E$8:E346),COPIA!$DF$3:$DF$2300,0),COLUMN()-1),""))</f>
        <v/>
      </c>
      <c r="F346" s="120" t="str">
        <f ca="1">IF(IFERROR(INDEX((COPIA!$DA$3:$DE$2300),MATCH(ROWS(F$8:F346),COPIA!$DF$3:$DF$2300,0),COLUMN()-1),"")=0,"",IFERROR(INDEX((COPIA!$DA$3:$DE$2300),MATCH(ROWS(F$8:F346),COPIA!$DF$3:$DF$2300,0),COLUMN()-1),""))</f>
        <v/>
      </c>
    </row>
    <row r="347" spans="2:6">
      <c r="B347" s="119" t="str">
        <f ca="1">IF(IFERROR(INDEX((COPIA!$DA$3:$DE$2300),MATCH(ROWS(B$8:B347),COPIA!$DF$3:$DF$2300,0),COLUMN()-1),"")&gt;=1,IFERROR(INDEX((COPIA!$DA$3:$DE$2300),MATCH(ROWS(B$8:B347),COPIA!$DF$3:$DF$2300,0),COLUMN()-1),""),"")</f>
        <v/>
      </c>
      <c r="C347" s="118" t="str">
        <f ca="1">SUBSTITUTE(IFERROR(INDEX((COPIA!$DA$3:$DE$2300),MATCH(ROWS(C$8:C347),COPIA!$DF$3:$DF$2300,0),COLUMN()-1),""),"MASTRO","")</f>
        <v/>
      </c>
      <c r="D347" s="29" t="str">
        <f ca="1">IF(IFERROR(INDEX((COPIA!$DA$3:$DE$2300),MATCH(ROWS(D$8:D347),COPIA!$DF$3:$DF$2300,0),COLUMN()-1),"")=0,"",IFERROR(INDEX((COPIA!$DA$3:$DE$2300),MATCH(ROWS(D$8:D347),COPIA!$DF$3:$DF$2300,0),COLUMN()-1),""))</f>
        <v/>
      </c>
      <c r="E347" s="45" t="str">
        <f ca="1">IF(IFERROR(INDEX((COPIA!$DA$3:$DE$2300),MATCH(ROWS(E$8:E347),COPIA!$DF$3:$DF$2300,0),COLUMN()-1),"")=0,"",IFERROR(INDEX((COPIA!$DA$3:$DE$2300),MATCH(ROWS(E$8:E347),COPIA!$DF$3:$DF$2300,0),COLUMN()-1),""))</f>
        <v/>
      </c>
      <c r="F347" s="120" t="str">
        <f ca="1">IF(IFERROR(INDEX((COPIA!$DA$3:$DE$2300),MATCH(ROWS(F$8:F347),COPIA!$DF$3:$DF$2300,0),COLUMN()-1),"")=0,"",IFERROR(INDEX((COPIA!$DA$3:$DE$2300),MATCH(ROWS(F$8:F347),COPIA!$DF$3:$DF$2300,0),COLUMN()-1),""))</f>
        <v/>
      </c>
    </row>
    <row r="348" spans="2:6">
      <c r="B348" s="119" t="str">
        <f ca="1">IF(IFERROR(INDEX((COPIA!$DA$3:$DE$2300),MATCH(ROWS(B$8:B348),COPIA!$DF$3:$DF$2300,0),COLUMN()-1),"")&gt;=1,IFERROR(INDEX((COPIA!$DA$3:$DE$2300),MATCH(ROWS(B$8:B348),COPIA!$DF$3:$DF$2300,0),COLUMN()-1),""),"")</f>
        <v/>
      </c>
      <c r="C348" s="118" t="str">
        <f ca="1">SUBSTITUTE(IFERROR(INDEX((COPIA!$DA$3:$DE$2300),MATCH(ROWS(C$8:C348),COPIA!$DF$3:$DF$2300,0),COLUMN()-1),""),"MASTRO","")</f>
        <v/>
      </c>
      <c r="D348" s="29" t="str">
        <f ca="1">IF(IFERROR(INDEX((COPIA!$DA$3:$DE$2300),MATCH(ROWS(D$8:D348),COPIA!$DF$3:$DF$2300,0),COLUMN()-1),"")=0,"",IFERROR(INDEX((COPIA!$DA$3:$DE$2300),MATCH(ROWS(D$8:D348),COPIA!$DF$3:$DF$2300,0),COLUMN()-1),""))</f>
        <v/>
      </c>
      <c r="E348" s="45" t="str">
        <f ca="1">IF(IFERROR(INDEX((COPIA!$DA$3:$DE$2300),MATCH(ROWS(E$8:E348),COPIA!$DF$3:$DF$2300,0),COLUMN()-1),"")=0,"",IFERROR(INDEX((COPIA!$DA$3:$DE$2300),MATCH(ROWS(E$8:E348),COPIA!$DF$3:$DF$2300,0),COLUMN()-1),""))</f>
        <v/>
      </c>
      <c r="F348" s="120" t="str">
        <f ca="1">IF(IFERROR(INDEX((COPIA!$DA$3:$DE$2300),MATCH(ROWS(F$8:F348),COPIA!$DF$3:$DF$2300,0),COLUMN()-1),"")=0,"",IFERROR(INDEX((COPIA!$DA$3:$DE$2300),MATCH(ROWS(F$8:F348),COPIA!$DF$3:$DF$2300,0),COLUMN()-1),""))</f>
        <v/>
      </c>
    </row>
    <row r="349" spans="2:6">
      <c r="B349" s="119" t="str">
        <f ca="1">IF(IFERROR(INDEX((COPIA!$DA$3:$DE$2300),MATCH(ROWS(B$8:B349),COPIA!$DF$3:$DF$2300,0),COLUMN()-1),"")&gt;=1,IFERROR(INDEX((COPIA!$DA$3:$DE$2300),MATCH(ROWS(B$8:B349),COPIA!$DF$3:$DF$2300,0),COLUMN()-1),""),"")</f>
        <v/>
      </c>
      <c r="C349" s="118" t="str">
        <f ca="1">SUBSTITUTE(IFERROR(INDEX((COPIA!$DA$3:$DE$2300),MATCH(ROWS(C$8:C349),COPIA!$DF$3:$DF$2300,0),COLUMN()-1),""),"MASTRO","")</f>
        <v/>
      </c>
      <c r="D349" s="29" t="str">
        <f ca="1">IF(IFERROR(INDEX((COPIA!$DA$3:$DE$2300),MATCH(ROWS(D$8:D349),COPIA!$DF$3:$DF$2300,0),COLUMN()-1),"")=0,"",IFERROR(INDEX((COPIA!$DA$3:$DE$2300),MATCH(ROWS(D$8:D349),COPIA!$DF$3:$DF$2300,0),COLUMN()-1),""))</f>
        <v/>
      </c>
      <c r="E349" s="45" t="str">
        <f ca="1">IF(IFERROR(INDEX((COPIA!$DA$3:$DE$2300),MATCH(ROWS(E$8:E349),COPIA!$DF$3:$DF$2300,0),COLUMN()-1),"")=0,"",IFERROR(INDEX((COPIA!$DA$3:$DE$2300),MATCH(ROWS(E$8:E349),COPIA!$DF$3:$DF$2300,0),COLUMN()-1),""))</f>
        <v/>
      </c>
      <c r="F349" s="120" t="str">
        <f ca="1">IF(IFERROR(INDEX((COPIA!$DA$3:$DE$2300),MATCH(ROWS(F$8:F349),COPIA!$DF$3:$DF$2300,0),COLUMN()-1),"")=0,"",IFERROR(INDEX((COPIA!$DA$3:$DE$2300),MATCH(ROWS(F$8:F349),COPIA!$DF$3:$DF$2300,0),COLUMN()-1),""))</f>
        <v/>
      </c>
    </row>
    <row r="350" spans="2:6">
      <c r="B350" s="119" t="str">
        <f ca="1">IF(IFERROR(INDEX((COPIA!$DA$3:$DE$2300),MATCH(ROWS(B$8:B350),COPIA!$DF$3:$DF$2300,0),COLUMN()-1),"")&gt;=1,IFERROR(INDEX((COPIA!$DA$3:$DE$2300),MATCH(ROWS(B$8:B350),COPIA!$DF$3:$DF$2300,0),COLUMN()-1),""),"")</f>
        <v/>
      </c>
      <c r="C350" s="118" t="str">
        <f ca="1">SUBSTITUTE(IFERROR(INDEX((COPIA!$DA$3:$DE$2300),MATCH(ROWS(C$8:C350),COPIA!$DF$3:$DF$2300,0),COLUMN()-1),""),"MASTRO","")</f>
        <v/>
      </c>
      <c r="D350" s="29" t="str">
        <f ca="1">IF(IFERROR(INDEX((COPIA!$DA$3:$DE$2300),MATCH(ROWS(D$8:D350),COPIA!$DF$3:$DF$2300,0),COLUMN()-1),"")=0,"",IFERROR(INDEX((COPIA!$DA$3:$DE$2300),MATCH(ROWS(D$8:D350),COPIA!$DF$3:$DF$2300,0),COLUMN()-1),""))</f>
        <v/>
      </c>
      <c r="E350" s="45" t="str">
        <f ca="1">IF(IFERROR(INDEX((COPIA!$DA$3:$DE$2300),MATCH(ROWS(E$8:E350),COPIA!$DF$3:$DF$2300,0),COLUMN()-1),"")=0,"",IFERROR(INDEX((COPIA!$DA$3:$DE$2300),MATCH(ROWS(E$8:E350),COPIA!$DF$3:$DF$2300,0),COLUMN()-1),""))</f>
        <v/>
      </c>
      <c r="F350" s="120" t="str">
        <f ca="1">IF(IFERROR(INDEX((COPIA!$DA$3:$DE$2300),MATCH(ROWS(F$8:F350),COPIA!$DF$3:$DF$2300,0),COLUMN()-1),"")=0,"",IFERROR(INDEX((COPIA!$DA$3:$DE$2300),MATCH(ROWS(F$8:F350),COPIA!$DF$3:$DF$2300,0),COLUMN()-1),""))</f>
        <v/>
      </c>
    </row>
    <row r="351" spans="2:6">
      <c r="B351" s="119" t="str">
        <f ca="1">IF(IFERROR(INDEX((COPIA!$DA$3:$DE$2300),MATCH(ROWS(B$8:B351),COPIA!$DF$3:$DF$2300,0),COLUMN()-1),"")&gt;=1,IFERROR(INDEX((COPIA!$DA$3:$DE$2300),MATCH(ROWS(B$8:B351),COPIA!$DF$3:$DF$2300,0),COLUMN()-1),""),"")</f>
        <v/>
      </c>
      <c r="C351" s="118" t="str">
        <f ca="1">SUBSTITUTE(IFERROR(INDEX((COPIA!$DA$3:$DE$2300),MATCH(ROWS(C$8:C351),COPIA!$DF$3:$DF$2300,0),COLUMN()-1),""),"MASTRO","")</f>
        <v/>
      </c>
      <c r="D351" s="29" t="str">
        <f ca="1">IF(IFERROR(INDEX((COPIA!$DA$3:$DE$2300),MATCH(ROWS(D$8:D351),COPIA!$DF$3:$DF$2300,0),COLUMN()-1),"")=0,"",IFERROR(INDEX((COPIA!$DA$3:$DE$2300),MATCH(ROWS(D$8:D351),COPIA!$DF$3:$DF$2300,0),COLUMN()-1),""))</f>
        <v/>
      </c>
      <c r="E351" s="45" t="str">
        <f ca="1">IF(IFERROR(INDEX((COPIA!$DA$3:$DE$2300),MATCH(ROWS(E$8:E351),COPIA!$DF$3:$DF$2300,0),COLUMN()-1),"")=0,"",IFERROR(INDEX((COPIA!$DA$3:$DE$2300),MATCH(ROWS(E$8:E351),COPIA!$DF$3:$DF$2300,0),COLUMN()-1),""))</f>
        <v/>
      </c>
      <c r="F351" s="120" t="str">
        <f ca="1">IF(IFERROR(INDEX((COPIA!$DA$3:$DE$2300),MATCH(ROWS(F$8:F351),COPIA!$DF$3:$DF$2300,0),COLUMN()-1),"")=0,"",IFERROR(INDEX((COPIA!$DA$3:$DE$2300),MATCH(ROWS(F$8:F351),COPIA!$DF$3:$DF$2300,0),COLUMN()-1),""))</f>
        <v/>
      </c>
    </row>
    <row r="352" spans="2:6">
      <c r="B352" s="119" t="str">
        <f ca="1">IF(IFERROR(INDEX((COPIA!$DA$3:$DE$2300),MATCH(ROWS(B$8:B352),COPIA!$DF$3:$DF$2300,0),COLUMN()-1),"")&gt;=1,IFERROR(INDEX((COPIA!$DA$3:$DE$2300),MATCH(ROWS(B$8:B352),COPIA!$DF$3:$DF$2300,0),COLUMN()-1),""),"")</f>
        <v/>
      </c>
      <c r="C352" s="118" t="str">
        <f ca="1">SUBSTITUTE(IFERROR(INDEX((COPIA!$DA$3:$DE$2300),MATCH(ROWS(C$8:C352),COPIA!$DF$3:$DF$2300,0),COLUMN()-1),""),"MASTRO","")</f>
        <v/>
      </c>
      <c r="D352" s="29" t="str">
        <f ca="1">IF(IFERROR(INDEX((COPIA!$DA$3:$DE$2300),MATCH(ROWS(D$8:D352),COPIA!$DF$3:$DF$2300,0),COLUMN()-1),"")=0,"",IFERROR(INDEX((COPIA!$DA$3:$DE$2300),MATCH(ROWS(D$8:D352),COPIA!$DF$3:$DF$2300,0),COLUMN()-1),""))</f>
        <v/>
      </c>
      <c r="E352" s="45" t="str">
        <f ca="1">IF(IFERROR(INDEX((COPIA!$DA$3:$DE$2300),MATCH(ROWS(E$8:E352),COPIA!$DF$3:$DF$2300,0),COLUMN()-1),"")=0,"",IFERROR(INDEX((COPIA!$DA$3:$DE$2300),MATCH(ROWS(E$8:E352),COPIA!$DF$3:$DF$2300,0),COLUMN()-1),""))</f>
        <v/>
      </c>
      <c r="F352" s="120" t="str">
        <f ca="1">IF(IFERROR(INDEX((COPIA!$DA$3:$DE$2300),MATCH(ROWS(F$8:F352),COPIA!$DF$3:$DF$2300,0),COLUMN()-1),"")=0,"",IFERROR(INDEX((COPIA!$DA$3:$DE$2300),MATCH(ROWS(F$8:F352),COPIA!$DF$3:$DF$2300,0),COLUMN()-1),""))</f>
        <v/>
      </c>
    </row>
    <row r="353" spans="2:6">
      <c r="B353" s="119" t="str">
        <f ca="1">IF(IFERROR(INDEX((COPIA!$DA$3:$DE$2300),MATCH(ROWS(B$8:B353),COPIA!$DF$3:$DF$2300,0),COLUMN()-1),"")&gt;=1,IFERROR(INDEX((COPIA!$DA$3:$DE$2300),MATCH(ROWS(B$8:B353),COPIA!$DF$3:$DF$2300,0),COLUMN()-1),""),"")</f>
        <v/>
      </c>
      <c r="C353" s="118" t="str">
        <f ca="1">SUBSTITUTE(IFERROR(INDEX((COPIA!$DA$3:$DE$2300),MATCH(ROWS(C$8:C353),COPIA!$DF$3:$DF$2300,0),COLUMN()-1),""),"MASTRO","")</f>
        <v/>
      </c>
      <c r="D353" s="29" t="str">
        <f ca="1">IF(IFERROR(INDEX((COPIA!$DA$3:$DE$2300),MATCH(ROWS(D$8:D353),COPIA!$DF$3:$DF$2300,0),COLUMN()-1),"")=0,"",IFERROR(INDEX((COPIA!$DA$3:$DE$2300),MATCH(ROWS(D$8:D353),COPIA!$DF$3:$DF$2300,0),COLUMN()-1),""))</f>
        <v/>
      </c>
      <c r="E353" s="45" t="str">
        <f ca="1">IF(IFERROR(INDEX((COPIA!$DA$3:$DE$2300),MATCH(ROWS(E$8:E353),COPIA!$DF$3:$DF$2300,0),COLUMN()-1),"")=0,"",IFERROR(INDEX((COPIA!$DA$3:$DE$2300),MATCH(ROWS(E$8:E353),COPIA!$DF$3:$DF$2300,0),COLUMN()-1),""))</f>
        <v/>
      </c>
      <c r="F353" s="120" t="str">
        <f ca="1">IF(IFERROR(INDEX((COPIA!$DA$3:$DE$2300),MATCH(ROWS(F$8:F353),COPIA!$DF$3:$DF$2300,0),COLUMN()-1),"")=0,"",IFERROR(INDEX((COPIA!$DA$3:$DE$2300),MATCH(ROWS(F$8:F353),COPIA!$DF$3:$DF$2300,0),COLUMN()-1),""))</f>
        <v/>
      </c>
    </row>
    <row r="354" spans="2:6">
      <c r="B354" s="119" t="str">
        <f ca="1">IF(IFERROR(INDEX((COPIA!$DA$3:$DE$2300),MATCH(ROWS(B$8:B354),COPIA!$DF$3:$DF$2300,0),COLUMN()-1),"")&gt;=1,IFERROR(INDEX((COPIA!$DA$3:$DE$2300),MATCH(ROWS(B$8:B354),COPIA!$DF$3:$DF$2300,0),COLUMN()-1),""),"")</f>
        <v/>
      </c>
      <c r="C354" s="118" t="str">
        <f ca="1">SUBSTITUTE(IFERROR(INDEX((COPIA!$DA$3:$DE$2300),MATCH(ROWS(C$8:C354),COPIA!$DF$3:$DF$2300,0),COLUMN()-1),""),"MASTRO","")</f>
        <v/>
      </c>
      <c r="D354" s="29" t="str">
        <f ca="1">IF(IFERROR(INDEX((COPIA!$DA$3:$DE$2300),MATCH(ROWS(D$8:D354),COPIA!$DF$3:$DF$2300,0),COLUMN()-1),"")=0,"",IFERROR(INDEX((COPIA!$DA$3:$DE$2300),MATCH(ROWS(D$8:D354),COPIA!$DF$3:$DF$2300,0),COLUMN()-1),""))</f>
        <v/>
      </c>
      <c r="E354" s="45" t="str">
        <f ca="1">IF(IFERROR(INDEX((COPIA!$DA$3:$DE$2300),MATCH(ROWS(E$8:E354),COPIA!$DF$3:$DF$2300,0),COLUMN()-1),"")=0,"",IFERROR(INDEX((COPIA!$DA$3:$DE$2300),MATCH(ROWS(E$8:E354),COPIA!$DF$3:$DF$2300,0),COLUMN()-1),""))</f>
        <v/>
      </c>
      <c r="F354" s="120" t="str">
        <f ca="1">IF(IFERROR(INDEX((COPIA!$DA$3:$DE$2300),MATCH(ROWS(F$8:F354),COPIA!$DF$3:$DF$2300,0),COLUMN()-1),"")=0,"",IFERROR(INDEX((COPIA!$DA$3:$DE$2300),MATCH(ROWS(F$8:F354),COPIA!$DF$3:$DF$2300,0),COLUMN()-1),""))</f>
        <v/>
      </c>
    </row>
    <row r="355" spans="2:6">
      <c r="B355" s="119" t="str">
        <f ca="1">IF(IFERROR(INDEX((COPIA!$DA$3:$DE$2300),MATCH(ROWS(B$8:B355),COPIA!$DF$3:$DF$2300,0),COLUMN()-1),"")&gt;=1,IFERROR(INDEX((COPIA!$DA$3:$DE$2300),MATCH(ROWS(B$8:B355),COPIA!$DF$3:$DF$2300,0),COLUMN()-1),""),"")</f>
        <v/>
      </c>
      <c r="C355" s="118" t="str">
        <f ca="1">SUBSTITUTE(IFERROR(INDEX((COPIA!$DA$3:$DE$2300),MATCH(ROWS(C$8:C355),COPIA!$DF$3:$DF$2300,0),COLUMN()-1),""),"MASTRO","")</f>
        <v/>
      </c>
      <c r="D355" s="29" t="str">
        <f ca="1">IF(IFERROR(INDEX((COPIA!$DA$3:$DE$2300),MATCH(ROWS(D$8:D355),COPIA!$DF$3:$DF$2300,0),COLUMN()-1),"")=0,"",IFERROR(INDEX((COPIA!$DA$3:$DE$2300),MATCH(ROWS(D$8:D355),COPIA!$DF$3:$DF$2300,0),COLUMN()-1),""))</f>
        <v/>
      </c>
      <c r="E355" s="45" t="str">
        <f ca="1">IF(IFERROR(INDEX((COPIA!$DA$3:$DE$2300),MATCH(ROWS(E$8:E355),COPIA!$DF$3:$DF$2300,0),COLUMN()-1),"")=0,"",IFERROR(INDEX((COPIA!$DA$3:$DE$2300),MATCH(ROWS(E$8:E355),COPIA!$DF$3:$DF$2300,0),COLUMN()-1),""))</f>
        <v/>
      </c>
      <c r="F355" s="120" t="str">
        <f ca="1">IF(IFERROR(INDEX((COPIA!$DA$3:$DE$2300),MATCH(ROWS(F$8:F355),COPIA!$DF$3:$DF$2300,0),COLUMN()-1),"")=0,"",IFERROR(INDEX((COPIA!$DA$3:$DE$2300),MATCH(ROWS(F$8:F355),COPIA!$DF$3:$DF$2300,0),COLUMN()-1),""))</f>
        <v/>
      </c>
    </row>
    <row r="356" spans="2:6">
      <c r="B356" s="119" t="str">
        <f ca="1">IF(IFERROR(INDEX((COPIA!$DA$3:$DE$2300),MATCH(ROWS(B$8:B356),COPIA!$DF$3:$DF$2300,0),COLUMN()-1),"")&gt;=1,IFERROR(INDEX((COPIA!$DA$3:$DE$2300),MATCH(ROWS(B$8:B356),COPIA!$DF$3:$DF$2300,0),COLUMN()-1),""),"")</f>
        <v/>
      </c>
      <c r="C356" s="118" t="str">
        <f ca="1">SUBSTITUTE(IFERROR(INDEX((COPIA!$DA$3:$DE$2300),MATCH(ROWS(C$8:C356),COPIA!$DF$3:$DF$2300,0),COLUMN()-1),""),"MASTRO","")</f>
        <v/>
      </c>
      <c r="D356" s="29" t="str">
        <f ca="1">IF(IFERROR(INDEX((COPIA!$DA$3:$DE$2300),MATCH(ROWS(D$8:D356),COPIA!$DF$3:$DF$2300,0),COLUMN()-1),"")=0,"",IFERROR(INDEX((COPIA!$DA$3:$DE$2300),MATCH(ROWS(D$8:D356),COPIA!$DF$3:$DF$2300,0),COLUMN()-1),""))</f>
        <v/>
      </c>
      <c r="E356" s="45" t="str">
        <f ca="1">IF(IFERROR(INDEX((COPIA!$DA$3:$DE$2300),MATCH(ROWS(E$8:E356),COPIA!$DF$3:$DF$2300,0),COLUMN()-1),"")=0,"",IFERROR(INDEX((COPIA!$DA$3:$DE$2300),MATCH(ROWS(E$8:E356),COPIA!$DF$3:$DF$2300,0),COLUMN()-1),""))</f>
        <v/>
      </c>
      <c r="F356" s="120" t="str">
        <f ca="1">IF(IFERROR(INDEX((COPIA!$DA$3:$DE$2300),MATCH(ROWS(F$8:F356),COPIA!$DF$3:$DF$2300,0),COLUMN()-1),"")=0,"",IFERROR(INDEX((COPIA!$DA$3:$DE$2300),MATCH(ROWS(F$8:F356),COPIA!$DF$3:$DF$2300,0),COLUMN()-1),""))</f>
        <v/>
      </c>
    </row>
    <row r="357" spans="2:6">
      <c r="B357" s="119" t="str">
        <f ca="1">IF(IFERROR(INDEX((COPIA!$DA$3:$DE$2300),MATCH(ROWS(B$8:B357),COPIA!$DF$3:$DF$2300,0),COLUMN()-1),"")&gt;=1,IFERROR(INDEX((COPIA!$DA$3:$DE$2300),MATCH(ROWS(B$8:B357),COPIA!$DF$3:$DF$2300,0),COLUMN()-1),""),"")</f>
        <v/>
      </c>
      <c r="C357" s="118" t="str">
        <f ca="1">SUBSTITUTE(IFERROR(INDEX((COPIA!$DA$3:$DE$2300),MATCH(ROWS(C$8:C357),COPIA!$DF$3:$DF$2300,0),COLUMN()-1),""),"MASTRO","")</f>
        <v/>
      </c>
      <c r="D357" s="29" t="str">
        <f ca="1">IF(IFERROR(INDEX((COPIA!$DA$3:$DE$2300),MATCH(ROWS(D$8:D357),COPIA!$DF$3:$DF$2300,0),COLUMN()-1),"")=0,"",IFERROR(INDEX((COPIA!$DA$3:$DE$2300),MATCH(ROWS(D$8:D357),COPIA!$DF$3:$DF$2300,0),COLUMN()-1),""))</f>
        <v/>
      </c>
      <c r="E357" s="45" t="str">
        <f ca="1">IF(IFERROR(INDEX((COPIA!$DA$3:$DE$2300),MATCH(ROWS(E$8:E357),COPIA!$DF$3:$DF$2300,0),COLUMN()-1),"")=0,"",IFERROR(INDEX((COPIA!$DA$3:$DE$2300),MATCH(ROWS(E$8:E357),COPIA!$DF$3:$DF$2300,0),COLUMN()-1),""))</f>
        <v/>
      </c>
      <c r="F357" s="120" t="str">
        <f ca="1">IF(IFERROR(INDEX((COPIA!$DA$3:$DE$2300),MATCH(ROWS(F$8:F357),COPIA!$DF$3:$DF$2300,0),COLUMN()-1),"")=0,"",IFERROR(INDEX((COPIA!$DA$3:$DE$2300),MATCH(ROWS(F$8:F357),COPIA!$DF$3:$DF$2300,0),COLUMN()-1),""))</f>
        <v/>
      </c>
    </row>
    <row r="358" spans="2:6">
      <c r="B358" s="119" t="str">
        <f ca="1">IF(IFERROR(INDEX((COPIA!$DA$3:$DE$2300),MATCH(ROWS(B$8:B358),COPIA!$DF$3:$DF$2300,0),COLUMN()-1),"")&gt;=1,IFERROR(INDEX((COPIA!$DA$3:$DE$2300),MATCH(ROWS(B$8:B358),COPIA!$DF$3:$DF$2300,0),COLUMN()-1),""),"")</f>
        <v/>
      </c>
      <c r="C358" s="118" t="str">
        <f ca="1">SUBSTITUTE(IFERROR(INDEX((COPIA!$DA$3:$DE$2300),MATCH(ROWS(C$8:C358),COPIA!$DF$3:$DF$2300,0),COLUMN()-1),""),"MASTRO","")</f>
        <v/>
      </c>
      <c r="D358" s="29" t="str">
        <f ca="1">IF(IFERROR(INDEX((COPIA!$DA$3:$DE$2300),MATCH(ROWS(D$8:D358),COPIA!$DF$3:$DF$2300,0),COLUMN()-1),"")=0,"",IFERROR(INDEX((COPIA!$DA$3:$DE$2300),MATCH(ROWS(D$8:D358),COPIA!$DF$3:$DF$2300,0),COLUMN()-1),""))</f>
        <v/>
      </c>
      <c r="E358" s="45" t="str">
        <f ca="1">IF(IFERROR(INDEX((COPIA!$DA$3:$DE$2300),MATCH(ROWS(E$8:E358),COPIA!$DF$3:$DF$2300,0),COLUMN()-1),"")=0,"",IFERROR(INDEX((COPIA!$DA$3:$DE$2300),MATCH(ROWS(E$8:E358),COPIA!$DF$3:$DF$2300,0),COLUMN()-1),""))</f>
        <v/>
      </c>
      <c r="F358" s="120" t="str">
        <f ca="1">IF(IFERROR(INDEX((COPIA!$DA$3:$DE$2300),MATCH(ROWS(F$8:F358),COPIA!$DF$3:$DF$2300,0),COLUMN()-1),"")=0,"",IFERROR(INDEX((COPIA!$DA$3:$DE$2300),MATCH(ROWS(F$8:F358),COPIA!$DF$3:$DF$2300,0),COLUMN()-1),""))</f>
        <v/>
      </c>
    </row>
    <row r="359" spans="2:6">
      <c r="B359" s="119" t="str">
        <f ca="1">IF(IFERROR(INDEX((COPIA!$DA$3:$DE$2300),MATCH(ROWS(B$8:B359),COPIA!$DF$3:$DF$2300,0),COLUMN()-1),"")&gt;=1,IFERROR(INDEX((COPIA!$DA$3:$DE$2300),MATCH(ROWS(B$8:B359),COPIA!$DF$3:$DF$2300,0),COLUMN()-1),""),"")</f>
        <v/>
      </c>
      <c r="C359" s="118" t="str">
        <f ca="1">SUBSTITUTE(IFERROR(INDEX((COPIA!$DA$3:$DE$2300),MATCH(ROWS(C$8:C359),COPIA!$DF$3:$DF$2300,0),COLUMN()-1),""),"MASTRO","")</f>
        <v/>
      </c>
      <c r="D359" s="29" t="str">
        <f ca="1">IF(IFERROR(INDEX((COPIA!$DA$3:$DE$2300),MATCH(ROWS(D$8:D359),COPIA!$DF$3:$DF$2300,0),COLUMN()-1),"")=0,"",IFERROR(INDEX((COPIA!$DA$3:$DE$2300),MATCH(ROWS(D$8:D359),COPIA!$DF$3:$DF$2300,0),COLUMN()-1),""))</f>
        <v/>
      </c>
      <c r="E359" s="45" t="str">
        <f ca="1">IF(IFERROR(INDEX((COPIA!$DA$3:$DE$2300),MATCH(ROWS(E$8:E359),COPIA!$DF$3:$DF$2300,0),COLUMN()-1),"")=0,"",IFERROR(INDEX((COPIA!$DA$3:$DE$2300),MATCH(ROWS(E$8:E359),COPIA!$DF$3:$DF$2300,0),COLUMN()-1),""))</f>
        <v/>
      </c>
      <c r="F359" s="120" t="str">
        <f ca="1">IF(IFERROR(INDEX((COPIA!$DA$3:$DE$2300),MATCH(ROWS(F$8:F359),COPIA!$DF$3:$DF$2300,0),COLUMN()-1),"")=0,"",IFERROR(INDEX((COPIA!$DA$3:$DE$2300),MATCH(ROWS(F$8:F359),COPIA!$DF$3:$DF$2300,0),COLUMN()-1),""))</f>
        <v/>
      </c>
    </row>
    <row r="360" spans="2:6">
      <c r="B360" s="119" t="str">
        <f ca="1">IF(IFERROR(INDEX((COPIA!$DA$3:$DE$2300),MATCH(ROWS(B$8:B360),COPIA!$DF$3:$DF$2300,0),COLUMN()-1),"")&gt;=1,IFERROR(INDEX((COPIA!$DA$3:$DE$2300),MATCH(ROWS(B$8:B360),COPIA!$DF$3:$DF$2300,0),COLUMN()-1),""),"")</f>
        <v/>
      </c>
      <c r="C360" s="118" t="str">
        <f ca="1">SUBSTITUTE(IFERROR(INDEX((COPIA!$DA$3:$DE$2300),MATCH(ROWS(C$8:C360),COPIA!$DF$3:$DF$2300,0),COLUMN()-1),""),"MASTRO","")</f>
        <v/>
      </c>
      <c r="D360" s="29" t="str">
        <f ca="1">IF(IFERROR(INDEX((COPIA!$DA$3:$DE$2300),MATCH(ROWS(D$8:D360),COPIA!$DF$3:$DF$2300,0),COLUMN()-1),"")=0,"",IFERROR(INDEX((COPIA!$DA$3:$DE$2300),MATCH(ROWS(D$8:D360),COPIA!$DF$3:$DF$2300,0),COLUMN()-1),""))</f>
        <v/>
      </c>
      <c r="E360" s="45" t="str">
        <f ca="1">IF(IFERROR(INDEX((COPIA!$DA$3:$DE$2300),MATCH(ROWS(E$8:E360),COPIA!$DF$3:$DF$2300,0),COLUMN()-1),"")=0,"",IFERROR(INDEX((COPIA!$DA$3:$DE$2300),MATCH(ROWS(E$8:E360),COPIA!$DF$3:$DF$2300,0),COLUMN()-1),""))</f>
        <v/>
      </c>
      <c r="F360" s="120" t="str">
        <f ca="1">IF(IFERROR(INDEX((COPIA!$DA$3:$DE$2300),MATCH(ROWS(F$8:F360),COPIA!$DF$3:$DF$2300,0),COLUMN()-1),"")=0,"",IFERROR(INDEX((COPIA!$DA$3:$DE$2300),MATCH(ROWS(F$8:F360),COPIA!$DF$3:$DF$2300,0),COLUMN()-1),""))</f>
        <v/>
      </c>
    </row>
    <row r="361" spans="2:6">
      <c r="B361" s="119" t="str">
        <f ca="1">IF(IFERROR(INDEX((COPIA!$DA$3:$DE$2300),MATCH(ROWS(B$8:B361),COPIA!$DF$3:$DF$2300,0),COLUMN()-1),"")&gt;=1,IFERROR(INDEX((COPIA!$DA$3:$DE$2300),MATCH(ROWS(B$8:B361),COPIA!$DF$3:$DF$2300,0),COLUMN()-1),""),"")</f>
        <v/>
      </c>
      <c r="C361" s="118" t="str">
        <f ca="1">SUBSTITUTE(IFERROR(INDEX((COPIA!$DA$3:$DE$2300),MATCH(ROWS(C$8:C361),COPIA!$DF$3:$DF$2300,0),COLUMN()-1),""),"MASTRO","")</f>
        <v/>
      </c>
      <c r="D361" s="29" t="str">
        <f ca="1">IF(IFERROR(INDEX((COPIA!$DA$3:$DE$2300),MATCH(ROWS(D$8:D361),COPIA!$DF$3:$DF$2300,0),COLUMN()-1),"")=0,"",IFERROR(INDEX((COPIA!$DA$3:$DE$2300),MATCH(ROWS(D$8:D361),COPIA!$DF$3:$DF$2300,0),COLUMN()-1),""))</f>
        <v/>
      </c>
      <c r="E361" s="45" t="str">
        <f ca="1">IF(IFERROR(INDEX((COPIA!$DA$3:$DE$2300),MATCH(ROWS(E$8:E361),COPIA!$DF$3:$DF$2300,0),COLUMN()-1),"")=0,"",IFERROR(INDEX((COPIA!$DA$3:$DE$2300),MATCH(ROWS(E$8:E361),COPIA!$DF$3:$DF$2300,0),COLUMN()-1),""))</f>
        <v/>
      </c>
      <c r="F361" s="120" t="str">
        <f ca="1">IF(IFERROR(INDEX((COPIA!$DA$3:$DE$2300),MATCH(ROWS(F$8:F361),COPIA!$DF$3:$DF$2300,0),COLUMN()-1),"")=0,"",IFERROR(INDEX((COPIA!$DA$3:$DE$2300),MATCH(ROWS(F$8:F361),COPIA!$DF$3:$DF$2300,0),COLUMN()-1),""))</f>
        <v/>
      </c>
    </row>
    <row r="362" spans="2:6">
      <c r="B362" s="119" t="str">
        <f ca="1">IF(IFERROR(INDEX((COPIA!$DA$3:$DE$2300),MATCH(ROWS(B$8:B362),COPIA!$DF$3:$DF$2300,0),COLUMN()-1),"")&gt;=1,IFERROR(INDEX((COPIA!$DA$3:$DE$2300),MATCH(ROWS(B$8:B362),COPIA!$DF$3:$DF$2300,0),COLUMN()-1),""),"")</f>
        <v/>
      </c>
      <c r="C362" s="118" t="str">
        <f ca="1">SUBSTITUTE(IFERROR(INDEX((COPIA!$DA$3:$DE$2300),MATCH(ROWS(C$8:C362),COPIA!$DF$3:$DF$2300,0),COLUMN()-1),""),"MASTRO","")</f>
        <v/>
      </c>
      <c r="D362" s="29" t="str">
        <f ca="1">IF(IFERROR(INDEX((COPIA!$DA$3:$DE$2300),MATCH(ROWS(D$8:D362),COPIA!$DF$3:$DF$2300,0),COLUMN()-1),"")=0,"",IFERROR(INDEX((COPIA!$DA$3:$DE$2300),MATCH(ROWS(D$8:D362),COPIA!$DF$3:$DF$2300,0),COLUMN()-1),""))</f>
        <v/>
      </c>
      <c r="E362" s="45" t="str">
        <f ca="1">IF(IFERROR(INDEX((COPIA!$DA$3:$DE$2300),MATCH(ROWS(E$8:E362),COPIA!$DF$3:$DF$2300,0),COLUMN()-1),"")=0,"",IFERROR(INDEX((COPIA!$DA$3:$DE$2300),MATCH(ROWS(E$8:E362),COPIA!$DF$3:$DF$2300,0),COLUMN()-1),""))</f>
        <v/>
      </c>
      <c r="F362" s="120" t="str">
        <f ca="1">IF(IFERROR(INDEX((COPIA!$DA$3:$DE$2300),MATCH(ROWS(F$8:F362),COPIA!$DF$3:$DF$2300,0),COLUMN()-1),"")=0,"",IFERROR(INDEX((COPIA!$DA$3:$DE$2300),MATCH(ROWS(F$8:F362),COPIA!$DF$3:$DF$2300,0),COLUMN()-1),""))</f>
        <v/>
      </c>
    </row>
    <row r="363" spans="2:6">
      <c r="B363" s="119" t="str">
        <f ca="1">IF(IFERROR(INDEX((COPIA!$DA$3:$DE$2300),MATCH(ROWS(B$8:B363),COPIA!$DF$3:$DF$2300,0),COLUMN()-1),"")&gt;=1,IFERROR(INDEX((COPIA!$DA$3:$DE$2300),MATCH(ROWS(B$8:B363),COPIA!$DF$3:$DF$2300,0),COLUMN()-1),""),"")</f>
        <v/>
      </c>
      <c r="C363" s="118" t="str">
        <f ca="1">SUBSTITUTE(IFERROR(INDEX((COPIA!$DA$3:$DE$2300),MATCH(ROWS(C$8:C363),COPIA!$DF$3:$DF$2300,0),COLUMN()-1),""),"MASTRO","")</f>
        <v/>
      </c>
      <c r="D363" s="29" t="str">
        <f ca="1">IF(IFERROR(INDEX((COPIA!$DA$3:$DE$2300),MATCH(ROWS(D$8:D363),COPIA!$DF$3:$DF$2300,0),COLUMN()-1),"")=0,"",IFERROR(INDEX((COPIA!$DA$3:$DE$2300),MATCH(ROWS(D$8:D363),COPIA!$DF$3:$DF$2300,0),COLUMN()-1),""))</f>
        <v/>
      </c>
      <c r="E363" s="45" t="str">
        <f ca="1">IF(IFERROR(INDEX((COPIA!$DA$3:$DE$2300),MATCH(ROWS(E$8:E363),COPIA!$DF$3:$DF$2300,0),COLUMN()-1),"")=0,"",IFERROR(INDEX((COPIA!$DA$3:$DE$2300),MATCH(ROWS(E$8:E363),COPIA!$DF$3:$DF$2300,0),COLUMN()-1),""))</f>
        <v/>
      </c>
      <c r="F363" s="120" t="str">
        <f ca="1">IF(IFERROR(INDEX((COPIA!$DA$3:$DE$2300),MATCH(ROWS(F$8:F363),COPIA!$DF$3:$DF$2300,0),COLUMN()-1),"")=0,"",IFERROR(INDEX((COPIA!$DA$3:$DE$2300),MATCH(ROWS(F$8:F363),COPIA!$DF$3:$DF$2300,0),COLUMN()-1),""))</f>
        <v/>
      </c>
    </row>
    <row r="364" spans="2:6">
      <c r="B364" s="119" t="str">
        <f ca="1">IF(IFERROR(INDEX((COPIA!$DA$3:$DE$2300),MATCH(ROWS(B$8:B364),COPIA!$DF$3:$DF$2300,0),COLUMN()-1),"")&gt;=1,IFERROR(INDEX((COPIA!$DA$3:$DE$2300),MATCH(ROWS(B$8:B364),COPIA!$DF$3:$DF$2300,0),COLUMN()-1),""),"")</f>
        <v/>
      </c>
      <c r="C364" s="118" t="str">
        <f ca="1">SUBSTITUTE(IFERROR(INDEX((COPIA!$DA$3:$DE$2300),MATCH(ROWS(C$8:C364),COPIA!$DF$3:$DF$2300,0),COLUMN()-1),""),"MASTRO","")</f>
        <v/>
      </c>
      <c r="D364" s="29" t="str">
        <f ca="1">IF(IFERROR(INDEX((COPIA!$DA$3:$DE$2300),MATCH(ROWS(D$8:D364),COPIA!$DF$3:$DF$2300,0),COLUMN()-1),"")=0,"",IFERROR(INDEX((COPIA!$DA$3:$DE$2300),MATCH(ROWS(D$8:D364),COPIA!$DF$3:$DF$2300,0),COLUMN()-1),""))</f>
        <v/>
      </c>
      <c r="E364" s="45" t="str">
        <f ca="1">IF(IFERROR(INDEX((COPIA!$DA$3:$DE$2300),MATCH(ROWS(E$8:E364),COPIA!$DF$3:$DF$2300,0),COLUMN()-1),"")=0,"",IFERROR(INDEX((COPIA!$DA$3:$DE$2300),MATCH(ROWS(E$8:E364),COPIA!$DF$3:$DF$2300,0),COLUMN()-1),""))</f>
        <v/>
      </c>
      <c r="F364" s="120" t="str">
        <f ca="1">IF(IFERROR(INDEX((COPIA!$DA$3:$DE$2300),MATCH(ROWS(F$8:F364),COPIA!$DF$3:$DF$2300,0),COLUMN()-1),"")=0,"",IFERROR(INDEX((COPIA!$DA$3:$DE$2300),MATCH(ROWS(F$8:F364),COPIA!$DF$3:$DF$2300,0),COLUMN()-1),""))</f>
        <v/>
      </c>
    </row>
    <row r="365" spans="2:6">
      <c r="B365" s="119" t="str">
        <f ca="1">IF(IFERROR(INDEX((COPIA!$DA$3:$DE$2300),MATCH(ROWS(B$8:B365),COPIA!$DF$3:$DF$2300,0),COLUMN()-1),"")&gt;=1,IFERROR(INDEX((COPIA!$DA$3:$DE$2300),MATCH(ROWS(B$8:B365),COPIA!$DF$3:$DF$2300,0),COLUMN()-1),""),"")</f>
        <v/>
      </c>
      <c r="C365" s="118" t="str">
        <f ca="1">SUBSTITUTE(IFERROR(INDEX((COPIA!$DA$3:$DE$2300),MATCH(ROWS(C$8:C365),COPIA!$DF$3:$DF$2300,0),COLUMN()-1),""),"MASTRO","")</f>
        <v/>
      </c>
      <c r="D365" s="29" t="str">
        <f ca="1">IF(IFERROR(INDEX((COPIA!$DA$3:$DE$2300),MATCH(ROWS(D$8:D365),COPIA!$DF$3:$DF$2300,0),COLUMN()-1),"")=0,"",IFERROR(INDEX((COPIA!$DA$3:$DE$2300),MATCH(ROWS(D$8:D365),COPIA!$DF$3:$DF$2300,0),COLUMN()-1),""))</f>
        <v/>
      </c>
      <c r="E365" s="45" t="str">
        <f ca="1">IF(IFERROR(INDEX((COPIA!$DA$3:$DE$2300),MATCH(ROWS(E$8:E365),COPIA!$DF$3:$DF$2300,0),COLUMN()-1),"")=0,"",IFERROR(INDEX((COPIA!$DA$3:$DE$2300),MATCH(ROWS(E$8:E365),COPIA!$DF$3:$DF$2300,0),COLUMN()-1),""))</f>
        <v/>
      </c>
      <c r="F365" s="120" t="str">
        <f ca="1">IF(IFERROR(INDEX((COPIA!$DA$3:$DE$2300),MATCH(ROWS(F$8:F365),COPIA!$DF$3:$DF$2300,0),COLUMN()-1),"")=0,"",IFERROR(INDEX((COPIA!$DA$3:$DE$2300),MATCH(ROWS(F$8:F365),COPIA!$DF$3:$DF$2300,0),COLUMN()-1),""))</f>
        <v/>
      </c>
    </row>
    <row r="366" spans="2:6">
      <c r="B366" s="119" t="str">
        <f ca="1">IF(IFERROR(INDEX((COPIA!$DA$3:$DE$2300),MATCH(ROWS(B$8:B366),COPIA!$DF$3:$DF$2300,0),COLUMN()-1),"")&gt;=1,IFERROR(INDEX((COPIA!$DA$3:$DE$2300),MATCH(ROWS(B$8:B366),COPIA!$DF$3:$DF$2300,0),COLUMN()-1),""),"")</f>
        <v/>
      </c>
      <c r="C366" s="118" t="str">
        <f ca="1">SUBSTITUTE(IFERROR(INDEX((COPIA!$DA$3:$DE$2300),MATCH(ROWS(C$8:C366),COPIA!$DF$3:$DF$2300,0),COLUMN()-1),""),"MASTRO","")</f>
        <v/>
      </c>
      <c r="D366" s="29" t="str">
        <f ca="1">IF(IFERROR(INDEX((COPIA!$DA$3:$DE$2300),MATCH(ROWS(D$8:D366),COPIA!$DF$3:$DF$2300,0),COLUMN()-1),"")=0,"",IFERROR(INDEX((COPIA!$DA$3:$DE$2300),MATCH(ROWS(D$8:D366),COPIA!$DF$3:$DF$2300,0),COLUMN()-1),""))</f>
        <v/>
      </c>
      <c r="E366" s="45" t="str">
        <f ca="1">IF(IFERROR(INDEX((COPIA!$DA$3:$DE$2300),MATCH(ROWS(E$8:E366),COPIA!$DF$3:$DF$2300,0),COLUMN()-1),"")=0,"",IFERROR(INDEX((COPIA!$DA$3:$DE$2300),MATCH(ROWS(E$8:E366),COPIA!$DF$3:$DF$2300,0),COLUMN()-1),""))</f>
        <v/>
      </c>
      <c r="F366" s="120" t="str">
        <f ca="1">IF(IFERROR(INDEX((COPIA!$DA$3:$DE$2300),MATCH(ROWS(F$8:F366),COPIA!$DF$3:$DF$2300,0),COLUMN()-1),"")=0,"",IFERROR(INDEX((COPIA!$DA$3:$DE$2300),MATCH(ROWS(F$8:F366),COPIA!$DF$3:$DF$2300,0),COLUMN()-1),""))</f>
        <v/>
      </c>
    </row>
    <row r="367" spans="2:6">
      <c r="B367" s="119" t="str">
        <f ca="1">IF(IFERROR(INDEX((COPIA!$DA$3:$DE$2300),MATCH(ROWS(B$8:B367),COPIA!$DF$3:$DF$2300,0),COLUMN()-1),"")&gt;=1,IFERROR(INDEX((COPIA!$DA$3:$DE$2300),MATCH(ROWS(B$8:B367),COPIA!$DF$3:$DF$2300,0),COLUMN()-1),""),"")</f>
        <v/>
      </c>
      <c r="C367" s="118" t="str">
        <f ca="1">SUBSTITUTE(IFERROR(INDEX((COPIA!$DA$3:$DE$2300),MATCH(ROWS(C$8:C367),COPIA!$DF$3:$DF$2300,0),COLUMN()-1),""),"MASTRO","")</f>
        <v/>
      </c>
      <c r="D367" s="29" t="str">
        <f ca="1">IF(IFERROR(INDEX((COPIA!$DA$3:$DE$2300),MATCH(ROWS(D$8:D367),COPIA!$DF$3:$DF$2300,0),COLUMN()-1),"")=0,"",IFERROR(INDEX((COPIA!$DA$3:$DE$2300),MATCH(ROWS(D$8:D367),COPIA!$DF$3:$DF$2300,0),COLUMN()-1),""))</f>
        <v/>
      </c>
      <c r="E367" s="45" t="str">
        <f ca="1">IF(IFERROR(INDEX((COPIA!$DA$3:$DE$2300),MATCH(ROWS(E$8:E367),COPIA!$DF$3:$DF$2300,0),COLUMN()-1),"")=0,"",IFERROR(INDEX((COPIA!$DA$3:$DE$2300),MATCH(ROWS(E$8:E367),COPIA!$DF$3:$DF$2300,0),COLUMN()-1),""))</f>
        <v/>
      </c>
      <c r="F367" s="120" t="str">
        <f ca="1">IF(IFERROR(INDEX((COPIA!$DA$3:$DE$2300),MATCH(ROWS(F$8:F367),COPIA!$DF$3:$DF$2300,0),COLUMN()-1),"")=0,"",IFERROR(INDEX((COPIA!$DA$3:$DE$2300),MATCH(ROWS(F$8:F367),COPIA!$DF$3:$DF$2300,0),COLUMN()-1),""))</f>
        <v/>
      </c>
    </row>
    <row r="368" spans="2:6">
      <c r="B368" s="119" t="str">
        <f ca="1">IF(IFERROR(INDEX((COPIA!$DA$3:$DE$2300),MATCH(ROWS(B$8:B368),COPIA!$DF$3:$DF$2300,0),COLUMN()-1),"")&gt;=1,IFERROR(INDEX((COPIA!$DA$3:$DE$2300),MATCH(ROWS(B$8:B368),COPIA!$DF$3:$DF$2300,0),COLUMN()-1),""),"")</f>
        <v/>
      </c>
      <c r="C368" s="118" t="str">
        <f ca="1">SUBSTITUTE(IFERROR(INDEX((COPIA!$DA$3:$DE$2300),MATCH(ROWS(C$8:C368),COPIA!$DF$3:$DF$2300,0),COLUMN()-1),""),"MASTRO","")</f>
        <v/>
      </c>
      <c r="D368" s="29" t="str">
        <f ca="1">IF(IFERROR(INDEX((COPIA!$DA$3:$DE$2300),MATCH(ROWS(D$8:D368),COPIA!$DF$3:$DF$2300,0),COLUMN()-1),"")=0,"",IFERROR(INDEX((COPIA!$DA$3:$DE$2300),MATCH(ROWS(D$8:D368),COPIA!$DF$3:$DF$2300,0),COLUMN()-1),""))</f>
        <v/>
      </c>
      <c r="E368" s="45" t="str">
        <f ca="1">IF(IFERROR(INDEX((COPIA!$DA$3:$DE$2300),MATCH(ROWS(E$8:E368),COPIA!$DF$3:$DF$2300,0),COLUMN()-1),"")=0,"",IFERROR(INDEX((COPIA!$DA$3:$DE$2300),MATCH(ROWS(E$8:E368),COPIA!$DF$3:$DF$2300,0),COLUMN()-1),""))</f>
        <v/>
      </c>
      <c r="F368" s="120" t="str">
        <f ca="1">IF(IFERROR(INDEX((COPIA!$DA$3:$DE$2300),MATCH(ROWS(F$8:F368),COPIA!$DF$3:$DF$2300,0),COLUMN()-1),"")=0,"",IFERROR(INDEX((COPIA!$DA$3:$DE$2300),MATCH(ROWS(F$8:F368),COPIA!$DF$3:$DF$2300,0),COLUMN()-1),""))</f>
        <v/>
      </c>
    </row>
    <row r="369" spans="2:6">
      <c r="B369" s="119" t="str">
        <f ca="1">IF(IFERROR(INDEX((COPIA!$DA$3:$DE$2300),MATCH(ROWS(B$8:B369),COPIA!$DF$3:$DF$2300,0),COLUMN()-1),"")&gt;=1,IFERROR(INDEX((COPIA!$DA$3:$DE$2300),MATCH(ROWS(B$8:B369),COPIA!$DF$3:$DF$2300,0),COLUMN()-1),""),"")</f>
        <v/>
      </c>
      <c r="C369" s="118" t="str">
        <f ca="1">SUBSTITUTE(IFERROR(INDEX((COPIA!$DA$3:$DE$2300),MATCH(ROWS(C$8:C369),COPIA!$DF$3:$DF$2300,0),COLUMN()-1),""),"MASTRO","")</f>
        <v/>
      </c>
      <c r="D369" s="29" t="str">
        <f ca="1">IF(IFERROR(INDEX((COPIA!$DA$3:$DE$2300),MATCH(ROWS(D$8:D369),COPIA!$DF$3:$DF$2300,0),COLUMN()-1),"")=0,"",IFERROR(INDEX((COPIA!$DA$3:$DE$2300),MATCH(ROWS(D$8:D369),COPIA!$DF$3:$DF$2300,0),COLUMN()-1),""))</f>
        <v/>
      </c>
      <c r="E369" s="45" t="str">
        <f ca="1">IF(IFERROR(INDEX((COPIA!$DA$3:$DE$2300),MATCH(ROWS(E$8:E369),COPIA!$DF$3:$DF$2300,0),COLUMN()-1),"")=0,"",IFERROR(INDEX((COPIA!$DA$3:$DE$2300),MATCH(ROWS(E$8:E369),COPIA!$DF$3:$DF$2300,0),COLUMN()-1),""))</f>
        <v/>
      </c>
      <c r="F369" s="120" t="str">
        <f ca="1">IF(IFERROR(INDEX((COPIA!$DA$3:$DE$2300),MATCH(ROWS(F$8:F369),COPIA!$DF$3:$DF$2300,0),COLUMN()-1),"")=0,"",IFERROR(INDEX((COPIA!$DA$3:$DE$2300),MATCH(ROWS(F$8:F369),COPIA!$DF$3:$DF$2300,0),COLUMN()-1),""))</f>
        <v/>
      </c>
    </row>
    <row r="370" spans="2:6">
      <c r="B370" s="119" t="str">
        <f ca="1">IF(IFERROR(INDEX((COPIA!$DA$3:$DE$2300),MATCH(ROWS(B$8:B370),COPIA!$DF$3:$DF$2300,0),COLUMN()-1),"")&gt;=1,IFERROR(INDEX((COPIA!$DA$3:$DE$2300),MATCH(ROWS(B$8:B370),COPIA!$DF$3:$DF$2300,0),COLUMN()-1),""),"")</f>
        <v/>
      </c>
      <c r="C370" s="118" t="str">
        <f ca="1">SUBSTITUTE(IFERROR(INDEX((COPIA!$DA$3:$DE$2300),MATCH(ROWS(C$8:C370),COPIA!$DF$3:$DF$2300,0),COLUMN()-1),""),"MASTRO","")</f>
        <v/>
      </c>
      <c r="D370" s="29" t="str">
        <f ca="1">IF(IFERROR(INDEX((COPIA!$DA$3:$DE$2300),MATCH(ROWS(D$8:D370),COPIA!$DF$3:$DF$2300,0),COLUMN()-1),"")=0,"",IFERROR(INDEX((COPIA!$DA$3:$DE$2300),MATCH(ROWS(D$8:D370),COPIA!$DF$3:$DF$2300,0),COLUMN()-1),""))</f>
        <v/>
      </c>
      <c r="E370" s="45" t="str">
        <f ca="1">IF(IFERROR(INDEX((COPIA!$DA$3:$DE$2300),MATCH(ROWS(E$8:E370),COPIA!$DF$3:$DF$2300,0),COLUMN()-1),"")=0,"",IFERROR(INDEX((COPIA!$DA$3:$DE$2300),MATCH(ROWS(E$8:E370),COPIA!$DF$3:$DF$2300,0),COLUMN()-1),""))</f>
        <v/>
      </c>
      <c r="F370" s="120" t="str">
        <f ca="1">IF(IFERROR(INDEX((COPIA!$DA$3:$DE$2300),MATCH(ROWS(F$8:F370),COPIA!$DF$3:$DF$2300,0),COLUMN()-1),"")=0,"",IFERROR(INDEX((COPIA!$DA$3:$DE$2300),MATCH(ROWS(F$8:F370),COPIA!$DF$3:$DF$2300,0),COLUMN()-1),""))</f>
        <v/>
      </c>
    </row>
    <row r="371" spans="2:6">
      <c r="B371" s="119" t="str">
        <f ca="1">IF(IFERROR(INDEX((COPIA!$DA$3:$DE$2300),MATCH(ROWS(B$8:B371),COPIA!$DF$3:$DF$2300,0),COLUMN()-1),"")&gt;=1,IFERROR(INDEX((COPIA!$DA$3:$DE$2300),MATCH(ROWS(B$8:B371),COPIA!$DF$3:$DF$2300,0),COLUMN()-1),""),"")</f>
        <v/>
      </c>
      <c r="C371" s="118" t="str">
        <f ca="1">SUBSTITUTE(IFERROR(INDEX((COPIA!$DA$3:$DE$2300),MATCH(ROWS(C$8:C371),COPIA!$DF$3:$DF$2300,0),COLUMN()-1),""),"MASTRO","")</f>
        <v/>
      </c>
      <c r="D371" s="29" t="str">
        <f ca="1">IF(IFERROR(INDEX((COPIA!$DA$3:$DE$2300),MATCH(ROWS(D$8:D371),COPIA!$DF$3:$DF$2300,0),COLUMN()-1),"")=0,"",IFERROR(INDEX((COPIA!$DA$3:$DE$2300),MATCH(ROWS(D$8:D371),COPIA!$DF$3:$DF$2300,0),COLUMN()-1),""))</f>
        <v/>
      </c>
      <c r="E371" s="45" t="str">
        <f ca="1">IF(IFERROR(INDEX((COPIA!$DA$3:$DE$2300),MATCH(ROWS(E$8:E371),COPIA!$DF$3:$DF$2300,0),COLUMN()-1),"")=0,"",IFERROR(INDEX((COPIA!$DA$3:$DE$2300),MATCH(ROWS(E$8:E371),COPIA!$DF$3:$DF$2300,0),COLUMN()-1),""))</f>
        <v/>
      </c>
      <c r="F371" s="120" t="str">
        <f ca="1">IF(IFERROR(INDEX((COPIA!$DA$3:$DE$2300),MATCH(ROWS(F$8:F371),COPIA!$DF$3:$DF$2300,0),COLUMN()-1),"")=0,"",IFERROR(INDEX((COPIA!$DA$3:$DE$2300),MATCH(ROWS(F$8:F371),COPIA!$DF$3:$DF$2300,0),COLUMN()-1),""))</f>
        <v/>
      </c>
    </row>
    <row r="372" spans="2:6">
      <c r="B372" s="119" t="str">
        <f ca="1">IF(IFERROR(INDEX((COPIA!$DA$3:$DE$2300),MATCH(ROWS(B$8:B372),COPIA!$DF$3:$DF$2300,0),COLUMN()-1),"")&gt;=1,IFERROR(INDEX((COPIA!$DA$3:$DE$2300),MATCH(ROWS(B$8:B372),COPIA!$DF$3:$DF$2300,0),COLUMN()-1),""),"")</f>
        <v/>
      </c>
      <c r="C372" s="118" t="str">
        <f ca="1">SUBSTITUTE(IFERROR(INDEX((COPIA!$DA$3:$DE$2300),MATCH(ROWS(C$8:C372),COPIA!$DF$3:$DF$2300,0),COLUMN()-1),""),"MASTRO","")</f>
        <v/>
      </c>
      <c r="D372" s="29" t="str">
        <f ca="1">IF(IFERROR(INDEX((COPIA!$DA$3:$DE$2300),MATCH(ROWS(D$8:D372),COPIA!$DF$3:$DF$2300,0),COLUMN()-1),"")=0,"",IFERROR(INDEX((COPIA!$DA$3:$DE$2300),MATCH(ROWS(D$8:D372),COPIA!$DF$3:$DF$2300,0),COLUMN()-1),""))</f>
        <v/>
      </c>
      <c r="E372" s="45" t="str">
        <f ca="1">IF(IFERROR(INDEX((COPIA!$DA$3:$DE$2300),MATCH(ROWS(E$8:E372),COPIA!$DF$3:$DF$2300,0),COLUMN()-1),"")=0,"",IFERROR(INDEX((COPIA!$DA$3:$DE$2300),MATCH(ROWS(E$8:E372),COPIA!$DF$3:$DF$2300,0),COLUMN()-1),""))</f>
        <v/>
      </c>
      <c r="F372" s="120" t="str">
        <f ca="1">IF(IFERROR(INDEX((COPIA!$DA$3:$DE$2300),MATCH(ROWS(F$8:F372),COPIA!$DF$3:$DF$2300,0),COLUMN()-1),"")=0,"",IFERROR(INDEX((COPIA!$DA$3:$DE$2300),MATCH(ROWS(F$8:F372),COPIA!$DF$3:$DF$2300,0),COLUMN()-1),""))</f>
        <v/>
      </c>
    </row>
    <row r="373" spans="2:6">
      <c r="B373" s="119" t="str">
        <f ca="1">IF(IFERROR(INDEX((COPIA!$DA$3:$DE$2300),MATCH(ROWS(B$8:B373),COPIA!$DF$3:$DF$2300,0),COLUMN()-1),"")&gt;=1,IFERROR(INDEX((COPIA!$DA$3:$DE$2300),MATCH(ROWS(B$8:B373),COPIA!$DF$3:$DF$2300,0),COLUMN()-1),""),"")</f>
        <v/>
      </c>
      <c r="C373" s="118" t="str">
        <f ca="1">SUBSTITUTE(IFERROR(INDEX((COPIA!$DA$3:$DE$2300),MATCH(ROWS(C$8:C373),COPIA!$DF$3:$DF$2300,0),COLUMN()-1),""),"MASTRO","")</f>
        <v/>
      </c>
      <c r="D373" s="29" t="str">
        <f ca="1">IF(IFERROR(INDEX((COPIA!$DA$3:$DE$2300),MATCH(ROWS(D$8:D373),COPIA!$DF$3:$DF$2300,0),COLUMN()-1),"")=0,"",IFERROR(INDEX((COPIA!$DA$3:$DE$2300),MATCH(ROWS(D$8:D373),COPIA!$DF$3:$DF$2300,0),COLUMN()-1),""))</f>
        <v/>
      </c>
      <c r="E373" s="45" t="str">
        <f ca="1">IF(IFERROR(INDEX((COPIA!$DA$3:$DE$2300),MATCH(ROWS(E$8:E373),COPIA!$DF$3:$DF$2300,0),COLUMN()-1),"")=0,"",IFERROR(INDEX((COPIA!$DA$3:$DE$2300),MATCH(ROWS(E$8:E373),COPIA!$DF$3:$DF$2300,0),COLUMN()-1),""))</f>
        <v/>
      </c>
      <c r="F373" s="120" t="str">
        <f ca="1">IF(IFERROR(INDEX((COPIA!$DA$3:$DE$2300),MATCH(ROWS(F$8:F373),COPIA!$DF$3:$DF$2300,0),COLUMN()-1),"")=0,"",IFERROR(INDEX((COPIA!$DA$3:$DE$2300),MATCH(ROWS(F$8:F373),COPIA!$DF$3:$DF$2300,0),COLUMN()-1),""))</f>
        <v/>
      </c>
    </row>
    <row r="374" spans="2:6">
      <c r="B374" s="119" t="str">
        <f ca="1">IF(IFERROR(INDEX((COPIA!$DA$3:$DE$2300),MATCH(ROWS(B$8:B374),COPIA!$DF$3:$DF$2300,0),COLUMN()-1),"")&gt;=1,IFERROR(INDEX((COPIA!$DA$3:$DE$2300),MATCH(ROWS(B$8:B374),COPIA!$DF$3:$DF$2300,0),COLUMN()-1),""),"")</f>
        <v/>
      </c>
      <c r="C374" s="118" t="str">
        <f ca="1">SUBSTITUTE(IFERROR(INDEX((COPIA!$DA$3:$DE$2300),MATCH(ROWS(C$8:C374),COPIA!$DF$3:$DF$2300,0),COLUMN()-1),""),"MASTRO","")</f>
        <v/>
      </c>
      <c r="D374" s="29" t="str">
        <f ca="1">IF(IFERROR(INDEX((COPIA!$DA$3:$DE$2300),MATCH(ROWS(D$8:D374),COPIA!$DF$3:$DF$2300,0),COLUMN()-1),"")=0,"",IFERROR(INDEX((COPIA!$DA$3:$DE$2300),MATCH(ROWS(D$8:D374),COPIA!$DF$3:$DF$2300,0),COLUMN()-1),""))</f>
        <v/>
      </c>
      <c r="E374" s="45" t="str">
        <f ca="1">IF(IFERROR(INDEX((COPIA!$DA$3:$DE$2300),MATCH(ROWS(E$8:E374),COPIA!$DF$3:$DF$2300,0),COLUMN()-1),"")=0,"",IFERROR(INDEX((COPIA!$DA$3:$DE$2300),MATCH(ROWS(E$8:E374),COPIA!$DF$3:$DF$2300,0),COLUMN()-1),""))</f>
        <v/>
      </c>
      <c r="F374" s="120" t="str">
        <f ca="1">IF(IFERROR(INDEX((COPIA!$DA$3:$DE$2300),MATCH(ROWS(F$8:F374),COPIA!$DF$3:$DF$2300,0),COLUMN()-1),"")=0,"",IFERROR(INDEX((COPIA!$DA$3:$DE$2300),MATCH(ROWS(F$8:F374),COPIA!$DF$3:$DF$2300,0),COLUMN()-1),""))</f>
        <v/>
      </c>
    </row>
    <row r="375" spans="2:6">
      <c r="B375" s="119" t="str">
        <f ca="1">IF(IFERROR(INDEX((COPIA!$DA$3:$DE$2300),MATCH(ROWS(B$8:B375),COPIA!$DF$3:$DF$2300,0),COLUMN()-1),"")&gt;=1,IFERROR(INDEX((COPIA!$DA$3:$DE$2300),MATCH(ROWS(B$8:B375),COPIA!$DF$3:$DF$2300,0),COLUMN()-1),""),"")</f>
        <v/>
      </c>
      <c r="C375" s="118" t="str">
        <f ca="1">SUBSTITUTE(IFERROR(INDEX((COPIA!$DA$3:$DE$2300),MATCH(ROWS(C$8:C375),COPIA!$DF$3:$DF$2300,0),COLUMN()-1),""),"MASTRO","")</f>
        <v/>
      </c>
      <c r="D375" s="29" t="str">
        <f ca="1">IF(IFERROR(INDEX((COPIA!$DA$3:$DE$2300),MATCH(ROWS(D$8:D375),COPIA!$DF$3:$DF$2300,0),COLUMN()-1),"")=0,"",IFERROR(INDEX((COPIA!$DA$3:$DE$2300),MATCH(ROWS(D$8:D375),COPIA!$DF$3:$DF$2300,0),COLUMN()-1),""))</f>
        <v/>
      </c>
      <c r="E375" s="45" t="str">
        <f ca="1">IF(IFERROR(INDEX((COPIA!$DA$3:$DE$2300),MATCH(ROWS(E$8:E375),COPIA!$DF$3:$DF$2300,0),COLUMN()-1),"")=0,"",IFERROR(INDEX((COPIA!$DA$3:$DE$2300),MATCH(ROWS(E$8:E375),COPIA!$DF$3:$DF$2300,0),COLUMN()-1),""))</f>
        <v/>
      </c>
      <c r="F375" s="120" t="str">
        <f ca="1">IF(IFERROR(INDEX((COPIA!$DA$3:$DE$2300),MATCH(ROWS(F$8:F375),COPIA!$DF$3:$DF$2300,0),COLUMN()-1),"")=0,"",IFERROR(INDEX((COPIA!$DA$3:$DE$2300),MATCH(ROWS(F$8:F375),COPIA!$DF$3:$DF$2300,0),COLUMN()-1),""))</f>
        <v/>
      </c>
    </row>
    <row r="376" spans="2:6">
      <c r="B376" s="119" t="str">
        <f ca="1">IF(IFERROR(INDEX((COPIA!$DA$3:$DE$2300),MATCH(ROWS(B$8:B376),COPIA!$DF$3:$DF$2300,0),COLUMN()-1),"")&gt;=1,IFERROR(INDEX((COPIA!$DA$3:$DE$2300),MATCH(ROWS(B$8:B376),COPIA!$DF$3:$DF$2300,0),COLUMN()-1),""),"")</f>
        <v/>
      </c>
      <c r="C376" s="118" t="str">
        <f ca="1">SUBSTITUTE(IFERROR(INDEX((COPIA!$DA$3:$DE$2300),MATCH(ROWS(C$8:C376),COPIA!$DF$3:$DF$2300,0),COLUMN()-1),""),"MASTRO","")</f>
        <v/>
      </c>
      <c r="D376" s="29" t="str">
        <f ca="1">IF(IFERROR(INDEX((COPIA!$DA$3:$DE$2300),MATCH(ROWS(D$8:D376),COPIA!$DF$3:$DF$2300,0),COLUMN()-1),"")=0,"",IFERROR(INDEX((COPIA!$DA$3:$DE$2300),MATCH(ROWS(D$8:D376),COPIA!$DF$3:$DF$2300,0),COLUMN()-1),""))</f>
        <v/>
      </c>
      <c r="E376" s="45" t="str">
        <f ca="1">IF(IFERROR(INDEX((COPIA!$DA$3:$DE$2300),MATCH(ROWS(E$8:E376),COPIA!$DF$3:$DF$2300,0),COLUMN()-1),"")=0,"",IFERROR(INDEX((COPIA!$DA$3:$DE$2300),MATCH(ROWS(E$8:E376),COPIA!$DF$3:$DF$2300,0),COLUMN()-1),""))</f>
        <v/>
      </c>
      <c r="F376" s="120" t="str">
        <f ca="1">IF(IFERROR(INDEX((COPIA!$DA$3:$DE$2300),MATCH(ROWS(F$8:F376),COPIA!$DF$3:$DF$2300,0),COLUMN()-1),"")=0,"",IFERROR(INDEX((COPIA!$DA$3:$DE$2300),MATCH(ROWS(F$8:F376),COPIA!$DF$3:$DF$2300,0),COLUMN()-1),""))</f>
        <v/>
      </c>
    </row>
    <row r="377" spans="2:6">
      <c r="B377" s="119" t="str">
        <f ca="1">IF(IFERROR(INDEX((COPIA!$DA$3:$DE$2300),MATCH(ROWS(B$8:B377),COPIA!$DF$3:$DF$2300,0),COLUMN()-1),"")&gt;=1,IFERROR(INDEX((COPIA!$DA$3:$DE$2300),MATCH(ROWS(B$8:B377),COPIA!$DF$3:$DF$2300,0),COLUMN()-1),""),"")</f>
        <v/>
      </c>
      <c r="C377" s="118" t="str">
        <f ca="1">SUBSTITUTE(IFERROR(INDEX((COPIA!$DA$3:$DE$2300),MATCH(ROWS(C$8:C377),COPIA!$DF$3:$DF$2300,0),COLUMN()-1),""),"MASTRO","")</f>
        <v/>
      </c>
      <c r="D377" s="29" t="str">
        <f ca="1">IF(IFERROR(INDEX((COPIA!$DA$3:$DE$2300),MATCH(ROWS(D$8:D377),COPIA!$DF$3:$DF$2300,0),COLUMN()-1),"")=0,"",IFERROR(INDEX((COPIA!$DA$3:$DE$2300),MATCH(ROWS(D$8:D377),COPIA!$DF$3:$DF$2300,0),COLUMN()-1),""))</f>
        <v/>
      </c>
      <c r="E377" s="45" t="str">
        <f ca="1">IF(IFERROR(INDEX((COPIA!$DA$3:$DE$2300),MATCH(ROWS(E$8:E377),COPIA!$DF$3:$DF$2300,0),COLUMN()-1),"")=0,"",IFERROR(INDEX((COPIA!$DA$3:$DE$2300),MATCH(ROWS(E$8:E377),COPIA!$DF$3:$DF$2300,0),COLUMN()-1),""))</f>
        <v/>
      </c>
      <c r="F377" s="120" t="str">
        <f ca="1">IF(IFERROR(INDEX((COPIA!$DA$3:$DE$2300),MATCH(ROWS(F$8:F377),COPIA!$DF$3:$DF$2300,0),COLUMN()-1),"")=0,"",IFERROR(INDEX((COPIA!$DA$3:$DE$2300),MATCH(ROWS(F$8:F377),COPIA!$DF$3:$DF$2300,0),COLUMN()-1),""))</f>
        <v/>
      </c>
    </row>
    <row r="378" spans="2:6">
      <c r="B378" s="119" t="str">
        <f ca="1">IF(IFERROR(INDEX((COPIA!$DA$3:$DE$2300),MATCH(ROWS(B$8:B378),COPIA!$DF$3:$DF$2300,0),COLUMN()-1),"")&gt;=1,IFERROR(INDEX((COPIA!$DA$3:$DE$2300),MATCH(ROWS(B$8:B378),COPIA!$DF$3:$DF$2300,0),COLUMN()-1),""),"")</f>
        <v/>
      </c>
      <c r="C378" s="118" t="str">
        <f ca="1">SUBSTITUTE(IFERROR(INDEX((COPIA!$DA$3:$DE$2300),MATCH(ROWS(C$8:C378),COPIA!$DF$3:$DF$2300,0),COLUMN()-1),""),"MASTRO","")</f>
        <v/>
      </c>
      <c r="D378" s="29" t="str">
        <f ca="1">IF(IFERROR(INDEX((COPIA!$DA$3:$DE$2300),MATCH(ROWS(D$8:D378),COPIA!$DF$3:$DF$2300,0),COLUMN()-1),"")=0,"",IFERROR(INDEX((COPIA!$DA$3:$DE$2300),MATCH(ROWS(D$8:D378),COPIA!$DF$3:$DF$2300,0),COLUMN()-1),""))</f>
        <v/>
      </c>
      <c r="E378" s="45" t="str">
        <f ca="1">IF(IFERROR(INDEX((COPIA!$DA$3:$DE$2300),MATCH(ROWS(E$8:E378),COPIA!$DF$3:$DF$2300,0),COLUMN()-1),"")=0,"",IFERROR(INDEX((COPIA!$DA$3:$DE$2300),MATCH(ROWS(E$8:E378),COPIA!$DF$3:$DF$2300,0),COLUMN()-1),""))</f>
        <v/>
      </c>
      <c r="F378" s="120" t="str">
        <f ca="1">IF(IFERROR(INDEX((COPIA!$DA$3:$DE$2300),MATCH(ROWS(F$8:F378),COPIA!$DF$3:$DF$2300,0),COLUMN()-1),"")=0,"",IFERROR(INDEX((COPIA!$DA$3:$DE$2300),MATCH(ROWS(F$8:F378),COPIA!$DF$3:$DF$2300,0),COLUMN()-1),""))</f>
        <v/>
      </c>
    </row>
    <row r="379" spans="2:6">
      <c r="B379" s="119" t="str">
        <f ca="1">IF(IFERROR(INDEX((COPIA!$DA$3:$DE$2300),MATCH(ROWS(B$8:B379),COPIA!$DF$3:$DF$2300,0),COLUMN()-1),"")&gt;=1,IFERROR(INDEX((COPIA!$DA$3:$DE$2300),MATCH(ROWS(B$8:B379),COPIA!$DF$3:$DF$2300,0),COLUMN()-1),""),"")</f>
        <v/>
      </c>
      <c r="C379" s="118" t="str">
        <f ca="1">SUBSTITUTE(IFERROR(INDEX((COPIA!$DA$3:$DE$2300),MATCH(ROWS(C$8:C379),COPIA!$DF$3:$DF$2300,0),COLUMN()-1),""),"MASTRO","")</f>
        <v/>
      </c>
      <c r="D379" s="29" t="str">
        <f ca="1">IF(IFERROR(INDEX((COPIA!$DA$3:$DE$2300),MATCH(ROWS(D$8:D379),COPIA!$DF$3:$DF$2300,0),COLUMN()-1),"")=0,"",IFERROR(INDEX((COPIA!$DA$3:$DE$2300),MATCH(ROWS(D$8:D379),COPIA!$DF$3:$DF$2300,0),COLUMN()-1),""))</f>
        <v/>
      </c>
      <c r="E379" s="45" t="str">
        <f ca="1">IF(IFERROR(INDEX((COPIA!$DA$3:$DE$2300),MATCH(ROWS(E$8:E379),COPIA!$DF$3:$DF$2300,0),COLUMN()-1),"")=0,"",IFERROR(INDEX((COPIA!$DA$3:$DE$2300),MATCH(ROWS(E$8:E379),COPIA!$DF$3:$DF$2300,0),COLUMN()-1),""))</f>
        <v/>
      </c>
      <c r="F379" s="120" t="str">
        <f ca="1">IF(IFERROR(INDEX((COPIA!$DA$3:$DE$2300),MATCH(ROWS(F$8:F379),COPIA!$DF$3:$DF$2300,0),COLUMN()-1),"")=0,"",IFERROR(INDEX((COPIA!$DA$3:$DE$2300),MATCH(ROWS(F$8:F379),COPIA!$DF$3:$DF$2300,0),COLUMN()-1),""))</f>
        <v/>
      </c>
    </row>
    <row r="380" spans="2:6">
      <c r="B380" s="119" t="str">
        <f ca="1">IF(IFERROR(INDEX((COPIA!$DA$3:$DE$2300),MATCH(ROWS(B$8:B380),COPIA!$DF$3:$DF$2300,0),COLUMN()-1),"")&gt;=1,IFERROR(INDEX((COPIA!$DA$3:$DE$2300),MATCH(ROWS(B$8:B380),COPIA!$DF$3:$DF$2300,0),COLUMN()-1),""),"")</f>
        <v/>
      </c>
      <c r="C380" s="118" t="str">
        <f ca="1">SUBSTITUTE(IFERROR(INDEX((COPIA!$DA$3:$DE$2300),MATCH(ROWS(C$8:C380),COPIA!$DF$3:$DF$2300,0),COLUMN()-1),""),"MASTRO","")</f>
        <v/>
      </c>
      <c r="D380" s="29" t="str">
        <f ca="1">IF(IFERROR(INDEX((COPIA!$DA$3:$DE$2300),MATCH(ROWS(D$8:D380),COPIA!$DF$3:$DF$2300,0),COLUMN()-1),"")=0,"",IFERROR(INDEX((COPIA!$DA$3:$DE$2300),MATCH(ROWS(D$8:D380),COPIA!$DF$3:$DF$2300,0),COLUMN()-1),""))</f>
        <v/>
      </c>
      <c r="E380" s="45" t="str">
        <f ca="1">IF(IFERROR(INDEX((COPIA!$DA$3:$DE$2300),MATCH(ROWS(E$8:E380),COPIA!$DF$3:$DF$2300,0),COLUMN()-1),"")=0,"",IFERROR(INDEX((COPIA!$DA$3:$DE$2300),MATCH(ROWS(E$8:E380),COPIA!$DF$3:$DF$2300,0),COLUMN()-1),""))</f>
        <v/>
      </c>
      <c r="F380" s="120" t="str">
        <f ca="1">IF(IFERROR(INDEX((COPIA!$DA$3:$DE$2300),MATCH(ROWS(F$8:F380),COPIA!$DF$3:$DF$2300,0),COLUMN()-1),"")=0,"",IFERROR(INDEX((COPIA!$DA$3:$DE$2300),MATCH(ROWS(F$8:F380),COPIA!$DF$3:$DF$2300,0),COLUMN()-1),""))</f>
        <v/>
      </c>
    </row>
    <row r="381" spans="2:6">
      <c r="B381" s="119" t="str">
        <f ca="1">IF(IFERROR(INDEX((COPIA!$DA$3:$DE$2300),MATCH(ROWS(B$8:B381),COPIA!$DF$3:$DF$2300,0),COLUMN()-1),"")&gt;=1,IFERROR(INDEX((COPIA!$DA$3:$DE$2300),MATCH(ROWS(B$8:B381),COPIA!$DF$3:$DF$2300,0),COLUMN()-1),""),"")</f>
        <v/>
      </c>
      <c r="C381" s="118" t="str">
        <f ca="1">SUBSTITUTE(IFERROR(INDEX((COPIA!$DA$3:$DE$2300),MATCH(ROWS(C$8:C381),COPIA!$DF$3:$DF$2300,0),COLUMN()-1),""),"MASTRO","")</f>
        <v/>
      </c>
      <c r="D381" s="29" t="str">
        <f ca="1">IF(IFERROR(INDEX((COPIA!$DA$3:$DE$2300),MATCH(ROWS(D$8:D381),COPIA!$DF$3:$DF$2300,0),COLUMN()-1),"")=0,"",IFERROR(INDEX((COPIA!$DA$3:$DE$2300),MATCH(ROWS(D$8:D381),COPIA!$DF$3:$DF$2300,0),COLUMN()-1),""))</f>
        <v/>
      </c>
      <c r="E381" s="45" t="str">
        <f ca="1">IF(IFERROR(INDEX((COPIA!$DA$3:$DE$2300),MATCH(ROWS(E$8:E381),COPIA!$DF$3:$DF$2300,0),COLUMN()-1),"")=0,"",IFERROR(INDEX((COPIA!$DA$3:$DE$2300),MATCH(ROWS(E$8:E381),COPIA!$DF$3:$DF$2300,0),COLUMN()-1),""))</f>
        <v/>
      </c>
      <c r="F381" s="120" t="str">
        <f ca="1">IF(IFERROR(INDEX((COPIA!$DA$3:$DE$2300),MATCH(ROWS(F$8:F381),COPIA!$DF$3:$DF$2300,0),COLUMN()-1),"")=0,"",IFERROR(INDEX((COPIA!$DA$3:$DE$2300),MATCH(ROWS(F$8:F381),COPIA!$DF$3:$DF$2300,0),COLUMN()-1),""))</f>
        <v/>
      </c>
    </row>
    <row r="382" spans="2:6">
      <c r="B382" s="119" t="str">
        <f ca="1">IF(IFERROR(INDEX((COPIA!$DA$3:$DE$2300),MATCH(ROWS(B$8:B382),COPIA!$DF$3:$DF$2300,0),COLUMN()-1),"")&gt;=1,IFERROR(INDEX((COPIA!$DA$3:$DE$2300),MATCH(ROWS(B$8:B382),COPIA!$DF$3:$DF$2300,0),COLUMN()-1),""),"")</f>
        <v/>
      </c>
      <c r="C382" s="118" t="str">
        <f ca="1">SUBSTITUTE(IFERROR(INDEX((COPIA!$DA$3:$DE$2300),MATCH(ROWS(C$8:C382),COPIA!$DF$3:$DF$2300,0),COLUMN()-1),""),"MASTRO","")</f>
        <v/>
      </c>
      <c r="D382" s="29" t="str">
        <f ca="1">IF(IFERROR(INDEX((COPIA!$DA$3:$DE$2300),MATCH(ROWS(D$8:D382),COPIA!$DF$3:$DF$2300,0),COLUMN()-1),"")=0,"",IFERROR(INDEX((COPIA!$DA$3:$DE$2300),MATCH(ROWS(D$8:D382),COPIA!$DF$3:$DF$2300,0),COLUMN()-1),""))</f>
        <v/>
      </c>
      <c r="E382" s="45" t="str">
        <f ca="1">IF(IFERROR(INDEX((COPIA!$DA$3:$DE$2300),MATCH(ROWS(E$8:E382),COPIA!$DF$3:$DF$2300,0),COLUMN()-1),"")=0,"",IFERROR(INDEX((COPIA!$DA$3:$DE$2300),MATCH(ROWS(E$8:E382),COPIA!$DF$3:$DF$2300,0),COLUMN()-1),""))</f>
        <v/>
      </c>
      <c r="F382" s="120" t="str">
        <f ca="1">IF(IFERROR(INDEX((COPIA!$DA$3:$DE$2300),MATCH(ROWS(F$8:F382),COPIA!$DF$3:$DF$2300,0),COLUMN()-1),"")=0,"",IFERROR(INDEX((COPIA!$DA$3:$DE$2300),MATCH(ROWS(F$8:F382),COPIA!$DF$3:$DF$2300,0),COLUMN()-1),""))</f>
        <v/>
      </c>
    </row>
    <row r="383" spans="2:6">
      <c r="B383" s="119" t="str">
        <f ca="1">IF(IFERROR(INDEX((COPIA!$DA$3:$DE$2300),MATCH(ROWS(B$8:B383),COPIA!$DF$3:$DF$2300,0),COLUMN()-1),"")&gt;=1,IFERROR(INDEX((COPIA!$DA$3:$DE$2300),MATCH(ROWS(B$8:B383),COPIA!$DF$3:$DF$2300,0),COLUMN()-1),""),"")</f>
        <v/>
      </c>
      <c r="C383" s="118" t="str">
        <f ca="1">SUBSTITUTE(IFERROR(INDEX((COPIA!$DA$3:$DE$2300),MATCH(ROWS(C$8:C383),COPIA!$DF$3:$DF$2300,0),COLUMN()-1),""),"MASTRO","")</f>
        <v/>
      </c>
      <c r="D383" s="29" t="str">
        <f ca="1">IF(IFERROR(INDEX((COPIA!$DA$3:$DE$2300),MATCH(ROWS(D$8:D383),COPIA!$DF$3:$DF$2300,0),COLUMN()-1),"")=0,"",IFERROR(INDEX((COPIA!$DA$3:$DE$2300),MATCH(ROWS(D$8:D383),COPIA!$DF$3:$DF$2300,0),COLUMN()-1),""))</f>
        <v/>
      </c>
      <c r="E383" s="45" t="str">
        <f ca="1">IF(IFERROR(INDEX((COPIA!$DA$3:$DE$2300),MATCH(ROWS(E$8:E383),COPIA!$DF$3:$DF$2300,0),COLUMN()-1),"")=0,"",IFERROR(INDEX((COPIA!$DA$3:$DE$2300),MATCH(ROWS(E$8:E383),COPIA!$DF$3:$DF$2300,0),COLUMN()-1),""))</f>
        <v/>
      </c>
      <c r="F383" s="120" t="str">
        <f ca="1">IF(IFERROR(INDEX((COPIA!$DA$3:$DE$2300),MATCH(ROWS(F$8:F383),COPIA!$DF$3:$DF$2300,0),COLUMN()-1),"")=0,"",IFERROR(INDEX((COPIA!$DA$3:$DE$2300),MATCH(ROWS(F$8:F383),COPIA!$DF$3:$DF$2300,0),COLUMN()-1),""))</f>
        <v/>
      </c>
    </row>
    <row r="384" spans="2:6">
      <c r="B384" s="119" t="str">
        <f ca="1">IF(IFERROR(INDEX((COPIA!$DA$3:$DE$2300),MATCH(ROWS(B$8:B384),COPIA!$DF$3:$DF$2300,0),COLUMN()-1),"")&gt;=1,IFERROR(INDEX((COPIA!$DA$3:$DE$2300),MATCH(ROWS(B$8:B384),COPIA!$DF$3:$DF$2300,0),COLUMN()-1),""),"")</f>
        <v/>
      </c>
      <c r="C384" s="118" t="str">
        <f ca="1">SUBSTITUTE(IFERROR(INDEX((COPIA!$DA$3:$DE$2300),MATCH(ROWS(C$8:C384),COPIA!$DF$3:$DF$2300,0),COLUMN()-1),""),"MASTRO","")</f>
        <v/>
      </c>
      <c r="D384" s="29" t="str">
        <f ca="1">IF(IFERROR(INDEX((COPIA!$DA$3:$DE$2300),MATCH(ROWS(D$8:D384),COPIA!$DF$3:$DF$2300,0),COLUMN()-1),"")=0,"",IFERROR(INDEX((COPIA!$DA$3:$DE$2300),MATCH(ROWS(D$8:D384),COPIA!$DF$3:$DF$2300,0),COLUMN()-1),""))</f>
        <v/>
      </c>
      <c r="E384" s="45" t="str">
        <f ca="1">IF(IFERROR(INDEX((COPIA!$DA$3:$DE$2300),MATCH(ROWS(E$8:E384),COPIA!$DF$3:$DF$2300,0),COLUMN()-1),"")=0,"",IFERROR(INDEX((COPIA!$DA$3:$DE$2300),MATCH(ROWS(E$8:E384),COPIA!$DF$3:$DF$2300,0),COLUMN()-1),""))</f>
        <v/>
      </c>
      <c r="F384" s="120" t="str">
        <f ca="1">IF(IFERROR(INDEX((COPIA!$DA$3:$DE$2300),MATCH(ROWS(F$8:F384),COPIA!$DF$3:$DF$2300,0),COLUMN()-1),"")=0,"",IFERROR(INDEX((COPIA!$DA$3:$DE$2300),MATCH(ROWS(F$8:F384),COPIA!$DF$3:$DF$2300,0),COLUMN()-1),""))</f>
        <v/>
      </c>
    </row>
    <row r="385" spans="2:6">
      <c r="B385" s="119" t="str">
        <f ca="1">IF(IFERROR(INDEX((COPIA!$DA$3:$DE$2300),MATCH(ROWS(B$8:B385),COPIA!$DF$3:$DF$2300,0),COLUMN()-1),"")&gt;=1,IFERROR(INDEX((COPIA!$DA$3:$DE$2300),MATCH(ROWS(B$8:B385),COPIA!$DF$3:$DF$2300,0),COLUMN()-1),""),"")</f>
        <v/>
      </c>
      <c r="C385" s="118" t="str">
        <f ca="1">SUBSTITUTE(IFERROR(INDEX((COPIA!$DA$3:$DE$2300),MATCH(ROWS(C$8:C385),COPIA!$DF$3:$DF$2300,0),COLUMN()-1),""),"MASTRO","")</f>
        <v/>
      </c>
      <c r="D385" s="29" t="str">
        <f ca="1">IF(IFERROR(INDEX((COPIA!$DA$3:$DE$2300),MATCH(ROWS(D$8:D385),COPIA!$DF$3:$DF$2300,0),COLUMN()-1),"")=0,"",IFERROR(INDEX((COPIA!$DA$3:$DE$2300),MATCH(ROWS(D$8:D385),COPIA!$DF$3:$DF$2300,0),COLUMN()-1),""))</f>
        <v/>
      </c>
      <c r="E385" s="45" t="str">
        <f ca="1">IF(IFERROR(INDEX((COPIA!$DA$3:$DE$2300),MATCH(ROWS(E$8:E385),COPIA!$DF$3:$DF$2300,0),COLUMN()-1),"")=0,"",IFERROR(INDEX((COPIA!$DA$3:$DE$2300),MATCH(ROWS(E$8:E385),COPIA!$DF$3:$DF$2300,0),COLUMN()-1),""))</f>
        <v/>
      </c>
      <c r="F385" s="120" t="str">
        <f ca="1">IF(IFERROR(INDEX((COPIA!$DA$3:$DE$2300),MATCH(ROWS(F$8:F385),COPIA!$DF$3:$DF$2300,0),COLUMN()-1),"")=0,"",IFERROR(INDEX((COPIA!$DA$3:$DE$2300),MATCH(ROWS(F$8:F385),COPIA!$DF$3:$DF$2300,0),COLUMN()-1),""))</f>
        <v/>
      </c>
    </row>
    <row r="386" spans="2:6">
      <c r="B386" s="119" t="str">
        <f ca="1">IF(IFERROR(INDEX((COPIA!$DA$3:$DE$2300),MATCH(ROWS(B$8:B386),COPIA!$DF$3:$DF$2300,0),COLUMN()-1),"")&gt;=1,IFERROR(INDEX((COPIA!$DA$3:$DE$2300),MATCH(ROWS(B$8:B386),COPIA!$DF$3:$DF$2300,0),COLUMN()-1),""),"")</f>
        <v/>
      </c>
      <c r="C386" s="118" t="str">
        <f ca="1">SUBSTITUTE(IFERROR(INDEX((COPIA!$DA$3:$DE$2300),MATCH(ROWS(C$8:C386),COPIA!$DF$3:$DF$2300,0),COLUMN()-1),""),"MASTRO","")</f>
        <v/>
      </c>
      <c r="D386" s="29" t="str">
        <f ca="1">IF(IFERROR(INDEX((COPIA!$DA$3:$DE$2300),MATCH(ROWS(D$8:D386),COPIA!$DF$3:$DF$2300,0),COLUMN()-1),"")=0,"",IFERROR(INDEX((COPIA!$DA$3:$DE$2300),MATCH(ROWS(D$8:D386),COPIA!$DF$3:$DF$2300,0),COLUMN()-1),""))</f>
        <v/>
      </c>
      <c r="E386" s="45" t="str">
        <f ca="1">IF(IFERROR(INDEX((COPIA!$DA$3:$DE$2300),MATCH(ROWS(E$8:E386),COPIA!$DF$3:$DF$2300,0),COLUMN()-1),"")=0,"",IFERROR(INDEX((COPIA!$DA$3:$DE$2300),MATCH(ROWS(E$8:E386),COPIA!$DF$3:$DF$2300,0),COLUMN()-1),""))</f>
        <v/>
      </c>
      <c r="F386" s="120" t="str">
        <f ca="1">IF(IFERROR(INDEX((COPIA!$DA$3:$DE$2300),MATCH(ROWS(F$8:F386),COPIA!$DF$3:$DF$2300,0),COLUMN()-1),"")=0,"",IFERROR(INDEX((COPIA!$DA$3:$DE$2300),MATCH(ROWS(F$8:F386),COPIA!$DF$3:$DF$2300,0),COLUMN()-1),""))</f>
        <v/>
      </c>
    </row>
    <row r="387" spans="2:6">
      <c r="B387" s="119" t="str">
        <f ca="1">IF(IFERROR(INDEX((COPIA!$DA$3:$DE$2300),MATCH(ROWS(B$8:B387),COPIA!$DF$3:$DF$2300,0),COLUMN()-1),"")&gt;=1,IFERROR(INDEX((COPIA!$DA$3:$DE$2300),MATCH(ROWS(B$8:B387),COPIA!$DF$3:$DF$2300,0),COLUMN()-1),""),"")</f>
        <v/>
      </c>
      <c r="C387" s="118" t="str">
        <f ca="1">SUBSTITUTE(IFERROR(INDEX((COPIA!$DA$3:$DE$2300),MATCH(ROWS(C$8:C387),COPIA!$DF$3:$DF$2300,0),COLUMN()-1),""),"MASTRO","")</f>
        <v/>
      </c>
      <c r="D387" s="29" t="str">
        <f ca="1">IF(IFERROR(INDEX((COPIA!$DA$3:$DE$2300),MATCH(ROWS(D$8:D387),COPIA!$DF$3:$DF$2300,0),COLUMN()-1),"")=0,"",IFERROR(INDEX((COPIA!$DA$3:$DE$2300),MATCH(ROWS(D$8:D387),COPIA!$DF$3:$DF$2300,0),COLUMN()-1),""))</f>
        <v/>
      </c>
      <c r="E387" s="45" t="str">
        <f ca="1">IF(IFERROR(INDEX((COPIA!$DA$3:$DE$2300),MATCH(ROWS(E$8:E387),COPIA!$DF$3:$DF$2300,0),COLUMN()-1),"")=0,"",IFERROR(INDEX((COPIA!$DA$3:$DE$2300),MATCH(ROWS(E$8:E387),COPIA!$DF$3:$DF$2300,0),COLUMN()-1),""))</f>
        <v/>
      </c>
      <c r="F387" s="120" t="str">
        <f ca="1">IF(IFERROR(INDEX((COPIA!$DA$3:$DE$2300),MATCH(ROWS(F$8:F387),COPIA!$DF$3:$DF$2300,0),COLUMN()-1),"")=0,"",IFERROR(INDEX((COPIA!$DA$3:$DE$2300),MATCH(ROWS(F$8:F387),COPIA!$DF$3:$DF$2300,0),COLUMN()-1),""))</f>
        <v/>
      </c>
    </row>
    <row r="388" spans="2:6">
      <c r="B388" s="119" t="str">
        <f ca="1">IF(IFERROR(INDEX((COPIA!$DA$3:$DE$2300),MATCH(ROWS(B$8:B388),COPIA!$DF$3:$DF$2300,0),COLUMN()-1),"")&gt;=1,IFERROR(INDEX((COPIA!$DA$3:$DE$2300),MATCH(ROWS(B$8:B388),COPIA!$DF$3:$DF$2300,0),COLUMN()-1),""),"")</f>
        <v/>
      </c>
      <c r="C388" s="118" t="str">
        <f ca="1">SUBSTITUTE(IFERROR(INDEX((COPIA!$DA$3:$DE$2300),MATCH(ROWS(C$8:C388),COPIA!$DF$3:$DF$2300,0),COLUMN()-1),""),"MASTRO","")</f>
        <v/>
      </c>
      <c r="D388" s="29" t="str">
        <f ca="1">IF(IFERROR(INDEX((COPIA!$DA$3:$DE$2300),MATCH(ROWS(D$8:D388),COPIA!$DF$3:$DF$2300,0),COLUMN()-1),"")=0,"",IFERROR(INDEX((COPIA!$DA$3:$DE$2300),MATCH(ROWS(D$8:D388),COPIA!$DF$3:$DF$2300,0),COLUMN()-1),""))</f>
        <v/>
      </c>
      <c r="E388" s="45" t="str">
        <f ca="1">IF(IFERROR(INDEX((COPIA!$DA$3:$DE$2300),MATCH(ROWS(E$8:E388),COPIA!$DF$3:$DF$2300,0),COLUMN()-1),"")=0,"",IFERROR(INDEX((COPIA!$DA$3:$DE$2300),MATCH(ROWS(E$8:E388),COPIA!$DF$3:$DF$2300,0),COLUMN()-1),""))</f>
        <v/>
      </c>
      <c r="F388" s="120" t="str">
        <f ca="1">IF(IFERROR(INDEX((COPIA!$DA$3:$DE$2300),MATCH(ROWS(F$8:F388),COPIA!$DF$3:$DF$2300,0),COLUMN()-1),"")=0,"",IFERROR(INDEX((COPIA!$DA$3:$DE$2300),MATCH(ROWS(F$8:F388),COPIA!$DF$3:$DF$2300,0),COLUMN()-1),""))</f>
        <v/>
      </c>
    </row>
    <row r="389" spans="2:6">
      <c r="B389" s="119" t="str">
        <f ca="1">IF(IFERROR(INDEX((COPIA!$DA$3:$DE$2300),MATCH(ROWS(B$8:B389),COPIA!$DF$3:$DF$2300,0),COLUMN()-1),"")&gt;=1,IFERROR(INDEX((COPIA!$DA$3:$DE$2300),MATCH(ROWS(B$8:B389),COPIA!$DF$3:$DF$2300,0),COLUMN()-1),""),"")</f>
        <v/>
      </c>
      <c r="C389" s="118" t="str">
        <f ca="1">SUBSTITUTE(IFERROR(INDEX((COPIA!$DA$3:$DE$2300),MATCH(ROWS(C$8:C389),COPIA!$DF$3:$DF$2300,0),COLUMN()-1),""),"MASTRO","")</f>
        <v/>
      </c>
      <c r="D389" s="29" t="str">
        <f ca="1">IF(IFERROR(INDEX((COPIA!$DA$3:$DE$2300),MATCH(ROWS(D$8:D389),COPIA!$DF$3:$DF$2300,0),COLUMN()-1),"")=0,"",IFERROR(INDEX((COPIA!$DA$3:$DE$2300),MATCH(ROWS(D$8:D389),COPIA!$DF$3:$DF$2300,0),COLUMN()-1),""))</f>
        <v/>
      </c>
      <c r="E389" s="45" t="str">
        <f ca="1">IF(IFERROR(INDEX((COPIA!$DA$3:$DE$2300),MATCH(ROWS(E$8:E389),COPIA!$DF$3:$DF$2300,0),COLUMN()-1),"")=0,"",IFERROR(INDEX((COPIA!$DA$3:$DE$2300),MATCH(ROWS(E$8:E389),COPIA!$DF$3:$DF$2300,0),COLUMN()-1),""))</f>
        <v/>
      </c>
      <c r="F389" s="120" t="str">
        <f ca="1">IF(IFERROR(INDEX((COPIA!$DA$3:$DE$2300),MATCH(ROWS(F$8:F389),COPIA!$DF$3:$DF$2300,0),COLUMN()-1),"")=0,"",IFERROR(INDEX((COPIA!$DA$3:$DE$2300),MATCH(ROWS(F$8:F389),COPIA!$DF$3:$DF$2300,0),COLUMN()-1),""))</f>
        <v/>
      </c>
    </row>
    <row r="390" spans="2:6">
      <c r="B390" s="119" t="str">
        <f ca="1">IF(IFERROR(INDEX((COPIA!$DA$3:$DE$2300),MATCH(ROWS(B$8:B390),COPIA!$DF$3:$DF$2300,0),COLUMN()-1),"")&gt;=1,IFERROR(INDEX((COPIA!$DA$3:$DE$2300),MATCH(ROWS(B$8:B390),COPIA!$DF$3:$DF$2300,0),COLUMN()-1),""),"")</f>
        <v/>
      </c>
      <c r="C390" s="118" t="str">
        <f ca="1">SUBSTITUTE(IFERROR(INDEX((COPIA!$DA$3:$DE$2300),MATCH(ROWS(C$8:C390),COPIA!$DF$3:$DF$2300,0),COLUMN()-1),""),"MASTRO","")</f>
        <v/>
      </c>
      <c r="D390" s="29" t="str">
        <f ca="1">IF(IFERROR(INDEX((COPIA!$DA$3:$DE$2300),MATCH(ROWS(D$8:D390),COPIA!$DF$3:$DF$2300,0),COLUMN()-1),"")=0,"",IFERROR(INDEX((COPIA!$DA$3:$DE$2300),MATCH(ROWS(D$8:D390),COPIA!$DF$3:$DF$2300,0),COLUMN()-1),""))</f>
        <v/>
      </c>
      <c r="E390" s="45" t="str">
        <f ca="1">IF(IFERROR(INDEX((COPIA!$DA$3:$DE$2300),MATCH(ROWS(E$8:E390),COPIA!$DF$3:$DF$2300,0),COLUMN()-1),"")=0,"",IFERROR(INDEX((COPIA!$DA$3:$DE$2300),MATCH(ROWS(E$8:E390),COPIA!$DF$3:$DF$2300,0),COLUMN()-1),""))</f>
        <v/>
      </c>
      <c r="F390" s="120" t="str">
        <f ca="1">IF(IFERROR(INDEX((COPIA!$DA$3:$DE$2300),MATCH(ROWS(F$8:F390),COPIA!$DF$3:$DF$2300,0),COLUMN()-1),"")=0,"",IFERROR(INDEX((COPIA!$DA$3:$DE$2300),MATCH(ROWS(F$8:F390),COPIA!$DF$3:$DF$2300,0),COLUMN()-1),""))</f>
        <v/>
      </c>
    </row>
    <row r="391" spans="2:6">
      <c r="B391" s="119" t="str">
        <f ca="1">IF(IFERROR(INDEX((COPIA!$DA$3:$DE$2300),MATCH(ROWS(B$8:B391),COPIA!$DF$3:$DF$2300,0),COLUMN()-1),"")&gt;=1,IFERROR(INDEX((COPIA!$DA$3:$DE$2300),MATCH(ROWS(B$8:B391),COPIA!$DF$3:$DF$2300,0),COLUMN()-1),""),"")</f>
        <v/>
      </c>
      <c r="C391" s="118" t="str">
        <f ca="1">SUBSTITUTE(IFERROR(INDEX((COPIA!$DA$3:$DE$2300),MATCH(ROWS(C$8:C391),COPIA!$DF$3:$DF$2300,0),COLUMN()-1),""),"MASTRO","")</f>
        <v/>
      </c>
      <c r="D391" s="29" t="str">
        <f ca="1">IF(IFERROR(INDEX((COPIA!$DA$3:$DE$2300),MATCH(ROWS(D$8:D391),COPIA!$DF$3:$DF$2300,0),COLUMN()-1),"")=0,"",IFERROR(INDEX((COPIA!$DA$3:$DE$2300),MATCH(ROWS(D$8:D391),COPIA!$DF$3:$DF$2300,0),COLUMN()-1),""))</f>
        <v/>
      </c>
      <c r="E391" s="45" t="str">
        <f ca="1">IF(IFERROR(INDEX((COPIA!$DA$3:$DE$2300),MATCH(ROWS(E$8:E391),COPIA!$DF$3:$DF$2300,0),COLUMN()-1),"")=0,"",IFERROR(INDEX((COPIA!$DA$3:$DE$2300),MATCH(ROWS(E$8:E391),COPIA!$DF$3:$DF$2300,0),COLUMN()-1),""))</f>
        <v/>
      </c>
      <c r="F391" s="120" t="str">
        <f ca="1">IF(IFERROR(INDEX((COPIA!$DA$3:$DE$2300),MATCH(ROWS(F$8:F391),COPIA!$DF$3:$DF$2300,0),COLUMN()-1),"")=0,"",IFERROR(INDEX((COPIA!$DA$3:$DE$2300),MATCH(ROWS(F$8:F391),COPIA!$DF$3:$DF$2300,0),COLUMN()-1),""))</f>
        <v/>
      </c>
    </row>
    <row r="392" spans="2:6">
      <c r="B392" s="119" t="str">
        <f ca="1">IF(IFERROR(INDEX((COPIA!$DA$3:$DE$2300),MATCH(ROWS(B$8:B392),COPIA!$DF$3:$DF$2300,0),COLUMN()-1),"")&gt;=1,IFERROR(INDEX((COPIA!$DA$3:$DE$2300),MATCH(ROWS(B$8:B392),COPIA!$DF$3:$DF$2300,0),COLUMN()-1),""),"")</f>
        <v/>
      </c>
      <c r="C392" s="118" t="str">
        <f ca="1">SUBSTITUTE(IFERROR(INDEX((COPIA!$DA$3:$DE$2300),MATCH(ROWS(C$8:C392),COPIA!$DF$3:$DF$2300,0),COLUMN()-1),""),"MASTRO","")</f>
        <v/>
      </c>
      <c r="D392" s="29" t="str">
        <f ca="1">IF(IFERROR(INDEX((COPIA!$DA$3:$DE$2300),MATCH(ROWS(D$8:D392),COPIA!$DF$3:$DF$2300,0),COLUMN()-1),"")=0,"",IFERROR(INDEX((COPIA!$DA$3:$DE$2300),MATCH(ROWS(D$8:D392),COPIA!$DF$3:$DF$2300,0),COLUMN()-1),""))</f>
        <v/>
      </c>
      <c r="E392" s="45" t="str">
        <f ca="1">IF(IFERROR(INDEX((COPIA!$DA$3:$DE$2300),MATCH(ROWS(E$8:E392),COPIA!$DF$3:$DF$2300,0),COLUMN()-1),"")=0,"",IFERROR(INDEX((COPIA!$DA$3:$DE$2300),MATCH(ROWS(E$8:E392),COPIA!$DF$3:$DF$2300,0),COLUMN()-1),""))</f>
        <v/>
      </c>
      <c r="F392" s="120" t="str">
        <f ca="1">IF(IFERROR(INDEX((COPIA!$DA$3:$DE$2300),MATCH(ROWS(F$8:F392),COPIA!$DF$3:$DF$2300,0),COLUMN()-1),"")=0,"",IFERROR(INDEX((COPIA!$DA$3:$DE$2300),MATCH(ROWS(F$8:F392),COPIA!$DF$3:$DF$2300,0),COLUMN()-1),""))</f>
        <v/>
      </c>
    </row>
    <row r="393" spans="2:6">
      <c r="B393" s="119" t="str">
        <f ca="1">IF(IFERROR(INDEX((COPIA!$DA$3:$DE$2300),MATCH(ROWS(B$8:B393),COPIA!$DF$3:$DF$2300,0),COLUMN()-1),"")&gt;=1,IFERROR(INDEX((COPIA!$DA$3:$DE$2300),MATCH(ROWS(B$8:B393),COPIA!$DF$3:$DF$2300,0),COLUMN()-1),""),"")</f>
        <v/>
      </c>
      <c r="C393" s="118" t="str">
        <f ca="1">SUBSTITUTE(IFERROR(INDEX((COPIA!$DA$3:$DE$2300),MATCH(ROWS(C$8:C393),COPIA!$DF$3:$DF$2300,0),COLUMN()-1),""),"MASTRO","")</f>
        <v/>
      </c>
      <c r="D393" s="29" t="str">
        <f ca="1">IF(IFERROR(INDEX((COPIA!$DA$3:$DE$2300),MATCH(ROWS(D$8:D393),COPIA!$DF$3:$DF$2300,0),COLUMN()-1),"")=0,"",IFERROR(INDEX((COPIA!$DA$3:$DE$2300),MATCH(ROWS(D$8:D393),COPIA!$DF$3:$DF$2300,0),COLUMN()-1),""))</f>
        <v/>
      </c>
      <c r="E393" s="45" t="str">
        <f ca="1">IF(IFERROR(INDEX((COPIA!$DA$3:$DE$2300),MATCH(ROWS(E$8:E393),COPIA!$DF$3:$DF$2300,0),COLUMN()-1),"")=0,"",IFERROR(INDEX((COPIA!$DA$3:$DE$2300),MATCH(ROWS(E$8:E393),COPIA!$DF$3:$DF$2300,0),COLUMN()-1),""))</f>
        <v/>
      </c>
      <c r="F393" s="120" t="str">
        <f ca="1">IF(IFERROR(INDEX((COPIA!$DA$3:$DE$2300),MATCH(ROWS(F$8:F393),COPIA!$DF$3:$DF$2300,0),COLUMN()-1),"")=0,"",IFERROR(INDEX((COPIA!$DA$3:$DE$2300),MATCH(ROWS(F$8:F393),COPIA!$DF$3:$DF$2300,0),COLUMN()-1),""))</f>
        <v/>
      </c>
    </row>
    <row r="394" spans="2:6">
      <c r="B394" s="119" t="str">
        <f ca="1">IF(IFERROR(INDEX((COPIA!$DA$3:$DE$2300),MATCH(ROWS(B$8:B394),COPIA!$DF$3:$DF$2300,0),COLUMN()-1),"")&gt;=1,IFERROR(INDEX((COPIA!$DA$3:$DE$2300),MATCH(ROWS(B$8:B394),COPIA!$DF$3:$DF$2300,0),COLUMN()-1),""),"")</f>
        <v/>
      </c>
      <c r="C394" s="118" t="str">
        <f ca="1">SUBSTITUTE(IFERROR(INDEX((COPIA!$DA$3:$DE$2300),MATCH(ROWS(C$8:C394),COPIA!$DF$3:$DF$2300,0),COLUMN()-1),""),"MASTRO","")</f>
        <v/>
      </c>
      <c r="D394" s="29" t="str">
        <f ca="1">IF(IFERROR(INDEX((COPIA!$DA$3:$DE$2300),MATCH(ROWS(D$8:D394),COPIA!$DF$3:$DF$2300,0),COLUMN()-1),"")=0,"",IFERROR(INDEX((COPIA!$DA$3:$DE$2300),MATCH(ROWS(D$8:D394),COPIA!$DF$3:$DF$2300,0),COLUMN()-1),""))</f>
        <v/>
      </c>
      <c r="E394" s="45" t="str">
        <f ca="1">IF(IFERROR(INDEX((COPIA!$DA$3:$DE$2300),MATCH(ROWS(E$8:E394),COPIA!$DF$3:$DF$2300,0),COLUMN()-1),"")=0,"",IFERROR(INDEX((COPIA!$DA$3:$DE$2300),MATCH(ROWS(E$8:E394),COPIA!$DF$3:$DF$2300,0),COLUMN()-1),""))</f>
        <v/>
      </c>
      <c r="F394" s="120" t="str">
        <f ca="1">IF(IFERROR(INDEX((COPIA!$DA$3:$DE$2300),MATCH(ROWS(F$8:F394),COPIA!$DF$3:$DF$2300,0),COLUMN()-1),"")=0,"",IFERROR(INDEX((COPIA!$DA$3:$DE$2300),MATCH(ROWS(F$8:F394),COPIA!$DF$3:$DF$2300,0),COLUMN()-1),""))</f>
        <v/>
      </c>
    </row>
    <row r="395" spans="2:6">
      <c r="B395" s="119" t="str">
        <f ca="1">IF(IFERROR(INDEX((COPIA!$DA$3:$DE$2300),MATCH(ROWS(B$8:B395),COPIA!$DF$3:$DF$2300,0),COLUMN()-1),"")&gt;=1,IFERROR(INDEX((COPIA!$DA$3:$DE$2300),MATCH(ROWS(B$8:B395),COPIA!$DF$3:$DF$2300,0),COLUMN()-1),""),"")</f>
        <v/>
      </c>
      <c r="C395" s="118" t="str">
        <f ca="1">SUBSTITUTE(IFERROR(INDEX((COPIA!$DA$3:$DE$2300),MATCH(ROWS(C$8:C395),COPIA!$DF$3:$DF$2300,0),COLUMN()-1),""),"MASTRO","")</f>
        <v/>
      </c>
      <c r="D395" s="29" t="str">
        <f ca="1">IF(IFERROR(INDEX((COPIA!$DA$3:$DE$2300),MATCH(ROWS(D$8:D395),COPIA!$DF$3:$DF$2300,0),COLUMN()-1),"")=0,"",IFERROR(INDEX((COPIA!$DA$3:$DE$2300),MATCH(ROWS(D$8:D395),COPIA!$DF$3:$DF$2300,0),COLUMN()-1),""))</f>
        <v/>
      </c>
      <c r="E395" s="45" t="str">
        <f ca="1">IF(IFERROR(INDEX((COPIA!$DA$3:$DE$2300),MATCH(ROWS(E$8:E395),COPIA!$DF$3:$DF$2300,0),COLUMN()-1),"")=0,"",IFERROR(INDEX((COPIA!$DA$3:$DE$2300),MATCH(ROWS(E$8:E395),COPIA!$DF$3:$DF$2300,0),COLUMN()-1),""))</f>
        <v/>
      </c>
      <c r="F395" s="120" t="str">
        <f ca="1">IF(IFERROR(INDEX((COPIA!$DA$3:$DE$2300),MATCH(ROWS(F$8:F395),COPIA!$DF$3:$DF$2300,0),COLUMN()-1),"")=0,"",IFERROR(INDEX((COPIA!$DA$3:$DE$2300),MATCH(ROWS(F$8:F395),COPIA!$DF$3:$DF$2300,0),COLUMN()-1),""))</f>
        <v/>
      </c>
    </row>
    <row r="396" spans="2:6">
      <c r="B396" s="119" t="str">
        <f ca="1">IF(IFERROR(INDEX((COPIA!$DA$3:$DE$2300),MATCH(ROWS(B$8:B396),COPIA!$DF$3:$DF$2300,0),COLUMN()-1),"")&gt;=1,IFERROR(INDEX((COPIA!$DA$3:$DE$2300),MATCH(ROWS(B$8:B396),COPIA!$DF$3:$DF$2300,0),COLUMN()-1),""),"")</f>
        <v/>
      </c>
      <c r="C396" s="118" t="str">
        <f ca="1">SUBSTITUTE(IFERROR(INDEX((COPIA!$DA$3:$DE$2300),MATCH(ROWS(C$8:C396),COPIA!$DF$3:$DF$2300,0),COLUMN()-1),""),"MASTRO","")</f>
        <v/>
      </c>
      <c r="D396" s="29" t="str">
        <f ca="1">IF(IFERROR(INDEX((COPIA!$DA$3:$DE$2300),MATCH(ROWS(D$8:D396),COPIA!$DF$3:$DF$2300,0),COLUMN()-1),"")=0,"",IFERROR(INDEX((COPIA!$DA$3:$DE$2300),MATCH(ROWS(D$8:D396),COPIA!$DF$3:$DF$2300,0),COLUMN()-1),""))</f>
        <v/>
      </c>
      <c r="E396" s="45" t="str">
        <f ca="1">IF(IFERROR(INDEX((COPIA!$DA$3:$DE$2300),MATCH(ROWS(E$8:E396),COPIA!$DF$3:$DF$2300,0),COLUMN()-1),"")=0,"",IFERROR(INDEX((COPIA!$DA$3:$DE$2300),MATCH(ROWS(E$8:E396),COPIA!$DF$3:$DF$2300,0),COLUMN()-1),""))</f>
        <v/>
      </c>
      <c r="F396" s="120" t="str">
        <f ca="1">IF(IFERROR(INDEX((COPIA!$DA$3:$DE$2300),MATCH(ROWS(F$8:F396),COPIA!$DF$3:$DF$2300,0),COLUMN()-1),"")=0,"",IFERROR(INDEX((COPIA!$DA$3:$DE$2300),MATCH(ROWS(F$8:F396),COPIA!$DF$3:$DF$2300,0),COLUMN()-1),""))</f>
        <v/>
      </c>
    </row>
    <row r="397" spans="2:6">
      <c r="B397" s="119" t="str">
        <f ca="1">IF(IFERROR(INDEX((COPIA!$DA$3:$DE$2300),MATCH(ROWS(B$8:B397),COPIA!$DF$3:$DF$2300,0),COLUMN()-1),"")&gt;=1,IFERROR(INDEX((COPIA!$DA$3:$DE$2300),MATCH(ROWS(B$8:B397),COPIA!$DF$3:$DF$2300,0),COLUMN()-1),""),"")</f>
        <v/>
      </c>
      <c r="C397" s="118" t="str">
        <f ca="1">SUBSTITUTE(IFERROR(INDEX((COPIA!$DA$3:$DE$2300),MATCH(ROWS(C$8:C397),COPIA!$DF$3:$DF$2300,0),COLUMN()-1),""),"MASTRO","")</f>
        <v/>
      </c>
      <c r="D397" s="29" t="str">
        <f ca="1">IF(IFERROR(INDEX((COPIA!$DA$3:$DE$2300),MATCH(ROWS(D$8:D397),COPIA!$DF$3:$DF$2300,0),COLUMN()-1),"")=0,"",IFERROR(INDEX((COPIA!$DA$3:$DE$2300),MATCH(ROWS(D$8:D397),COPIA!$DF$3:$DF$2300,0),COLUMN()-1),""))</f>
        <v/>
      </c>
      <c r="E397" s="45" t="str">
        <f ca="1">IF(IFERROR(INDEX((COPIA!$DA$3:$DE$2300),MATCH(ROWS(E$8:E397),COPIA!$DF$3:$DF$2300,0),COLUMN()-1),"")=0,"",IFERROR(INDEX((COPIA!$DA$3:$DE$2300),MATCH(ROWS(E$8:E397),COPIA!$DF$3:$DF$2300,0),COLUMN()-1),""))</f>
        <v/>
      </c>
      <c r="F397" s="120" t="str">
        <f ca="1">IF(IFERROR(INDEX((COPIA!$DA$3:$DE$2300),MATCH(ROWS(F$8:F397),COPIA!$DF$3:$DF$2300,0),COLUMN()-1),"")=0,"",IFERROR(INDEX((COPIA!$DA$3:$DE$2300),MATCH(ROWS(F$8:F397),COPIA!$DF$3:$DF$2300,0),COLUMN()-1),""))</f>
        <v/>
      </c>
    </row>
    <row r="398" spans="2:6">
      <c r="B398" s="119" t="str">
        <f ca="1">IF(IFERROR(INDEX((COPIA!$DA$3:$DE$2300),MATCH(ROWS(B$8:B398),COPIA!$DF$3:$DF$2300,0),COLUMN()-1),"")&gt;=1,IFERROR(INDEX((COPIA!$DA$3:$DE$2300),MATCH(ROWS(B$8:B398),COPIA!$DF$3:$DF$2300,0),COLUMN()-1),""),"")</f>
        <v/>
      </c>
      <c r="C398" s="118" t="str">
        <f ca="1">SUBSTITUTE(IFERROR(INDEX((COPIA!$DA$3:$DE$2300),MATCH(ROWS(C$8:C398),COPIA!$DF$3:$DF$2300,0),COLUMN()-1),""),"MASTRO","")</f>
        <v/>
      </c>
      <c r="D398" s="29" t="str">
        <f ca="1">IF(IFERROR(INDEX((COPIA!$DA$3:$DE$2300),MATCH(ROWS(D$8:D398),COPIA!$DF$3:$DF$2300,0),COLUMN()-1),"")=0,"",IFERROR(INDEX((COPIA!$DA$3:$DE$2300),MATCH(ROWS(D$8:D398),COPIA!$DF$3:$DF$2300,0),COLUMN()-1),""))</f>
        <v/>
      </c>
      <c r="E398" s="45" t="str">
        <f ca="1">IF(IFERROR(INDEX((COPIA!$DA$3:$DE$2300),MATCH(ROWS(E$8:E398),COPIA!$DF$3:$DF$2300,0),COLUMN()-1),"")=0,"",IFERROR(INDEX((COPIA!$DA$3:$DE$2300),MATCH(ROWS(E$8:E398),COPIA!$DF$3:$DF$2300,0),COLUMN()-1),""))</f>
        <v/>
      </c>
      <c r="F398" s="120" t="str">
        <f ca="1">IF(IFERROR(INDEX((COPIA!$DA$3:$DE$2300),MATCH(ROWS(F$8:F398),COPIA!$DF$3:$DF$2300,0),COLUMN()-1),"")=0,"",IFERROR(INDEX((COPIA!$DA$3:$DE$2300),MATCH(ROWS(F$8:F398),COPIA!$DF$3:$DF$2300,0),COLUMN()-1),""))</f>
        <v/>
      </c>
    </row>
    <row r="399" spans="2:6">
      <c r="B399" s="119" t="str">
        <f ca="1">IF(IFERROR(INDEX((COPIA!$DA$3:$DE$2300),MATCH(ROWS(B$8:B399),COPIA!$DF$3:$DF$2300,0),COLUMN()-1),"")&gt;=1,IFERROR(INDEX((COPIA!$DA$3:$DE$2300),MATCH(ROWS(B$8:B399),COPIA!$DF$3:$DF$2300,0),COLUMN()-1),""),"")</f>
        <v/>
      </c>
      <c r="C399" s="118" t="str">
        <f ca="1">SUBSTITUTE(IFERROR(INDEX((COPIA!$DA$3:$DE$2300),MATCH(ROWS(C$8:C399),COPIA!$DF$3:$DF$2300,0),COLUMN()-1),""),"MASTRO","")</f>
        <v/>
      </c>
      <c r="D399" s="29" t="str">
        <f ca="1">IF(IFERROR(INDEX((COPIA!$DA$3:$DE$2300),MATCH(ROWS(D$8:D399),COPIA!$DF$3:$DF$2300,0),COLUMN()-1),"")=0,"",IFERROR(INDEX((COPIA!$DA$3:$DE$2300),MATCH(ROWS(D$8:D399),COPIA!$DF$3:$DF$2300,0),COLUMN()-1),""))</f>
        <v/>
      </c>
      <c r="E399" s="45" t="str">
        <f ca="1">IF(IFERROR(INDEX((COPIA!$DA$3:$DE$2300),MATCH(ROWS(E$8:E399),COPIA!$DF$3:$DF$2300,0),COLUMN()-1),"")=0,"",IFERROR(INDEX((COPIA!$DA$3:$DE$2300),MATCH(ROWS(E$8:E399),COPIA!$DF$3:$DF$2300,0),COLUMN()-1),""))</f>
        <v/>
      </c>
      <c r="F399" s="120" t="str">
        <f ca="1">IF(IFERROR(INDEX((COPIA!$DA$3:$DE$2300),MATCH(ROWS(F$8:F399),COPIA!$DF$3:$DF$2300,0),COLUMN()-1),"")=0,"",IFERROR(INDEX((COPIA!$DA$3:$DE$2300),MATCH(ROWS(F$8:F399),COPIA!$DF$3:$DF$2300,0),COLUMN()-1),""))</f>
        <v/>
      </c>
    </row>
    <row r="400" spans="2:6">
      <c r="B400" s="119" t="str">
        <f ca="1">IF(IFERROR(INDEX((COPIA!$DA$3:$DE$2300),MATCH(ROWS(B$8:B400),COPIA!$DF$3:$DF$2300,0),COLUMN()-1),"")&gt;=1,IFERROR(INDEX((COPIA!$DA$3:$DE$2300),MATCH(ROWS(B$8:B400),COPIA!$DF$3:$DF$2300,0),COLUMN()-1),""),"")</f>
        <v/>
      </c>
      <c r="C400" s="118" t="str">
        <f ca="1">SUBSTITUTE(IFERROR(INDEX((COPIA!$DA$3:$DE$2300),MATCH(ROWS(C$8:C400),COPIA!$DF$3:$DF$2300,0),COLUMN()-1),""),"MASTRO","")</f>
        <v/>
      </c>
      <c r="D400" s="29" t="str">
        <f ca="1">IF(IFERROR(INDEX((COPIA!$DA$3:$DE$2300),MATCH(ROWS(D$8:D400),COPIA!$DF$3:$DF$2300,0),COLUMN()-1),"")=0,"",IFERROR(INDEX((COPIA!$DA$3:$DE$2300),MATCH(ROWS(D$8:D400),COPIA!$DF$3:$DF$2300,0),COLUMN()-1),""))</f>
        <v/>
      </c>
      <c r="E400" s="45" t="str">
        <f ca="1">IF(IFERROR(INDEX((COPIA!$DA$3:$DE$2300),MATCH(ROWS(E$8:E400),COPIA!$DF$3:$DF$2300,0),COLUMN()-1),"")=0,"",IFERROR(INDEX((COPIA!$DA$3:$DE$2300),MATCH(ROWS(E$8:E400),COPIA!$DF$3:$DF$2300,0),COLUMN()-1),""))</f>
        <v/>
      </c>
      <c r="F400" s="120" t="str">
        <f ca="1">IF(IFERROR(INDEX((COPIA!$DA$3:$DE$2300),MATCH(ROWS(F$8:F400),COPIA!$DF$3:$DF$2300,0),COLUMN()-1),"")=0,"",IFERROR(INDEX((COPIA!$DA$3:$DE$2300),MATCH(ROWS(F$8:F400),COPIA!$DF$3:$DF$2300,0),COLUMN()-1),""))</f>
        <v/>
      </c>
    </row>
    <row r="401" spans="2:6">
      <c r="B401" s="119" t="str">
        <f ca="1">IF(IFERROR(INDEX((COPIA!$DA$3:$DE$2300),MATCH(ROWS(B$8:B401),COPIA!$DF$3:$DF$2300,0),COLUMN()-1),"")&gt;=1,IFERROR(INDEX((COPIA!$DA$3:$DE$2300),MATCH(ROWS(B$8:B401),COPIA!$DF$3:$DF$2300,0),COLUMN()-1),""),"")</f>
        <v/>
      </c>
      <c r="C401" s="118" t="str">
        <f ca="1">SUBSTITUTE(IFERROR(INDEX((COPIA!$DA$3:$DE$2300),MATCH(ROWS(C$8:C401),COPIA!$DF$3:$DF$2300,0),COLUMN()-1),""),"MASTRO","")</f>
        <v/>
      </c>
      <c r="D401" s="29" t="str">
        <f ca="1">IF(IFERROR(INDEX((COPIA!$DA$3:$DE$2300),MATCH(ROWS(D$8:D401),COPIA!$DF$3:$DF$2300,0),COLUMN()-1),"")=0,"",IFERROR(INDEX((COPIA!$DA$3:$DE$2300),MATCH(ROWS(D$8:D401),COPIA!$DF$3:$DF$2300,0),COLUMN()-1),""))</f>
        <v/>
      </c>
      <c r="E401" s="45" t="str">
        <f ca="1">IF(IFERROR(INDEX((COPIA!$DA$3:$DE$2300),MATCH(ROWS(E$8:E401),COPIA!$DF$3:$DF$2300,0),COLUMN()-1),"")=0,"",IFERROR(INDEX((COPIA!$DA$3:$DE$2300),MATCH(ROWS(E$8:E401),COPIA!$DF$3:$DF$2300,0),COLUMN()-1),""))</f>
        <v/>
      </c>
      <c r="F401" s="120" t="str">
        <f ca="1">IF(IFERROR(INDEX((COPIA!$DA$3:$DE$2300),MATCH(ROWS(F$8:F401),COPIA!$DF$3:$DF$2300,0),COLUMN()-1),"")=0,"",IFERROR(INDEX((COPIA!$DA$3:$DE$2300),MATCH(ROWS(F$8:F401),COPIA!$DF$3:$DF$2300,0),COLUMN()-1),""))</f>
        <v/>
      </c>
    </row>
    <row r="402" spans="2:6">
      <c r="B402" s="119" t="str">
        <f ca="1">IF(IFERROR(INDEX((COPIA!$DA$3:$DE$2300),MATCH(ROWS(B$8:B402),COPIA!$DF$3:$DF$2300,0),COLUMN()-1),"")&gt;=1,IFERROR(INDEX((COPIA!$DA$3:$DE$2300),MATCH(ROWS(B$8:B402),COPIA!$DF$3:$DF$2300,0),COLUMN()-1),""),"")</f>
        <v/>
      </c>
      <c r="C402" s="118" t="str">
        <f ca="1">SUBSTITUTE(IFERROR(INDEX((COPIA!$DA$3:$DE$2300),MATCH(ROWS(C$8:C402),COPIA!$DF$3:$DF$2300,0),COLUMN()-1),""),"MASTRO","")</f>
        <v/>
      </c>
      <c r="D402" s="29" t="str">
        <f ca="1">IF(IFERROR(INDEX((COPIA!$DA$3:$DE$2300),MATCH(ROWS(D$8:D402),COPIA!$DF$3:$DF$2300,0),COLUMN()-1),"")=0,"",IFERROR(INDEX((COPIA!$DA$3:$DE$2300),MATCH(ROWS(D$8:D402),COPIA!$DF$3:$DF$2300,0),COLUMN()-1),""))</f>
        <v/>
      </c>
      <c r="E402" s="45" t="str">
        <f ca="1">IF(IFERROR(INDEX((COPIA!$DA$3:$DE$2300),MATCH(ROWS(E$8:E402),COPIA!$DF$3:$DF$2300,0),COLUMN()-1),"")=0,"",IFERROR(INDEX((COPIA!$DA$3:$DE$2300),MATCH(ROWS(E$8:E402),COPIA!$DF$3:$DF$2300,0),COLUMN()-1),""))</f>
        <v/>
      </c>
      <c r="F402" s="120" t="str">
        <f ca="1">IF(IFERROR(INDEX((COPIA!$DA$3:$DE$2300),MATCH(ROWS(F$8:F402),COPIA!$DF$3:$DF$2300,0),COLUMN()-1),"")=0,"",IFERROR(INDEX((COPIA!$DA$3:$DE$2300),MATCH(ROWS(F$8:F402),COPIA!$DF$3:$DF$2300,0),COLUMN()-1),""))</f>
        <v/>
      </c>
    </row>
    <row r="403" spans="2:6">
      <c r="B403" s="119" t="str">
        <f ca="1">IF(IFERROR(INDEX((COPIA!$DA$3:$DE$2300),MATCH(ROWS(B$8:B403),COPIA!$DF$3:$DF$2300,0),COLUMN()-1),"")&gt;=1,IFERROR(INDEX((COPIA!$DA$3:$DE$2300),MATCH(ROWS(B$8:B403),COPIA!$DF$3:$DF$2300,0),COLUMN()-1),""),"")</f>
        <v/>
      </c>
      <c r="C403" s="118" t="str">
        <f ca="1">SUBSTITUTE(IFERROR(INDEX((COPIA!$DA$3:$DE$2300),MATCH(ROWS(C$8:C403),COPIA!$DF$3:$DF$2300,0),COLUMN()-1),""),"MASTRO","")</f>
        <v/>
      </c>
      <c r="D403" s="29" t="str">
        <f ca="1">IF(IFERROR(INDEX((COPIA!$DA$3:$DE$2300),MATCH(ROWS(D$8:D403),COPIA!$DF$3:$DF$2300,0),COLUMN()-1),"")=0,"",IFERROR(INDEX((COPIA!$DA$3:$DE$2300),MATCH(ROWS(D$8:D403),COPIA!$DF$3:$DF$2300,0),COLUMN()-1),""))</f>
        <v/>
      </c>
      <c r="E403" s="45" t="str">
        <f ca="1">IF(IFERROR(INDEX((COPIA!$DA$3:$DE$2300),MATCH(ROWS(E$8:E403),COPIA!$DF$3:$DF$2300,0),COLUMN()-1),"")=0,"",IFERROR(INDEX((COPIA!$DA$3:$DE$2300),MATCH(ROWS(E$8:E403),COPIA!$DF$3:$DF$2300,0),COLUMN()-1),""))</f>
        <v/>
      </c>
      <c r="F403" s="120" t="str">
        <f ca="1">IF(IFERROR(INDEX((COPIA!$DA$3:$DE$2300),MATCH(ROWS(F$8:F403),COPIA!$DF$3:$DF$2300,0),COLUMN()-1),"")=0,"",IFERROR(INDEX((COPIA!$DA$3:$DE$2300),MATCH(ROWS(F$8:F403),COPIA!$DF$3:$DF$2300,0),COLUMN()-1),""))</f>
        <v/>
      </c>
    </row>
    <row r="404" spans="2:6">
      <c r="B404" s="119" t="str">
        <f ca="1">IF(IFERROR(INDEX((COPIA!$DA$3:$DE$2300),MATCH(ROWS(B$8:B404),COPIA!$DF$3:$DF$2300,0),COLUMN()-1),"")&gt;=1,IFERROR(INDEX((COPIA!$DA$3:$DE$2300),MATCH(ROWS(B$8:B404),COPIA!$DF$3:$DF$2300,0),COLUMN()-1),""),"")</f>
        <v/>
      </c>
      <c r="C404" s="118" t="str">
        <f ca="1">SUBSTITUTE(IFERROR(INDEX((COPIA!$DA$3:$DE$2300),MATCH(ROWS(C$8:C404),COPIA!$DF$3:$DF$2300,0),COLUMN()-1),""),"MASTRO","")</f>
        <v/>
      </c>
      <c r="D404" s="29" t="str">
        <f ca="1">IF(IFERROR(INDEX((COPIA!$DA$3:$DE$2300),MATCH(ROWS(D$8:D404),COPIA!$DF$3:$DF$2300,0),COLUMN()-1),"")=0,"",IFERROR(INDEX((COPIA!$DA$3:$DE$2300),MATCH(ROWS(D$8:D404),COPIA!$DF$3:$DF$2300,0),COLUMN()-1),""))</f>
        <v/>
      </c>
      <c r="E404" s="45" t="str">
        <f ca="1">IF(IFERROR(INDEX((COPIA!$DA$3:$DE$2300),MATCH(ROWS(E$8:E404),COPIA!$DF$3:$DF$2300,0),COLUMN()-1),"")=0,"",IFERROR(INDEX((COPIA!$DA$3:$DE$2300),MATCH(ROWS(E$8:E404),COPIA!$DF$3:$DF$2300,0),COLUMN()-1),""))</f>
        <v/>
      </c>
      <c r="F404" s="120" t="str">
        <f ca="1">IF(IFERROR(INDEX((COPIA!$DA$3:$DE$2300),MATCH(ROWS(F$8:F404),COPIA!$DF$3:$DF$2300,0),COLUMN()-1),"")=0,"",IFERROR(INDEX((COPIA!$DA$3:$DE$2300),MATCH(ROWS(F$8:F404),COPIA!$DF$3:$DF$2300,0),COLUMN()-1),""))</f>
        <v/>
      </c>
    </row>
    <row r="405" spans="2:6">
      <c r="B405" s="119" t="str">
        <f ca="1">IF(IFERROR(INDEX((COPIA!$DA$3:$DE$2300),MATCH(ROWS(B$8:B405),COPIA!$DF$3:$DF$2300,0),COLUMN()-1),"")&gt;=1,IFERROR(INDEX((COPIA!$DA$3:$DE$2300),MATCH(ROWS(B$8:B405),COPIA!$DF$3:$DF$2300,0),COLUMN()-1),""),"")</f>
        <v/>
      </c>
      <c r="C405" s="118" t="str">
        <f ca="1">SUBSTITUTE(IFERROR(INDEX((COPIA!$DA$3:$DE$2300),MATCH(ROWS(C$8:C405),COPIA!$DF$3:$DF$2300,0),COLUMN()-1),""),"MASTRO","")</f>
        <v/>
      </c>
      <c r="D405" s="29" t="str">
        <f ca="1">IF(IFERROR(INDEX((COPIA!$DA$3:$DE$2300),MATCH(ROWS(D$8:D405),COPIA!$DF$3:$DF$2300,0),COLUMN()-1),"")=0,"",IFERROR(INDEX((COPIA!$DA$3:$DE$2300),MATCH(ROWS(D$8:D405),COPIA!$DF$3:$DF$2300,0),COLUMN()-1),""))</f>
        <v/>
      </c>
      <c r="E405" s="45" t="str">
        <f ca="1">IF(IFERROR(INDEX((COPIA!$DA$3:$DE$2300),MATCH(ROWS(E$8:E405),COPIA!$DF$3:$DF$2300,0),COLUMN()-1),"")=0,"",IFERROR(INDEX((COPIA!$DA$3:$DE$2300),MATCH(ROWS(E$8:E405),COPIA!$DF$3:$DF$2300,0),COLUMN()-1),""))</f>
        <v/>
      </c>
      <c r="F405" s="120" t="str">
        <f ca="1">IF(IFERROR(INDEX((COPIA!$DA$3:$DE$2300),MATCH(ROWS(F$8:F405),COPIA!$DF$3:$DF$2300,0),COLUMN()-1),"")=0,"",IFERROR(INDEX((COPIA!$DA$3:$DE$2300),MATCH(ROWS(F$8:F405),COPIA!$DF$3:$DF$2300,0),COLUMN()-1),""))</f>
        <v/>
      </c>
    </row>
    <row r="406" spans="2:6">
      <c r="B406" s="119" t="str">
        <f ca="1">IF(IFERROR(INDEX((COPIA!$DA$3:$DE$2300),MATCH(ROWS(B$8:B406),COPIA!$DF$3:$DF$2300,0),COLUMN()-1),"")&gt;=1,IFERROR(INDEX((COPIA!$DA$3:$DE$2300),MATCH(ROWS(B$8:B406),COPIA!$DF$3:$DF$2300,0),COLUMN()-1),""),"")</f>
        <v/>
      </c>
      <c r="C406" s="118" t="str">
        <f ca="1">SUBSTITUTE(IFERROR(INDEX((COPIA!$DA$3:$DE$2300),MATCH(ROWS(C$8:C406),COPIA!$DF$3:$DF$2300,0),COLUMN()-1),""),"MASTRO","")</f>
        <v/>
      </c>
      <c r="D406" s="29" t="str">
        <f ca="1">IF(IFERROR(INDEX((COPIA!$DA$3:$DE$2300),MATCH(ROWS(D$8:D406),COPIA!$DF$3:$DF$2300,0),COLUMN()-1),"")=0,"",IFERROR(INDEX((COPIA!$DA$3:$DE$2300),MATCH(ROWS(D$8:D406),COPIA!$DF$3:$DF$2300,0),COLUMN()-1),""))</f>
        <v/>
      </c>
      <c r="E406" s="45" t="str">
        <f ca="1">IF(IFERROR(INDEX((COPIA!$DA$3:$DE$2300),MATCH(ROWS(E$8:E406),COPIA!$DF$3:$DF$2300,0),COLUMN()-1),"")=0,"",IFERROR(INDEX((COPIA!$DA$3:$DE$2300),MATCH(ROWS(E$8:E406),COPIA!$DF$3:$DF$2300,0),COLUMN()-1),""))</f>
        <v/>
      </c>
      <c r="F406" s="120" t="str">
        <f ca="1">IF(IFERROR(INDEX((COPIA!$DA$3:$DE$2300),MATCH(ROWS(F$8:F406),COPIA!$DF$3:$DF$2300,0),COLUMN()-1),"")=0,"",IFERROR(INDEX((COPIA!$DA$3:$DE$2300),MATCH(ROWS(F$8:F406),COPIA!$DF$3:$DF$2300,0),COLUMN()-1),""))</f>
        <v/>
      </c>
    </row>
    <row r="407" spans="2:6">
      <c r="B407" s="119" t="str">
        <f ca="1">IF(IFERROR(INDEX((COPIA!$DA$3:$DE$2300),MATCH(ROWS(B$8:B407),COPIA!$DF$3:$DF$2300,0),COLUMN()-1),"")&gt;=1,IFERROR(INDEX((COPIA!$DA$3:$DE$2300),MATCH(ROWS(B$8:B407),COPIA!$DF$3:$DF$2300,0),COLUMN()-1),""),"")</f>
        <v/>
      </c>
      <c r="C407" s="118" t="str">
        <f ca="1">SUBSTITUTE(IFERROR(INDEX((COPIA!$DA$3:$DE$2300),MATCH(ROWS(C$8:C407),COPIA!$DF$3:$DF$2300,0),COLUMN()-1),""),"MASTRO","")</f>
        <v/>
      </c>
      <c r="D407" s="29" t="str">
        <f ca="1">IF(IFERROR(INDEX((COPIA!$DA$3:$DE$2300),MATCH(ROWS(D$8:D407),COPIA!$DF$3:$DF$2300,0),COLUMN()-1),"")=0,"",IFERROR(INDEX((COPIA!$DA$3:$DE$2300),MATCH(ROWS(D$8:D407),COPIA!$DF$3:$DF$2300,0),COLUMN()-1),""))</f>
        <v/>
      </c>
      <c r="E407" s="45" t="str">
        <f ca="1">IF(IFERROR(INDEX((COPIA!$DA$3:$DE$2300),MATCH(ROWS(E$8:E407),COPIA!$DF$3:$DF$2300,0),COLUMN()-1),"")=0,"",IFERROR(INDEX((COPIA!$DA$3:$DE$2300),MATCH(ROWS(E$8:E407),COPIA!$DF$3:$DF$2300,0),COLUMN()-1),""))</f>
        <v/>
      </c>
      <c r="F407" s="120" t="str">
        <f ca="1">IF(IFERROR(INDEX((COPIA!$DA$3:$DE$2300),MATCH(ROWS(F$8:F407),COPIA!$DF$3:$DF$2300,0),COLUMN()-1),"")=0,"",IFERROR(INDEX((COPIA!$DA$3:$DE$2300),MATCH(ROWS(F$8:F407),COPIA!$DF$3:$DF$2300,0),COLUMN()-1),""))</f>
        <v/>
      </c>
    </row>
    <row r="408" spans="2:6">
      <c r="B408" s="119" t="str">
        <f ca="1">IF(IFERROR(INDEX((COPIA!$DA$3:$DE$2300),MATCH(ROWS(B$8:B408),COPIA!$DF$3:$DF$2300,0),COLUMN()-1),"")&gt;=1,IFERROR(INDEX((COPIA!$DA$3:$DE$2300),MATCH(ROWS(B$8:B408),COPIA!$DF$3:$DF$2300,0),COLUMN()-1),""),"")</f>
        <v/>
      </c>
      <c r="C408" s="118" t="str">
        <f ca="1">SUBSTITUTE(IFERROR(INDEX((COPIA!$DA$3:$DE$2300),MATCH(ROWS(C$8:C408),COPIA!$DF$3:$DF$2300,0),COLUMN()-1),""),"MASTRO","")</f>
        <v/>
      </c>
      <c r="D408" s="29" t="str">
        <f ca="1">IF(IFERROR(INDEX((COPIA!$DA$3:$DE$2300),MATCH(ROWS(D$8:D408),COPIA!$DF$3:$DF$2300,0),COLUMN()-1),"")=0,"",IFERROR(INDEX((COPIA!$DA$3:$DE$2300),MATCH(ROWS(D$8:D408),COPIA!$DF$3:$DF$2300,0),COLUMN()-1),""))</f>
        <v/>
      </c>
      <c r="E408" s="45" t="str">
        <f ca="1">IF(IFERROR(INDEX((COPIA!$DA$3:$DE$2300),MATCH(ROWS(E$8:E408),COPIA!$DF$3:$DF$2300,0),COLUMN()-1),"")=0,"",IFERROR(INDEX((COPIA!$DA$3:$DE$2300),MATCH(ROWS(E$8:E408),COPIA!$DF$3:$DF$2300,0),COLUMN()-1),""))</f>
        <v/>
      </c>
      <c r="F408" s="120" t="str">
        <f ca="1">IF(IFERROR(INDEX((COPIA!$DA$3:$DE$2300),MATCH(ROWS(F$8:F408),COPIA!$DF$3:$DF$2300,0),COLUMN()-1),"")=0,"",IFERROR(INDEX((COPIA!$DA$3:$DE$2300),MATCH(ROWS(F$8:F408),COPIA!$DF$3:$DF$2300,0),COLUMN()-1),""))</f>
        <v/>
      </c>
    </row>
    <row r="409" spans="2:6">
      <c r="B409" s="119" t="str">
        <f ca="1">IF(IFERROR(INDEX((COPIA!$DA$3:$DE$2300),MATCH(ROWS(B$8:B409),COPIA!$DF$3:$DF$2300,0),COLUMN()-1),"")&gt;=1,IFERROR(INDEX((COPIA!$DA$3:$DE$2300),MATCH(ROWS(B$8:B409),COPIA!$DF$3:$DF$2300,0),COLUMN()-1),""),"")</f>
        <v/>
      </c>
      <c r="C409" s="118" t="str">
        <f ca="1">SUBSTITUTE(IFERROR(INDEX((COPIA!$DA$3:$DE$2300),MATCH(ROWS(C$8:C409),COPIA!$DF$3:$DF$2300,0),COLUMN()-1),""),"MASTRO","")</f>
        <v/>
      </c>
      <c r="D409" s="29" t="str">
        <f ca="1">IF(IFERROR(INDEX((COPIA!$DA$3:$DE$2300),MATCH(ROWS(D$8:D409),COPIA!$DF$3:$DF$2300,0),COLUMN()-1),"")=0,"",IFERROR(INDEX((COPIA!$DA$3:$DE$2300),MATCH(ROWS(D$8:D409),COPIA!$DF$3:$DF$2300,0),COLUMN()-1),""))</f>
        <v/>
      </c>
      <c r="E409" s="45" t="str">
        <f ca="1">IF(IFERROR(INDEX((COPIA!$DA$3:$DE$2300),MATCH(ROWS(E$8:E409),COPIA!$DF$3:$DF$2300,0),COLUMN()-1),"")=0,"",IFERROR(INDEX((COPIA!$DA$3:$DE$2300),MATCH(ROWS(E$8:E409),COPIA!$DF$3:$DF$2300,0),COLUMN()-1),""))</f>
        <v/>
      </c>
      <c r="F409" s="120" t="str">
        <f ca="1">IF(IFERROR(INDEX((COPIA!$DA$3:$DE$2300),MATCH(ROWS(F$8:F409),COPIA!$DF$3:$DF$2300,0),COLUMN()-1),"")=0,"",IFERROR(INDEX((COPIA!$DA$3:$DE$2300),MATCH(ROWS(F$8:F409),COPIA!$DF$3:$DF$2300,0),COLUMN()-1),""))</f>
        <v/>
      </c>
    </row>
    <row r="410" spans="2:6">
      <c r="B410" s="119" t="str">
        <f ca="1">IF(IFERROR(INDEX((COPIA!$DA$3:$DE$2300),MATCH(ROWS(B$8:B410),COPIA!$DF$3:$DF$2300,0),COLUMN()-1),"")&gt;=1,IFERROR(INDEX((COPIA!$DA$3:$DE$2300),MATCH(ROWS(B$8:B410),COPIA!$DF$3:$DF$2300,0),COLUMN()-1),""),"")</f>
        <v/>
      </c>
      <c r="C410" s="118" t="str">
        <f ca="1">SUBSTITUTE(IFERROR(INDEX((COPIA!$DA$3:$DE$2300),MATCH(ROWS(C$8:C410),COPIA!$DF$3:$DF$2300,0),COLUMN()-1),""),"MASTRO","")</f>
        <v/>
      </c>
      <c r="D410" s="29" t="str">
        <f ca="1">IF(IFERROR(INDEX((COPIA!$DA$3:$DE$2300),MATCH(ROWS(D$8:D410),COPIA!$DF$3:$DF$2300,0),COLUMN()-1),"")=0,"",IFERROR(INDEX((COPIA!$DA$3:$DE$2300),MATCH(ROWS(D$8:D410),COPIA!$DF$3:$DF$2300,0),COLUMN()-1),""))</f>
        <v/>
      </c>
      <c r="E410" s="45" t="str">
        <f ca="1">IF(IFERROR(INDEX((COPIA!$DA$3:$DE$2300),MATCH(ROWS(E$8:E410),COPIA!$DF$3:$DF$2300,0),COLUMN()-1),"")=0,"",IFERROR(INDEX((COPIA!$DA$3:$DE$2300),MATCH(ROWS(E$8:E410),COPIA!$DF$3:$DF$2300,0),COLUMN()-1),""))</f>
        <v/>
      </c>
      <c r="F410" s="120" t="str">
        <f ca="1">IF(IFERROR(INDEX((COPIA!$DA$3:$DE$2300),MATCH(ROWS(F$8:F410),COPIA!$DF$3:$DF$2300,0),COLUMN()-1),"")=0,"",IFERROR(INDEX((COPIA!$DA$3:$DE$2300),MATCH(ROWS(F$8:F410),COPIA!$DF$3:$DF$2300,0),COLUMN()-1),""))</f>
        <v/>
      </c>
    </row>
    <row r="411" spans="2:6">
      <c r="B411" s="119" t="str">
        <f ca="1">IF(IFERROR(INDEX((COPIA!$DA$3:$DE$2300),MATCH(ROWS(B$8:B411),COPIA!$DF$3:$DF$2300,0),COLUMN()-1),"")&gt;=1,IFERROR(INDEX((COPIA!$DA$3:$DE$2300),MATCH(ROWS(B$8:B411),COPIA!$DF$3:$DF$2300,0),COLUMN()-1),""),"")</f>
        <v/>
      </c>
      <c r="C411" s="118" t="str">
        <f ca="1">SUBSTITUTE(IFERROR(INDEX((COPIA!$DA$3:$DE$2300),MATCH(ROWS(C$8:C411),COPIA!$DF$3:$DF$2300,0),COLUMN()-1),""),"MASTRO","")</f>
        <v/>
      </c>
      <c r="D411" s="29" t="str">
        <f ca="1">IF(IFERROR(INDEX((COPIA!$DA$3:$DE$2300),MATCH(ROWS(D$8:D411),COPIA!$DF$3:$DF$2300,0),COLUMN()-1),"")=0,"",IFERROR(INDEX((COPIA!$DA$3:$DE$2300),MATCH(ROWS(D$8:D411),COPIA!$DF$3:$DF$2300,0),COLUMN()-1),""))</f>
        <v/>
      </c>
      <c r="E411" s="45" t="str">
        <f ca="1">IF(IFERROR(INDEX((COPIA!$DA$3:$DE$2300),MATCH(ROWS(E$8:E411),COPIA!$DF$3:$DF$2300,0),COLUMN()-1),"")=0,"",IFERROR(INDEX((COPIA!$DA$3:$DE$2300),MATCH(ROWS(E$8:E411),COPIA!$DF$3:$DF$2300,0),COLUMN()-1),""))</f>
        <v/>
      </c>
      <c r="F411" s="120" t="str">
        <f ca="1">IF(IFERROR(INDEX((COPIA!$DA$3:$DE$2300),MATCH(ROWS(F$8:F411),COPIA!$DF$3:$DF$2300,0),COLUMN()-1),"")=0,"",IFERROR(INDEX((COPIA!$DA$3:$DE$2300),MATCH(ROWS(F$8:F411),COPIA!$DF$3:$DF$2300,0),COLUMN()-1),""))</f>
        <v/>
      </c>
    </row>
    <row r="412" spans="2:6">
      <c r="B412" s="119" t="str">
        <f ca="1">IF(IFERROR(INDEX((COPIA!$DA$3:$DE$2300),MATCH(ROWS(B$8:B412),COPIA!$DF$3:$DF$2300,0),COLUMN()-1),"")&gt;=1,IFERROR(INDEX((COPIA!$DA$3:$DE$2300),MATCH(ROWS(B$8:B412),COPIA!$DF$3:$DF$2300,0),COLUMN()-1),""),"")</f>
        <v/>
      </c>
      <c r="C412" s="118" t="str">
        <f ca="1">SUBSTITUTE(IFERROR(INDEX((COPIA!$DA$3:$DE$2300),MATCH(ROWS(C$8:C412),COPIA!$DF$3:$DF$2300,0),COLUMN()-1),""),"MASTRO","")</f>
        <v/>
      </c>
      <c r="D412" s="29" t="str">
        <f ca="1">IF(IFERROR(INDEX((COPIA!$DA$3:$DE$2300),MATCH(ROWS(D$8:D412),COPIA!$DF$3:$DF$2300,0),COLUMN()-1),"")=0,"",IFERROR(INDEX((COPIA!$DA$3:$DE$2300),MATCH(ROWS(D$8:D412),COPIA!$DF$3:$DF$2300,0),COLUMN()-1),""))</f>
        <v/>
      </c>
      <c r="E412" s="45" t="str">
        <f ca="1">IF(IFERROR(INDEX((COPIA!$DA$3:$DE$2300),MATCH(ROWS(E$8:E412),COPIA!$DF$3:$DF$2300,0),COLUMN()-1),"")=0,"",IFERROR(INDEX((COPIA!$DA$3:$DE$2300),MATCH(ROWS(E$8:E412),COPIA!$DF$3:$DF$2300,0),COLUMN()-1),""))</f>
        <v/>
      </c>
      <c r="F412" s="120" t="str">
        <f ca="1">IF(IFERROR(INDEX((COPIA!$DA$3:$DE$2300),MATCH(ROWS(F$8:F412),COPIA!$DF$3:$DF$2300,0),COLUMN()-1),"")=0,"",IFERROR(INDEX((COPIA!$DA$3:$DE$2300),MATCH(ROWS(F$8:F412),COPIA!$DF$3:$DF$2300,0),COLUMN()-1),""))</f>
        <v/>
      </c>
    </row>
    <row r="413" spans="2:6">
      <c r="B413" s="119" t="str">
        <f ca="1">IF(IFERROR(INDEX((COPIA!$DA$3:$DE$2300),MATCH(ROWS(B$8:B413),COPIA!$DF$3:$DF$2300,0),COLUMN()-1),"")&gt;=1,IFERROR(INDEX((COPIA!$DA$3:$DE$2300),MATCH(ROWS(B$8:B413),COPIA!$DF$3:$DF$2300,0),COLUMN()-1),""),"")</f>
        <v/>
      </c>
      <c r="C413" s="118" t="str">
        <f ca="1">SUBSTITUTE(IFERROR(INDEX((COPIA!$DA$3:$DE$2300),MATCH(ROWS(C$8:C413),COPIA!$DF$3:$DF$2300,0),COLUMN()-1),""),"MASTRO","")</f>
        <v/>
      </c>
      <c r="D413" s="29" t="str">
        <f ca="1">IF(IFERROR(INDEX((COPIA!$DA$3:$DE$2300),MATCH(ROWS(D$8:D413),COPIA!$DF$3:$DF$2300,0),COLUMN()-1),"")=0,"",IFERROR(INDEX((COPIA!$DA$3:$DE$2300),MATCH(ROWS(D$8:D413),COPIA!$DF$3:$DF$2300,0),COLUMN()-1),""))</f>
        <v/>
      </c>
      <c r="E413" s="45" t="str">
        <f ca="1">IF(IFERROR(INDEX((COPIA!$DA$3:$DE$2300),MATCH(ROWS(E$8:E413),COPIA!$DF$3:$DF$2300,0),COLUMN()-1),"")=0,"",IFERROR(INDEX((COPIA!$DA$3:$DE$2300),MATCH(ROWS(E$8:E413),COPIA!$DF$3:$DF$2300,0),COLUMN()-1),""))</f>
        <v/>
      </c>
      <c r="F413" s="120" t="str">
        <f ca="1">IF(IFERROR(INDEX((COPIA!$DA$3:$DE$2300),MATCH(ROWS(F$8:F413),COPIA!$DF$3:$DF$2300,0),COLUMN()-1),"")=0,"",IFERROR(INDEX((COPIA!$DA$3:$DE$2300),MATCH(ROWS(F$8:F413),COPIA!$DF$3:$DF$2300,0),COLUMN()-1),""))</f>
        <v/>
      </c>
    </row>
    <row r="414" spans="2:6">
      <c r="B414" s="119" t="str">
        <f ca="1">IF(IFERROR(INDEX((COPIA!$DA$3:$DE$2300),MATCH(ROWS(B$8:B414),COPIA!$DF$3:$DF$2300,0),COLUMN()-1),"")&gt;=1,IFERROR(INDEX((COPIA!$DA$3:$DE$2300),MATCH(ROWS(B$8:B414),COPIA!$DF$3:$DF$2300,0),COLUMN()-1),""),"")</f>
        <v/>
      </c>
      <c r="C414" s="118" t="str">
        <f ca="1">SUBSTITUTE(IFERROR(INDEX((COPIA!$DA$3:$DE$2300),MATCH(ROWS(C$8:C414),COPIA!$DF$3:$DF$2300,0),COLUMN()-1),""),"MASTRO","")</f>
        <v/>
      </c>
      <c r="D414" s="29" t="str">
        <f ca="1">IF(IFERROR(INDEX((COPIA!$DA$3:$DE$2300),MATCH(ROWS(D$8:D414),COPIA!$DF$3:$DF$2300,0),COLUMN()-1),"")=0,"",IFERROR(INDEX((COPIA!$DA$3:$DE$2300),MATCH(ROWS(D$8:D414),COPIA!$DF$3:$DF$2300,0),COLUMN()-1),""))</f>
        <v/>
      </c>
      <c r="E414" s="45" t="str">
        <f ca="1">IF(IFERROR(INDEX((COPIA!$DA$3:$DE$2300),MATCH(ROWS(E$8:E414),COPIA!$DF$3:$DF$2300,0),COLUMN()-1),"")=0,"",IFERROR(INDEX((COPIA!$DA$3:$DE$2300),MATCH(ROWS(E$8:E414),COPIA!$DF$3:$DF$2300,0),COLUMN()-1),""))</f>
        <v/>
      </c>
      <c r="F414" s="120" t="str">
        <f ca="1">IF(IFERROR(INDEX((COPIA!$DA$3:$DE$2300),MATCH(ROWS(F$8:F414),COPIA!$DF$3:$DF$2300,0),COLUMN()-1),"")=0,"",IFERROR(INDEX((COPIA!$DA$3:$DE$2300),MATCH(ROWS(F$8:F414),COPIA!$DF$3:$DF$2300,0),COLUMN()-1),""))</f>
        <v/>
      </c>
    </row>
    <row r="415" spans="2:6">
      <c r="B415" s="119" t="str">
        <f ca="1">IF(IFERROR(INDEX((COPIA!$DA$3:$DE$2300),MATCH(ROWS(B$8:B415),COPIA!$DF$3:$DF$2300,0),COLUMN()-1),"")&gt;=1,IFERROR(INDEX((COPIA!$DA$3:$DE$2300),MATCH(ROWS(B$8:B415),COPIA!$DF$3:$DF$2300,0),COLUMN()-1),""),"")</f>
        <v/>
      </c>
      <c r="C415" s="118" t="str">
        <f ca="1">SUBSTITUTE(IFERROR(INDEX((COPIA!$DA$3:$DE$2300),MATCH(ROWS(C$8:C415),COPIA!$DF$3:$DF$2300,0),COLUMN()-1),""),"MASTRO","")</f>
        <v/>
      </c>
      <c r="D415" s="29" t="str">
        <f ca="1">IF(IFERROR(INDEX((COPIA!$DA$3:$DE$2300),MATCH(ROWS(D$8:D415),COPIA!$DF$3:$DF$2300,0),COLUMN()-1),"")=0,"",IFERROR(INDEX((COPIA!$DA$3:$DE$2300),MATCH(ROWS(D$8:D415),COPIA!$DF$3:$DF$2300,0),COLUMN()-1),""))</f>
        <v/>
      </c>
      <c r="E415" s="45" t="str">
        <f ca="1">IF(IFERROR(INDEX((COPIA!$DA$3:$DE$2300),MATCH(ROWS(E$8:E415),COPIA!$DF$3:$DF$2300,0),COLUMN()-1),"")=0,"",IFERROR(INDEX((COPIA!$DA$3:$DE$2300),MATCH(ROWS(E$8:E415),COPIA!$DF$3:$DF$2300,0),COLUMN()-1),""))</f>
        <v/>
      </c>
      <c r="F415" s="120" t="str">
        <f ca="1">IF(IFERROR(INDEX((COPIA!$DA$3:$DE$2300),MATCH(ROWS(F$8:F415),COPIA!$DF$3:$DF$2300,0),COLUMN()-1),"")=0,"",IFERROR(INDEX((COPIA!$DA$3:$DE$2300),MATCH(ROWS(F$8:F415),COPIA!$DF$3:$DF$2300,0),COLUMN()-1),""))</f>
        <v/>
      </c>
    </row>
    <row r="416" spans="2:6">
      <c r="B416" s="119" t="str">
        <f ca="1">IF(IFERROR(INDEX((COPIA!$DA$3:$DE$2300),MATCH(ROWS(B$8:B416),COPIA!$DF$3:$DF$2300,0),COLUMN()-1),"")&gt;=1,IFERROR(INDEX((COPIA!$DA$3:$DE$2300),MATCH(ROWS(B$8:B416),COPIA!$DF$3:$DF$2300,0),COLUMN()-1),""),"")</f>
        <v/>
      </c>
      <c r="C416" s="118" t="str">
        <f ca="1">SUBSTITUTE(IFERROR(INDEX((COPIA!$DA$3:$DE$2300),MATCH(ROWS(C$8:C416),COPIA!$DF$3:$DF$2300,0),COLUMN()-1),""),"MASTRO","")</f>
        <v/>
      </c>
      <c r="D416" s="29" t="str">
        <f ca="1">IF(IFERROR(INDEX((COPIA!$DA$3:$DE$2300),MATCH(ROWS(D$8:D416),COPIA!$DF$3:$DF$2300,0),COLUMN()-1),"")=0,"",IFERROR(INDEX((COPIA!$DA$3:$DE$2300),MATCH(ROWS(D$8:D416),COPIA!$DF$3:$DF$2300,0),COLUMN()-1),""))</f>
        <v/>
      </c>
      <c r="E416" s="45" t="str">
        <f ca="1">IF(IFERROR(INDEX((COPIA!$DA$3:$DE$2300),MATCH(ROWS(E$8:E416),COPIA!$DF$3:$DF$2300,0),COLUMN()-1),"")=0,"",IFERROR(INDEX((COPIA!$DA$3:$DE$2300),MATCH(ROWS(E$8:E416),COPIA!$DF$3:$DF$2300,0),COLUMN()-1),""))</f>
        <v/>
      </c>
      <c r="F416" s="120" t="str">
        <f ca="1">IF(IFERROR(INDEX((COPIA!$DA$3:$DE$2300),MATCH(ROWS(F$8:F416),COPIA!$DF$3:$DF$2300,0),COLUMN()-1),"")=0,"",IFERROR(INDEX((COPIA!$DA$3:$DE$2300),MATCH(ROWS(F$8:F416),COPIA!$DF$3:$DF$2300,0),COLUMN()-1),""))</f>
        <v/>
      </c>
    </row>
    <row r="417" spans="2:6">
      <c r="B417" s="119" t="str">
        <f ca="1">IF(IFERROR(INDEX((COPIA!$DA$3:$DE$2300),MATCH(ROWS(B$8:B417),COPIA!$DF$3:$DF$2300,0),COLUMN()-1),"")&gt;=1,IFERROR(INDEX((COPIA!$DA$3:$DE$2300),MATCH(ROWS(B$8:B417),COPIA!$DF$3:$DF$2300,0),COLUMN()-1),""),"")</f>
        <v/>
      </c>
      <c r="C417" s="118" t="str">
        <f ca="1">SUBSTITUTE(IFERROR(INDEX((COPIA!$DA$3:$DE$2300),MATCH(ROWS(C$8:C417),COPIA!$DF$3:$DF$2300,0),COLUMN()-1),""),"MASTRO","")</f>
        <v/>
      </c>
      <c r="D417" s="29" t="str">
        <f ca="1">IF(IFERROR(INDEX((COPIA!$DA$3:$DE$2300),MATCH(ROWS(D$8:D417),COPIA!$DF$3:$DF$2300,0),COLUMN()-1),"")=0,"",IFERROR(INDEX((COPIA!$DA$3:$DE$2300),MATCH(ROWS(D$8:D417),COPIA!$DF$3:$DF$2300,0),COLUMN()-1),""))</f>
        <v/>
      </c>
      <c r="E417" s="45" t="str">
        <f ca="1">IF(IFERROR(INDEX((COPIA!$DA$3:$DE$2300),MATCH(ROWS(E$8:E417),COPIA!$DF$3:$DF$2300,0),COLUMN()-1),"")=0,"",IFERROR(INDEX((COPIA!$DA$3:$DE$2300),MATCH(ROWS(E$8:E417),COPIA!$DF$3:$DF$2300,0),COLUMN()-1),""))</f>
        <v/>
      </c>
      <c r="F417" s="120" t="str">
        <f ca="1">IF(IFERROR(INDEX((COPIA!$DA$3:$DE$2300),MATCH(ROWS(F$8:F417),COPIA!$DF$3:$DF$2300,0),COLUMN()-1),"")=0,"",IFERROR(INDEX((COPIA!$DA$3:$DE$2300),MATCH(ROWS(F$8:F417),COPIA!$DF$3:$DF$2300,0),COLUMN()-1),""))</f>
        <v/>
      </c>
    </row>
    <row r="418" spans="2:6">
      <c r="B418" s="119" t="str">
        <f ca="1">IF(IFERROR(INDEX((COPIA!$DA$3:$DE$2300),MATCH(ROWS(B$8:B418),COPIA!$DF$3:$DF$2300,0),COLUMN()-1),"")&gt;=1,IFERROR(INDEX((COPIA!$DA$3:$DE$2300),MATCH(ROWS(B$8:B418),COPIA!$DF$3:$DF$2300,0),COLUMN()-1),""),"")</f>
        <v/>
      </c>
      <c r="C418" s="118" t="str">
        <f ca="1">SUBSTITUTE(IFERROR(INDEX((COPIA!$DA$3:$DE$2300),MATCH(ROWS(C$8:C418),COPIA!$DF$3:$DF$2300,0),COLUMN()-1),""),"MASTRO","")</f>
        <v/>
      </c>
      <c r="D418" s="29" t="str">
        <f ca="1">IF(IFERROR(INDEX((COPIA!$DA$3:$DE$2300),MATCH(ROWS(D$8:D418),COPIA!$DF$3:$DF$2300,0),COLUMN()-1),"")=0,"",IFERROR(INDEX((COPIA!$DA$3:$DE$2300),MATCH(ROWS(D$8:D418),COPIA!$DF$3:$DF$2300,0),COLUMN()-1),""))</f>
        <v/>
      </c>
      <c r="E418" s="45" t="str">
        <f ca="1">IF(IFERROR(INDEX((COPIA!$DA$3:$DE$2300),MATCH(ROWS(E$8:E418),COPIA!$DF$3:$DF$2300,0),COLUMN()-1),"")=0,"",IFERROR(INDEX((COPIA!$DA$3:$DE$2300),MATCH(ROWS(E$8:E418),COPIA!$DF$3:$DF$2300,0),COLUMN()-1),""))</f>
        <v/>
      </c>
      <c r="F418" s="120" t="str">
        <f ca="1">IF(IFERROR(INDEX((COPIA!$DA$3:$DE$2300),MATCH(ROWS(F$8:F418),COPIA!$DF$3:$DF$2300,0),COLUMN()-1),"")=0,"",IFERROR(INDEX((COPIA!$DA$3:$DE$2300),MATCH(ROWS(F$8:F418),COPIA!$DF$3:$DF$2300,0),COLUMN()-1),""))</f>
        <v/>
      </c>
    </row>
    <row r="419" spans="2:6">
      <c r="B419" s="119" t="str">
        <f ca="1">IF(IFERROR(INDEX((COPIA!$DA$3:$DE$2300),MATCH(ROWS(B$8:B419),COPIA!$DF$3:$DF$2300,0),COLUMN()-1),"")&gt;=1,IFERROR(INDEX((COPIA!$DA$3:$DE$2300),MATCH(ROWS(B$8:B419),COPIA!$DF$3:$DF$2300,0),COLUMN()-1),""),"")</f>
        <v/>
      </c>
      <c r="C419" s="118" t="str">
        <f ca="1">SUBSTITUTE(IFERROR(INDEX((COPIA!$DA$3:$DE$2300),MATCH(ROWS(C$8:C419),COPIA!$DF$3:$DF$2300,0),COLUMN()-1),""),"MASTRO","")</f>
        <v/>
      </c>
      <c r="D419" s="29" t="str">
        <f ca="1">IF(IFERROR(INDEX((COPIA!$DA$3:$DE$2300),MATCH(ROWS(D$8:D419),COPIA!$DF$3:$DF$2300,0),COLUMN()-1),"")=0,"",IFERROR(INDEX((COPIA!$DA$3:$DE$2300),MATCH(ROWS(D$8:D419),COPIA!$DF$3:$DF$2300,0),COLUMN()-1),""))</f>
        <v/>
      </c>
      <c r="E419" s="45" t="str">
        <f ca="1">IF(IFERROR(INDEX((COPIA!$DA$3:$DE$2300),MATCH(ROWS(E$8:E419),COPIA!$DF$3:$DF$2300,0),COLUMN()-1),"")=0,"",IFERROR(INDEX((COPIA!$DA$3:$DE$2300),MATCH(ROWS(E$8:E419),COPIA!$DF$3:$DF$2300,0),COLUMN()-1),""))</f>
        <v/>
      </c>
      <c r="F419" s="120" t="str">
        <f ca="1">IF(IFERROR(INDEX((COPIA!$DA$3:$DE$2300),MATCH(ROWS(F$8:F419),COPIA!$DF$3:$DF$2300,0),COLUMN()-1),"")=0,"",IFERROR(INDEX((COPIA!$DA$3:$DE$2300),MATCH(ROWS(F$8:F419),COPIA!$DF$3:$DF$2300,0),COLUMN()-1),""))</f>
        <v/>
      </c>
    </row>
    <row r="420" spans="2:6">
      <c r="B420" s="119" t="str">
        <f ca="1">IF(IFERROR(INDEX((COPIA!$DA$3:$DE$2300),MATCH(ROWS(B$8:B420),COPIA!$DF$3:$DF$2300,0),COLUMN()-1),"")&gt;=1,IFERROR(INDEX((COPIA!$DA$3:$DE$2300),MATCH(ROWS(B$8:B420),COPIA!$DF$3:$DF$2300,0),COLUMN()-1),""),"")</f>
        <v/>
      </c>
      <c r="C420" s="118" t="str">
        <f ca="1">SUBSTITUTE(IFERROR(INDEX((COPIA!$DA$3:$DE$2300),MATCH(ROWS(C$8:C420),COPIA!$DF$3:$DF$2300,0),COLUMN()-1),""),"MASTRO","")</f>
        <v/>
      </c>
      <c r="D420" s="29" t="str">
        <f ca="1">IF(IFERROR(INDEX((COPIA!$DA$3:$DE$2300),MATCH(ROWS(D$8:D420),COPIA!$DF$3:$DF$2300,0),COLUMN()-1),"")=0,"",IFERROR(INDEX((COPIA!$DA$3:$DE$2300),MATCH(ROWS(D$8:D420),COPIA!$DF$3:$DF$2300,0),COLUMN()-1),""))</f>
        <v/>
      </c>
      <c r="E420" s="45" t="str">
        <f ca="1">IF(IFERROR(INDEX((COPIA!$DA$3:$DE$2300),MATCH(ROWS(E$8:E420),COPIA!$DF$3:$DF$2300,0),COLUMN()-1),"")=0,"",IFERROR(INDEX((COPIA!$DA$3:$DE$2300),MATCH(ROWS(E$8:E420),COPIA!$DF$3:$DF$2300,0),COLUMN()-1),""))</f>
        <v/>
      </c>
      <c r="F420" s="120" t="str">
        <f ca="1">IF(IFERROR(INDEX((COPIA!$DA$3:$DE$2300),MATCH(ROWS(F$8:F420),COPIA!$DF$3:$DF$2300,0),COLUMN()-1),"")=0,"",IFERROR(INDEX((COPIA!$DA$3:$DE$2300),MATCH(ROWS(F$8:F420),COPIA!$DF$3:$DF$2300,0),COLUMN()-1),""))</f>
        <v/>
      </c>
    </row>
    <row r="421" spans="2:6">
      <c r="B421" s="119" t="str">
        <f ca="1">IF(IFERROR(INDEX((COPIA!$DA$3:$DE$2300),MATCH(ROWS(B$8:B421),COPIA!$DF$3:$DF$2300,0),COLUMN()-1),"")&gt;=1,IFERROR(INDEX((COPIA!$DA$3:$DE$2300),MATCH(ROWS(B$8:B421),COPIA!$DF$3:$DF$2300,0),COLUMN()-1),""),"")</f>
        <v/>
      </c>
      <c r="C421" s="118" t="str">
        <f ca="1">SUBSTITUTE(IFERROR(INDEX((COPIA!$DA$3:$DE$2300),MATCH(ROWS(C$8:C421),COPIA!$DF$3:$DF$2300,0),COLUMN()-1),""),"MASTRO","")</f>
        <v/>
      </c>
      <c r="D421" s="29" t="str">
        <f ca="1">IF(IFERROR(INDEX((COPIA!$DA$3:$DE$2300),MATCH(ROWS(D$8:D421),COPIA!$DF$3:$DF$2300,0),COLUMN()-1),"")=0,"",IFERROR(INDEX((COPIA!$DA$3:$DE$2300),MATCH(ROWS(D$8:D421),COPIA!$DF$3:$DF$2300,0),COLUMN()-1),""))</f>
        <v/>
      </c>
      <c r="E421" s="45" t="str">
        <f ca="1">IF(IFERROR(INDEX((COPIA!$DA$3:$DE$2300),MATCH(ROWS(E$8:E421),COPIA!$DF$3:$DF$2300,0),COLUMN()-1),"")=0,"",IFERROR(INDEX((COPIA!$DA$3:$DE$2300),MATCH(ROWS(E$8:E421),COPIA!$DF$3:$DF$2300,0),COLUMN()-1),""))</f>
        <v/>
      </c>
      <c r="F421" s="120" t="str">
        <f ca="1">IF(IFERROR(INDEX((COPIA!$DA$3:$DE$2300),MATCH(ROWS(F$8:F421),COPIA!$DF$3:$DF$2300,0),COLUMN()-1),"")=0,"",IFERROR(INDEX((COPIA!$DA$3:$DE$2300),MATCH(ROWS(F$8:F421),COPIA!$DF$3:$DF$2300,0),COLUMN()-1),""))</f>
        <v/>
      </c>
    </row>
    <row r="422" spans="2:6">
      <c r="B422" s="119" t="str">
        <f ca="1">IF(IFERROR(INDEX((COPIA!$DA$3:$DE$2300),MATCH(ROWS(B$8:B422),COPIA!$DF$3:$DF$2300,0),COLUMN()-1),"")&gt;=1,IFERROR(INDEX((COPIA!$DA$3:$DE$2300),MATCH(ROWS(B$8:B422),COPIA!$DF$3:$DF$2300,0),COLUMN()-1),""),"")</f>
        <v/>
      </c>
      <c r="C422" s="118" t="str">
        <f ca="1">SUBSTITUTE(IFERROR(INDEX((COPIA!$DA$3:$DE$2300),MATCH(ROWS(C$8:C422),COPIA!$DF$3:$DF$2300,0),COLUMN()-1),""),"MASTRO","")</f>
        <v/>
      </c>
      <c r="D422" s="29" t="str">
        <f ca="1">IF(IFERROR(INDEX((COPIA!$DA$3:$DE$2300),MATCH(ROWS(D$8:D422),COPIA!$DF$3:$DF$2300,0),COLUMN()-1),"")=0,"",IFERROR(INDEX((COPIA!$DA$3:$DE$2300),MATCH(ROWS(D$8:D422),COPIA!$DF$3:$DF$2300,0),COLUMN()-1),""))</f>
        <v/>
      </c>
      <c r="E422" s="45" t="str">
        <f ca="1">IF(IFERROR(INDEX((COPIA!$DA$3:$DE$2300),MATCH(ROWS(E$8:E422),COPIA!$DF$3:$DF$2300,0),COLUMN()-1),"")=0,"",IFERROR(INDEX((COPIA!$DA$3:$DE$2300),MATCH(ROWS(E$8:E422),COPIA!$DF$3:$DF$2300,0),COLUMN()-1),""))</f>
        <v/>
      </c>
      <c r="F422" s="120" t="str">
        <f ca="1">IF(IFERROR(INDEX((COPIA!$DA$3:$DE$2300),MATCH(ROWS(F$8:F422),COPIA!$DF$3:$DF$2300,0),COLUMN()-1),"")=0,"",IFERROR(INDEX((COPIA!$DA$3:$DE$2300),MATCH(ROWS(F$8:F422),COPIA!$DF$3:$DF$2300,0),COLUMN()-1),""))</f>
        <v/>
      </c>
    </row>
    <row r="423" spans="2:6">
      <c r="B423" s="119" t="str">
        <f ca="1">IF(IFERROR(INDEX((COPIA!$DA$3:$DE$2300),MATCH(ROWS(B$8:B423),COPIA!$DF$3:$DF$2300,0),COLUMN()-1),"")&gt;=1,IFERROR(INDEX((COPIA!$DA$3:$DE$2300),MATCH(ROWS(B$8:B423),COPIA!$DF$3:$DF$2300,0),COLUMN()-1),""),"")</f>
        <v/>
      </c>
      <c r="C423" s="118" t="str">
        <f ca="1">SUBSTITUTE(IFERROR(INDEX((COPIA!$DA$3:$DE$2300),MATCH(ROWS(C$8:C423),COPIA!$DF$3:$DF$2300,0),COLUMN()-1),""),"MASTRO","")</f>
        <v/>
      </c>
      <c r="D423" s="29" t="str">
        <f ca="1">IF(IFERROR(INDEX((COPIA!$DA$3:$DE$2300),MATCH(ROWS(D$8:D423),COPIA!$DF$3:$DF$2300,0),COLUMN()-1),"")=0,"",IFERROR(INDEX((COPIA!$DA$3:$DE$2300),MATCH(ROWS(D$8:D423),COPIA!$DF$3:$DF$2300,0),COLUMN()-1),""))</f>
        <v/>
      </c>
      <c r="E423" s="45" t="str">
        <f ca="1">IF(IFERROR(INDEX((COPIA!$DA$3:$DE$2300),MATCH(ROWS(E$8:E423),COPIA!$DF$3:$DF$2300,0),COLUMN()-1),"")=0,"",IFERROR(INDEX((COPIA!$DA$3:$DE$2300),MATCH(ROWS(E$8:E423),COPIA!$DF$3:$DF$2300,0),COLUMN()-1),""))</f>
        <v/>
      </c>
      <c r="F423" s="120" t="str">
        <f ca="1">IF(IFERROR(INDEX((COPIA!$DA$3:$DE$2300),MATCH(ROWS(F$8:F423),COPIA!$DF$3:$DF$2300,0),COLUMN()-1),"")=0,"",IFERROR(INDEX((COPIA!$DA$3:$DE$2300),MATCH(ROWS(F$8:F423),COPIA!$DF$3:$DF$2300,0),COLUMN()-1),""))</f>
        <v/>
      </c>
    </row>
    <row r="424" spans="2:6">
      <c r="B424" s="119" t="str">
        <f ca="1">IF(IFERROR(INDEX((COPIA!$DA$3:$DE$2300),MATCH(ROWS(B$8:B424),COPIA!$DF$3:$DF$2300,0),COLUMN()-1),"")&gt;=1,IFERROR(INDEX((COPIA!$DA$3:$DE$2300),MATCH(ROWS(B$8:B424),COPIA!$DF$3:$DF$2300,0),COLUMN()-1),""),"")</f>
        <v/>
      </c>
      <c r="C424" s="118" t="str">
        <f ca="1">SUBSTITUTE(IFERROR(INDEX((COPIA!$DA$3:$DE$2300),MATCH(ROWS(C$8:C424),COPIA!$DF$3:$DF$2300,0),COLUMN()-1),""),"MASTRO","")</f>
        <v/>
      </c>
      <c r="D424" s="29" t="str">
        <f ca="1">IF(IFERROR(INDEX((COPIA!$DA$3:$DE$2300),MATCH(ROWS(D$8:D424),COPIA!$DF$3:$DF$2300,0),COLUMN()-1),"")=0,"",IFERROR(INDEX((COPIA!$DA$3:$DE$2300),MATCH(ROWS(D$8:D424),COPIA!$DF$3:$DF$2300,0),COLUMN()-1),""))</f>
        <v/>
      </c>
      <c r="E424" s="45" t="str">
        <f ca="1">IF(IFERROR(INDEX((COPIA!$DA$3:$DE$2300),MATCH(ROWS(E$8:E424),COPIA!$DF$3:$DF$2300,0),COLUMN()-1),"")=0,"",IFERROR(INDEX((COPIA!$DA$3:$DE$2300),MATCH(ROWS(E$8:E424),COPIA!$DF$3:$DF$2300,0),COLUMN()-1),""))</f>
        <v/>
      </c>
      <c r="F424" s="120" t="str">
        <f ca="1">IF(IFERROR(INDEX((COPIA!$DA$3:$DE$2300),MATCH(ROWS(F$8:F424),COPIA!$DF$3:$DF$2300,0),COLUMN()-1),"")=0,"",IFERROR(INDEX((COPIA!$DA$3:$DE$2300),MATCH(ROWS(F$8:F424),COPIA!$DF$3:$DF$2300,0),COLUMN()-1),""))</f>
        <v/>
      </c>
    </row>
    <row r="425" spans="2:6">
      <c r="B425" s="119" t="str">
        <f ca="1">IF(IFERROR(INDEX((COPIA!$DA$3:$DE$2300),MATCH(ROWS(B$8:B425),COPIA!$DF$3:$DF$2300,0),COLUMN()-1),"")&gt;=1,IFERROR(INDEX((COPIA!$DA$3:$DE$2300),MATCH(ROWS(B$8:B425),COPIA!$DF$3:$DF$2300,0),COLUMN()-1),""),"")</f>
        <v/>
      </c>
      <c r="C425" s="118" t="str">
        <f ca="1">SUBSTITUTE(IFERROR(INDEX((COPIA!$DA$3:$DE$2300),MATCH(ROWS(C$8:C425),COPIA!$DF$3:$DF$2300,0),COLUMN()-1),""),"MASTRO","")</f>
        <v/>
      </c>
      <c r="D425" s="29" t="str">
        <f ca="1">IF(IFERROR(INDEX((COPIA!$DA$3:$DE$2300),MATCH(ROWS(D$8:D425),COPIA!$DF$3:$DF$2300,0),COLUMN()-1),"")=0,"",IFERROR(INDEX((COPIA!$DA$3:$DE$2300),MATCH(ROWS(D$8:D425),COPIA!$DF$3:$DF$2300,0),COLUMN()-1),""))</f>
        <v/>
      </c>
      <c r="E425" s="45" t="str">
        <f ca="1">IF(IFERROR(INDEX((COPIA!$DA$3:$DE$2300),MATCH(ROWS(E$8:E425),COPIA!$DF$3:$DF$2300,0),COLUMN()-1),"")=0,"",IFERROR(INDEX((COPIA!$DA$3:$DE$2300),MATCH(ROWS(E$8:E425),COPIA!$DF$3:$DF$2300,0),COLUMN()-1),""))</f>
        <v/>
      </c>
      <c r="F425" s="120" t="str">
        <f ca="1">IF(IFERROR(INDEX((COPIA!$DA$3:$DE$2300),MATCH(ROWS(F$8:F425),COPIA!$DF$3:$DF$2300,0),COLUMN()-1),"")=0,"",IFERROR(INDEX((COPIA!$DA$3:$DE$2300),MATCH(ROWS(F$8:F425),COPIA!$DF$3:$DF$2300,0),COLUMN()-1),""))</f>
        <v/>
      </c>
    </row>
    <row r="426" spans="2:6">
      <c r="B426" s="119" t="str">
        <f ca="1">IF(IFERROR(INDEX((COPIA!$DA$3:$DE$2300),MATCH(ROWS(B$8:B426),COPIA!$DF$3:$DF$2300,0),COLUMN()-1),"")&gt;=1,IFERROR(INDEX((COPIA!$DA$3:$DE$2300),MATCH(ROWS(B$8:B426),COPIA!$DF$3:$DF$2300,0),COLUMN()-1),""),"")</f>
        <v/>
      </c>
      <c r="C426" s="118" t="str">
        <f ca="1">SUBSTITUTE(IFERROR(INDEX((COPIA!$DA$3:$DE$2300),MATCH(ROWS(C$8:C426),COPIA!$DF$3:$DF$2300,0),COLUMN()-1),""),"MASTRO","")</f>
        <v/>
      </c>
      <c r="D426" s="29" t="str">
        <f ca="1">IF(IFERROR(INDEX((COPIA!$DA$3:$DE$2300),MATCH(ROWS(D$8:D426),COPIA!$DF$3:$DF$2300,0),COLUMN()-1),"")=0,"",IFERROR(INDEX((COPIA!$DA$3:$DE$2300),MATCH(ROWS(D$8:D426),COPIA!$DF$3:$DF$2300,0),COLUMN()-1),""))</f>
        <v/>
      </c>
      <c r="E426" s="45" t="str">
        <f ca="1">IF(IFERROR(INDEX((COPIA!$DA$3:$DE$2300),MATCH(ROWS(E$8:E426),COPIA!$DF$3:$DF$2300,0),COLUMN()-1),"")=0,"",IFERROR(INDEX((COPIA!$DA$3:$DE$2300),MATCH(ROWS(E$8:E426),COPIA!$DF$3:$DF$2300,0),COLUMN()-1),""))</f>
        <v/>
      </c>
      <c r="F426" s="120" t="str">
        <f ca="1">IF(IFERROR(INDEX((COPIA!$DA$3:$DE$2300),MATCH(ROWS(F$8:F426),COPIA!$DF$3:$DF$2300,0),COLUMN()-1),"")=0,"",IFERROR(INDEX((COPIA!$DA$3:$DE$2300),MATCH(ROWS(F$8:F426),COPIA!$DF$3:$DF$2300,0),COLUMN()-1),""))</f>
        <v/>
      </c>
    </row>
    <row r="427" spans="2:6">
      <c r="B427" s="119" t="str">
        <f ca="1">IF(IFERROR(INDEX((COPIA!$DA$3:$DE$2300),MATCH(ROWS(B$8:B427),COPIA!$DF$3:$DF$2300,0),COLUMN()-1),"")&gt;=1,IFERROR(INDEX((COPIA!$DA$3:$DE$2300),MATCH(ROWS(B$8:B427),COPIA!$DF$3:$DF$2300,0),COLUMN()-1),""),"")</f>
        <v/>
      </c>
      <c r="C427" s="118" t="str">
        <f ca="1">SUBSTITUTE(IFERROR(INDEX((COPIA!$DA$3:$DE$2300),MATCH(ROWS(C$8:C427),COPIA!$DF$3:$DF$2300,0),COLUMN()-1),""),"MASTRO","")</f>
        <v/>
      </c>
      <c r="D427" s="29" t="str">
        <f ca="1">IF(IFERROR(INDEX((COPIA!$DA$3:$DE$2300),MATCH(ROWS(D$8:D427),COPIA!$DF$3:$DF$2300,0),COLUMN()-1),"")=0,"",IFERROR(INDEX((COPIA!$DA$3:$DE$2300),MATCH(ROWS(D$8:D427),COPIA!$DF$3:$DF$2300,0),COLUMN()-1),""))</f>
        <v/>
      </c>
      <c r="E427" s="45" t="str">
        <f ca="1">IF(IFERROR(INDEX((COPIA!$DA$3:$DE$2300),MATCH(ROWS(E$8:E427),COPIA!$DF$3:$DF$2300,0),COLUMN()-1),"")=0,"",IFERROR(INDEX((COPIA!$DA$3:$DE$2300),MATCH(ROWS(E$8:E427),COPIA!$DF$3:$DF$2300,0),COLUMN()-1),""))</f>
        <v/>
      </c>
      <c r="F427" s="120" t="str">
        <f ca="1">IF(IFERROR(INDEX((COPIA!$DA$3:$DE$2300),MATCH(ROWS(F$8:F427),COPIA!$DF$3:$DF$2300,0),COLUMN()-1),"")=0,"",IFERROR(INDEX((COPIA!$DA$3:$DE$2300),MATCH(ROWS(F$8:F427),COPIA!$DF$3:$DF$2300,0),COLUMN()-1),""))</f>
        <v/>
      </c>
    </row>
    <row r="428" spans="2:6">
      <c r="B428" s="119" t="str">
        <f ca="1">IF(IFERROR(INDEX((COPIA!$DA$3:$DE$2300),MATCH(ROWS(B$8:B428),COPIA!$DF$3:$DF$2300,0),COLUMN()-1),"")&gt;=1,IFERROR(INDEX((COPIA!$DA$3:$DE$2300),MATCH(ROWS(B$8:B428),COPIA!$DF$3:$DF$2300,0),COLUMN()-1),""),"")</f>
        <v/>
      </c>
      <c r="C428" s="118" t="str">
        <f ca="1">SUBSTITUTE(IFERROR(INDEX((COPIA!$DA$3:$DE$2300),MATCH(ROWS(C$8:C428),COPIA!$DF$3:$DF$2300,0),COLUMN()-1),""),"MASTRO","")</f>
        <v/>
      </c>
      <c r="D428" s="29" t="str">
        <f ca="1">IF(IFERROR(INDEX((COPIA!$DA$3:$DE$2300),MATCH(ROWS(D$8:D428),COPIA!$DF$3:$DF$2300,0),COLUMN()-1),"")=0,"",IFERROR(INDEX((COPIA!$DA$3:$DE$2300),MATCH(ROWS(D$8:D428),COPIA!$DF$3:$DF$2300,0),COLUMN()-1),""))</f>
        <v/>
      </c>
      <c r="E428" s="45" t="str">
        <f ca="1">IF(IFERROR(INDEX((COPIA!$DA$3:$DE$2300),MATCH(ROWS(E$8:E428),COPIA!$DF$3:$DF$2300,0),COLUMN()-1),"")=0,"",IFERROR(INDEX((COPIA!$DA$3:$DE$2300),MATCH(ROWS(E$8:E428),COPIA!$DF$3:$DF$2300,0),COLUMN()-1),""))</f>
        <v/>
      </c>
      <c r="F428" s="120" t="str">
        <f ca="1">IF(IFERROR(INDEX((COPIA!$DA$3:$DE$2300),MATCH(ROWS(F$8:F428),COPIA!$DF$3:$DF$2300,0),COLUMN()-1),"")=0,"",IFERROR(INDEX((COPIA!$DA$3:$DE$2300),MATCH(ROWS(F$8:F428),COPIA!$DF$3:$DF$2300,0),COLUMN()-1),""))</f>
        <v/>
      </c>
    </row>
    <row r="429" spans="2:6">
      <c r="B429" s="119" t="str">
        <f ca="1">IF(IFERROR(INDEX((COPIA!$DA$3:$DE$2300),MATCH(ROWS(B$8:B429),COPIA!$DF$3:$DF$2300,0),COLUMN()-1),"")&gt;=1,IFERROR(INDEX((COPIA!$DA$3:$DE$2300),MATCH(ROWS(B$8:B429),COPIA!$DF$3:$DF$2300,0),COLUMN()-1),""),"")</f>
        <v/>
      </c>
      <c r="C429" s="118" t="str">
        <f ca="1">SUBSTITUTE(IFERROR(INDEX((COPIA!$DA$3:$DE$2300),MATCH(ROWS(C$8:C429),COPIA!$DF$3:$DF$2300,0),COLUMN()-1),""),"MASTRO","")</f>
        <v/>
      </c>
      <c r="D429" s="29" t="str">
        <f ca="1">IF(IFERROR(INDEX((COPIA!$DA$3:$DE$2300),MATCH(ROWS(D$8:D429),COPIA!$DF$3:$DF$2300,0),COLUMN()-1),"")=0,"",IFERROR(INDEX((COPIA!$DA$3:$DE$2300),MATCH(ROWS(D$8:D429),COPIA!$DF$3:$DF$2300,0),COLUMN()-1),""))</f>
        <v/>
      </c>
      <c r="E429" s="45" t="str">
        <f ca="1">IF(IFERROR(INDEX((COPIA!$DA$3:$DE$2300),MATCH(ROWS(E$8:E429),COPIA!$DF$3:$DF$2300,0),COLUMN()-1),"")=0,"",IFERROR(INDEX((COPIA!$DA$3:$DE$2300),MATCH(ROWS(E$8:E429),COPIA!$DF$3:$DF$2300,0),COLUMN()-1),""))</f>
        <v/>
      </c>
      <c r="F429" s="120" t="str">
        <f ca="1">IF(IFERROR(INDEX((COPIA!$DA$3:$DE$2300),MATCH(ROWS(F$8:F429),COPIA!$DF$3:$DF$2300,0),COLUMN()-1),"")=0,"",IFERROR(INDEX((COPIA!$DA$3:$DE$2300),MATCH(ROWS(F$8:F429),COPIA!$DF$3:$DF$2300,0),COLUMN()-1),""))</f>
        <v/>
      </c>
    </row>
    <row r="430" spans="2:6">
      <c r="B430" s="119" t="str">
        <f ca="1">IF(IFERROR(INDEX((COPIA!$DA$3:$DE$2300),MATCH(ROWS(B$8:B430),COPIA!$DF$3:$DF$2300,0),COLUMN()-1),"")&gt;=1,IFERROR(INDEX((COPIA!$DA$3:$DE$2300),MATCH(ROWS(B$8:B430),COPIA!$DF$3:$DF$2300,0),COLUMN()-1),""),"")</f>
        <v/>
      </c>
      <c r="C430" s="118" t="str">
        <f ca="1">SUBSTITUTE(IFERROR(INDEX((COPIA!$DA$3:$DE$2300),MATCH(ROWS(C$8:C430),COPIA!$DF$3:$DF$2300,0),COLUMN()-1),""),"MASTRO","")</f>
        <v/>
      </c>
      <c r="D430" s="29" t="str">
        <f ca="1">IF(IFERROR(INDEX((COPIA!$DA$3:$DE$2300),MATCH(ROWS(D$8:D430),COPIA!$DF$3:$DF$2300,0),COLUMN()-1),"")=0,"",IFERROR(INDEX((COPIA!$DA$3:$DE$2300),MATCH(ROWS(D$8:D430),COPIA!$DF$3:$DF$2300,0),COLUMN()-1),""))</f>
        <v/>
      </c>
      <c r="E430" s="45" t="str">
        <f ca="1">IF(IFERROR(INDEX((COPIA!$DA$3:$DE$2300),MATCH(ROWS(E$8:E430),COPIA!$DF$3:$DF$2300,0),COLUMN()-1),"")=0,"",IFERROR(INDEX((COPIA!$DA$3:$DE$2300),MATCH(ROWS(E$8:E430),COPIA!$DF$3:$DF$2300,0),COLUMN()-1),""))</f>
        <v/>
      </c>
      <c r="F430" s="120" t="str">
        <f ca="1">IF(IFERROR(INDEX((COPIA!$DA$3:$DE$2300),MATCH(ROWS(F$8:F430),COPIA!$DF$3:$DF$2300,0),COLUMN()-1),"")=0,"",IFERROR(INDEX((COPIA!$DA$3:$DE$2300),MATCH(ROWS(F$8:F430),COPIA!$DF$3:$DF$2300,0),COLUMN()-1),""))</f>
        <v/>
      </c>
    </row>
    <row r="431" spans="2:6">
      <c r="B431" s="119" t="str">
        <f ca="1">IF(IFERROR(INDEX((COPIA!$DA$3:$DE$2300),MATCH(ROWS(B$8:B431),COPIA!$DF$3:$DF$2300,0),COLUMN()-1),"")&gt;=1,IFERROR(INDEX((COPIA!$DA$3:$DE$2300),MATCH(ROWS(B$8:B431),COPIA!$DF$3:$DF$2300,0),COLUMN()-1),""),"")</f>
        <v/>
      </c>
      <c r="C431" s="118" t="str">
        <f ca="1">SUBSTITUTE(IFERROR(INDEX((COPIA!$DA$3:$DE$2300),MATCH(ROWS(C$8:C431),COPIA!$DF$3:$DF$2300,0),COLUMN()-1),""),"MASTRO","")</f>
        <v/>
      </c>
      <c r="D431" s="29" t="str">
        <f ca="1">IF(IFERROR(INDEX((COPIA!$DA$3:$DE$2300),MATCH(ROWS(D$8:D431),COPIA!$DF$3:$DF$2300,0),COLUMN()-1),"")=0,"",IFERROR(INDEX((COPIA!$DA$3:$DE$2300),MATCH(ROWS(D$8:D431),COPIA!$DF$3:$DF$2300,0),COLUMN()-1),""))</f>
        <v/>
      </c>
      <c r="E431" s="45" t="str">
        <f ca="1">IF(IFERROR(INDEX((COPIA!$DA$3:$DE$2300),MATCH(ROWS(E$8:E431),COPIA!$DF$3:$DF$2300,0),COLUMN()-1),"")=0,"",IFERROR(INDEX((COPIA!$DA$3:$DE$2300),MATCH(ROWS(E$8:E431),COPIA!$DF$3:$DF$2300,0),COLUMN()-1),""))</f>
        <v/>
      </c>
      <c r="F431" s="120" t="str">
        <f ca="1">IF(IFERROR(INDEX((COPIA!$DA$3:$DE$2300),MATCH(ROWS(F$8:F431),COPIA!$DF$3:$DF$2300,0),COLUMN()-1),"")=0,"",IFERROR(INDEX((COPIA!$DA$3:$DE$2300),MATCH(ROWS(F$8:F431),COPIA!$DF$3:$DF$2300,0),COLUMN()-1),""))</f>
        <v/>
      </c>
    </row>
    <row r="432" spans="2:6">
      <c r="B432" s="119" t="str">
        <f ca="1">IF(IFERROR(INDEX((COPIA!$DA$3:$DE$2300),MATCH(ROWS(B$8:B432),COPIA!$DF$3:$DF$2300,0),COLUMN()-1),"")&gt;=1,IFERROR(INDEX((COPIA!$DA$3:$DE$2300),MATCH(ROWS(B$8:B432),COPIA!$DF$3:$DF$2300,0),COLUMN()-1),""),"")</f>
        <v/>
      </c>
      <c r="C432" s="118" t="str">
        <f ca="1">SUBSTITUTE(IFERROR(INDEX((COPIA!$DA$3:$DE$2300),MATCH(ROWS(C$8:C432),COPIA!$DF$3:$DF$2300,0),COLUMN()-1),""),"MASTRO","")</f>
        <v/>
      </c>
      <c r="D432" s="29" t="str">
        <f ca="1">IF(IFERROR(INDEX((COPIA!$DA$3:$DE$2300),MATCH(ROWS(D$8:D432),COPIA!$DF$3:$DF$2300,0),COLUMN()-1),"")=0,"",IFERROR(INDEX((COPIA!$DA$3:$DE$2300),MATCH(ROWS(D$8:D432),COPIA!$DF$3:$DF$2300,0),COLUMN()-1),""))</f>
        <v/>
      </c>
      <c r="E432" s="45" t="str">
        <f ca="1">IF(IFERROR(INDEX((COPIA!$DA$3:$DE$2300),MATCH(ROWS(E$8:E432),COPIA!$DF$3:$DF$2300,0),COLUMN()-1),"")=0,"",IFERROR(INDEX((COPIA!$DA$3:$DE$2300),MATCH(ROWS(E$8:E432),COPIA!$DF$3:$DF$2300,0),COLUMN()-1),""))</f>
        <v/>
      </c>
      <c r="F432" s="120" t="str">
        <f ca="1">IF(IFERROR(INDEX((COPIA!$DA$3:$DE$2300),MATCH(ROWS(F$8:F432),COPIA!$DF$3:$DF$2300,0),COLUMN()-1),"")=0,"",IFERROR(INDEX((COPIA!$DA$3:$DE$2300),MATCH(ROWS(F$8:F432),COPIA!$DF$3:$DF$2300,0),COLUMN()-1),""))</f>
        <v/>
      </c>
    </row>
    <row r="433" spans="2:6">
      <c r="B433" s="119" t="str">
        <f ca="1">IF(IFERROR(INDEX((COPIA!$DA$3:$DE$2300),MATCH(ROWS(B$8:B433),COPIA!$DF$3:$DF$2300,0),COLUMN()-1),"")&gt;=1,IFERROR(INDEX((COPIA!$DA$3:$DE$2300),MATCH(ROWS(B$8:B433),COPIA!$DF$3:$DF$2300,0),COLUMN()-1),""),"")</f>
        <v/>
      </c>
      <c r="C433" s="118" t="str">
        <f ca="1">SUBSTITUTE(IFERROR(INDEX((COPIA!$DA$3:$DE$2300),MATCH(ROWS(C$8:C433),COPIA!$DF$3:$DF$2300,0),COLUMN()-1),""),"MASTRO","")</f>
        <v/>
      </c>
      <c r="D433" s="29" t="str">
        <f ca="1">IF(IFERROR(INDEX((COPIA!$DA$3:$DE$2300),MATCH(ROWS(D$8:D433),COPIA!$DF$3:$DF$2300,0),COLUMN()-1),"")=0,"",IFERROR(INDEX((COPIA!$DA$3:$DE$2300),MATCH(ROWS(D$8:D433),COPIA!$DF$3:$DF$2300,0),COLUMN()-1),""))</f>
        <v/>
      </c>
      <c r="E433" s="45" t="str">
        <f ca="1">IF(IFERROR(INDEX((COPIA!$DA$3:$DE$2300),MATCH(ROWS(E$8:E433),COPIA!$DF$3:$DF$2300,0),COLUMN()-1),"")=0,"",IFERROR(INDEX((COPIA!$DA$3:$DE$2300),MATCH(ROWS(E$8:E433),COPIA!$DF$3:$DF$2300,0),COLUMN()-1),""))</f>
        <v/>
      </c>
      <c r="F433" s="120" t="str">
        <f ca="1">IF(IFERROR(INDEX((COPIA!$DA$3:$DE$2300),MATCH(ROWS(F$8:F433),COPIA!$DF$3:$DF$2300,0),COLUMN()-1),"")=0,"",IFERROR(INDEX((COPIA!$DA$3:$DE$2300),MATCH(ROWS(F$8:F433),COPIA!$DF$3:$DF$2300,0),COLUMN()-1),""))</f>
        <v/>
      </c>
    </row>
    <row r="434" spans="2:6">
      <c r="B434" s="119" t="str">
        <f ca="1">IF(IFERROR(INDEX((COPIA!$DA$3:$DE$2300),MATCH(ROWS(B$8:B434),COPIA!$DF$3:$DF$2300,0),COLUMN()-1),"")&gt;=1,IFERROR(INDEX((COPIA!$DA$3:$DE$2300),MATCH(ROWS(B$8:B434),COPIA!$DF$3:$DF$2300,0),COLUMN()-1),""),"")</f>
        <v/>
      </c>
      <c r="C434" s="118" t="str">
        <f ca="1">SUBSTITUTE(IFERROR(INDEX((COPIA!$DA$3:$DE$2300),MATCH(ROWS(C$8:C434),COPIA!$DF$3:$DF$2300,0),COLUMN()-1),""),"MASTRO","")</f>
        <v/>
      </c>
      <c r="D434" s="29" t="str">
        <f ca="1">IF(IFERROR(INDEX((COPIA!$DA$3:$DE$2300),MATCH(ROWS(D$8:D434),COPIA!$DF$3:$DF$2300,0),COLUMN()-1),"")=0,"",IFERROR(INDEX((COPIA!$DA$3:$DE$2300),MATCH(ROWS(D$8:D434),COPIA!$DF$3:$DF$2300,0),COLUMN()-1),""))</f>
        <v/>
      </c>
      <c r="E434" s="45" t="str">
        <f ca="1">IF(IFERROR(INDEX((COPIA!$DA$3:$DE$2300),MATCH(ROWS(E$8:E434),COPIA!$DF$3:$DF$2300,0),COLUMN()-1),"")=0,"",IFERROR(INDEX((COPIA!$DA$3:$DE$2300),MATCH(ROWS(E$8:E434),COPIA!$DF$3:$DF$2300,0),COLUMN()-1),""))</f>
        <v/>
      </c>
      <c r="F434" s="120" t="str">
        <f ca="1">IF(IFERROR(INDEX((COPIA!$DA$3:$DE$2300),MATCH(ROWS(F$8:F434),COPIA!$DF$3:$DF$2300,0),COLUMN()-1),"")=0,"",IFERROR(INDEX((COPIA!$DA$3:$DE$2300),MATCH(ROWS(F$8:F434),COPIA!$DF$3:$DF$2300,0),COLUMN()-1),""))</f>
        <v/>
      </c>
    </row>
    <row r="435" spans="2:6">
      <c r="B435" s="119" t="str">
        <f ca="1">IF(IFERROR(INDEX((COPIA!$DA$3:$DE$2300),MATCH(ROWS(B$8:B435),COPIA!$DF$3:$DF$2300,0),COLUMN()-1),"")&gt;=1,IFERROR(INDEX((COPIA!$DA$3:$DE$2300),MATCH(ROWS(B$8:B435),COPIA!$DF$3:$DF$2300,0),COLUMN()-1),""),"")</f>
        <v/>
      </c>
      <c r="C435" s="118" t="str">
        <f ca="1">SUBSTITUTE(IFERROR(INDEX((COPIA!$DA$3:$DE$2300),MATCH(ROWS(C$8:C435),COPIA!$DF$3:$DF$2300,0),COLUMN()-1),""),"MASTRO","")</f>
        <v/>
      </c>
      <c r="D435" s="29" t="str">
        <f ca="1">IF(IFERROR(INDEX((COPIA!$DA$3:$DE$2300),MATCH(ROWS(D$8:D435),COPIA!$DF$3:$DF$2300,0),COLUMN()-1),"")=0,"",IFERROR(INDEX((COPIA!$DA$3:$DE$2300),MATCH(ROWS(D$8:D435),COPIA!$DF$3:$DF$2300,0),COLUMN()-1),""))</f>
        <v/>
      </c>
      <c r="E435" s="45" t="str">
        <f ca="1">IF(IFERROR(INDEX((COPIA!$DA$3:$DE$2300),MATCH(ROWS(E$8:E435),COPIA!$DF$3:$DF$2300,0),COLUMN()-1),"")=0,"",IFERROR(INDEX((COPIA!$DA$3:$DE$2300),MATCH(ROWS(E$8:E435),COPIA!$DF$3:$DF$2300,0),COLUMN()-1),""))</f>
        <v/>
      </c>
      <c r="F435" s="120" t="str">
        <f ca="1">IF(IFERROR(INDEX((COPIA!$DA$3:$DE$2300),MATCH(ROWS(F$8:F435),COPIA!$DF$3:$DF$2300,0),COLUMN()-1),"")=0,"",IFERROR(INDEX((COPIA!$DA$3:$DE$2300),MATCH(ROWS(F$8:F435),COPIA!$DF$3:$DF$2300,0),COLUMN()-1),""))</f>
        <v/>
      </c>
    </row>
    <row r="436" spans="2:6">
      <c r="B436" s="119" t="str">
        <f ca="1">IF(IFERROR(INDEX((COPIA!$DA$3:$DE$2300),MATCH(ROWS(B$8:B436),COPIA!$DF$3:$DF$2300,0),COLUMN()-1),"")&gt;=1,IFERROR(INDEX((COPIA!$DA$3:$DE$2300),MATCH(ROWS(B$8:B436),COPIA!$DF$3:$DF$2300,0),COLUMN()-1),""),"")</f>
        <v/>
      </c>
      <c r="C436" s="118" t="str">
        <f ca="1">SUBSTITUTE(IFERROR(INDEX((COPIA!$DA$3:$DE$2300),MATCH(ROWS(C$8:C436),COPIA!$DF$3:$DF$2300,0),COLUMN()-1),""),"MASTRO","")</f>
        <v/>
      </c>
      <c r="D436" s="29" t="str">
        <f ca="1">IF(IFERROR(INDEX((COPIA!$DA$3:$DE$2300),MATCH(ROWS(D$8:D436),COPIA!$DF$3:$DF$2300,0),COLUMN()-1),"")=0,"",IFERROR(INDEX((COPIA!$DA$3:$DE$2300),MATCH(ROWS(D$8:D436),COPIA!$DF$3:$DF$2300,0),COLUMN()-1),""))</f>
        <v/>
      </c>
      <c r="E436" s="45" t="str">
        <f ca="1">IF(IFERROR(INDEX((COPIA!$DA$3:$DE$2300),MATCH(ROWS(E$8:E436),COPIA!$DF$3:$DF$2300,0),COLUMN()-1),"")=0,"",IFERROR(INDEX((COPIA!$DA$3:$DE$2300),MATCH(ROWS(E$8:E436),COPIA!$DF$3:$DF$2300,0),COLUMN()-1),""))</f>
        <v/>
      </c>
      <c r="F436" s="120" t="str">
        <f ca="1">IF(IFERROR(INDEX((COPIA!$DA$3:$DE$2300),MATCH(ROWS(F$8:F436),COPIA!$DF$3:$DF$2300,0),COLUMN()-1),"")=0,"",IFERROR(INDEX((COPIA!$DA$3:$DE$2300),MATCH(ROWS(F$8:F436),COPIA!$DF$3:$DF$2300,0),COLUMN()-1),""))</f>
        <v/>
      </c>
    </row>
    <row r="437" spans="2:6">
      <c r="B437" s="119" t="str">
        <f ca="1">IF(IFERROR(INDEX((COPIA!$DA$3:$DE$2300),MATCH(ROWS(B$8:B437),COPIA!$DF$3:$DF$2300,0),COLUMN()-1),"")&gt;=1,IFERROR(INDEX((COPIA!$DA$3:$DE$2300),MATCH(ROWS(B$8:B437),COPIA!$DF$3:$DF$2300,0),COLUMN()-1),""),"")</f>
        <v/>
      </c>
      <c r="C437" s="118" t="str">
        <f ca="1">SUBSTITUTE(IFERROR(INDEX((COPIA!$DA$3:$DE$2300),MATCH(ROWS(C$8:C437),COPIA!$DF$3:$DF$2300,0),COLUMN()-1),""),"MASTRO","")</f>
        <v/>
      </c>
      <c r="D437" s="29" t="str">
        <f ca="1">IF(IFERROR(INDEX((COPIA!$DA$3:$DE$2300),MATCH(ROWS(D$8:D437),COPIA!$DF$3:$DF$2300,0),COLUMN()-1),"")=0,"",IFERROR(INDEX((COPIA!$DA$3:$DE$2300),MATCH(ROWS(D$8:D437),COPIA!$DF$3:$DF$2300,0),COLUMN()-1),""))</f>
        <v/>
      </c>
      <c r="E437" s="45" t="str">
        <f ca="1">IF(IFERROR(INDEX((COPIA!$DA$3:$DE$2300),MATCH(ROWS(E$8:E437),COPIA!$DF$3:$DF$2300,0),COLUMN()-1),"")=0,"",IFERROR(INDEX((COPIA!$DA$3:$DE$2300),MATCH(ROWS(E$8:E437),COPIA!$DF$3:$DF$2300,0),COLUMN()-1),""))</f>
        <v/>
      </c>
      <c r="F437" s="120" t="str">
        <f ca="1">IF(IFERROR(INDEX((COPIA!$DA$3:$DE$2300),MATCH(ROWS(F$8:F437),COPIA!$DF$3:$DF$2300,0),COLUMN()-1),"")=0,"",IFERROR(INDEX((COPIA!$DA$3:$DE$2300),MATCH(ROWS(F$8:F437),COPIA!$DF$3:$DF$2300,0),COLUMN()-1),""))</f>
        <v/>
      </c>
    </row>
    <row r="438" spans="2:6">
      <c r="B438" s="119" t="str">
        <f ca="1">IF(IFERROR(INDEX((COPIA!$DA$3:$DE$2300),MATCH(ROWS(B$8:B438),COPIA!$DF$3:$DF$2300,0),COLUMN()-1),"")&gt;=1,IFERROR(INDEX((COPIA!$DA$3:$DE$2300),MATCH(ROWS(B$8:B438),COPIA!$DF$3:$DF$2300,0),COLUMN()-1),""),"")</f>
        <v/>
      </c>
      <c r="C438" s="118" t="str">
        <f ca="1">SUBSTITUTE(IFERROR(INDEX((COPIA!$DA$3:$DE$2300),MATCH(ROWS(C$8:C438),COPIA!$DF$3:$DF$2300,0),COLUMN()-1),""),"MASTRO","")</f>
        <v/>
      </c>
      <c r="D438" s="29" t="str">
        <f ca="1">IF(IFERROR(INDEX((COPIA!$DA$3:$DE$2300),MATCH(ROWS(D$8:D438),COPIA!$DF$3:$DF$2300,0),COLUMN()-1),"")=0,"",IFERROR(INDEX((COPIA!$DA$3:$DE$2300),MATCH(ROWS(D$8:D438),COPIA!$DF$3:$DF$2300,0),COLUMN()-1),""))</f>
        <v/>
      </c>
      <c r="E438" s="45" t="str">
        <f ca="1">IF(IFERROR(INDEX((COPIA!$DA$3:$DE$2300),MATCH(ROWS(E$8:E438),COPIA!$DF$3:$DF$2300,0),COLUMN()-1),"")=0,"",IFERROR(INDEX((COPIA!$DA$3:$DE$2300),MATCH(ROWS(E$8:E438),COPIA!$DF$3:$DF$2300,0),COLUMN()-1),""))</f>
        <v/>
      </c>
      <c r="F438" s="120" t="str">
        <f ca="1">IF(IFERROR(INDEX((COPIA!$DA$3:$DE$2300),MATCH(ROWS(F$8:F438),COPIA!$DF$3:$DF$2300,0),COLUMN()-1),"")=0,"",IFERROR(INDEX((COPIA!$DA$3:$DE$2300),MATCH(ROWS(F$8:F438),COPIA!$DF$3:$DF$2300,0),COLUMN()-1),""))</f>
        <v/>
      </c>
    </row>
    <row r="439" spans="2:6">
      <c r="B439" s="119" t="str">
        <f ca="1">IF(IFERROR(INDEX((COPIA!$DA$3:$DE$2300),MATCH(ROWS(B$8:B439),COPIA!$DF$3:$DF$2300,0),COLUMN()-1),"")&gt;=1,IFERROR(INDEX((COPIA!$DA$3:$DE$2300),MATCH(ROWS(B$8:B439),COPIA!$DF$3:$DF$2300,0),COLUMN()-1),""),"")</f>
        <v/>
      </c>
      <c r="C439" s="118" t="str">
        <f ca="1">SUBSTITUTE(IFERROR(INDEX((COPIA!$DA$3:$DE$2300),MATCH(ROWS(C$8:C439),COPIA!$DF$3:$DF$2300,0),COLUMN()-1),""),"MASTRO","")</f>
        <v/>
      </c>
      <c r="D439" s="29" t="str">
        <f ca="1">IF(IFERROR(INDEX((COPIA!$DA$3:$DE$2300),MATCH(ROWS(D$8:D439),COPIA!$DF$3:$DF$2300,0),COLUMN()-1),"")=0,"",IFERROR(INDEX((COPIA!$DA$3:$DE$2300),MATCH(ROWS(D$8:D439),COPIA!$DF$3:$DF$2300,0),COLUMN()-1),""))</f>
        <v/>
      </c>
      <c r="E439" s="45" t="str">
        <f ca="1">IF(IFERROR(INDEX((COPIA!$DA$3:$DE$2300),MATCH(ROWS(E$8:E439),COPIA!$DF$3:$DF$2300,0),COLUMN()-1),"")=0,"",IFERROR(INDEX((COPIA!$DA$3:$DE$2300),MATCH(ROWS(E$8:E439),COPIA!$DF$3:$DF$2300,0),COLUMN()-1),""))</f>
        <v/>
      </c>
      <c r="F439" s="120" t="str">
        <f ca="1">IF(IFERROR(INDEX((COPIA!$DA$3:$DE$2300),MATCH(ROWS(F$8:F439),COPIA!$DF$3:$DF$2300,0),COLUMN()-1),"")=0,"",IFERROR(INDEX((COPIA!$DA$3:$DE$2300),MATCH(ROWS(F$8:F439),COPIA!$DF$3:$DF$2300,0),COLUMN()-1),""))</f>
        <v/>
      </c>
    </row>
    <row r="440" spans="2:6">
      <c r="B440" s="119" t="str">
        <f ca="1">IF(IFERROR(INDEX((COPIA!$DA$3:$DE$2300),MATCH(ROWS(B$8:B440),COPIA!$DF$3:$DF$2300,0),COLUMN()-1),"")&gt;=1,IFERROR(INDEX((COPIA!$DA$3:$DE$2300),MATCH(ROWS(B$8:B440),COPIA!$DF$3:$DF$2300,0),COLUMN()-1),""),"")</f>
        <v/>
      </c>
      <c r="C440" s="118" t="str">
        <f ca="1">SUBSTITUTE(IFERROR(INDEX((COPIA!$DA$3:$DE$2300),MATCH(ROWS(C$8:C440),COPIA!$DF$3:$DF$2300,0),COLUMN()-1),""),"MASTRO","")</f>
        <v/>
      </c>
      <c r="D440" s="29" t="str">
        <f ca="1">IF(IFERROR(INDEX((COPIA!$DA$3:$DE$2300),MATCH(ROWS(D$8:D440),COPIA!$DF$3:$DF$2300,0),COLUMN()-1),"")=0,"",IFERROR(INDEX((COPIA!$DA$3:$DE$2300),MATCH(ROWS(D$8:D440),COPIA!$DF$3:$DF$2300,0),COLUMN()-1),""))</f>
        <v/>
      </c>
      <c r="E440" s="45" t="str">
        <f ca="1">IF(IFERROR(INDEX((COPIA!$DA$3:$DE$2300),MATCH(ROWS(E$8:E440),COPIA!$DF$3:$DF$2300,0),COLUMN()-1),"")=0,"",IFERROR(INDEX((COPIA!$DA$3:$DE$2300),MATCH(ROWS(E$8:E440),COPIA!$DF$3:$DF$2300,0),COLUMN()-1),""))</f>
        <v/>
      </c>
      <c r="F440" s="120" t="str">
        <f ca="1">IF(IFERROR(INDEX((COPIA!$DA$3:$DE$2300),MATCH(ROWS(F$8:F440),COPIA!$DF$3:$DF$2300,0),COLUMN()-1),"")=0,"",IFERROR(INDEX((COPIA!$DA$3:$DE$2300),MATCH(ROWS(F$8:F440),COPIA!$DF$3:$DF$2300,0),COLUMN()-1),""))</f>
        <v/>
      </c>
    </row>
    <row r="441" spans="2:6">
      <c r="B441" s="119" t="str">
        <f ca="1">IF(IFERROR(INDEX((COPIA!$DA$3:$DE$2300),MATCH(ROWS(B$8:B441),COPIA!$DF$3:$DF$2300,0),COLUMN()-1),"")&gt;=1,IFERROR(INDEX((COPIA!$DA$3:$DE$2300),MATCH(ROWS(B$8:B441),COPIA!$DF$3:$DF$2300,0),COLUMN()-1),""),"")</f>
        <v/>
      </c>
      <c r="C441" s="118" t="str">
        <f ca="1">SUBSTITUTE(IFERROR(INDEX((COPIA!$DA$3:$DE$2300),MATCH(ROWS(C$8:C441),COPIA!$DF$3:$DF$2300,0),COLUMN()-1),""),"MASTRO","")</f>
        <v/>
      </c>
      <c r="D441" s="29" t="str">
        <f ca="1">IF(IFERROR(INDEX((COPIA!$DA$3:$DE$2300),MATCH(ROWS(D$8:D441),COPIA!$DF$3:$DF$2300,0),COLUMN()-1),"")=0,"",IFERROR(INDEX((COPIA!$DA$3:$DE$2300),MATCH(ROWS(D$8:D441),COPIA!$DF$3:$DF$2300,0),COLUMN()-1),""))</f>
        <v/>
      </c>
      <c r="E441" s="45" t="str">
        <f ca="1">IF(IFERROR(INDEX((COPIA!$DA$3:$DE$2300),MATCH(ROWS(E$8:E441),COPIA!$DF$3:$DF$2300,0),COLUMN()-1),"")=0,"",IFERROR(INDEX((COPIA!$DA$3:$DE$2300),MATCH(ROWS(E$8:E441),COPIA!$DF$3:$DF$2300,0),COLUMN()-1),""))</f>
        <v/>
      </c>
      <c r="F441" s="120" t="str">
        <f ca="1">IF(IFERROR(INDEX((COPIA!$DA$3:$DE$2300),MATCH(ROWS(F$8:F441),COPIA!$DF$3:$DF$2300,0),COLUMN()-1),"")=0,"",IFERROR(INDEX((COPIA!$DA$3:$DE$2300),MATCH(ROWS(F$8:F441),COPIA!$DF$3:$DF$2300,0),COLUMN()-1),""))</f>
        <v/>
      </c>
    </row>
    <row r="442" spans="2:6">
      <c r="B442" s="119" t="str">
        <f ca="1">IF(IFERROR(INDEX((COPIA!$DA$3:$DE$2300),MATCH(ROWS(B$8:B442),COPIA!$DF$3:$DF$2300,0),COLUMN()-1),"")&gt;=1,IFERROR(INDEX((COPIA!$DA$3:$DE$2300),MATCH(ROWS(B$8:B442),COPIA!$DF$3:$DF$2300,0),COLUMN()-1),""),"")</f>
        <v/>
      </c>
      <c r="C442" s="118" t="str">
        <f ca="1">SUBSTITUTE(IFERROR(INDEX((COPIA!$DA$3:$DE$2300),MATCH(ROWS(C$8:C442),COPIA!$DF$3:$DF$2300,0),COLUMN()-1),""),"MASTRO","")</f>
        <v/>
      </c>
      <c r="D442" s="29" t="str">
        <f ca="1">IF(IFERROR(INDEX((COPIA!$DA$3:$DE$2300),MATCH(ROWS(D$8:D442),COPIA!$DF$3:$DF$2300,0),COLUMN()-1),"")=0,"",IFERROR(INDEX((COPIA!$DA$3:$DE$2300),MATCH(ROWS(D$8:D442),COPIA!$DF$3:$DF$2300,0),COLUMN()-1),""))</f>
        <v/>
      </c>
      <c r="E442" s="45" t="str">
        <f ca="1">IF(IFERROR(INDEX((COPIA!$DA$3:$DE$2300),MATCH(ROWS(E$8:E442),COPIA!$DF$3:$DF$2300,0),COLUMN()-1),"")=0,"",IFERROR(INDEX((COPIA!$DA$3:$DE$2300),MATCH(ROWS(E$8:E442),COPIA!$DF$3:$DF$2300,0),COLUMN()-1),""))</f>
        <v/>
      </c>
      <c r="F442" s="120" t="str">
        <f ca="1">IF(IFERROR(INDEX((COPIA!$DA$3:$DE$2300),MATCH(ROWS(F$8:F442),COPIA!$DF$3:$DF$2300,0),COLUMN()-1),"")=0,"",IFERROR(INDEX((COPIA!$DA$3:$DE$2300),MATCH(ROWS(F$8:F442),COPIA!$DF$3:$DF$2300,0),COLUMN()-1),""))</f>
        <v/>
      </c>
    </row>
    <row r="443" spans="2:6">
      <c r="B443" s="119" t="str">
        <f ca="1">IF(IFERROR(INDEX((COPIA!$DA$3:$DE$2300),MATCH(ROWS(B$8:B443),COPIA!$DF$3:$DF$2300,0),COLUMN()-1),"")&gt;=1,IFERROR(INDEX((COPIA!$DA$3:$DE$2300),MATCH(ROWS(B$8:B443),COPIA!$DF$3:$DF$2300,0),COLUMN()-1),""),"")</f>
        <v/>
      </c>
      <c r="C443" s="118" t="str">
        <f ca="1">SUBSTITUTE(IFERROR(INDEX((COPIA!$DA$3:$DE$2300),MATCH(ROWS(C$8:C443),COPIA!$DF$3:$DF$2300,0),COLUMN()-1),""),"MASTRO","")</f>
        <v/>
      </c>
      <c r="D443" s="29" t="str">
        <f ca="1">IF(IFERROR(INDEX((COPIA!$DA$3:$DE$2300),MATCH(ROWS(D$8:D443),COPIA!$DF$3:$DF$2300,0),COLUMN()-1),"")=0,"",IFERROR(INDEX((COPIA!$DA$3:$DE$2300),MATCH(ROWS(D$8:D443),COPIA!$DF$3:$DF$2300,0),COLUMN()-1),""))</f>
        <v/>
      </c>
      <c r="E443" s="45" t="str">
        <f ca="1">IF(IFERROR(INDEX((COPIA!$DA$3:$DE$2300),MATCH(ROWS(E$8:E443),COPIA!$DF$3:$DF$2300,0),COLUMN()-1),"")=0,"",IFERROR(INDEX((COPIA!$DA$3:$DE$2300),MATCH(ROWS(E$8:E443),COPIA!$DF$3:$DF$2300,0),COLUMN()-1),""))</f>
        <v/>
      </c>
      <c r="F443" s="120" t="str">
        <f ca="1">IF(IFERROR(INDEX((COPIA!$DA$3:$DE$2300),MATCH(ROWS(F$8:F443),COPIA!$DF$3:$DF$2300,0),COLUMN()-1),"")=0,"",IFERROR(INDEX((COPIA!$DA$3:$DE$2300),MATCH(ROWS(F$8:F443),COPIA!$DF$3:$DF$2300,0),COLUMN()-1),""))</f>
        <v/>
      </c>
    </row>
    <row r="444" spans="2:6">
      <c r="B444" s="119" t="str">
        <f ca="1">IF(IFERROR(INDEX((COPIA!$DA$3:$DE$2300),MATCH(ROWS(B$8:B444),COPIA!$DF$3:$DF$2300,0),COLUMN()-1),"")&gt;=1,IFERROR(INDEX((COPIA!$DA$3:$DE$2300),MATCH(ROWS(B$8:B444),COPIA!$DF$3:$DF$2300,0),COLUMN()-1),""),"")</f>
        <v/>
      </c>
      <c r="C444" s="118" t="str">
        <f ca="1">SUBSTITUTE(IFERROR(INDEX((COPIA!$DA$3:$DE$2300),MATCH(ROWS(C$8:C444),COPIA!$DF$3:$DF$2300,0),COLUMN()-1),""),"MASTRO","")</f>
        <v/>
      </c>
      <c r="D444" s="29" t="str">
        <f ca="1">IF(IFERROR(INDEX((COPIA!$DA$3:$DE$2300),MATCH(ROWS(D$8:D444),COPIA!$DF$3:$DF$2300,0),COLUMN()-1),"")=0,"",IFERROR(INDEX((COPIA!$DA$3:$DE$2300),MATCH(ROWS(D$8:D444),COPIA!$DF$3:$DF$2300,0),COLUMN()-1),""))</f>
        <v/>
      </c>
      <c r="E444" s="45" t="str">
        <f ca="1">IF(IFERROR(INDEX((COPIA!$DA$3:$DE$2300),MATCH(ROWS(E$8:E444),COPIA!$DF$3:$DF$2300,0),COLUMN()-1),"")=0,"",IFERROR(INDEX((COPIA!$DA$3:$DE$2300),MATCH(ROWS(E$8:E444),COPIA!$DF$3:$DF$2300,0),COLUMN()-1),""))</f>
        <v/>
      </c>
      <c r="F444" s="120" t="str">
        <f ca="1">IF(IFERROR(INDEX((COPIA!$DA$3:$DE$2300),MATCH(ROWS(F$8:F444),COPIA!$DF$3:$DF$2300,0),COLUMN()-1),"")=0,"",IFERROR(INDEX((COPIA!$DA$3:$DE$2300),MATCH(ROWS(F$8:F444),COPIA!$DF$3:$DF$2300,0),COLUMN()-1),""))</f>
        <v/>
      </c>
    </row>
    <row r="445" spans="2:6">
      <c r="B445" s="119" t="str">
        <f ca="1">IF(IFERROR(INDEX((COPIA!$DA$3:$DE$2300),MATCH(ROWS(B$8:B445),COPIA!$DF$3:$DF$2300,0),COLUMN()-1),"")&gt;=1,IFERROR(INDEX((COPIA!$DA$3:$DE$2300),MATCH(ROWS(B$8:B445),COPIA!$DF$3:$DF$2300,0),COLUMN()-1),""),"")</f>
        <v/>
      </c>
      <c r="C445" s="118" t="str">
        <f ca="1">SUBSTITUTE(IFERROR(INDEX((COPIA!$DA$3:$DE$2300),MATCH(ROWS(C$8:C445),COPIA!$DF$3:$DF$2300,0),COLUMN()-1),""),"MASTRO","")</f>
        <v/>
      </c>
      <c r="D445" s="29" t="str">
        <f ca="1">IF(IFERROR(INDEX((COPIA!$DA$3:$DE$2300),MATCH(ROWS(D$8:D445),COPIA!$DF$3:$DF$2300,0),COLUMN()-1),"")=0,"",IFERROR(INDEX((COPIA!$DA$3:$DE$2300),MATCH(ROWS(D$8:D445),COPIA!$DF$3:$DF$2300,0),COLUMN()-1),""))</f>
        <v/>
      </c>
      <c r="E445" s="45" t="str">
        <f ca="1">IF(IFERROR(INDEX((COPIA!$DA$3:$DE$2300),MATCH(ROWS(E$8:E445),COPIA!$DF$3:$DF$2300,0),COLUMN()-1),"")=0,"",IFERROR(INDEX((COPIA!$DA$3:$DE$2300),MATCH(ROWS(E$8:E445),COPIA!$DF$3:$DF$2300,0),COLUMN()-1),""))</f>
        <v/>
      </c>
      <c r="F445" s="120" t="str">
        <f ca="1">IF(IFERROR(INDEX((COPIA!$DA$3:$DE$2300),MATCH(ROWS(F$8:F445),COPIA!$DF$3:$DF$2300,0),COLUMN()-1),"")=0,"",IFERROR(INDEX((COPIA!$DA$3:$DE$2300),MATCH(ROWS(F$8:F445),COPIA!$DF$3:$DF$2300,0),COLUMN()-1),""))</f>
        <v/>
      </c>
    </row>
    <row r="446" spans="2:6">
      <c r="B446" s="119" t="str">
        <f ca="1">IF(IFERROR(INDEX((COPIA!$DA$3:$DE$2300),MATCH(ROWS(B$8:B446),COPIA!$DF$3:$DF$2300,0),COLUMN()-1),"")&gt;=1,IFERROR(INDEX((COPIA!$DA$3:$DE$2300),MATCH(ROWS(B$8:B446),COPIA!$DF$3:$DF$2300,0),COLUMN()-1),""),"")</f>
        <v/>
      </c>
      <c r="C446" s="118" t="str">
        <f ca="1">SUBSTITUTE(IFERROR(INDEX((COPIA!$DA$3:$DE$2300),MATCH(ROWS(C$8:C446),COPIA!$DF$3:$DF$2300,0),COLUMN()-1),""),"MASTRO","")</f>
        <v/>
      </c>
      <c r="D446" s="29" t="str">
        <f ca="1">IF(IFERROR(INDEX((COPIA!$DA$3:$DE$2300),MATCH(ROWS(D$8:D446),COPIA!$DF$3:$DF$2300,0),COLUMN()-1),"")=0,"",IFERROR(INDEX((COPIA!$DA$3:$DE$2300),MATCH(ROWS(D$8:D446),COPIA!$DF$3:$DF$2300,0),COLUMN()-1),""))</f>
        <v/>
      </c>
      <c r="E446" s="45" t="str">
        <f ca="1">IF(IFERROR(INDEX((COPIA!$DA$3:$DE$2300),MATCH(ROWS(E$8:E446),COPIA!$DF$3:$DF$2300,0),COLUMN()-1),"")=0,"",IFERROR(INDEX((COPIA!$DA$3:$DE$2300),MATCH(ROWS(E$8:E446),COPIA!$DF$3:$DF$2300,0),COLUMN()-1),""))</f>
        <v/>
      </c>
      <c r="F446" s="120" t="str">
        <f ca="1">IF(IFERROR(INDEX((COPIA!$DA$3:$DE$2300),MATCH(ROWS(F$8:F446),COPIA!$DF$3:$DF$2300,0),COLUMN()-1),"")=0,"",IFERROR(INDEX((COPIA!$DA$3:$DE$2300),MATCH(ROWS(F$8:F446),COPIA!$DF$3:$DF$2300,0),COLUMN()-1),""))</f>
        <v/>
      </c>
    </row>
    <row r="447" spans="2:6">
      <c r="B447" s="119" t="str">
        <f ca="1">IF(IFERROR(INDEX((COPIA!$DA$3:$DE$2300),MATCH(ROWS(B$8:B447),COPIA!$DF$3:$DF$2300,0),COLUMN()-1),"")&gt;=1,IFERROR(INDEX((COPIA!$DA$3:$DE$2300),MATCH(ROWS(B$8:B447),COPIA!$DF$3:$DF$2300,0),COLUMN()-1),""),"")</f>
        <v/>
      </c>
      <c r="C447" s="118" t="str">
        <f ca="1">SUBSTITUTE(IFERROR(INDEX((COPIA!$DA$3:$DE$2300),MATCH(ROWS(C$8:C447),COPIA!$DF$3:$DF$2300,0),COLUMN()-1),""),"MASTRO","")</f>
        <v/>
      </c>
      <c r="D447" s="29" t="str">
        <f ca="1">IF(IFERROR(INDEX((COPIA!$DA$3:$DE$2300),MATCH(ROWS(D$8:D447),COPIA!$DF$3:$DF$2300,0),COLUMN()-1),"")=0,"",IFERROR(INDEX((COPIA!$DA$3:$DE$2300),MATCH(ROWS(D$8:D447),COPIA!$DF$3:$DF$2300,0),COLUMN()-1),""))</f>
        <v/>
      </c>
      <c r="E447" s="45" t="str">
        <f ca="1">IF(IFERROR(INDEX((COPIA!$DA$3:$DE$2300),MATCH(ROWS(E$8:E447),COPIA!$DF$3:$DF$2300,0),COLUMN()-1),"")=0,"",IFERROR(INDEX((COPIA!$DA$3:$DE$2300),MATCH(ROWS(E$8:E447),COPIA!$DF$3:$DF$2300,0),COLUMN()-1),""))</f>
        <v/>
      </c>
      <c r="F447" s="120" t="str">
        <f ca="1">IF(IFERROR(INDEX((COPIA!$DA$3:$DE$2300),MATCH(ROWS(F$8:F447),COPIA!$DF$3:$DF$2300,0),COLUMN()-1),"")=0,"",IFERROR(INDEX((COPIA!$DA$3:$DE$2300),MATCH(ROWS(F$8:F447),COPIA!$DF$3:$DF$2300,0),COLUMN()-1),""))</f>
        <v/>
      </c>
    </row>
    <row r="448" spans="2:6">
      <c r="B448" s="119" t="str">
        <f ca="1">IF(IFERROR(INDEX((COPIA!$DA$3:$DE$2300),MATCH(ROWS(B$8:B448),COPIA!$DF$3:$DF$2300,0),COLUMN()-1),"")&gt;=1,IFERROR(INDEX((COPIA!$DA$3:$DE$2300),MATCH(ROWS(B$8:B448),COPIA!$DF$3:$DF$2300,0),COLUMN()-1),""),"")</f>
        <v/>
      </c>
      <c r="C448" s="118" t="str">
        <f ca="1">SUBSTITUTE(IFERROR(INDEX((COPIA!$DA$3:$DE$2300),MATCH(ROWS(C$8:C448),COPIA!$DF$3:$DF$2300,0),COLUMN()-1),""),"MASTRO","")</f>
        <v/>
      </c>
      <c r="D448" s="29" t="str">
        <f ca="1">IF(IFERROR(INDEX((COPIA!$DA$3:$DE$2300),MATCH(ROWS(D$8:D448),COPIA!$DF$3:$DF$2300,0),COLUMN()-1),"")=0,"",IFERROR(INDEX((COPIA!$DA$3:$DE$2300),MATCH(ROWS(D$8:D448),COPIA!$DF$3:$DF$2300,0),COLUMN()-1),""))</f>
        <v/>
      </c>
      <c r="E448" s="45" t="str">
        <f ca="1">IF(IFERROR(INDEX((COPIA!$DA$3:$DE$2300),MATCH(ROWS(E$8:E448),COPIA!$DF$3:$DF$2300,0),COLUMN()-1),"")=0,"",IFERROR(INDEX((COPIA!$DA$3:$DE$2300),MATCH(ROWS(E$8:E448),COPIA!$DF$3:$DF$2300,0),COLUMN()-1),""))</f>
        <v/>
      </c>
      <c r="F448" s="120" t="str">
        <f ca="1">IF(IFERROR(INDEX((COPIA!$DA$3:$DE$2300),MATCH(ROWS(F$8:F448),COPIA!$DF$3:$DF$2300,0),COLUMN()-1),"")=0,"",IFERROR(INDEX((COPIA!$DA$3:$DE$2300),MATCH(ROWS(F$8:F448),COPIA!$DF$3:$DF$2300,0),COLUMN()-1),""))</f>
        <v/>
      </c>
    </row>
    <row r="449" spans="2:6">
      <c r="B449" s="119" t="str">
        <f ca="1">IF(IFERROR(INDEX((COPIA!$DA$3:$DE$2300),MATCH(ROWS(B$8:B449),COPIA!$DF$3:$DF$2300,0),COLUMN()-1),"")&gt;=1,IFERROR(INDEX((COPIA!$DA$3:$DE$2300),MATCH(ROWS(B$8:B449),COPIA!$DF$3:$DF$2300,0),COLUMN()-1),""),"")</f>
        <v/>
      </c>
      <c r="C449" s="118" t="str">
        <f ca="1">SUBSTITUTE(IFERROR(INDEX((COPIA!$DA$3:$DE$2300),MATCH(ROWS(C$8:C449),COPIA!$DF$3:$DF$2300,0),COLUMN()-1),""),"MASTRO","")</f>
        <v/>
      </c>
      <c r="D449" s="29" t="str">
        <f ca="1">IF(IFERROR(INDEX((COPIA!$DA$3:$DE$2300),MATCH(ROWS(D$8:D449),COPIA!$DF$3:$DF$2300,0),COLUMN()-1),"")=0,"",IFERROR(INDEX((COPIA!$DA$3:$DE$2300),MATCH(ROWS(D$8:D449),COPIA!$DF$3:$DF$2300,0),COLUMN()-1),""))</f>
        <v/>
      </c>
      <c r="E449" s="45" t="str">
        <f ca="1">IF(IFERROR(INDEX((COPIA!$DA$3:$DE$2300),MATCH(ROWS(E$8:E449),COPIA!$DF$3:$DF$2300,0),COLUMN()-1),"")=0,"",IFERROR(INDEX((COPIA!$DA$3:$DE$2300),MATCH(ROWS(E$8:E449),COPIA!$DF$3:$DF$2300,0),COLUMN()-1),""))</f>
        <v/>
      </c>
      <c r="F449" s="120" t="str">
        <f ca="1">IF(IFERROR(INDEX((COPIA!$DA$3:$DE$2300),MATCH(ROWS(F$8:F449),COPIA!$DF$3:$DF$2300,0),COLUMN()-1),"")=0,"",IFERROR(INDEX((COPIA!$DA$3:$DE$2300),MATCH(ROWS(F$8:F449),COPIA!$DF$3:$DF$2300,0),COLUMN()-1),""))</f>
        <v/>
      </c>
    </row>
    <row r="450" spans="2:6">
      <c r="B450" s="119" t="str">
        <f ca="1">IF(IFERROR(INDEX((COPIA!$DA$3:$DE$2300),MATCH(ROWS(B$8:B450),COPIA!$DF$3:$DF$2300,0),COLUMN()-1),"")&gt;=1,IFERROR(INDEX((COPIA!$DA$3:$DE$2300),MATCH(ROWS(B$8:B450),COPIA!$DF$3:$DF$2300,0),COLUMN()-1),""),"")</f>
        <v/>
      </c>
      <c r="C450" s="118" t="str">
        <f ca="1">SUBSTITUTE(IFERROR(INDEX((COPIA!$DA$3:$DE$2300),MATCH(ROWS(C$8:C450),COPIA!$DF$3:$DF$2300,0),COLUMN()-1),""),"MASTRO","")</f>
        <v/>
      </c>
      <c r="D450" s="29" t="str">
        <f ca="1">IF(IFERROR(INDEX((COPIA!$DA$3:$DE$2300),MATCH(ROWS(D$8:D450),COPIA!$DF$3:$DF$2300,0),COLUMN()-1),"")=0,"",IFERROR(INDEX((COPIA!$DA$3:$DE$2300),MATCH(ROWS(D$8:D450),COPIA!$DF$3:$DF$2300,0),COLUMN()-1),""))</f>
        <v/>
      </c>
      <c r="E450" s="45" t="str">
        <f ca="1">IF(IFERROR(INDEX((COPIA!$DA$3:$DE$2300),MATCH(ROWS(E$8:E450),COPIA!$DF$3:$DF$2300,0),COLUMN()-1),"")=0,"",IFERROR(INDEX((COPIA!$DA$3:$DE$2300),MATCH(ROWS(E$8:E450),COPIA!$DF$3:$DF$2300,0),COLUMN()-1),""))</f>
        <v/>
      </c>
      <c r="F450" s="120" t="str">
        <f ca="1">IF(IFERROR(INDEX((COPIA!$DA$3:$DE$2300),MATCH(ROWS(F$8:F450),COPIA!$DF$3:$DF$2300,0),COLUMN()-1),"")=0,"",IFERROR(INDEX((COPIA!$DA$3:$DE$2300),MATCH(ROWS(F$8:F450),COPIA!$DF$3:$DF$2300,0),COLUMN()-1),""))</f>
        <v/>
      </c>
    </row>
    <row r="451" spans="2:6">
      <c r="B451" s="119" t="str">
        <f ca="1">IF(IFERROR(INDEX((COPIA!$DA$3:$DE$2300),MATCH(ROWS(B$8:B451),COPIA!$DF$3:$DF$2300,0),COLUMN()-1),"")&gt;=1,IFERROR(INDEX((COPIA!$DA$3:$DE$2300),MATCH(ROWS(B$8:B451),COPIA!$DF$3:$DF$2300,0),COLUMN()-1),""),"")</f>
        <v/>
      </c>
      <c r="C451" s="118" t="str">
        <f ca="1">SUBSTITUTE(IFERROR(INDEX((COPIA!$DA$3:$DE$2300),MATCH(ROWS(C$8:C451),COPIA!$DF$3:$DF$2300,0),COLUMN()-1),""),"MASTRO","")</f>
        <v/>
      </c>
      <c r="D451" s="29" t="str">
        <f ca="1">IF(IFERROR(INDEX((COPIA!$DA$3:$DE$2300),MATCH(ROWS(D$8:D451),COPIA!$DF$3:$DF$2300,0),COLUMN()-1),"")=0,"",IFERROR(INDEX((COPIA!$DA$3:$DE$2300),MATCH(ROWS(D$8:D451),COPIA!$DF$3:$DF$2300,0),COLUMN()-1),""))</f>
        <v/>
      </c>
      <c r="E451" s="45" t="str">
        <f ca="1">IF(IFERROR(INDEX((COPIA!$DA$3:$DE$2300),MATCH(ROWS(E$8:E451),COPIA!$DF$3:$DF$2300,0),COLUMN()-1),"")=0,"",IFERROR(INDEX((COPIA!$DA$3:$DE$2300),MATCH(ROWS(E$8:E451),COPIA!$DF$3:$DF$2300,0),COLUMN()-1),""))</f>
        <v/>
      </c>
      <c r="F451" s="120" t="str">
        <f ca="1">IF(IFERROR(INDEX((COPIA!$DA$3:$DE$2300),MATCH(ROWS(F$8:F451),COPIA!$DF$3:$DF$2300,0),COLUMN()-1),"")=0,"",IFERROR(INDEX((COPIA!$DA$3:$DE$2300),MATCH(ROWS(F$8:F451),COPIA!$DF$3:$DF$2300,0),COLUMN()-1),""))</f>
        <v/>
      </c>
    </row>
    <row r="452" spans="2:6">
      <c r="B452" s="119" t="str">
        <f ca="1">IF(IFERROR(INDEX((COPIA!$DA$3:$DE$2300),MATCH(ROWS(B$8:B452),COPIA!$DF$3:$DF$2300,0),COLUMN()-1),"")&gt;=1,IFERROR(INDEX((COPIA!$DA$3:$DE$2300),MATCH(ROWS(B$8:B452),COPIA!$DF$3:$DF$2300,0),COLUMN()-1),""),"")</f>
        <v/>
      </c>
      <c r="C452" s="118" t="str">
        <f ca="1">SUBSTITUTE(IFERROR(INDEX((COPIA!$DA$3:$DE$2300),MATCH(ROWS(C$8:C452),COPIA!$DF$3:$DF$2300,0),COLUMN()-1),""),"MASTRO","")</f>
        <v/>
      </c>
      <c r="D452" s="29" t="str">
        <f ca="1">IF(IFERROR(INDEX((COPIA!$DA$3:$DE$2300),MATCH(ROWS(D$8:D452),COPIA!$DF$3:$DF$2300,0),COLUMN()-1),"")=0,"",IFERROR(INDEX((COPIA!$DA$3:$DE$2300),MATCH(ROWS(D$8:D452),COPIA!$DF$3:$DF$2300,0),COLUMN()-1),""))</f>
        <v/>
      </c>
      <c r="E452" s="45" t="str">
        <f ca="1">IF(IFERROR(INDEX((COPIA!$DA$3:$DE$2300),MATCH(ROWS(E$8:E452),COPIA!$DF$3:$DF$2300,0),COLUMN()-1),"")=0,"",IFERROR(INDEX((COPIA!$DA$3:$DE$2300),MATCH(ROWS(E$8:E452),COPIA!$DF$3:$DF$2300,0),COLUMN()-1),""))</f>
        <v/>
      </c>
      <c r="F452" s="120" t="str">
        <f ca="1">IF(IFERROR(INDEX((COPIA!$DA$3:$DE$2300),MATCH(ROWS(F$8:F452),COPIA!$DF$3:$DF$2300,0),COLUMN()-1),"")=0,"",IFERROR(INDEX((COPIA!$DA$3:$DE$2300),MATCH(ROWS(F$8:F452),COPIA!$DF$3:$DF$2300,0),COLUMN()-1),""))</f>
        <v/>
      </c>
    </row>
    <row r="453" spans="2:6">
      <c r="B453" s="119" t="str">
        <f ca="1">IF(IFERROR(INDEX((COPIA!$DA$3:$DE$2300),MATCH(ROWS(B$8:B453),COPIA!$DF$3:$DF$2300,0),COLUMN()-1),"")&gt;=1,IFERROR(INDEX((COPIA!$DA$3:$DE$2300),MATCH(ROWS(B$8:B453),COPIA!$DF$3:$DF$2300,0),COLUMN()-1),""),"")</f>
        <v/>
      </c>
      <c r="C453" s="118" t="str">
        <f ca="1">SUBSTITUTE(IFERROR(INDEX((COPIA!$DA$3:$DE$2300),MATCH(ROWS(C$8:C453),COPIA!$DF$3:$DF$2300,0),COLUMN()-1),""),"MASTRO","")</f>
        <v/>
      </c>
      <c r="D453" s="29" t="str">
        <f ca="1">IF(IFERROR(INDEX((COPIA!$DA$3:$DE$2300),MATCH(ROWS(D$8:D453),COPIA!$DF$3:$DF$2300,0),COLUMN()-1),"")=0,"",IFERROR(INDEX((COPIA!$DA$3:$DE$2300),MATCH(ROWS(D$8:D453),COPIA!$DF$3:$DF$2300,0),COLUMN()-1),""))</f>
        <v/>
      </c>
      <c r="E453" s="45" t="str">
        <f ca="1">IF(IFERROR(INDEX((COPIA!$DA$3:$DE$2300),MATCH(ROWS(E$8:E453),COPIA!$DF$3:$DF$2300,0),COLUMN()-1),"")=0,"",IFERROR(INDEX((COPIA!$DA$3:$DE$2300),MATCH(ROWS(E$8:E453),COPIA!$DF$3:$DF$2300,0),COLUMN()-1),""))</f>
        <v/>
      </c>
      <c r="F453" s="120" t="str">
        <f ca="1">IF(IFERROR(INDEX((COPIA!$DA$3:$DE$2300),MATCH(ROWS(F$8:F453),COPIA!$DF$3:$DF$2300,0),COLUMN()-1),"")=0,"",IFERROR(INDEX((COPIA!$DA$3:$DE$2300),MATCH(ROWS(F$8:F453),COPIA!$DF$3:$DF$2300,0),COLUMN()-1),""))</f>
        <v/>
      </c>
    </row>
    <row r="454" spans="2:6">
      <c r="B454" s="119" t="str">
        <f ca="1">IF(IFERROR(INDEX((COPIA!$DA$3:$DE$2300),MATCH(ROWS(B$8:B454),COPIA!$DF$3:$DF$2300,0),COLUMN()-1),"")&gt;=1,IFERROR(INDEX((COPIA!$DA$3:$DE$2300),MATCH(ROWS(B$8:B454),COPIA!$DF$3:$DF$2300,0),COLUMN()-1),""),"")</f>
        <v/>
      </c>
      <c r="C454" s="118" t="str">
        <f ca="1">SUBSTITUTE(IFERROR(INDEX((COPIA!$DA$3:$DE$2300),MATCH(ROWS(C$8:C454),COPIA!$DF$3:$DF$2300,0),COLUMN()-1),""),"MASTRO","")</f>
        <v/>
      </c>
      <c r="D454" s="29" t="str">
        <f ca="1">IF(IFERROR(INDEX((COPIA!$DA$3:$DE$2300),MATCH(ROWS(D$8:D454),COPIA!$DF$3:$DF$2300,0),COLUMN()-1),"")=0,"",IFERROR(INDEX((COPIA!$DA$3:$DE$2300),MATCH(ROWS(D$8:D454),COPIA!$DF$3:$DF$2300,0),COLUMN()-1),""))</f>
        <v/>
      </c>
      <c r="E454" s="45" t="str">
        <f ca="1">IF(IFERROR(INDEX((COPIA!$DA$3:$DE$2300),MATCH(ROWS(E$8:E454),COPIA!$DF$3:$DF$2300,0),COLUMN()-1),"")=0,"",IFERROR(INDEX((COPIA!$DA$3:$DE$2300),MATCH(ROWS(E$8:E454),COPIA!$DF$3:$DF$2300,0),COLUMN()-1),""))</f>
        <v/>
      </c>
      <c r="F454" s="120" t="str">
        <f ca="1">IF(IFERROR(INDEX((COPIA!$DA$3:$DE$2300),MATCH(ROWS(F$8:F454),COPIA!$DF$3:$DF$2300,0),COLUMN()-1),"")=0,"",IFERROR(INDEX((COPIA!$DA$3:$DE$2300),MATCH(ROWS(F$8:F454),COPIA!$DF$3:$DF$2300,0),COLUMN()-1),""))</f>
        <v/>
      </c>
    </row>
    <row r="455" spans="2:6">
      <c r="B455" s="119" t="str">
        <f ca="1">IF(IFERROR(INDEX((COPIA!$DA$3:$DE$2300),MATCH(ROWS(B$8:B455),COPIA!$DF$3:$DF$2300,0),COLUMN()-1),"")&gt;=1,IFERROR(INDEX((COPIA!$DA$3:$DE$2300),MATCH(ROWS(B$8:B455),COPIA!$DF$3:$DF$2300,0),COLUMN()-1),""),"")</f>
        <v/>
      </c>
      <c r="C455" s="118" t="str">
        <f ca="1">SUBSTITUTE(IFERROR(INDEX((COPIA!$DA$3:$DE$2300),MATCH(ROWS(C$8:C455),COPIA!$DF$3:$DF$2300,0),COLUMN()-1),""),"MASTRO","")</f>
        <v/>
      </c>
      <c r="D455" s="29" t="str">
        <f ca="1">IF(IFERROR(INDEX((COPIA!$DA$3:$DE$2300),MATCH(ROWS(D$8:D455),COPIA!$DF$3:$DF$2300,0),COLUMN()-1),"")=0,"",IFERROR(INDEX((COPIA!$DA$3:$DE$2300),MATCH(ROWS(D$8:D455),COPIA!$DF$3:$DF$2300,0),COLUMN()-1),""))</f>
        <v/>
      </c>
      <c r="E455" s="45" t="str">
        <f ca="1">IF(IFERROR(INDEX((COPIA!$DA$3:$DE$2300),MATCH(ROWS(E$8:E455),COPIA!$DF$3:$DF$2300,0),COLUMN()-1),"")=0,"",IFERROR(INDEX((COPIA!$DA$3:$DE$2300),MATCH(ROWS(E$8:E455),COPIA!$DF$3:$DF$2300,0),COLUMN()-1),""))</f>
        <v/>
      </c>
      <c r="F455" s="120" t="str">
        <f ca="1">IF(IFERROR(INDEX((COPIA!$DA$3:$DE$2300),MATCH(ROWS(F$8:F455),COPIA!$DF$3:$DF$2300,0),COLUMN()-1),"")=0,"",IFERROR(INDEX((COPIA!$DA$3:$DE$2300),MATCH(ROWS(F$8:F455),COPIA!$DF$3:$DF$2300,0),COLUMN()-1),""))</f>
        <v/>
      </c>
    </row>
    <row r="456" spans="2:6">
      <c r="B456" s="119" t="str">
        <f ca="1">IF(IFERROR(INDEX((COPIA!$DA$3:$DE$2300),MATCH(ROWS(B$8:B456),COPIA!$DF$3:$DF$2300,0),COLUMN()-1),"")&gt;=1,IFERROR(INDEX((COPIA!$DA$3:$DE$2300),MATCH(ROWS(B$8:B456),COPIA!$DF$3:$DF$2300,0),COLUMN()-1),""),"")</f>
        <v/>
      </c>
      <c r="C456" s="118" t="str">
        <f ca="1">SUBSTITUTE(IFERROR(INDEX((COPIA!$DA$3:$DE$2300),MATCH(ROWS(C$8:C456),COPIA!$DF$3:$DF$2300,0),COLUMN()-1),""),"MASTRO","")</f>
        <v/>
      </c>
      <c r="D456" s="29" t="str">
        <f ca="1">IF(IFERROR(INDEX((COPIA!$DA$3:$DE$2300),MATCH(ROWS(D$8:D456),COPIA!$DF$3:$DF$2300,0),COLUMN()-1),"")=0,"",IFERROR(INDEX((COPIA!$DA$3:$DE$2300),MATCH(ROWS(D$8:D456),COPIA!$DF$3:$DF$2300,0),COLUMN()-1),""))</f>
        <v/>
      </c>
      <c r="E456" s="45" t="str">
        <f ca="1">IF(IFERROR(INDEX((COPIA!$DA$3:$DE$2300),MATCH(ROWS(E$8:E456),COPIA!$DF$3:$DF$2300,0),COLUMN()-1),"")=0,"",IFERROR(INDEX((COPIA!$DA$3:$DE$2300),MATCH(ROWS(E$8:E456),COPIA!$DF$3:$DF$2300,0),COLUMN()-1),""))</f>
        <v/>
      </c>
      <c r="F456" s="120" t="str">
        <f ca="1">IF(IFERROR(INDEX((COPIA!$DA$3:$DE$2300),MATCH(ROWS(F$8:F456),COPIA!$DF$3:$DF$2300,0),COLUMN()-1),"")=0,"",IFERROR(INDEX((COPIA!$DA$3:$DE$2300),MATCH(ROWS(F$8:F456),COPIA!$DF$3:$DF$2300,0),COLUMN()-1),""))</f>
        <v/>
      </c>
    </row>
    <row r="457" spans="2:6">
      <c r="B457" s="119" t="str">
        <f ca="1">IF(IFERROR(INDEX((COPIA!$DA$3:$DE$2300),MATCH(ROWS(B$8:B457),COPIA!$DF$3:$DF$2300,0),COLUMN()-1),"")&gt;=1,IFERROR(INDEX((COPIA!$DA$3:$DE$2300),MATCH(ROWS(B$8:B457),COPIA!$DF$3:$DF$2300,0),COLUMN()-1),""),"")</f>
        <v/>
      </c>
      <c r="C457" s="118" t="str">
        <f ca="1">SUBSTITUTE(IFERROR(INDEX((COPIA!$DA$3:$DE$2300),MATCH(ROWS(C$8:C457),COPIA!$DF$3:$DF$2300,0),COLUMN()-1),""),"MASTRO","")</f>
        <v/>
      </c>
      <c r="D457" s="29" t="str">
        <f ca="1">IF(IFERROR(INDEX((COPIA!$DA$3:$DE$2300),MATCH(ROWS(D$8:D457),COPIA!$DF$3:$DF$2300,0),COLUMN()-1),"")=0,"",IFERROR(INDEX((COPIA!$DA$3:$DE$2300),MATCH(ROWS(D$8:D457),COPIA!$DF$3:$DF$2300,0),COLUMN()-1),""))</f>
        <v/>
      </c>
      <c r="E457" s="45" t="str">
        <f ca="1">IF(IFERROR(INDEX((COPIA!$DA$3:$DE$2300),MATCH(ROWS(E$8:E457),COPIA!$DF$3:$DF$2300,0),COLUMN()-1),"")=0,"",IFERROR(INDEX((COPIA!$DA$3:$DE$2300),MATCH(ROWS(E$8:E457),COPIA!$DF$3:$DF$2300,0),COLUMN()-1),""))</f>
        <v/>
      </c>
      <c r="F457" s="120" t="str">
        <f ca="1">IF(IFERROR(INDEX((COPIA!$DA$3:$DE$2300),MATCH(ROWS(F$8:F457),COPIA!$DF$3:$DF$2300,0),COLUMN()-1),"")=0,"",IFERROR(INDEX((COPIA!$DA$3:$DE$2300),MATCH(ROWS(F$8:F457),COPIA!$DF$3:$DF$2300,0),COLUMN()-1),""))</f>
        <v/>
      </c>
    </row>
    <row r="458" spans="2:6">
      <c r="B458" s="119" t="str">
        <f ca="1">IF(IFERROR(INDEX((COPIA!$DA$3:$DE$2300),MATCH(ROWS(B$8:B458),COPIA!$DF$3:$DF$2300,0),COLUMN()-1),"")&gt;=1,IFERROR(INDEX((COPIA!$DA$3:$DE$2300),MATCH(ROWS(B$8:B458),COPIA!$DF$3:$DF$2300,0),COLUMN()-1),""),"")</f>
        <v/>
      </c>
      <c r="C458" s="118" t="str">
        <f ca="1">SUBSTITUTE(IFERROR(INDEX((COPIA!$DA$3:$DE$2300),MATCH(ROWS(C$8:C458),COPIA!$DF$3:$DF$2300,0),COLUMN()-1),""),"MASTRO","")</f>
        <v/>
      </c>
      <c r="D458" s="29" t="str">
        <f ca="1">IF(IFERROR(INDEX((COPIA!$DA$3:$DE$2300),MATCH(ROWS(D$8:D458),COPIA!$DF$3:$DF$2300,0),COLUMN()-1),"")=0,"",IFERROR(INDEX((COPIA!$DA$3:$DE$2300),MATCH(ROWS(D$8:D458),COPIA!$DF$3:$DF$2300,0),COLUMN()-1),""))</f>
        <v/>
      </c>
      <c r="E458" s="45" t="str">
        <f ca="1">IF(IFERROR(INDEX((COPIA!$DA$3:$DE$2300),MATCH(ROWS(E$8:E458),COPIA!$DF$3:$DF$2300,0),COLUMN()-1),"")=0,"",IFERROR(INDEX((COPIA!$DA$3:$DE$2300),MATCH(ROWS(E$8:E458),COPIA!$DF$3:$DF$2300,0),COLUMN()-1),""))</f>
        <v/>
      </c>
      <c r="F458" s="120" t="str">
        <f ca="1">IF(IFERROR(INDEX((COPIA!$DA$3:$DE$2300),MATCH(ROWS(F$8:F458),COPIA!$DF$3:$DF$2300,0),COLUMN()-1),"")=0,"",IFERROR(INDEX((COPIA!$DA$3:$DE$2300),MATCH(ROWS(F$8:F458),COPIA!$DF$3:$DF$2300,0),COLUMN()-1),""))</f>
        <v/>
      </c>
    </row>
    <row r="459" spans="2:6">
      <c r="B459" s="119" t="str">
        <f ca="1">IF(IFERROR(INDEX((COPIA!$DA$3:$DE$2300),MATCH(ROWS(B$8:B459),COPIA!$DF$3:$DF$2300,0),COLUMN()-1),"")&gt;=1,IFERROR(INDEX((COPIA!$DA$3:$DE$2300),MATCH(ROWS(B$8:B459),COPIA!$DF$3:$DF$2300,0),COLUMN()-1),""),"")</f>
        <v/>
      </c>
      <c r="C459" s="118" t="str">
        <f ca="1">SUBSTITUTE(IFERROR(INDEX((COPIA!$DA$3:$DE$2300),MATCH(ROWS(C$8:C459),COPIA!$DF$3:$DF$2300,0),COLUMN()-1),""),"MASTRO","")</f>
        <v/>
      </c>
      <c r="D459" s="29" t="str">
        <f ca="1">IF(IFERROR(INDEX((COPIA!$DA$3:$DE$2300),MATCH(ROWS(D$8:D459),COPIA!$DF$3:$DF$2300,0),COLUMN()-1),"")=0,"",IFERROR(INDEX((COPIA!$DA$3:$DE$2300),MATCH(ROWS(D$8:D459),COPIA!$DF$3:$DF$2300,0),COLUMN()-1),""))</f>
        <v/>
      </c>
      <c r="E459" s="45" t="str">
        <f ca="1">IF(IFERROR(INDEX((COPIA!$DA$3:$DE$2300),MATCH(ROWS(E$8:E459),COPIA!$DF$3:$DF$2300,0),COLUMN()-1),"")=0,"",IFERROR(INDEX((COPIA!$DA$3:$DE$2300),MATCH(ROWS(E$8:E459),COPIA!$DF$3:$DF$2300,0),COLUMN()-1),""))</f>
        <v/>
      </c>
      <c r="F459" s="120" t="str">
        <f ca="1">IF(IFERROR(INDEX((COPIA!$DA$3:$DE$2300),MATCH(ROWS(F$8:F459),COPIA!$DF$3:$DF$2300,0),COLUMN()-1),"")=0,"",IFERROR(INDEX((COPIA!$DA$3:$DE$2300),MATCH(ROWS(F$8:F459),COPIA!$DF$3:$DF$2300,0),COLUMN()-1),""))</f>
        <v/>
      </c>
    </row>
    <row r="460" spans="2:6">
      <c r="B460" s="119" t="str">
        <f ca="1">IF(IFERROR(INDEX((COPIA!$DA$3:$DE$2300),MATCH(ROWS(B$8:B460),COPIA!$DF$3:$DF$2300,0),COLUMN()-1),"")&gt;=1,IFERROR(INDEX((COPIA!$DA$3:$DE$2300),MATCH(ROWS(B$8:B460),COPIA!$DF$3:$DF$2300,0),COLUMN()-1),""),"")</f>
        <v/>
      </c>
      <c r="C460" s="118" t="str">
        <f ca="1">SUBSTITUTE(IFERROR(INDEX((COPIA!$DA$3:$DE$2300),MATCH(ROWS(C$8:C460),COPIA!$DF$3:$DF$2300,0),COLUMN()-1),""),"MASTRO","")</f>
        <v/>
      </c>
      <c r="D460" s="29" t="str">
        <f ca="1">IF(IFERROR(INDEX((COPIA!$DA$3:$DE$2300),MATCH(ROWS(D$8:D460),COPIA!$DF$3:$DF$2300,0),COLUMN()-1),"")=0,"",IFERROR(INDEX((COPIA!$DA$3:$DE$2300),MATCH(ROWS(D$8:D460),COPIA!$DF$3:$DF$2300,0),COLUMN()-1),""))</f>
        <v/>
      </c>
      <c r="E460" s="45" t="str">
        <f ca="1">IF(IFERROR(INDEX((COPIA!$DA$3:$DE$2300),MATCH(ROWS(E$8:E460),COPIA!$DF$3:$DF$2300,0),COLUMN()-1),"")=0,"",IFERROR(INDEX((COPIA!$DA$3:$DE$2300),MATCH(ROWS(E$8:E460),COPIA!$DF$3:$DF$2300,0),COLUMN()-1),""))</f>
        <v/>
      </c>
      <c r="F460" s="120" t="str">
        <f ca="1">IF(IFERROR(INDEX((COPIA!$DA$3:$DE$2300),MATCH(ROWS(F$8:F460),COPIA!$DF$3:$DF$2300,0),COLUMN()-1),"")=0,"",IFERROR(INDEX((COPIA!$DA$3:$DE$2300),MATCH(ROWS(F$8:F460),COPIA!$DF$3:$DF$2300,0),COLUMN()-1),""))</f>
        <v/>
      </c>
    </row>
    <row r="461" spans="2:6">
      <c r="B461" s="119" t="str">
        <f ca="1">IF(IFERROR(INDEX((COPIA!$DA$3:$DE$2300),MATCH(ROWS(B$8:B461),COPIA!$DF$3:$DF$2300,0),COLUMN()-1),"")&gt;=1,IFERROR(INDEX((COPIA!$DA$3:$DE$2300),MATCH(ROWS(B$8:B461),COPIA!$DF$3:$DF$2300,0),COLUMN()-1),""),"")</f>
        <v/>
      </c>
      <c r="C461" s="118" t="str">
        <f ca="1">SUBSTITUTE(IFERROR(INDEX((COPIA!$DA$3:$DE$2300),MATCH(ROWS(C$8:C461),COPIA!$DF$3:$DF$2300,0),COLUMN()-1),""),"MASTRO","")</f>
        <v/>
      </c>
      <c r="D461" s="29" t="str">
        <f ca="1">IF(IFERROR(INDEX((COPIA!$DA$3:$DE$2300),MATCH(ROWS(D$8:D461),COPIA!$DF$3:$DF$2300,0),COLUMN()-1),"")=0,"",IFERROR(INDEX((COPIA!$DA$3:$DE$2300),MATCH(ROWS(D$8:D461),COPIA!$DF$3:$DF$2300,0),COLUMN()-1),""))</f>
        <v/>
      </c>
      <c r="E461" s="45" t="str">
        <f ca="1">IF(IFERROR(INDEX((COPIA!$DA$3:$DE$2300),MATCH(ROWS(E$8:E461),COPIA!$DF$3:$DF$2300,0),COLUMN()-1),"")=0,"",IFERROR(INDEX((COPIA!$DA$3:$DE$2300),MATCH(ROWS(E$8:E461),COPIA!$DF$3:$DF$2300,0),COLUMN()-1),""))</f>
        <v/>
      </c>
      <c r="F461" s="120" t="str">
        <f ca="1">IF(IFERROR(INDEX((COPIA!$DA$3:$DE$2300),MATCH(ROWS(F$8:F461),COPIA!$DF$3:$DF$2300,0),COLUMN()-1),"")=0,"",IFERROR(INDEX((COPIA!$DA$3:$DE$2300),MATCH(ROWS(F$8:F461),COPIA!$DF$3:$DF$2300,0),COLUMN()-1),""))</f>
        <v/>
      </c>
    </row>
    <row r="462" spans="2:6">
      <c r="B462" s="119" t="str">
        <f ca="1">IF(IFERROR(INDEX((COPIA!$DA$3:$DE$2300),MATCH(ROWS(B$8:B462),COPIA!$DF$3:$DF$2300,0),COLUMN()-1),"")&gt;=1,IFERROR(INDEX((COPIA!$DA$3:$DE$2300),MATCH(ROWS(B$8:B462),COPIA!$DF$3:$DF$2300,0),COLUMN()-1),""),"")</f>
        <v/>
      </c>
      <c r="C462" s="118" t="str">
        <f ca="1">SUBSTITUTE(IFERROR(INDEX((COPIA!$DA$3:$DE$2300),MATCH(ROWS(C$8:C462),COPIA!$DF$3:$DF$2300,0),COLUMN()-1),""),"MASTRO","")</f>
        <v/>
      </c>
      <c r="D462" s="29" t="str">
        <f ca="1">IF(IFERROR(INDEX((COPIA!$DA$3:$DE$2300),MATCH(ROWS(D$8:D462),COPIA!$DF$3:$DF$2300,0),COLUMN()-1),"")=0,"",IFERROR(INDEX((COPIA!$DA$3:$DE$2300),MATCH(ROWS(D$8:D462),COPIA!$DF$3:$DF$2300,0),COLUMN()-1),""))</f>
        <v/>
      </c>
      <c r="E462" s="45" t="str">
        <f ca="1">IF(IFERROR(INDEX((COPIA!$DA$3:$DE$2300),MATCH(ROWS(E$8:E462),COPIA!$DF$3:$DF$2300,0),COLUMN()-1),"")=0,"",IFERROR(INDEX((COPIA!$DA$3:$DE$2300),MATCH(ROWS(E$8:E462),COPIA!$DF$3:$DF$2300,0),COLUMN()-1),""))</f>
        <v/>
      </c>
      <c r="F462" s="120" t="str">
        <f ca="1">IF(IFERROR(INDEX((COPIA!$DA$3:$DE$2300),MATCH(ROWS(F$8:F462),COPIA!$DF$3:$DF$2300,0),COLUMN()-1),"")=0,"",IFERROR(INDEX((COPIA!$DA$3:$DE$2300),MATCH(ROWS(F$8:F462),COPIA!$DF$3:$DF$2300,0),COLUMN()-1),""))</f>
        <v/>
      </c>
    </row>
    <row r="463" spans="2:6">
      <c r="B463" s="119" t="str">
        <f ca="1">IF(IFERROR(INDEX((COPIA!$DA$3:$DE$2300),MATCH(ROWS(B$8:B463),COPIA!$DF$3:$DF$2300,0),COLUMN()-1),"")&gt;=1,IFERROR(INDEX((COPIA!$DA$3:$DE$2300),MATCH(ROWS(B$8:B463),COPIA!$DF$3:$DF$2300,0),COLUMN()-1),""),"")</f>
        <v/>
      </c>
      <c r="C463" s="118" t="str">
        <f ca="1">SUBSTITUTE(IFERROR(INDEX((COPIA!$DA$3:$DE$2300),MATCH(ROWS(C$8:C463),COPIA!$DF$3:$DF$2300,0),COLUMN()-1),""),"MASTRO","")</f>
        <v/>
      </c>
      <c r="D463" s="29" t="str">
        <f ca="1">IF(IFERROR(INDEX((COPIA!$DA$3:$DE$2300),MATCH(ROWS(D$8:D463),COPIA!$DF$3:$DF$2300,0),COLUMN()-1),"")=0,"",IFERROR(INDEX((COPIA!$DA$3:$DE$2300),MATCH(ROWS(D$8:D463),COPIA!$DF$3:$DF$2300,0),COLUMN()-1),""))</f>
        <v/>
      </c>
      <c r="E463" s="45" t="str">
        <f ca="1">IF(IFERROR(INDEX((COPIA!$DA$3:$DE$2300),MATCH(ROWS(E$8:E463),COPIA!$DF$3:$DF$2300,0),COLUMN()-1),"")=0,"",IFERROR(INDEX((COPIA!$DA$3:$DE$2300),MATCH(ROWS(E$8:E463),COPIA!$DF$3:$DF$2300,0),COLUMN()-1),""))</f>
        <v/>
      </c>
      <c r="F463" s="120" t="str">
        <f ca="1">IF(IFERROR(INDEX((COPIA!$DA$3:$DE$2300),MATCH(ROWS(F$8:F463),COPIA!$DF$3:$DF$2300,0),COLUMN()-1),"")=0,"",IFERROR(INDEX((COPIA!$DA$3:$DE$2300),MATCH(ROWS(F$8:F463),COPIA!$DF$3:$DF$2300,0),COLUMN()-1),""))</f>
        <v/>
      </c>
    </row>
    <row r="464" spans="2:6">
      <c r="B464" s="119" t="str">
        <f ca="1">IF(IFERROR(INDEX((COPIA!$DA$3:$DE$2300),MATCH(ROWS(B$8:B464),COPIA!$DF$3:$DF$2300,0),COLUMN()-1),"")&gt;=1,IFERROR(INDEX((COPIA!$DA$3:$DE$2300),MATCH(ROWS(B$8:B464),COPIA!$DF$3:$DF$2300,0),COLUMN()-1),""),"")</f>
        <v/>
      </c>
      <c r="C464" s="118" t="str">
        <f ca="1">SUBSTITUTE(IFERROR(INDEX((COPIA!$DA$3:$DE$2300),MATCH(ROWS(C$8:C464),COPIA!$DF$3:$DF$2300,0),COLUMN()-1),""),"MASTRO","")</f>
        <v/>
      </c>
      <c r="D464" s="29" t="str">
        <f ca="1">IF(IFERROR(INDEX((COPIA!$DA$3:$DE$2300),MATCH(ROWS(D$8:D464),COPIA!$DF$3:$DF$2300,0),COLUMN()-1),"")=0,"",IFERROR(INDEX((COPIA!$DA$3:$DE$2300),MATCH(ROWS(D$8:D464),COPIA!$DF$3:$DF$2300,0),COLUMN()-1),""))</f>
        <v/>
      </c>
      <c r="E464" s="45" t="str">
        <f ca="1">IF(IFERROR(INDEX((COPIA!$DA$3:$DE$2300),MATCH(ROWS(E$8:E464),COPIA!$DF$3:$DF$2300,0),COLUMN()-1),"")=0,"",IFERROR(INDEX((COPIA!$DA$3:$DE$2300),MATCH(ROWS(E$8:E464),COPIA!$DF$3:$DF$2300,0),COLUMN()-1),""))</f>
        <v/>
      </c>
      <c r="F464" s="120" t="str">
        <f ca="1">IF(IFERROR(INDEX((COPIA!$DA$3:$DE$2300),MATCH(ROWS(F$8:F464),COPIA!$DF$3:$DF$2300,0),COLUMN()-1),"")=0,"",IFERROR(INDEX((COPIA!$DA$3:$DE$2300),MATCH(ROWS(F$8:F464),COPIA!$DF$3:$DF$2300,0),COLUMN()-1),""))</f>
        <v/>
      </c>
    </row>
    <row r="465" spans="2:6">
      <c r="B465" s="119" t="str">
        <f ca="1">IF(IFERROR(INDEX((COPIA!$DA$3:$DE$2300),MATCH(ROWS(B$8:B465),COPIA!$DF$3:$DF$2300,0),COLUMN()-1),"")&gt;=1,IFERROR(INDEX((COPIA!$DA$3:$DE$2300),MATCH(ROWS(B$8:B465),COPIA!$DF$3:$DF$2300,0),COLUMN()-1),""),"")</f>
        <v/>
      </c>
      <c r="C465" s="118" t="str">
        <f ca="1">SUBSTITUTE(IFERROR(INDEX((COPIA!$DA$3:$DE$2300),MATCH(ROWS(C$8:C465),COPIA!$DF$3:$DF$2300,0),COLUMN()-1),""),"MASTRO","")</f>
        <v/>
      </c>
      <c r="D465" s="29" t="str">
        <f ca="1">IF(IFERROR(INDEX((COPIA!$DA$3:$DE$2300),MATCH(ROWS(D$8:D465),COPIA!$DF$3:$DF$2300,0),COLUMN()-1),"")=0,"",IFERROR(INDEX((COPIA!$DA$3:$DE$2300),MATCH(ROWS(D$8:D465),COPIA!$DF$3:$DF$2300,0),COLUMN()-1),""))</f>
        <v/>
      </c>
      <c r="E465" s="45" t="str">
        <f ca="1">IF(IFERROR(INDEX((COPIA!$DA$3:$DE$2300),MATCH(ROWS(E$8:E465),COPIA!$DF$3:$DF$2300,0),COLUMN()-1),"")=0,"",IFERROR(INDEX((COPIA!$DA$3:$DE$2300),MATCH(ROWS(E$8:E465),COPIA!$DF$3:$DF$2300,0),COLUMN()-1),""))</f>
        <v/>
      </c>
      <c r="F465" s="120" t="str">
        <f ca="1">IF(IFERROR(INDEX((COPIA!$DA$3:$DE$2300),MATCH(ROWS(F$8:F465),COPIA!$DF$3:$DF$2300,0),COLUMN()-1),"")=0,"",IFERROR(INDEX((COPIA!$DA$3:$DE$2300),MATCH(ROWS(F$8:F465),COPIA!$DF$3:$DF$2300,0),COLUMN()-1),""))</f>
        <v/>
      </c>
    </row>
    <row r="466" spans="2:6">
      <c r="B466" s="119" t="str">
        <f ca="1">IF(IFERROR(INDEX((COPIA!$DA$3:$DE$2300),MATCH(ROWS(B$8:B466),COPIA!$DF$3:$DF$2300,0),COLUMN()-1),"")&gt;=1,IFERROR(INDEX((COPIA!$DA$3:$DE$2300),MATCH(ROWS(B$8:B466),COPIA!$DF$3:$DF$2300,0),COLUMN()-1),""),"")</f>
        <v/>
      </c>
      <c r="C466" s="118" t="str">
        <f ca="1">SUBSTITUTE(IFERROR(INDEX((COPIA!$DA$3:$DE$2300),MATCH(ROWS(C$8:C466),COPIA!$DF$3:$DF$2300,0),COLUMN()-1),""),"MASTRO","")</f>
        <v/>
      </c>
      <c r="D466" s="29" t="str">
        <f ca="1">IF(IFERROR(INDEX((COPIA!$DA$3:$DE$2300),MATCH(ROWS(D$8:D466),COPIA!$DF$3:$DF$2300,0),COLUMN()-1),"")=0,"",IFERROR(INDEX((COPIA!$DA$3:$DE$2300),MATCH(ROWS(D$8:D466),COPIA!$DF$3:$DF$2300,0),COLUMN()-1),""))</f>
        <v/>
      </c>
      <c r="E466" s="45" t="str">
        <f ca="1">IF(IFERROR(INDEX((COPIA!$DA$3:$DE$2300),MATCH(ROWS(E$8:E466),COPIA!$DF$3:$DF$2300,0),COLUMN()-1),"")=0,"",IFERROR(INDEX((COPIA!$DA$3:$DE$2300),MATCH(ROWS(E$8:E466),COPIA!$DF$3:$DF$2300,0),COLUMN()-1),""))</f>
        <v/>
      </c>
      <c r="F466" s="120" t="str">
        <f ca="1">IF(IFERROR(INDEX((COPIA!$DA$3:$DE$2300),MATCH(ROWS(F$8:F466),COPIA!$DF$3:$DF$2300,0),COLUMN()-1),"")=0,"",IFERROR(INDEX((COPIA!$DA$3:$DE$2300),MATCH(ROWS(F$8:F466),COPIA!$DF$3:$DF$2300,0),COLUMN()-1),""))</f>
        <v/>
      </c>
    </row>
    <row r="467" spans="2:6">
      <c r="B467" s="119" t="str">
        <f ca="1">IF(IFERROR(INDEX((COPIA!$DA$3:$DE$2300),MATCH(ROWS(B$8:B467),COPIA!$DF$3:$DF$2300,0),COLUMN()-1),"")&gt;=1,IFERROR(INDEX((COPIA!$DA$3:$DE$2300),MATCH(ROWS(B$8:B467),COPIA!$DF$3:$DF$2300,0),COLUMN()-1),""),"")</f>
        <v/>
      </c>
      <c r="C467" s="118" t="str">
        <f ca="1">SUBSTITUTE(IFERROR(INDEX((COPIA!$DA$3:$DE$2300),MATCH(ROWS(C$8:C467),COPIA!$DF$3:$DF$2300,0),COLUMN()-1),""),"MASTRO","")</f>
        <v/>
      </c>
      <c r="D467" s="29" t="str">
        <f ca="1">IF(IFERROR(INDEX((COPIA!$DA$3:$DE$2300),MATCH(ROWS(D$8:D467),COPIA!$DF$3:$DF$2300,0),COLUMN()-1),"")=0,"",IFERROR(INDEX((COPIA!$DA$3:$DE$2300),MATCH(ROWS(D$8:D467),COPIA!$DF$3:$DF$2300,0),COLUMN()-1),""))</f>
        <v/>
      </c>
      <c r="E467" s="45" t="str">
        <f ca="1">IF(IFERROR(INDEX((COPIA!$DA$3:$DE$2300),MATCH(ROWS(E$8:E467),COPIA!$DF$3:$DF$2300,0),COLUMN()-1),"")=0,"",IFERROR(INDEX((COPIA!$DA$3:$DE$2300),MATCH(ROWS(E$8:E467),COPIA!$DF$3:$DF$2300,0),COLUMN()-1),""))</f>
        <v/>
      </c>
      <c r="F467" s="120" t="str">
        <f ca="1">IF(IFERROR(INDEX((COPIA!$DA$3:$DE$2300),MATCH(ROWS(F$8:F467),COPIA!$DF$3:$DF$2300,0),COLUMN()-1),"")=0,"",IFERROR(INDEX((COPIA!$DA$3:$DE$2300),MATCH(ROWS(F$8:F467),COPIA!$DF$3:$DF$2300,0),COLUMN()-1),""))</f>
        <v/>
      </c>
    </row>
    <row r="468" spans="2:6">
      <c r="B468" s="119" t="str">
        <f ca="1">IF(IFERROR(INDEX((COPIA!$DA$3:$DE$2300),MATCH(ROWS(B$8:B468),COPIA!$DF$3:$DF$2300,0),COLUMN()-1),"")&gt;=1,IFERROR(INDEX((COPIA!$DA$3:$DE$2300),MATCH(ROWS(B$8:B468),COPIA!$DF$3:$DF$2300,0),COLUMN()-1),""),"")</f>
        <v/>
      </c>
      <c r="C468" s="118" t="str">
        <f ca="1">SUBSTITUTE(IFERROR(INDEX((COPIA!$DA$3:$DE$2300),MATCH(ROWS(C$8:C468),COPIA!$DF$3:$DF$2300,0),COLUMN()-1),""),"MASTRO","")</f>
        <v/>
      </c>
      <c r="D468" s="29" t="str">
        <f ca="1">IF(IFERROR(INDEX((COPIA!$DA$3:$DE$2300),MATCH(ROWS(D$8:D468),COPIA!$DF$3:$DF$2300,0),COLUMN()-1),"")=0,"",IFERROR(INDEX((COPIA!$DA$3:$DE$2300),MATCH(ROWS(D$8:D468),COPIA!$DF$3:$DF$2300,0),COLUMN()-1),""))</f>
        <v/>
      </c>
      <c r="E468" s="45" t="str">
        <f ca="1">IF(IFERROR(INDEX((COPIA!$DA$3:$DE$2300),MATCH(ROWS(E$8:E468),COPIA!$DF$3:$DF$2300,0),COLUMN()-1),"")=0,"",IFERROR(INDEX((COPIA!$DA$3:$DE$2300),MATCH(ROWS(E$8:E468),COPIA!$DF$3:$DF$2300,0),COLUMN()-1),""))</f>
        <v/>
      </c>
      <c r="F468" s="120" t="str">
        <f ca="1">IF(IFERROR(INDEX((COPIA!$DA$3:$DE$2300),MATCH(ROWS(F$8:F468),COPIA!$DF$3:$DF$2300,0),COLUMN()-1),"")=0,"",IFERROR(INDEX((COPIA!$DA$3:$DE$2300),MATCH(ROWS(F$8:F468),COPIA!$DF$3:$DF$2300,0),COLUMN()-1),""))</f>
        <v/>
      </c>
    </row>
    <row r="469" spans="2:6">
      <c r="B469" s="119" t="str">
        <f ca="1">IF(IFERROR(INDEX((COPIA!$DA$3:$DE$2300),MATCH(ROWS(B$8:B469),COPIA!$DF$3:$DF$2300,0),COLUMN()-1),"")&gt;=1,IFERROR(INDEX((COPIA!$DA$3:$DE$2300),MATCH(ROWS(B$8:B469),COPIA!$DF$3:$DF$2300,0),COLUMN()-1),""),"")</f>
        <v/>
      </c>
      <c r="C469" s="118" t="str">
        <f ca="1">SUBSTITUTE(IFERROR(INDEX((COPIA!$DA$3:$DE$2300),MATCH(ROWS(C$8:C469),COPIA!$DF$3:$DF$2300,0),COLUMN()-1),""),"MASTRO","")</f>
        <v/>
      </c>
      <c r="D469" s="29" t="str">
        <f ca="1">IF(IFERROR(INDEX((COPIA!$DA$3:$DE$2300),MATCH(ROWS(D$8:D469),COPIA!$DF$3:$DF$2300,0),COLUMN()-1),"")=0,"",IFERROR(INDEX((COPIA!$DA$3:$DE$2300),MATCH(ROWS(D$8:D469),COPIA!$DF$3:$DF$2300,0),COLUMN()-1),""))</f>
        <v/>
      </c>
      <c r="E469" s="45" t="str">
        <f ca="1">IF(IFERROR(INDEX((COPIA!$DA$3:$DE$2300),MATCH(ROWS(E$8:E469),COPIA!$DF$3:$DF$2300,0),COLUMN()-1),"")=0,"",IFERROR(INDEX((COPIA!$DA$3:$DE$2300),MATCH(ROWS(E$8:E469),COPIA!$DF$3:$DF$2300,0),COLUMN()-1),""))</f>
        <v/>
      </c>
      <c r="F469" s="120" t="str">
        <f ca="1">IF(IFERROR(INDEX((COPIA!$DA$3:$DE$2300),MATCH(ROWS(F$8:F469),COPIA!$DF$3:$DF$2300,0),COLUMN()-1),"")=0,"",IFERROR(INDEX((COPIA!$DA$3:$DE$2300),MATCH(ROWS(F$8:F469),COPIA!$DF$3:$DF$2300,0),COLUMN()-1),""))</f>
        <v/>
      </c>
    </row>
    <row r="470" spans="2:6">
      <c r="B470" s="119" t="str">
        <f ca="1">IF(IFERROR(INDEX((COPIA!$DA$3:$DE$2300),MATCH(ROWS(B$8:B470),COPIA!$DF$3:$DF$2300,0),COLUMN()-1),"")&gt;=1,IFERROR(INDEX((COPIA!$DA$3:$DE$2300),MATCH(ROWS(B$8:B470),COPIA!$DF$3:$DF$2300,0),COLUMN()-1),""),"")</f>
        <v/>
      </c>
      <c r="C470" s="118" t="str">
        <f ca="1">SUBSTITUTE(IFERROR(INDEX((COPIA!$DA$3:$DE$2300),MATCH(ROWS(C$8:C470),COPIA!$DF$3:$DF$2300,0),COLUMN()-1),""),"MASTRO","")</f>
        <v/>
      </c>
      <c r="D470" s="29" t="str">
        <f ca="1">IF(IFERROR(INDEX((COPIA!$DA$3:$DE$2300),MATCH(ROWS(D$8:D470),COPIA!$DF$3:$DF$2300,0),COLUMN()-1),"")=0,"",IFERROR(INDEX((COPIA!$DA$3:$DE$2300),MATCH(ROWS(D$8:D470),COPIA!$DF$3:$DF$2300,0),COLUMN()-1),""))</f>
        <v/>
      </c>
      <c r="E470" s="45" t="str">
        <f ca="1">IF(IFERROR(INDEX((COPIA!$DA$3:$DE$2300),MATCH(ROWS(E$8:E470),COPIA!$DF$3:$DF$2300,0),COLUMN()-1),"")=0,"",IFERROR(INDEX((COPIA!$DA$3:$DE$2300),MATCH(ROWS(E$8:E470),COPIA!$DF$3:$DF$2300,0),COLUMN()-1),""))</f>
        <v/>
      </c>
      <c r="F470" s="120" t="str">
        <f ca="1">IF(IFERROR(INDEX((COPIA!$DA$3:$DE$2300),MATCH(ROWS(F$8:F470),COPIA!$DF$3:$DF$2300,0),COLUMN()-1),"")=0,"",IFERROR(INDEX((COPIA!$DA$3:$DE$2300),MATCH(ROWS(F$8:F470),COPIA!$DF$3:$DF$2300,0),COLUMN()-1),""))</f>
        <v/>
      </c>
    </row>
    <row r="471" spans="2:6">
      <c r="B471" s="119" t="str">
        <f ca="1">IF(IFERROR(INDEX((COPIA!$DA$3:$DE$2300),MATCH(ROWS(B$8:B471),COPIA!$DF$3:$DF$2300,0),COLUMN()-1),"")&gt;=1,IFERROR(INDEX((COPIA!$DA$3:$DE$2300),MATCH(ROWS(B$8:B471),COPIA!$DF$3:$DF$2300,0),COLUMN()-1),""),"")</f>
        <v/>
      </c>
      <c r="C471" s="118" t="str">
        <f ca="1">SUBSTITUTE(IFERROR(INDEX((COPIA!$DA$3:$DE$2300),MATCH(ROWS(C$8:C471),COPIA!$DF$3:$DF$2300,0),COLUMN()-1),""),"MASTRO","")</f>
        <v/>
      </c>
      <c r="D471" s="29" t="str">
        <f ca="1">IF(IFERROR(INDEX((COPIA!$DA$3:$DE$2300),MATCH(ROWS(D$8:D471),COPIA!$DF$3:$DF$2300,0),COLUMN()-1),"")=0,"",IFERROR(INDEX((COPIA!$DA$3:$DE$2300),MATCH(ROWS(D$8:D471),COPIA!$DF$3:$DF$2300,0),COLUMN()-1),""))</f>
        <v/>
      </c>
      <c r="E471" s="45" t="str">
        <f ca="1">IF(IFERROR(INDEX((COPIA!$DA$3:$DE$2300),MATCH(ROWS(E$8:E471),COPIA!$DF$3:$DF$2300,0),COLUMN()-1),"")=0,"",IFERROR(INDEX((COPIA!$DA$3:$DE$2300),MATCH(ROWS(E$8:E471),COPIA!$DF$3:$DF$2300,0),COLUMN()-1),""))</f>
        <v/>
      </c>
      <c r="F471" s="120" t="str">
        <f ca="1">IF(IFERROR(INDEX((COPIA!$DA$3:$DE$2300),MATCH(ROWS(F$8:F471),COPIA!$DF$3:$DF$2300,0),COLUMN()-1),"")=0,"",IFERROR(INDEX((COPIA!$DA$3:$DE$2300),MATCH(ROWS(F$8:F471),COPIA!$DF$3:$DF$2300,0),COLUMN()-1),""))</f>
        <v/>
      </c>
    </row>
    <row r="472" spans="2:6">
      <c r="B472" s="119" t="str">
        <f ca="1">IF(IFERROR(INDEX((COPIA!$DA$3:$DE$2300),MATCH(ROWS(B$8:B472),COPIA!$DF$3:$DF$2300,0),COLUMN()-1),"")&gt;=1,IFERROR(INDEX((COPIA!$DA$3:$DE$2300),MATCH(ROWS(B$8:B472),COPIA!$DF$3:$DF$2300,0),COLUMN()-1),""),"")</f>
        <v/>
      </c>
      <c r="C472" s="118" t="str">
        <f ca="1">SUBSTITUTE(IFERROR(INDEX((COPIA!$DA$3:$DE$2300),MATCH(ROWS(C$8:C472),COPIA!$DF$3:$DF$2300,0),COLUMN()-1),""),"MASTRO","")</f>
        <v/>
      </c>
      <c r="D472" s="29" t="str">
        <f ca="1">IF(IFERROR(INDEX((COPIA!$DA$3:$DE$2300),MATCH(ROWS(D$8:D472),COPIA!$DF$3:$DF$2300,0),COLUMN()-1),"")=0,"",IFERROR(INDEX((COPIA!$DA$3:$DE$2300),MATCH(ROWS(D$8:D472),COPIA!$DF$3:$DF$2300,0),COLUMN()-1),""))</f>
        <v/>
      </c>
      <c r="E472" s="45" t="str">
        <f ca="1">IF(IFERROR(INDEX((COPIA!$DA$3:$DE$2300),MATCH(ROWS(E$8:E472),COPIA!$DF$3:$DF$2300,0),COLUMN()-1),"")=0,"",IFERROR(INDEX((COPIA!$DA$3:$DE$2300),MATCH(ROWS(E$8:E472),COPIA!$DF$3:$DF$2300,0),COLUMN()-1),""))</f>
        <v/>
      </c>
      <c r="F472" s="120" t="str">
        <f ca="1">IF(IFERROR(INDEX((COPIA!$DA$3:$DE$2300),MATCH(ROWS(F$8:F472),COPIA!$DF$3:$DF$2300,0),COLUMN()-1),"")=0,"",IFERROR(INDEX((COPIA!$DA$3:$DE$2300),MATCH(ROWS(F$8:F472),COPIA!$DF$3:$DF$2300,0),COLUMN()-1),""))</f>
        <v/>
      </c>
    </row>
    <row r="473" spans="2:6">
      <c r="B473" s="119" t="str">
        <f ca="1">IF(IFERROR(INDEX((COPIA!$DA$3:$DE$2300),MATCH(ROWS(B$8:B473),COPIA!$DF$3:$DF$2300,0),COLUMN()-1),"")&gt;=1,IFERROR(INDEX((COPIA!$DA$3:$DE$2300),MATCH(ROWS(B$8:B473),COPIA!$DF$3:$DF$2300,0),COLUMN()-1),""),"")</f>
        <v/>
      </c>
      <c r="C473" s="118" t="str">
        <f ca="1">SUBSTITUTE(IFERROR(INDEX((COPIA!$DA$3:$DE$2300),MATCH(ROWS(C$8:C473),COPIA!$DF$3:$DF$2300,0),COLUMN()-1),""),"MASTRO","")</f>
        <v/>
      </c>
      <c r="D473" s="29" t="str">
        <f ca="1">IF(IFERROR(INDEX((COPIA!$DA$3:$DE$2300),MATCH(ROWS(D$8:D473),COPIA!$DF$3:$DF$2300,0),COLUMN()-1),"")=0,"",IFERROR(INDEX((COPIA!$DA$3:$DE$2300),MATCH(ROWS(D$8:D473),COPIA!$DF$3:$DF$2300,0),COLUMN()-1),""))</f>
        <v/>
      </c>
      <c r="E473" s="45" t="str">
        <f ca="1">IF(IFERROR(INDEX((COPIA!$DA$3:$DE$2300),MATCH(ROWS(E$8:E473),COPIA!$DF$3:$DF$2300,0),COLUMN()-1),"")=0,"",IFERROR(INDEX((COPIA!$DA$3:$DE$2300),MATCH(ROWS(E$8:E473),COPIA!$DF$3:$DF$2300,0),COLUMN()-1),""))</f>
        <v/>
      </c>
      <c r="F473" s="120" t="str">
        <f ca="1">IF(IFERROR(INDEX((COPIA!$DA$3:$DE$2300),MATCH(ROWS(F$8:F473),COPIA!$DF$3:$DF$2300,0),COLUMN()-1),"")=0,"",IFERROR(INDEX((COPIA!$DA$3:$DE$2300),MATCH(ROWS(F$8:F473),COPIA!$DF$3:$DF$2300,0),COLUMN()-1),""))</f>
        <v/>
      </c>
    </row>
    <row r="474" spans="2:6">
      <c r="B474" s="119" t="str">
        <f ca="1">IF(IFERROR(INDEX((COPIA!$DA$3:$DE$2300),MATCH(ROWS(B$8:B474),COPIA!$DF$3:$DF$2300,0),COLUMN()-1),"")&gt;=1,IFERROR(INDEX((COPIA!$DA$3:$DE$2300),MATCH(ROWS(B$8:B474),COPIA!$DF$3:$DF$2300,0),COLUMN()-1),""),"")</f>
        <v/>
      </c>
      <c r="C474" s="118" t="str">
        <f ca="1">SUBSTITUTE(IFERROR(INDEX((COPIA!$DA$3:$DE$2300),MATCH(ROWS(C$8:C474),COPIA!$DF$3:$DF$2300,0),COLUMN()-1),""),"MASTRO","")</f>
        <v/>
      </c>
      <c r="D474" s="29" t="str">
        <f ca="1">IF(IFERROR(INDEX((COPIA!$DA$3:$DE$2300),MATCH(ROWS(D$8:D474),COPIA!$DF$3:$DF$2300,0),COLUMN()-1),"")=0,"",IFERROR(INDEX((COPIA!$DA$3:$DE$2300),MATCH(ROWS(D$8:D474),COPIA!$DF$3:$DF$2300,0),COLUMN()-1),""))</f>
        <v/>
      </c>
      <c r="E474" s="45" t="str">
        <f ca="1">IF(IFERROR(INDEX((COPIA!$DA$3:$DE$2300),MATCH(ROWS(E$8:E474),COPIA!$DF$3:$DF$2300,0),COLUMN()-1),"")=0,"",IFERROR(INDEX((COPIA!$DA$3:$DE$2300),MATCH(ROWS(E$8:E474),COPIA!$DF$3:$DF$2300,0),COLUMN()-1),""))</f>
        <v/>
      </c>
      <c r="F474" s="120" t="str">
        <f ca="1">IF(IFERROR(INDEX((COPIA!$DA$3:$DE$2300),MATCH(ROWS(F$8:F474),COPIA!$DF$3:$DF$2300,0),COLUMN()-1),"")=0,"",IFERROR(INDEX((COPIA!$DA$3:$DE$2300),MATCH(ROWS(F$8:F474),COPIA!$DF$3:$DF$2300,0),COLUMN()-1),""))</f>
        <v/>
      </c>
    </row>
    <row r="475" spans="2:6">
      <c r="B475" s="119" t="str">
        <f ca="1">IF(IFERROR(INDEX((COPIA!$DA$3:$DE$2300),MATCH(ROWS(B$8:B475),COPIA!$DF$3:$DF$2300,0),COLUMN()-1),"")&gt;=1,IFERROR(INDEX((COPIA!$DA$3:$DE$2300),MATCH(ROWS(B$8:B475),COPIA!$DF$3:$DF$2300,0),COLUMN()-1),""),"")</f>
        <v/>
      </c>
      <c r="C475" s="118" t="str">
        <f ca="1">SUBSTITUTE(IFERROR(INDEX((COPIA!$DA$3:$DE$2300),MATCH(ROWS(C$8:C475),COPIA!$DF$3:$DF$2300,0),COLUMN()-1),""),"MASTRO","")</f>
        <v/>
      </c>
      <c r="D475" s="29" t="str">
        <f ca="1">IF(IFERROR(INDEX((COPIA!$DA$3:$DE$2300),MATCH(ROWS(D$8:D475),COPIA!$DF$3:$DF$2300,0),COLUMN()-1),"")=0,"",IFERROR(INDEX((COPIA!$DA$3:$DE$2300),MATCH(ROWS(D$8:D475),COPIA!$DF$3:$DF$2300,0),COLUMN()-1),""))</f>
        <v/>
      </c>
      <c r="E475" s="45" t="str">
        <f ca="1">IF(IFERROR(INDEX((COPIA!$DA$3:$DE$2300),MATCH(ROWS(E$8:E475),COPIA!$DF$3:$DF$2300,0),COLUMN()-1),"")=0,"",IFERROR(INDEX((COPIA!$DA$3:$DE$2300),MATCH(ROWS(E$8:E475),COPIA!$DF$3:$DF$2300,0),COLUMN()-1),""))</f>
        <v/>
      </c>
      <c r="F475" s="120" t="str">
        <f ca="1">IF(IFERROR(INDEX((COPIA!$DA$3:$DE$2300),MATCH(ROWS(F$8:F475),COPIA!$DF$3:$DF$2300,0),COLUMN()-1),"")=0,"",IFERROR(INDEX((COPIA!$DA$3:$DE$2300),MATCH(ROWS(F$8:F475),COPIA!$DF$3:$DF$2300,0),COLUMN()-1),""))</f>
        <v/>
      </c>
    </row>
    <row r="476" spans="2:6">
      <c r="B476" s="119" t="str">
        <f ca="1">IF(IFERROR(INDEX((COPIA!$DA$3:$DE$2300),MATCH(ROWS(B$8:B476),COPIA!$DF$3:$DF$2300,0),COLUMN()-1),"")&gt;=1,IFERROR(INDEX((COPIA!$DA$3:$DE$2300),MATCH(ROWS(B$8:B476),COPIA!$DF$3:$DF$2300,0),COLUMN()-1),""),"")</f>
        <v/>
      </c>
      <c r="C476" s="118" t="str">
        <f ca="1">SUBSTITUTE(IFERROR(INDEX((COPIA!$DA$3:$DE$2300),MATCH(ROWS(C$8:C476),COPIA!$DF$3:$DF$2300,0),COLUMN()-1),""),"MASTRO","")</f>
        <v/>
      </c>
      <c r="D476" s="29" t="str">
        <f ca="1">IF(IFERROR(INDEX((COPIA!$DA$3:$DE$2300),MATCH(ROWS(D$8:D476),COPIA!$DF$3:$DF$2300,0),COLUMN()-1),"")=0,"",IFERROR(INDEX((COPIA!$DA$3:$DE$2300),MATCH(ROWS(D$8:D476),COPIA!$DF$3:$DF$2300,0),COLUMN()-1),""))</f>
        <v/>
      </c>
      <c r="E476" s="45" t="str">
        <f ca="1">IF(IFERROR(INDEX((COPIA!$DA$3:$DE$2300),MATCH(ROWS(E$8:E476),COPIA!$DF$3:$DF$2300,0),COLUMN()-1),"")=0,"",IFERROR(INDEX((COPIA!$DA$3:$DE$2300),MATCH(ROWS(E$8:E476),COPIA!$DF$3:$DF$2300,0),COLUMN()-1),""))</f>
        <v/>
      </c>
      <c r="F476" s="120" t="str">
        <f ca="1">IF(IFERROR(INDEX((COPIA!$DA$3:$DE$2300),MATCH(ROWS(F$8:F476),COPIA!$DF$3:$DF$2300,0),COLUMN()-1),"")=0,"",IFERROR(INDEX((COPIA!$DA$3:$DE$2300),MATCH(ROWS(F$8:F476),COPIA!$DF$3:$DF$2300,0),COLUMN()-1),""))</f>
        <v/>
      </c>
    </row>
    <row r="477" spans="2:6">
      <c r="B477" s="119" t="str">
        <f ca="1">IF(IFERROR(INDEX((COPIA!$DA$3:$DE$2300),MATCH(ROWS(B$8:B477),COPIA!$DF$3:$DF$2300,0),COLUMN()-1),"")&gt;=1,IFERROR(INDEX((COPIA!$DA$3:$DE$2300),MATCH(ROWS(B$8:B477),COPIA!$DF$3:$DF$2300,0),COLUMN()-1),""),"")</f>
        <v/>
      </c>
      <c r="C477" s="118" t="str">
        <f ca="1">SUBSTITUTE(IFERROR(INDEX((COPIA!$DA$3:$DE$2300),MATCH(ROWS(C$8:C477),COPIA!$DF$3:$DF$2300,0),COLUMN()-1),""),"MASTRO","")</f>
        <v/>
      </c>
      <c r="D477" s="29" t="str">
        <f ca="1">IF(IFERROR(INDEX((COPIA!$DA$3:$DE$2300),MATCH(ROWS(D$8:D477),COPIA!$DF$3:$DF$2300,0),COLUMN()-1),"")=0,"",IFERROR(INDEX((COPIA!$DA$3:$DE$2300),MATCH(ROWS(D$8:D477),COPIA!$DF$3:$DF$2300,0),COLUMN()-1),""))</f>
        <v/>
      </c>
      <c r="E477" s="45" t="str">
        <f ca="1">IF(IFERROR(INDEX((COPIA!$DA$3:$DE$2300),MATCH(ROWS(E$8:E477),COPIA!$DF$3:$DF$2300,0),COLUMN()-1),"")=0,"",IFERROR(INDEX((COPIA!$DA$3:$DE$2300),MATCH(ROWS(E$8:E477),COPIA!$DF$3:$DF$2300,0),COLUMN()-1),""))</f>
        <v/>
      </c>
      <c r="F477" s="120" t="str">
        <f ca="1">IF(IFERROR(INDEX((COPIA!$DA$3:$DE$2300),MATCH(ROWS(F$8:F477),COPIA!$DF$3:$DF$2300,0),COLUMN()-1),"")=0,"",IFERROR(INDEX((COPIA!$DA$3:$DE$2300),MATCH(ROWS(F$8:F477),COPIA!$DF$3:$DF$2300,0),COLUMN()-1),""))</f>
        <v/>
      </c>
    </row>
    <row r="478" spans="2:6">
      <c r="B478" s="119" t="str">
        <f ca="1">IF(IFERROR(INDEX((COPIA!$DA$3:$DE$2300),MATCH(ROWS(B$8:B478),COPIA!$DF$3:$DF$2300,0),COLUMN()-1),"")&gt;=1,IFERROR(INDEX((COPIA!$DA$3:$DE$2300),MATCH(ROWS(B$8:B478),COPIA!$DF$3:$DF$2300,0),COLUMN()-1),""),"")</f>
        <v/>
      </c>
      <c r="C478" s="118" t="str">
        <f ca="1">SUBSTITUTE(IFERROR(INDEX((COPIA!$DA$3:$DE$2300),MATCH(ROWS(C$8:C478),COPIA!$DF$3:$DF$2300,0),COLUMN()-1),""),"MASTRO","")</f>
        <v/>
      </c>
      <c r="D478" s="29" t="str">
        <f ca="1">IF(IFERROR(INDEX((COPIA!$DA$3:$DE$2300),MATCH(ROWS(D$8:D478),COPIA!$DF$3:$DF$2300,0),COLUMN()-1),"")=0,"",IFERROR(INDEX((COPIA!$DA$3:$DE$2300),MATCH(ROWS(D$8:D478),COPIA!$DF$3:$DF$2300,0),COLUMN()-1),""))</f>
        <v/>
      </c>
      <c r="E478" s="45" t="str">
        <f ca="1">IF(IFERROR(INDEX((COPIA!$DA$3:$DE$2300),MATCH(ROWS(E$8:E478),COPIA!$DF$3:$DF$2300,0),COLUMN()-1),"")=0,"",IFERROR(INDEX((COPIA!$DA$3:$DE$2300),MATCH(ROWS(E$8:E478),COPIA!$DF$3:$DF$2300,0),COLUMN()-1),""))</f>
        <v/>
      </c>
      <c r="F478" s="120" t="str">
        <f ca="1">IF(IFERROR(INDEX((COPIA!$DA$3:$DE$2300),MATCH(ROWS(F$8:F478),COPIA!$DF$3:$DF$2300,0),COLUMN()-1),"")=0,"",IFERROR(INDEX((COPIA!$DA$3:$DE$2300),MATCH(ROWS(F$8:F478),COPIA!$DF$3:$DF$2300,0),COLUMN()-1),""))</f>
        <v/>
      </c>
    </row>
    <row r="479" spans="2:6">
      <c r="B479" s="119" t="str">
        <f ca="1">IF(IFERROR(INDEX((COPIA!$DA$3:$DE$2300),MATCH(ROWS(B$8:B479),COPIA!$DF$3:$DF$2300,0),COLUMN()-1),"")&gt;=1,IFERROR(INDEX((COPIA!$DA$3:$DE$2300),MATCH(ROWS(B$8:B479),COPIA!$DF$3:$DF$2300,0),COLUMN()-1),""),"")</f>
        <v/>
      </c>
      <c r="C479" s="118" t="str">
        <f ca="1">SUBSTITUTE(IFERROR(INDEX((COPIA!$DA$3:$DE$2300),MATCH(ROWS(C$8:C479),COPIA!$DF$3:$DF$2300,0),COLUMN()-1),""),"MASTRO","")</f>
        <v/>
      </c>
      <c r="D479" s="29" t="str">
        <f ca="1">IF(IFERROR(INDEX((COPIA!$DA$3:$DE$2300),MATCH(ROWS(D$8:D479),COPIA!$DF$3:$DF$2300,0),COLUMN()-1),"")=0,"",IFERROR(INDEX((COPIA!$DA$3:$DE$2300),MATCH(ROWS(D$8:D479),COPIA!$DF$3:$DF$2300,0),COLUMN()-1),""))</f>
        <v/>
      </c>
      <c r="E479" s="45" t="str">
        <f ca="1">IF(IFERROR(INDEX((COPIA!$DA$3:$DE$2300),MATCH(ROWS(E$8:E479),COPIA!$DF$3:$DF$2300,0),COLUMN()-1),"")=0,"",IFERROR(INDEX((COPIA!$DA$3:$DE$2300),MATCH(ROWS(E$8:E479),COPIA!$DF$3:$DF$2300,0),COLUMN()-1),""))</f>
        <v/>
      </c>
      <c r="F479" s="120" t="str">
        <f ca="1">IF(IFERROR(INDEX((COPIA!$DA$3:$DE$2300),MATCH(ROWS(F$8:F479),COPIA!$DF$3:$DF$2300,0),COLUMN()-1),"")=0,"",IFERROR(INDEX((COPIA!$DA$3:$DE$2300),MATCH(ROWS(F$8:F479),COPIA!$DF$3:$DF$2300,0),COLUMN()-1),""))</f>
        <v/>
      </c>
    </row>
    <row r="480" spans="2:6">
      <c r="B480" s="119" t="str">
        <f ca="1">IF(IFERROR(INDEX((COPIA!$DA$3:$DE$2300),MATCH(ROWS(B$8:B480),COPIA!$DF$3:$DF$2300,0),COLUMN()-1),"")&gt;=1,IFERROR(INDEX((COPIA!$DA$3:$DE$2300),MATCH(ROWS(B$8:B480),COPIA!$DF$3:$DF$2300,0),COLUMN()-1),""),"")</f>
        <v/>
      </c>
      <c r="C480" s="118" t="str">
        <f ca="1">SUBSTITUTE(IFERROR(INDEX((COPIA!$DA$3:$DE$2300),MATCH(ROWS(C$8:C480),COPIA!$DF$3:$DF$2300,0),COLUMN()-1),""),"MASTRO","")</f>
        <v/>
      </c>
      <c r="D480" s="29" t="str">
        <f ca="1">IF(IFERROR(INDEX((COPIA!$DA$3:$DE$2300),MATCH(ROWS(D$8:D480),COPIA!$DF$3:$DF$2300,0),COLUMN()-1),"")=0,"",IFERROR(INDEX((COPIA!$DA$3:$DE$2300),MATCH(ROWS(D$8:D480),COPIA!$DF$3:$DF$2300,0),COLUMN()-1),""))</f>
        <v/>
      </c>
      <c r="E480" s="45" t="str">
        <f ca="1">IF(IFERROR(INDEX((COPIA!$DA$3:$DE$2300),MATCH(ROWS(E$8:E480),COPIA!$DF$3:$DF$2300,0),COLUMN()-1),"")=0,"",IFERROR(INDEX((COPIA!$DA$3:$DE$2300),MATCH(ROWS(E$8:E480),COPIA!$DF$3:$DF$2300,0),COLUMN()-1),""))</f>
        <v/>
      </c>
      <c r="F480" s="120" t="str">
        <f ca="1">IF(IFERROR(INDEX((COPIA!$DA$3:$DE$2300),MATCH(ROWS(F$8:F480),COPIA!$DF$3:$DF$2300,0),COLUMN()-1),"")=0,"",IFERROR(INDEX((COPIA!$DA$3:$DE$2300),MATCH(ROWS(F$8:F480),COPIA!$DF$3:$DF$2300,0),COLUMN()-1),""))</f>
        <v/>
      </c>
    </row>
    <row r="481" spans="2:6">
      <c r="B481" s="119" t="str">
        <f ca="1">IF(IFERROR(INDEX((COPIA!$DA$3:$DE$2300),MATCH(ROWS(B$8:B481),COPIA!$DF$3:$DF$2300,0),COLUMN()-1),"")&gt;=1,IFERROR(INDEX((COPIA!$DA$3:$DE$2300),MATCH(ROWS(B$8:B481),COPIA!$DF$3:$DF$2300,0),COLUMN()-1),""),"")</f>
        <v/>
      </c>
      <c r="C481" s="118" t="str">
        <f ca="1">SUBSTITUTE(IFERROR(INDEX((COPIA!$DA$3:$DE$2300),MATCH(ROWS(C$8:C481),COPIA!$DF$3:$DF$2300,0),COLUMN()-1),""),"MASTRO","")</f>
        <v/>
      </c>
      <c r="D481" s="29" t="str">
        <f ca="1">IF(IFERROR(INDEX((COPIA!$DA$3:$DE$2300),MATCH(ROWS(D$8:D481),COPIA!$DF$3:$DF$2300,0),COLUMN()-1),"")=0,"",IFERROR(INDEX((COPIA!$DA$3:$DE$2300),MATCH(ROWS(D$8:D481),COPIA!$DF$3:$DF$2300,0),COLUMN()-1),""))</f>
        <v/>
      </c>
      <c r="E481" s="45" t="str">
        <f ca="1">IF(IFERROR(INDEX((COPIA!$DA$3:$DE$2300),MATCH(ROWS(E$8:E481),COPIA!$DF$3:$DF$2300,0),COLUMN()-1),"")=0,"",IFERROR(INDEX((COPIA!$DA$3:$DE$2300),MATCH(ROWS(E$8:E481),COPIA!$DF$3:$DF$2300,0),COLUMN()-1),""))</f>
        <v/>
      </c>
      <c r="F481" s="120" t="str">
        <f ca="1">IF(IFERROR(INDEX((COPIA!$DA$3:$DE$2300),MATCH(ROWS(F$8:F481),COPIA!$DF$3:$DF$2300,0),COLUMN()-1),"")=0,"",IFERROR(INDEX((COPIA!$DA$3:$DE$2300),MATCH(ROWS(F$8:F481),COPIA!$DF$3:$DF$2300,0),COLUMN()-1),""))</f>
        <v/>
      </c>
    </row>
    <row r="482" spans="2:6">
      <c r="B482" s="119" t="str">
        <f ca="1">IF(IFERROR(INDEX((COPIA!$DA$3:$DE$2300),MATCH(ROWS(B$8:B482),COPIA!$DF$3:$DF$2300,0),COLUMN()-1),"")&gt;=1,IFERROR(INDEX((COPIA!$DA$3:$DE$2300),MATCH(ROWS(B$8:B482),COPIA!$DF$3:$DF$2300,0),COLUMN()-1),""),"")</f>
        <v/>
      </c>
      <c r="C482" s="118" t="str">
        <f ca="1">SUBSTITUTE(IFERROR(INDEX((COPIA!$DA$3:$DE$2300),MATCH(ROWS(C$8:C482),COPIA!$DF$3:$DF$2300,0),COLUMN()-1),""),"MASTRO","")</f>
        <v/>
      </c>
      <c r="D482" s="29" t="str">
        <f ca="1">IF(IFERROR(INDEX((COPIA!$DA$3:$DE$2300),MATCH(ROWS(D$8:D482),COPIA!$DF$3:$DF$2300,0),COLUMN()-1),"")=0,"",IFERROR(INDEX((COPIA!$DA$3:$DE$2300),MATCH(ROWS(D$8:D482),COPIA!$DF$3:$DF$2300,0),COLUMN()-1),""))</f>
        <v/>
      </c>
      <c r="E482" s="45" t="str">
        <f ca="1">IF(IFERROR(INDEX((COPIA!$DA$3:$DE$2300),MATCH(ROWS(E$8:E482),COPIA!$DF$3:$DF$2300,0),COLUMN()-1),"")=0,"",IFERROR(INDEX((COPIA!$DA$3:$DE$2300),MATCH(ROWS(E$8:E482),COPIA!$DF$3:$DF$2300,0),COLUMN()-1),""))</f>
        <v/>
      </c>
      <c r="F482" s="120" t="str">
        <f ca="1">IF(IFERROR(INDEX((COPIA!$DA$3:$DE$2300),MATCH(ROWS(F$8:F482),COPIA!$DF$3:$DF$2300,0),COLUMN()-1),"")=0,"",IFERROR(INDEX((COPIA!$DA$3:$DE$2300),MATCH(ROWS(F$8:F482),COPIA!$DF$3:$DF$2300,0),COLUMN()-1),""))</f>
        <v/>
      </c>
    </row>
    <row r="483" spans="2:6">
      <c r="B483" s="119" t="str">
        <f ca="1">IF(IFERROR(INDEX((COPIA!$DA$3:$DE$2300),MATCH(ROWS(B$8:B483),COPIA!$DF$3:$DF$2300,0),COLUMN()-1),"")&gt;=1,IFERROR(INDEX((COPIA!$DA$3:$DE$2300),MATCH(ROWS(B$8:B483),COPIA!$DF$3:$DF$2300,0),COLUMN()-1),""),"")</f>
        <v/>
      </c>
      <c r="C483" s="118" t="str">
        <f ca="1">SUBSTITUTE(IFERROR(INDEX((COPIA!$DA$3:$DE$2300),MATCH(ROWS(C$8:C483),COPIA!$DF$3:$DF$2300,0),COLUMN()-1),""),"MASTRO","")</f>
        <v/>
      </c>
      <c r="D483" s="29" t="str">
        <f ca="1">IF(IFERROR(INDEX((COPIA!$DA$3:$DE$2300),MATCH(ROWS(D$8:D483),COPIA!$DF$3:$DF$2300,0),COLUMN()-1),"")=0,"",IFERROR(INDEX((COPIA!$DA$3:$DE$2300),MATCH(ROWS(D$8:D483),COPIA!$DF$3:$DF$2300,0),COLUMN()-1),""))</f>
        <v/>
      </c>
      <c r="E483" s="45" t="str">
        <f ca="1">IF(IFERROR(INDEX((COPIA!$DA$3:$DE$2300),MATCH(ROWS(E$8:E483),COPIA!$DF$3:$DF$2300,0),COLUMN()-1),"")=0,"",IFERROR(INDEX((COPIA!$DA$3:$DE$2300),MATCH(ROWS(E$8:E483),COPIA!$DF$3:$DF$2300,0),COLUMN()-1),""))</f>
        <v/>
      </c>
      <c r="F483" s="120" t="str">
        <f ca="1">IF(IFERROR(INDEX((COPIA!$DA$3:$DE$2300),MATCH(ROWS(F$8:F483),COPIA!$DF$3:$DF$2300,0),COLUMN()-1),"")=0,"",IFERROR(INDEX((COPIA!$DA$3:$DE$2300),MATCH(ROWS(F$8:F483),COPIA!$DF$3:$DF$2300,0),COLUMN()-1),""))</f>
        <v/>
      </c>
    </row>
    <row r="484" spans="2:6">
      <c r="B484" s="119" t="str">
        <f ca="1">IF(IFERROR(INDEX((COPIA!$DA$3:$DE$2300),MATCH(ROWS(B$8:B484),COPIA!$DF$3:$DF$2300,0),COLUMN()-1),"")&gt;=1,IFERROR(INDEX((COPIA!$DA$3:$DE$2300),MATCH(ROWS(B$8:B484),COPIA!$DF$3:$DF$2300,0),COLUMN()-1),""),"")</f>
        <v/>
      </c>
      <c r="C484" s="118" t="str">
        <f ca="1">SUBSTITUTE(IFERROR(INDEX((COPIA!$DA$3:$DE$2300),MATCH(ROWS(C$8:C484),COPIA!$DF$3:$DF$2300,0),COLUMN()-1),""),"MASTRO","")</f>
        <v/>
      </c>
      <c r="D484" s="29" t="str">
        <f ca="1">IF(IFERROR(INDEX((COPIA!$DA$3:$DE$2300),MATCH(ROWS(D$8:D484),COPIA!$DF$3:$DF$2300,0),COLUMN()-1),"")=0,"",IFERROR(INDEX((COPIA!$DA$3:$DE$2300),MATCH(ROWS(D$8:D484),COPIA!$DF$3:$DF$2300,0),COLUMN()-1),""))</f>
        <v/>
      </c>
      <c r="E484" s="45" t="str">
        <f ca="1">IF(IFERROR(INDEX((COPIA!$DA$3:$DE$2300),MATCH(ROWS(E$8:E484),COPIA!$DF$3:$DF$2300,0),COLUMN()-1),"")=0,"",IFERROR(INDEX((COPIA!$DA$3:$DE$2300),MATCH(ROWS(E$8:E484),COPIA!$DF$3:$DF$2300,0),COLUMN()-1),""))</f>
        <v/>
      </c>
      <c r="F484" s="120" t="str">
        <f ca="1">IF(IFERROR(INDEX((COPIA!$DA$3:$DE$2300),MATCH(ROWS(F$8:F484),COPIA!$DF$3:$DF$2300,0),COLUMN()-1),"")=0,"",IFERROR(INDEX((COPIA!$DA$3:$DE$2300),MATCH(ROWS(F$8:F484),COPIA!$DF$3:$DF$2300,0),COLUMN()-1),""))</f>
        <v/>
      </c>
    </row>
    <row r="485" spans="2:6">
      <c r="B485" s="119" t="str">
        <f ca="1">IF(IFERROR(INDEX((COPIA!$DA$3:$DE$2300),MATCH(ROWS(B$8:B485),COPIA!$DF$3:$DF$2300,0),COLUMN()-1),"")&gt;=1,IFERROR(INDEX((COPIA!$DA$3:$DE$2300),MATCH(ROWS(B$8:B485),COPIA!$DF$3:$DF$2300,0),COLUMN()-1),""),"")</f>
        <v/>
      </c>
      <c r="C485" s="118" t="str">
        <f ca="1">SUBSTITUTE(IFERROR(INDEX((COPIA!$DA$3:$DE$2300),MATCH(ROWS(C$8:C485),COPIA!$DF$3:$DF$2300,0),COLUMN()-1),""),"MASTRO","")</f>
        <v/>
      </c>
      <c r="D485" s="29" t="str">
        <f ca="1">IF(IFERROR(INDEX((COPIA!$DA$3:$DE$2300),MATCH(ROWS(D$8:D485),COPIA!$DF$3:$DF$2300,0),COLUMN()-1),"")=0,"",IFERROR(INDEX((COPIA!$DA$3:$DE$2300),MATCH(ROWS(D$8:D485),COPIA!$DF$3:$DF$2300,0),COLUMN()-1),""))</f>
        <v/>
      </c>
      <c r="E485" s="45" t="str">
        <f ca="1">IF(IFERROR(INDEX((COPIA!$DA$3:$DE$2300),MATCH(ROWS(E$8:E485),COPIA!$DF$3:$DF$2300,0),COLUMN()-1),"")=0,"",IFERROR(INDEX((COPIA!$DA$3:$DE$2300),MATCH(ROWS(E$8:E485),COPIA!$DF$3:$DF$2300,0),COLUMN()-1),""))</f>
        <v/>
      </c>
      <c r="F485" s="120" t="str">
        <f ca="1">IF(IFERROR(INDEX((COPIA!$DA$3:$DE$2300),MATCH(ROWS(F$8:F485),COPIA!$DF$3:$DF$2300,0),COLUMN()-1),"")=0,"",IFERROR(INDEX((COPIA!$DA$3:$DE$2300),MATCH(ROWS(F$8:F485),COPIA!$DF$3:$DF$2300,0),COLUMN()-1),""))</f>
        <v/>
      </c>
    </row>
    <row r="486" spans="2:6">
      <c r="B486" s="119" t="str">
        <f ca="1">IF(IFERROR(INDEX((COPIA!$DA$3:$DE$2300),MATCH(ROWS(B$8:B486),COPIA!$DF$3:$DF$2300,0),COLUMN()-1),"")&gt;=1,IFERROR(INDEX((COPIA!$DA$3:$DE$2300),MATCH(ROWS(B$8:B486),COPIA!$DF$3:$DF$2300,0),COLUMN()-1),""),"")</f>
        <v/>
      </c>
      <c r="C486" s="118" t="str">
        <f ca="1">SUBSTITUTE(IFERROR(INDEX((COPIA!$DA$3:$DE$2300),MATCH(ROWS(C$8:C486),COPIA!$DF$3:$DF$2300,0),COLUMN()-1),""),"MASTRO","")</f>
        <v/>
      </c>
      <c r="D486" s="29" t="str">
        <f ca="1">IF(IFERROR(INDEX((COPIA!$DA$3:$DE$2300),MATCH(ROWS(D$8:D486),COPIA!$DF$3:$DF$2300,0),COLUMN()-1),"")=0,"",IFERROR(INDEX((COPIA!$DA$3:$DE$2300),MATCH(ROWS(D$8:D486),COPIA!$DF$3:$DF$2300,0),COLUMN()-1),""))</f>
        <v/>
      </c>
      <c r="E486" s="45" t="str">
        <f ca="1">IF(IFERROR(INDEX((COPIA!$DA$3:$DE$2300),MATCH(ROWS(E$8:E486),COPIA!$DF$3:$DF$2300,0),COLUMN()-1),"")=0,"",IFERROR(INDEX((COPIA!$DA$3:$DE$2300),MATCH(ROWS(E$8:E486),COPIA!$DF$3:$DF$2300,0),COLUMN()-1),""))</f>
        <v/>
      </c>
      <c r="F486" s="120" t="str">
        <f ca="1">IF(IFERROR(INDEX((COPIA!$DA$3:$DE$2300),MATCH(ROWS(F$8:F486),COPIA!$DF$3:$DF$2300,0),COLUMN()-1),"")=0,"",IFERROR(INDEX((COPIA!$DA$3:$DE$2300),MATCH(ROWS(F$8:F486),COPIA!$DF$3:$DF$2300,0),COLUMN()-1),""))</f>
        <v/>
      </c>
    </row>
    <row r="487" spans="2:6">
      <c r="B487" s="119" t="str">
        <f ca="1">IF(IFERROR(INDEX((COPIA!$DA$3:$DE$2300),MATCH(ROWS(B$8:B487),COPIA!$DF$3:$DF$2300,0),COLUMN()-1),"")&gt;=1,IFERROR(INDEX((COPIA!$DA$3:$DE$2300),MATCH(ROWS(B$8:B487),COPIA!$DF$3:$DF$2300,0),COLUMN()-1),""),"")</f>
        <v/>
      </c>
      <c r="C487" s="118" t="str">
        <f ca="1">SUBSTITUTE(IFERROR(INDEX((COPIA!$DA$3:$DE$2300),MATCH(ROWS(C$8:C487),COPIA!$DF$3:$DF$2300,0),COLUMN()-1),""),"MASTRO","")</f>
        <v/>
      </c>
      <c r="D487" s="29" t="str">
        <f ca="1">IF(IFERROR(INDEX((COPIA!$DA$3:$DE$2300),MATCH(ROWS(D$8:D487),COPIA!$DF$3:$DF$2300,0),COLUMN()-1),"")=0,"",IFERROR(INDEX((COPIA!$DA$3:$DE$2300),MATCH(ROWS(D$8:D487),COPIA!$DF$3:$DF$2300,0),COLUMN()-1),""))</f>
        <v/>
      </c>
      <c r="E487" s="45" t="str">
        <f ca="1">IF(IFERROR(INDEX((COPIA!$DA$3:$DE$2300),MATCH(ROWS(E$8:E487),COPIA!$DF$3:$DF$2300,0),COLUMN()-1),"")=0,"",IFERROR(INDEX((COPIA!$DA$3:$DE$2300),MATCH(ROWS(E$8:E487),COPIA!$DF$3:$DF$2300,0),COLUMN()-1),""))</f>
        <v/>
      </c>
      <c r="F487" s="120" t="str">
        <f ca="1">IF(IFERROR(INDEX((COPIA!$DA$3:$DE$2300),MATCH(ROWS(F$8:F487),COPIA!$DF$3:$DF$2300,0),COLUMN()-1),"")=0,"",IFERROR(INDEX((COPIA!$DA$3:$DE$2300),MATCH(ROWS(F$8:F487),COPIA!$DF$3:$DF$2300,0),COLUMN()-1),""))</f>
        <v/>
      </c>
    </row>
    <row r="488" spans="2:6">
      <c r="B488" s="119" t="str">
        <f ca="1">IF(IFERROR(INDEX((COPIA!$DA$3:$DE$2300),MATCH(ROWS(B$8:B488),COPIA!$DF$3:$DF$2300,0),COLUMN()-1),"")&gt;=1,IFERROR(INDEX((COPIA!$DA$3:$DE$2300),MATCH(ROWS(B$8:B488),COPIA!$DF$3:$DF$2300,0),COLUMN()-1),""),"")</f>
        <v/>
      </c>
      <c r="C488" s="118" t="str">
        <f ca="1">SUBSTITUTE(IFERROR(INDEX((COPIA!$DA$3:$DE$2300),MATCH(ROWS(C$8:C488),COPIA!$DF$3:$DF$2300,0),COLUMN()-1),""),"MASTRO","")</f>
        <v/>
      </c>
      <c r="D488" s="29" t="str">
        <f ca="1">IF(IFERROR(INDEX((COPIA!$DA$3:$DE$2300),MATCH(ROWS(D$8:D488),COPIA!$DF$3:$DF$2300,0),COLUMN()-1),"")=0,"",IFERROR(INDEX((COPIA!$DA$3:$DE$2300),MATCH(ROWS(D$8:D488),COPIA!$DF$3:$DF$2300,0),COLUMN()-1),""))</f>
        <v/>
      </c>
      <c r="E488" s="45" t="str">
        <f ca="1">IF(IFERROR(INDEX((COPIA!$DA$3:$DE$2300),MATCH(ROWS(E$8:E488),COPIA!$DF$3:$DF$2300,0),COLUMN()-1),"")=0,"",IFERROR(INDEX((COPIA!$DA$3:$DE$2300),MATCH(ROWS(E$8:E488),COPIA!$DF$3:$DF$2300,0),COLUMN()-1),""))</f>
        <v/>
      </c>
      <c r="F488" s="120" t="str">
        <f ca="1">IF(IFERROR(INDEX((COPIA!$DA$3:$DE$2300),MATCH(ROWS(F$8:F488),COPIA!$DF$3:$DF$2300,0),COLUMN()-1),"")=0,"",IFERROR(INDEX((COPIA!$DA$3:$DE$2300),MATCH(ROWS(F$8:F488),COPIA!$DF$3:$DF$2300,0),COLUMN()-1),""))</f>
        <v/>
      </c>
    </row>
    <row r="489" spans="2:6">
      <c r="B489" s="119" t="str">
        <f ca="1">IF(IFERROR(INDEX((COPIA!$DA$3:$DE$2300),MATCH(ROWS(B$8:B489),COPIA!$DF$3:$DF$2300,0),COLUMN()-1),"")&gt;=1,IFERROR(INDEX((COPIA!$DA$3:$DE$2300),MATCH(ROWS(B$8:B489),COPIA!$DF$3:$DF$2300,0),COLUMN()-1),""),"")</f>
        <v/>
      </c>
      <c r="C489" s="118" t="str">
        <f ca="1">SUBSTITUTE(IFERROR(INDEX((COPIA!$DA$3:$DE$2300),MATCH(ROWS(C$8:C489),COPIA!$DF$3:$DF$2300,0),COLUMN()-1),""),"MASTRO","")</f>
        <v/>
      </c>
      <c r="D489" s="29" t="str">
        <f ca="1">IF(IFERROR(INDEX((COPIA!$DA$3:$DE$2300),MATCH(ROWS(D$8:D489),COPIA!$DF$3:$DF$2300,0),COLUMN()-1),"")=0,"",IFERROR(INDEX((COPIA!$DA$3:$DE$2300),MATCH(ROWS(D$8:D489),COPIA!$DF$3:$DF$2300,0),COLUMN()-1),""))</f>
        <v/>
      </c>
      <c r="E489" s="45" t="str">
        <f ca="1">IF(IFERROR(INDEX((COPIA!$DA$3:$DE$2300),MATCH(ROWS(E$8:E489),COPIA!$DF$3:$DF$2300,0),COLUMN()-1),"")=0,"",IFERROR(INDEX((COPIA!$DA$3:$DE$2300),MATCH(ROWS(E$8:E489),COPIA!$DF$3:$DF$2300,0),COLUMN()-1),""))</f>
        <v/>
      </c>
      <c r="F489" s="120" t="str">
        <f ca="1">IF(IFERROR(INDEX((COPIA!$DA$3:$DE$2300),MATCH(ROWS(F$8:F489),COPIA!$DF$3:$DF$2300,0),COLUMN()-1),"")=0,"",IFERROR(INDEX((COPIA!$DA$3:$DE$2300),MATCH(ROWS(F$8:F489),COPIA!$DF$3:$DF$2300,0),COLUMN()-1),""))</f>
        <v/>
      </c>
    </row>
    <row r="490" spans="2:6">
      <c r="B490" s="119" t="str">
        <f ca="1">IF(IFERROR(INDEX((COPIA!$DA$3:$DE$2300),MATCH(ROWS(B$8:B490),COPIA!$DF$3:$DF$2300,0),COLUMN()-1),"")&gt;=1,IFERROR(INDEX((COPIA!$DA$3:$DE$2300),MATCH(ROWS(B$8:B490),COPIA!$DF$3:$DF$2300,0),COLUMN()-1),""),"")</f>
        <v/>
      </c>
      <c r="C490" s="118" t="str">
        <f ca="1">SUBSTITUTE(IFERROR(INDEX((COPIA!$DA$3:$DE$2300),MATCH(ROWS(C$8:C490),COPIA!$DF$3:$DF$2300,0),COLUMN()-1),""),"MASTRO","")</f>
        <v/>
      </c>
      <c r="D490" s="29" t="str">
        <f ca="1">IF(IFERROR(INDEX((COPIA!$DA$3:$DE$2300),MATCH(ROWS(D$8:D490),COPIA!$DF$3:$DF$2300,0),COLUMN()-1),"")=0,"",IFERROR(INDEX((COPIA!$DA$3:$DE$2300),MATCH(ROWS(D$8:D490),COPIA!$DF$3:$DF$2300,0),COLUMN()-1),""))</f>
        <v/>
      </c>
      <c r="E490" s="45" t="str">
        <f ca="1">IF(IFERROR(INDEX((COPIA!$DA$3:$DE$2300),MATCH(ROWS(E$8:E490),COPIA!$DF$3:$DF$2300,0),COLUMN()-1),"")=0,"",IFERROR(INDEX((COPIA!$DA$3:$DE$2300),MATCH(ROWS(E$8:E490),COPIA!$DF$3:$DF$2300,0),COLUMN()-1),""))</f>
        <v/>
      </c>
      <c r="F490" s="120" t="str">
        <f ca="1">IF(IFERROR(INDEX((COPIA!$DA$3:$DE$2300),MATCH(ROWS(F$8:F490),COPIA!$DF$3:$DF$2300,0),COLUMN()-1),"")=0,"",IFERROR(INDEX((COPIA!$DA$3:$DE$2300),MATCH(ROWS(F$8:F490),COPIA!$DF$3:$DF$2300,0),COLUMN()-1),""))</f>
        <v/>
      </c>
    </row>
    <row r="491" spans="2:6">
      <c r="B491" s="119" t="str">
        <f ca="1">IF(IFERROR(INDEX((COPIA!$DA$3:$DE$2300),MATCH(ROWS(B$8:B491),COPIA!$DF$3:$DF$2300,0),COLUMN()-1),"")&gt;=1,IFERROR(INDEX((COPIA!$DA$3:$DE$2300),MATCH(ROWS(B$8:B491),COPIA!$DF$3:$DF$2300,0),COLUMN()-1),""),"")</f>
        <v/>
      </c>
      <c r="C491" s="118" t="str">
        <f ca="1">SUBSTITUTE(IFERROR(INDEX((COPIA!$DA$3:$DE$2300),MATCH(ROWS(C$8:C491),COPIA!$DF$3:$DF$2300,0),COLUMN()-1),""),"MASTRO","")</f>
        <v/>
      </c>
      <c r="D491" s="29" t="str">
        <f ca="1">IF(IFERROR(INDEX((COPIA!$DA$3:$DE$2300),MATCH(ROWS(D$8:D491),COPIA!$DF$3:$DF$2300,0),COLUMN()-1),"")=0,"",IFERROR(INDEX((COPIA!$DA$3:$DE$2300),MATCH(ROWS(D$8:D491),COPIA!$DF$3:$DF$2300,0),COLUMN()-1),""))</f>
        <v/>
      </c>
      <c r="E491" s="45" t="str">
        <f ca="1">IF(IFERROR(INDEX((COPIA!$DA$3:$DE$2300),MATCH(ROWS(E$8:E491),COPIA!$DF$3:$DF$2300,0),COLUMN()-1),"")=0,"",IFERROR(INDEX((COPIA!$DA$3:$DE$2300),MATCH(ROWS(E$8:E491),COPIA!$DF$3:$DF$2300,0),COLUMN()-1),""))</f>
        <v/>
      </c>
      <c r="F491" s="120" t="str">
        <f ca="1">IF(IFERROR(INDEX((COPIA!$DA$3:$DE$2300),MATCH(ROWS(F$8:F491),COPIA!$DF$3:$DF$2300,0),COLUMN()-1),"")=0,"",IFERROR(INDEX((COPIA!$DA$3:$DE$2300),MATCH(ROWS(F$8:F491),COPIA!$DF$3:$DF$2300,0),COLUMN()-1),""))</f>
        <v/>
      </c>
    </row>
    <row r="492" spans="2:6">
      <c r="B492" s="119" t="str">
        <f ca="1">IF(IFERROR(INDEX((COPIA!$DA$3:$DE$2300),MATCH(ROWS(B$8:B492),COPIA!$DF$3:$DF$2300,0),COLUMN()-1),"")&gt;=1,IFERROR(INDEX((COPIA!$DA$3:$DE$2300),MATCH(ROWS(B$8:B492),COPIA!$DF$3:$DF$2300,0),COLUMN()-1),""),"")</f>
        <v/>
      </c>
      <c r="C492" s="118" t="str">
        <f ca="1">SUBSTITUTE(IFERROR(INDEX((COPIA!$DA$3:$DE$2300),MATCH(ROWS(C$8:C492),COPIA!$DF$3:$DF$2300,0),COLUMN()-1),""),"MASTRO","")</f>
        <v/>
      </c>
      <c r="D492" s="29" t="str">
        <f ca="1">IF(IFERROR(INDEX((COPIA!$DA$3:$DE$2300),MATCH(ROWS(D$8:D492),COPIA!$DF$3:$DF$2300,0),COLUMN()-1),"")=0,"",IFERROR(INDEX((COPIA!$DA$3:$DE$2300),MATCH(ROWS(D$8:D492),COPIA!$DF$3:$DF$2300,0),COLUMN()-1),""))</f>
        <v/>
      </c>
      <c r="E492" s="45" t="str">
        <f ca="1">IF(IFERROR(INDEX((COPIA!$DA$3:$DE$2300),MATCH(ROWS(E$8:E492),COPIA!$DF$3:$DF$2300,0),COLUMN()-1),"")=0,"",IFERROR(INDEX((COPIA!$DA$3:$DE$2300),MATCH(ROWS(E$8:E492),COPIA!$DF$3:$DF$2300,0),COLUMN()-1),""))</f>
        <v/>
      </c>
      <c r="F492" s="120" t="str">
        <f ca="1">IF(IFERROR(INDEX((COPIA!$DA$3:$DE$2300),MATCH(ROWS(F$8:F492),COPIA!$DF$3:$DF$2300,0),COLUMN()-1),"")=0,"",IFERROR(INDEX((COPIA!$DA$3:$DE$2300),MATCH(ROWS(F$8:F492),COPIA!$DF$3:$DF$2300,0),COLUMN()-1),""))</f>
        <v/>
      </c>
    </row>
    <row r="493" spans="2:6">
      <c r="B493" s="119" t="str">
        <f ca="1">IF(IFERROR(INDEX((COPIA!$DA$3:$DE$2300),MATCH(ROWS(B$8:B493),COPIA!$DF$3:$DF$2300,0),COLUMN()-1),"")&gt;=1,IFERROR(INDEX((COPIA!$DA$3:$DE$2300),MATCH(ROWS(B$8:B493),COPIA!$DF$3:$DF$2300,0),COLUMN()-1),""),"")</f>
        <v/>
      </c>
      <c r="C493" s="118" t="str">
        <f ca="1">SUBSTITUTE(IFERROR(INDEX((COPIA!$DA$3:$DE$2300),MATCH(ROWS(C$8:C493),COPIA!$DF$3:$DF$2300,0),COLUMN()-1),""),"MASTRO","")</f>
        <v/>
      </c>
      <c r="D493" s="29" t="str">
        <f ca="1">IF(IFERROR(INDEX((COPIA!$DA$3:$DE$2300),MATCH(ROWS(D$8:D493),COPIA!$DF$3:$DF$2300,0),COLUMN()-1),"")=0,"",IFERROR(INDEX((COPIA!$DA$3:$DE$2300),MATCH(ROWS(D$8:D493),COPIA!$DF$3:$DF$2300,0),COLUMN()-1),""))</f>
        <v/>
      </c>
      <c r="E493" s="45" t="str">
        <f ca="1">IF(IFERROR(INDEX((COPIA!$DA$3:$DE$2300),MATCH(ROWS(E$8:E493),COPIA!$DF$3:$DF$2300,0),COLUMN()-1),"")=0,"",IFERROR(INDEX((COPIA!$DA$3:$DE$2300),MATCH(ROWS(E$8:E493),COPIA!$DF$3:$DF$2300,0),COLUMN()-1),""))</f>
        <v/>
      </c>
      <c r="F493" s="120" t="str">
        <f ca="1">IF(IFERROR(INDEX((COPIA!$DA$3:$DE$2300),MATCH(ROWS(F$8:F493),COPIA!$DF$3:$DF$2300,0),COLUMN()-1),"")=0,"",IFERROR(INDEX((COPIA!$DA$3:$DE$2300),MATCH(ROWS(F$8:F493),COPIA!$DF$3:$DF$2300,0),COLUMN()-1),""))</f>
        <v/>
      </c>
    </row>
    <row r="494" spans="2:6">
      <c r="B494" s="119" t="str">
        <f ca="1">IF(IFERROR(INDEX((COPIA!$DA$3:$DE$2300),MATCH(ROWS(B$8:B494),COPIA!$DF$3:$DF$2300,0),COLUMN()-1),"")&gt;=1,IFERROR(INDEX((COPIA!$DA$3:$DE$2300),MATCH(ROWS(B$8:B494),COPIA!$DF$3:$DF$2300,0),COLUMN()-1),""),"")</f>
        <v/>
      </c>
      <c r="C494" s="118" t="str">
        <f ca="1">SUBSTITUTE(IFERROR(INDEX((COPIA!$DA$3:$DE$2300),MATCH(ROWS(C$8:C494),COPIA!$DF$3:$DF$2300,0),COLUMN()-1),""),"MASTRO","")</f>
        <v/>
      </c>
      <c r="D494" s="29" t="str">
        <f ca="1">IF(IFERROR(INDEX((COPIA!$DA$3:$DE$2300),MATCH(ROWS(D$8:D494),COPIA!$DF$3:$DF$2300,0),COLUMN()-1),"")=0,"",IFERROR(INDEX((COPIA!$DA$3:$DE$2300),MATCH(ROWS(D$8:D494),COPIA!$DF$3:$DF$2300,0),COLUMN()-1),""))</f>
        <v/>
      </c>
      <c r="E494" s="45" t="str">
        <f ca="1">IF(IFERROR(INDEX((COPIA!$DA$3:$DE$2300),MATCH(ROWS(E$8:E494),COPIA!$DF$3:$DF$2300,0),COLUMN()-1),"")=0,"",IFERROR(INDEX((COPIA!$DA$3:$DE$2300),MATCH(ROWS(E$8:E494),COPIA!$DF$3:$DF$2300,0),COLUMN()-1),""))</f>
        <v/>
      </c>
      <c r="F494" s="120" t="str">
        <f ca="1">IF(IFERROR(INDEX((COPIA!$DA$3:$DE$2300),MATCH(ROWS(F$8:F494),COPIA!$DF$3:$DF$2300,0),COLUMN()-1),"")=0,"",IFERROR(INDEX((COPIA!$DA$3:$DE$2300),MATCH(ROWS(F$8:F494),COPIA!$DF$3:$DF$2300,0),COLUMN()-1),""))</f>
        <v/>
      </c>
    </row>
    <row r="495" spans="2:6">
      <c r="B495" s="119" t="str">
        <f ca="1">IF(IFERROR(INDEX((COPIA!$DA$3:$DE$2300),MATCH(ROWS(B$8:B495),COPIA!$DF$3:$DF$2300,0),COLUMN()-1),"")&gt;=1,IFERROR(INDEX((COPIA!$DA$3:$DE$2300),MATCH(ROWS(B$8:B495),COPIA!$DF$3:$DF$2300,0),COLUMN()-1),""),"")</f>
        <v/>
      </c>
      <c r="C495" s="118" t="str">
        <f ca="1">SUBSTITUTE(IFERROR(INDEX((COPIA!$DA$3:$DE$2300),MATCH(ROWS(C$8:C495),COPIA!$DF$3:$DF$2300,0),COLUMN()-1),""),"MASTRO","")</f>
        <v/>
      </c>
      <c r="D495" s="29" t="str">
        <f ca="1">IF(IFERROR(INDEX((COPIA!$DA$3:$DE$2300),MATCH(ROWS(D$8:D495),COPIA!$DF$3:$DF$2300,0),COLUMN()-1),"")=0,"",IFERROR(INDEX((COPIA!$DA$3:$DE$2300),MATCH(ROWS(D$8:D495),COPIA!$DF$3:$DF$2300,0),COLUMN()-1),""))</f>
        <v/>
      </c>
      <c r="E495" s="45" t="str">
        <f ca="1">IF(IFERROR(INDEX((COPIA!$DA$3:$DE$2300),MATCH(ROWS(E$8:E495),COPIA!$DF$3:$DF$2300,0),COLUMN()-1),"")=0,"",IFERROR(INDEX((COPIA!$DA$3:$DE$2300),MATCH(ROWS(E$8:E495),COPIA!$DF$3:$DF$2300,0),COLUMN()-1),""))</f>
        <v/>
      </c>
      <c r="F495" s="120" t="str">
        <f ca="1">IF(IFERROR(INDEX((COPIA!$DA$3:$DE$2300),MATCH(ROWS(F$8:F495),COPIA!$DF$3:$DF$2300,0),COLUMN()-1),"")=0,"",IFERROR(INDEX((COPIA!$DA$3:$DE$2300),MATCH(ROWS(F$8:F495),COPIA!$DF$3:$DF$2300,0),COLUMN()-1),""))</f>
        <v/>
      </c>
    </row>
    <row r="496" spans="2:6">
      <c r="B496" s="119" t="str">
        <f ca="1">IF(IFERROR(INDEX((COPIA!$DA$3:$DE$2300),MATCH(ROWS(B$8:B496),COPIA!$DF$3:$DF$2300,0),COLUMN()-1),"")&gt;=1,IFERROR(INDEX((COPIA!$DA$3:$DE$2300),MATCH(ROWS(B$8:B496),COPIA!$DF$3:$DF$2300,0),COLUMN()-1),""),"")</f>
        <v/>
      </c>
      <c r="C496" s="118" t="str">
        <f ca="1">SUBSTITUTE(IFERROR(INDEX((COPIA!$DA$3:$DE$2300),MATCH(ROWS(C$8:C496),COPIA!$DF$3:$DF$2300,0),COLUMN()-1),""),"MASTRO","")</f>
        <v/>
      </c>
      <c r="D496" s="29" t="str">
        <f ca="1">IF(IFERROR(INDEX((COPIA!$DA$3:$DE$2300),MATCH(ROWS(D$8:D496),COPIA!$DF$3:$DF$2300,0),COLUMN()-1),"")=0,"",IFERROR(INDEX((COPIA!$DA$3:$DE$2300),MATCH(ROWS(D$8:D496),COPIA!$DF$3:$DF$2300,0),COLUMN()-1),""))</f>
        <v/>
      </c>
      <c r="E496" s="45" t="str">
        <f ca="1">IF(IFERROR(INDEX((COPIA!$DA$3:$DE$2300),MATCH(ROWS(E$8:E496),COPIA!$DF$3:$DF$2300,0),COLUMN()-1),"")=0,"",IFERROR(INDEX((COPIA!$DA$3:$DE$2300),MATCH(ROWS(E$8:E496),COPIA!$DF$3:$DF$2300,0),COLUMN()-1),""))</f>
        <v/>
      </c>
      <c r="F496" s="120" t="str">
        <f ca="1">IF(IFERROR(INDEX((COPIA!$DA$3:$DE$2300),MATCH(ROWS(F$8:F496),COPIA!$DF$3:$DF$2300,0),COLUMN()-1),"")=0,"",IFERROR(INDEX((COPIA!$DA$3:$DE$2300),MATCH(ROWS(F$8:F496),COPIA!$DF$3:$DF$2300,0),COLUMN()-1),""))</f>
        <v/>
      </c>
    </row>
    <row r="497" spans="2:6">
      <c r="B497" s="119" t="str">
        <f ca="1">IF(IFERROR(INDEX((COPIA!$DA$3:$DE$2300),MATCH(ROWS(B$8:B497),COPIA!$DF$3:$DF$2300,0),COLUMN()-1),"")&gt;=1,IFERROR(INDEX((COPIA!$DA$3:$DE$2300),MATCH(ROWS(B$8:B497),COPIA!$DF$3:$DF$2300,0),COLUMN()-1),""),"")</f>
        <v/>
      </c>
      <c r="C497" s="118" t="str">
        <f ca="1">SUBSTITUTE(IFERROR(INDEX((COPIA!$DA$3:$DE$2300),MATCH(ROWS(C$8:C497),COPIA!$DF$3:$DF$2300,0),COLUMN()-1),""),"MASTRO","")</f>
        <v/>
      </c>
      <c r="D497" s="29" t="str">
        <f ca="1">IF(IFERROR(INDEX((COPIA!$DA$3:$DE$2300),MATCH(ROWS(D$8:D497),COPIA!$DF$3:$DF$2300,0),COLUMN()-1),"")=0,"",IFERROR(INDEX((COPIA!$DA$3:$DE$2300),MATCH(ROWS(D$8:D497),COPIA!$DF$3:$DF$2300,0),COLUMN()-1),""))</f>
        <v/>
      </c>
      <c r="E497" s="45" t="str">
        <f ca="1">IF(IFERROR(INDEX((COPIA!$DA$3:$DE$2300),MATCH(ROWS(E$8:E497),COPIA!$DF$3:$DF$2300,0),COLUMN()-1),"")=0,"",IFERROR(INDEX((COPIA!$DA$3:$DE$2300),MATCH(ROWS(E$8:E497),COPIA!$DF$3:$DF$2300,0),COLUMN()-1),""))</f>
        <v/>
      </c>
      <c r="F497" s="120" t="str">
        <f ca="1">IF(IFERROR(INDEX((COPIA!$DA$3:$DE$2300),MATCH(ROWS(F$8:F497),COPIA!$DF$3:$DF$2300,0),COLUMN()-1),"")=0,"",IFERROR(INDEX((COPIA!$DA$3:$DE$2300),MATCH(ROWS(F$8:F497),COPIA!$DF$3:$DF$2300,0),COLUMN()-1),""))</f>
        <v/>
      </c>
    </row>
    <row r="498" spans="2:6">
      <c r="B498" s="119" t="str">
        <f ca="1">IF(IFERROR(INDEX((COPIA!$DA$3:$DE$2300),MATCH(ROWS(B$8:B498),COPIA!$DF$3:$DF$2300,0),COLUMN()-1),"")&gt;=1,IFERROR(INDEX((COPIA!$DA$3:$DE$2300),MATCH(ROWS(B$8:B498),COPIA!$DF$3:$DF$2300,0),COLUMN()-1),""),"")</f>
        <v/>
      </c>
      <c r="C498" s="118" t="str">
        <f ca="1">SUBSTITUTE(IFERROR(INDEX((COPIA!$DA$3:$DE$2300),MATCH(ROWS(C$8:C498),COPIA!$DF$3:$DF$2300,0),COLUMN()-1),""),"MASTRO","")</f>
        <v/>
      </c>
      <c r="D498" s="29" t="str">
        <f ca="1">IF(IFERROR(INDEX((COPIA!$DA$3:$DE$2300),MATCH(ROWS(D$8:D498),COPIA!$DF$3:$DF$2300,0),COLUMN()-1),"")=0,"",IFERROR(INDEX((COPIA!$DA$3:$DE$2300),MATCH(ROWS(D$8:D498),COPIA!$DF$3:$DF$2300,0),COLUMN()-1),""))</f>
        <v/>
      </c>
      <c r="E498" s="45" t="str">
        <f ca="1">IF(IFERROR(INDEX((COPIA!$DA$3:$DE$2300),MATCH(ROWS(E$8:E498),COPIA!$DF$3:$DF$2300,0),COLUMN()-1),"")=0,"",IFERROR(INDEX((COPIA!$DA$3:$DE$2300),MATCH(ROWS(E$8:E498),COPIA!$DF$3:$DF$2300,0),COLUMN()-1),""))</f>
        <v/>
      </c>
      <c r="F498" s="120" t="str">
        <f ca="1">IF(IFERROR(INDEX((COPIA!$DA$3:$DE$2300),MATCH(ROWS(F$8:F498),COPIA!$DF$3:$DF$2300,0),COLUMN()-1),"")=0,"",IFERROR(INDEX((COPIA!$DA$3:$DE$2300),MATCH(ROWS(F$8:F498),COPIA!$DF$3:$DF$2300,0),COLUMN()-1),""))</f>
        <v/>
      </c>
    </row>
    <row r="499" spans="2:6">
      <c r="B499" s="119" t="str">
        <f ca="1">IF(IFERROR(INDEX((COPIA!$DA$3:$DE$2300),MATCH(ROWS(B$8:B499),COPIA!$DF$3:$DF$2300,0),COLUMN()-1),"")&gt;=1,IFERROR(INDEX((COPIA!$DA$3:$DE$2300),MATCH(ROWS(B$8:B499),COPIA!$DF$3:$DF$2300,0),COLUMN()-1),""),"")</f>
        <v/>
      </c>
      <c r="C499" s="118" t="str">
        <f ca="1">SUBSTITUTE(IFERROR(INDEX((COPIA!$DA$3:$DE$2300),MATCH(ROWS(C$8:C499),COPIA!$DF$3:$DF$2300,0),COLUMN()-1),""),"MASTRO","")</f>
        <v/>
      </c>
      <c r="D499" s="29" t="str">
        <f ca="1">IF(IFERROR(INDEX((COPIA!$DA$3:$DE$2300),MATCH(ROWS(D$8:D499),COPIA!$DF$3:$DF$2300,0),COLUMN()-1),"")=0,"",IFERROR(INDEX((COPIA!$DA$3:$DE$2300),MATCH(ROWS(D$8:D499),COPIA!$DF$3:$DF$2300,0),COLUMN()-1),""))</f>
        <v/>
      </c>
      <c r="E499" s="45" t="str">
        <f ca="1">IF(IFERROR(INDEX((COPIA!$DA$3:$DE$2300),MATCH(ROWS(E$8:E499),COPIA!$DF$3:$DF$2300,0),COLUMN()-1),"")=0,"",IFERROR(INDEX((COPIA!$DA$3:$DE$2300),MATCH(ROWS(E$8:E499),COPIA!$DF$3:$DF$2300,0),COLUMN()-1),""))</f>
        <v/>
      </c>
      <c r="F499" s="120" t="str">
        <f ca="1">IF(IFERROR(INDEX((COPIA!$DA$3:$DE$2300),MATCH(ROWS(F$8:F499),COPIA!$DF$3:$DF$2300,0),COLUMN()-1),"")=0,"",IFERROR(INDEX((COPIA!$DA$3:$DE$2300),MATCH(ROWS(F$8:F499),COPIA!$DF$3:$DF$2300,0),COLUMN()-1),""))</f>
        <v/>
      </c>
    </row>
    <row r="500" spans="2:6">
      <c r="B500" s="119" t="str">
        <f ca="1">IF(IFERROR(INDEX((COPIA!$DA$3:$DE$2300),MATCH(ROWS(B$8:B500),COPIA!$DF$3:$DF$2300,0),COLUMN()-1),"")&gt;=1,IFERROR(INDEX((COPIA!$DA$3:$DE$2300),MATCH(ROWS(B$8:B500),COPIA!$DF$3:$DF$2300,0),COLUMN()-1),""),"")</f>
        <v/>
      </c>
      <c r="C500" s="118" t="str">
        <f ca="1">SUBSTITUTE(IFERROR(INDEX((COPIA!$DA$3:$DE$2300),MATCH(ROWS(C$8:C500),COPIA!$DF$3:$DF$2300,0),COLUMN()-1),""),"MASTRO","")</f>
        <v/>
      </c>
      <c r="D500" s="29" t="str">
        <f ca="1">IF(IFERROR(INDEX((COPIA!$DA$3:$DE$2300),MATCH(ROWS(D$8:D500),COPIA!$DF$3:$DF$2300,0),COLUMN()-1),"")=0,"",IFERROR(INDEX((COPIA!$DA$3:$DE$2300),MATCH(ROWS(D$8:D500),COPIA!$DF$3:$DF$2300,0),COLUMN()-1),""))</f>
        <v/>
      </c>
      <c r="E500" s="45" t="str">
        <f ca="1">IF(IFERROR(INDEX((COPIA!$DA$3:$DE$2300),MATCH(ROWS(E$8:E500),COPIA!$DF$3:$DF$2300,0),COLUMN()-1),"")=0,"",IFERROR(INDEX((COPIA!$DA$3:$DE$2300),MATCH(ROWS(E$8:E500),COPIA!$DF$3:$DF$2300,0),COLUMN()-1),""))</f>
        <v/>
      </c>
      <c r="F500" s="120" t="str">
        <f ca="1">IF(IFERROR(INDEX((COPIA!$DA$3:$DE$2300),MATCH(ROWS(F$8:F500),COPIA!$DF$3:$DF$2300,0),COLUMN()-1),"")=0,"",IFERROR(INDEX((COPIA!$DA$3:$DE$2300),MATCH(ROWS(F$8:F500),COPIA!$DF$3:$DF$2300,0),COLUMN()-1),""))</f>
        <v/>
      </c>
    </row>
    <row r="501" spans="2:6">
      <c r="B501" s="119" t="str">
        <f ca="1">IF(IFERROR(INDEX((COPIA!$DA$3:$DE$2300),MATCH(ROWS(B$8:B501),COPIA!$DF$3:$DF$2300,0),COLUMN()-1),"")&gt;=1,IFERROR(INDEX((COPIA!$DA$3:$DE$2300),MATCH(ROWS(B$8:B501),COPIA!$DF$3:$DF$2300,0),COLUMN()-1),""),"")</f>
        <v/>
      </c>
      <c r="C501" s="118" t="str">
        <f ca="1">SUBSTITUTE(IFERROR(INDEX((COPIA!$DA$3:$DE$2300),MATCH(ROWS(C$8:C501),COPIA!$DF$3:$DF$2300,0),COLUMN()-1),""),"MASTRO","")</f>
        <v/>
      </c>
      <c r="D501" s="29" t="str">
        <f ca="1">IF(IFERROR(INDEX((COPIA!$DA$3:$DE$2300),MATCH(ROWS(D$8:D501),COPIA!$DF$3:$DF$2300,0),COLUMN()-1),"")=0,"",IFERROR(INDEX((COPIA!$DA$3:$DE$2300),MATCH(ROWS(D$8:D501),COPIA!$DF$3:$DF$2300,0),COLUMN()-1),""))</f>
        <v/>
      </c>
      <c r="E501" s="45" t="str">
        <f ca="1">IF(IFERROR(INDEX((COPIA!$DA$3:$DE$2300),MATCH(ROWS(E$8:E501),COPIA!$DF$3:$DF$2300,0),COLUMN()-1),"")=0,"",IFERROR(INDEX((COPIA!$DA$3:$DE$2300),MATCH(ROWS(E$8:E501),COPIA!$DF$3:$DF$2300,0),COLUMN()-1),""))</f>
        <v/>
      </c>
      <c r="F501" s="120" t="str">
        <f ca="1">IF(IFERROR(INDEX((COPIA!$DA$3:$DE$2300),MATCH(ROWS(F$8:F501),COPIA!$DF$3:$DF$2300,0),COLUMN()-1),"")=0,"",IFERROR(INDEX((COPIA!$DA$3:$DE$2300),MATCH(ROWS(F$8:F501),COPIA!$DF$3:$DF$2300,0),COLUMN()-1),""))</f>
        <v/>
      </c>
    </row>
    <row r="502" spans="2:6">
      <c r="B502" s="119" t="str">
        <f ca="1">IF(IFERROR(INDEX((COPIA!$DA$3:$DE$2300),MATCH(ROWS(B$8:B502),COPIA!$DF$3:$DF$2300,0),COLUMN()-1),"")&gt;=1,IFERROR(INDEX((COPIA!$DA$3:$DE$2300),MATCH(ROWS(B$8:B502),COPIA!$DF$3:$DF$2300,0),COLUMN()-1),""),"")</f>
        <v/>
      </c>
      <c r="C502" s="118" t="str">
        <f ca="1">SUBSTITUTE(IFERROR(INDEX((COPIA!$DA$3:$DE$2300),MATCH(ROWS(C$8:C502),COPIA!$DF$3:$DF$2300,0),COLUMN()-1),""),"MASTRO","")</f>
        <v/>
      </c>
      <c r="D502" s="29" t="str">
        <f ca="1">IF(IFERROR(INDEX((COPIA!$DA$3:$DE$2300),MATCH(ROWS(D$8:D502),COPIA!$DF$3:$DF$2300,0),COLUMN()-1),"")=0,"",IFERROR(INDEX((COPIA!$DA$3:$DE$2300),MATCH(ROWS(D$8:D502),COPIA!$DF$3:$DF$2300,0),COLUMN()-1),""))</f>
        <v/>
      </c>
      <c r="E502" s="45" t="str">
        <f ca="1">IF(IFERROR(INDEX((COPIA!$DA$3:$DE$2300),MATCH(ROWS(E$8:E502),COPIA!$DF$3:$DF$2300,0),COLUMN()-1),"")=0,"",IFERROR(INDEX((COPIA!$DA$3:$DE$2300),MATCH(ROWS(E$8:E502),COPIA!$DF$3:$DF$2300,0),COLUMN()-1),""))</f>
        <v/>
      </c>
      <c r="F502" s="120" t="str">
        <f ca="1">IF(IFERROR(INDEX((COPIA!$DA$3:$DE$2300),MATCH(ROWS(F$8:F502),COPIA!$DF$3:$DF$2300,0),COLUMN()-1),"")=0,"",IFERROR(INDEX((COPIA!$DA$3:$DE$2300),MATCH(ROWS(F$8:F502),COPIA!$DF$3:$DF$2300,0),COLUMN()-1),""))</f>
        <v/>
      </c>
    </row>
    <row r="503" spans="2:6">
      <c r="B503" s="119" t="str">
        <f ca="1">IF(IFERROR(INDEX((COPIA!$DA$3:$DE$2300),MATCH(ROWS(B$8:B503),COPIA!$DF$3:$DF$2300,0),COLUMN()-1),"")&gt;=1,IFERROR(INDEX((COPIA!$DA$3:$DE$2300),MATCH(ROWS(B$8:B503),COPIA!$DF$3:$DF$2300,0),COLUMN()-1),""),"")</f>
        <v/>
      </c>
      <c r="C503" s="118" t="str">
        <f ca="1">SUBSTITUTE(IFERROR(INDEX((COPIA!$DA$3:$DE$2300),MATCH(ROWS(C$8:C503),COPIA!$DF$3:$DF$2300,0),COLUMN()-1),""),"MASTRO","")</f>
        <v/>
      </c>
      <c r="D503" s="29" t="str">
        <f ca="1">IF(IFERROR(INDEX((COPIA!$DA$3:$DE$2300),MATCH(ROWS(D$8:D503),COPIA!$DF$3:$DF$2300,0),COLUMN()-1),"")=0,"",IFERROR(INDEX((COPIA!$DA$3:$DE$2300),MATCH(ROWS(D$8:D503),COPIA!$DF$3:$DF$2300,0),COLUMN()-1),""))</f>
        <v/>
      </c>
      <c r="E503" s="45" t="str">
        <f ca="1">IF(IFERROR(INDEX((COPIA!$DA$3:$DE$2300),MATCH(ROWS(E$8:E503),COPIA!$DF$3:$DF$2300,0),COLUMN()-1),"")=0,"",IFERROR(INDEX((COPIA!$DA$3:$DE$2300),MATCH(ROWS(E$8:E503),COPIA!$DF$3:$DF$2300,0),COLUMN()-1),""))</f>
        <v/>
      </c>
      <c r="F503" s="120" t="str">
        <f ca="1">IF(IFERROR(INDEX((COPIA!$DA$3:$DE$2300),MATCH(ROWS(F$8:F503),COPIA!$DF$3:$DF$2300,0),COLUMN()-1),"")=0,"",IFERROR(INDEX((COPIA!$DA$3:$DE$2300),MATCH(ROWS(F$8:F503),COPIA!$DF$3:$DF$2300,0),COLUMN()-1),""))</f>
        <v/>
      </c>
    </row>
    <row r="504" spans="2:6">
      <c r="B504" s="119" t="str">
        <f ca="1">IF(IFERROR(INDEX((COPIA!$DA$3:$DE$2300),MATCH(ROWS(B$8:B504),COPIA!$DF$3:$DF$2300,0),COLUMN()-1),"")&gt;=1,IFERROR(INDEX((COPIA!$DA$3:$DE$2300),MATCH(ROWS(B$8:B504),COPIA!$DF$3:$DF$2300,0),COLUMN()-1),""),"")</f>
        <v/>
      </c>
      <c r="C504" s="118" t="str">
        <f ca="1">SUBSTITUTE(IFERROR(INDEX((COPIA!$DA$3:$DE$2300),MATCH(ROWS(C$8:C504),COPIA!$DF$3:$DF$2300,0),COLUMN()-1),""),"MASTRO","")</f>
        <v/>
      </c>
      <c r="D504" s="29" t="str">
        <f ca="1">IF(IFERROR(INDEX((COPIA!$DA$3:$DE$2300),MATCH(ROWS(D$8:D504),COPIA!$DF$3:$DF$2300,0),COLUMN()-1),"")=0,"",IFERROR(INDEX((COPIA!$DA$3:$DE$2300),MATCH(ROWS(D$8:D504),COPIA!$DF$3:$DF$2300,0),COLUMN()-1),""))</f>
        <v/>
      </c>
      <c r="E504" s="45" t="str">
        <f ca="1">IF(IFERROR(INDEX((COPIA!$DA$3:$DE$2300),MATCH(ROWS(E$8:E504),COPIA!$DF$3:$DF$2300,0),COLUMN()-1),"")=0,"",IFERROR(INDEX((COPIA!$DA$3:$DE$2300),MATCH(ROWS(E$8:E504),COPIA!$DF$3:$DF$2300,0),COLUMN()-1),""))</f>
        <v/>
      </c>
      <c r="F504" s="120" t="str">
        <f ca="1">IF(IFERROR(INDEX((COPIA!$DA$3:$DE$2300),MATCH(ROWS(F$8:F504),COPIA!$DF$3:$DF$2300,0),COLUMN()-1),"")=0,"",IFERROR(INDEX((COPIA!$DA$3:$DE$2300),MATCH(ROWS(F$8:F504),COPIA!$DF$3:$DF$2300,0),COLUMN()-1),""))</f>
        <v/>
      </c>
    </row>
    <row r="505" spans="2:6">
      <c r="B505" s="119" t="str">
        <f ca="1">IF(IFERROR(INDEX((COPIA!$DA$3:$DE$2300),MATCH(ROWS(B$8:B505),COPIA!$DF$3:$DF$2300,0),COLUMN()-1),"")&gt;=1,IFERROR(INDEX((COPIA!$DA$3:$DE$2300),MATCH(ROWS(B$8:B505),COPIA!$DF$3:$DF$2300,0),COLUMN()-1),""),"")</f>
        <v/>
      </c>
      <c r="C505" s="118" t="str">
        <f ca="1">SUBSTITUTE(IFERROR(INDEX((COPIA!$DA$3:$DE$2300),MATCH(ROWS(C$8:C505),COPIA!$DF$3:$DF$2300,0),COLUMN()-1),""),"MASTRO","")</f>
        <v/>
      </c>
      <c r="D505" s="29" t="str">
        <f ca="1">IF(IFERROR(INDEX((COPIA!$DA$3:$DE$2300),MATCH(ROWS(D$8:D505),COPIA!$DF$3:$DF$2300,0),COLUMN()-1),"")=0,"",IFERROR(INDEX((COPIA!$DA$3:$DE$2300),MATCH(ROWS(D$8:D505),COPIA!$DF$3:$DF$2300,0),COLUMN()-1),""))</f>
        <v/>
      </c>
      <c r="E505" s="45" t="str">
        <f ca="1">IF(IFERROR(INDEX((COPIA!$DA$3:$DE$2300),MATCH(ROWS(E$8:E505),COPIA!$DF$3:$DF$2300,0),COLUMN()-1),"")=0,"",IFERROR(INDEX((COPIA!$DA$3:$DE$2300),MATCH(ROWS(E$8:E505),COPIA!$DF$3:$DF$2300,0),COLUMN()-1),""))</f>
        <v/>
      </c>
      <c r="F505" s="120" t="str">
        <f ca="1">IF(IFERROR(INDEX((COPIA!$DA$3:$DE$2300),MATCH(ROWS(F$8:F505),COPIA!$DF$3:$DF$2300,0),COLUMN()-1),"")=0,"",IFERROR(INDEX((COPIA!$DA$3:$DE$2300),MATCH(ROWS(F$8:F505),COPIA!$DF$3:$DF$2300,0),COLUMN()-1),""))</f>
        <v/>
      </c>
    </row>
    <row r="506" spans="2:6">
      <c r="B506" s="119" t="str">
        <f ca="1">IF(IFERROR(INDEX((COPIA!$DA$3:$DE$2300),MATCH(ROWS(B$8:B506),COPIA!$DF$3:$DF$2300,0),COLUMN()-1),"")&gt;=1,IFERROR(INDEX((COPIA!$DA$3:$DE$2300),MATCH(ROWS(B$8:B506),COPIA!$DF$3:$DF$2300,0),COLUMN()-1),""),"")</f>
        <v/>
      </c>
      <c r="C506" s="118" t="str">
        <f ca="1">SUBSTITUTE(IFERROR(INDEX((COPIA!$DA$3:$DE$2300),MATCH(ROWS(C$8:C506),COPIA!$DF$3:$DF$2300,0),COLUMN()-1),""),"MASTRO","")</f>
        <v/>
      </c>
      <c r="D506" s="29" t="str">
        <f ca="1">IF(IFERROR(INDEX((COPIA!$DA$3:$DE$2300),MATCH(ROWS(D$8:D506),COPIA!$DF$3:$DF$2300,0),COLUMN()-1),"")=0,"",IFERROR(INDEX((COPIA!$DA$3:$DE$2300),MATCH(ROWS(D$8:D506),COPIA!$DF$3:$DF$2300,0),COLUMN()-1),""))</f>
        <v/>
      </c>
      <c r="E506" s="45" t="str">
        <f ca="1">IF(IFERROR(INDEX((COPIA!$DA$3:$DE$2300),MATCH(ROWS(E$8:E506),COPIA!$DF$3:$DF$2300,0),COLUMN()-1),"")=0,"",IFERROR(INDEX((COPIA!$DA$3:$DE$2300),MATCH(ROWS(E$8:E506),COPIA!$DF$3:$DF$2300,0),COLUMN()-1),""))</f>
        <v/>
      </c>
      <c r="F506" s="120" t="str">
        <f ca="1">IF(IFERROR(INDEX((COPIA!$DA$3:$DE$2300),MATCH(ROWS(F$8:F506),COPIA!$DF$3:$DF$2300,0),COLUMN()-1),"")=0,"",IFERROR(INDEX((COPIA!$DA$3:$DE$2300),MATCH(ROWS(F$8:F506),COPIA!$DF$3:$DF$2300,0),COLUMN()-1),""))</f>
        <v/>
      </c>
    </row>
    <row r="507" spans="2:6">
      <c r="B507" s="119" t="str">
        <f ca="1">IF(IFERROR(INDEX((COPIA!$DA$3:$DE$2300),MATCH(ROWS(B$8:B507),COPIA!$DF$3:$DF$2300,0),COLUMN()-1),"")&gt;=1,IFERROR(INDEX((COPIA!$DA$3:$DE$2300),MATCH(ROWS(B$8:B507),COPIA!$DF$3:$DF$2300,0),COLUMN()-1),""),"")</f>
        <v/>
      </c>
      <c r="C507" s="118" t="str">
        <f ca="1">SUBSTITUTE(IFERROR(INDEX((COPIA!$DA$3:$DE$2300),MATCH(ROWS(C$8:C507),COPIA!$DF$3:$DF$2300,0),COLUMN()-1),""),"MASTRO","")</f>
        <v/>
      </c>
      <c r="D507" s="29" t="str">
        <f ca="1">IF(IFERROR(INDEX((COPIA!$DA$3:$DE$2300),MATCH(ROWS(D$8:D507),COPIA!$DF$3:$DF$2300,0),COLUMN()-1),"")=0,"",IFERROR(INDEX((COPIA!$DA$3:$DE$2300),MATCH(ROWS(D$8:D507),COPIA!$DF$3:$DF$2300,0),COLUMN()-1),""))</f>
        <v/>
      </c>
      <c r="E507" s="45" t="str">
        <f ca="1">IF(IFERROR(INDEX((COPIA!$DA$3:$DE$2300),MATCH(ROWS(E$8:E507),COPIA!$DF$3:$DF$2300,0),COLUMN()-1),"")=0,"",IFERROR(INDEX((COPIA!$DA$3:$DE$2300),MATCH(ROWS(E$8:E507),COPIA!$DF$3:$DF$2300,0),COLUMN()-1),""))</f>
        <v/>
      </c>
      <c r="F507" s="120" t="str">
        <f ca="1">IF(IFERROR(INDEX((COPIA!$DA$3:$DE$2300),MATCH(ROWS(F$8:F507),COPIA!$DF$3:$DF$2300,0),COLUMN()-1),"")=0,"",IFERROR(INDEX((COPIA!$DA$3:$DE$2300),MATCH(ROWS(F$8:F507),COPIA!$DF$3:$DF$2300,0),COLUMN()-1),""))</f>
        <v/>
      </c>
    </row>
    <row r="508" spans="2:6">
      <c r="B508" s="119" t="str">
        <f ca="1">IF(IFERROR(INDEX((COPIA!$DA$3:$DE$2300),MATCH(ROWS(B$8:B508),COPIA!$DF$3:$DF$2300,0),COLUMN()-1),"")&gt;=1,IFERROR(INDEX((COPIA!$DA$3:$DE$2300),MATCH(ROWS(B$8:B508),COPIA!$DF$3:$DF$2300,0),COLUMN()-1),""),"")</f>
        <v/>
      </c>
      <c r="C508" s="118" t="str">
        <f ca="1">SUBSTITUTE(IFERROR(INDEX((COPIA!$DA$3:$DE$2300),MATCH(ROWS(C$8:C508),COPIA!$DF$3:$DF$2300,0),COLUMN()-1),""),"MASTRO","")</f>
        <v/>
      </c>
      <c r="D508" s="29" t="str">
        <f ca="1">IF(IFERROR(INDEX((COPIA!$DA$3:$DE$2300),MATCH(ROWS(D$8:D508),COPIA!$DF$3:$DF$2300,0),COLUMN()-1),"")=0,"",IFERROR(INDEX((COPIA!$DA$3:$DE$2300),MATCH(ROWS(D$8:D508),COPIA!$DF$3:$DF$2300,0),COLUMN()-1),""))</f>
        <v/>
      </c>
      <c r="E508" s="45" t="str">
        <f ca="1">IF(IFERROR(INDEX((COPIA!$DA$3:$DE$2300),MATCH(ROWS(E$8:E508),COPIA!$DF$3:$DF$2300,0),COLUMN()-1),"")=0,"",IFERROR(INDEX((COPIA!$DA$3:$DE$2300),MATCH(ROWS(E$8:E508),COPIA!$DF$3:$DF$2300,0),COLUMN()-1),""))</f>
        <v/>
      </c>
      <c r="F508" s="120" t="str">
        <f ca="1">IF(IFERROR(INDEX((COPIA!$DA$3:$DE$2300),MATCH(ROWS(F$8:F508),COPIA!$DF$3:$DF$2300,0),COLUMN()-1),"")=0,"",IFERROR(INDEX((COPIA!$DA$3:$DE$2300),MATCH(ROWS(F$8:F508),COPIA!$DF$3:$DF$2300,0),COLUMN()-1),""))</f>
        <v/>
      </c>
    </row>
    <row r="509" spans="2:6">
      <c r="B509" s="119" t="str">
        <f ca="1">IF(IFERROR(INDEX((COPIA!$DA$3:$DE$2300),MATCH(ROWS(B$8:B509),COPIA!$DF$3:$DF$2300,0),COLUMN()-1),"")&gt;=1,IFERROR(INDEX((COPIA!$DA$3:$DE$2300),MATCH(ROWS(B$8:B509),COPIA!$DF$3:$DF$2300,0),COLUMN()-1),""),"")</f>
        <v/>
      </c>
      <c r="C509" s="118" t="str">
        <f ca="1">SUBSTITUTE(IFERROR(INDEX((COPIA!$DA$3:$DE$2300),MATCH(ROWS(C$8:C509),COPIA!$DF$3:$DF$2300,0),COLUMN()-1),""),"MASTRO","")</f>
        <v/>
      </c>
      <c r="D509" s="29" t="str">
        <f ca="1">IF(IFERROR(INDEX((COPIA!$DA$3:$DE$2300),MATCH(ROWS(D$8:D509),COPIA!$DF$3:$DF$2300,0),COLUMN()-1),"")=0,"",IFERROR(INDEX((COPIA!$DA$3:$DE$2300),MATCH(ROWS(D$8:D509),COPIA!$DF$3:$DF$2300,0),COLUMN()-1),""))</f>
        <v/>
      </c>
      <c r="E509" s="45" t="str">
        <f ca="1">IF(IFERROR(INDEX((COPIA!$DA$3:$DE$2300),MATCH(ROWS(E$8:E509),COPIA!$DF$3:$DF$2300,0),COLUMN()-1),"")=0,"",IFERROR(INDEX((COPIA!$DA$3:$DE$2300),MATCH(ROWS(E$8:E509),COPIA!$DF$3:$DF$2300,0),COLUMN()-1),""))</f>
        <v/>
      </c>
      <c r="F509" s="120" t="str">
        <f ca="1">IF(IFERROR(INDEX((COPIA!$DA$3:$DE$2300),MATCH(ROWS(F$8:F509),COPIA!$DF$3:$DF$2300,0),COLUMN()-1),"")=0,"",IFERROR(INDEX((COPIA!$DA$3:$DE$2300),MATCH(ROWS(F$8:F509),COPIA!$DF$3:$DF$2300,0),COLUMN()-1),""))</f>
        <v/>
      </c>
    </row>
    <row r="510" spans="2:6">
      <c r="B510" s="119" t="str">
        <f ca="1">IF(IFERROR(INDEX((COPIA!$DA$3:$DE$2300),MATCH(ROWS(B$8:B510),COPIA!$DF$3:$DF$2300,0),COLUMN()-1),"")&gt;=1,IFERROR(INDEX((COPIA!$DA$3:$DE$2300),MATCH(ROWS(B$8:B510),COPIA!$DF$3:$DF$2300,0),COLUMN()-1),""),"")</f>
        <v/>
      </c>
      <c r="C510" s="118" t="str">
        <f ca="1">SUBSTITUTE(IFERROR(INDEX((COPIA!$DA$3:$DE$2300),MATCH(ROWS(C$8:C510),COPIA!$DF$3:$DF$2300,0),COLUMN()-1),""),"MASTRO","")</f>
        <v/>
      </c>
      <c r="D510" s="29" t="str">
        <f ca="1">IF(IFERROR(INDEX((COPIA!$DA$3:$DE$2300),MATCH(ROWS(D$8:D510),COPIA!$DF$3:$DF$2300,0),COLUMN()-1),"")=0,"",IFERROR(INDEX((COPIA!$DA$3:$DE$2300),MATCH(ROWS(D$8:D510),COPIA!$DF$3:$DF$2300,0),COLUMN()-1),""))</f>
        <v/>
      </c>
      <c r="E510" s="45" t="str">
        <f ca="1">IF(IFERROR(INDEX((COPIA!$DA$3:$DE$2300),MATCH(ROWS(E$8:E510),COPIA!$DF$3:$DF$2300,0),COLUMN()-1),"")=0,"",IFERROR(INDEX((COPIA!$DA$3:$DE$2300),MATCH(ROWS(E$8:E510),COPIA!$DF$3:$DF$2300,0),COLUMN()-1),""))</f>
        <v/>
      </c>
      <c r="F510" s="120" t="str">
        <f ca="1">IF(IFERROR(INDEX((COPIA!$DA$3:$DE$2300),MATCH(ROWS(F$8:F510),COPIA!$DF$3:$DF$2300,0),COLUMN()-1),"")=0,"",IFERROR(INDEX((COPIA!$DA$3:$DE$2300),MATCH(ROWS(F$8:F510),COPIA!$DF$3:$DF$2300,0),COLUMN()-1),""))</f>
        <v/>
      </c>
    </row>
    <row r="511" spans="2:6">
      <c r="B511" s="119" t="str">
        <f ca="1">IF(IFERROR(INDEX((COPIA!$DA$3:$DE$2300),MATCH(ROWS(B$8:B511),COPIA!$DF$3:$DF$2300,0),COLUMN()-1),"")&gt;=1,IFERROR(INDEX((COPIA!$DA$3:$DE$2300),MATCH(ROWS(B$8:B511),COPIA!$DF$3:$DF$2300,0),COLUMN()-1),""),"")</f>
        <v/>
      </c>
      <c r="C511" s="118" t="str">
        <f ca="1">SUBSTITUTE(IFERROR(INDEX((COPIA!$DA$3:$DE$2300),MATCH(ROWS(C$8:C511),COPIA!$DF$3:$DF$2300,0),COLUMN()-1),""),"MASTRO","")</f>
        <v/>
      </c>
      <c r="D511" s="29" t="str">
        <f ca="1">IF(IFERROR(INDEX((COPIA!$DA$3:$DE$2300),MATCH(ROWS(D$8:D511),COPIA!$DF$3:$DF$2300,0),COLUMN()-1),"")=0,"",IFERROR(INDEX((COPIA!$DA$3:$DE$2300),MATCH(ROWS(D$8:D511),COPIA!$DF$3:$DF$2300,0),COLUMN()-1),""))</f>
        <v/>
      </c>
      <c r="E511" s="45" t="str">
        <f ca="1">IF(IFERROR(INDEX((COPIA!$DA$3:$DE$2300),MATCH(ROWS(E$8:E511),COPIA!$DF$3:$DF$2300,0),COLUMN()-1),"")=0,"",IFERROR(INDEX((COPIA!$DA$3:$DE$2300),MATCH(ROWS(E$8:E511),COPIA!$DF$3:$DF$2300,0),COLUMN()-1),""))</f>
        <v/>
      </c>
      <c r="F511" s="120" t="str">
        <f ca="1">IF(IFERROR(INDEX((COPIA!$DA$3:$DE$2300),MATCH(ROWS(F$8:F511),COPIA!$DF$3:$DF$2300,0),COLUMN()-1),"")=0,"",IFERROR(INDEX((COPIA!$DA$3:$DE$2300),MATCH(ROWS(F$8:F511),COPIA!$DF$3:$DF$2300,0),COLUMN()-1),""))</f>
        <v/>
      </c>
    </row>
    <row r="512" spans="2:6">
      <c r="B512" s="119" t="str">
        <f ca="1">IF(IFERROR(INDEX((COPIA!$DA$3:$DE$2300),MATCH(ROWS(B$8:B512),COPIA!$DF$3:$DF$2300,0),COLUMN()-1),"")&gt;=1,IFERROR(INDEX((COPIA!$DA$3:$DE$2300),MATCH(ROWS(B$8:B512),COPIA!$DF$3:$DF$2300,0),COLUMN()-1),""),"")</f>
        <v/>
      </c>
      <c r="C512" s="118" t="str">
        <f ca="1">SUBSTITUTE(IFERROR(INDEX((COPIA!$DA$3:$DE$2300),MATCH(ROWS(C$8:C512),COPIA!$DF$3:$DF$2300,0),COLUMN()-1),""),"MASTRO","")</f>
        <v/>
      </c>
      <c r="D512" s="29" t="str">
        <f ca="1">IF(IFERROR(INDEX((COPIA!$DA$3:$DE$2300),MATCH(ROWS(D$8:D512),COPIA!$DF$3:$DF$2300,0),COLUMN()-1),"")=0,"",IFERROR(INDEX((COPIA!$DA$3:$DE$2300),MATCH(ROWS(D$8:D512),COPIA!$DF$3:$DF$2300,0),COLUMN()-1),""))</f>
        <v/>
      </c>
      <c r="E512" s="45" t="str">
        <f ca="1">IF(IFERROR(INDEX((COPIA!$DA$3:$DE$2300),MATCH(ROWS(E$8:E512),COPIA!$DF$3:$DF$2300,0),COLUMN()-1),"")=0,"",IFERROR(INDEX((COPIA!$DA$3:$DE$2300),MATCH(ROWS(E$8:E512),COPIA!$DF$3:$DF$2300,0),COLUMN()-1),""))</f>
        <v/>
      </c>
      <c r="F512" s="120" t="str">
        <f ca="1">IF(IFERROR(INDEX((COPIA!$DA$3:$DE$2300),MATCH(ROWS(F$8:F512),COPIA!$DF$3:$DF$2300,0),COLUMN()-1),"")=0,"",IFERROR(INDEX((COPIA!$DA$3:$DE$2300),MATCH(ROWS(F$8:F512),COPIA!$DF$3:$DF$2300,0),COLUMN()-1),""))</f>
        <v/>
      </c>
    </row>
    <row r="513" spans="2:6">
      <c r="B513" s="119" t="str">
        <f ca="1">IF(IFERROR(INDEX((COPIA!$DA$3:$DE$2300),MATCH(ROWS(B$8:B513),COPIA!$DF$3:$DF$2300,0),COLUMN()-1),"")&gt;=1,IFERROR(INDEX((COPIA!$DA$3:$DE$2300),MATCH(ROWS(B$8:B513),COPIA!$DF$3:$DF$2300,0),COLUMN()-1),""),"")</f>
        <v/>
      </c>
      <c r="C513" s="118" t="str">
        <f ca="1">SUBSTITUTE(IFERROR(INDEX((COPIA!$DA$3:$DE$2300),MATCH(ROWS(C$8:C513),COPIA!$DF$3:$DF$2300,0),COLUMN()-1),""),"MASTRO","")</f>
        <v/>
      </c>
      <c r="D513" s="29" t="str">
        <f ca="1">IF(IFERROR(INDEX((COPIA!$DA$3:$DE$2300),MATCH(ROWS(D$8:D513),COPIA!$DF$3:$DF$2300,0),COLUMN()-1),"")=0,"",IFERROR(INDEX((COPIA!$DA$3:$DE$2300),MATCH(ROWS(D$8:D513),COPIA!$DF$3:$DF$2300,0),COLUMN()-1),""))</f>
        <v/>
      </c>
      <c r="E513" s="45" t="str">
        <f ca="1">IF(IFERROR(INDEX((COPIA!$DA$3:$DE$2300),MATCH(ROWS(E$8:E513),COPIA!$DF$3:$DF$2300,0),COLUMN()-1),"")=0,"",IFERROR(INDEX((COPIA!$DA$3:$DE$2300),MATCH(ROWS(E$8:E513),COPIA!$DF$3:$DF$2300,0),COLUMN()-1),""))</f>
        <v/>
      </c>
      <c r="F513" s="120" t="str">
        <f ca="1">IF(IFERROR(INDEX((COPIA!$DA$3:$DE$2300),MATCH(ROWS(F$8:F513),COPIA!$DF$3:$DF$2300,0),COLUMN()-1),"")=0,"",IFERROR(INDEX((COPIA!$DA$3:$DE$2300),MATCH(ROWS(F$8:F513),COPIA!$DF$3:$DF$2300,0),COLUMN()-1),""))</f>
        <v/>
      </c>
    </row>
    <row r="514" spans="2:6">
      <c r="B514" s="119" t="str">
        <f ca="1">IF(IFERROR(INDEX((COPIA!$DA$3:$DE$2300),MATCH(ROWS(B$8:B514),COPIA!$DF$3:$DF$2300,0),COLUMN()-1),"")&gt;=1,IFERROR(INDEX((COPIA!$DA$3:$DE$2300),MATCH(ROWS(B$8:B514),COPIA!$DF$3:$DF$2300,0),COLUMN()-1),""),"")</f>
        <v/>
      </c>
      <c r="C514" s="118" t="str">
        <f ca="1">SUBSTITUTE(IFERROR(INDEX((COPIA!$DA$3:$DE$2300),MATCH(ROWS(C$8:C514),COPIA!$DF$3:$DF$2300,0),COLUMN()-1),""),"MASTRO","")</f>
        <v/>
      </c>
      <c r="D514" s="29" t="str">
        <f ca="1">IF(IFERROR(INDEX((COPIA!$DA$3:$DE$2300),MATCH(ROWS(D$8:D514),COPIA!$DF$3:$DF$2300,0),COLUMN()-1),"")=0,"",IFERROR(INDEX((COPIA!$DA$3:$DE$2300),MATCH(ROWS(D$8:D514),COPIA!$DF$3:$DF$2300,0),COLUMN()-1),""))</f>
        <v/>
      </c>
      <c r="E514" s="45" t="str">
        <f ca="1">IF(IFERROR(INDEX((COPIA!$DA$3:$DE$2300),MATCH(ROWS(E$8:E514),COPIA!$DF$3:$DF$2300,0),COLUMN()-1),"")=0,"",IFERROR(INDEX((COPIA!$DA$3:$DE$2300),MATCH(ROWS(E$8:E514),COPIA!$DF$3:$DF$2300,0),COLUMN()-1),""))</f>
        <v/>
      </c>
      <c r="F514" s="120" t="str">
        <f ca="1">IF(IFERROR(INDEX((COPIA!$DA$3:$DE$2300),MATCH(ROWS(F$8:F514),COPIA!$DF$3:$DF$2300,0),COLUMN()-1),"")=0,"",IFERROR(INDEX((COPIA!$DA$3:$DE$2300),MATCH(ROWS(F$8:F514),COPIA!$DF$3:$DF$2300,0),COLUMN()-1),""))</f>
        <v/>
      </c>
    </row>
    <row r="515" spans="2:6">
      <c r="B515" s="119" t="str">
        <f ca="1">IF(IFERROR(INDEX((COPIA!$DA$3:$DE$2300),MATCH(ROWS(B$8:B515),COPIA!$DF$3:$DF$2300,0),COLUMN()-1),"")&gt;=1,IFERROR(INDEX((COPIA!$DA$3:$DE$2300),MATCH(ROWS(B$8:B515),COPIA!$DF$3:$DF$2300,0),COLUMN()-1),""),"")</f>
        <v/>
      </c>
      <c r="C515" s="118" t="str">
        <f ca="1">SUBSTITUTE(IFERROR(INDEX((COPIA!$DA$3:$DE$2300),MATCH(ROWS(C$8:C515),COPIA!$DF$3:$DF$2300,0),COLUMN()-1),""),"MASTRO","")</f>
        <v/>
      </c>
      <c r="D515" s="29" t="str">
        <f ca="1">IF(IFERROR(INDEX((COPIA!$DA$3:$DE$2300),MATCH(ROWS(D$8:D515),COPIA!$DF$3:$DF$2300,0),COLUMN()-1),"")=0,"",IFERROR(INDEX((COPIA!$DA$3:$DE$2300),MATCH(ROWS(D$8:D515),COPIA!$DF$3:$DF$2300,0),COLUMN()-1),""))</f>
        <v/>
      </c>
      <c r="E515" s="45" t="str">
        <f ca="1">IF(IFERROR(INDEX((COPIA!$DA$3:$DE$2300),MATCH(ROWS(E$8:E515),COPIA!$DF$3:$DF$2300,0),COLUMN()-1),"")=0,"",IFERROR(INDEX((COPIA!$DA$3:$DE$2300),MATCH(ROWS(E$8:E515),COPIA!$DF$3:$DF$2300,0),COLUMN()-1),""))</f>
        <v/>
      </c>
      <c r="F515" s="120" t="str">
        <f ca="1">IF(IFERROR(INDEX((COPIA!$DA$3:$DE$2300),MATCH(ROWS(F$8:F515),COPIA!$DF$3:$DF$2300,0),COLUMN()-1),"")=0,"",IFERROR(INDEX((COPIA!$DA$3:$DE$2300),MATCH(ROWS(F$8:F515),COPIA!$DF$3:$DF$2300,0),COLUMN()-1),""))</f>
        <v/>
      </c>
    </row>
    <row r="516" spans="2:6">
      <c r="B516" s="119" t="str">
        <f ca="1">IF(IFERROR(INDEX((COPIA!$DA$3:$DE$2300),MATCH(ROWS(B$8:B516),COPIA!$DF$3:$DF$2300,0),COLUMN()-1),"")&gt;=1,IFERROR(INDEX((COPIA!$DA$3:$DE$2300),MATCH(ROWS(B$8:B516),COPIA!$DF$3:$DF$2300,0),COLUMN()-1),""),"")</f>
        <v/>
      </c>
      <c r="C516" s="118" t="str">
        <f ca="1">SUBSTITUTE(IFERROR(INDEX((COPIA!$DA$3:$DE$2300),MATCH(ROWS(C$8:C516),COPIA!$DF$3:$DF$2300,0),COLUMN()-1),""),"MASTRO","")</f>
        <v/>
      </c>
      <c r="D516" s="29" t="str">
        <f ca="1">IF(IFERROR(INDEX((COPIA!$DA$3:$DE$2300),MATCH(ROWS(D$8:D516),COPIA!$DF$3:$DF$2300,0),COLUMN()-1),"")=0,"",IFERROR(INDEX((COPIA!$DA$3:$DE$2300),MATCH(ROWS(D$8:D516),COPIA!$DF$3:$DF$2300,0),COLUMN()-1),""))</f>
        <v/>
      </c>
      <c r="E516" s="45" t="str">
        <f ca="1">IF(IFERROR(INDEX((COPIA!$DA$3:$DE$2300),MATCH(ROWS(E$8:E516),COPIA!$DF$3:$DF$2300,0),COLUMN()-1),"")=0,"",IFERROR(INDEX((COPIA!$DA$3:$DE$2300),MATCH(ROWS(E$8:E516),COPIA!$DF$3:$DF$2300,0),COLUMN()-1),""))</f>
        <v/>
      </c>
      <c r="F516" s="120" t="str">
        <f ca="1">IF(IFERROR(INDEX((COPIA!$DA$3:$DE$2300),MATCH(ROWS(F$8:F516),COPIA!$DF$3:$DF$2300,0),COLUMN()-1),"")=0,"",IFERROR(INDEX((COPIA!$DA$3:$DE$2300),MATCH(ROWS(F$8:F516),COPIA!$DF$3:$DF$2300,0),COLUMN()-1),""))</f>
        <v/>
      </c>
    </row>
    <row r="517" spans="2:6">
      <c r="B517" s="119" t="str">
        <f ca="1">IF(IFERROR(INDEX((COPIA!$DA$3:$DE$2300),MATCH(ROWS(B$8:B517),COPIA!$DF$3:$DF$2300,0),COLUMN()-1),"")&gt;=1,IFERROR(INDEX((COPIA!$DA$3:$DE$2300),MATCH(ROWS(B$8:B517),COPIA!$DF$3:$DF$2300,0),COLUMN()-1),""),"")</f>
        <v/>
      </c>
      <c r="C517" s="118" t="str">
        <f ca="1">SUBSTITUTE(IFERROR(INDEX((COPIA!$DA$3:$DE$2300),MATCH(ROWS(C$8:C517),COPIA!$DF$3:$DF$2300,0),COLUMN()-1),""),"MASTRO","")</f>
        <v/>
      </c>
      <c r="D517" s="29" t="str">
        <f ca="1">IF(IFERROR(INDEX((COPIA!$DA$3:$DE$2300),MATCH(ROWS(D$8:D517),COPIA!$DF$3:$DF$2300,0),COLUMN()-1),"")=0,"",IFERROR(INDEX((COPIA!$DA$3:$DE$2300),MATCH(ROWS(D$8:D517),COPIA!$DF$3:$DF$2300,0),COLUMN()-1),""))</f>
        <v/>
      </c>
      <c r="E517" s="45" t="str">
        <f ca="1">IF(IFERROR(INDEX((COPIA!$DA$3:$DE$2300),MATCH(ROWS(E$8:E517),COPIA!$DF$3:$DF$2300,0),COLUMN()-1),"")=0,"",IFERROR(INDEX((COPIA!$DA$3:$DE$2300),MATCH(ROWS(E$8:E517),COPIA!$DF$3:$DF$2300,0),COLUMN()-1),""))</f>
        <v/>
      </c>
      <c r="F517" s="120" t="str">
        <f ca="1">IF(IFERROR(INDEX((COPIA!$DA$3:$DE$2300),MATCH(ROWS(F$8:F517),COPIA!$DF$3:$DF$2300,0),COLUMN()-1),"")=0,"",IFERROR(INDEX((COPIA!$DA$3:$DE$2300),MATCH(ROWS(F$8:F517),COPIA!$DF$3:$DF$2300,0),COLUMN()-1),""))</f>
        <v/>
      </c>
    </row>
    <row r="518" spans="2:6">
      <c r="B518" s="119" t="str">
        <f ca="1">IF(IFERROR(INDEX((COPIA!$DA$3:$DE$2300),MATCH(ROWS(B$8:B518),COPIA!$DF$3:$DF$2300,0),COLUMN()-1),"")&gt;=1,IFERROR(INDEX((COPIA!$DA$3:$DE$2300),MATCH(ROWS(B$8:B518),COPIA!$DF$3:$DF$2300,0),COLUMN()-1),""),"")</f>
        <v/>
      </c>
      <c r="C518" s="118" t="str">
        <f ca="1">SUBSTITUTE(IFERROR(INDEX((COPIA!$DA$3:$DE$2300),MATCH(ROWS(C$8:C518),COPIA!$DF$3:$DF$2300,0),COLUMN()-1),""),"MASTRO","")</f>
        <v/>
      </c>
      <c r="D518" s="29" t="str">
        <f ca="1">IF(IFERROR(INDEX((COPIA!$DA$3:$DE$2300),MATCH(ROWS(D$8:D518),COPIA!$DF$3:$DF$2300,0),COLUMN()-1),"")=0,"",IFERROR(INDEX((COPIA!$DA$3:$DE$2300),MATCH(ROWS(D$8:D518),COPIA!$DF$3:$DF$2300,0),COLUMN()-1),""))</f>
        <v/>
      </c>
      <c r="E518" s="45" t="str">
        <f ca="1">IF(IFERROR(INDEX((COPIA!$DA$3:$DE$2300),MATCH(ROWS(E$8:E518),COPIA!$DF$3:$DF$2300,0),COLUMN()-1),"")=0,"",IFERROR(INDEX((COPIA!$DA$3:$DE$2300),MATCH(ROWS(E$8:E518),COPIA!$DF$3:$DF$2300,0),COLUMN()-1),""))</f>
        <v/>
      </c>
      <c r="F518" s="120" t="str">
        <f ca="1">IF(IFERROR(INDEX((COPIA!$DA$3:$DE$2300),MATCH(ROWS(F$8:F518),COPIA!$DF$3:$DF$2300,0),COLUMN()-1),"")=0,"",IFERROR(INDEX((COPIA!$DA$3:$DE$2300),MATCH(ROWS(F$8:F518),COPIA!$DF$3:$DF$2300,0),COLUMN()-1),""))</f>
        <v/>
      </c>
    </row>
    <row r="519" spans="2:6">
      <c r="B519" s="119" t="str">
        <f ca="1">IF(IFERROR(INDEX((COPIA!$DA$3:$DE$2300),MATCH(ROWS(B$8:B519),COPIA!$DF$3:$DF$2300,0),COLUMN()-1),"")&gt;=1,IFERROR(INDEX((COPIA!$DA$3:$DE$2300),MATCH(ROWS(B$8:B519),COPIA!$DF$3:$DF$2300,0),COLUMN()-1),""),"")</f>
        <v/>
      </c>
      <c r="C519" s="118" t="str">
        <f ca="1">SUBSTITUTE(IFERROR(INDEX((COPIA!$DA$3:$DE$2300),MATCH(ROWS(C$8:C519),COPIA!$DF$3:$DF$2300,0),COLUMN()-1),""),"MASTRO","")</f>
        <v/>
      </c>
      <c r="D519" s="29" t="str">
        <f ca="1">IF(IFERROR(INDEX((COPIA!$DA$3:$DE$2300),MATCH(ROWS(D$8:D519),COPIA!$DF$3:$DF$2300,0),COLUMN()-1),"")=0,"",IFERROR(INDEX((COPIA!$DA$3:$DE$2300),MATCH(ROWS(D$8:D519),COPIA!$DF$3:$DF$2300,0),COLUMN()-1),""))</f>
        <v/>
      </c>
      <c r="E519" s="45" t="str">
        <f ca="1">IF(IFERROR(INDEX((COPIA!$DA$3:$DE$2300),MATCH(ROWS(E$8:E519),COPIA!$DF$3:$DF$2300,0),COLUMN()-1),"")=0,"",IFERROR(INDEX((COPIA!$DA$3:$DE$2300),MATCH(ROWS(E$8:E519),COPIA!$DF$3:$DF$2300,0),COLUMN()-1),""))</f>
        <v/>
      </c>
      <c r="F519" s="120" t="str">
        <f ca="1">IF(IFERROR(INDEX((COPIA!$DA$3:$DE$2300),MATCH(ROWS(F$8:F519),COPIA!$DF$3:$DF$2300,0),COLUMN()-1),"")=0,"",IFERROR(INDEX((COPIA!$DA$3:$DE$2300),MATCH(ROWS(F$8:F519),COPIA!$DF$3:$DF$2300,0),COLUMN()-1),""))</f>
        <v/>
      </c>
    </row>
    <row r="520" spans="2:6">
      <c r="B520" s="119" t="str">
        <f ca="1">IF(IFERROR(INDEX((COPIA!$DA$3:$DE$2300),MATCH(ROWS(B$8:B520),COPIA!$DF$3:$DF$2300,0),COLUMN()-1),"")&gt;=1,IFERROR(INDEX((COPIA!$DA$3:$DE$2300),MATCH(ROWS(B$8:B520),COPIA!$DF$3:$DF$2300,0),COLUMN()-1),""),"")</f>
        <v/>
      </c>
      <c r="C520" s="118" t="str">
        <f ca="1">SUBSTITUTE(IFERROR(INDEX((COPIA!$DA$3:$DE$2300),MATCH(ROWS(C$8:C520),COPIA!$DF$3:$DF$2300,0),COLUMN()-1),""),"MASTRO","")</f>
        <v/>
      </c>
      <c r="D520" s="29" t="str">
        <f ca="1">IF(IFERROR(INDEX((COPIA!$DA$3:$DE$2300),MATCH(ROWS(D$8:D520),COPIA!$DF$3:$DF$2300,0),COLUMN()-1),"")=0,"",IFERROR(INDEX((COPIA!$DA$3:$DE$2300),MATCH(ROWS(D$8:D520),COPIA!$DF$3:$DF$2300,0),COLUMN()-1),""))</f>
        <v/>
      </c>
      <c r="E520" s="45" t="str">
        <f ca="1">IF(IFERROR(INDEX((COPIA!$DA$3:$DE$2300),MATCH(ROWS(E$8:E520),COPIA!$DF$3:$DF$2300,0),COLUMN()-1),"")=0,"",IFERROR(INDEX((COPIA!$DA$3:$DE$2300),MATCH(ROWS(E$8:E520),COPIA!$DF$3:$DF$2300,0),COLUMN()-1),""))</f>
        <v/>
      </c>
      <c r="F520" s="120" t="str">
        <f ca="1">IF(IFERROR(INDEX((COPIA!$DA$3:$DE$2300),MATCH(ROWS(F$8:F520),COPIA!$DF$3:$DF$2300,0),COLUMN()-1),"")=0,"",IFERROR(INDEX((COPIA!$DA$3:$DE$2300),MATCH(ROWS(F$8:F520),COPIA!$DF$3:$DF$2300,0),COLUMN()-1),""))</f>
        <v/>
      </c>
    </row>
    <row r="521" spans="2:6">
      <c r="B521" s="119" t="str">
        <f ca="1">IF(IFERROR(INDEX((COPIA!$DA$3:$DE$2300),MATCH(ROWS(B$8:B521),COPIA!$DF$3:$DF$2300,0),COLUMN()-1),"")&gt;=1,IFERROR(INDEX((COPIA!$DA$3:$DE$2300),MATCH(ROWS(B$8:B521),COPIA!$DF$3:$DF$2300,0),COLUMN()-1),""),"")</f>
        <v/>
      </c>
      <c r="C521" s="118" t="str">
        <f ca="1">SUBSTITUTE(IFERROR(INDEX((COPIA!$DA$3:$DE$2300),MATCH(ROWS(C$8:C521),COPIA!$DF$3:$DF$2300,0),COLUMN()-1),""),"MASTRO","")</f>
        <v/>
      </c>
      <c r="D521" s="29" t="str">
        <f ca="1">IF(IFERROR(INDEX((COPIA!$DA$3:$DE$2300),MATCH(ROWS(D$8:D521),COPIA!$DF$3:$DF$2300,0),COLUMN()-1),"")=0,"",IFERROR(INDEX((COPIA!$DA$3:$DE$2300),MATCH(ROWS(D$8:D521),COPIA!$DF$3:$DF$2300,0),COLUMN()-1),""))</f>
        <v/>
      </c>
      <c r="E521" s="45" t="str">
        <f ca="1">IF(IFERROR(INDEX((COPIA!$DA$3:$DE$2300),MATCH(ROWS(E$8:E521),COPIA!$DF$3:$DF$2300,0),COLUMN()-1),"")=0,"",IFERROR(INDEX((COPIA!$DA$3:$DE$2300),MATCH(ROWS(E$8:E521),COPIA!$DF$3:$DF$2300,0),COLUMN()-1),""))</f>
        <v/>
      </c>
      <c r="F521" s="120" t="str">
        <f ca="1">IF(IFERROR(INDEX((COPIA!$DA$3:$DE$2300),MATCH(ROWS(F$8:F521),COPIA!$DF$3:$DF$2300,0),COLUMN()-1),"")=0,"",IFERROR(INDEX((COPIA!$DA$3:$DE$2300),MATCH(ROWS(F$8:F521),COPIA!$DF$3:$DF$2300,0),COLUMN()-1),""))</f>
        <v/>
      </c>
    </row>
    <row r="522" spans="2:6">
      <c r="B522" s="119" t="str">
        <f ca="1">IF(IFERROR(INDEX((COPIA!$DA$3:$DE$2300),MATCH(ROWS(B$8:B522),COPIA!$DF$3:$DF$2300,0),COLUMN()-1),"")&gt;=1,IFERROR(INDEX((COPIA!$DA$3:$DE$2300),MATCH(ROWS(B$8:B522),COPIA!$DF$3:$DF$2300,0),COLUMN()-1),""),"")</f>
        <v/>
      </c>
      <c r="C522" s="118" t="str">
        <f ca="1">SUBSTITUTE(IFERROR(INDEX((COPIA!$DA$3:$DE$2300),MATCH(ROWS(C$8:C522),COPIA!$DF$3:$DF$2300,0),COLUMN()-1),""),"MASTRO","")</f>
        <v/>
      </c>
      <c r="D522" s="29" t="str">
        <f ca="1">IF(IFERROR(INDEX((COPIA!$DA$3:$DE$2300),MATCH(ROWS(D$8:D522),COPIA!$DF$3:$DF$2300,0),COLUMN()-1),"")=0,"",IFERROR(INDEX((COPIA!$DA$3:$DE$2300),MATCH(ROWS(D$8:D522),COPIA!$DF$3:$DF$2300,0),COLUMN()-1),""))</f>
        <v/>
      </c>
      <c r="E522" s="45" t="str">
        <f ca="1">IF(IFERROR(INDEX((COPIA!$DA$3:$DE$2300),MATCH(ROWS(E$8:E522),COPIA!$DF$3:$DF$2300,0),COLUMN()-1),"")=0,"",IFERROR(INDEX((COPIA!$DA$3:$DE$2300),MATCH(ROWS(E$8:E522),COPIA!$DF$3:$DF$2300,0),COLUMN()-1),""))</f>
        <v/>
      </c>
      <c r="F522" s="120" t="str">
        <f ca="1">IF(IFERROR(INDEX((COPIA!$DA$3:$DE$2300),MATCH(ROWS(F$8:F522),COPIA!$DF$3:$DF$2300,0),COLUMN()-1),"")=0,"",IFERROR(INDEX((COPIA!$DA$3:$DE$2300),MATCH(ROWS(F$8:F522),COPIA!$DF$3:$DF$2300,0),COLUMN()-1),""))</f>
        <v/>
      </c>
    </row>
    <row r="523" spans="2:6">
      <c r="B523" s="119" t="str">
        <f ca="1">IF(IFERROR(INDEX((COPIA!$DA$3:$DE$2300),MATCH(ROWS(B$8:B523),COPIA!$DF$3:$DF$2300,0),COLUMN()-1),"")&gt;=1,IFERROR(INDEX((COPIA!$DA$3:$DE$2300),MATCH(ROWS(B$8:B523),COPIA!$DF$3:$DF$2300,0),COLUMN()-1),""),"")</f>
        <v/>
      </c>
      <c r="C523" s="118" t="str">
        <f ca="1">SUBSTITUTE(IFERROR(INDEX((COPIA!$DA$3:$DE$2300),MATCH(ROWS(C$8:C523),COPIA!$DF$3:$DF$2300,0),COLUMN()-1),""),"MASTRO","")</f>
        <v/>
      </c>
      <c r="D523" s="29" t="str">
        <f ca="1">IF(IFERROR(INDEX((COPIA!$DA$3:$DE$2300),MATCH(ROWS(D$8:D523),COPIA!$DF$3:$DF$2300,0),COLUMN()-1),"")=0,"",IFERROR(INDEX((COPIA!$DA$3:$DE$2300),MATCH(ROWS(D$8:D523),COPIA!$DF$3:$DF$2300,0),COLUMN()-1),""))</f>
        <v/>
      </c>
      <c r="E523" s="45" t="str">
        <f ca="1">IF(IFERROR(INDEX((COPIA!$DA$3:$DE$2300),MATCH(ROWS(E$8:E523),COPIA!$DF$3:$DF$2300,0),COLUMN()-1),"")=0,"",IFERROR(INDEX((COPIA!$DA$3:$DE$2300),MATCH(ROWS(E$8:E523),COPIA!$DF$3:$DF$2300,0),COLUMN()-1),""))</f>
        <v/>
      </c>
      <c r="F523" s="120" t="str">
        <f ca="1">IF(IFERROR(INDEX((COPIA!$DA$3:$DE$2300),MATCH(ROWS(F$8:F523),COPIA!$DF$3:$DF$2300,0),COLUMN()-1),"")=0,"",IFERROR(INDEX((COPIA!$DA$3:$DE$2300),MATCH(ROWS(F$8:F523),COPIA!$DF$3:$DF$2300,0),COLUMN()-1),""))</f>
        <v/>
      </c>
    </row>
    <row r="524" spans="2:6">
      <c r="B524" s="119" t="str">
        <f ca="1">IF(IFERROR(INDEX((COPIA!$DA$3:$DE$2300),MATCH(ROWS(B$8:B524),COPIA!$DF$3:$DF$2300,0),COLUMN()-1),"")&gt;=1,IFERROR(INDEX((COPIA!$DA$3:$DE$2300),MATCH(ROWS(B$8:B524),COPIA!$DF$3:$DF$2300,0),COLUMN()-1),""),"")</f>
        <v/>
      </c>
      <c r="C524" s="118" t="str">
        <f ca="1">SUBSTITUTE(IFERROR(INDEX((COPIA!$DA$3:$DE$2300),MATCH(ROWS(C$8:C524),COPIA!$DF$3:$DF$2300,0),COLUMN()-1),""),"MASTRO","")</f>
        <v/>
      </c>
      <c r="D524" s="29" t="str">
        <f ca="1">IF(IFERROR(INDEX((COPIA!$DA$3:$DE$2300),MATCH(ROWS(D$8:D524),COPIA!$DF$3:$DF$2300,0),COLUMN()-1),"")=0,"",IFERROR(INDEX((COPIA!$DA$3:$DE$2300),MATCH(ROWS(D$8:D524),COPIA!$DF$3:$DF$2300,0),COLUMN()-1),""))</f>
        <v/>
      </c>
      <c r="E524" s="45" t="str">
        <f ca="1">IF(IFERROR(INDEX((COPIA!$DA$3:$DE$2300),MATCH(ROWS(E$8:E524),COPIA!$DF$3:$DF$2300,0),COLUMN()-1),"")=0,"",IFERROR(INDEX((COPIA!$DA$3:$DE$2300),MATCH(ROWS(E$8:E524),COPIA!$DF$3:$DF$2300,0),COLUMN()-1),""))</f>
        <v/>
      </c>
      <c r="F524" s="120" t="str">
        <f ca="1">IF(IFERROR(INDEX((COPIA!$DA$3:$DE$2300),MATCH(ROWS(F$8:F524),COPIA!$DF$3:$DF$2300,0),COLUMN()-1),"")=0,"",IFERROR(INDEX((COPIA!$DA$3:$DE$2300),MATCH(ROWS(F$8:F524),COPIA!$DF$3:$DF$2300,0),COLUMN()-1),""))</f>
        <v/>
      </c>
    </row>
    <row r="525" spans="2:6">
      <c r="B525" s="119" t="str">
        <f ca="1">IF(IFERROR(INDEX((COPIA!$DA$3:$DE$2300),MATCH(ROWS(B$8:B525),COPIA!$DF$3:$DF$2300,0),COLUMN()-1),"")&gt;=1,IFERROR(INDEX((COPIA!$DA$3:$DE$2300),MATCH(ROWS(B$8:B525),COPIA!$DF$3:$DF$2300,0),COLUMN()-1),""),"")</f>
        <v/>
      </c>
      <c r="C525" s="118" t="str">
        <f ca="1">SUBSTITUTE(IFERROR(INDEX((COPIA!$DA$3:$DE$2300),MATCH(ROWS(C$8:C525),COPIA!$DF$3:$DF$2300,0),COLUMN()-1),""),"MASTRO","")</f>
        <v/>
      </c>
      <c r="D525" s="29" t="str">
        <f ca="1">IF(IFERROR(INDEX((COPIA!$DA$3:$DE$2300),MATCH(ROWS(D$8:D525),COPIA!$DF$3:$DF$2300,0),COLUMN()-1),"")=0,"",IFERROR(INDEX((COPIA!$DA$3:$DE$2300),MATCH(ROWS(D$8:D525),COPIA!$DF$3:$DF$2300,0),COLUMN()-1),""))</f>
        <v/>
      </c>
      <c r="E525" s="45" t="str">
        <f ca="1">IF(IFERROR(INDEX((COPIA!$DA$3:$DE$2300),MATCH(ROWS(E$8:E525),COPIA!$DF$3:$DF$2300,0),COLUMN()-1),"")=0,"",IFERROR(INDEX((COPIA!$DA$3:$DE$2300),MATCH(ROWS(E$8:E525),COPIA!$DF$3:$DF$2300,0),COLUMN()-1),""))</f>
        <v/>
      </c>
      <c r="F525" s="120" t="str">
        <f ca="1">IF(IFERROR(INDEX((COPIA!$DA$3:$DE$2300),MATCH(ROWS(F$8:F525),COPIA!$DF$3:$DF$2300,0),COLUMN()-1),"")=0,"",IFERROR(INDEX((COPIA!$DA$3:$DE$2300),MATCH(ROWS(F$8:F525),COPIA!$DF$3:$DF$2300,0),COLUMN()-1),""))</f>
        <v/>
      </c>
    </row>
    <row r="526" spans="2:6">
      <c r="B526" s="119" t="str">
        <f ca="1">IF(IFERROR(INDEX((COPIA!$DA$3:$DE$2300),MATCH(ROWS(B$8:B526),COPIA!$DF$3:$DF$2300,0),COLUMN()-1),"")&gt;=1,IFERROR(INDEX((COPIA!$DA$3:$DE$2300),MATCH(ROWS(B$8:B526),COPIA!$DF$3:$DF$2300,0),COLUMN()-1),""),"")</f>
        <v/>
      </c>
      <c r="C526" s="118" t="str">
        <f ca="1">SUBSTITUTE(IFERROR(INDEX((COPIA!$DA$3:$DE$2300),MATCH(ROWS(C$8:C526),COPIA!$DF$3:$DF$2300,0),COLUMN()-1),""),"MASTRO","")</f>
        <v/>
      </c>
      <c r="D526" s="29" t="str">
        <f ca="1">IF(IFERROR(INDEX((COPIA!$DA$3:$DE$2300),MATCH(ROWS(D$8:D526),COPIA!$DF$3:$DF$2300,0),COLUMN()-1),"")=0,"",IFERROR(INDEX((COPIA!$DA$3:$DE$2300),MATCH(ROWS(D$8:D526),COPIA!$DF$3:$DF$2300,0),COLUMN()-1),""))</f>
        <v/>
      </c>
      <c r="E526" s="45" t="str">
        <f ca="1">IF(IFERROR(INDEX((COPIA!$DA$3:$DE$2300),MATCH(ROWS(E$8:E526),COPIA!$DF$3:$DF$2300,0),COLUMN()-1),"")=0,"",IFERROR(INDEX((COPIA!$DA$3:$DE$2300),MATCH(ROWS(E$8:E526),COPIA!$DF$3:$DF$2300,0),COLUMN()-1),""))</f>
        <v/>
      </c>
      <c r="F526" s="120" t="str">
        <f ca="1">IF(IFERROR(INDEX((COPIA!$DA$3:$DE$2300),MATCH(ROWS(F$8:F526),COPIA!$DF$3:$DF$2300,0),COLUMN()-1),"")=0,"",IFERROR(INDEX((COPIA!$DA$3:$DE$2300),MATCH(ROWS(F$8:F526),COPIA!$DF$3:$DF$2300,0),COLUMN()-1),""))</f>
        <v/>
      </c>
    </row>
    <row r="527" spans="2:6">
      <c r="B527" s="119" t="str">
        <f ca="1">IF(IFERROR(INDEX((COPIA!$DA$3:$DE$2300),MATCH(ROWS(B$8:B527),COPIA!$DF$3:$DF$2300,0),COLUMN()-1),"")&gt;=1,IFERROR(INDEX((COPIA!$DA$3:$DE$2300),MATCH(ROWS(B$8:B527),COPIA!$DF$3:$DF$2300,0),COLUMN()-1),""),"")</f>
        <v/>
      </c>
      <c r="C527" s="118" t="str">
        <f ca="1">SUBSTITUTE(IFERROR(INDEX((COPIA!$DA$3:$DE$2300),MATCH(ROWS(C$8:C527),COPIA!$DF$3:$DF$2300,0),COLUMN()-1),""),"MASTRO","")</f>
        <v/>
      </c>
      <c r="D527" s="29" t="str">
        <f ca="1">IF(IFERROR(INDEX((COPIA!$DA$3:$DE$2300),MATCH(ROWS(D$8:D527),COPIA!$DF$3:$DF$2300,0),COLUMN()-1),"")=0,"",IFERROR(INDEX((COPIA!$DA$3:$DE$2300),MATCH(ROWS(D$8:D527),COPIA!$DF$3:$DF$2300,0),COLUMN()-1),""))</f>
        <v/>
      </c>
      <c r="E527" s="45" t="str">
        <f ca="1">IF(IFERROR(INDEX((COPIA!$DA$3:$DE$2300),MATCH(ROWS(E$8:E527),COPIA!$DF$3:$DF$2300,0),COLUMN()-1),"")=0,"",IFERROR(INDEX((COPIA!$DA$3:$DE$2300),MATCH(ROWS(E$8:E527),COPIA!$DF$3:$DF$2300,0),COLUMN()-1),""))</f>
        <v/>
      </c>
      <c r="F527" s="120" t="str">
        <f ca="1">IF(IFERROR(INDEX((COPIA!$DA$3:$DE$2300),MATCH(ROWS(F$8:F527),COPIA!$DF$3:$DF$2300,0),COLUMN()-1),"")=0,"",IFERROR(INDEX((COPIA!$DA$3:$DE$2300),MATCH(ROWS(F$8:F527),COPIA!$DF$3:$DF$2300,0),COLUMN()-1),""))</f>
        <v/>
      </c>
    </row>
    <row r="528" spans="2:6">
      <c r="B528" s="119" t="str">
        <f ca="1">IF(IFERROR(INDEX((COPIA!$DA$3:$DE$2300),MATCH(ROWS(B$8:B528),COPIA!$DF$3:$DF$2300,0),COLUMN()-1),"")&gt;=1,IFERROR(INDEX((COPIA!$DA$3:$DE$2300),MATCH(ROWS(B$8:B528),COPIA!$DF$3:$DF$2300,0),COLUMN()-1),""),"")</f>
        <v/>
      </c>
      <c r="C528" s="118" t="str">
        <f ca="1">SUBSTITUTE(IFERROR(INDEX((COPIA!$DA$3:$DE$2300),MATCH(ROWS(C$8:C528),COPIA!$DF$3:$DF$2300,0),COLUMN()-1),""),"MASTRO","")</f>
        <v/>
      </c>
      <c r="D528" s="29" t="str">
        <f ca="1">IF(IFERROR(INDEX((COPIA!$DA$3:$DE$2300),MATCH(ROWS(D$8:D528),COPIA!$DF$3:$DF$2300,0),COLUMN()-1),"")=0,"",IFERROR(INDEX((COPIA!$DA$3:$DE$2300),MATCH(ROWS(D$8:D528),COPIA!$DF$3:$DF$2300,0),COLUMN()-1),""))</f>
        <v/>
      </c>
      <c r="E528" s="45" t="str">
        <f ca="1">IF(IFERROR(INDEX((COPIA!$DA$3:$DE$2300),MATCH(ROWS(E$8:E528),COPIA!$DF$3:$DF$2300,0),COLUMN()-1),"")=0,"",IFERROR(INDEX((COPIA!$DA$3:$DE$2300),MATCH(ROWS(E$8:E528),COPIA!$DF$3:$DF$2300,0),COLUMN()-1),""))</f>
        <v/>
      </c>
      <c r="F528" s="120" t="str">
        <f ca="1">IF(IFERROR(INDEX((COPIA!$DA$3:$DE$2300),MATCH(ROWS(F$8:F528),COPIA!$DF$3:$DF$2300,0),COLUMN()-1),"")=0,"",IFERROR(INDEX((COPIA!$DA$3:$DE$2300),MATCH(ROWS(F$8:F528),COPIA!$DF$3:$DF$2300,0),COLUMN()-1),""))</f>
        <v/>
      </c>
    </row>
    <row r="529" spans="2:6">
      <c r="B529" s="119" t="str">
        <f ca="1">IF(IFERROR(INDEX((COPIA!$DA$3:$DE$2300),MATCH(ROWS(B$8:B529),COPIA!$DF$3:$DF$2300,0),COLUMN()-1),"")&gt;=1,IFERROR(INDEX((COPIA!$DA$3:$DE$2300),MATCH(ROWS(B$8:B529),COPIA!$DF$3:$DF$2300,0),COLUMN()-1),""),"")</f>
        <v/>
      </c>
      <c r="C529" s="118" t="str">
        <f ca="1">SUBSTITUTE(IFERROR(INDEX((COPIA!$DA$3:$DE$2300),MATCH(ROWS(C$8:C529),COPIA!$DF$3:$DF$2300,0),COLUMN()-1),""),"MASTRO","")</f>
        <v/>
      </c>
      <c r="D529" s="29" t="str">
        <f ca="1">IF(IFERROR(INDEX((COPIA!$DA$3:$DE$2300),MATCH(ROWS(D$8:D529),COPIA!$DF$3:$DF$2300,0),COLUMN()-1),"")=0,"",IFERROR(INDEX((COPIA!$DA$3:$DE$2300),MATCH(ROWS(D$8:D529),COPIA!$DF$3:$DF$2300,0),COLUMN()-1),""))</f>
        <v/>
      </c>
      <c r="E529" s="45" t="str">
        <f ca="1">IF(IFERROR(INDEX((COPIA!$DA$3:$DE$2300),MATCH(ROWS(E$8:E529),COPIA!$DF$3:$DF$2300,0),COLUMN()-1),"")=0,"",IFERROR(INDEX((COPIA!$DA$3:$DE$2300),MATCH(ROWS(E$8:E529),COPIA!$DF$3:$DF$2300,0),COLUMN()-1),""))</f>
        <v/>
      </c>
      <c r="F529" s="120" t="str">
        <f ca="1">IF(IFERROR(INDEX((COPIA!$DA$3:$DE$2300),MATCH(ROWS(F$8:F529),COPIA!$DF$3:$DF$2300,0),COLUMN()-1),"")=0,"",IFERROR(INDEX((COPIA!$DA$3:$DE$2300),MATCH(ROWS(F$8:F529),COPIA!$DF$3:$DF$2300,0),COLUMN()-1),""))</f>
        <v/>
      </c>
    </row>
    <row r="530" spans="2:6">
      <c r="B530" s="119" t="str">
        <f ca="1">IF(IFERROR(INDEX((COPIA!$DA$3:$DE$2300),MATCH(ROWS(B$8:B530),COPIA!$DF$3:$DF$2300,0),COLUMN()-1),"")&gt;=1,IFERROR(INDEX((COPIA!$DA$3:$DE$2300),MATCH(ROWS(B$8:B530),COPIA!$DF$3:$DF$2300,0),COLUMN()-1),""),"")</f>
        <v/>
      </c>
      <c r="C530" s="118" t="str">
        <f ca="1">SUBSTITUTE(IFERROR(INDEX((COPIA!$DA$3:$DE$2300),MATCH(ROWS(C$8:C530),COPIA!$DF$3:$DF$2300,0),COLUMN()-1),""),"MASTRO","")</f>
        <v/>
      </c>
      <c r="D530" s="29" t="str">
        <f ca="1">IF(IFERROR(INDEX((COPIA!$DA$3:$DE$2300),MATCH(ROWS(D$8:D530),COPIA!$DF$3:$DF$2300,0),COLUMN()-1),"")=0,"",IFERROR(INDEX((COPIA!$DA$3:$DE$2300),MATCH(ROWS(D$8:D530),COPIA!$DF$3:$DF$2300,0),COLUMN()-1),""))</f>
        <v/>
      </c>
      <c r="E530" s="45" t="str">
        <f ca="1">IF(IFERROR(INDEX((COPIA!$DA$3:$DE$2300),MATCH(ROWS(E$8:E530),COPIA!$DF$3:$DF$2300,0),COLUMN()-1),"")=0,"",IFERROR(INDEX((COPIA!$DA$3:$DE$2300),MATCH(ROWS(E$8:E530),COPIA!$DF$3:$DF$2300,0),COLUMN()-1),""))</f>
        <v/>
      </c>
      <c r="F530" s="120" t="str">
        <f ca="1">IF(IFERROR(INDEX((COPIA!$DA$3:$DE$2300),MATCH(ROWS(F$8:F530),COPIA!$DF$3:$DF$2300,0),COLUMN()-1),"")=0,"",IFERROR(INDEX((COPIA!$DA$3:$DE$2300),MATCH(ROWS(F$8:F530),COPIA!$DF$3:$DF$2300,0),COLUMN()-1),""))</f>
        <v/>
      </c>
    </row>
    <row r="531" spans="2:6">
      <c r="B531" s="119" t="str">
        <f ca="1">IF(IFERROR(INDEX((COPIA!$DA$3:$DE$2300),MATCH(ROWS(B$8:B531),COPIA!$DF$3:$DF$2300,0),COLUMN()-1),"")&gt;=1,IFERROR(INDEX((COPIA!$DA$3:$DE$2300),MATCH(ROWS(B$8:B531),COPIA!$DF$3:$DF$2300,0),COLUMN()-1),""),"")</f>
        <v/>
      </c>
      <c r="C531" s="118" t="str">
        <f ca="1">SUBSTITUTE(IFERROR(INDEX((COPIA!$DA$3:$DE$2300),MATCH(ROWS(C$8:C531),COPIA!$DF$3:$DF$2300,0),COLUMN()-1),""),"MASTRO","")</f>
        <v/>
      </c>
      <c r="D531" s="29" t="str">
        <f ca="1">IF(IFERROR(INDEX((COPIA!$DA$3:$DE$2300),MATCH(ROWS(D$8:D531),COPIA!$DF$3:$DF$2300,0),COLUMN()-1),"")=0,"",IFERROR(INDEX((COPIA!$DA$3:$DE$2300),MATCH(ROWS(D$8:D531),COPIA!$DF$3:$DF$2300,0),COLUMN()-1),""))</f>
        <v/>
      </c>
      <c r="E531" s="45" t="str">
        <f ca="1">IF(IFERROR(INDEX((COPIA!$DA$3:$DE$2300),MATCH(ROWS(E$8:E531),COPIA!$DF$3:$DF$2300,0),COLUMN()-1),"")=0,"",IFERROR(INDEX((COPIA!$DA$3:$DE$2300),MATCH(ROWS(E$8:E531),COPIA!$DF$3:$DF$2300,0),COLUMN()-1),""))</f>
        <v/>
      </c>
      <c r="F531" s="120" t="str">
        <f ca="1">IF(IFERROR(INDEX((COPIA!$DA$3:$DE$2300),MATCH(ROWS(F$8:F531),COPIA!$DF$3:$DF$2300,0),COLUMN()-1),"")=0,"",IFERROR(INDEX((COPIA!$DA$3:$DE$2300),MATCH(ROWS(F$8:F531),COPIA!$DF$3:$DF$2300,0),COLUMN()-1),""))</f>
        <v/>
      </c>
    </row>
    <row r="532" spans="2:6">
      <c r="B532" s="119" t="str">
        <f ca="1">IF(IFERROR(INDEX((COPIA!$DA$3:$DE$2300),MATCH(ROWS(B$8:B532),COPIA!$DF$3:$DF$2300,0),COLUMN()-1),"")&gt;=1,IFERROR(INDEX((COPIA!$DA$3:$DE$2300),MATCH(ROWS(B$8:B532),COPIA!$DF$3:$DF$2300,0),COLUMN()-1),""),"")</f>
        <v/>
      </c>
      <c r="C532" s="118" t="str">
        <f ca="1">SUBSTITUTE(IFERROR(INDEX((COPIA!$DA$3:$DE$2300),MATCH(ROWS(C$8:C532),COPIA!$DF$3:$DF$2300,0),COLUMN()-1),""),"MASTRO","")</f>
        <v/>
      </c>
      <c r="D532" s="29" t="str">
        <f ca="1">IF(IFERROR(INDEX((COPIA!$DA$3:$DE$2300),MATCH(ROWS(D$8:D532),COPIA!$DF$3:$DF$2300,0),COLUMN()-1),"")=0,"",IFERROR(INDEX((COPIA!$DA$3:$DE$2300),MATCH(ROWS(D$8:D532),COPIA!$DF$3:$DF$2300,0),COLUMN()-1),""))</f>
        <v/>
      </c>
      <c r="E532" s="45" t="str">
        <f ca="1">IF(IFERROR(INDEX((COPIA!$DA$3:$DE$2300),MATCH(ROWS(E$8:E532),COPIA!$DF$3:$DF$2300,0),COLUMN()-1),"")=0,"",IFERROR(INDEX((COPIA!$DA$3:$DE$2300),MATCH(ROWS(E$8:E532),COPIA!$DF$3:$DF$2300,0),COLUMN()-1),""))</f>
        <v/>
      </c>
      <c r="F532" s="120" t="str">
        <f ca="1">IF(IFERROR(INDEX((COPIA!$DA$3:$DE$2300),MATCH(ROWS(F$8:F532),COPIA!$DF$3:$DF$2300,0),COLUMN()-1),"")=0,"",IFERROR(INDEX((COPIA!$DA$3:$DE$2300),MATCH(ROWS(F$8:F532),COPIA!$DF$3:$DF$2300,0),COLUMN()-1),""))</f>
        <v/>
      </c>
    </row>
    <row r="533" spans="2:6">
      <c r="B533" s="119" t="str">
        <f ca="1">IF(IFERROR(INDEX((COPIA!$DA$3:$DE$2300),MATCH(ROWS(B$8:B533),COPIA!$DF$3:$DF$2300,0),COLUMN()-1),"")&gt;=1,IFERROR(INDEX((COPIA!$DA$3:$DE$2300),MATCH(ROWS(B$8:B533),COPIA!$DF$3:$DF$2300,0),COLUMN()-1),""),"")</f>
        <v/>
      </c>
      <c r="C533" s="118" t="str">
        <f ca="1">SUBSTITUTE(IFERROR(INDEX((COPIA!$DA$3:$DE$2300),MATCH(ROWS(C$8:C533),COPIA!$DF$3:$DF$2300,0),COLUMN()-1),""),"MASTRO","")</f>
        <v/>
      </c>
      <c r="D533" s="29" t="str">
        <f ca="1">IF(IFERROR(INDEX((COPIA!$DA$3:$DE$2300),MATCH(ROWS(D$8:D533),COPIA!$DF$3:$DF$2300,0),COLUMN()-1),"")=0,"",IFERROR(INDEX((COPIA!$DA$3:$DE$2300),MATCH(ROWS(D$8:D533),COPIA!$DF$3:$DF$2300,0),COLUMN()-1),""))</f>
        <v/>
      </c>
      <c r="E533" s="45" t="str">
        <f ca="1">IF(IFERROR(INDEX((COPIA!$DA$3:$DE$2300),MATCH(ROWS(E$8:E533),COPIA!$DF$3:$DF$2300,0),COLUMN()-1),"")=0,"",IFERROR(INDEX((COPIA!$DA$3:$DE$2300),MATCH(ROWS(E$8:E533),COPIA!$DF$3:$DF$2300,0),COLUMN()-1),""))</f>
        <v/>
      </c>
      <c r="F533" s="120" t="str">
        <f ca="1">IF(IFERROR(INDEX((COPIA!$DA$3:$DE$2300),MATCH(ROWS(F$8:F533),COPIA!$DF$3:$DF$2300,0),COLUMN()-1),"")=0,"",IFERROR(INDEX((COPIA!$DA$3:$DE$2300),MATCH(ROWS(F$8:F533),COPIA!$DF$3:$DF$2300,0),COLUMN()-1),""))</f>
        <v/>
      </c>
    </row>
    <row r="534" spans="2:6">
      <c r="B534" s="119" t="str">
        <f ca="1">IF(IFERROR(INDEX((COPIA!$DA$3:$DE$2300),MATCH(ROWS(B$8:B534),COPIA!$DF$3:$DF$2300,0),COLUMN()-1),"")&gt;=1,IFERROR(INDEX((COPIA!$DA$3:$DE$2300),MATCH(ROWS(B$8:B534),COPIA!$DF$3:$DF$2300,0),COLUMN()-1),""),"")</f>
        <v/>
      </c>
      <c r="C534" s="118" t="str">
        <f ca="1">SUBSTITUTE(IFERROR(INDEX((COPIA!$DA$3:$DE$2300),MATCH(ROWS(C$8:C534),COPIA!$DF$3:$DF$2300,0),COLUMN()-1),""),"MASTRO","")</f>
        <v/>
      </c>
      <c r="D534" s="29" t="str">
        <f ca="1">IF(IFERROR(INDEX((COPIA!$DA$3:$DE$2300),MATCH(ROWS(D$8:D534),COPIA!$DF$3:$DF$2300,0),COLUMN()-1),"")=0,"",IFERROR(INDEX((COPIA!$DA$3:$DE$2300),MATCH(ROWS(D$8:D534),COPIA!$DF$3:$DF$2300,0),COLUMN()-1),""))</f>
        <v/>
      </c>
      <c r="E534" s="45" t="str">
        <f ca="1">IF(IFERROR(INDEX((COPIA!$DA$3:$DE$2300),MATCH(ROWS(E$8:E534),COPIA!$DF$3:$DF$2300,0),COLUMN()-1),"")=0,"",IFERROR(INDEX((COPIA!$DA$3:$DE$2300),MATCH(ROWS(E$8:E534),COPIA!$DF$3:$DF$2300,0),COLUMN()-1),""))</f>
        <v/>
      </c>
      <c r="F534" s="120" t="str">
        <f ca="1">IF(IFERROR(INDEX((COPIA!$DA$3:$DE$2300),MATCH(ROWS(F$8:F534),COPIA!$DF$3:$DF$2300,0),COLUMN()-1),"")=0,"",IFERROR(INDEX((COPIA!$DA$3:$DE$2300),MATCH(ROWS(F$8:F534),COPIA!$DF$3:$DF$2300,0),COLUMN()-1),""))</f>
        <v/>
      </c>
    </row>
    <row r="535" spans="2:6">
      <c r="B535" s="119" t="str">
        <f ca="1">IF(IFERROR(INDEX((COPIA!$DA$3:$DE$2300),MATCH(ROWS(B$8:B535),COPIA!$DF$3:$DF$2300,0),COLUMN()-1),"")&gt;=1,IFERROR(INDEX((COPIA!$DA$3:$DE$2300),MATCH(ROWS(B$8:B535),COPIA!$DF$3:$DF$2300,0),COLUMN()-1),""),"")</f>
        <v/>
      </c>
      <c r="C535" s="118" t="str">
        <f ca="1">SUBSTITUTE(IFERROR(INDEX((COPIA!$DA$3:$DE$2300),MATCH(ROWS(C$8:C535),COPIA!$DF$3:$DF$2300,0),COLUMN()-1),""),"MASTRO","")</f>
        <v/>
      </c>
      <c r="D535" s="29" t="str">
        <f ca="1">IF(IFERROR(INDEX((COPIA!$DA$3:$DE$2300),MATCH(ROWS(D$8:D535),COPIA!$DF$3:$DF$2300,0),COLUMN()-1),"")=0,"",IFERROR(INDEX((COPIA!$DA$3:$DE$2300),MATCH(ROWS(D$8:D535),COPIA!$DF$3:$DF$2300,0),COLUMN()-1),""))</f>
        <v/>
      </c>
      <c r="E535" s="45" t="str">
        <f ca="1">IF(IFERROR(INDEX((COPIA!$DA$3:$DE$2300),MATCH(ROWS(E$8:E535),COPIA!$DF$3:$DF$2300,0),COLUMN()-1),"")=0,"",IFERROR(INDEX((COPIA!$DA$3:$DE$2300),MATCH(ROWS(E$8:E535),COPIA!$DF$3:$DF$2300,0),COLUMN()-1),""))</f>
        <v/>
      </c>
      <c r="F535" s="120" t="str">
        <f ca="1">IF(IFERROR(INDEX((COPIA!$DA$3:$DE$2300),MATCH(ROWS(F$8:F535),COPIA!$DF$3:$DF$2300,0),COLUMN()-1),"")=0,"",IFERROR(INDEX((COPIA!$DA$3:$DE$2300),MATCH(ROWS(F$8:F535),COPIA!$DF$3:$DF$2300,0),COLUMN()-1),""))</f>
        <v/>
      </c>
    </row>
    <row r="536" spans="2:6">
      <c r="B536" s="119" t="str">
        <f ca="1">IF(IFERROR(INDEX((COPIA!$DA$3:$DE$2300),MATCH(ROWS(B$8:B536),COPIA!$DF$3:$DF$2300,0),COLUMN()-1),"")&gt;=1,IFERROR(INDEX((COPIA!$DA$3:$DE$2300),MATCH(ROWS(B$8:B536),COPIA!$DF$3:$DF$2300,0),COLUMN()-1),""),"")</f>
        <v/>
      </c>
      <c r="C536" s="118" t="str">
        <f ca="1">SUBSTITUTE(IFERROR(INDEX((COPIA!$DA$3:$DE$2300),MATCH(ROWS(C$8:C536),COPIA!$DF$3:$DF$2300,0),COLUMN()-1),""),"MASTRO","")</f>
        <v/>
      </c>
      <c r="D536" s="29" t="str">
        <f ca="1">IF(IFERROR(INDEX((COPIA!$DA$3:$DE$2300),MATCH(ROWS(D$8:D536),COPIA!$DF$3:$DF$2300,0),COLUMN()-1),"")=0,"",IFERROR(INDEX((COPIA!$DA$3:$DE$2300),MATCH(ROWS(D$8:D536),COPIA!$DF$3:$DF$2300,0),COLUMN()-1),""))</f>
        <v/>
      </c>
      <c r="E536" s="45" t="str">
        <f ca="1">IF(IFERROR(INDEX((COPIA!$DA$3:$DE$2300),MATCH(ROWS(E$8:E536),COPIA!$DF$3:$DF$2300,0),COLUMN()-1),"")=0,"",IFERROR(INDEX((COPIA!$DA$3:$DE$2300),MATCH(ROWS(E$8:E536),COPIA!$DF$3:$DF$2300,0),COLUMN()-1),""))</f>
        <v/>
      </c>
      <c r="F536" s="120" t="str">
        <f ca="1">IF(IFERROR(INDEX((COPIA!$DA$3:$DE$2300),MATCH(ROWS(F$8:F536),COPIA!$DF$3:$DF$2300,0),COLUMN()-1),"")=0,"",IFERROR(INDEX((COPIA!$DA$3:$DE$2300),MATCH(ROWS(F$8:F536),COPIA!$DF$3:$DF$2300,0),COLUMN()-1),""))</f>
        <v/>
      </c>
    </row>
    <row r="537" spans="2:6">
      <c r="B537" s="119" t="str">
        <f ca="1">IF(IFERROR(INDEX((COPIA!$DA$3:$DE$2300),MATCH(ROWS(B$8:B537),COPIA!$DF$3:$DF$2300,0),COLUMN()-1),"")&gt;=1,IFERROR(INDEX((COPIA!$DA$3:$DE$2300),MATCH(ROWS(B$8:B537),COPIA!$DF$3:$DF$2300,0),COLUMN()-1),""),"")</f>
        <v/>
      </c>
      <c r="C537" s="118" t="str">
        <f ca="1">SUBSTITUTE(IFERROR(INDEX((COPIA!$DA$3:$DE$2300),MATCH(ROWS(C$8:C537),COPIA!$DF$3:$DF$2300,0),COLUMN()-1),""),"MASTRO","")</f>
        <v/>
      </c>
      <c r="D537" s="29" t="str">
        <f ca="1">IF(IFERROR(INDEX((COPIA!$DA$3:$DE$2300),MATCH(ROWS(D$8:D537),COPIA!$DF$3:$DF$2300,0),COLUMN()-1),"")=0,"",IFERROR(INDEX((COPIA!$DA$3:$DE$2300),MATCH(ROWS(D$8:D537),COPIA!$DF$3:$DF$2300,0),COLUMN()-1),""))</f>
        <v/>
      </c>
      <c r="E537" s="45" t="str">
        <f ca="1">IF(IFERROR(INDEX((COPIA!$DA$3:$DE$2300),MATCH(ROWS(E$8:E537),COPIA!$DF$3:$DF$2300,0),COLUMN()-1),"")=0,"",IFERROR(INDEX((COPIA!$DA$3:$DE$2300),MATCH(ROWS(E$8:E537),COPIA!$DF$3:$DF$2300,0),COLUMN()-1),""))</f>
        <v/>
      </c>
      <c r="F537" s="120" t="str">
        <f ca="1">IF(IFERROR(INDEX((COPIA!$DA$3:$DE$2300),MATCH(ROWS(F$8:F537),COPIA!$DF$3:$DF$2300,0),COLUMN()-1),"")=0,"",IFERROR(INDEX((COPIA!$DA$3:$DE$2300),MATCH(ROWS(F$8:F537),COPIA!$DF$3:$DF$2300,0),COLUMN()-1),""))</f>
        <v/>
      </c>
    </row>
    <row r="538" spans="2:6">
      <c r="B538" s="119" t="str">
        <f ca="1">IF(IFERROR(INDEX((COPIA!$DA$3:$DE$2300),MATCH(ROWS(B$8:B538),COPIA!$DF$3:$DF$2300,0),COLUMN()-1),"")&gt;=1,IFERROR(INDEX((COPIA!$DA$3:$DE$2300),MATCH(ROWS(B$8:B538),COPIA!$DF$3:$DF$2300,0),COLUMN()-1),""),"")</f>
        <v/>
      </c>
      <c r="C538" s="118" t="str">
        <f ca="1">SUBSTITUTE(IFERROR(INDEX((COPIA!$DA$3:$DE$2300),MATCH(ROWS(C$8:C538),COPIA!$DF$3:$DF$2300,0),COLUMN()-1),""),"MASTRO","")</f>
        <v/>
      </c>
      <c r="D538" s="29" t="str">
        <f ca="1">IF(IFERROR(INDEX((COPIA!$DA$3:$DE$2300),MATCH(ROWS(D$8:D538),COPIA!$DF$3:$DF$2300,0),COLUMN()-1),"")=0,"",IFERROR(INDEX((COPIA!$DA$3:$DE$2300),MATCH(ROWS(D$8:D538),COPIA!$DF$3:$DF$2300,0),COLUMN()-1),""))</f>
        <v/>
      </c>
      <c r="E538" s="45" t="str">
        <f ca="1">IF(IFERROR(INDEX((COPIA!$DA$3:$DE$2300),MATCH(ROWS(E$8:E538),COPIA!$DF$3:$DF$2300,0),COLUMN()-1),"")=0,"",IFERROR(INDEX((COPIA!$DA$3:$DE$2300),MATCH(ROWS(E$8:E538),COPIA!$DF$3:$DF$2300,0),COLUMN()-1),""))</f>
        <v/>
      </c>
      <c r="F538" s="120" t="str">
        <f ca="1">IF(IFERROR(INDEX((COPIA!$DA$3:$DE$2300),MATCH(ROWS(F$8:F538),COPIA!$DF$3:$DF$2300,0),COLUMN()-1),"")=0,"",IFERROR(INDEX((COPIA!$DA$3:$DE$2300),MATCH(ROWS(F$8:F538),COPIA!$DF$3:$DF$2300,0),COLUMN()-1),""))</f>
        <v/>
      </c>
    </row>
    <row r="539" spans="2:6">
      <c r="B539" s="119" t="str">
        <f ca="1">IF(IFERROR(INDEX((COPIA!$DA$3:$DE$2300),MATCH(ROWS(B$8:B539),COPIA!$DF$3:$DF$2300,0),COLUMN()-1),"")&gt;=1,IFERROR(INDEX((COPIA!$DA$3:$DE$2300),MATCH(ROWS(B$8:B539),COPIA!$DF$3:$DF$2300,0),COLUMN()-1),""),"")</f>
        <v/>
      </c>
      <c r="C539" s="118" t="str">
        <f ca="1">SUBSTITUTE(IFERROR(INDEX((COPIA!$DA$3:$DE$2300),MATCH(ROWS(C$8:C539),COPIA!$DF$3:$DF$2300,0),COLUMN()-1),""),"MASTRO","")</f>
        <v/>
      </c>
      <c r="D539" s="29" t="str">
        <f ca="1">IF(IFERROR(INDEX((COPIA!$DA$3:$DE$2300),MATCH(ROWS(D$8:D539),COPIA!$DF$3:$DF$2300,0),COLUMN()-1),"")=0,"",IFERROR(INDEX((COPIA!$DA$3:$DE$2300),MATCH(ROWS(D$8:D539),COPIA!$DF$3:$DF$2300,0),COLUMN()-1),""))</f>
        <v/>
      </c>
      <c r="E539" s="45" t="str">
        <f ca="1">IF(IFERROR(INDEX((COPIA!$DA$3:$DE$2300),MATCH(ROWS(E$8:E539),COPIA!$DF$3:$DF$2300,0),COLUMN()-1),"")=0,"",IFERROR(INDEX((COPIA!$DA$3:$DE$2300),MATCH(ROWS(E$8:E539),COPIA!$DF$3:$DF$2300,0),COLUMN()-1),""))</f>
        <v/>
      </c>
      <c r="F539" s="120" t="str">
        <f ca="1">IF(IFERROR(INDEX((COPIA!$DA$3:$DE$2300),MATCH(ROWS(F$8:F539),COPIA!$DF$3:$DF$2300,0),COLUMN()-1),"")=0,"",IFERROR(INDEX((COPIA!$DA$3:$DE$2300),MATCH(ROWS(F$8:F539),COPIA!$DF$3:$DF$2300,0),COLUMN()-1),""))</f>
        <v/>
      </c>
    </row>
    <row r="540" spans="2:6">
      <c r="B540" s="119" t="str">
        <f ca="1">IF(IFERROR(INDEX((COPIA!$DA$3:$DE$2300),MATCH(ROWS(B$8:B540),COPIA!$DF$3:$DF$2300,0),COLUMN()-1),"")&gt;=1,IFERROR(INDEX((COPIA!$DA$3:$DE$2300),MATCH(ROWS(B$8:B540),COPIA!$DF$3:$DF$2300,0),COLUMN()-1),""),"")</f>
        <v/>
      </c>
      <c r="C540" s="118" t="str">
        <f ca="1">SUBSTITUTE(IFERROR(INDEX((COPIA!$DA$3:$DE$2300),MATCH(ROWS(C$8:C540),COPIA!$DF$3:$DF$2300,0),COLUMN()-1),""),"MASTRO","")</f>
        <v/>
      </c>
      <c r="D540" s="29" t="str">
        <f ca="1">IF(IFERROR(INDEX((COPIA!$DA$3:$DE$2300),MATCH(ROWS(D$8:D540),COPIA!$DF$3:$DF$2300,0),COLUMN()-1),"")=0,"",IFERROR(INDEX((COPIA!$DA$3:$DE$2300),MATCH(ROWS(D$8:D540),COPIA!$DF$3:$DF$2300,0),COLUMN()-1),""))</f>
        <v/>
      </c>
      <c r="E540" s="45" t="str">
        <f ca="1">IF(IFERROR(INDEX((COPIA!$DA$3:$DE$2300),MATCH(ROWS(E$8:E540),COPIA!$DF$3:$DF$2300,0),COLUMN()-1),"")=0,"",IFERROR(INDEX((COPIA!$DA$3:$DE$2300),MATCH(ROWS(E$8:E540),COPIA!$DF$3:$DF$2300,0),COLUMN()-1),""))</f>
        <v/>
      </c>
      <c r="F540" s="120" t="str">
        <f ca="1">IF(IFERROR(INDEX((COPIA!$DA$3:$DE$2300),MATCH(ROWS(F$8:F540),COPIA!$DF$3:$DF$2300,0),COLUMN()-1),"")=0,"",IFERROR(INDEX((COPIA!$DA$3:$DE$2300),MATCH(ROWS(F$8:F540),COPIA!$DF$3:$DF$2300,0),COLUMN()-1),""))</f>
        <v/>
      </c>
    </row>
    <row r="541" spans="2:6">
      <c r="B541" s="119" t="str">
        <f ca="1">IF(IFERROR(INDEX((COPIA!$DA$3:$DE$2300),MATCH(ROWS(B$8:B541),COPIA!$DF$3:$DF$2300,0),COLUMN()-1),"")&gt;=1,IFERROR(INDEX((COPIA!$DA$3:$DE$2300),MATCH(ROWS(B$8:B541),COPIA!$DF$3:$DF$2300,0),COLUMN()-1),""),"")</f>
        <v/>
      </c>
      <c r="C541" s="118" t="str">
        <f ca="1">SUBSTITUTE(IFERROR(INDEX((COPIA!$DA$3:$DE$2300),MATCH(ROWS(C$8:C541),COPIA!$DF$3:$DF$2300,0),COLUMN()-1),""),"MASTRO","")</f>
        <v/>
      </c>
      <c r="D541" s="29" t="str">
        <f ca="1">IF(IFERROR(INDEX((COPIA!$DA$3:$DE$2300),MATCH(ROWS(D$8:D541),COPIA!$DF$3:$DF$2300,0),COLUMN()-1),"")=0,"",IFERROR(INDEX((COPIA!$DA$3:$DE$2300),MATCH(ROWS(D$8:D541),COPIA!$DF$3:$DF$2300,0),COLUMN()-1),""))</f>
        <v/>
      </c>
      <c r="E541" s="45" t="str">
        <f ca="1">IF(IFERROR(INDEX((COPIA!$DA$3:$DE$2300),MATCH(ROWS(E$8:E541),COPIA!$DF$3:$DF$2300,0),COLUMN()-1),"")=0,"",IFERROR(INDEX((COPIA!$DA$3:$DE$2300),MATCH(ROWS(E$8:E541),COPIA!$DF$3:$DF$2300,0),COLUMN()-1),""))</f>
        <v/>
      </c>
      <c r="F541" s="120" t="str">
        <f ca="1">IF(IFERROR(INDEX((COPIA!$DA$3:$DE$2300),MATCH(ROWS(F$8:F541),COPIA!$DF$3:$DF$2300,0),COLUMN()-1),"")=0,"",IFERROR(INDEX((COPIA!$DA$3:$DE$2300),MATCH(ROWS(F$8:F541),COPIA!$DF$3:$DF$2300,0),COLUMN()-1),""))</f>
        <v/>
      </c>
    </row>
    <row r="542" spans="2:6">
      <c r="B542" s="119" t="str">
        <f ca="1">IF(IFERROR(INDEX((COPIA!$DA$3:$DE$2300),MATCH(ROWS(B$8:B542),COPIA!$DF$3:$DF$2300,0),COLUMN()-1),"")&gt;=1,IFERROR(INDEX((COPIA!$DA$3:$DE$2300),MATCH(ROWS(B$8:B542),COPIA!$DF$3:$DF$2300,0),COLUMN()-1),""),"")</f>
        <v/>
      </c>
      <c r="C542" s="118" t="str">
        <f ca="1">SUBSTITUTE(IFERROR(INDEX((COPIA!$DA$3:$DE$2300),MATCH(ROWS(C$8:C542),COPIA!$DF$3:$DF$2300,0),COLUMN()-1),""),"MASTRO","")</f>
        <v/>
      </c>
      <c r="D542" s="29" t="str">
        <f ca="1">IF(IFERROR(INDEX((COPIA!$DA$3:$DE$2300),MATCH(ROWS(D$8:D542),COPIA!$DF$3:$DF$2300,0),COLUMN()-1),"")=0,"",IFERROR(INDEX((COPIA!$DA$3:$DE$2300),MATCH(ROWS(D$8:D542),COPIA!$DF$3:$DF$2300,0),COLUMN()-1),""))</f>
        <v/>
      </c>
      <c r="E542" s="45" t="str">
        <f ca="1">IF(IFERROR(INDEX((COPIA!$DA$3:$DE$2300),MATCH(ROWS(E$8:E542),COPIA!$DF$3:$DF$2300,0),COLUMN()-1),"")=0,"",IFERROR(INDEX((COPIA!$DA$3:$DE$2300),MATCH(ROWS(E$8:E542),COPIA!$DF$3:$DF$2300,0),COLUMN()-1),""))</f>
        <v/>
      </c>
      <c r="F542" s="120" t="str">
        <f ca="1">IF(IFERROR(INDEX((COPIA!$DA$3:$DE$2300),MATCH(ROWS(F$8:F542),COPIA!$DF$3:$DF$2300,0),COLUMN()-1),"")=0,"",IFERROR(INDEX((COPIA!$DA$3:$DE$2300),MATCH(ROWS(F$8:F542),COPIA!$DF$3:$DF$2300,0),COLUMN()-1),""))</f>
        <v/>
      </c>
    </row>
    <row r="543" spans="2:6">
      <c r="B543" s="119" t="str">
        <f ca="1">IF(IFERROR(INDEX((COPIA!$DA$3:$DE$2300),MATCH(ROWS(B$8:B543),COPIA!$DF$3:$DF$2300,0),COLUMN()-1),"")&gt;=1,IFERROR(INDEX((COPIA!$DA$3:$DE$2300),MATCH(ROWS(B$8:B543),COPIA!$DF$3:$DF$2300,0),COLUMN()-1),""),"")</f>
        <v/>
      </c>
      <c r="C543" s="118" t="str">
        <f ca="1">SUBSTITUTE(IFERROR(INDEX((COPIA!$DA$3:$DE$2300),MATCH(ROWS(C$8:C543),COPIA!$DF$3:$DF$2300,0),COLUMN()-1),""),"MASTRO","")</f>
        <v/>
      </c>
      <c r="D543" s="29" t="str">
        <f ca="1">IF(IFERROR(INDEX((COPIA!$DA$3:$DE$2300),MATCH(ROWS(D$8:D543),COPIA!$DF$3:$DF$2300,0),COLUMN()-1),"")=0,"",IFERROR(INDEX((COPIA!$DA$3:$DE$2300),MATCH(ROWS(D$8:D543),COPIA!$DF$3:$DF$2300,0),COLUMN()-1),""))</f>
        <v/>
      </c>
      <c r="E543" s="45" t="str">
        <f ca="1">IF(IFERROR(INDEX((COPIA!$DA$3:$DE$2300),MATCH(ROWS(E$8:E543),COPIA!$DF$3:$DF$2300,0),COLUMN()-1),"")=0,"",IFERROR(INDEX((COPIA!$DA$3:$DE$2300),MATCH(ROWS(E$8:E543),COPIA!$DF$3:$DF$2300,0),COLUMN()-1),""))</f>
        <v/>
      </c>
      <c r="F543" s="120" t="str">
        <f ca="1">IF(IFERROR(INDEX((COPIA!$DA$3:$DE$2300),MATCH(ROWS(F$8:F543),COPIA!$DF$3:$DF$2300,0),COLUMN()-1),"")=0,"",IFERROR(INDEX((COPIA!$DA$3:$DE$2300),MATCH(ROWS(F$8:F543),COPIA!$DF$3:$DF$2300,0),COLUMN()-1),""))</f>
        <v/>
      </c>
    </row>
    <row r="544" spans="2:6">
      <c r="B544" s="119" t="str">
        <f ca="1">IF(IFERROR(INDEX((COPIA!$DA$3:$DE$2300),MATCH(ROWS(B$8:B544),COPIA!$DF$3:$DF$2300,0),COLUMN()-1),"")&gt;=1,IFERROR(INDEX((COPIA!$DA$3:$DE$2300),MATCH(ROWS(B$8:B544),COPIA!$DF$3:$DF$2300,0),COLUMN()-1),""),"")</f>
        <v/>
      </c>
      <c r="C544" s="118" t="str">
        <f ca="1">SUBSTITUTE(IFERROR(INDEX((COPIA!$DA$3:$DE$2300),MATCH(ROWS(C$8:C544),COPIA!$DF$3:$DF$2300,0),COLUMN()-1),""),"MASTRO","")</f>
        <v/>
      </c>
      <c r="D544" s="29" t="str">
        <f ca="1">IF(IFERROR(INDEX((COPIA!$DA$3:$DE$2300),MATCH(ROWS(D$8:D544),COPIA!$DF$3:$DF$2300,0),COLUMN()-1),"")=0,"",IFERROR(INDEX((COPIA!$DA$3:$DE$2300),MATCH(ROWS(D$8:D544),COPIA!$DF$3:$DF$2300,0),COLUMN()-1),""))</f>
        <v/>
      </c>
      <c r="E544" s="45" t="str">
        <f ca="1">IF(IFERROR(INDEX((COPIA!$DA$3:$DE$2300),MATCH(ROWS(E$8:E544),COPIA!$DF$3:$DF$2300,0),COLUMN()-1),"")=0,"",IFERROR(INDEX((COPIA!$DA$3:$DE$2300),MATCH(ROWS(E$8:E544),COPIA!$DF$3:$DF$2300,0),COLUMN()-1),""))</f>
        <v/>
      </c>
      <c r="F544" s="120" t="str">
        <f ca="1">IF(IFERROR(INDEX((COPIA!$DA$3:$DE$2300),MATCH(ROWS(F$8:F544),COPIA!$DF$3:$DF$2300,0),COLUMN()-1),"")=0,"",IFERROR(INDEX((COPIA!$DA$3:$DE$2300),MATCH(ROWS(F$8:F544),COPIA!$DF$3:$DF$2300,0),COLUMN()-1),""))</f>
        <v/>
      </c>
    </row>
    <row r="545" spans="2:6">
      <c r="B545" s="119" t="str">
        <f ca="1">IF(IFERROR(INDEX((COPIA!$DA$3:$DE$2300),MATCH(ROWS(B$8:B545),COPIA!$DF$3:$DF$2300,0),COLUMN()-1),"")&gt;=1,IFERROR(INDEX((COPIA!$DA$3:$DE$2300),MATCH(ROWS(B$8:B545),COPIA!$DF$3:$DF$2300,0),COLUMN()-1),""),"")</f>
        <v/>
      </c>
      <c r="C545" s="118" t="str">
        <f ca="1">SUBSTITUTE(IFERROR(INDEX((COPIA!$DA$3:$DE$2300),MATCH(ROWS(C$8:C545),COPIA!$DF$3:$DF$2300,0),COLUMN()-1),""),"MASTRO","")</f>
        <v/>
      </c>
      <c r="D545" s="29" t="str">
        <f ca="1">IF(IFERROR(INDEX((COPIA!$DA$3:$DE$2300),MATCH(ROWS(D$8:D545),COPIA!$DF$3:$DF$2300,0),COLUMN()-1),"")=0,"",IFERROR(INDEX((COPIA!$DA$3:$DE$2300),MATCH(ROWS(D$8:D545),COPIA!$DF$3:$DF$2300,0),COLUMN()-1),""))</f>
        <v/>
      </c>
      <c r="E545" s="45" t="str">
        <f ca="1">IF(IFERROR(INDEX((COPIA!$DA$3:$DE$2300),MATCH(ROWS(E$8:E545),COPIA!$DF$3:$DF$2300,0),COLUMN()-1),"")=0,"",IFERROR(INDEX((COPIA!$DA$3:$DE$2300),MATCH(ROWS(E$8:E545),COPIA!$DF$3:$DF$2300,0),COLUMN()-1),""))</f>
        <v/>
      </c>
      <c r="F545" s="120" t="str">
        <f ca="1">IF(IFERROR(INDEX((COPIA!$DA$3:$DE$2300),MATCH(ROWS(F$8:F545),COPIA!$DF$3:$DF$2300,0),COLUMN()-1),"")=0,"",IFERROR(INDEX((COPIA!$DA$3:$DE$2300),MATCH(ROWS(F$8:F545),COPIA!$DF$3:$DF$2300,0),COLUMN()-1),""))</f>
        <v/>
      </c>
    </row>
    <row r="546" spans="2:6">
      <c r="B546" s="119" t="str">
        <f ca="1">IF(IFERROR(INDEX((COPIA!$DA$3:$DE$2300),MATCH(ROWS(B$8:B546),COPIA!$DF$3:$DF$2300,0),COLUMN()-1),"")&gt;=1,IFERROR(INDEX((COPIA!$DA$3:$DE$2300),MATCH(ROWS(B$8:B546),COPIA!$DF$3:$DF$2300,0),COLUMN()-1),""),"")</f>
        <v/>
      </c>
      <c r="C546" s="118" t="str">
        <f ca="1">SUBSTITUTE(IFERROR(INDEX((COPIA!$DA$3:$DE$2300),MATCH(ROWS(C$8:C546),COPIA!$DF$3:$DF$2300,0),COLUMN()-1),""),"MASTRO","")</f>
        <v/>
      </c>
      <c r="D546" s="29" t="str">
        <f ca="1">IF(IFERROR(INDEX((COPIA!$DA$3:$DE$2300),MATCH(ROWS(D$8:D546),COPIA!$DF$3:$DF$2300,0),COLUMN()-1),"")=0,"",IFERROR(INDEX((COPIA!$DA$3:$DE$2300),MATCH(ROWS(D$8:D546),COPIA!$DF$3:$DF$2300,0),COLUMN()-1),""))</f>
        <v/>
      </c>
      <c r="E546" s="45" t="str">
        <f ca="1">IF(IFERROR(INDEX((COPIA!$DA$3:$DE$2300),MATCH(ROWS(E$8:E546),COPIA!$DF$3:$DF$2300,0),COLUMN()-1),"")=0,"",IFERROR(INDEX((COPIA!$DA$3:$DE$2300),MATCH(ROWS(E$8:E546),COPIA!$DF$3:$DF$2300,0),COLUMN()-1),""))</f>
        <v/>
      </c>
      <c r="F546" s="120" t="str">
        <f ca="1">IF(IFERROR(INDEX((COPIA!$DA$3:$DE$2300),MATCH(ROWS(F$8:F546),COPIA!$DF$3:$DF$2300,0),COLUMN()-1),"")=0,"",IFERROR(INDEX((COPIA!$DA$3:$DE$2300),MATCH(ROWS(F$8:F546),COPIA!$DF$3:$DF$2300,0),COLUMN()-1),""))</f>
        <v/>
      </c>
    </row>
    <row r="547" spans="2:6">
      <c r="B547" s="119" t="str">
        <f ca="1">IF(IFERROR(INDEX((COPIA!$DA$3:$DE$2300),MATCH(ROWS(B$8:B547),COPIA!$DF$3:$DF$2300,0),COLUMN()-1),"")&gt;=1,IFERROR(INDEX((COPIA!$DA$3:$DE$2300),MATCH(ROWS(B$8:B547),COPIA!$DF$3:$DF$2300,0),COLUMN()-1),""),"")</f>
        <v/>
      </c>
      <c r="C547" s="118" t="str">
        <f ca="1">SUBSTITUTE(IFERROR(INDEX((COPIA!$DA$3:$DE$2300),MATCH(ROWS(C$8:C547),COPIA!$DF$3:$DF$2300,0),COLUMN()-1),""),"MASTRO","")</f>
        <v/>
      </c>
      <c r="D547" s="29" t="str">
        <f ca="1">IF(IFERROR(INDEX((COPIA!$DA$3:$DE$2300),MATCH(ROWS(D$8:D547),COPIA!$DF$3:$DF$2300,0),COLUMN()-1),"")=0,"",IFERROR(INDEX((COPIA!$DA$3:$DE$2300),MATCH(ROWS(D$8:D547),COPIA!$DF$3:$DF$2300,0),COLUMN()-1),""))</f>
        <v/>
      </c>
      <c r="E547" s="45" t="str">
        <f ca="1">IF(IFERROR(INDEX((COPIA!$DA$3:$DE$2300),MATCH(ROWS(E$8:E547),COPIA!$DF$3:$DF$2300,0),COLUMN()-1),"")=0,"",IFERROR(INDEX((COPIA!$DA$3:$DE$2300),MATCH(ROWS(E$8:E547),COPIA!$DF$3:$DF$2300,0),COLUMN()-1),""))</f>
        <v/>
      </c>
      <c r="F547" s="120" t="str">
        <f ca="1">IF(IFERROR(INDEX((COPIA!$DA$3:$DE$2300),MATCH(ROWS(F$8:F547),COPIA!$DF$3:$DF$2300,0),COLUMN()-1),"")=0,"",IFERROR(INDEX((COPIA!$DA$3:$DE$2300),MATCH(ROWS(F$8:F547),COPIA!$DF$3:$DF$2300,0),COLUMN()-1),""))</f>
        <v/>
      </c>
    </row>
    <row r="548" spans="2:6">
      <c r="B548" s="119" t="str">
        <f ca="1">IF(IFERROR(INDEX((COPIA!$DA$3:$DE$2300),MATCH(ROWS(B$8:B548),COPIA!$DF$3:$DF$2300,0),COLUMN()-1),"")&gt;=1,IFERROR(INDEX((COPIA!$DA$3:$DE$2300),MATCH(ROWS(B$8:B548),COPIA!$DF$3:$DF$2300,0),COLUMN()-1),""),"")</f>
        <v/>
      </c>
      <c r="C548" s="118" t="str">
        <f ca="1">SUBSTITUTE(IFERROR(INDEX((COPIA!$DA$3:$DE$2300),MATCH(ROWS(C$8:C548),COPIA!$DF$3:$DF$2300,0),COLUMN()-1),""),"MASTRO","")</f>
        <v/>
      </c>
      <c r="D548" s="29" t="str">
        <f ca="1">IF(IFERROR(INDEX((COPIA!$DA$3:$DE$2300),MATCH(ROWS(D$8:D548),COPIA!$DF$3:$DF$2300,0),COLUMN()-1),"")=0,"",IFERROR(INDEX((COPIA!$DA$3:$DE$2300),MATCH(ROWS(D$8:D548),COPIA!$DF$3:$DF$2300,0),COLUMN()-1),""))</f>
        <v/>
      </c>
      <c r="E548" s="45" t="str">
        <f ca="1">IF(IFERROR(INDEX((COPIA!$DA$3:$DE$2300),MATCH(ROWS(E$8:E548),COPIA!$DF$3:$DF$2300,0),COLUMN()-1),"")=0,"",IFERROR(INDEX((COPIA!$DA$3:$DE$2300),MATCH(ROWS(E$8:E548),COPIA!$DF$3:$DF$2300,0),COLUMN()-1),""))</f>
        <v/>
      </c>
      <c r="F548" s="120" t="str">
        <f ca="1">IF(IFERROR(INDEX((COPIA!$DA$3:$DE$2300),MATCH(ROWS(F$8:F548),COPIA!$DF$3:$DF$2300,0),COLUMN()-1),"")=0,"",IFERROR(INDEX((COPIA!$DA$3:$DE$2300),MATCH(ROWS(F$8:F548),COPIA!$DF$3:$DF$2300,0),COLUMN()-1),""))</f>
        <v/>
      </c>
    </row>
    <row r="549" spans="2:6">
      <c r="B549" s="119" t="str">
        <f ca="1">IF(IFERROR(INDEX((COPIA!$DA$3:$DE$2300),MATCH(ROWS(B$8:B549),COPIA!$DF$3:$DF$2300,0),COLUMN()-1),"")&gt;=1,IFERROR(INDEX((COPIA!$DA$3:$DE$2300),MATCH(ROWS(B$8:B549),COPIA!$DF$3:$DF$2300,0),COLUMN()-1),""),"")</f>
        <v/>
      </c>
      <c r="C549" s="118" t="str">
        <f ca="1">SUBSTITUTE(IFERROR(INDEX((COPIA!$DA$3:$DE$2300),MATCH(ROWS(C$8:C549),COPIA!$DF$3:$DF$2300,0),COLUMN()-1),""),"MASTRO","")</f>
        <v/>
      </c>
      <c r="D549" s="29" t="str">
        <f ca="1">IF(IFERROR(INDEX((COPIA!$DA$3:$DE$2300),MATCH(ROWS(D$8:D549),COPIA!$DF$3:$DF$2300,0),COLUMN()-1),"")=0,"",IFERROR(INDEX((COPIA!$DA$3:$DE$2300),MATCH(ROWS(D$8:D549),COPIA!$DF$3:$DF$2300,0),COLUMN()-1),""))</f>
        <v/>
      </c>
      <c r="E549" s="45" t="str">
        <f ca="1">IF(IFERROR(INDEX((COPIA!$DA$3:$DE$2300),MATCH(ROWS(E$8:E549),COPIA!$DF$3:$DF$2300,0),COLUMN()-1),"")=0,"",IFERROR(INDEX((COPIA!$DA$3:$DE$2300),MATCH(ROWS(E$8:E549),COPIA!$DF$3:$DF$2300,0),COLUMN()-1),""))</f>
        <v/>
      </c>
      <c r="F549" s="120" t="str">
        <f ca="1">IF(IFERROR(INDEX((COPIA!$DA$3:$DE$2300),MATCH(ROWS(F$8:F549),COPIA!$DF$3:$DF$2300,0),COLUMN()-1),"")=0,"",IFERROR(INDEX((COPIA!$DA$3:$DE$2300),MATCH(ROWS(F$8:F549),COPIA!$DF$3:$DF$2300,0),COLUMN()-1),""))</f>
        <v/>
      </c>
    </row>
    <row r="550" spans="2:6">
      <c r="B550" s="119" t="str">
        <f ca="1">IF(IFERROR(INDEX((COPIA!$DA$3:$DE$2300),MATCH(ROWS(B$8:B550),COPIA!$DF$3:$DF$2300,0),COLUMN()-1),"")&gt;=1,IFERROR(INDEX((COPIA!$DA$3:$DE$2300),MATCH(ROWS(B$8:B550),COPIA!$DF$3:$DF$2300,0),COLUMN()-1),""),"")</f>
        <v/>
      </c>
      <c r="C550" s="118" t="str">
        <f ca="1">SUBSTITUTE(IFERROR(INDEX((COPIA!$DA$3:$DE$2300),MATCH(ROWS(C$8:C550),COPIA!$DF$3:$DF$2300,0),COLUMN()-1),""),"MASTRO","")</f>
        <v/>
      </c>
      <c r="D550" s="29" t="str">
        <f ca="1">IF(IFERROR(INDEX((COPIA!$DA$3:$DE$2300),MATCH(ROWS(D$8:D550),COPIA!$DF$3:$DF$2300,0),COLUMN()-1),"")=0,"",IFERROR(INDEX((COPIA!$DA$3:$DE$2300),MATCH(ROWS(D$8:D550),COPIA!$DF$3:$DF$2300,0),COLUMN()-1),""))</f>
        <v/>
      </c>
      <c r="E550" s="45" t="str">
        <f ca="1">IF(IFERROR(INDEX((COPIA!$DA$3:$DE$2300),MATCH(ROWS(E$8:E550),COPIA!$DF$3:$DF$2300,0),COLUMN()-1),"")=0,"",IFERROR(INDEX((COPIA!$DA$3:$DE$2300),MATCH(ROWS(E$8:E550),COPIA!$DF$3:$DF$2300,0),COLUMN()-1),""))</f>
        <v/>
      </c>
      <c r="F550" s="120" t="str">
        <f ca="1">IF(IFERROR(INDEX((COPIA!$DA$3:$DE$2300),MATCH(ROWS(F$8:F550),COPIA!$DF$3:$DF$2300,0),COLUMN()-1),"")=0,"",IFERROR(INDEX((COPIA!$DA$3:$DE$2300),MATCH(ROWS(F$8:F550),COPIA!$DF$3:$DF$2300,0),COLUMN()-1),""))</f>
        <v/>
      </c>
    </row>
    <row r="551" spans="2:6">
      <c r="B551" s="119" t="str">
        <f ca="1">IF(IFERROR(INDEX((COPIA!$DA$3:$DE$2300),MATCH(ROWS(B$8:B551),COPIA!$DF$3:$DF$2300,0),COLUMN()-1),"")&gt;=1,IFERROR(INDEX((COPIA!$DA$3:$DE$2300),MATCH(ROWS(B$8:B551),COPIA!$DF$3:$DF$2300,0),COLUMN()-1),""),"")</f>
        <v/>
      </c>
      <c r="C551" s="118" t="str">
        <f ca="1">SUBSTITUTE(IFERROR(INDEX((COPIA!$DA$3:$DE$2300),MATCH(ROWS(C$8:C551),COPIA!$DF$3:$DF$2300,0),COLUMN()-1),""),"MASTRO","")</f>
        <v/>
      </c>
      <c r="D551" s="29" t="str">
        <f ca="1">IF(IFERROR(INDEX((COPIA!$DA$3:$DE$2300),MATCH(ROWS(D$8:D551),COPIA!$DF$3:$DF$2300,0),COLUMN()-1),"")=0,"",IFERROR(INDEX((COPIA!$DA$3:$DE$2300),MATCH(ROWS(D$8:D551),COPIA!$DF$3:$DF$2300,0),COLUMN()-1),""))</f>
        <v/>
      </c>
      <c r="E551" s="45" t="str">
        <f ca="1">IF(IFERROR(INDEX((COPIA!$DA$3:$DE$2300),MATCH(ROWS(E$8:E551),COPIA!$DF$3:$DF$2300,0),COLUMN()-1),"")=0,"",IFERROR(INDEX((COPIA!$DA$3:$DE$2300),MATCH(ROWS(E$8:E551),COPIA!$DF$3:$DF$2300,0),COLUMN()-1),""))</f>
        <v/>
      </c>
      <c r="F551" s="120" t="str">
        <f ca="1">IF(IFERROR(INDEX((COPIA!$DA$3:$DE$2300),MATCH(ROWS(F$8:F551),COPIA!$DF$3:$DF$2300,0),COLUMN()-1),"")=0,"",IFERROR(INDEX((COPIA!$DA$3:$DE$2300),MATCH(ROWS(F$8:F551),COPIA!$DF$3:$DF$2300,0),COLUMN()-1),""))</f>
        <v/>
      </c>
    </row>
    <row r="552" spans="2:6">
      <c r="B552" s="119" t="str">
        <f ca="1">IF(IFERROR(INDEX((COPIA!$DA$3:$DE$2300),MATCH(ROWS(B$8:B552),COPIA!$DF$3:$DF$2300,0),COLUMN()-1),"")&gt;=1,IFERROR(INDEX((COPIA!$DA$3:$DE$2300),MATCH(ROWS(B$8:B552),COPIA!$DF$3:$DF$2300,0),COLUMN()-1),""),"")</f>
        <v/>
      </c>
      <c r="C552" s="118" t="str">
        <f ca="1">SUBSTITUTE(IFERROR(INDEX((COPIA!$DA$3:$DE$2300),MATCH(ROWS(C$8:C552),COPIA!$DF$3:$DF$2300,0),COLUMN()-1),""),"MASTRO","")</f>
        <v/>
      </c>
      <c r="D552" s="29" t="str">
        <f ca="1">IF(IFERROR(INDEX((COPIA!$DA$3:$DE$2300),MATCH(ROWS(D$8:D552),COPIA!$DF$3:$DF$2300,0),COLUMN()-1),"")=0,"",IFERROR(INDEX((COPIA!$DA$3:$DE$2300),MATCH(ROWS(D$8:D552),COPIA!$DF$3:$DF$2300,0),COLUMN()-1),""))</f>
        <v/>
      </c>
      <c r="E552" s="45" t="str">
        <f ca="1">IF(IFERROR(INDEX((COPIA!$DA$3:$DE$2300),MATCH(ROWS(E$8:E552),COPIA!$DF$3:$DF$2300,0),COLUMN()-1),"")=0,"",IFERROR(INDEX((COPIA!$DA$3:$DE$2300),MATCH(ROWS(E$8:E552),COPIA!$DF$3:$DF$2300,0),COLUMN()-1),""))</f>
        <v/>
      </c>
      <c r="F552" s="120" t="str">
        <f ca="1">IF(IFERROR(INDEX((COPIA!$DA$3:$DE$2300),MATCH(ROWS(F$8:F552),COPIA!$DF$3:$DF$2300,0),COLUMN()-1),"")=0,"",IFERROR(INDEX((COPIA!$DA$3:$DE$2300),MATCH(ROWS(F$8:F552),COPIA!$DF$3:$DF$2300,0),COLUMN()-1),""))</f>
        <v/>
      </c>
    </row>
    <row r="553" spans="2:6">
      <c r="B553" s="119" t="str">
        <f ca="1">IF(IFERROR(INDEX((COPIA!$DA$3:$DE$2300),MATCH(ROWS(B$8:B553),COPIA!$DF$3:$DF$2300,0),COLUMN()-1),"")&gt;=1,IFERROR(INDEX((COPIA!$DA$3:$DE$2300),MATCH(ROWS(B$8:B553),COPIA!$DF$3:$DF$2300,0),COLUMN()-1),""),"")</f>
        <v/>
      </c>
      <c r="C553" s="118" t="str">
        <f ca="1">SUBSTITUTE(IFERROR(INDEX((COPIA!$DA$3:$DE$2300),MATCH(ROWS(C$8:C553),COPIA!$DF$3:$DF$2300,0),COLUMN()-1),""),"MASTRO","")</f>
        <v/>
      </c>
      <c r="D553" s="29" t="str">
        <f ca="1">IF(IFERROR(INDEX((COPIA!$DA$3:$DE$2300),MATCH(ROWS(D$8:D553),COPIA!$DF$3:$DF$2300,0),COLUMN()-1),"")=0,"",IFERROR(INDEX((COPIA!$DA$3:$DE$2300),MATCH(ROWS(D$8:D553),COPIA!$DF$3:$DF$2300,0),COLUMN()-1),""))</f>
        <v/>
      </c>
      <c r="E553" s="45" t="str">
        <f ca="1">IF(IFERROR(INDEX((COPIA!$DA$3:$DE$2300),MATCH(ROWS(E$8:E553),COPIA!$DF$3:$DF$2300,0),COLUMN()-1),"")=0,"",IFERROR(INDEX((COPIA!$DA$3:$DE$2300),MATCH(ROWS(E$8:E553),COPIA!$DF$3:$DF$2300,0),COLUMN()-1),""))</f>
        <v/>
      </c>
      <c r="F553" s="120" t="str">
        <f ca="1">IF(IFERROR(INDEX((COPIA!$DA$3:$DE$2300),MATCH(ROWS(F$8:F553),COPIA!$DF$3:$DF$2300,0),COLUMN()-1),"")=0,"",IFERROR(INDEX((COPIA!$DA$3:$DE$2300),MATCH(ROWS(F$8:F553),COPIA!$DF$3:$DF$2300,0),COLUMN()-1),""))</f>
        <v/>
      </c>
    </row>
    <row r="554" spans="2:6">
      <c r="B554" s="119" t="str">
        <f ca="1">IF(IFERROR(INDEX((COPIA!$DA$3:$DE$2300),MATCH(ROWS(B$8:B554),COPIA!$DF$3:$DF$2300,0),COLUMN()-1),"")&gt;=1,IFERROR(INDEX((COPIA!$DA$3:$DE$2300),MATCH(ROWS(B$8:B554),COPIA!$DF$3:$DF$2300,0),COLUMN()-1),""),"")</f>
        <v/>
      </c>
      <c r="C554" s="118" t="str">
        <f ca="1">SUBSTITUTE(IFERROR(INDEX((COPIA!$DA$3:$DE$2300),MATCH(ROWS(C$8:C554),COPIA!$DF$3:$DF$2300,0),COLUMN()-1),""),"MASTRO","")</f>
        <v/>
      </c>
      <c r="D554" s="29" t="str">
        <f ca="1">IF(IFERROR(INDEX((COPIA!$DA$3:$DE$2300),MATCH(ROWS(D$8:D554),COPIA!$DF$3:$DF$2300,0),COLUMN()-1),"")=0,"",IFERROR(INDEX((COPIA!$DA$3:$DE$2300),MATCH(ROWS(D$8:D554),COPIA!$DF$3:$DF$2300,0),COLUMN()-1),""))</f>
        <v/>
      </c>
      <c r="E554" s="45" t="str">
        <f ca="1">IF(IFERROR(INDEX((COPIA!$DA$3:$DE$2300),MATCH(ROWS(E$8:E554),COPIA!$DF$3:$DF$2300,0),COLUMN()-1),"")=0,"",IFERROR(INDEX((COPIA!$DA$3:$DE$2300),MATCH(ROWS(E$8:E554),COPIA!$DF$3:$DF$2300,0),COLUMN()-1),""))</f>
        <v/>
      </c>
      <c r="F554" s="120" t="str">
        <f ca="1">IF(IFERROR(INDEX((COPIA!$DA$3:$DE$2300),MATCH(ROWS(F$8:F554),COPIA!$DF$3:$DF$2300,0),COLUMN()-1),"")=0,"",IFERROR(INDEX((COPIA!$DA$3:$DE$2300),MATCH(ROWS(F$8:F554),COPIA!$DF$3:$DF$2300,0),COLUMN()-1),""))</f>
        <v/>
      </c>
    </row>
    <row r="555" spans="2:6">
      <c r="B555" s="119" t="str">
        <f ca="1">IF(IFERROR(INDEX((COPIA!$DA$3:$DE$2300),MATCH(ROWS(B$8:B555),COPIA!$DF$3:$DF$2300,0),COLUMN()-1),"")&gt;=1,IFERROR(INDEX((COPIA!$DA$3:$DE$2300),MATCH(ROWS(B$8:B555),COPIA!$DF$3:$DF$2300,0),COLUMN()-1),""),"")</f>
        <v/>
      </c>
      <c r="C555" s="118" t="str">
        <f ca="1">SUBSTITUTE(IFERROR(INDEX((COPIA!$DA$3:$DE$2300),MATCH(ROWS(C$8:C555),COPIA!$DF$3:$DF$2300,0),COLUMN()-1),""),"MASTRO","")</f>
        <v/>
      </c>
      <c r="D555" s="29" t="str">
        <f ca="1">IF(IFERROR(INDEX((COPIA!$DA$3:$DE$2300),MATCH(ROWS(D$8:D555),COPIA!$DF$3:$DF$2300,0),COLUMN()-1),"")=0,"",IFERROR(INDEX((COPIA!$DA$3:$DE$2300),MATCH(ROWS(D$8:D555),COPIA!$DF$3:$DF$2300,0),COLUMN()-1),""))</f>
        <v/>
      </c>
      <c r="E555" s="45" t="str">
        <f ca="1">IF(IFERROR(INDEX((COPIA!$DA$3:$DE$2300),MATCH(ROWS(E$8:E555),COPIA!$DF$3:$DF$2300,0),COLUMN()-1),"")=0,"",IFERROR(INDEX((COPIA!$DA$3:$DE$2300),MATCH(ROWS(E$8:E555),COPIA!$DF$3:$DF$2300,0),COLUMN()-1),""))</f>
        <v/>
      </c>
      <c r="F555" s="120" t="str">
        <f ca="1">IF(IFERROR(INDEX((COPIA!$DA$3:$DE$2300),MATCH(ROWS(F$8:F555),COPIA!$DF$3:$DF$2300,0),COLUMN()-1),"")=0,"",IFERROR(INDEX((COPIA!$DA$3:$DE$2300),MATCH(ROWS(F$8:F555),COPIA!$DF$3:$DF$2300,0),COLUMN()-1),""))</f>
        <v/>
      </c>
    </row>
    <row r="556" spans="2:6">
      <c r="B556" s="119" t="str">
        <f ca="1">IF(IFERROR(INDEX((COPIA!$DA$3:$DE$2300),MATCH(ROWS(B$8:B556),COPIA!$DF$3:$DF$2300,0),COLUMN()-1),"")&gt;=1,IFERROR(INDEX((COPIA!$DA$3:$DE$2300),MATCH(ROWS(B$8:B556),COPIA!$DF$3:$DF$2300,0),COLUMN()-1),""),"")</f>
        <v/>
      </c>
      <c r="C556" s="118" t="str">
        <f ca="1">SUBSTITUTE(IFERROR(INDEX((COPIA!$DA$3:$DE$2300),MATCH(ROWS(C$8:C556),COPIA!$DF$3:$DF$2300,0),COLUMN()-1),""),"MASTRO","")</f>
        <v/>
      </c>
      <c r="D556" s="29" t="str">
        <f ca="1">IF(IFERROR(INDEX((COPIA!$DA$3:$DE$2300),MATCH(ROWS(D$8:D556),COPIA!$DF$3:$DF$2300,0),COLUMN()-1),"")=0,"",IFERROR(INDEX((COPIA!$DA$3:$DE$2300),MATCH(ROWS(D$8:D556),COPIA!$DF$3:$DF$2300,0),COLUMN()-1),""))</f>
        <v/>
      </c>
      <c r="E556" s="45" t="str">
        <f ca="1">IF(IFERROR(INDEX((COPIA!$DA$3:$DE$2300),MATCH(ROWS(E$8:E556),COPIA!$DF$3:$DF$2300,0),COLUMN()-1),"")=0,"",IFERROR(INDEX((COPIA!$DA$3:$DE$2300),MATCH(ROWS(E$8:E556),COPIA!$DF$3:$DF$2300,0),COLUMN()-1),""))</f>
        <v/>
      </c>
      <c r="F556" s="120" t="str">
        <f ca="1">IF(IFERROR(INDEX((COPIA!$DA$3:$DE$2300),MATCH(ROWS(F$8:F556),COPIA!$DF$3:$DF$2300,0),COLUMN()-1),"")=0,"",IFERROR(INDEX((COPIA!$DA$3:$DE$2300),MATCH(ROWS(F$8:F556),COPIA!$DF$3:$DF$2300,0),COLUMN()-1),""))</f>
        <v/>
      </c>
    </row>
    <row r="557" spans="2:6">
      <c r="B557" s="119" t="str">
        <f ca="1">IF(IFERROR(INDEX((COPIA!$DA$3:$DE$2300),MATCH(ROWS(B$8:B557),COPIA!$DF$3:$DF$2300,0),COLUMN()-1),"")&gt;=1,IFERROR(INDEX((COPIA!$DA$3:$DE$2300),MATCH(ROWS(B$8:B557),COPIA!$DF$3:$DF$2300,0),COLUMN()-1),""),"")</f>
        <v/>
      </c>
      <c r="C557" s="118" t="str">
        <f ca="1">SUBSTITUTE(IFERROR(INDEX((COPIA!$DA$3:$DE$2300),MATCH(ROWS(C$8:C557),COPIA!$DF$3:$DF$2300,0),COLUMN()-1),""),"MASTRO","")</f>
        <v/>
      </c>
      <c r="D557" s="29" t="str">
        <f ca="1">IF(IFERROR(INDEX((COPIA!$DA$3:$DE$2300),MATCH(ROWS(D$8:D557),COPIA!$DF$3:$DF$2300,0),COLUMN()-1),"")=0,"",IFERROR(INDEX((COPIA!$DA$3:$DE$2300),MATCH(ROWS(D$8:D557),COPIA!$DF$3:$DF$2300,0),COLUMN()-1),""))</f>
        <v/>
      </c>
      <c r="E557" s="45" t="str">
        <f ca="1">IF(IFERROR(INDEX((COPIA!$DA$3:$DE$2300),MATCH(ROWS(E$8:E557),COPIA!$DF$3:$DF$2300,0),COLUMN()-1),"")=0,"",IFERROR(INDEX((COPIA!$DA$3:$DE$2300),MATCH(ROWS(E$8:E557),COPIA!$DF$3:$DF$2300,0),COLUMN()-1),""))</f>
        <v/>
      </c>
      <c r="F557" s="120" t="str">
        <f ca="1">IF(IFERROR(INDEX((COPIA!$DA$3:$DE$2300),MATCH(ROWS(F$8:F557),COPIA!$DF$3:$DF$2300,0),COLUMN()-1),"")=0,"",IFERROR(INDEX((COPIA!$DA$3:$DE$2300),MATCH(ROWS(F$8:F557),COPIA!$DF$3:$DF$2300,0),COLUMN()-1),""))</f>
        <v/>
      </c>
    </row>
    <row r="558" spans="2:6">
      <c r="B558" s="119" t="str">
        <f ca="1">IF(IFERROR(INDEX((COPIA!$DA$3:$DE$2300),MATCH(ROWS(B$8:B558),COPIA!$DF$3:$DF$2300,0),COLUMN()-1),"")&gt;=1,IFERROR(INDEX((COPIA!$DA$3:$DE$2300),MATCH(ROWS(B$8:B558),COPIA!$DF$3:$DF$2300,0),COLUMN()-1),""),"")</f>
        <v/>
      </c>
      <c r="C558" s="118" t="str">
        <f ca="1">SUBSTITUTE(IFERROR(INDEX((COPIA!$DA$3:$DE$2300),MATCH(ROWS(C$8:C558),COPIA!$DF$3:$DF$2300,0),COLUMN()-1),""),"MASTRO","")</f>
        <v/>
      </c>
      <c r="D558" s="29" t="str">
        <f ca="1">IF(IFERROR(INDEX((COPIA!$DA$3:$DE$2300),MATCH(ROWS(D$8:D558),COPIA!$DF$3:$DF$2300,0),COLUMN()-1),"")=0,"",IFERROR(INDEX((COPIA!$DA$3:$DE$2300),MATCH(ROWS(D$8:D558),COPIA!$DF$3:$DF$2300,0),COLUMN()-1),""))</f>
        <v/>
      </c>
      <c r="E558" s="45" t="str">
        <f ca="1">IF(IFERROR(INDEX((COPIA!$DA$3:$DE$2300),MATCH(ROWS(E$8:E558),COPIA!$DF$3:$DF$2300,0),COLUMN()-1),"")=0,"",IFERROR(INDEX((COPIA!$DA$3:$DE$2300),MATCH(ROWS(E$8:E558),COPIA!$DF$3:$DF$2300,0),COLUMN()-1),""))</f>
        <v/>
      </c>
      <c r="F558" s="120" t="str">
        <f ca="1">IF(IFERROR(INDEX((COPIA!$DA$3:$DE$2300),MATCH(ROWS(F$8:F558),COPIA!$DF$3:$DF$2300,0),COLUMN()-1),"")=0,"",IFERROR(INDEX((COPIA!$DA$3:$DE$2300),MATCH(ROWS(F$8:F558),COPIA!$DF$3:$DF$2300,0),COLUMN()-1),""))</f>
        <v/>
      </c>
    </row>
    <row r="559" spans="2:6">
      <c r="B559" s="119" t="str">
        <f ca="1">IF(IFERROR(INDEX((COPIA!$DA$3:$DE$2300),MATCH(ROWS(B$8:B559),COPIA!$DF$3:$DF$2300,0),COLUMN()-1),"")&gt;=1,IFERROR(INDEX((COPIA!$DA$3:$DE$2300),MATCH(ROWS(B$8:B559),COPIA!$DF$3:$DF$2300,0),COLUMN()-1),""),"")</f>
        <v/>
      </c>
      <c r="C559" s="118" t="str">
        <f ca="1">SUBSTITUTE(IFERROR(INDEX((COPIA!$DA$3:$DE$2300),MATCH(ROWS(C$8:C559),COPIA!$DF$3:$DF$2300,0),COLUMN()-1),""),"MASTRO","")</f>
        <v/>
      </c>
      <c r="D559" s="29" t="str">
        <f ca="1">IF(IFERROR(INDEX((COPIA!$DA$3:$DE$2300),MATCH(ROWS(D$8:D559),COPIA!$DF$3:$DF$2300,0),COLUMN()-1),"")=0,"",IFERROR(INDEX((COPIA!$DA$3:$DE$2300),MATCH(ROWS(D$8:D559),COPIA!$DF$3:$DF$2300,0),COLUMN()-1),""))</f>
        <v/>
      </c>
      <c r="E559" s="45" t="str">
        <f ca="1">IF(IFERROR(INDEX((COPIA!$DA$3:$DE$2300),MATCH(ROWS(E$8:E559),COPIA!$DF$3:$DF$2300,0),COLUMN()-1),"")=0,"",IFERROR(INDEX((COPIA!$DA$3:$DE$2300),MATCH(ROWS(E$8:E559),COPIA!$DF$3:$DF$2300,0),COLUMN()-1),""))</f>
        <v/>
      </c>
      <c r="F559" s="120" t="str">
        <f ca="1">IF(IFERROR(INDEX((COPIA!$DA$3:$DE$2300),MATCH(ROWS(F$8:F559),COPIA!$DF$3:$DF$2300,0),COLUMN()-1),"")=0,"",IFERROR(INDEX((COPIA!$DA$3:$DE$2300),MATCH(ROWS(F$8:F559),COPIA!$DF$3:$DF$2300,0),COLUMN()-1),""))</f>
        <v/>
      </c>
    </row>
    <row r="560" spans="2:6">
      <c r="B560" s="119" t="str">
        <f ca="1">IF(IFERROR(INDEX((COPIA!$DA$3:$DE$2300),MATCH(ROWS(B$8:B560),COPIA!$DF$3:$DF$2300,0),COLUMN()-1),"")&gt;=1,IFERROR(INDEX((COPIA!$DA$3:$DE$2300),MATCH(ROWS(B$8:B560),COPIA!$DF$3:$DF$2300,0),COLUMN()-1),""),"")</f>
        <v/>
      </c>
      <c r="C560" s="118" t="str">
        <f ca="1">SUBSTITUTE(IFERROR(INDEX((COPIA!$DA$3:$DE$2300),MATCH(ROWS(C$8:C560),COPIA!$DF$3:$DF$2300,0),COLUMN()-1),""),"MASTRO","")</f>
        <v/>
      </c>
      <c r="D560" s="29" t="str">
        <f ca="1">IF(IFERROR(INDEX((COPIA!$DA$3:$DE$2300),MATCH(ROWS(D$8:D560),COPIA!$DF$3:$DF$2300,0),COLUMN()-1),"")=0,"",IFERROR(INDEX((COPIA!$DA$3:$DE$2300),MATCH(ROWS(D$8:D560),COPIA!$DF$3:$DF$2300,0),COLUMN()-1),""))</f>
        <v/>
      </c>
      <c r="E560" s="45" t="str">
        <f ca="1">IF(IFERROR(INDEX((COPIA!$DA$3:$DE$2300),MATCH(ROWS(E$8:E560),COPIA!$DF$3:$DF$2300,0),COLUMN()-1),"")=0,"",IFERROR(INDEX((COPIA!$DA$3:$DE$2300),MATCH(ROWS(E$8:E560),COPIA!$DF$3:$DF$2300,0),COLUMN()-1),""))</f>
        <v/>
      </c>
      <c r="F560" s="120" t="str">
        <f ca="1">IF(IFERROR(INDEX((COPIA!$DA$3:$DE$2300),MATCH(ROWS(F$8:F560),COPIA!$DF$3:$DF$2300,0),COLUMN()-1),"")=0,"",IFERROR(INDEX((COPIA!$DA$3:$DE$2300),MATCH(ROWS(F$8:F560),COPIA!$DF$3:$DF$2300,0),COLUMN()-1),""))</f>
        <v/>
      </c>
    </row>
    <row r="561" spans="2:6">
      <c r="B561" s="119" t="str">
        <f ca="1">IF(IFERROR(INDEX((COPIA!$DA$3:$DE$2300),MATCH(ROWS(B$8:B561),COPIA!$DF$3:$DF$2300,0),COLUMN()-1),"")&gt;=1,IFERROR(INDEX((COPIA!$DA$3:$DE$2300),MATCH(ROWS(B$8:B561),COPIA!$DF$3:$DF$2300,0),COLUMN()-1),""),"")</f>
        <v/>
      </c>
      <c r="C561" s="118" t="str">
        <f ca="1">SUBSTITUTE(IFERROR(INDEX((COPIA!$DA$3:$DE$2300),MATCH(ROWS(C$8:C561),COPIA!$DF$3:$DF$2300,0),COLUMN()-1),""),"MASTRO","")</f>
        <v/>
      </c>
      <c r="D561" s="29" t="str">
        <f ca="1">IF(IFERROR(INDEX((COPIA!$DA$3:$DE$2300),MATCH(ROWS(D$8:D561),COPIA!$DF$3:$DF$2300,0),COLUMN()-1),"")=0,"",IFERROR(INDEX((COPIA!$DA$3:$DE$2300),MATCH(ROWS(D$8:D561),COPIA!$DF$3:$DF$2300,0),COLUMN()-1),""))</f>
        <v/>
      </c>
      <c r="E561" s="45" t="str">
        <f ca="1">IF(IFERROR(INDEX((COPIA!$DA$3:$DE$2300),MATCH(ROWS(E$8:E561),COPIA!$DF$3:$DF$2300,0),COLUMN()-1),"")=0,"",IFERROR(INDEX((COPIA!$DA$3:$DE$2300),MATCH(ROWS(E$8:E561),COPIA!$DF$3:$DF$2300,0),COLUMN()-1),""))</f>
        <v/>
      </c>
      <c r="F561" s="120" t="str">
        <f ca="1">IF(IFERROR(INDEX((COPIA!$DA$3:$DE$2300),MATCH(ROWS(F$8:F561),COPIA!$DF$3:$DF$2300,0),COLUMN()-1),"")=0,"",IFERROR(INDEX((COPIA!$DA$3:$DE$2300),MATCH(ROWS(F$8:F561),COPIA!$DF$3:$DF$2300,0),COLUMN()-1),""))</f>
        <v/>
      </c>
    </row>
    <row r="562" spans="2:6">
      <c r="B562" s="119" t="str">
        <f ca="1">IF(IFERROR(INDEX((COPIA!$DA$3:$DE$2300),MATCH(ROWS(B$8:B562),COPIA!$DF$3:$DF$2300,0),COLUMN()-1),"")&gt;=1,IFERROR(INDEX((COPIA!$DA$3:$DE$2300),MATCH(ROWS(B$8:B562),COPIA!$DF$3:$DF$2300,0),COLUMN()-1),""),"")</f>
        <v/>
      </c>
      <c r="C562" s="118" t="str">
        <f ca="1">SUBSTITUTE(IFERROR(INDEX((COPIA!$DA$3:$DE$2300),MATCH(ROWS(C$8:C562),COPIA!$DF$3:$DF$2300,0),COLUMN()-1),""),"MASTRO","")</f>
        <v/>
      </c>
      <c r="D562" s="29" t="str">
        <f ca="1">IF(IFERROR(INDEX((COPIA!$DA$3:$DE$2300),MATCH(ROWS(D$8:D562),COPIA!$DF$3:$DF$2300,0),COLUMN()-1),"")=0,"",IFERROR(INDEX((COPIA!$DA$3:$DE$2300),MATCH(ROWS(D$8:D562),COPIA!$DF$3:$DF$2300,0),COLUMN()-1),""))</f>
        <v/>
      </c>
      <c r="E562" s="45" t="str">
        <f ca="1">IF(IFERROR(INDEX((COPIA!$DA$3:$DE$2300),MATCH(ROWS(E$8:E562),COPIA!$DF$3:$DF$2300,0),COLUMN()-1),"")=0,"",IFERROR(INDEX((COPIA!$DA$3:$DE$2300),MATCH(ROWS(E$8:E562),COPIA!$DF$3:$DF$2300,0),COLUMN()-1),""))</f>
        <v/>
      </c>
      <c r="F562" s="120" t="str">
        <f ca="1">IF(IFERROR(INDEX((COPIA!$DA$3:$DE$2300),MATCH(ROWS(F$8:F562),COPIA!$DF$3:$DF$2300,0),COLUMN()-1),"")=0,"",IFERROR(INDEX((COPIA!$DA$3:$DE$2300),MATCH(ROWS(F$8:F562),COPIA!$DF$3:$DF$2300,0),COLUMN()-1),""))</f>
        <v/>
      </c>
    </row>
    <row r="563" spans="2:6">
      <c r="B563" s="119" t="str">
        <f ca="1">IF(IFERROR(INDEX((COPIA!$DA$3:$DE$2300),MATCH(ROWS(B$8:B563),COPIA!$DF$3:$DF$2300,0),COLUMN()-1),"")&gt;=1,IFERROR(INDEX((COPIA!$DA$3:$DE$2300),MATCH(ROWS(B$8:B563),COPIA!$DF$3:$DF$2300,0),COLUMN()-1),""),"")</f>
        <v/>
      </c>
      <c r="C563" s="118" t="str">
        <f ca="1">SUBSTITUTE(IFERROR(INDEX((COPIA!$DA$3:$DE$2300),MATCH(ROWS(C$8:C563),COPIA!$DF$3:$DF$2300,0),COLUMN()-1),""),"MASTRO","")</f>
        <v/>
      </c>
      <c r="D563" s="29" t="str">
        <f ca="1">IF(IFERROR(INDEX((COPIA!$DA$3:$DE$2300),MATCH(ROWS(D$8:D563),COPIA!$DF$3:$DF$2300,0),COLUMN()-1),"")=0,"",IFERROR(INDEX((COPIA!$DA$3:$DE$2300),MATCH(ROWS(D$8:D563),COPIA!$DF$3:$DF$2300,0),COLUMN()-1),""))</f>
        <v/>
      </c>
      <c r="E563" s="45" t="str">
        <f ca="1">IF(IFERROR(INDEX((COPIA!$DA$3:$DE$2300),MATCH(ROWS(E$8:E563),COPIA!$DF$3:$DF$2300,0),COLUMN()-1),"")=0,"",IFERROR(INDEX((COPIA!$DA$3:$DE$2300),MATCH(ROWS(E$8:E563),COPIA!$DF$3:$DF$2300,0),COLUMN()-1),""))</f>
        <v/>
      </c>
      <c r="F563" s="120" t="str">
        <f ca="1">IF(IFERROR(INDEX((COPIA!$DA$3:$DE$2300),MATCH(ROWS(F$8:F563),COPIA!$DF$3:$DF$2300,0),COLUMN()-1),"")=0,"",IFERROR(INDEX((COPIA!$DA$3:$DE$2300),MATCH(ROWS(F$8:F563),COPIA!$DF$3:$DF$2300,0),COLUMN()-1),""))</f>
        <v/>
      </c>
    </row>
    <row r="564" spans="2:6">
      <c r="B564" s="119" t="str">
        <f ca="1">IF(IFERROR(INDEX((COPIA!$DA$3:$DE$2300),MATCH(ROWS(B$8:B564),COPIA!$DF$3:$DF$2300,0),COLUMN()-1),"")&gt;=1,IFERROR(INDEX((COPIA!$DA$3:$DE$2300),MATCH(ROWS(B$8:B564),COPIA!$DF$3:$DF$2300,0),COLUMN()-1),""),"")</f>
        <v/>
      </c>
      <c r="C564" s="118" t="str">
        <f ca="1">SUBSTITUTE(IFERROR(INDEX((COPIA!$DA$3:$DE$2300),MATCH(ROWS(C$8:C564),COPIA!$DF$3:$DF$2300,0),COLUMN()-1),""),"MASTRO","")</f>
        <v/>
      </c>
      <c r="D564" s="29" t="str">
        <f ca="1">IF(IFERROR(INDEX((COPIA!$DA$3:$DE$2300),MATCH(ROWS(D$8:D564),COPIA!$DF$3:$DF$2300,0),COLUMN()-1),"")=0,"",IFERROR(INDEX((COPIA!$DA$3:$DE$2300),MATCH(ROWS(D$8:D564),COPIA!$DF$3:$DF$2300,0),COLUMN()-1),""))</f>
        <v/>
      </c>
      <c r="E564" s="45" t="str">
        <f ca="1">IF(IFERROR(INDEX((COPIA!$DA$3:$DE$2300),MATCH(ROWS(E$8:E564),COPIA!$DF$3:$DF$2300,0),COLUMN()-1),"")=0,"",IFERROR(INDEX((COPIA!$DA$3:$DE$2300),MATCH(ROWS(E$8:E564),COPIA!$DF$3:$DF$2300,0),COLUMN()-1),""))</f>
        <v/>
      </c>
      <c r="F564" s="120" t="str">
        <f ca="1">IF(IFERROR(INDEX((COPIA!$DA$3:$DE$2300),MATCH(ROWS(F$8:F564),COPIA!$DF$3:$DF$2300,0),COLUMN()-1),"")=0,"",IFERROR(INDEX((COPIA!$DA$3:$DE$2300),MATCH(ROWS(F$8:F564),COPIA!$DF$3:$DF$2300,0),COLUMN()-1),""))</f>
        <v/>
      </c>
    </row>
    <row r="565" spans="2:6">
      <c r="B565" s="119" t="str">
        <f ca="1">IF(IFERROR(INDEX((COPIA!$DA$3:$DE$2300),MATCH(ROWS(B$8:B565),COPIA!$DF$3:$DF$2300,0),COLUMN()-1),"")&gt;=1,IFERROR(INDEX((COPIA!$DA$3:$DE$2300),MATCH(ROWS(B$8:B565),COPIA!$DF$3:$DF$2300,0),COLUMN()-1),""),"")</f>
        <v/>
      </c>
      <c r="C565" s="118" t="str">
        <f ca="1">SUBSTITUTE(IFERROR(INDEX((COPIA!$DA$3:$DE$2300),MATCH(ROWS(C$8:C565),COPIA!$DF$3:$DF$2300,0),COLUMN()-1),""),"MASTRO","")</f>
        <v/>
      </c>
      <c r="D565" s="29" t="str">
        <f ca="1">IF(IFERROR(INDEX((COPIA!$DA$3:$DE$2300),MATCH(ROWS(D$8:D565),COPIA!$DF$3:$DF$2300,0),COLUMN()-1),"")=0,"",IFERROR(INDEX((COPIA!$DA$3:$DE$2300),MATCH(ROWS(D$8:D565),COPIA!$DF$3:$DF$2300,0),COLUMN()-1),""))</f>
        <v/>
      </c>
      <c r="E565" s="45" t="str">
        <f ca="1">IF(IFERROR(INDEX((COPIA!$DA$3:$DE$2300),MATCH(ROWS(E$8:E565),COPIA!$DF$3:$DF$2300,0),COLUMN()-1),"")=0,"",IFERROR(INDEX((COPIA!$DA$3:$DE$2300),MATCH(ROWS(E$8:E565),COPIA!$DF$3:$DF$2300,0),COLUMN()-1),""))</f>
        <v/>
      </c>
      <c r="F565" s="120" t="str">
        <f ca="1">IF(IFERROR(INDEX((COPIA!$DA$3:$DE$2300),MATCH(ROWS(F$8:F565),COPIA!$DF$3:$DF$2300,0),COLUMN()-1),"")=0,"",IFERROR(INDEX((COPIA!$DA$3:$DE$2300),MATCH(ROWS(F$8:F565),COPIA!$DF$3:$DF$2300,0),COLUMN()-1),""))</f>
        <v/>
      </c>
    </row>
    <row r="566" spans="2:6">
      <c r="B566" s="119" t="str">
        <f ca="1">IF(IFERROR(INDEX((COPIA!$DA$3:$DE$2300),MATCH(ROWS(B$8:B566),COPIA!$DF$3:$DF$2300,0),COLUMN()-1),"")&gt;=1,IFERROR(INDEX((COPIA!$DA$3:$DE$2300),MATCH(ROWS(B$8:B566),COPIA!$DF$3:$DF$2300,0),COLUMN()-1),""),"")</f>
        <v/>
      </c>
      <c r="C566" s="118" t="str">
        <f ca="1">SUBSTITUTE(IFERROR(INDEX((COPIA!$DA$3:$DE$2300),MATCH(ROWS(C$8:C566),COPIA!$DF$3:$DF$2300,0),COLUMN()-1),""),"MASTRO","")</f>
        <v/>
      </c>
      <c r="D566" s="29" t="str">
        <f ca="1">IF(IFERROR(INDEX((COPIA!$DA$3:$DE$2300),MATCH(ROWS(D$8:D566),COPIA!$DF$3:$DF$2300,0),COLUMN()-1),"")=0,"",IFERROR(INDEX((COPIA!$DA$3:$DE$2300),MATCH(ROWS(D$8:D566),COPIA!$DF$3:$DF$2300,0),COLUMN()-1),""))</f>
        <v/>
      </c>
      <c r="E566" s="45" t="str">
        <f ca="1">IF(IFERROR(INDEX((COPIA!$DA$3:$DE$2300),MATCH(ROWS(E$8:E566),COPIA!$DF$3:$DF$2300,0),COLUMN()-1),"")=0,"",IFERROR(INDEX((COPIA!$DA$3:$DE$2300),MATCH(ROWS(E$8:E566),COPIA!$DF$3:$DF$2300,0),COLUMN()-1),""))</f>
        <v/>
      </c>
      <c r="F566" s="120" t="str">
        <f ca="1">IF(IFERROR(INDEX((COPIA!$DA$3:$DE$2300),MATCH(ROWS(F$8:F566),COPIA!$DF$3:$DF$2300,0),COLUMN()-1),"")=0,"",IFERROR(INDEX((COPIA!$DA$3:$DE$2300),MATCH(ROWS(F$8:F566),COPIA!$DF$3:$DF$2300,0),COLUMN()-1),""))</f>
        <v/>
      </c>
    </row>
    <row r="567" spans="2:6">
      <c r="B567" s="119" t="str">
        <f ca="1">IF(IFERROR(INDEX((COPIA!$DA$3:$DE$2300),MATCH(ROWS(B$8:B567),COPIA!$DF$3:$DF$2300,0),COLUMN()-1),"")&gt;=1,IFERROR(INDEX((COPIA!$DA$3:$DE$2300),MATCH(ROWS(B$8:B567),COPIA!$DF$3:$DF$2300,0),COLUMN()-1),""),"")</f>
        <v/>
      </c>
      <c r="C567" s="118" t="str">
        <f ca="1">SUBSTITUTE(IFERROR(INDEX((COPIA!$DA$3:$DE$2300),MATCH(ROWS(C$8:C567),COPIA!$DF$3:$DF$2300,0),COLUMN()-1),""),"MASTRO","")</f>
        <v/>
      </c>
      <c r="D567" s="29" t="str">
        <f ca="1">IF(IFERROR(INDEX((COPIA!$DA$3:$DE$2300),MATCH(ROWS(D$8:D567),COPIA!$DF$3:$DF$2300,0),COLUMN()-1),"")=0,"",IFERROR(INDEX((COPIA!$DA$3:$DE$2300),MATCH(ROWS(D$8:D567),COPIA!$DF$3:$DF$2300,0),COLUMN()-1),""))</f>
        <v/>
      </c>
      <c r="E567" s="45" t="str">
        <f ca="1">IF(IFERROR(INDEX((COPIA!$DA$3:$DE$2300),MATCH(ROWS(E$8:E567),COPIA!$DF$3:$DF$2300,0),COLUMN()-1),"")=0,"",IFERROR(INDEX((COPIA!$DA$3:$DE$2300),MATCH(ROWS(E$8:E567),COPIA!$DF$3:$DF$2300,0),COLUMN()-1),""))</f>
        <v/>
      </c>
      <c r="F567" s="120" t="str">
        <f ca="1">IF(IFERROR(INDEX((COPIA!$DA$3:$DE$2300),MATCH(ROWS(F$8:F567),COPIA!$DF$3:$DF$2300,0),COLUMN()-1),"")=0,"",IFERROR(INDEX((COPIA!$DA$3:$DE$2300),MATCH(ROWS(F$8:F567),COPIA!$DF$3:$DF$2300,0),COLUMN()-1),""))</f>
        <v/>
      </c>
    </row>
    <row r="568" spans="2:6">
      <c r="B568" s="119" t="str">
        <f ca="1">IF(IFERROR(INDEX((COPIA!$DA$3:$DE$2300),MATCH(ROWS(B$8:B568),COPIA!$DF$3:$DF$2300,0),COLUMN()-1),"")&gt;=1,IFERROR(INDEX((COPIA!$DA$3:$DE$2300),MATCH(ROWS(B$8:B568),COPIA!$DF$3:$DF$2300,0),COLUMN()-1),""),"")</f>
        <v/>
      </c>
      <c r="C568" s="118" t="str">
        <f ca="1">SUBSTITUTE(IFERROR(INDEX((COPIA!$DA$3:$DE$2300),MATCH(ROWS(C$8:C568),COPIA!$DF$3:$DF$2300,0),COLUMN()-1),""),"MASTRO","")</f>
        <v/>
      </c>
      <c r="D568" s="29" t="str">
        <f ca="1">IF(IFERROR(INDEX((COPIA!$DA$3:$DE$2300),MATCH(ROWS(D$8:D568),COPIA!$DF$3:$DF$2300,0),COLUMN()-1),"")=0,"",IFERROR(INDEX((COPIA!$DA$3:$DE$2300),MATCH(ROWS(D$8:D568),COPIA!$DF$3:$DF$2300,0),COLUMN()-1),""))</f>
        <v/>
      </c>
      <c r="E568" s="45" t="str">
        <f ca="1">IF(IFERROR(INDEX((COPIA!$DA$3:$DE$2300),MATCH(ROWS(E$8:E568),COPIA!$DF$3:$DF$2300,0),COLUMN()-1),"")=0,"",IFERROR(INDEX((COPIA!$DA$3:$DE$2300),MATCH(ROWS(E$8:E568),COPIA!$DF$3:$DF$2300,0),COLUMN()-1),""))</f>
        <v/>
      </c>
      <c r="F568" s="120" t="str">
        <f ca="1">IF(IFERROR(INDEX((COPIA!$DA$3:$DE$2300),MATCH(ROWS(F$8:F568),COPIA!$DF$3:$DF$2300,0),COLUMN()-1),"")=0,"",IFERROR(INDEX((COPIA!$DA$3:$DE$2300),MATCH(ROWS(F$8:F568),COPIA!$DF$3:$DF$2300,0),COLUMN()-1),""))</f>
        <v/>
      </c>
    </row>
    <row r="569" spans="2:6">
      <c r="B569" s="119" t="str">
        <f ca="1">IF(IFERROR(INDEX((COPIA!$DA$3:$DE$2300),MATCH(ROWS(B$8:B569),COPIA!$DF$3:$DF$2300,0),COLUMN()-1),"")&gt;=1,IFERROR(INDEX((COPIA!$DA$3:$DE$2300),MATCH(ROWS(B$8:B569),COPIA!$DF$3:$DF$2300,0),COLUMN()-1),""),"")</f>
        <v/>
      </c>
      <c r="C569" s="118" t="str">
        <f ca="1">SUBSTITUTE(IFERROR(INDEX((COPIA!$DA$3:$DE$2300),MATCH(ROWS(C$8:C569),COPIA!$DF$3:$DF$2300,0),COLUMN()-1),""),"MASTRO","")</f>
        <v/>
      </c>
      <c r="D569" s="29" t="str">
        <f ca="1">IF(IFERROR(INDEX((COPIA!$DA$3:$DE$2300),MATCH(ROWS(D$8:D569),COPIA!$DF$3:$DF$2300,0),COLUMN()-1),"")=0,"",IFERROR(INDEX((COPIA!$DA$3:$DE$2300),MATCH(ROWS(D$8:D569),COPIA!$DF$3:$DF$2300,0),COLUMN()-1),""))</f>
        <v/>
      </c>
      <c r="E569" s="45" t="str">
        <f ca="1">IF(IFERROR(INDEX((COPIA!$DA$3:$DE$2300),MATCH(ROWS(E$8:E569),COPIA!$DF$3:$DF$2300,0),COLUMN()-1),"")=0,"",IFERROR(INDEX((COPIA!$DA$3:$DE$2300),MATCH(ROWS(E$8:E569),COPIA!$DF$3:$DF$2300,0),COLUMN()-1),""))</f>
        <v/>
      </c>
      <c r="F569" s="120" t="str">
        <f ca="1">IF(IFERROR(INDEX((COPIA!$DA$3:$DE$2300),MATCH(ROWS(F$8:F569),COPIA!$DF$3:$DF$2300,0),COLUMN()-1),"")=0,"",IFERROR(INDEX((COPIA!$DA$3:$DE$2300),MATCH(ROWS(F$8:F569),COPIA!$DF$3:$DF$2300,0),COLUMN()-1),""))</f>
        <v/>
      </c>
    </row>
    <row r="570" spans="2:6">
      <c r="B570" s="119" t="str">
        <f ca="1">IF(IFERROR(INDEX((COPIA!$DA$3:$DE$2300),MATCH(ROWS(B$8:B570),COPIA!$DF$3:$DF$2300,0),COLUMN()-1),"")&gt;=1,IFERROR(INDEX((COPIA!$DA$3:$DE$2300),MATCH(ROWS(B$8:B570),COPIA!$DF$3:$DF$2300,0),COLUMN()-1),""),"")</f>
        <v/>
      </c>
      <c r="C570" s="118" t="str">
        <f ca="1">SUBSTITUTE(IFERROR(INDEX((COPIA!$DA$3:$DE$2300),MATCH(ROWS(C$8:C570),COPIA!$DF$3:$DF$2300,0),COLUMN()-1),""),"MASTRO","")</f>
        <v/>
      </c>
      <c r="D570" s="29" t="str">
        <f ca="1">IF(IFERROR(INDEX((COPIA!$DA$3:$DE$2300),MATCH(ROWS(D$8:D570),COPIA!$DF$3:$DF$2300,0),COLUMN()-1),"")=0,"",IFERROR(INDEX((COPIA!$DA$3:$DE$2300),MATCH(ROWS(D$8:D570),COPIA!$DF$3:$DF$2300,0),COLUMN()-1),""))</f>
        <v/>
      </c>
      <c r="E570" s="45" t="str">
        <f ca="1">IF(IFERROR(INDEX((COPIA!$DA$3:$DE$2300),MATCH(ROWS(E$8:E570),COPIA!$DF$3:$DF$2300,0),COLUMN()-1),"")=0,"",IFERROR(INDEX((COPIA!$DA$3:$DE$2300),MATCH(ROWS(E$8:E570),COPIA!$DF$3:$DF$2300,0),COLUMN()-1),""))</f>
        <v/>
      </c>
      <c r="F570" s="120" t="str">
        <f ca="1">IF(IFERROR(INDEX((COPIA!$DA$3:$DE$2300),MATCH(ROWS(F$8:F570),COPIA!$DF$3:$DF$2300,0),COLUMN()-1),"")=0,"",IFERROR(INDEX((COPIA!$DA$3:$DE$2300),MATCH(ROWS(F$8:F570),COPIA!$DF$3:$DF$2300,0),COLUMN()-1),""))</f>
        <v/>
      </c>
    </row>
    <row r="571" spans="2:6">
      <c r="B571" s="119" t="str">
        <f ca="1">IF(IFERROR(INDEX((COPIA!$DA$3:$DE$2300),MATCH(ROWS(B$8:B571),COPIA!$DF$3:$DF$2300,0),COLUMN()-1),"")&gt;=1,IFERROR(INDEX((COPIA!$DA$3:$DE$2300),MATCH(ROWS(B$8:B571),COPIA!$DF$3:$DF$2300,0),COLUMN()-1),""),"")</f>
        <v/>
      </c>
      <c r="C571" s="118" t="str">
        <f ca="1">SUBSTITUTE(IFERROR(INDEX((COPIA!$DA$3:$DE$2300),MATCH(ROWS(C$8:C571),COPIA!$DF$3:$DF$2300,0),COLUMN()-1),""),"MASTRO","")</f>
        <v/>
      </c>
      <c r="D571" s="29" t="str">
        <f ca="1">IF(IFERROR(INDEX((COPIA!$DA$3:$DE$2300),MATCH(ROWS(D$8:D571),COPIA!$DF$3:$DF$2300,0),COLUMN()-1),"")=0,"",IFERROR(INDEX((COPIA!$DA$3:$DE$2300),MATCH(ROWS(D$8:D571),COPIA!$DF$3:$DF$2300,0),COLUMN()-1),""))</f>
        <v/>
      </c>
      <c r="E571" s="45" t="str">
        <f ca="1">IF(IFERROR(INDEX((COPIA!$DA$3:$DE$2300),MATCH(ROWS(E$8:E571),COPIA!$DF$3:$DF$2300,0),COLUMN()-1),"")=0,"",IFERROR(INDEX((COPIA!$DA$3:$DE$2300),MATCH(ROWS(E$8:E571),COPIA!$DF$3:$DF$2300,0),COLUMN()-1),""))</f>
        <v/>
      </c>
      <c r="F571" s="120" t="str">
        <f ca="1">IF(IFERROR(INDEX((COPIA!$DA$3:$DE$2300),MATCH(ROWS(F$8:F571),COPIA!$DF$3:$DF$2300,0),COLUMN()-1),"")=0,"",IFERROR(INDEX((COPIA!$DA$3:$DE$2300),MATCH(ROWS(F$8:F571),COPIA!$DF$3:$DF$2300,0),COLUMN()-1),""))</f>
        <v/>
      </c>
    </row>
    <row r="572" spans="2:6">
      <c r="B572" s="119" t="str">
        <f ca="1">IF(IFERROR(INDEX((COPIA!$DA$3:$DE$2300),MATCH(ROWS(B$8:B572),COPIA!$DF$3:$DF$2300,0),COLUMN()-1),"")&gt;=1,IFERROR(INDEX((COPIA!$DA$3:$DE$2300),MATCH(ROWS(B$8:B572),COPIA!$DF$3:$DF$2300,0),COLUMN()-1),""),"")</f>
        <v/>
      </c>
      <c r="C572" s="118" t="str">
        <f ca="1">SUBSTITUTE(IFERROR(INDEX((COPIA!$DA$3:$DE$2300),MATCH(ROWS(C$8:C572),COPIA!$DF$3:$DF$2300,0),COLUMN()-1),""),"MASTRO","")</f>
        <v/>
      </c>
      <c r="D572" s="29" t="str">
        <f ca="1">IF(IFERROR(INDEX((COPIA!$DA$3:$DE$2300),MATCH(ROWS(D$8:D572),COPIA!$DF$3:$DF$2300,0),COLUMN()-1),"")=0,"",IFERROR(INDEX((COPIA!$DA$3:$DE$2300),MATCH(ROWS(D$8:D572),COPIA!$DF$3:$DF$2300,0),COLUMN()-1),""))</f>
        <v/>
      </c>
      <c r="E572" s="45" t="str">
        <f ca="1">IF(IFERROR(INDEX((COPIA!$DA$3:$DE$2300),MATCH(ROWS(E$8:E572),COPIA!$DF$3:$DF$2300,0),COLUMN()-1),"")=0,"",IFERROR(INDEX((COPIA!$DA$3:$DE$2300),MATCH(ROWS(E$8:E572),COPIA!$DF$3:$DF$2300,0),COLUMN()-1),""))</f>
        <v/>
      </c>
      <c r="F572" s="120" t="str">
        <f ca="1">IF(IFERROR(INDEX((COPIA!$DA$3:$DE$2300),MATCH(ROWS(F$8:F572),COPIA!$DF$3:$DF$2300,0),COLUMN()-1),"")=0,"",IFERROR(INDEX((COPIA!$DA$3:$DE$2300),MATCH(ROWS(F$8:F572),COPIA!$DF$3:$DF$2300,0),COLUMN()-1),""))</f>
        <v/>
      </c>
    </row>
    <row r="573" spans="2:6">
      <c r="B573" s="119" t="str">
        <f ca="1">IF(IFERROR(INDEX((COPIA!$DA$3:$DE$2300),MATCH(ROWS(B$8:B573),COPIA!$DF$3:$DF$2300,0),COLUMN()-1),"")&gt;=1,IFERROR(INDEX((COPIA!$DA$3:$DE$2300),MATCH(ROWS(B$8:B573),COPIA!$DF$3:$DF$2300,0),COLUMN()-1),""),"")</f>
        <v/>
      </c>
      <c r="C573" s="118" t="str">
        <f ca="1">SUBSTITUTE(IFERROR(INDEX((COPIA!$DA$3:$DE$2300),MATCH(ROWS(C$8:C573),COPIA!$DF$3:$DF$2300,0),COLUMN()-1),""),"MASTRO","")</f>
        <v/>
      </c>
      <c r="D573" s="29" t="str">
        <f ca="1">IF(IFERROR(INDEX((COPIA!$DA$3:$DE$2300),MATCH(ROWS(D$8:D573),COPIA!$DF$3:$DF$2300,0),COLUMN()-1),"")=0,"",IFERROR(INDEX((COPIA!$DA$3:$DE$2300),MATCH(ROWS(D$8:D573),COPIA!$DF$3:$DF$2300,0),COLUMN()-1),""))</f>
        <v/>
      </c>
      <c r="E573" s="45" t="str">
        <f ca="1">IF(IFERROR(INDEX((COPIA!$DA$3:$DE$2300),MATCH(ROWS(E$8:E573),COPIA!$DF$3:$DF$2300,0),COLUMN()-1),"")=0,"",IFERROR(INDEX((COPIA!$DA$3:$DE$2300),MATCH(ROWS(E$8:E573),COPIA!$DF$3:$DF$2300,0),COLUMN()-1),""))</f>
        <v/>
      </c>
      <c r="F573" s="120" t="str">
        <f ca="1">IF(IFERROR(INDEX((COPIA!$DA$3:$DE$2300),MATCH(ROWS(F$8:F573),COPIA!$DF$3:$DF$2300,0),COLUMN()-1),"")=0,"",IFERROR(INDEX((COPIA!$DA$3:$DE$2300),MATCH(ROWS(F$8:F573),COPIA!$DF$3:$DF$2300,0),COLUMN()-1),""))</f>
        <v/>
      </c>
    </row>
    <row r="574" spans="2:6">
      <c r="B574" s="119" t="str">
        <f ca="1">IF(IFERROR(INDEX((COPIA!$DA$3:$DE$2300),MATCH(ROWS(B$8:B574),COPIA!$DF$3:$DF$2300,0),COLUMN()-1),"")&gt;=1,IFERROR(INDEX((COPIA!$DA$3:$DE$2300),MATCH(ROWS(B$8:B574),COPIA!$DF$3:$DF$2300,0),COLUMN()-1),""),"")</f>
        <v/>
      </c>
      <c r="C574" s="118" t="str">
        <f ca="1">SUBSTITUTE(IFERROR(INDEX((COPIA!$DA$3:$DE$2300),MATCH(ROWS(C$8:C574),COPIA!$DF$3:$DF$2300,0),COLUMN()-1),""),"MASTRO","")</f>
        <v/>
      </c>
      <c r="D574" s="29" t="str">
        <f ca="1">IF(IFERROR(INDEX((COPIA!$DA$3:$DE$2300),MATCH(ROWS(D$8:D574),COPIA!$DF$3:$DF$2300,0),COLUMN()-1),"")=0,"",IFERROR(INDEX((COPIA!$DA$3:$DE$2300),MATCH(ROWS(D$8:D574),COPIA!$DF$3:$DF$2300,0),COLUMN()-1),""))</f>
        <v/>
      </c>
      <c r="E574" s="45" t="str">
        <f ca="1">IF(IFERROR(INDEX((COPIA!$DA$3:$DE$2300),MATCH(ROWS(E$8:E574),COPIA!$DF$3:$DF$2300,0),COLUMN()-1),"")=0,"",IFERROR(INDEX((COPIA!$DA$3:$DE$2300),MATCH(ROWS(E$8:E574),COPIA!$DF$3:$DF$2300,0),COLUMN()-1),""))</f>
        <v/>
      </c>
      <c r="F574" s="120" t="str">
        <f ca="1">IF(IFERROR(INDEX((COPIA!$DA$3:$DE$2300),MATCH(ROWS(F$8:F574),COPIA!$DF$3:$DF$2300,0),COLUMN()-1),"")=0,"",IFERROR(INDEX((COPIA!$DA$3:$DE$2300),MATCH(ROWS(F$8:F574),COPIA!$DF$3:$DF$2300,0),COLUMN()-1),""))</f>
        <v/>
      </c>
    </row>
    <row r="575" spans="2:6">
      <c r="B575" s="119" t="str">
        <f ca="1">IF(IFERROR(INDEX((COPIA!$DA$3:$DE$2300),MATCH(ROWS(B$8:B575),COPIA!$DF$3:$DF$2300,0),COLUMN()-1),"")&gt;=1,IFERROR(INDEX((COPIA!$DA$3:$DE$2300),MATCH(ROWS(B$8:B575),COPIA!$DF$3:$DF$2300,0),COLUMN()-1),""),"")</f>
        <v/>
      </c>
      <c r="C575" s="118" t="str">
        <f ca="1">SUBSTITUTE(IFERROR(INDEX((COPIA!$DA$3:$DE$2300),MATCH(ROWS(C$8:C575),COPIA!$DF$3:$DF$2300,0),COLUMN()-1),""),"MASTRO","")</f>
        <v/>
      </c>
      <c r="D575" s="29" t="str">
        <f ca="1">IF(IFERROR(INDEX((COPIA!$DA$3:$DE$2300),MATCH(ROWS(D$8:D575),COPIA!$DF$3:$DF$2300,0),COLUMN()-1),"")=0,"",IFERROR(INDEX((COPIA!$DA$3:$DE$2300),MATCH(ROWS(D$8:D575),COPIA!$DF$3:$DF$2300,0),COLUMN()-1),""))</f>
        <v/>
      </c>
      <c r="E575" s="45" t="str">
        <f ca="1">IF(IFERROR(INDEX((COPIA!$DA$3:$DE$2300),MATCH(ROWS(E$8:E575),COPIA!$DF$3:$DF$2300,0),COLUMN()-1),"")=0,"",IFERROR(INDEX((COPIA!$DA$3:$DE$2300),MATCH(ROWS(E$8:E575),COPIA!$DF$3:$DF$2300,0),COLUMN()-1),""))</f>
        <v/>
      </c>
      <c r="F575" s="120" t="str">
        <f ca="1">IF(IFERROR(INDEX((COPIA!$DA$3:$DE$2300),MATCH(ROWS(F$8:F575),COPIA!$DF$3:$DF$2300,0),COLUMN()-1),"")=0,"",IFERROR(INDEX((COPIA!$DA$3:$DE$2300),MATCH(ROWS(F$8:F575),COPIA!$DF$3:$DF$2300,0),COLUMN()-1),""))</f>
        <v/>
      </c>
    </row>
    <row r="576" spans="2:6">
      <c r="B576" s="119" t="str">
        <f ca="1">IF(IFERROR(INDEX((COPIA!$DA$3:$DE$2300),MATCH(ROWS(B$8:B576),COPIA!$DF$3:$DF$2300,0),COLUMN()-1),"")&gt;=1,IFERROR(INDEX((COPIA!$DA$3:$DE$2300),MATCH(ROWS(B$8:B576),COPIA!$DF$3:$DF$2300,0),COLUMN()-1),""),"")</f>
        <v/>
      </c>
      <c r="C576" s="118" t="str">
        <f ca="1">SUBSTITUTE(IFERROR(INDEX((COPIA!$DA$3:$DE$2300),MATCH(ROWS(C$8:C576),COPIA!$DF$3:$DF$2300,0),COLUMN()-1),""),"MASTRO","")</f>
        <v/>
      </c>
      <c r="D576" s="29" t="str">
        <f ca="1">IF(IFERROR(INDEX((COPIA!$DA$3:$DE$2300),MATCH(ROWS(D$8:D576),COPIA!$DF$3:$DF$2300,0),COLUMN()-1),"")=0,"",IFERROR(INDEX((COPIA!$DA$3:$DE$2300),MATCH(ROWS(D$8:D576),COPIA!$DF$3:$DF$2300,0),COLUMN()-1),""))</f>
        <v/>
      </c>
      <c r="E576" s="45" t="str">
        <f ca="1">IF(IFERROR(INDEX((COPIA!$DA$3:$DE$2300),MATCH(ROWS(E$8:E576),COPIA!$DF$3:$DF$2300,0),COLUMN()-1),"")=0,"",IFERROR(INDEX((COPIA!$DA$3:$DE$2300),MATCH(ROWS(E$8:E576),COPIA!$DF$3:$DF$2300,0),COLUMN()-1),""))</f>
        <v/>
      </c>
      <c r="F576" s="120" t="str">
        <f ca="1">IF(IFERROR(INDEX((COPIA!$DA$3:$DE$2300),MATCH(ROWS(F$8:F576),COPIA!$DF$3:$DF$2300,0),COLUMN()-1),"")=0,"",IFERROR(INDEX((COPIA!$DA$3:$DE$2300),MATCH(ROWS(F$8:F576),COPIA!$DF$3:$DF$2300,0),COLUMN()-1),""))</f>
        <v/>
      </c>
    </row>
    <row r="577" spans="2:6">
      <c r="B577" s="119" t="str">
        <f ca="1">IF(IFERROR(INDEX((COPIA!$DA$3:$DE$2300),MATCH(ROWS(B$8:B577),COPIA!$DF$3:$DF$2300,0),COLUMN()-1),"")&gt;=1,IFERROR(INDEX((COPIA!$DA$3:$DE$2300),MATCH(ROWS(B$8:B577),COPIA!$DF$3:$DF$2300,0),COLUMN()-1),""),"")</f>
        <v/>
      </c>
      <c r="C577" s="118" t="str">
        <f ca="1">SUBSTITUTE(IFERROR(INDEX((COPIA!$DA$3:$DE$2300),MATCH(ROWS(C$8:C577),COPIA!$DF$3:$DF$2300,0),COLUMN()-1),""),"MASTRO","")</f>
        <v/>
      </c>
      <c r="D577" s="29" t="str">
        <f ca="1">IF(IFERROR(INDEX((COPIA!$DA$3:$DE$2300),MATCH(ROWS(D$8:D577),COPIA!$DF$3:$DF$2300,0),COLUMN()-1),"")=0,"",IFERROR(INDEX((COPIA!$DA$3:$DE$2300),MATCH(ROWS(D$8:D577),COPIA!$DF$3:$DF$2300,0),COLUMN()-1),""))</f>
        <v/>
      </c>
      <c r="E577" s="45" t="str">
        <f ca="1">IF(IFERROR(INDEX((COPIA!$DA$3:$DE$2300),MATCH(ROWS(E$8:E577),COPIA!$DF$3:$DF$2300,0),COLUMN()-1),"")=0,"",IFERROR(INDEX((COPIA!$DA$3:$DE$2300),MATCH(ROWS(E$8:E577),COPIA!$DF$3:$DF$2300,0),COLUMN()-1),""))</f>
        <v/>
      </c>
      <c r="F577" s="120" t="str">
        <f ca="1">IF(IFERROR(INDEX((COPIA!$DA$3:$DE$2300),MATCH(ROWS(F$8:F577),COPIA!$DF$3:$DF$2300,0),COLUMN()-1),"")=0,"",IFERROR(INDEX((COPIA!$DA$3:$DE$2300),MATCH(ROWS(F$8:F577),COPIA!$DF$3:$DF$2300,0),COLUMN()-1),""))</f>
        <v/>
      </c>
    </row>
    <row r="578" spans="2:6">
      <c r="B578" s="119" t="str">
        <f ca="1">IF(IFERROR(INDEX((COPIA!$DA$3:$DE$2300),MATCH(ROWS(B$8:B578),COPIA!$DF$3:$DF$2300,0),COLUMN()-1),"")&gt;=1,IFERROR(INDEX((COPIA!$DA$3:$DE$2300),MATCH(ROWS(B$8:B578),COPIA!$DF$3:$DF$2300,0),COLUMN()-1),""),"")</f>
        <v/>
      </c>
      <c r="C578" s="118" t="str">
        <f ca="1">SUBSTITUTE(IFERROR(INDEX((COPIA!$DA$3:$DE$2300),MATCH(ROWS(C$8:C578),COPIA!$DF$3:$DF$2300,0),COLUMN()-1),""),"MASTRO","")</f>
        <v/>
      </c>
      <c r="D578" s="29" t="str">
        <f ca="1">IF(IFERROR(INDEX((COPIA!$DA$3:$DE$2300),MATCH(ROWS(D$8:D578),COPIA!$DF$3:$DF$2300,0),COLUMN()-1),"")=0,"",IFERROR(INDEX((COPIA!$DA$3:$DE$2300),MATCH(ROWS(D$8:D578),COPIA!$DF$3:$DF$2300,0),COLUMN()-1),""))</f>
        <v/>
      </c>
      <c r="E578" s="45" t="str">
        <f ca="1">IF(IFERROR(INDEX((COPIA!$DA$3:$DE$2300),MATCH(ROWS(E$8:E578),COPIA!$DF$3:$DF$2300,0),COLUMN()-1),"")=0,"",IFERROR(INDEX((COPIA!$DA$3:$DE$2300),MATCH(ROWS(E$8:E578),COPIA!$DF$3:$DF$2300,0),COLUMN()-1),""))</f>
        <v/>
      </c>
      <c r="F578" s="120" t="str">
        <f ca="1">IF(IFERROR(INDEX((COPIA!$DA$3:$DE$2300),MATCH(ROWS(F$8:F578),COPIA!$DF$3:$DF$2300,0),COLUMN()-1),"")=0,"",IFERROR(INDEX((COPIA!$DA$3:$DE$2300),MATCH(ROWS(F$8:F578),COPIA!$DF$3:$DF$2300,0),COLUMN()-1),""))</f>
        <v/>
      </c>
    </row>
    <row r="579" spans="2:6">
      <c r="B579" s="119" t="str">
        <f ca="1">IF(IFERROR(INDEX((COPIA!$DA$3:$DE$2300),MATCH(ROWS(B$8:B579),COPIA!$DF$3:$DF$2300,0),COLUMN()-1),"")&gt;=1,IFERROR(INDEX((COPIA!$DA$3:$DE$2300),MATCH(ROWS(B$8:B579),COPIA!$DF$3:$DF$2300,0),COLUMN()-1),""),"")</f>
        <v/>
      </c>
      <c r="C579" s="118" t="str">
        <f ca="1">SUBSTITUTE(IFERROR(INDEX((COPIA!$DA$3:$DE$2300),MATCH(ROWS(C$8:C579),COPIA!$DF$3:$DF$2300,0),COLUMN()-1),""),"MASTRO","")</f>
        <v/>
      </c>
      <c r="D579" s="29" t="str">
        <f ca="1">IF(IFERROR(INDEX((COPIA!$DA$3:$DE$2300),MATCH(ROWS(D$8:D579),COPIA!$DF$3:$DF$2300,0),COLUMN()-1),"")=0,"",IFERROR(INDEX((COPIA!$DA$3:$DE$2300),MATCH(ROWS(D$8:D579),COPIA!$DF$3:$DF$2300,0),COLUMN()-1),""))</f>
        <v/>
      </c>
      <c r="E579" s="45" t="str">
        <f ca="1">IF(IFERROR(INDEX((COPIA!$DA$3:$DE$2300),MATCH(ROWS(E$8:E579),COPIA!$DF$3:$DF$2300,0),COLUMN()-1),"")=0,"",IFERROR(INDEX((COPIA!$DA$3:$DE$2300),MATCH(ROWS(E$8:E579),COPIA!$DF$3:$DF$2300,0),COLUMN()-1),""))</f>
        <v/>
      </c>
      <c r="F579" s="120" t="str">
        <f ca="1">IF(IFERROR(INDEX((COPIA!$DA$3:$DE$2300),MATCH(ROWS(F$8:F579),COPIA!$DF$3:$DF$2300,0),COLUMN()-1),"")=0,"",IFERROR(INDEX((COPIA!$DA$3:$DE$2300),MATCH(ROWS(F$8:F579),COPIA!$DF$3:$DF$2300,0),COLUMN()-1),""))</f>
        <v/>
      </c>
    </row>
    <row r="580" spans="2:6">
      <c r="B580" s="119" t="str">
        <f ca="1">IF(IFERROR(INDEX((COPIA!$DA$3:$DE$2300),MATCH(ROWS(B$8:B580),COPIA!$DF$3:$DF$2300,0),COLUMN()-1),"")&gt;=1,IFERROR(INDEX((COPIA!$DA$3:$DE$2300),MATCH(ROWS(B$8:B580),COPIA!$DF$3:$DF$2300,0),COLUMN()-1),""),"")</f>
        <v/>
      </c>
      <c r="C580" s="118" t="str">
        <f ca="1">SUBSTITUTE(IFERROR(INDEX((COPIA!$DA$3:$DE$2300),MATCH(ROWS(C$8:C580),COPIA!$DF$3:$DF$2300,0),COLUMN()-1),""),"MASTRO","")</f>
        <v/>
      </c>
      <c r="D580" s="29" t="str">
        <f ca="1">IF(IFERROR(INDEX((COPIA!$DA$3:$DE$2300),MATCH(ROWS(D$8:D580),COPIA!$DF$3:$DF$2300,0),COLUMN()-1),"")=0,"",IFERROR(INDEX((COPIA!$DA$3:$DE$2300),MATCH(ROWS(D$8:D580),COPIA!$DF$3:$DF$2300,0),COLUMN()-1),""))</f>
        <v/>
      </c>
      <c r="E580" s="45" t="str">
        <f ca="1">IF(IFERROR(INDEX((COPIA!$DA$3:$DE$2300),MATCH(ROWS(E$8:E580),COPIA!$DF$3:$DF$2300,0),COLUMN()-1),"")=0,"",IFERROR(INDEX((COPIA!$DA$3:$DE$2300),MATCH(ROWS(E$8:E580),COPIA!$DF$3:$DF$2300,0),COLUMN()-1),""))</f>
        <v/>
      </c>
      <c r="F580" s="120" t="str">
        <f ca="1">IF(IFERROR(INDEX((COPIA!$DA$3:$DE$2300),MATCH(ROWS(F$8:F580),COPIA!$DF$3:$DF$2300,0),COLUMN()-1),"")=0,"",IFERROR(INDEX((COPIA!$DA$3:$DE$2300),MATCH(ROWS(F$8:F580),COPIA!$DF$3:$DF$2300,0),COLUMN()-1),""))</f>
        <v/>
      </c>
    </row>
    <row r="581" spans="2:6">
      <c r="B581" s="119" t="str">
        <f ca="1">IF(IFERROR(INDEX((COPIA!$DA$3:$DE$2300),MATCH(ROWS(B$8:B581),COPIA!$DF$3:$DF$2300,0),COLUMN()-1),"")&gt;=1,IFERROR(INDEX((COPIA!$DA$3:$DE$2300),MATCH(ROWS(B$8:B581),COPIA!$DF$3:$DF$2300,0),COLUMN()-1),""),"")</f>
        <v/>
      </c>
      <c r="C581" s="118" t="str">
        <f ca="1">SUBSTITUTE(IFERROR(INDEX((COPIA!$DA$3:$DE$2300),MATCH(ROWS(C$8:C581),COPIA!$DF$3:$DF$2300,0),COLUMN()-1),""),"MASTRO","")</f>
        <v/>
      </c>
      <c r="D581" s="29" t="str">
        <f ca="1">IF(IFERROR(INDEX((COPIA!$DA$3:$DE$2300),MATCH(ROWS(D$8:D581),COPIA!$DF$3:$DF$2300,0),COLUMN()-1),"")=0,"",IFERROR(INDEX((COPIA!$DA$3:$DE$2300),MATCH(ROWS(D$8:D581),COPIA!$DF$3:$DF$2300,0),COLUMN()-1),""))</f>
        <v/>
      </c>
      <c r="E581" s="45" t="str">
        <f ca="1">IF(IFERROR(INDEX((COPIA!$DA$3:$DE$2300),MATCH(ROWS(E$8:E581),COPIA!$DF$3:$DF$2300,0),COLUMN()-1),"")=0,"",IFERROR(INDEX((COPIA!$DA$3:$DE$2300),MATCH(ROWS(E$8:E581),COPIA!$DF$3:$DF$2300,0),COLUMN()-1),""))</f>
        <v/>
      </c>
      <c r="F581" s="120" t="str">
        <f ca="1">IF(IFERROR(INDEX((COPIA!$DA$3:$DE$2300),MATCH(ROWS(F$8:F581),COPIA!$DF$3:$DF$2300,0),COLUMN()-1),"")=0,"",IFERROR(INDEX((COPIA!$DA$3:$DE$2300),MATCH(ROWS(F$8:F581),COPIA!$DF$3:$DF$2300,0),COLUMN()-1),""))</f>
        <v/>
      </c>
    </row>
    <row r="582" spans="2:6">
      <c r="B582" s="119" t="str">
        <f ca="1">IF(IFERROR(INDEX((COPIA!$DA$3:$DE$2300),MATCH(ROWS(B$8:B582),COPIA!$DF$3:$DF$2300,0),COLUMN()-1),"")&gt;=1,IFERROR(INDEX((COPIA!$DA$3:$DE$2300),MATCH(ROWS(B$8:B582),COPIA!$DF$3:$DF$2300,0),COLUMN()-1),""),"")</f>
        <v/>
      </c>
      <c r="C582" s="118" t="str">
        <f ca="1">SUBSTITUTE(IFERROR(INDEX((COPIA!$DA$3:$DE$2300),MATCH(ROWS(C$8:C582),COPIA!$DF$3:$DF$2300,0),COLUMN()-1),""),"MASTRO","")</f>
        <v/>
      </c>
      <c r="D582" s="29" t="str">
        <f ca="1">IF(IFERROR(INDEX((COPIA!$DA$3:$DE$2300),MATCH(ROWS(D$8:D582),COPIA!$DF$3:$DF$2300,0),COLUMN()-1),"")=0,"",IFERROR(INDEX((COPIA!$DA$3:$DE$2300),MATCH(ROWS(D$8:D582),COPIA!$DF$3:$DF$2300,0),COLUMN()-1),""))</f>
        <v/>
      </c>
      <c r="E582" s="45" t="str">
        <f ca="1">IF(IFERROR(INDEX((COPIA!$DA$3:$DE$2300),MATCH(ROWS(E$8:E582),COPIA!$DF$3:$DF$2300,0),COLUMN()-1),"")=0,"",IFERROR(INDEX((COPIA!$DA$3:$DE$2300),MATCH(ROWS(E$8:E582),COPIA!$DF$3:$DF$2300,0),COLUMN()-1),""))</f>
        <v/>
      </c>
      <c r="F582" s="120" t="str">
        <f ca="1">IF(IFERROR(INDEX((COPIA!$DA$3:$DE$2300),MATCH(ROWS(F$8:F582),COPIA!$DF$3:$DF$2300,0),COLUMN()-1),"")=0,"",IFERROR(INDEX((COPIA!$DA$3:$DE$2300),MATCH(ROWS(F$8:F582),COPIA!$DF$3:$DF$2300,0),COLUMN()-1),""))</f>
        <v/>
      </c>
    </row>
    <row r="583" spans="2:6">
      <c r="B583" s="119" t="str">
        <f ca="1">IF(IFERROR(INDEX((COPIA!$DA$3:$DE$2300),MATCH(ROWS(B$8:B583),COPIA!$DF$3:$DF$2300,0),COLUMN()-1),"")&gt;=1,IFERROR(INDEX((COPIA!$DA$3:$DE$2300),MATCH(ROWS(B$8:B583),COPIA!$DF$3:$DF$2300,0),COLUMN()-1),""),"")</f>
        <v/>
      </c>
      <c r="C583" s="118" t="str">
        <f ca="1">SUBSTITUTE(IFERROR(INDEX((COPIA!$DA$3:$DE$2300),MATCH(ROWS(C$8:C583),COPIA!$DF$3:$DF$2300,0),COLUMN()-1),""),"MASTRO","")</f>
        <v/>
      </c>
      <c r="D583" s="29" t="str">
        <f ca="1">IF(IFERROR(INDEX((COPIA!$DA$3:$DE$2300),MATCH(ROWS(D$8:D583),COPIA!$DF$3:$DF$2300,0),COLUMN()-1),"")=0,"",IFERROR(INDEX((COPIA!$DA$3:$DE$2300),MATCH(ROWS(D$8:D583),COPIA!$DF$3:$DF$2300,0),COLUMN()-1),""))</f>
        <v/>
      </c>
      <c r="E583" s="45" t="str">
        <f ca="1">IF(IFERROR(INDEX((COPIA!$DA$3:$DE$2300),MATCH(ROWS(E$8:E583),COPIA!$DF$3:$DF$2300,0),COLUMN()-1),"")=0,"",IFERROR(INDEX((COPIA!$DA$3:$DE$2300),MATCH(ROWS(E$8:E583),COPIA!$DF$3:$DF$2300,0),COLUMN()-1),""))</f>
        <v/>
      </c>
      <c r="F583" s="120" t="str">
        <f ca="1">IF(IFERROR(INDEX((COPIA!$DA$3:$DE$2300),MATCH(ROWS(F$8:F583),COPIA!$DF$3:$DF$2300,0),COLUMN()-1),"")=0,"",IFERROR(INDEX((COPIA!$DA$3:$DE$2300),MATCH(ROWS(F$8:F583),COPIA!$DF$3:$DF$2300,0),COLUMN()-1),""))</f>
        <v/>
      </c>
    </row>
    <row r="584" spans="2:6">
      <c r="B584" s="119" t="str">
        <f ca="1">IF(IFERROR(INDEX((COPIA!$DA$3:$DE$2300),MATCH(ROWS(B$8:B584),COPIA!$DF$3:$DF$2300,0),COLUMN()-1),"")&gt;=1,IFERROR(INDEX((COPIA!$DA$3:$DE$2300),MATCH(ROWS(B$8:B584),COPIA!$DF$3:$DF$2300,0),COLUMN()-1),""),"")</f>
        <v/>
      </c>
      <c r="C584" s="118" t="str">
        <f ca="1">SUBSTITUTE(IFERROR(INDEX((COPIA!$DA$3:$DE$2300),MATCH(ROWS(C$8:C584),COPIA!$DF$3:$DF$2300,0),COLUMN()-1),""),"MASTRO","")</f>
        <v/>
      </c>
      <c r="D584" s="29" t="str">
        <f ca="1">IF(IFERROR(INDEX((COPIA!$DA$3:$DE$2300),MATCH(ROWS(D$8:D584),COPIA!$DF$3:$DF$2300,0),COLUMN()-1),"")=0,"",IFERROR(INDEX((COPIA!$DA$3:$DE$2300),MATCH(ROWS(D$8:D584),COPIA!$DF$3:$DF$2300,0),COLUMN()-1),""))</f>
        <v/>
      </c>
      <c r="E584" s="45" t="str">
        <f ca="1">IF(IFERROR(INDEX((COPIA!$DA$3:$DE$2300),MATCH(ROWS(E$8:E584),COPIA!$DF$3:$DF$2300,0),COLUMN()-1),"")=0,"",IFERROR(INDEX((COPIA!$DA$3:$DE$2300),MATCH(ROWS(E$8:E584),COPIA!$DF$3:$DF$2300,0),COLUMN()-1),""))</f>
        <v/>
      </c>
      <c r="F584" s="120" t="str">
        <f ca="1">IF(IFERROR(INDEX((COPIA!$DA$3:$DE$2300),MATCH(ROWS(F$8:F584),COPIA!$DF$3:$DF$2300,0),COLUMN()-1),"")=0,"",IFERROR(INDEX((COPIA!$DA$3:$DE$2300),MATCH(ROWS(F$8:F584),COPIA!$DF$3:$DF$2300,0),COLUMN()-1),""))</f>
        <v/>
      </c>
    </row>
    <row r="585" spans="2:6">
      <c r="B585" s="119" t="str">
        <f ca="1">IF(IFERROR(INDEX((COPIA!$DA$3:$DE$2300),MATCH(ROWS(B$8:B585),COPIA!$DF$3:$DF$2300,0),COLUMN()-1),"")&gt;=1,IFERROR(INDEX((COPIA!$DA$3:$DE$2300),MATCH(ROWS(B$8:B585),COPIA!$DF$3:$DF$2300,0),COLUMN()-1),""),"")</f>
        <v/>
      </c>
      <c r="C585" s="118" t="str">
        <f ca="1">SUBSTITUTE(IFERROR(INDEX((COPIA!$DA$3:$DE$2300),MATCH(ROWS(C$8:C585),COPIA!$DF$3:$DF$2300,0),COLUMN()-1),""),"MASTRO","")</f>
        <v/>
      </c>
      <c r="D585" s="29" t="str">
        <f ca="1">IF(IFERROR(INDEX((COPIA!$DA$3:$DE$2300),MATCH(ROWS(D$8:D585),COPIA!$DF$3:$DF$2300,0),COLUMN()-1),"")=0,"",IFERROR(INDEX((COPIA!$DA$3:$DE$2300),MATCH(ROWS(D$8:D585),COPIA!$DF$3:$DF$2300,0),COLUMN()-1),""))</f>
        <v/>
      </c>
      <c r="E585" s="45" t="str">
        <f ca="1">IF(IFERROR(INDEX((COPIA!$DA$3:$DE$2300),MATCH(ROWS(E$8:E585),COPIA!$DF$3:$DF$2300,0),COLUMN()-1),"")=0,"",IFERROR(INDEX((COPIA!$DA$3:$DE$2300),MATCH(ROWS(E$8:E585),COPIA!$DF$3:$DF$2300,0),COLUMN()-1),""))</f>
        <v/>
      </c>
      <c r="F585" s="120" t="str">
        <f ca="1">IF(IFERROR(INDEX((COPIA!$DA$3:$DE$2300),MATCH(ROWS(F$8:F585),COPIA!$DF$3:$DF$2300,0),COLUMN()-1),"")=0,"",IFERROR(INDEX((COPIA!$DA$3:$DE$2300),MATCH(ROWS(F$8:F585),COPIA!$DF$3:$DF$2300,0),COLUMN()-1),""))</f>
        <v/>
      </c>
    </row>
    <row r="586" spans="2:6">
      <c r="B586" s="119" t="str">
        <f ca="1">IF(IFERROR(INDEX((COPIA!$DA$3:$DE$2300),MATCH(ROWS(B$8:B586),COPIA!$DF$3:$DF$2300,0),COLUMN()-1),"")&gt;=1,IFERROR(INDEX((COPIA!$DA$3:$DE$2300),MATCH(ROWS(B$8:B586),COPIA!$DF$3:$DF$2300,0),COLUMN()-1),""),"")</f>
        <v/>
      </c>
      <c r="C586" s="118" t="str">
        <f ca="1">SUBSTITUTE(IFERROR(INDEX((COPIA!$DA$3:$DE$2300),MATCH(ROWS(C$8:C586),COPIA!$DF$3:$DF$2300,0),COLUMN()-1),""),"MASTRO","")</f>
        <v/>
      </c>
      <c r="D586" s="29" t="str">
        <f ca="1">IF(IFERROR(INDEX((COPIA!$DA$3:$DE$2300),MATCH(ROWS(D$8:D586),COPIA!$DF$3:$DF$2300,0),COLUMN()-1),"")=0,"",IFERROR(INDEX((COPIA!$DA$3:$DE$2300),MATCH(ROWS(D$8:D586),COPIA!$DF$3:$DF$2300,0),COLUMN()-1),""))</f>
        <v/>
      </c>
      <c r="E586" s="45" t="str">
        <f ca="1">IF(IFERROR(INDEX((COPIA!$DA$3:$DE$2300),MATCH(ROWS(E$8:E586),COPIA!$DF$3:$DF$2300,0),COLUMN()-1),"")=0,"",IFERROR(INDEX((COPIA!$DA$3:$DE$2300),MATCH(ROWS(E$8:E586),COPIA!$DF$3:$DF$2300,0),COLUMN()-1),""))</f>
        <v/>
      </c>
      <c r="F586" s="120" t="str">
        <f ca="1">IF(IFERROR(INDEX((COPIA!$DA$3:$DE$2300),MATCH(ROWS(F$8:F586),COPIA!$DF$3:$DF$2300,0),COLUMN()-1),"")=0,"",IFERROR(INDEX((COPIA!$DA$3:$DE$2300),MATCH(ROWS(F$8:F586),COPIA!$DF$3:$DF$2300,0),COLUMN()-1),""))</f>
        <v/>
      </c>
    </row>
    <row r="587" spans="2:6">
      <c r="B587" s="119" t="str">
        <f ca="1">IF(IFERROR(INDEX((COPIA!$DA$3:$DE$2300),MATCH(ROWS(B$8:B587),COPIA!$DF$3:$DF$2300,0),COLUMN()-1),"")&gt;=1,IFERROR(INDEX((COPIA!$DA$3:$DE$2300),MATCH(ROWS(B$8:B587),COPIA!$DF$3:$DF$2300,0),COLUMN()-1),""),"")</f>
        <v/>
      </c>
      <c r="C587" s="118" t="str">
        <f ca="1">SUBSTITUTE(IFERROR(INDEX((COPIA!$DA$3:$DE$2300),MATCH(ROWS(C$8:C587),COPIA!$DF$3:$DF$2300,0),COLUMN()-1),""),"MASTRO","")</f>
        <v/>
      </c>
      <c r="D587" s="29" t="str">
        <f ca="1">IF(IFERROR(INDEX((COPIA!$DA$3:$DE$2300),MATCH(ROWS(D$8:D587),COPIA!$DF$3:$DF$2300,0),COLUMN()-1),"")=0,"",IFERROR(INDEX((COPIA!$DA$3:$DE$2300),MATCH(ROWS(D$8:D587),COPIA!$DF$3:$DF$2300,0),COLUMN()-1),""))</f>
        <v/>
      </c>
      <c r="E587" s="45" t="str">
        <f ca="1">IF(IFERROR(INDEX((COPIA!$DA$3:$DE$2300),MATCH(ROWS(E$8:E587),COPIA!$DF$3:$DF$2300,0),COLUMN()-1),"")=0,"",IFERROR(INDEX((COPIA!$DA$3:$DE$2300),MATCH(ROWS(E$8:E587),COPIA!$DF$3:$DF$2300,0),COLUMN()-1),""))</f>
        <v/>
      </c>
      <c r="F587" s="120" t="str">
        <f ca="1">IF(IFERROR(INDEX((COPIA!$DA$3:$DE$2300),MATCH(ROWS(F$8:F587),COPIA!$DF$3:$DF$2300,0),COLUMN()-1),"")=0,"",IFERROR(INDEX((COPIA!$DA$3:$DE$2300),MATCH(ROWS(F$8:F587),COPIA!$DF$3:$DF$2300,0),COLUMN()-1),""))</f>
        <v/>
      </c>
    </row>
    <row r="588" spans="2:6">
      <c r="B588" s="119" t="str">
        <f ca="1">IF(IFERROR(INDEX((COPIA!$DA$3:$DE$2300),MATCH(ROWS(B$8:B588),COPIA!$DF$3:$DF$2300,0),COLUMN()-1),"")&gt;=1,IFERROR(INDEX((COPIA!$DA$3:$DE$2300),MATCH(ROWS(B$8:B588),COPIA!$DF$3:$DF$2300,0),COLUMN()-1),""),"")</f>
        <v/>
      </c>
      <c r="C588" s="118" t="str">
        <f ca="1">SUBSTITUTE(IFERROR(INDEX((COPIA!$DA$3:$DE$2300),MATCH(ROWS(C$8:C588),COPIA!$DF$3:$DF$2300,0),COLUMN()-1),""),"MASTRO","")</f>
        <v/>
      </c>
      <c r="D588" s="29" t="str">
        <f ca="1">IF(IFERROR(INDEX((COPIA!$DA$3:$DE$2300),MATCH(ROWS(D$8:D588),COPIA!$DF$3:$DF$2300,0),COLUMN()-1),"")=0,"",IFERROR(INDEX((COPIA!$DA$3:$DE$2300),MATCH(ROWS(D$8:D588),COPIA!$DF$3:$DF$2300,0),COLUMN()-1),""))</f>
        <v/>
      </c>
      <c r="E588" s="45" t="str">
        <f ca="1">IF(IFERROR(INDEX((COPIA!$DA$3:$DE$2300),MATCH(ROWS(E$8:E588),COPIA!$DF$3:$DF$2300,0),COLUMN()-1),"")=0,"",IFERROR(INDEX((COPIA!$DA$3:$DE$2300),MATCH(ROWS(E$8:E588),COPIA!$DF$3:$DF$2300,0),COLUMN()-1),""))</f>
        <v/>
      </c>
      <c r="F588" s="120" t="str">
        <f ca="1">IF(IFERROR(INDEX((COPIA!$DA$3:$DE$2300),MATCH(ROWS(F$8:F588),COPIA!$DF$3:$DF$2300,0),COLUMN()-1),"")=0,"",IFERROR(INDEX((COPIA!$DA$3:$DE$2300),MATCH(ROWS(F$8:F588),COPIA!$DF$3:$DF$2300,0),COLUMN()-1),""))</f>
        <v/>
      </c>
    </row>
    <row r="589" spans="2:6">
      <c r="B589" s="119" t="str">
        <f ca="1">IF(IFERROR(INDEX((COPIA!$DA$3:$DE$2300),MATCH(ROWS(B$8:B589),COPIA!$DF$3:$DF$2300,0),COLUMN()-1),"")&gt;=1,IFERROR(INDEX((COPIA!$DA$3:$DE$2300),MATCH(ROWS(B$8:B589),COPIA!$DF$3:$DF$2300,0),COLUMN()-1),""),"")</f>
        <v/>
      </c>
      <c r="C589" s="118" t="str">
        <f ca="1">SUBSTITUTE(IFERROR(INDEX((COPIA!$DA$3:$DE$2300),MATCH(ROWS(C$8:C589),COPIA!$DF$3:$DF$2300,0),COLUMN()-1),""),"MASTRO","")</f>
        <v/>
      </c>
      <c r="D589" s="29" t="str">
        <f ca="1">IF(IFERROR(INDEX((COPIA!$DA$3:$DE$2300),MATCH(ROWS(D$8:D589),COPIA!$DF$3:$DF$2300,0),COLUMN()-1),"")=0,"",IFERROR(INDEX((COPIA!$DA$3:$DE$2300),MATCH(ROWS(D$8:D589),COPIA!$DF$3:$DF$2300,0),COLUMN()-1),""))</f>
        <v/>
      </c>
      <c r="E589" s="45" t="str">
        <f ca="1">IF(IFERROR(INDEX((COPIA!$DA$3:$DE$2300),MATCH(ROWS(E$8:E589),COPIA!$DF$3:$DF$2300,0),COLUMN()-1),"")=0,"",IFERROR(INDEX((COPIA!$DA$3:$DE$2300),MATCH(ROWS(E$8:E589),COPIA!$DF$3:$DF$2300,0),COLUMN()-1),""))</f>
        <v/>
      </c>
      <c r="F589" s="120" t="str">
        <f ca="1">IF(IFERROR(INDEX((COPIA!$DA$3:$DE$2300),MATCH(ROWS(F$8:F589),COPIA!$DF$3:$DF$2300,0),COLUMN()-1),"")=0,"",IFERROR(INDEX((COPIA!$DA$3:$DE$2300),MATCH(ROWS(F$8:F589),COPIA!$DF$3:$DF$2300,0),COLUMN()-1),""))</f>
        <v/>
      </c>
    </row>
    <row r="590" spans="2:6">
      <c r="B590" s="119" t="str">
        <f ca="1">IF(IFERROR(INDEX((COPIA!$DA$3:$DE$2300),MATCH(ROWS(B$8:B590),COPIA!$DF$3:$DF$2300,0),COLUMN()-1),"")&gt;=1,IFERROR(INDEX((COPIA!$DA$3:$DE$2300),MATCH(ROWS(B$8:B590),COPIA!$DF$3:$DF$2300,0),COLUMN()-1),""),"")</f>
        <v/>
      </c>
      <c r="C590" s="118" t="str">
        <f ca="1">SUBSTITUTE(IFERROR(INDEX((COPIA!$DA$3:$DE$2300),MATCH(ROWS(C$8:C590),COPIA!$DF$3:$DF$2300,0),COLUMN()-1),""),"MASTRO","")</f>
        <v/>
      </c>
      <c r="D590" s="29" t="str">
        <f ca="1">IF(IFERROR(INDEX((COPIA!$DA$3:$DE$2300),MATCH(ROWS(D$8:D590),COPIA!$DF$3:$DF$2300,0),COLUMN()-1),"")=0,"",IFERROR(INDEX((COPIA!$DA$3:$DE$2300),MATCH(ROWS(D$8:D590),COPIA!$DF$3:$DF$2300,0),COLUMN()-1),""))</f>
        <v/>
      </c>
      <c r="E590" s="45" t="str">
        <f ca="1">IF(IFERROR(INDEX((COPIA!$DA$3:$DE$2300),MATCH(ROWS(E$8:E590),COPIA!$DF$3:$DF$2300,0),COLUMN()-1),"")=0,"",IFERROR(INDEX((COPIA!$DA$3:$DE$2300),MATCH(ROWS(E$8:E590),COPIA!$DF$3:$DF$2300,0),COLUMN()-1),""))</f>
        <v/>
      </c>
      <c r="F590" s="120" t="str">
        <f ca="1">IF(IFERROR(INDEX((COPIA!$DA$3:$DE$2300),MATCH(ROWS(F$8:F590),COPIA!$DF$3:$DF$2300,0),COLUMN()-1),"")=0,"",IFERROR(INDEX((COPIA!$DA$3:$DE$2300),MATCH(ROWS(F$8:F590),COPIA!$DF$3:$DF$2300,0),COLUMN()-1),""))</f>
        <v/>
      </c>
    </row>
    <row r="591" spans="2:6">
      <c r="B591" s="119" t="str">
        <f ca="1">IF(IFERROR(INDEX((COPIA!$DA$3:$DE$2300),MATCH(ROWS(B$8:B591),COPIA!$DF$3:$DF$2300,0),COLUMN()-1),"")&gt;=1,IFERROR(INDEX((COPIA!$DA$3:$DE$2300),MATCH(ROWS(B$8:B591),COPIA!$DF$3:$DF$2300,0),COLUMN()-1),""),"")</f>
        <v/>
      </c>
      <c r="C591" s="118" t="str">
        <f ca="1">SUBSTITUTE(IFERROR(INDEX((COPIA!$DA$3:$DE$2300),MATCH(ROWS(C$8:C591),COPIA!$DF$3:$DF$2300,0),COLUMN()-1),""),"MASTRO","")</f>
        <v/>
      </c>
      <c r="D591" s="29" t="str">
        <f ca="1">IF(IFERROR(INDEX((COPIA!$DA$3:$DE$2300),MATCH(ROWS(D$8:D591),COPIA!$DF$3:$DF$2300,0),COLUMN()-1),"")=0,"",IFERROR(INDEX((COPIA!$DA$3:$DE$2300),MATCH(ROWS(D$8:D591),COPIA!$DF$3:$DF$2300,0),COLUMN()-1),""))</f>
        <v/>
      </c>
      <c r="E591" s="45" t="str">
        <f ca="1">IF(IFERROR(INDEX((COPIA!$DA$3:$DE$2300),MATCH(ROWS(E$8:E591),COPIA!$DF$3:$DF$2300,0),COLUMN()-1),"")=0,"",IFERROR(INDEX((COPIA!$DA$3:$DE$2300),MATCH(ROWS(E$8:E591),COPIA!$DF$3:$DF$2300,0),COLUMN()-1),""))</f>
        <v/>
      </c>
      <c r="F591" s="120" t="str">
        <f ca="1">IF(IFERROR(INDEX((COPIA!$DA$3:$DE$2300),MATCH(ROWS(F$8:F591),COPIA!$DF$3:$DF$2300,0),COLUMN()-1),"")=0,"",IFERROR(INDEX((COPIA!$DA$3:$DE$2300),MATCH(ROWS(F$8:F591),COPIA!$DF$3:$DF$2300,0),COLUMN()-1),""))</f>
        <v/>
      </c>
    </row>
    <row r="592" spans="2:6">
      <c r="B592" s="119" t="str">
        <f ca="1">IF(IFERROR(INDEX((COPIA!$DA$3:$DE$2300),MATCH(ROWS(B$8:B592),COPIA!$DF$3:$DF$2300,0),COLUMN()-1),"")&gt;=1,IFERROR(INDEX((COPIA!$DA$3:$DE$2300),MATCH(ROWS(B$8:B592),COPIA!$DF$3:$DF$2300,0),COLUMN()-1),""),"")</f>
        <v/>
      </c>
      <c r="C592" s="118" t="str">
        <f ca="1">SUBSTITUTE(IFERROR(INDEX((COPIA!$DA$3:$DE$2300),MATCH(ROWS(C$8:C592),COPIA!$DF$3:$DF$2300,0),COLUMN()-1),""),"MASTRO","")</f>
        <v/>
      </c>
      <c r="D592" s="29" t="str">
        <f ca="1">IF(IFERROR(INDEX((COPIA!$DA$3:$DE$2300),MATCH(ROWS(D$8:D592),COPIA!$DF$3:$DF$2300,0),COLUMN()-1),"")=0,"",IFERROR(INDEX((COPIA!$DA$3:$DE$2300),MATCH(ROWS(D$8:D592),COPIA!$DF$3:$DF$2300,0),COLUMN()-1),""))</f>
        <v/>
      </c>
      <c r="E592" s="45" t="str">
        <f ca="1">IF(IFERROR(INDEX((COPIA!$DA$3:$DE$2300),MATCH(ROWS(E$8:E592),COPIA!$DF$3:$DF$2300,0),COLUMN()-1),"")=0,"",IFERROR(INDEX((COPIA!$DA$3:$DE$2300),MATCH(ROWS(E$8:E592),COPIA!$DF$3:$DF$2300,0),COLUMN()-1),""))</f>
        <v/>
      </c>
      <c r="F592" s="120" t="str">
        <f ca="1">IF(IFERROR(INDEX((COPIA!$DA$3:$DE$2300),MATCH(ROWS(F$8:F592),COPIA!$DF$3:$DF$2300,0),COLUMN()-1),"")=0,"",IFERROR(INDEX((COPIA!$DA$3:$DE$2300),MATCH(ROWS(F$8:F592),COPIA!$DF$3:$DF$2300,0),COLUMN()-1),""))</f>
        <v/>
      </c>
    </row>
    <row r="593" spans="2:6">
      <c r="B593" s="119" t="str">
        <f ca="1">IF(IFERROR(INDEX((COPIA!$DA$3:$DE$2300),MATCH(ROWS(B$8:B593),COPIA!$DF$3:$DF$2300,0),COLUMN()-1),"")&gt;=1,IFERROR(INDEX((COPIA!$DA$3:$DE$2300),MATCH(ROWS(B$8:B593),COPIA!$DF$3:$DF$2300,0),COLUMN()-1),""),"")</f>
        <v/>
      </c>
      <c r="C593" s="118" t="str">
        <f ca="1">SUBSTITUTE(IFERROR(INDEX((COPIA!$DA$3:$DE$2300),MATCH(ROWS(C$8:C593),COPIA!$DF$3:$DF$2300,0),COLUMN()-1),""),"MASTRO","")</f>
        <v/>
      </c>
      <c r="D593" s="29" t="str">
        <f ca="1">IF(IFERROR(INDEX((COPIA!$DA$3:$DE$2300),MATCH(ROWS(D$8:D593),COPIA!$DF$3:$DF$2300,0),COLUMN()-1),"")=0,"",IFERROR(INDEX((COPIA!$DA$3:$DE$2300),MATCH(ROWS(D$8:D593),COPIA!$DF$3:$DF$2300,0),COLUMN()-1),""))</f>
        <v/>
      </c>
      <c r="E593" s="45" t="str">
        <f ca="1">IF(IFERROR(INDEX((COPIA!$DA$3:$DE$2300),MATCH(ROWS(E$8:E593),COPIA!$DF$3:$DF$2300,0),COLUMN()-1),"")=0,"",IFERROR(INDEX((COPIA!$DA$3:$DE$2300),MATCH(ROWS(E$8:E593),COPIA!$DF$3:$DF$2300,0),COLUMN()-1),""))</f>
        <v/>
      </c>
      <c r="F593" s="120" t="str">
        <f ca="1">IF(IFERROR(INDEX((COPIA!$DA$3:$DE$2300),MATCH(ROWS(F$8:F593),COPIA!$DF$3:$DF$2300,0),COLUMN()-1),"")=0,"",IFERROR(INDEX((COPIA!$DA$3:$DE$2300),MATCH(ROWS(F$8:F593),COPIA!$DF$3:$DF$2300,0),COLUMN()-1),""))</f>
        <v/>
      </c>
    </row>
    <row r="594" spans="2:6">
      <c r="B594" s="119" t="str">
        <f ca="1">IF(IFERROR(INDEX((COPIA!$DA$3:$DE$2300),MATCH(ROWS(B$8:B594),COPIA!$DF$3:$DF$2300,0),COLUMN()-1),"")&gt;=1,IFERROR(INDEX((COPIA!$DA$3:$DE$2300),MATCH(ROWS(B$8:B594),COPIA!$DF$3:$DF$2300,0),COLUMN()-1),""),"")</f>
        <v/>
      </c>
      <c r="C594" s="118" t="str">
        <f ca="1">SUBSTITUTE(IFERROR(INDEX((COPIA!$DA$3:$DE$2300),MATCH(ROWS(C$8:C594),COPIA!$DF$3:$DF$2300,0),COLUMN()-1),""),"MASTRO","")</f>
        <v/>
      </c>
      <c r="D594" s="29" t="str">
        <f ca="1">IF(IFERROR(INDEX((COPIA!$DA$3:$DE$2300),MATCH(ROWS(D$8:D594),COPIA!$DF$3:$DF$2300,0),COLUMN()-1),"")=0,"",IFERROR(INDEX((COPIA!$DA$3:$DE$2300),MATCH(ROWS(D$8:D594),COPIA!$DF$3:$DF$2300,0),COLUMN()-1),""))</f>
        <v/>
      </c>
      <c r="E594" s="45" t="str">
        <f ca="1">IF(IFERROR(INDEX((COPIA!$DA$3:$DE$2300),MATCH(ROWS(E$8:E594),COPIA!$DF$3:$DF$2300,0),COLUMN()-1),"")=0,"",IFERROR(INDEX((COPIA!$DA$3:$DE$2300),MATCH(ROWS(E$8:E594),COPIA!$DF$3:$DF$2300,0),COLUMN()-1),""))</f>
        <v/>
      </c>
      <c r="F594" s="120" t="str">
        <f ca="1">IF(IFERROR(INDEX((COPIA!$DA$3:$DE$2300),MATCH(ROWS(F$8:F594),COPIA!$DF$3:$DF$2300,0),COLUMN()-1),"")=0,"",IFERROR(INDEX((COPIA!$DA$3:$DE$2300),MATCH(ROWS(F$8:F594),COPIA!$DF$3:$DF$2300,0),COLUMN()-1),""))</f>
        <v/>
      </c>
    </row>
    <row r="595" spans="2:6">
      <c r="B595" s="119" t="str">
        <f ca="1">IF(IFERROR(INDEX((COPIA!$DA$3:$DE$2300),MATCH(ROWS(B$8:B595),COPIA!$DF$3:$DF$2300,0),COLUMN()-1),"")&gt;=1,IFERROR(INDEX((COPIA!$DA$3:$DE$2300),MATCH(ROWS(B$8:B595),COPIA!$DF$3:$DF$2300,0),COLUMN()-1),""),"")</f>
        <v/>
      </c>
      <c r="C595" s="118" t="str">
        <f ca="1">SUBSTITUTE(IFERROR(INDEX((COPIA!$DA$3:$DE$2300),MATCH(ROWS(C$8:C595),COPIA!$DF$3:$DF$2300,0),COLUMN()-1),""),"MASTRO","")</f>
        <v/>
      </c>
      <c r="D595" s="29" t="str">
        <f ca="1">IF(IFERROR(INDEX((COPIA!$DA$3:$DE$2300),MATCH(ROWS(D$8:D595),COPIA!$DF$3:$DF$2300,0),COLUMN()-1),"")=0,"",IFERROR(INDEX((COPIA!$DA$3:$DE$2300),MATCH(ROWS(D$8:D595),COPIA!$DF$3:$DF$2300,0),COLUMN()-1),""))</f>
        <v/>
      </c>
      <c r="E595" s="45" t="str">
        <f ca="1">IF(IFERROR(INDEX((COPIA!$DA$3:$DE$2300),MATCH(ROWS(E$8:E595),COPIA!$DF$3:$DF$2300,0),COLUMN()-1),"")=0,"",IFERROR(INDEX((COPIA!$DA$3:$DE$2300),MATCH(ROWS(E$8:E595),COPIA!$DF$3:$DF$2300,0),COLUMN()-1),""))</f>
        <v/>
      </c>
      <c r="F595" s="120" t="str">
        <f ca="1">IF(IFERROR(INDEX((COPIA!$DA$3:$DE$2300),MATCH(ROWS(F$8:F595),COPIA!$DF$3:$DF$2300,0),COLUMN()-1),"")=0,"",IFERROR(INDEX((COPIA!$DA$3:$DE$2300),MATCH(ROWS(F$8:F595),COPIA!$DF$3:$DF$2300,0),COLUMN()-1),""))</f>
        <v/>
      </c>
    </row>
    <row r="596" spans="2:6">
      <c r="B596" s="119" t="str">
        <f ca="1">IF(IFERROR(INDEX((COPIA!$DA$3:$DE$2300),MATCH(ROWS(B$8:B596),COPIA!$DF$3:$DF$2300,0),COLUMN()-1),"")&gt;=1,IFERROR(INDEX((COPIA!$DA$3:$DE$2300),MATCH(ROWS(B$8:B596),COPIA!$DF$3:$DF$2300,0),COLUMN()-1),""),"")</f>
        <v/>
      </c>
      <c r="C596" s="118" t="str">
        <f ca="1">SUBSTITUTE(IFERROR(INDEX((COPIA!$DA$3:$DE$2300),MATCH(ROWS(C$8:C596),COPIA!$DF$3:$DF$2300,0),COLUMN()-1),""),"MASTRO","")</f>
        <v/>
      </c>
      <c r="D596" s="29" t="str">
        <f ca="1">IF(IFERROR(INDEX((COPIA!$DA$3:$DE$2300),MATCH(ROWS(D$8:D596),COPIA!$DF$3:$DF$2300,0),COLUMN()-1),"")=0,"",IFERROR(INDEX((COPIA!$DA$3:$DE$2300),MATCH(ROWS(D$8:D596),COPIA!$DF$3:$DF$2300,0),COLUMN()-1),""))</f>
        <v/>
      </c>
      <c r="E596" s="45" t="str">
        <f ca="1">IF(IFERROR(INDEX((COPIA!$DA$3:$DE$2300),MATCH(ROWS(E$8:E596),COPIA!$DF$3:$DF$2300,0),COLUMN()-1),"")=0,"",IFERROR(INDEX((COPIA!$DA$3:$DE$2300),MATCH(ROWS(E$8:E596),COPIA!$DF$3:$DF$2300,0),COLUMN()-1),""))</f>
        <v/>
      </c>
      <c r="F596" s="120" t="str">
        <f ca="1">IF(IFERROR(INDEX((COPIA!$DA$3:$DE$2300),MATCH(ROWS(F$8:F596),COPIA!$DF$3:$DF$2300,0),COLUMN()-1),"")=0,"",IFERROR(INDEX((COPIA!$DA$3:$DE$2300),MATCH(ROWS(F$8:F596),COPIA!$DF$3:$DF$2300,0),COLUMN()-1),""))</f>
        <v/>
      </c>
    </row>
    <row r="597" spans="2:6">
      <c r="B597" s="119" t="str">
        <f ca="1">IF(IFERROR(INDEX((COPIA!$DA$3:$DE$2300),MATCH(ROWS(B$8:B597),COPIA!$DF$3:$DF$2300,0),COLUMN()-1),"")&gt;=1,IFERROR(INDEX((COPIA!$DA$3:$DE$2300),MATCH(ROWS(B$8:B597),COPIA!$DF$3:$DF$2300,0),COLUMN()-1),""),"")</f>
        <v/>
      </c>
      <c r="C597" s="118" t="str">
        <f ca="1">SUBSTITUTE(IFERROR(INDEX((COPIA!$DA$3:$DE$2300),MATCH(ROWS(C$8:C597),COPIA!$DF$3:$DF$2300,0),COLUMN()-1),""),"MASTRO","")</f>
        <v/>
      </c>
      <c r="D597" s="29" t="str">
        <f ca="1">IF(IFERROR(INDEX((COPIA!$DA$3:$DE$2300),MATCH(ROWS(D$8:D597),COPIA!$DF$3:$DF$2300,0),COLUMN()-1),"")=0,"",IFERROR(INDEX((COPIA!$DA$3:$DE$2300),MATCH(ROWS(D$8:D597),COPIA!$DF$3:$DF$2300,0),COLUMN()-1),""))</f>
        <v/>
      </c>
      <c r="E597" s="45" t="str">
        <f ca="1">IF(IFERROR(INDEX((COPIA!$DA$3:$DE$2300),MATCH(ROWS(E$8:E597),COPIA!$DF$3:$DF$2300,0),COLUMN()-1),"")=0,"",IFERROR(INDEX((COPIA!$DA$3:$DE$2300),MATCH(ROWS(E$8:E597),COPIA!$DF$3:$DF$2300,0),COLUMN()-1),""))</f>
        <v/>
      </c>
      <c r="F597" s="120" t="str">
        <f ca="1">IF(IFERROR(INDEX((COPIA!$DA$3:$DE$2300),MATCH(ROWS(F$8:F597),COPIA!$DF$3:$DF$2300,0),COLUMN()-1),"")=0,"",IFERROR(INDEX((COPIA!$DA$3:$DE$2300),MATCH(ROWS(F$8:F597),COPIA!$DF$3:$DF$2300,0),COLUMN()-1),""))</f>
        <v/>
      </c>
    </row>
    <row r="598" spans="2:6">
      <c r="B598" s="119" t="str">
        <f ca="1">IF(IFERROR(INDEX((COPIA!$DA$3:$DE$2300),MATCH(ROWS(B$8:B598),COPIA!$DF$3:$DF$2300,0),COLUMN()-1),"")&gt;=1,IFERROR(INDEX((COPIA!$DA$3:$DE$2300),MATCH(ROWS(B$8:B598),COPIA!$DF$3:$DF$2300,0),COLUMN()-1),""),"")</f>
        <v/>
      </c>
      <c r="C598" s="118" t="str">
        <f ca="1">SUBSTITUTE(IFERROR(INDEX((COPIA!$DA$3:$DE$2300),MATCH(ROWS(C$8:C598),COPIA!$DF$3:$DF$2300,0),COLUMN()-1),""),"MASTRO","")</f>
        <v/>
      </c>
      <c r="D598" s="29" t="str">
        <f ca="1">IF(IFERROR(INDEX((COPIA!$DA$3:$DE$2300),MATCH(ROWS(D$8:D598),COPIA!$DF$3:$DF$2300,0),COLUMN()-1),"")=0,"",IFERROR(INDEX((COPIA!$DA$3:$DE$2300),MATCH(ROWS(D$8:D598),COPIA!$DF$3:$DF$2300,0),COLUMN()-1),""))</f>
        <v/>
      </c>
      <c r="E598" s="45" t="str">
        <f ca="1">IF(IFERROR(INDEX((COPIA!$DA$3:$DE$2300),MATCH(ROWS(E$8:E598),COPIA!$DF$3:$DF$2300,0),COLUMN()-1),"")=0,"",IFERROR(INDEX((COPIA!$DA$3:$DE$2300),MATCH(ROWS(E$8:E598),COPIA!$DF$3:$DF$2300,0),COLUMN()-1),""))</f>
        <v/>
      </c>
      <c r="F598" s="120" t="str">
        <f ca="1">IF(IFERROR(INDEX((COPIA!$DA$3:$DE$2300),MATCH(ROWS(F$8:F598),COPIA!$DF$3:$DF$2300,0),COLUMN()-1),"")=0,"",IFERROR(INDEX((COPIA!$DA$3:$DE$2300),MATCH(ROWS(F$8:F598),COPIA!$DF$3:$DF$2300,0),COLUMN()-1),""))</f>
        <v/>
      </c>
    </row>
    <row r="599" spans="2:6">
      <c r="B599" s="119" t="str">
        <f ca="1">IF(IFERROR(INDEX((COPIA!$DA$3:$DE$2300),MATCH(ROWS(B$8:B599),COPIA!$DF$3:$DF$2300,0),COLUMN()-1),"")&gt;=1,IFERROR(INDEX((COPIA!$DA$3:$DE$2300),MATCH(ROWS(B$8:B599),COPIA!$DF$3:$DF$2300,0),COLUMN()-1),""),"")</f>
        <v/>
      </c>
      <c r="C599" s="118" t="str">
        <f ca="1">SUBSTITUTE(IFERROR(INDEX((COPIA!$DA$3:$DE$2300),MATCH(ROWS(C$8:C599),COPIA!$DF$3:$DF$2300,0),COLUMN()-1),""),"MASTRO","")</f>
        <v/>
      </c>
      <c r="D599" s="29" t="str">
        <f ca="1">IF(IFERROR(INDEX((COPIA!$DA$3:$DE$2300),MATCH(ROWS(D$8:D599),COPIA!$DF$3:$DF$2300,0),COLUMN()-1),"")=0,"",IFERROR(INDEX((COPIA!$DA$3:$DE$2300),MATCH(ROWS(D$8:D599),COPIA!$DF$3:$DF$2300,0),COLUMN()-1),""))</f>
        <v/>
      </c>
      <c r="E599" s="45" t="str">
        <f ca="1">IF(IFERROR(INDEX((COPIA!$DA$3:$DE$2300),MATCH(ROWS(E$8:E599),COPIA!$DF$3:$DF$2300,0),COLUMN()-1),"")=0,"",IFERROR(INDEX((COPIA!$DA$3:$DE$2300),MATCH(ROWS(E$8:E599),COPIA!$DF$3:$DF$2300,0),COLUMN()-1),""))</f>
        <v/>
      </c>
      <c r="F599" s="120" t="str">
        <f ca="1">IF(IFERROR(INDEX((COPIA!$DA$3:$DE$2300),MATCH(ROWS(F$8:F599),COPIA!$DF$3:$DF$2300,0),COLUMN()-1),"")=0,"",IFERROR(INDEX((COPIA!$DA$3:$DE$2300),MATCH(ROWS(F$8:F599),COPIA!$DF$3:$DF$2300,0),COLUMN()-1),""))</f>
        <v/>
      </c>
    </row>
    <row r="600" spans="2:6">
      <c r="B600" s="119" t="str">
        <f ca="1">IF(IFERROR(INDEX((COPIA!$DA$3:$DE$2300),MATCH(ROWS(B$8:B600),COPIA!$DF$3:$DF$2300,0),COLUMN()-1),"")&gt;=1,IFERROR(INDEX((COPIA!$DA$3:$DE$2300),MATCH(ROWS(B$8:B600),COPIA!$DF$3:$DF$2300,0),COLUMN()-1),""),"")</f>
        <v/>
      </c>
      <c r="C600" s="118" t="str">
        <f ca="1">SUBSTITUTE(IFERROR(INDEX((COPIA!$DA$3:$DE$2300),MATCH(ROWS(C$8:C600),COPIA!$DF$3:$DF$2300,0),COLUMN()-1),""),"MASTRO","")</f>
        <v/>
      </c>
      <c r="D600" s="29" t="str">
        <f ca="1">IF(IFERROR(INDEX((COPIA!$DA$3:$DE$2300),MATCH(ROWS(D$8:D600),COPIA!$DF$3:$DF$2300,0),COLUMN()-1),"")=0,"",IFERROR(INDEX((COPIA!$DA$3:$DE$2300),MATCH(ROWS(D$8:D600),COPIA!$DF$3:$DF$2300,0),COLUMN()-1),""))</f>
        <v/>
      </c>
      <c r="E600" s="45" t="str">
        <f ca="1">IF(IFERROR(INDEX((COPIA!$DA$3:$DE$2300),MATCH(ROWS(E$8:E600),COPIA!$DF$3:$DF$2300,0),COLUMN()-1),"")=0,"",IFERROR(INDEX((COPIA!$DA$3:$DE$2300),MATCH(ROWS(E$8:E600),COPIA!$DF$3:$DF$2300,0),COLUMN()-1),""))</f>
        <v/>
      </c>
      <c r="F600" s="120" t="str">
        <f ca="1">IF(IFERROR(INDEX((COPIA!$DA$3:$DE$2300),MATCH(ROWS(F$8:F600),COPIA!$DF$3:$DF$2300,0),COLUMN()-1),"")=0,"",IFERROR(INDEX((COPIA!$DA$3:$DE$2300),MATCH(ROWS(F$8:F600),COPIA!$DF$3:$DF$2300,0),COLUMN()-1),""))</f>
        <v/>
      </c>
    </row>
    <row r="601" spans="2:6">
      <c r="B601" s="119" t="str">
        <f ca="1">IF(IFERROR(INDEX((COPIA!$DA$3:$DE$2300),MATCH(ROWS(B$8:B601),COPIA!$DF$3:$DF$2300,0),COLUMN()-1),"")&gt;=1,IFERROR(INDEX((COPIA!$DA$3:$DE$2300),MATCH(ROWS(B$8:B601),COPIA!$DF$3:$DF$2300,0),COLUMN()-1),""),"")</f>
        <v/>
      </c>
      <c r="C601" s="118" t="str">
        <f ca="1">SUBSTITUTE(IFERROR(INDEX((COPIA!$DA$3:$DE$2300),MATCH(ROWS(C$8:C601),COPIA!$DF$3:$DF$2300,0),COLUMN()-1),""),"MASTRO","")</f>
        <v/>
      </c>
      <c r="D601" s="29" t="str">
        <f ca="1">IF(IFERROR(INDEX((COPIA!$DA$3:$DE$2300),MATCH(ROWS(D$8:D601),COPIA!$DF$3:$DF$2300,0),COLUMN()-1),"")=0,"",IFERROR(INDEX((COPIA!$DA$3:$DE$2300),MATCH(ROWS(D$8:D601),COPIA!$DF$3:$DF$2300,0),COLUMN()-1),""))</f>
        <v/>
      </c>
      <c r="E601" s="45" t="str">
        <f ca="1">IF(IFERROR(INDEX((COPIA!$DA$3:$DE$2300),MATCH(ROWS(E$8:E601),COPIA!$DF$3:$DF$2300,0),COLUMN()-1),"")=0,"",IFERROR(INDEX((COPIA!$DA$3:$DE$2300),MATCH(ROWS(E$8:E601),COPIA!$DF$3:$DF$2300,0),COLUMN()-1),""))</f>
        <v/>
      </c>
      <c r="F601" s="120" t="str">
        <f ca="1">IF(IFERROR(INDEX((COPIA!$DA$3:$DE$2300),MATCH(ROWS(F$8:F601),COPIA!$DF$3:$DF$2300,0),COLUMN()-1),"")=0,"",IFERROR(INDEX((COPIA!$DA$3:$DE$2300),MATCH(ROWS(F$8:F601),COPIA!$DF$3:$DF$2300,0),COLUMN()-1),""))</f>
        <v/>
      </c>
    </row>
    <row r="602" spans="2:6">
      <c r="B602" s="119" t="str">
        <f ca="1">IF(IFERROR(INDEX((COPIA!$DA$3:$DE$2300),MATCH(ROWS(B$8:B602),COPIA!$DF$3:$DF$2300,0),COLUMN()-1),"")&gt;=1,IFERROR(INDEX((COPIA!$DA$3:$DE$2300),MATCH(ROWS(B$8:B602),COPIA!$DF$3:$DF$2300,0),COLUMN()-1),""),"")</f>
        <v/>
      </c>
      <c r="C602" s="118" t="str">
        <f ca="1">SUBSTITUTE(IFERROR(INDEX((COPIA!$DA$3:$DE$2300),MATCH(ROWS(C$8:C602),COPIA!$DF$3:$DF$2300,0),COLUMN()-1),""),"MASTRO","")</f>
        <v/>
      </c>
      <c r="D602" s="29" t="str">
        <f ca="1">IF(IFERROR(INDEX((COPIA!$DA$3:$DE$2300),MATCH(ROWS(D$8:D602),COPIA!$DF$3:$DF$2300,0),COLUMN()-1),"")=0,"",IFERROR(INDEX((COPIA!$DA$3:$DE$2300),MATCH(ROWS(D$8:D602),COPIA!$DF$3:$DF$2300,0),COLUMN()-1),""))</f>
        <v/>
      </c>
      <c r="E602" s="45" t="str">
        <f ca="1">IF(IFERROR(INDEX((COPIA!$DA$3:$DE$2300),MATCH(ROWS(E$8:E602),COPIA!$DF$3:$DF$2300,0),COLUMN()-1),"")=0,"",IFERROR(INDEX((COPIA!$DA$3:$DE$2300),MATCH(ROWS(E$8:E602),COPIA!$DF$3:$DF$2300,0),COLUMN()-1),""))</f>
        <v/>
      </c>
      <c r="F602" s="120" t="str">
        <f ca="1">IF(IFERROR(INDEX((COPIA!$DA$3:$DE$2300),MATCH(ROWS(F$8:F602),COPIA!$DF$3:$DF$2300,0),COLUMN()-1),"")=0,"",IFERROR(INDEX((COPIA!$DA$3:$DE$2300),MATCH(ROWS(F$8:F602),COPIA!$DF$3:$DF$2300,0),COLUMN()-1),""))</f>
        <v/>
      </c>
    </row>
    <row r="603" spans="2:6">
      <c r="B603" s="119" t="str">
        <f ca="1">IF(IFERROR(INDEX((COPIA!$DA$3:$DE$2300),MATCH(ROWS(B$8:B603),COPIA!$DF$3:$DF$2300,0),COLUMN()-1),"")&gt;=1,IFERROR(INDEX((COPIA!$DA$3:$DE$2300),MATCH(ROWS(B$8:B603),COPIA!$DF$3:$DF$2300,0),COLUMN()-1),""),"")</f>
        <v/>
      </c>
      <c r="C603" s="118" t="str">
        <f ca="1">SUBSTITUTE(IFERROR(INDEX((COPIA!$DA$3:$DE$2300),MATCH(ROWS(C$8:C603),COPIA!$DF$3:$DF$2300,0),COLUMN()-1),""),"MASTRO","")</f>
        <v/>
      </c>
      <c r="D603" s="29" t="str">
        <f ca="1">IF(IFERROR(INDEX((COPIA!$DA$3:$DE$2300),MATCH(ROWS(D$8:D603),COPIA!$DF$3:$DF$2300,0),COLUMN()-1),"")=0,"",IFERROR(INDEX((COPIA!$DA$3:$DE$2300),MATCH(ROWS(D$8:D603),COPIA!$DF$3:$DF$2300,0),COLUMN()-1),""))</f>
        <v/>
      </c>
      <c r="E603" s="45" t="str">
        <f ca="1">IF(IFERROR(INDEX((COPIA!$DA$3:$DE$2300),MATCH(ROWS(E$8:E603),COPIA!$DF$3:$DF$2300,0),COLUMN()-1),"")=0,"",IFERROR(INDEX((COPIA!$DA$3:$DE$2300),MATCH(ROWS(E$8:E603),COPIA!$DF$3:$DF$2300,0),COLUMN()-1),""))</f>
        <v/>
      </c>
      <c r="F603" s="120" t="str">
        <f ca="1">IF(IFERROR(INDEX((COPIA!$DA$3:$DE$2300),MATCH(ROWS(F$8:F603),COPIA!$DF$3:$DF$2300,0),COLUMN()-1),"")=0,"",IFERROR(INDEX((COPIA!$DA$3:$DE$2300),MATCH(ROWS(F$8:F603),COPIA!$DF$3:$DF$2300,0),COLUMN()-1),""))</f>
        <v/>
      </c>
    </row>
    <row r="604" spans="2:6">
      <c r="B604" s="119" t="str">
        <f ca="1">IF(IFERROR(INDEX((COPIA!$DA$3:$DE$2300),MATCH(ROWS(B$8:B604),COPIA!$DF$3:$DF$2300,0),COLUMN()-1),"")&gt;=1,IFERROR(INDEX((COPIA!$DA$3:$DE$2300),MATCH(ROWS(B$8:B604),COPIA!$DF$3:$DF$2300,0),COLUMN()-1),""),"")</f>
        <v/>
      </c>
      <c r="C604" s="118" t="str">
        <f ca="1">SUBSTITUTE(IFERROR(INDEX((COPIA!$DA$3:$DE$2300),MATCH(ROWS(C$8:C604),COPIA!$DF$3:$DF$2300,0),COLUMN()-1),""),"MASTRO","")</f>
        <v/>
      </c>
      <c r="D604" s="29" t="str">
        <f ca="1">IF(IFERROR(INDEX((COPIA!$DA$3:$DE$2300),MATCH(ROWS(D$8:D604),COPIA!$DF$3:$DF$2300,0),COLUMN()-1),"")=0,"",IFERROR(INDEX((COPIA!$DA$3:$DE$2300),MATCH(ROWS(D$8:D604),COPIA!$DF$3:$DF$2300,0),COLUMN()-1),""))</f>
        <v/>
      </c>
      <c r="E604" s="45" t="str">
        <f ca="1">IF(IFERROR(INDEX((COPIA!$DA$3:$DE$2300),MATCH(ROWS(E$8:E604),COPIA!$DF$3:$DF$2300,0),COLUMN()-1),"")=0,"",IFERROR(INDEX((COPIA!$DA$3:$DE$2300),MATCH(ROWS(E$8:E604),COPIA!$DF$3:$DF$2300,0),COLUMN()-1),""))</f>
        <v/>
      </c>
      <c r="F604" s="120" t="str">
        <f ca="1">IF(IFERROR(INDEX((COPIA!$DA$3:$DE$2300),MATCH(ROWS(F$8:F604),COPIA!$DF$3:$DF$2300,0),COLUMN()-1),"")=0,"",IFERROR(INDEX((COPIA!$DA$3:$DE$2300),MATCH(ROWS(F$8:F604),COPIA!$DF$3:$DF$2300,0),COLUMN()-1),""))</f>
        <v/>
      </c>
    </row>
  </sheetData>
  <sheetProtection algorithmName="SHA-512" hashValue="mc56sJd3oZaJ71mMCAEH10rMKpsCtecFvqdXNx2rFO/QW97LjMmOjco/7JJIukZXKVtJp5BqgoNJ+MNc6qNv0g==" saltValue="5gzeSEei+Dd9uhvG9Uvjmg==" spinCount="100000" sheet="1" objects="1" scenarios="1"/>
  <mergeCells count="13">
    <mergeCell ref="F1:L1"/>
    <mergeCell ref="I2:L2"/>
    <mergeCell ref="E2:G2"/>
    <mergeCell ref="I3:L3"/>
    <mergeCell ref="E3:G3"/>
    <mergeCell ref="B1:E1"/>
    <mergeCell ref="B2:C3"/>
    <mergeCell ref="I6:K6"/>
    <mergeCell ref="I5:L5"/>
    <mergeCell ref="B5:C5"/>
    <mergeCell ref="E5:G5"/>
    <mergeCell ref="E7:F7"/>
    <mergeCell ref="B7:C7"/>
  </mergeCells>
  <conditionalFormatting sqref="B8:F604">
    <cfRule type="expression" dxfId="79" priority="10">
      <formula>OR(MID($E8,1,1)="s",MID($F8,1,1)="s")</formula>
    </cfRule>
    <cfRule type="expression" dxfId="78" priority="24">
      <formula>$B8="Num. Riga"</formula>
    </cfRule>
    <cfRule type="expression" dxfId="77" priority="25">
      <formula>AND($B8&lt;&gt;"",$B7&lt;&gt;"",$B8&lt;&gt;"Conto n.")</formula>
    </cfRule>
  </conditionalFormatting>
  <conditionalFormatting sqref="D4:D5">
    <cfRule type="expression" dxfId="76" priority="4">
      <formula>ROW()=$K4</formula>
    </cfRule>
  </conditionalFormatting>
  <conditionalFormatting sqref="D5">
    <cfRule type="expression" dxfId="75" priority="5">
      <formula>$B7="Num. Riga"</formula>
    </cfRule>
  </conditionalFormatting>
  <conditionalFormatting sqref="D6:H6">
    <cfRule type="expression" dxfId="74" priority="6">
      <formula>ROW()=$K6</formula>
    </cfRule>
    <cfRule type="expression" dxfId="73" priority="7">
      <formula>$B8="Num. Riga"</formula>
    </cfRule>
  </conditionalFormatting>
  <conditionalFormatting sqref="E4:F4 D4:D5">
    <cfRule type="expression" dxfId="72" priority="31">
      <formula>$B7="Num. Riga"</formula>
    </cfRule>
  </conditionalFormatting>
  <conditionalFormatting sqref="E4:F4">
    <cfRule type="expression" dxfId="71" priority="11">
      <formula>ROW()=$K4</formula>
    </cfRule>
    <cfRule type="expression" dxfId="70" priority="12">
      <formula>#REF!="Num. Riga"</formula>
    </cfRule>
  </conditionalFormatting>
  <conditionalFormatting sqref="E6:H6">
    <cfRule type="expression" dxfId="69" priority="8">
      <formula>MATCH($D6,$A$4:$A$225,0)&gt;0</formula>
    </cfRule>
  </conditionalFormatting>
  <dataValidations count="4">
    <dataValidation allowBlank="1" sqref="E4" xr:uid="{00000000-0002-0000-0200-000000000000}"/>
    <dataValidation type="list" allowBlank="1" showInputMessage="1" showErrorMessage="1" sqref="D5" xr:uid="{00000000-0002-0000-0200-000001000000}">
      <formula1>conti_aperti</formula1>
    </dataValidation>
    <dataValidation type="list" allowBlank="1" showInputMessage="1" showErrorMessage="1" sqref="I5:L5" xr:uid="{00000000-0002-0000-0200-000002000000}">
      <formula1>"VISUALIZZA SOLO I MOVIMENTI DEI CONTI,VISUALIZZA I MOVIMENTI DEI CONTI E IL SALDO"</formula1>
    </dataValidation>
    <dataValidation type="list" allowBlank="1" showInputMessage="1" showErrorMessage="1" sqref="E5:G5" xr:uid="{00000000-0002-0000-0200-000003000000}">
      <formula1>"VISUALIZZA I CONTI SECONDO L'ORDINE DEL PIANO DEI CONTI,VISUALIZZA PRIMA I CONTI DELL'ULTIMO ARTICOLO"</formula1>
    </dataValidation>
  </dataValidations>
  <printOptions horizontalCentered="1"/>
  <pageMargins left="0.15748031496062992" right="0.15748031496062992" top="0.98425196850393704" bottom="0.55118110236220474" header="0.39370078740157483" footer="0.31496062992125984"/>
  <pageSetup paperSize="9" orientation="portrait" horizontalDpi="4294967294" r:id="rId1"/>
  <headerFooter>
    <oddHeader>&amp;L&amp;"Arial Narrow,Grassetto"&amp;10&amp;K08-045&amp;A&amp;R&amp;G</oddHeader>
    <oddFooter>&amp;L&amp;"Arial Narrow,Grassetto"&amp;10&amp;Y&amp;K08-041FUTURO IMPRESA 3 - T-SMART - AUTORE: Biagio PALACINO&amp;C&amp;"Arial Narrow,Grassetto"&amp;9&amp;K08-048&amp;D&amp;R&amp;"Arial Narrow,Grassetto"&amp;10&amp;K08-042pag. &amp;P di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J228"/>
  <sheetViews>
    <sheetView showGridLines="0" showRowColHeaders="0" zoomScale="120" zoomScaleNormal="120" workbookViewId="0">
      <pane ySplit="4" topLeftCell="A6" activePane="bottomLeft" state="frozen"/>
      <selection pane="bottomLeft" activeCell="B1" sqref="B1:E1"/>
    </sheetView>
  </sheetViews>
  <sheetFormatPr defaultColWidth="9" defaultRowHeight="15.6"/>
  <cols>
    <col min="1" max="1" width="4.5" style="14" customWidth="1"/>
    <col min="2" max="2" width="6.5" style="54" customWidth="1"/>
    <col min="3" max="3" width="44.5" style="19" customWidth="1"/>
    <col min="4" max="4" width="11.09765625" style="47" customWidth="1"/>
    <col min="5" max="5" width="11" style="47" customWidth="1"/>
    <col min="6" max="7" width="11" style="15" customWidth="1"/>
    <col min="8" max="8" width="12.19921875" style="6" customWidth="1"/>
    <col min="9" max="9" width="9" style="14"/>
    <col min="10" max="10" width="10" style="14" customWidth="1"/>
    <col min="11" max="11" width="4.69921875" style="14" customWidth="1"/>
    <col min="12" max="16384" width="9" style="14"/>
  </cols>
  <sheetData>
    <row r="1" spans="1:10" ht="24" customHeight="1">
      <c r="B1" s="331" t="s">
        <v>701</v>
      </c>
      <c r="C1" s="331"/>
      <c r="D1" s="331"/>
      <c r="E1" s="331"/>
      <c r="F1" s="130"/>
      <c r="G1" s="130"/>
      <c r="H1" s="130"/>
      <c r="I1" s="130"/>
    </row>
    <row r="2" spans="1:10" ht="15" customHeight="1">
      <c r="A2" s="160"/>
      <c r="B2" s="335" t="s">
        <v>443</v>
      </c>
      <c r="C2" s="336"/>
      <c r="D2" s="339" t="str">
        <f ca="1">IF(COPIA!CH1=0,"",IF(COPIA!EV1=0,"I TOTALI SONO CORRETTAMENTE VISUALIZZATI",COPIA!ES1))</f>
        <v/>
      </c>
      <c r="E2" s="340"/>
      <c r="F2" s="340"/>
      <c r="G2" s="340"/>
      <c r="H2" s="340"/>
      <c r="I2" s="340"/>
      <c r="J2" s="341"/>
    </row>
    <row r="3" spans="1:10" ht="18.75" customHeight="1">
      <c r="A3" s="131"/>
      <c r="B3" s="337" t="s">
        <v>247</v>
      </c>
      <c r="C3" s="338"/>
      <c r="D3" s="342"/>
      <c r="E3" s="343"/>
      <c r="F3" s="343"/>
      <c r="G3" s="343"/>
      <c r="H3" s="343"/>
      <c r="I3" s="343"/>
      <c r="J3" s="344"/>
    </row>
    <row r="4" spans="1:10" ht="17.25" customHeight="1">
      <c r="B4" s="345"/>
      <c r="C4" s="345"/>
      <c r="D4" s="27"/>
      <c r="E4" s="27"/>
      <c r="F4" s="46"/>
      <c r="H4" s="127"/>
      <c r="I4" s="127"/>
      <c r="J4" s="127"/>
    </row>
    <row r="5" spans="1:10" ht="24.75" hidden="1" customHeight="1">
      <c r="C5" s="38"/>
      <c r="D5" s="38"/>
      <c r="E5" s="38"/>
      <c r="F5" s="38"/>
      <c r="G5" s="38"/>
      <c r="H5" s="147"/>
      <c r="I5" s="147"/>
      <c r="J5" s="147"/>
    </row>
    <row r="6" spans="1:10" ht="15.75" customHeight="1">
      <c r="A6" s="6">
        <f ca="1">COPIA!DU1</f>
        <v>3</v>
      </c>
      <c r="C6" s="242" t="str">
        <f ca="1">IF(INDIRECT(ADDRESS(8,6,,,"LIBRO_GIORNALE"))="","",INDIRECT(ADDRESS(8,6,,,"LIBRO_GIORNALE")))</f>
        <v/>
      </c>
      <c r="D6" s="346" t="str">
        <f ca="1">IF(INDIRECT(ADDRESS(8,7,,,"LIBRO_GIORNALE"))="","",INDIRECT(ADDRESS(8,7,,,"LIBRO_GIORNALE")))</f>
        <v/>
      </c>
      <c r="E6" s="347"/>
      <c r="F6" s="348"/>
      <c r="G6" s="348"/>
      <c r="H6" s="147"/>
      <c r="I6" s="147"/>
      <c r="J6" s="147"/>
    </row>
    <row r="7" spans="1:10" ht="22.5" customHeight="1">
      <c r="A7" s="6">
        <f ca="1">MAX(COPIA!DQ3:DQ220)+5</f>
        <v>5</v>
      </c>
      <c r="C7" s="333" t="str">
        <f ca="1">IF(COPIA!CH1=0,"",IFERROR(CONCATENATE("Situazione contabile per ",LOWER(COPIA!$DQ$1)," al ",COPIA!DS2,"/",COPIA!DT2,"/",COPIA!DU2),""))</f>
        <v/>
      </c>
      <c r="D7" s="333"/>
      <c r="E7" s="333"/>
      <c r="H7" s="60"/>
      <c r="I7" s="60"/>
      <c r="J7" s="60"/>
    </row>
    <row r="8" spans="1:10" ht="17.25" customHeight="1">
      <c r="A8" s="6">
        <f ca="1">IF(A6=3,6,4)</f>
        <v>6</v>
      </c>
      <c r="B8" s="332" t="str">
        <f ca="1">IF(COPIA!CH1=0,"","CODICI")</f>
        <v/>
      </c>
      <c r="C8" s="330" t="str">
        <f ca="1">IF(COPIA!CH1=0,"","DENOMINAZIONE DEI CONTI")</f>
        <v/>
      </c>
      <c r="D8" s="334" t="str">
        <f ca="1">IF(COPIA!CH1=0,"",IF(COPIA!$DU$1=3,MID(COPIA!$DQ$1,1,6),COPIA!$DQ$1))</f>
        <v/>
      </c>
      <c r="E8" s="334"/>
      <c r="F8" s="329" t="str">
        <f ca="1">IF(COPIA!CH1=0,"",MID(COPIA!DQ1,11,10))</f>
        <v/>
      </c>
      <c r="G8" s="329"/>
    </row>
    <row r="9" spans="1:10" ht="15" customHeight="1">
      <c r="B9" s="332"/>
      <c r="C9" s="330"/>
      <c r="D9" s="207" t="str">
        <f ca="1">IF(COPIA!CH1=0,"","DARE")</f>
        <v/>
      </c>
      <c r="E9" s="207" t="str">
        <f ca="1">IF(COPIA!CH1=0,"","AVERE")</f>
        <v/>
      </c>
      <c r="F9" s="27" t="str">
        <f ca="1">IF(COPIA!CH1=0,"",IF(COPIA!$DQ$1="Totali ed eccedenze","DARE",""))</f>
        <v/>
      </c>
      <c r="G9" s="27" t="str">
        <f ca="1">IF(COPIA!CH1=0,"",IF(COPIA!$DQ$1="Totali ed eccedenze","AVERE",""))</f>
        <v/>
      </c>
    </row>
    <row r="10" spans="1:10" ht="20.100000000000001" customHeight="1">
      <c r="B10" s="118" t="str">
        <f t="shared" ref="B10:B73" ca="1" si="0">IFERROR(INDEX(PIANO_DEI_CONTI,MATCH(C10,DENOMINAZIONE,0),1),"")</f>
        <v/>
      </c>
      <c r="C10" s="13" t="str">
        <f ca="1">IFERROR(CONCATENATE(COPIA!DR3,COPIA!DX3),"")</f>
        <v/>
      </c>
      <c r="D10" s="24" t="str">
        <f ca="1">IF(IFERROR(IF(COPIA!DS3=0,"",VALUE(CONCATENATE(COPIA!DS3,COPIA!$DY3))),"")=0,"",IFERROR(IF(COPIA!DS3=0,"",VALUE(CONCATENATE(COPIA!DS3,COPIA!$DY3))),""))</f>
        <v/>
      </c>
      <c r="E10" s="24" t="str">
        <f ca="1">IF(IFERROR(IF(COPIA!DT3=0,"",VALUE(CONCATENATE(COPIA!DT3,COPIA!$DY3))),"")=0,"",IFERROR(IF(COPIA!DT3=0,"",VALUE(CONCATENATE(COPIA!DT3,COPIA!$DY3))),""))</f>
        <v/>
      </c>
      <c r="F10" s="24" t="str">
        <f ca="1">IF(IFERROR(IF(COPIA!DU3=0,"",VALUE(CONCATENATE(COPIA!DU3,COPIA!$DZ3))),"")=0,"",IFERROR(IF(COPIA!DU3=0,"",VALUE(CONCATENATE(COPIA!DU3,COPIA!$DZ3))),""))</f>
        <v/>
      </c>
      <c r="G10" s="24" t="str">
        <f ca="1">IF(IFERROR(IF(COPIA!DV3=0,"",VALUE(CONCATENATE(COPIA!DV3,COPIA!$DZ3))),"")=0,"",IFERROR(IF(COPIA!DV3=0,"",VALUE(CONCATENATE(COPIA!DV3,COPIA!$DZ3))),""))</f>
        <v/>
      </c>
      <c r="H10" s="6">
        <f ca="1">IFERROR(COPIA!DW3,"")</f>
        <v>0</v>
      </c>
    </row>
    <row r="11" spans="1:10" ht="20.100000000000001" customHeight="1">
      <c r="B11" s="118" t="str">
        <f t="shared" ca="1" si="0"/>
        <v/>
      </c>
      <c r="C11" s="13" t="str">
        <f ca="1">IFERROR(CONCATENATE(COPIA!DR4,COPIA!DX4),"")</f>
        <v/>
      </c>
      <c r="D11" s="24" t="str">
        <f ca="1">IF(IFERROR(IF(COPIA!DS4=0,"",VALUE(CONCATENATE(COPIA!DS4,COPIA!$DY4))),"")=0,"",IFERROR(IF(COPIA!DS4=0,"",VALUE(CONCATENATE(COPIA!DS4,COPIA!$DY4))),""))</f>
        <v/>
      </c>
      <c r="E11" s="24" t="str">
        <f ca="1">IF(IFERROR(IF(COPIA!DT4=0,"",VALUE(CONCATENATE(COPIA!DT4,COPIA!$DY4))),"")=0,"",IFERROR(IF(COPIA!DT4=0,"",VALUE(CONCATENATE(COPIA!DT4,COPIA!$DY4))),""))</f>
        <v/>
      </c>
      <c r="F11" s="24" t="str">
        <f ca="1">IF(IFERROR(IF(COPIA!DU4=0,"",VALUE(CONCATENATE(COPIA!DU4,COPIA!$DZ4))),"")=0,"",IFERROR(IF(COPIA!DU4=0,"",VALUE(CONCATENATE(COPIA!DU4,COPIA!$DZ4))),""))</f>
        <v/>
      </c>
      <c r="G11" s="24" t="str">
        <f ca="1">IF(IFERROR(IF(COPIA!DV4=0,"",VALUE(CONCATENATE(COPIA!DV4,COPIA!$DZ4))),"")=0,"",IFERROR(IF(COPIA!DV4=0,"",VALUE(CONCATENATE(COPIA!DV4,COPIA!$DZ4))),""))</f>
        <v/>
      </c>
      <c r="H11" s="6">
        <f ca="1">IFERROR(COPIA!DW4,"")</f>
        <v>0</v>
      </c>
    </row>
    <row r="12" spans="1:10" ht="20.100000000000001" customHeight="1">
      <c r="B12" s="118" t="str">
        <f t="shared" ca="1" si="0"/>
        <v/>
      </c>
      <c r="C12" s="13" t="str">
        <f ca="1">IFERROR(CONCATENATE(COPIA!DR5,COPIA!DX5),"")</f>
        <v/>
      </c>
      <c r="D12" s="24" t="str">
        <f ca="1">IF(IFERROR(IF(COPIA!DS5=0,"",VALUE(CONCATENATE(COPIA!DS5,COPIA!$DY5))),"")=0,"",IFERROR(IF(COPIA!DS5=0,"",VALUE(CONCATENATE(COPIA!DS5,COPIA!$DY5))),""))</f>
        <v/>
      </c>
      <c r="E12" s="24" t="str">
        <f ca="1">IF(IFERROR(IF(COPIA!DT5=0,"",VALUE(CONCATENATE(COPIA!DT5,COPIA!$DY5))),"")=0,"",IFERROR(IF(COPIA!DT5=0,"",VALUE(CONCATENATE(COPIA!DT5,COPIA!$DY5))),""))</f>
        <v/>
      </c>
      <c r="F12" s="24" t="str">
        <f ca="1">IF(IFERROR(IF(COPIA!DU5=0,"",VALUE(CONCATENATE(COPIA!DU5,COPIA!$DZ5))),"")=0,"",IFERROR(IF(COPIA!DU5=0,"",VALUE(CONCATENATE(COPIA!DU5,COPIA!$DZ5))),""))</f>
        <v/>
      </c>
      <c r="G12" s="24" t="str">
        <f ca="1">IF(IFERROR(IF(COPIA!DV5=0,"",VALUE(CONCATENATE(COPIA!DV5,COPIA!$DZ5))),"")=0,"",IFERROR(IF(COPIA!DV5=0,"",VALUE(CONCATENATE(COPIA!DV5,COPIA!$DZ5))),""))</f>
        <v/>
      </c>
      <c r="H12" s="6">
        <f ca="1">IFERROR(COPIA!DW5,"")</f>
        <v>0</v>
      </c>
    </row>
    <row r="13" spans="1:10" ht="20.100000000000001" customHeight="1">
      <c r="B13" s="118" t="str">
        <f t="shared" ca="1" si="0"/>
        <v/>
      </c>
      <c r="C13" s="13" t="str">
        <f ca="1">IFERROR(CONCATENATE(COPIA!DR6,COPIA!DX6),"")</f>
        <v/>
      </c>
      <c r="D13" s="24" t="str">
        <f ca="1">IF(IFERROR(IF(COPIA!DS6=0,"",VALUE(CONCATENATE(COPIA!DS6,COPIA!$DY6))),"")=0,"",IFERROR(IF(COPIA!DS6=0,"",VALUE(CONCATENATE(COPIA!DS6,COPIA!$DY6))),""))</f>
        <v/>
      </c>
      <c r="E13" s="24" t="str">
        <f ca="1">IF(IFERROR(IF(COPIA!DT6=0,"",VALUE(CONCATENATE(COPIA!DT6,COPIA!$DY6))),"")=0,"",IFERROR(IF(COPIA!DT6=0,"",VALUE(CONCATENATE(COPIA!DT6,COPIA!$DY6))),""))</f>
        <v/>
      </c>
      <c r="F13" s="24" t="str">
        <f ca="1">IF(IFERROR(IF(COPIA!DU6=0,"",VALUE(CONCATENATE(COPIA!DU6,COPIA!$DZ6))),"")=0,"",IFERROR(IF(COPIA!DU6=0,"",VALUE(CONCATENATE(COPIA!DU6,COPIA!$DZ6))),""))</f>
        <v/>
      </c>
      <c r="G13" s="24" t="str">
        <f ca="1">IF(IFERROR(IF(COPIA!DV6=0,"",VALUE(CONCATENATE(COPIA!DV6,COPIA!$DZ6))),"")=0,"",IFERROR(IF(COPIA!DV6=0,"",VALUE(CONCATENATE(COPIA!DV6,COPIA!$DZ6))),""))</f>
        <v/>
      </c>
      <c r="H13" s="6">
        <f ca="1">IFERROR(COPIA!DW6,"")</f>
        <v>0</v>
      </c>
    </row>
    <row r="14" spans="1:10" ht="20.100000000000001" customHeight="1">
      <c r="B14" s="118" t="str">
        <f t="shared" ca="1" si="0"/>
        <v/>
      </c>
      <c r="C14" s="13" t="str">
        <f ca="1">IFERROR(CONCATENATE(COPIA!DR7,COPIA!DX7),"")</f>
        <v/>
      </c>
      <c r="D14" s="24" t="str">
        <f ca="1">IF(IFERROR(IF(COPIA!DS7=0,"",VALUE(CONCATENATE(COPIA!DS7,COPIA!$DY7))),"")=0,"",IFERROR(IF(COPIA!DS7=0,"",VALUE(CONCATENATE(COPIA!DS7,COPIA!$DY7))),""))</f>
        <v/>
      </c>
      <c r="E14" s="24" t="str">
        <f ca="1">IF(IFERROR(IF(COPIA!DT7=0,"",VALUE(CONCATENATE(COPIA!DT7,COPIA!$DY7))),"")=0,"",IFERROR(IF(COPIA!DT7=0,"",VALUE(CONCATENATE(COPIA!DT7,COPIA!$DY7))),""))</f>
        <v/>
      </c>
      <c r="F14" s="24" t="str">
        <f ca="1">IF(IFERROR(IF(COPIA!DU7=0,"",VALUE(CONCATENATE(COPIA!DU7,COPIA!$DZ7))),"")=0,"",IFERROR(IF(COPIA!DU7=0,"",VALUE(CONCATENATE(COPIA!DU7,COPIA!$DZ7))),""))</f>
        <v/>
      </c>
      <c r="G14" s="24" t="str">
        <f ca="1">IF(IFERROR(IF(COPIA!DV7=0,"",VALUE(CONCATENATE(COPIA!DV7,COPIA!$DZ7))),"")=0,"",IFERROR(IF(COPIA!DV7=0,"",VALUE(CONCATENATE(COPIA!DV7,COPIA!$DZ7))),""))</f>
        <v/>
      </c>
      <c r="H14" s="6">
        <f ca="1">IFERROR(COPIA!DW7,"")</f>
        <v>0</v>
      </c>
    </row>
    <row r="15" spans="1:10" ht="20.100000000000001" customHeight="1">
      <c r="B15" s="118" t="str">
        <f t="shared" ca="1" si="0"/>
        <v/>
      </c>
      <c r="C15" s="13" t="str">
        <f ca="1">IFERROR(CONCATENATE(COPIA!DR8,COPIA!DX8),"")</f>
        <v/>
      </c>
      <c r="D15" s="24" t="str">
        <f ca="1">IF(IFERROR(IF(COPIA!DS8=0,"",VALUE(CONCATENATE(COPIA!DS8,COPIA!$DY8))),"")=0,"",IFERROR(IF(COPIA!DS8=0,"",VALUE(CONCATENATE(COPIA!DS8,COPIA!$DY8))),""))</f>
        <v/>
      </c>
      <c r="E15" s="24" t="str">
        <f ca="1">IF(IFERROR(IF(COPIA!DT8=0,"",VALUE(CONCATENATE(COPIA!DT8,COPIA!$DY8))),"")=0,"",IFERROR(IF(COPIA!DT8=0,"",VALUE(CONCATENATE(COPIA!DT8,COPIA!$DY8))),""))</f>
        <v/>
      </c>
      <c r="F15" s="24" t="str">
        <f ca="1">IF(IFERROR(IF(COPIA!DU8=0,"",VALUE(CONCATENATE(COPIA!DU8,COPIA!$DZ8))),"")=0,"",IFERROR(IF(COPIA!DU8=0,"",VALUE(CONCATENATE(COPIA!DU8,COPIA!$DZ8))),""))</f>
        <v/>
      </c>
      <c r="G15" s="24" t="str">
        <f ca="1">IF(IFERROR(IF(COPIA!DV8=0,"",VALUE(CONCATENATE(COPIA!DV8,COPIA!$DZ8))),"")=0,"",IFERROR(IF(COPIA!DV8=0,"",VALUE(CONCATENATE(COPIA!DV8,COPIA!$DZ8))),""))</f>
        <v/>
      </c>
      <c r="H15" s="6">
        <f ca="1">IFERROR(COPIA!DW8,"")</f>
        <v>0</v>
      </c>
    </row>
    <row r="16" spans="1:10" ht="20.100000000000001" customHeight="1">
      <c r="B16" s="118" t="str">
        <f t="shared" ca="1" si="0"/>
        <v/>
      </c>
      <c r="C16" s="13" t="str">
        <f ca="1">IFERROR(CONCATENATE(COPIA!DR9,COPIA!DX9),"")</f>
        <v/>
      </c>
      <c r="D16" s="24" t="str">
        <f ca="1">IF(IFERROR(IF(COPIA!DS9=0,"",VALUE(CONCATENATE(COPIA!DS9,COPIA!$DY9))),"")=0,"",IFERROR(IF(COPIA!DS9=0,"",VALUE(CONCATENATE(COPIA!DS9,COPIA!$DY9))),""))</f>
        <v/>
      </c>
      <c r="E16" s="24" t="str">
        <f ca="1">IF(IFERROR(IF(COPIA!DT9=0,"",VALUE(CONCATENATE(COPIA!DT9,COPIA!$DY9))),"")=0,"",IFERROR(IF(COPIA!DT9=0,"",VALUE(CONCATENATE(COPIA!DT9,COPIA!$DY9))),""))</f>
        <v/>
      </c>
      <c r="F16" s="24" t="str">
        <f ca="1">IF(IFERROR(IF(COPIA!DU9=0,"",VALUE(CONCATENATE(COPIA!DU9,COPIA!$DZ9))),"")=0,"",IFERROR(IF(COPIA!DU9=0,"",VALUE(CONCATENATE(COPIA!DU9,COPIA!$DZ9))),""))</f>
        <v/>
      </c>
      <c r="G16" s="24" t="str">
        <f ca="1">IF(IFERROR(IF(COPIA!DV9=0,"",VALUE(CONCATENATE(COPIA!DV9,COPIA!$DZ9))),"")=0,"",IFERROR(IF(COPIA!DV9=0,"",VALUE(CONCATENATE(COPIA!DV9,COPIA!$DZ9))),""))</f>
        <v/>
      </c>
      <c r="H16" s="6">
        <f ca="1">IFERROR(COPIA!DW9,"")</f>
        <v>0</v>
      </c>
    </row>
    <row r="17" spans="2:8" ht="20.100000000000001" customHeight="1">
      <c r="B17" s="118" t="str">
        <f t="shared" ca="1" si="0"/>
        <v/>
      </c>
      <c r="C17" s="13" t="str">
        <f ca="1">IFERROR(CONCATENATE(COPIA!DR10,COPIA!DX10),"")</f>
        <v/>
      </c>
      <c r="D17" s="24" t="str">
        <f ca="1">IF(IFERROR(IF(COPIA!DS10=0,"",VALUE(CONCATENATE(COPIA!DS10,COPIA!$DY10))),"")=0,"",IFERROR(IF(COPIA!DS10=0,"",VALUE(CONCATENATE(COPIA!DS10,COPIA!$DY10))),""))</f>
        <v/>
      </c>
      <c r="E17" s="24" t="str">
        <f ca="1">IF(IFERROR(IF(COPIA!DT10=0,"",VALUE(CONCATENATE(COPIA!DT10,COPIA!$DY10))),"")=0,"",IFERROR(IF(COPIA!DT10=0,"",VALUE(CONCATENATE(COPIA!DT10,COPIA!$DY10))),""))</f>
        <v/>
      </c>
      <c r="F17" s="24" t="str">
        <f ca="1">IF(IFERROR(IF(COPIA!DU10=0,"",VALUE(CONCATENATE(COPIA!DU10,COPIA!$DZ10))),"")=0,"",IFERROR(IF(COPIA!DU10=0,"",VALUE(CONCATENATE(COPIA!DU10,COPIA!$DZ10))),""))</f>
        <v/>
      </c>
      <c r="G17" s="24" t="str">
        <f ca="1">IF(IFERROR(IF(COPIA!DV10=0,"",VALUE(CONCATENATE(COPIA!DV10,COPIA!$DZ10))),"")=0,"",IFERROR(IF(COPIA!DV10=0,"",VALUE(CONCATENATE(COPIA!DV10,COPIA!$DZ10))),""))</f>
        <v/>
      </c>
      <c r="H17" s="6">
        <f ca="1">IFERROR(COPIA!DW10,"")</f>
        <v>0</v>
      </c>
    </row>
    <row r="18" spans="2:8" ht="20.100000000000001" customHeight="1">
      <c r="B18" s="118" t="str">
        <f t="shared" ca="1" si="0"/>
        <v/>
      </c>
      <c r="C18" s="13" t="str">
        <f ca="1">IFERROR(CONCATENATE(COPIA!DR11,COPIA!DX11),"")</f>
        <v/>
      </c>
      <c r="D18" s="24" t="str">
        <f ca="1">IF(IFERROR(IF(COPIA!DS11=0,"",VALUE(CONCATENATE(COPIA!DS11,COPIA!$DY11))),"")=0,"",IFERROR(IF(COPIA!DS11=0,"",VALUE(CONCATENATE(COPIA!DS11,COPIA!$DY11))),""))</f>
        <v/>
      </c>
      <c r="E18" s="24" t="str">
        <f ca="1">IF(IFERROR(IF(COPIA!DT11=0,"",VALUE(CONCATENATE(COPIA!DT11,COPIA!$DY11))),"")=0,"",IFERROR(IF(COPIA!DT11=0,"",VALUE(CONCATENATE(COPIA!DT11,COPIA!$DY11))),""))</f>
        <v/>
      </c>
      <c r="F18" s="24" t="str">
        <f ca="1">IF(IFERROR(IF(COPIA!DU11=0,"",VALUE(CONCATENATE(COPIA!DU11,COPIA!$DZ11))),"")=0,"",IFERROR(IF(COPIA!DU11=0,"",VALUE(CONCATENATE(COPIA!DU11,COPIA!$DZ11))),""))</f>
        <v/>
      </c>
      <c r="G18" s="24" t="str">
        <f ca="1">IF(IFERROR(IF(COPIA!DV11=0,"",VALUE(CONCATENATE(COPIA!DV11,COPIA!$DZ11))),"")=0,"",IFERROR(IF(COPIA!DV11=0,"",VALUE(CONCATENATE(COPIA!DV11,COPIA!$DZ11))),""))</f>
        <v/>
      </c>
      <c r="H18" s="6">
        <f ca="1">IFERROR(COPIA!DW11,"")</f>
        <v>0</v>
      </c>
    </row>
    <row r="19" spans="2:8" ht="20.100000000000001" customHeight="1">
      <c r="B19" s="118" t="str">
        <f t="shared" ca="1" si="0"/>
        <v/>
      </c>
      <c r="C19" s="13" t="str">
        <f ca="1">IFERROR(CONCATENATE(COPIA!DR12,COPIA!DX12),"")</f>
        <v/>
      </c>
      <c r="D19" s="24" t="str">
        <f ca="1">IF(IFERROR(IF(COPIA!DS12=0,"",VALUE(CONCATENATE(COPIA!DS12,COPIA!$DY12))),"")=0,"",IFERROR(IF(COPIA!DS12=0,"",VALUE(CONCATENATE(COPIA!DS12,COPIA!$DY12))),""))</f>
        <v/>
      </c>
      <c r="E19" s="24" t="str">
        <f ca="1">IF(IFERROR(IF(COPIA!DT12=0,"",VALUE(CONCATENATE(COPIA!DT12,COPIA!$DY12))),"")=0,"",IFERROR(IF(COPIA!DT12=0,"",VALUE(CONCATENATE(COPIA!DT12,COPIA!$DY12))),""))</f>
        <v/>
      </c>
      <c r="F19" s="24" t="str">
        <f ca="1">IF(IFERROR(IF(COPIA!DU12=0,"",VALUE(CONCATENATE(COPIA!DU12,COPIA!$DZ12))),"")=0,"",IFERROR(IF(COPIA!DU12=0,"",VALUE(CONCATENATE(COPIA!DU12,COPIA!$DZ12))),""))</f>
        <v/>
      </c>
      <c r="G19" s="24" t="str">
        <f ca="1">IF(IFERROR(IF(COPIA!DV12=0,"",VALUE(CONCATENATE(COPIA!DV12,COPIA!$DZ12))),"")=0,"",IFERROR(IF(COPIA!DV12=0,"",VALUE(CONCATENATE(COPIA!DV12,COPIA!$DZ12))),""))</f>
        <v/>
      </c>
      <c r="H19" s="6">
        <f ca="1">IFERROR(COPIA!DW12,"")</f>
        <v>0</v>
      </c>
    </row>
    <row r="20" spans="2:8" ht="20.100000000000001" customHeight="1">
      <c r="B20" s="118" t="str">
        <f t="shared" ca="1" si="0"/>
        <v/>
      </c>
      <c r="C20" s="13" t="str">
        <f ca="1">IFERROR(CONCATENATE(COPIA!DR13,COPIA!DX13),"")</f>
        <v/>
      </c>
      <c r="D20" s="24" t="str">
        <f ca="1">IF(IFERROR(IF(COPIA!DS13=0,"",VALUE(CONCATENATE(COPIA!DS13,COPIA!$DY13))),"")=0,"",IFERROR(IF(COPIA!DS13=0,"",VALUE(CONCATENATE(COPIA!DS13,COPIA!$DY13))),""))</f>
        <v/>
      </c>
      <c r="E20" s="24" t="str">
        <f ca="1">IF(IFERROR(IF(COPIA!DT13=0,"",VALUE(CONCATENATE(COPIA!DT13,COPIA!$DY13))),"")=0,"",IFERROR(IF(COPIA!DT13=0,"",VALUE(CONCATENATE(COPIA!DT13,COPIA!$DY13))),""))</f>
        <v/>
      </c>
      <c r="F20" s="24" t="str">
        <f ca="1">IF(IFERROR(IF(COPIA!DU13=0,"",VALUE(CONCATENATE(COPIA!DU13,COPIA!$DZ13))),"")=0,"",IFERROR(IF(COPIA!DU13=0,"",VALUE(CONCATENATE(COPIA!DU13,COPIA!$DZ13))),""))</f>
        <v/>
      </c>
      <c r="G20" s="24" t="str">
        <f ca="1">IF(IFERROR(IF(COPIA!DV13=0,"",VALUE(CONCATENATE(COPIA!DV13,COPIA!$DZ13))),"")=0,"",IFERROR(IF(COPIA!DV13=0,"",VALUE(CONCATENATE(COPIA!DV13,COPIA!$DZ13))),""))</f>
        <v/>
      </c>
      <c r="H20" s="6">
        <f ca="1">IFERROR(COPIA!DW13,"")</f>
        <v>0</v>
      </c>
    </row>
    <row r="21" spans="2:8" ht="20.100000000000001" customHeight="1">
      <c r="B21" s="118" t="str">
        <f t="shared" ca="1" si="0"/>
        <v/>
      </c>
      <c r="C21" s="13" t="str">
        <f ca="1">IFERROR(CONCATENATE(COPIA!DR14,COPIA!DX14),"")</f>
        <v/>
      </c>
      <c r="D21" s="24" t="str">
        <f ca="1">IF(IFERROR(IF(COPIA!DS14=0,"",VALUE(CONCATENATE(COPIA!DS14,COPIA!$DY14))),"")=0,"",IFERROR(IF(COPIA!DS14=0,"",VALUE(CONCATENATE(COPIA!DS14,COPIA!$DY14))),""))</f>
        <v/>
      </c>
      <c r="E21" s="24" t="str">
        <f ca="1">IF(IFERROR(IF(COPIA!DT14=0,"",VALUE(CONCATENATE(COPIA!DT14,COPIA!$DY14))),"")=0,"",IFERROR(IF(COPIA!DT14=0,"",VALUE(CONCATENATE(COPIA!DT14,COPIA!$DY14))),""))</f>
        <v/>
      </c>
      <c r="F21" s="24" t="str">
        <f ca="1">IF(IFERROR(IF(COPIA!DU14=0,"",VALUE(CONCATENATE(COPIA!DU14,COPIA!$DZ14))),"")=0,"",IFERROR(IF(COPIA!DU14=0,"",VALUE(CONCATENATE(COPIA!DU14,COPIA!$DZ14))),""))</f>
        <v/>
      </c>
      <c r="G21" s="24" t="str">
        <f ca="1">IF(IFERROR(IF(COPIA!DV14=0,"",VALUE(CONCATENATE(COPIA!DV14,COPIA!$DZ14))),"")=0,"",IFERROR(IF(COPIA!DV14=0,"",VALUE(CONCATENATE(COPIA!DV14,COPIA!$DZ14))),""))</f>
        <v/>
      </c>
      <c r="H21" s="6">
        <f ca="1">IFERROR(COPIA!DW14,"")</f>
        <v>0</v>
      </c>
    </row>
    <row r="22" spans="2:8" ht="20.100000000000001" customHeight="1">
      <c r="B22" s="118" t="str">
        <f t="shared" ca="1" si="0"/>
        <v/>
      </c>
      <c r="C22" s="13" t="str">
        <f ca="1">IFERROR(CONCATENATE(COPIA!DR15,COPIA!DX15),"")</f>
        <v/>
      </c>
      <c r="D22" s="24" t="str">
        <f ca="1">IF(IFERROR(IF(COPIA!DS15=0,"",VALUE(CONCATENATE(COPIA!DS15,COPIA!$DY15))),"")=0,"",IFERROR(IF(COPIA!DS15=0,"",VALUE(CONCATENATE(COPIA!DS15,COPIA!$DY15))),""))</f>
        <v/>
      </c>
      <c r="E22" s="24" t="str">
        <f ca="1">IF(IFERROR(IF(COPIA!DT15=0,"",VALUE(CONCATENATE(COPIA!DT15,COPIA!$DY15))),"")=0,"",IFERROR(IF(COPIA!DT15=0,"",VALUE(CONCATENATE(COPIA!DT15,COPIA!$DY15))),""))</f>
        <v/>
      </c>
      <c r="F22" s="24" t="str">
        <f ca="1">IF(IFERROR(IF(COPIA!DU15=0,"",VALUE(CONCATENATE(COPIA!DU15,COPIA!$DZ15))),"")=0,"",IFERROR(IF(COPIA!DU15=0,"",VALUE(CONCATENATE(COPIA!DU15,COPIA!$DZ15))),""))</f>
        <v/>
      </c>
      <c r="G22" s="24" t="str">
        <f ca="1">IF(IFERROR(IF(COPIA!DV15=0,"",VALUE(CONCATENATE(COPIA!DV15,COPIA!$DZ15))),"")=0,"",IFERROR(IF(COPIA!DV15=0,"",VALUE(CONCATENATE(COPIA!DV15,COPIA!$DZ15))),""))</f>
        <v/>
      </c>
      <c r="H22" s="6">
        <f ca="1">IFERROR(COPIA!DW15,"")</f>
        <v>0</v>
      </c>
    </row>
    <row r="23" spans="2:8" ht="20.100000000000001" customHeight="1">
      <c r="B23" s="118" t="str">
        <f t="shared" ca="1" si="0"/>
        <v/>
      </c>
      <c r="C23" s="13" t="str">
        <f ca="1">IFERROR(CONCATENATE(COPIA!DR16,COPIA!DX16),"")</f>
        <v/>
      </c>
      <c r="D23" s="24" t="str">
        <f ca="1">IF(IFERROR(IF(COPIA!DS16=0,"",VALUE(CONCATENATE(COPIA!DS16,COPIA!$DY16))),"")=0,"",IFERROR(IF(COPIA!DS16=0,"",VALUE(CONCATENATE(COPIA!DS16,COPIA!$DY16))),""))</f>
        <v/>
      </c>
      <c r="E23" s="24" t="str">
        <f ca="1">IF(IFERROR(IF(COPIA!DT16=0,"",VALUE(CONCATENATE(COPIA!DT16,COPIA!$DY16))),"")=0,"",IFERROR(IF(COPIA!DT16=0,"",VALUE(CONCATENATE(COPIA!DT16,COPIA!$DY16))),""))</f>
        <v/>
      </c>
      <c r="F23" s="24" t="str">
        <f ca="1">IF(IFERROR(IF(COPIA!DU16=0,"",VALUE(CONCATENATE(COPIA!DU16,COPIA!$DZ16))),"")=0,"",IFERROR(IF(COPIA!DU16=0,"",VALUE(CONCATENATE(COPIA!DU16,COPIA!$DZ16))),""))</f>
        <v/>
      </c>
      <c r="G23" s="24" t="str">
        <f ca="1">IF(IFERROR(IF(COPIA!DV16=0,"",VALUE(CONCATENATE(COPIA!DV16,COPIA!$DZ16))),"")=0,"",IFERROR(IF(COPIA!DV16=0,"",VALUE(CONCATENATE(COPIA!DV16,COPIA!$DZ16))),""))</f>
        <v/>
      </c>
      <c r="H23" s="6">
        <f ca="1">IFERROR(COPIA!DW16,"")</f>
        <v>0</v>
      </c>
    </row>
    <row r="24" spans="2:8" ht="20.100000000000001" customHeight="1">
      <c r="B24" s="118" t="str">
        <f t="shared" ca="1" si="0"/>
        <v/>
      </c>
      <c r="C24" s="13" t="str">
        <f ca="1">IFERROR(CONCATENATE(COPIA!DR17,COPIA!DX17),"")</f>
        <v/>
      </c>
      <c r="D24" s="24" t="str">
        <f ca="1">IF(IFERROR(IF(COPIA!DS17=0,"",VALUE(CONCATENATE(COPIA!DS17,COPIA!$DY17))),"")=0,"",IFERROR(IF(COPIA!DS17=0,"",VALUE(CONCATENATE(COPIA!DS17,COPIA!$DY17))),""))</f>
        <v/>
      </c>
      <c r="E24" s="24" t="str">
        <f ca="1">IF(IFERROR(IF(COPIA!DT17=0,"",VALUE(CONCATENATE(COPIA!DT17,COPIA!$DY17))),"")=0,"",IFERROR(IF(COPIA!DT17=0,"",VALUE(CONCATENATE(COPIA!DT17,COPIA!$DY17))),""))</f>
        <v/>
      </c>
      <c r="F24" s="24" t="str">
        <f ca="1">IF(IFERROR(IF(COPIA!DU17=0,"",VALUE(CONCATENATE(COPIA!DU17,COPIA!$DZ17))),"")=0,"",IFERROR(IF(COPIA!DU17=0,"",VALUE(CONCATENATE(COPIA!DU17,COPIA!$DZ17))),""))</f>
        <v/>
      </c>
      <c r="G24" s="24" t="str">
        <f ca="1">IF(IFERROR(IF(COPIA!DV17=0,"",VALUE(CONCATENATE(COPIA!DV17,COPIA!$DZ17))),"")=0,"",IFERROR(IF(COPIA!DV17=0,"",VALUE(CONCATENATE(COPIA!DV17,COPIA!$DZ17))),""))</f>
        <v/>
      </c>
      <c r="H24" s="6">
        <f ca="1">IFERROR(COPIA!DW17,"")</f>
        <v>0</v>
      </c>
    </row>
    <row r="25" spans="2:8" ht="20.100000000000001" customHeight="1">
      <c r="B25" s="118" t="str">
        <f t="shared" ca="1" si="0"/>
        <v/>
      </c>
      <c r="C25" s="13" t="str">
        <f ca="1">IFERROR(CONCATENATE(COPIA!DR18,COPIA!DX18),"")</f>
        <v/>
      </c>
      <c r="D25" s="24" t="str">
        <f ca="1">IF(IFERROR(IF(COPIA!DS18=0,"",VALUE(CONCATENATE(COPIA!DS18,COPIA!$DY18))),"")=0,"",IFERROR(IF(COPIA!DS18=0,"",VALUE(CONCATENATE(COPIA!DS18,COPIA!$DY18))),""))</f>
        <v/>
      </c>
      <c r="E25" s="24" t="str">
        <f ca="1">IF(IFERROR(IF(COPIA!DT18=0,"",VALUE(CONCATENATE(COPIA!DT18,COPIA!$DY18))),"")=0,"",IFERROR(IF(COPIA!DT18=0,"",VALUE(CONCATENATE(COPIA!DT18,COPIA!$DY18))),""))</f>
        <v/>
      </c>
      <c r="F25" s="24" t="str">
        <f ca="1">IF(IFERROR(IF(COPIA!DU18=0,"",VALUE(CONCATENATE(COPIA!DU18,COPIA!$DZ18))),"")=0,"",IFERROR(IF(COPIA!DU18=0,"",VALUE(CONCATENATE(COPIA!DU18,COPIA!$DZ18))),""))</f>
        <v/>
      </c>
      <c r="G25" s="24" t="str">
        <f ca="1">IF(IFERROR(IF(COPIA!DV18=0,"",VALUE(CONCATENATE(COPIA!DV18,COPIA!$DZ18))),"")=0,"",IFERROR(IF(COPIA!DV18=0,"",VALUE(CONCATENATE(COPIA!DV18,COPIA!$DZ18))),""))</f>
        <v/>
      </c>
      <c r="H25" s="6">
        <f ca="1">IFERROR(COPIA!DW18,"")</f>
        <v>0</v>
      </c>
    </row>
    <row r="26" spans="2:8" ht="20.100000000000001" customHeight="1">
      <c r="B26" s="118" t="str">
        <f t="shared" ca="1" si="0"/>
        <v/>
      </c>
      <c r="C26" s="13" t="str">
        <f ca="1">IFERROR(CONCATENATE(COPIA!DR19,COPIA!DX19),"")</f>
        <v/>
      </c>
      <c r="D26" s="24" t="str">
        <f ca="1">IF(IFERROR(IF(COPIA!DS19=0,"",VALUE(CONCATENATE(COPIA!DS19,COPIA!$DY19))),"")=0,"",IFERROR(IF(COPIA!DS19=0,"",VALUE(CONCATENATE(COPIA!DS19,COPIA!$DY19))),""))</f>
        <v/>
      </c>
      <c r="E26" s="24" t="str">
        <f ca="1">IF(IFERROR(IF(COPIA!DT19=0,"",VALUE(CONCATENATE(COPIA!DT19,COPIA!$DY19))),"")=0,"",IFERROR(IF(COPIA!DT19=0,"",VALUE(CONCATENATE(COPIA!DT19,COPIA!$DY19))),""))</f>
        <v/>
      </c>
      <c r="F26" s="24" t="str">
        <f ca="1">IF(IFERROR(IF(COPIA!DU19=0,"",VALUE(CONCATENATE(COPIA!DU19,COPIA!$DZ19))),"")=0,"",IFERROR(IF(COPIA!DU19=0,"",VALUE(CONCATENATE(COPIA!DU19,COPIA!$DZ19))),""))</f>
        <v/>
      </c>
      <c r="G26" s="24" t="str">
        <f ca="1">IF(IFERROR(IF(COPIA!DV19=0,"",VALUE(CONCATENATE(COPIA!DV19,COPIA!$DZ19))),"")=0,"",IFERROR(IF(COPIA!DV19=0,"",VALUE(CONCATENATE(COPIA!DV19,COPIA!$DZ19))),""))</f>
        <v/>
      </c>
      <c r="H26" s="6">
        <f ca="1">IFERROR(COPIA!DW19,"")</f>
        <v>0</v>
      </c>
    </row>
    <row r="27" spans="2:8" ht="20.100000000000001" customHeight="1">
      <c r="B27" s="118" t="str">
        <f t="shared" ca="1" si="0"/>
        <v/>
      </c>
      <c r="C27" s="13" t="str">
        <f ca="1">IFERROR(CONCATENATE(COPIA!DR20,COPIA!DX20),"")</f>
        <v/>
      </c>
      <c r="D27" s="24" t="str">
        <f ca="1">IF(IFERROR(IF(COPIA!DS20=0,"",VALUE(CONCATENATE(COPIA!DS20,COPIA!$DY20))),"")=0,"",IFERROR(IF(COPIA!DS20=0,"",VALUE(CONCATENATE(COPIA!DS20,COPIA!$DY20))),""))</f>
        <v/>
      </c>
      <c r="E27" s="24" t="str">
        <f ca="1">IF(IFERROR(IF(COPIA!DT20=0,"",VALUE(CONCATENATE(COPIA!DT20,COPIA!$DY20))),"")=0,"",IFERROR(IF(COPIA!DT20=0,"",VALUE(CONCATENATE(COPIA!DT20,COPIA!$DY20))),""))</f>
        <v/>
      </c>
      <c r="F27" s="24" t="str">
        <f ca="1">IF(IFERROR(IF(COPIA!DU20=0,"",VALUE(CONCATENATE(COPIA!DU20,COPIA!$DZ20))),"")=0,"",IFERROR(IF(COPIA!DU20=0,"",VALUE(CONCATENATE(COPIA!DU20,COPIA!$DZ20))),""))</f>
        <v/>
      </c>
      <c r="G27" s="24" t="str">
        <f ca="1">IF(IFERROR(IF(COPIA!DV20=0,"",VALUE(CONCATENATE(COPIA!DV20,COPIA!$DZ20))),"")=0,"",IFERROR(IF(COPIA!DV20=0,"",VALUE(CONCATENATE(COPIA!DV20,COPIA!$DZ20))),""))</f>
        <v/>
      </c>
      <c r="H27" s="6">
        <f ca="1">IFERROR(COPIA!DW20,"")</f>
        <v>0</v>
      </c>
    </row>
    <row r="28" spans="2:8" ht="20.100000000000001" customHeight="1">
      <c r="B28" s="118" t="str">
        <f t="shared" ca="1" si="0"/>
        <v/>
      </c>
      <c r="C28" s="13" t="str">
        <f ca="1">IFERROR(CONCATENATE(COPIA!DR21,COPIA!DX21),"")</f>
        <v/>
      </c>
      <c r="D28" s="24" t="str">
        <f ca="1">IF(IFERROR(IF(COPIA!DS21=0,"",VALUE(CONCATENATE(COPIA!DS21,COPIA!$DY21))),"")=0,"",IFERROR(IF(COPIA!DS21=0,"",VALUE(CONCATENATE(COPIA!DS21,COPIA!$DY21))),""))</f>
        <v/>
      </c>
      <c r="E28" s="24" t="str">
        <f ca="1">IF(IFERROR(IF(COPIA!DT21=0,"",VALUE(CONCATENATE(COPIA!DT21,COPIA!$DY21))),"")=0,"",IFERROR(IF(COPIA!DT21=0,"",VALUE(CONCATENATE(COPIA!DT21,COPIA!$DY21))),""))</f>
        <v/>
      </c>
      <c r="F28" s="24" t="str">
        <f ca="1">IF(IFERROR(IF(COPIA!DU21=0,"",VALUE(CONCATENATE(COPIA!DU21,COPIA!$DZ21))),"")=0,"",IFERROR(IF(COPIA!DU21=0,"",VALUE(CONCATENATE(COPIA!DU21,COPIA!$DZ21))),""))</f>
        <v/>
      </c>
      <c r="G28" s="24" t="str">
        <f ca="1">IF(IFERROR(IF(COPIA!DV21=0,"",VALUE(CONCATENATE(COPIA!DV21,COPIA!$DZ21))),"")=0,"",IFERROR(IF(COPIA!DV21=0,"",VALUE(CONCATENATE(COPIA!DV21,COPIA!$DZ21))),""))</f>
        <v/>
      </c>
      <c r="H28" s="6">
        <f ca="1">IFERROR(COPIA!DW21,"")</f>
        <v>0</v>
      </c>
    </row>
    <row r="29" spans="2:8" ht="20.100000000000001" customHeight="1">
      <c r="B29" s="118" t="str">
        <f t="shared" ca="1" si="0"/>
        <v/>
      </c>
      <c r="C29" s="13" t="str">
        <f ca="1">IFERROR(CONCATENATE(COPIA!DR22,COPIA!DX22),"")</f>
        <v/>
      </c>
      <c r="D29" s="24" t="str">
        <f ca="1">IF(IFERROR(IF(COPIA!DS22=0,"",VALUE(CONCATENATE(COPIA!DS22,COPIA!$DY22))),"")=0,"",IFERROR(IF(COPIA!DS22=0,"",VALUE(CONCATENATE(COPIA!DS22,COPIA!$DY22))),""))</f>
        <v/>
      </c>
      <c r="E29" s="24" t="str">
        <f ca="1">IF(IFERROR(IF(COPIA!DT22=0,"",VALUE(CONCATENATE(COPIA!DT22,COPIA!$DY22))),"")=0,"",IFERROR(IF(COPIA!DT22=0,"",VALUE(CONCATENATE(COPIA!DT22,COPIA!$DY22))),""))</f>
        <v/>
      </c>
      <c r="F29" s="24" t="str">
        <f ca="1">IF(IFERROR(IF(COPIA!DU22=0,"",VALUE(CONCATENATE(COPIA!DU22,COPIA!$DZ22))),"")=0,"",IFERROR(IF(COPIA!DU22=0,"",VALUE(CONCATENATE(COPIA!DU22,COPIA!$DZ22))),""))</f>
        <v/>
      </c>
      <c r="G29" s="24" t="str">
        <f ca="1">IF(IFERROR(IF(COPIA!DV22=0,"",VALUE(CONCATENATE(COPIA!DV22,COPIA!$DZ22))),"")=0,"",IFERROR(IF(COPIA!DV22=0,"",VALUE(CONCATENATE(COPIA!DV22,COPIA!$DZ22))),""))</f>
        <v/>
      </c>
      <c r="H29" s="6">
        <f ca="1">IFERROR(COPIA!DW22,"")</f>
        <v>0</v>
      </c>
    </row>
    <row r="30" spans="2:8" ht="20.100000000000001" customHeight="1">
      <c r="B30" s="118" t="str">
        <f t="shared" ca="1" si="0"/>
        <v/>
      </c>
      <c r="C30" s="13" t="str">
        <f ca="1">IFERROR(CONCATENATE(COPIA!DR23,COPIA!DX23),"")</f>
        <v/>
      </c>
      <c r="D30" s="24" t="str">
        <f ca="1">IF(IFERROR(IF(COPIA!DS23=0,"",VALUE(CONCATENATE(COPIA!DS23,COPIA!$DY23))),"")=0,"",IFERROR(IF(COPIA!DS23=0,"",VALUE(CONCATENATE(COPIA!DS23,COPIA!$DY23))),""))</f>
        <v/>
      </c>
      <c r="E30" s="24" t="str">
        <f ca="1">IF(IFERROR(IF(COPIA!DT23=0,"",VALUE(CONCATENATE(COPIA!DT23,COPIA!$DY23))),"")=0,"",IFERROR(IF(COPIA!DT23=0,"",VALUE(CONCATENATE(COPIA!DT23,COPIA!$DY23))),""))</f>
        <v/>
      </c>
      <c r="F30" s="24" t="str">
        <f ca="1">IF(IFERROR(IF(COPIA!DU23=0,"",VALUE(CONCATENATE(COPIA!DU23,COPIA!$DZ23))),"")=0,"",IFERROR(IF(COPIA!DU23=0,"",VALUE(CONCATENATE(COPIA!DU23,COPIA!$DZ23))),""))</f>
        <v/>
      </c>
      <c r="G30" s="24" t="str">
        <f ca="1">IF(IFERROR(IF(COPIA!DV23=0,"",VALUE(CONCATENATE(COPIA!DV23,COPIA!$DZ23))),"")=0,"",IFERROR(IF(COPIA!DV23=0,"",VALUE(CONCATENATE(COPIA!DV23,COPIA!$DZ23))),""))</f>
        <v/>
      </c>
      <c r="H30" s="6">
        <f ca="1">IFERROR(COPIA!DW23,"")</f>
        <v>0</v>
      </c>
    </row>
    <row r="31" spans="2:8" ht="20.100000000000001" customHeight="1">
      <c r="B31" s="118" t="str">
        <f t="shared" ca="1" si="0"/>
        <v/>
      </c>
      <c r="C31" s="13" t="str">
        <f ca="1">IFERROR(CONCATENATE(COPIA!DR24,COPIA!DX24),"")</f>
        <v/>
      </c>
      <c r="D31" s="24" t="str">
        <f ca="1">IF(IFERROR(IF(COPIA!DS24=0,"",VALUE(CONCATENATE(COPIA!DS24,COPIA!$DY24))),"")=0,"",IFERROR(IF(COPIA!DS24=0,"",VALUE(CONCATENATE(COPIA!DS24,COPIA!$DY24))),""))</f>
        <v/>
      </c>
      <c r="E31" s="24" t="str">
        <f ca="1">IF(IFERROR(IF(COPIA!DT24=0,"",VALUE(CONCATENATE(COPIA!DT24,COPIA!$DY24))),"")=0,"",IFERROR(IF(COPIA!DT24=0,"",VALUE(CONCATENATE(COPIA!DT24,COPIA!$DY24))),""))</f>
        <v/>
      </c>
      <c r="F31" s="24" t="str">
        <f ca="1">IF(IFERROR(IF(COPIA!DU24=0,"",VALUE(CONCATENATE(COPIA!DU24,COPIA!$DZ24))),"")=0,"",IFERROR(IF(COPIA!DU24=0,"",VALUE(CONCATENATE(COPIA!DU24,COPIA!$DZ24))),""))</f>
        <v/>
      </c>
      <c r="G31" s="24" t="str">
        <f ca="1">IF(IFERROR(IF(COPIA!DV24=0,"",VALUE(CONCATENATE(COPIA!DV24,COPIA!$DZ24))),"")=0,"",IFERROR(IF(COPIA!DV24=0,"",VALUE(CONCATENATE(COPIA!DV24,COPIA!$DZ24))),""))</f>
        <v/>
      </c>
      <c r="H31" s="6">
        <f ca="1">IFERROR(COPIA!DW24,"")</f>
        <v>0</v>
      </c>
    </row>
    <row r="32" spans="2:8" ht="20.100000000000001" customHeight="1">
      <c r="B32" s="118" t="str">
        <f t="shared" ca="1" si="0"/>
        <v/>
      </c>
      <c r="C32" s="13" t="str">
        <f ca="1">IFERROR(CONCATENATE(COPIA!DR25,COPIA!DX25),"")</f>
        <v/>
      </c>
      <c r="D32" s="24" t="str">
        <f ca="1">IF(IFERROR(IF(COPIA!DS25=0,"",VALUE(CONCATENATE(COPIA!DS25,COPIA!$DY25))),"")=0,"",IFERROR(IF(COPIA!DS25=0,"",VALUE(CONCATENATE(COPIA!DS25,COPIA!$DY25))),""))</f>
        <v/>
      </c>
      <c r="E32" s="24" t="str">
        <f ca="1">IF(IFERROR(IF(COPIA!DT25=0,"",VALUE(CONCATENATE(COPIA!DT25,COPIA!$DY25))),"")=0,"",IFERROR(IF(COPIA!DT25=0,"",VALUE(CONCATENATE(COPIA!DT25,COPIA!$DY25))),""))</f>
        <v/>
      </c>
      <c r="F32" s="24" t="str">
        <f ca="1">IF(IFERROR(IF(COPIA!DU25=0,"",VALUE(CONCATENATE(COPIA!DU25,COPIA!$DZ25))),"")=0,"",IFERROR(IF(COPIA!DU25=0,"",VALUE(CONCATENATE(COPIA!DU25,COPIA!$DZ25))),""))</f>
        <v/>
      </c>
      <c r="G32" s="24" t="str">
        <f ca="1">IF(IFERROR(IF(COPIA!DV25=0,"",VALUE(CONCATENATE(COPIA!DV25,COPIA!$DZ25))),"")=0,"",IFERROR(IF(COPIA!DV25=0,"",VALUE(CONCATENATE(COPIA!DV25,COPIA!$DZ25))),""))</f>
        <v/>
      </c>
      <c r="H32" s="6">
        <f ca="1">IFERROR(COPIA!DW25,"")</f>
        <v>0</v>
      </c>
    </row>
    <row r="33" spans="2:8" ht="20.100000000000001" customHeight="1">
      <c r="B33" s="118" t="str">
        <f t="shared" ca="1" si="0"/>
        <v/>
      </c>
      <c r="C33" s="13" t="str">
        <f ca="1">IFERROR(CONCATENATE(COPIA!DR26,COPIA!DX26),"")</f>
        <v/>
      </c>
      <c r="D33" s="24" t="str">
        <f ca="1">IF(IFERROR(IF(COPIA!DS26=0,"",VALUE(CONCATENATE(COPIA!DS26,COPIA!$DY26))),"")=0,"",IFERROR(IF(COPIA!DS26=0,"",VALUE(CONCATENATE(COPIA!DS26,COPIA!$DY26))),""))</f>
        <v/>
      </c>
      <c r="E33" s="24" t="str">
        <f ca="1">IF(IFERROR(IF(COPIA!DT26=0,"",VALUE(CONCATENATE(COPIA!DT26,COPIA!$DY26))),"")=0,"",IFERROR(IF(COPIA!DT26=0,"",VALUE(CONCATENATE(COPIA!DT26,COPIA!$DY26))),""))</f>
        <v/>
      </c>
      <c r="F33" s="24" t="str">
        <f ca="1">IF(IFERROR(IF(COPIA!DU26=0,"",VALUE(CONCATENATE(COPIA!DU26,COPIA!$DZ26))),"")=0,"",IFERROR(IF(COPIA!DU26=0,"",VALUE(CONCATENATE(COPIA!DU26,COPIA!$DZ26))),""))</f>
        <v/>
      </c>
      <c r="G33" s="24" t="str">
        <f ca="1">IF(IFERROR(IF(COPIA!DV26=0,"",VALUE(CONCATENATE(COPIA!DV26,COPIA!$DZ26))),"")=0,"",IFERROR(IF(COPIA!DV26=0,"",VALUE(CONCATENATE(COPIA!DV26,COPIA!$DZ26))),""))</f>
        <v/>
      </c>
      <c r="H33" s="6">
        <f ca="1">IFERROR(COPIA!DW26,"")</f>
        <v>0</v>
      </c>
    </row>
    <row r="34" spans="2:8" ht="20.100000000000001" customHeight="1">
      <c r="B34" s="118" t="str">
        <f t="shared" ca="1" si="0"/>
        <v/>
      </c>
      <c r="C34" s="13" t="str">
        <f ca="1">IFERROR(CONCATENATE(COPIA!DR27,COPIA!DX27),"")</f>
        <v/>
      </c>
      <c r="D34" s="24" t="str">
        <f ca="1">IF(IFERROR(IF(COPIA!DS27=0,"",VALUE(CONCATENATE(COPIA!DS27,COPIA!$DY27))),"")=0,"",IFERROR(IF(COPIA!DS27=0,"",VALUE(CONCATENATE(COPIA!DS27,COPIA!$DY27))),""))</f>
        <v/>
      </c>
      <c r="E34" s="24" t="str">
        <f ca="1">IF(IFERROR(IF(COPIA!DT27=0,"",VALUE(CONCATENATE(COPIA!DT27,COPIA!$DY27))),"")=0,"",IFERROR(IF(COPIA!DT27=0,"",VALUE(CONCATENATE(COPIA!DT27,COPIA!$DY27))),""))</f>
        <v/>
      </c>
      <c r="F34" s="24" t="str">
        <f ca="1">IF(IFERROR(IF(COPIA!DU27=0,"",VALUE(CONCATENATE(COPIA!DU27,COPIA!$DZ27))),"")=0,"",IFERROR(IF(COPIA!DU27=0,"",VALUE(CONCATENATE(COPIA!DU27,COPIA!$DZ27))),""))</f>
        <v/>
      </c>
      <c r="G34" s="24" t="str">
        <f ca="1">IF(IFERROR(IF(COPIA!DV27=0,"",VALUE(CONCATENATE(COPIA!DV27,COPIA!$DZ27))),"")=0,"",IFERROR(IF(COPIA!DV27=0,"",VALUE(CONCATENATE(COPIA!DV27,COPIA!$DZ27))),""))</f>
        <v/>
      </c>
      <c r="H34" s="6">
        <f ca="1">IFERROR(COPIA!DW27,"")</f>
        <v>0</v>
      </c>
    </row>
    <row r="35" spans="2:8" ht="20.100000000000001" customHeight="1">
      <c r="B35" s="118" t="str">
        <f t="shared" ca="1" si="0"/>
        <v/>
      </c>
      <c r="C35" s="13" t="str">
        <f ca="1">IFERROR(CONCATENATE(COPIA!DR28,COPIA!DX28),"")</f>
        <v/>
      </c>
      <c r="D35" s="24" t="str">
        <f ca="1">IF(IFERROR(IF(COPIA!DS28=0,"",VALUE(CONCATENATE(COPIA!DS28,COPIA!$DY28))),"")=0,"",IFERROR(IF(COPIA!DS28=0,"",VALUE(CONCATENATE(COPIA!DS28,COPIA!$DY28))),""))</f>
        <v/>
      </c>
      <c r="E35" s="24" t="str">
        <f ca="1">IF(IFERROR(IF(COPIA!DT28=0,"",VALUE(CONCATENATE(COPIA!DT28,COPIA!$DY28))),"")=0,"",IFERROR(IF(COPIA!DT28=0,"",VALUE(CONCATENATE(COPIA!DT28,COPIA!$DY28))),""))</f>
        <v/>
      </c>
      <c r="F35" s="24" t="str">
        <f ca="1">IF(IFERROR(IF(COPIA!DU28=0,"",VALUE(CONCATENATE(COPIA!DU28,COPIA!$DZ28))),"")=0,"",IFERROR(IF(COPIA!DU28=0,"",VALUE(CONCATENATE(COPIA!DU28,COPIA!$DZ28))),""))</f>
        <v/>
      </c>
      <c r="G35" s="24" t="str">
        <f ca="1">IF(IFERROR(IF(COPIA!DV28=0,"",VALUE(CONCATENATE(COPIA!DV28,COPIA!$DZ28))),"")=0,"",IFERROR(IF(COPIA!DV28=0,"",VALUE(CONCATENATE(COPIA!DV28,COPIA!$DZ28))),""))</f>
        <v/>
      </c>
      <c r="H35" s="6">
        <f ca="1">IFERROR(COPIA!DW28,"")</f>
        <v>0</v>
      </c>
    </row>
    <row r="36" spans="2:8" ht="20.100000000000001" customHeight="1">
      <c r="B36" s="118" t="str">
        <f t="shared" ca="1" si="0"/>
        <v/>
      </c>
      <c r="C36" s="13" t="str">
        <f ca="1">IFERROR(CONCATENATE(COPIA!DR29,COPIA!DX29),"")</f>
        <v/>
      </c>
      <c r="D36" s="24" t="str">
        <f ca="1">IF(IFERROR(IF(COPIA!DS29=0,"",VALUE(CONCATENATE(COPIA!DS29,COPIA!$DY29))),"")=0,"",IFERROR(IF(COPIA!DS29=0,"",VALUE(CONCATENATE(COPIA!DS29,COPIA!$DY29))),""))</f>
        <v/>
      </c>
      <c r="E36" s="24" t="str">
        <f ca="1">IF(IFERROR(IF(COPIA!DT29=0,"",VALUE(CONCATENATE(COPIA!DT29,COPIA!$DY29))),"")=0,"",IFERROR(IF(COPIA!DT29=0,"",VALUE(CONCATENATE(COPIA!DT29,COPIA!$DY29))),""))</f>
        <v/>
      </c>
      <c r="F36" s="24" t="str">
        <f ca="1">IF(IFERROR(IF(COPIA!DU29=0,"",VALUE(CONCATENATE(COPIA!DU29,COPIA!$DZ29))),"")=0,"",IFERROR(IF(COPIA!DU29=0,"",VALUE(CONCATENATE(COPIA!DU29,COPIA!$DZ29))),""))</f>
        <v/>
      </c>
      <c r="G36" s="24" t="str">
        <f ca="1">IF(IFERROR(IF(COPIA!DV29=0,"",VALUE(CONCATENATE(COPIA!DV29,COPIA!$DZ29))),"")=0,"",IFERROR(IF(COPIA!DV29=0,"",VALUE(CONCATENATE(COPIA!DV29,COPIA!$DZ29))),""))</f>
        <v/>
      </c>
      <c r="H36" s="6">
        <f ca="1">IFERROR(COPIA!DW29,"")</f>
        <v>0</v>
      </c>
    </row>
    <row r="37" spans="2:8" ht="20.100000000000001" customHeight="1">
      <c r="B37" s="118" t="str">
        <f t="shared" ca="1" si="0"/>
        <v/>
      </c>
      <c r="C37" s="13" t="str">
        <f ca="1">IFERROR(CONCATENATE(COPIA!DR30,COPIA!DX30),"")</f>
        <v/>
      </c>
      <c r="D37" s="24" t="str">
        <f ca="1">IF(IFERROR(IF(COPIA!DS30=0,"",VALUE(CONCATENATE(COPIA!DS30,COPIA!$DY30))),"")=0,"",IFERROR(IF(COPIA!DS30=0,"",VALUE(CONCATENATE(COPIA!DS30,COPIA!$DY30))),""))</f>
        <v/>
      </c>
      <c r="E37" s="24" t="str">
        <f ca="1">IF(IFERROR(IF(COPIA!DT30=0,"",VALUE(CONCATENATE(COPIA!DT30,COPIA!$DY30))),"")=0,"",IFERROR(IF(COPIA!DT30=0,"",VALUE(CONCATENATE(COPIA!DT30,COPIA!$DY30))),""))</f>
        <v/>
      </c>
      <c r="F37" s="24" t="str">
        <f ca="1">IF(IFERROR(IF(COPIA!DU30=0,"",VALUE(CONCATENATE(COPIA!DU30,COPIA!$DZ30))),"")=0,"",IFERROR(IF(COPIA!DU30=0,"",VALUE(CONCATENATE(COPIA!DU30,COPIA!$DZ30))),""))</f>
        <v/>
      </c>
      <c r="G37" s="24" t="str">
        <f ca="1">IF(IFERROR(IF(COPIA!DV30=0,"",VALUE(CONCATENATE(COPIA!DV30,COPIA!$DZ30))),"")=0,"",IFERROR(IF(COPIA!DV30=0,"",VALUE(CONCATENATE(COPIA!DV30,COPIA!$DZ30))),""))</f>
        <v/>
      </c>
      <c r="H37" s="6">
        <f ca="1">IFERROR(COPIA!DW30,"")</f>
        <v>0</v>
      </c>
    </row>
    <row r="38" spans="2:8" ht="20.100000000000001" customHeight="1">
      <c r="B38" s="118" t="str">
        <f t="shared" ca="1" si="0"/>
        <v/>
      </c>
      <c r="C38" s="13" t="str">
        <f ca="1">IFERROR(CONCATENATE(COPIA!DR31,COPIA!DX31),"")</f>
        <v/>
      </c>
      <c r="D38" s="24" t="str">
        <f ca="1">IF(IFERROR(IF(COPIA!DS31=0,"",VALUE(CONCATENATE(COPIA!DS31,COPIA!$DY31))),"")=0,"",IFERROR(IF(COPIA!DS31=0,"",VALUE(CONCATENATE(COPIA!DS31,COPIA!$DY31))),""))</f>
        <v/>
      </c>
      <c r="E38" s="24" t="str">
        <f ca="1">IF(IFERROR(IF(COPIA!DT31=0,"",VALUE(CONCATENATE(COPIA!DT31,COPIA!$DY31))),"")=0,"",IFERROR(IF(COPIA!DT31=0,"",VALUE(CONCATENATE(COPIA!DT31,COPIA!$DY31))),""))</f>
        <v/>
      </c>
      <c r="F38" s="24" t="str">
        <f ca="1">IF(IFERROR(IF(COPIA!DU31=0,"",VALUE(CONCATENATE(COPIA!DU31,COPIA!$DZ31))),"")=0,"",IFERROR(IF(COPIA!DU31=0,"",VALUE(CONCATENATE(COPIA!DU31,COPIA!$DZ31))),""))</f>
        <v/>
      </c>
      <c r="G38" s="24" t="str">
        <f ca="1">IF(IFERROR(IF(COPIA!DV31=0,"",VALUE(CONCATENATE(COPIA!DV31,COPIA!$DZ31))),"")=0,"",IFERROR(IF(COPIA!DV31=0,"",VALUE(CONCATENATE(COPIA!DV31,COPIA!$DZ31))),""))</f>
        <v/>
      </c>
      <c r="H38" s="6">
        <f ca="1">IFERROR(COPIA!DW31,"")</f>
        <v>0</v>
      </c>
    </row>
    <row r="39" spans="2:8" ht="20.100000000000001" customHeight="1">
      <c r="B39" s="118" t="str">
        <f t="shared" ca="1" si="0"/>
        <v/>
      </c>
      <c r="C39" s="13" t="str">
        <f ca="1">IFERROR(CONCATENATE(COPIA!DR32,COPIA!DX32),"")</f>
        <v/>
      </c>
      <c r="D39" s="24" t="str">
        <f ca="1">IF(IFERROR(IF(COPIA!DS32=0,"",VALUE(CONCATENATE(COPIA!DS32,COPIA!$DY32))),"")=0,"",IFERROR(IF(COPIA!DS32=0,"",VALUE(CONCATENATE(COPIA!DS32,COPIA!$DY32))),""))</f>
        <v/>
      </c>
      <c r="E39" s="24" t="str">
        <f ca="1">IF(IFERROR(IF(COPIA!DT32=0,"",VALUE(CONCATENATE(COPIA!DT32,COPIA!$DY32))),"")=0,"",IFERROR(IF(COPIA!DT32=0,"",VALUE(CONCATENATE(COPIA!DT32,COPIA!$DY32))),""))</f>
        <v/>
      </c>
      <c r="F39" s="24" t="str">
        <f ca="1">IF(IFERROR(IF(COPIA!DU32=0,"",VALUE(CONCATENATE(COPIA!DU32,COPIA!$DZ32))),"")=0,"",IFERROR(IF(COPIA!DU32=0,"",VALUE(CONCATENATE(COPIA!DU32,COPIA!$DZ32))),""))</f>
        <v/>
      </c>
      <c r="G39" s="24" t="str">
        <f ca="1">IF(IFERROR(IF(COPIA!DV32=0,"",VALUE(CONCATENATE(COPIA!DV32,COPIA!$DZ32))),"")=0,"",IFERROR(IF(COPIA!DV32=0,"",VALUE(CONCATENATE(COPIA!DV32,COPIA!$DZ32))),""))</f>
        <v/>
      </c>
      <c r="H39" s="6">
        <f ca="1">IFERROR(COPIA!DW32,"")</f>
        <v>0</v>
      </c>
    </row>
    <row r="40" spans="2:8" ht="20.100000000000001" customHeight="1">
      <c r="B40" s="118" t="str">
        <f t="shared" ca="1" si="0"/>
        <v/>
      </c>
      <c r="C40" s="13" t="str">
        <f ca="1">IFERROR(CONCATENATE(COPIA!DR33,COPIA!DX33),"")</f>
        <v/>
      </c>
      <c r="D40" s="24" t="str">
        <f ca="1">IF(IFERROR(IF(COPIA!DS33=0,"",VALUE(CONCATENATE(COPIA!DS33,COPIA!$DY33))),"")=0,"",IFERROR(IF(COPIA!DS33=0,"",VALUE(CONCATENATE(COPIA!DS33,COPIA!$DY33))),""))</f>
        <v/>
      </c>
      <c r="E40" s="24" t="str">
        <f ca="1">IF(IFERROR(IF(COPIA!DT33=0,"",VALUE(CONCATENATE(COPIA!DT33,COPIA!$DY33))),"")=0,"",IFERROR(IF(COPIA!DT33=0,"",VALUE(CONCATENATE(COPIA!DT33,COPIA!$DY33))),""))</f>
        <v/>
      </c>
      <c r="F40" s="24" t="str">
        <f ca="1">IF(IFERROR(IF(COPIA!DU33=0,"",VALUE(CONCATENATE(COPIA!DU33,COPIA!$DZ33))),"")=0,"",IFERROR(IF(COPIA!DU33=0,"",VALUE(CONCATENATE(COPIA!DU33,COPIA!$DZ33))),""))</f>
        <v/>
      </c>
      <c r="G40" s="24" t="str">
        <f ca="1">IF(IFERROR(IF(COPIA!DV33=0,"",VALUE(CONCATENATE(COPIA!DV33,COPIA!$DZ33))),"")=0,"",IFERROR(IF(COPIA!DV33=0,"",VALUE(CONCATENATE(COPIA!DV33,COPIA!$DZ33))),""))</f>
        <v/>
      </c>
      <c r="H40" s="6">
        <f ca="1">IFERROR(COPIA!DW33,"")</f>
        <v>0</v>
      </c>
    </row>
    <row r="41" spans="2:8" ht="20.100000000000001" customHeight="1">
      <c r="B41" s="118" t="str">
        <f t="shared" ca="1" si="0"/>
        <v/>
      </c>
      <c r="C41" s="13" t="str">
        <f ca="1">IFERROR(CONCATENATE(COPIA!DR34,COPIA!DX34),"")</f>
        <v/>
      </c>
      <c r="D41" s="24" t="str">
        <f ca="1">IF(IFERROR(IF(COPIA!DS34=0,"",VALUE(CONCATENATE(COPIA!DS34,COPIA!$DY34))),"")=0,"",IFERROR(IF(COPIA!DS34=0,"",VALUE(CONCATENATE(COPIA!DS34,COPIA!$DY34))),""))</f>
        <v/>
      </c>
      <c r="E41" s="24" t="str">
        <f ca="1">IF(IFERROR(IF(COPIA!DT34=0,"",VALUE(CONCATENATE(COPIA!DT34,COPIA!$DY34))),"")=0,"",IFERROR(IF(COPIA!DT34=0,"",VALUE(CONCATENATE(COPIA!DT34,COPIA!$DY34))),""))</f>
        <v/>
      </c>
      <c r="F41" s="24" t="str">
        <f ca="1">IF(IFERROR(IF(COPIA!DU34=0,"",VALUE(CONCATENATE(COPIA!DU34,COPIA!$DZ34))),"")=0,"",IFERROR(IF(COPIA!DU34=0,"",VALUE(CONCATENATE(COPIA!DU34,COPIA!$DZ34))),""))</f>
        <v/>
      </c>
      <c r="G41" s="24" t="str">
        <f ca="1">IF(IFERROR(IF(COPIA!DV34=0,"",VALUE(CONCATENATE(COPIA!DV34,COPIA!$DZ34))),"")=0,"",IFERROR(IF(COPIA!DV34=0,"",VALUE(CONCATENATE(COPIA!DV34,COPIA!$DZ34))),""))</f>
        <v/>
      </c>
      <c r="H41" s="6">
        <f ca="1">IFERROR(COPIA!DW34,"")</f>
        <v>0</v>
      </c>
    </row>
    <row r="42" spans="2:8" ht="20.100000000000001" customHeight="1">
      <c r="B42" s="118" t="str">
        <f t="shared" ca="1" si="0"/>
        <v/>
      </c>
      <c r="C42" s="13" t="str">
        <f ca="1">IFERROR(CONCATENATE(COPIA!DR35,COPIA!DX35),"")</f>
        <v/>
      </c>
      <c r="D42" s="24" t="str">
        <f ca="1">IF(IFERROR(IF(COPIA!DS35=0,"",VALUE(CONCATENATE(COPIA!DS35,COPIA!$DY35))),"")=0,"",IFERROR(IF(COPIA!DS35=0,"",VALUE(CONCATENATE(COPIA!DS35,COPIA!$DY35))),""))</f>
        <v/>
      </c>
      <c r="E42" s="24" t="str">
        <f ca="1">IF(IFERROR(IF(COPIA!DT35=0,"",VALUE(CONCATENATE(COPIA!DT35,COPIA!$DY35))),"")=0,"",IFERROR(IF(COPIA!DT35=0,"",VALUE(CONCATENATE(COPIA!DT35,COPIA!$DY35))),""))</f>
        <v/>
      </c>
      <c r="F42" s="24" t="str">
        <f ca="1">IF(IFERROR(IF(COPIA!DU35=0,"",VALUE(CONCATENATE(COPIA!DU35,COPIA!$DZ35))),"")=0,"",IFERROR(IF(COPIA!DU35=0,"",VALUE(CONCATENATE(COPIA!DU35,COPIA!$DZ35))),""))</f>
        <v/>
      </c>
      <c r="G42" s="24" t="str">
        <f ca="1">IF(IFERROR(IF(COPIA!DV35=0,"",VALUE(CONCATENATE(COPIA!DV35,COPIA!$DZ35))),"")=0,"",IFERROR(IF(COPIA!DV35=0,"",VALUE(CONCATENATE(COPIA!DV35,COPIA!$DZ35))),""))</f>
        <v/>
      </c>
      <c r="H42" s="6">
        <f ca="1">IFERROR(COPIA!DW35,"")</f>
        <v>0</v>
      </c>
    </row>
    <row r="43" spans="2:8" ht="20.100000000000001" customHeight="1">
      <c r="B43" s="118" t="str">
        <f t="shared" ca="1" si="0"/>
        <v/>
      </c>
      <c r="C43" s="13" t="str">
        <f ca="1">IFERROR(CONCATENATE(COPIA!DR36,COPIA!DX36),"")</f>
        <v/>
      </c>
      <c r="D43" s="24" t="str">
        <f ca="1">IF(IFERROR(IF(COPIA!DS36=0,"",VALUE(CONCATENATE(COPIA!DS36,COPIA!$DY36))),"")=0,"",IFERROR(IF(COPIA!DS36=0,"",VALUE(CONCATENATE(COPIA!DS36,COPIA!$DY36))),""))</f>
        <v/>
      </c>
      <c r="E43" s="24" t="str">
        <f ca="1">IF(IFERROR(IF(COPIA!DT36=0,"",VALUE(CONCATENATE(COPIA!DT36,COPIA!$DY36))),"")=0,"",IFERROR(IF(COPIA!DT36=0,"",VALUE(CONCATENATE(COPIA!DT36,COPIA!$DY36))),""))</f>
        <v/>
      </c>
      <c r="F43" s="24" t="str">
        <f ca="1">IF(IFERROR(IF(COPIA!DU36=0,"",VALUE(CONCATENATE(COPIA!DU36,COPIA!$DZ36))),"")=0,"",IFERROR(IF(COPIA!DU36=0,"",VALUE(CONCATENATE(COPIA!DU36,COPIA!$DZ36))),""))</f>
        <v/>
      </c>
      <c r="G43" s="24" t="str">
        <f ca="1">IF(IFERROR(IF(COPIA!DV36=0,"",VALUE(CONCATENATE(COPIA!DV36,COPIA!$DZ36))),"")=0,"",IFERROR(IF(COPIA!DV36=0,"",VALUE(CONCATENATE(COPIA!DV36,COPIA!$DZ36))),""))</f>
        <v/>
      </c>
      <c r="H43" s="6">
        <f ca="1">IFERROR(COPIA!DW36,"")</f>
        <v>0</v>
      </c>
    </row>
    <row r="44" spans="2:8" ht="20.100000000000001" customHeight="1">
      <c r="B44" s="118" t="str">
        <f t="shared" ca="1" si="0"/>
        <v/>
      </c>
      <c r="C44" s="13" t="str">
        <f ca="1">IFERROR(CONCATENATE(COPIA!DR37,COPIA!DX37),"")</f>
        <v/>
      </c>
      <c r="D44" s="24" t="str">
        <f ca="1">IF(IFERROR(IF(COPIA!DS37=0,"",VALUE(CONCATENATE(COPIA!DS37,COPIA!$DY37))),"")=0,"",IFERROR(IF(COPIA!DS37=0,"",VALUE(CONCATENATE(COPIA!DS37,COPIA!$DY37))),""))</f>
        <v/>
      </c>
      <c r="E44" s="24" t="str">
        <f ca="1">IF(IFERROR(IF(COPIA!DT37=0,"",VALUE(CONCATENATE(COPIA!DT37,COPIA!$DY37))),"")=0,"",IFERROR(IF(COPIA!DT37=0,"",VALUE(CONCATENATE(COPIA!DT37,COPIA!$DY37))),""))</f>
        <v/>
      </c>
      <c r="F44" s="24" t="str">
        <f ca="1">IF(IFERROR(IF(COPIA!DU37=0,"",VALUE(CONCATENATE(COPIA!DU37,COPIA!$DZ37))),"")=0,"",IFERROR(IF(COPIA!DU37=0,"",VALUE(CONCATENATE(COPIA!DU37,COPIA!$DZ37))),""))</f>
        <v/>
      </c>
      <c r="G44" s="24" t="str">
        <f ca="1">IF(IFERROR(IF(COPIA!DV37=0,"",VALUE(CONCATENATE(COPIA!DV37,COPIA!$DZ37))),"")=0,"",IFERROR(IF(COPIA!DV37=0,"",VALUE(CONCATENATE(COPIA!DV37,COPIA!$DZ37))),""))</f>
        <v/>
      </c>
      <c r="H44" s="6">
        <f ca="1">IFERROR(COPIA!DW37,"")</f>
        <v>0</v>
      </c>
    </row>
    <row r="45" spans="2:8" ht="20.100000000000001" customHeight="1">
      <c r="B45" s="118" t="str">
        <f t="shared" ca="1" si="0"/>
        <v/>
      </c>
      <c r="C45" s="13" t="str">
        <f ca="1">IFERROR(CONCATENATE(COPIA!DR38,COPIA!DX38),"")</f>
        <v/>
      </c>
      <c r="D45" s="24" t="str">
        <f ca="1">IF(IFERROR(IF(COPIA!DS38=0,"",VALUE(CONCATENATE(COPIA!DS38,COPIA!$DY38))),"")=0,"",IFERROR(IF(COPIA!DS38=0,"",VALUE(CONCATENATE(COPIA!DS38,COPIA!$DY38))),""))</f>
        <v/>
      </c>
      <c r="E45" s="24" t="str">
        <f ca="1">IF(IFERROR(IF(COPIA!DT38=0,"",VALUE(CONCATENATE(COPIA!DT38,COPIA!$DY38))),"")=0,"",IFERROR(IF(COPIA!DT38=0,"",VALUE(CONCATENATE(COPIA!DT38,COPIA!$DY38))),""))</f>
        <v/>
      </c>
      <c r="F45" s="24" t="str">
        <f ca="1">IF(IFERROR(IF(COPIA!DU38=0,"",VALUE(CONCATENATE(COPIA!DU38,COPIA!$DZ38))),"")=0,"",IFERROR(IF(COPIA!DU38=0,"",VALUE(CONCATENATE(COPIA!DU38,COPIA!$DZ38))),""))</f>
        <v/>
      </c>
      <c r="G45" s="24" t="str">
        <f ca="1">IF(IFERROR(IF(COPIA!DV38=0,"",VALUE(CONCATENATE(COPIA!DV38,COPIA!$DZ38))),"")=0,"",IFERROR(IF(COPIA!DV38=0,"",VALUE(CONCATENATE(COPIA!DV38,COPIA!$DZ38))),""))</f>
        <v/>
      </c>
      <c r="H45" s="6">
        <f ca="1">IFERROR(COPIA!DW38,"")</f>
        <v>0</v>
      </c>
    </row>
    <row r="46" spans="2:8" ht="20.100000000000001" customHeight="1">
      <c r="B46" s="118" t="str">
        <f t="shared" ca="1" si="0"/>
        <v/>
      </c>
      <c r="C46" s="13" t="str">
        <f ca="1">IFERROR(CONCATENATE(COPIA!DR39,COPIA!DX39),"")</f>
        <v/>
      </c>
      <c r="D46" s="24" t="str">
        <f ca="1">IF(IFERROR(IF(COPIA!DS39=0,"",VALUE(CONCATENATE(COPIA!DS39,COPIA!$DY39))),"")=0,"",IFERROR(IF(COPIA!DS39=0,"",VALUE(CONCATENATE(COPIA!DS39,COPIA!$DY39))),""))</f>
        <v/>
      </c>
      <c r="E46" s="24" t="str">
        <f ca="1">IF(IFERROR(IF(COPIA!DT39=0,"",VALUE(CONCATENATE(COPIA!DT39,COPIA!$DY39))),"")=0,"",IFERROR(IF(COPIA!DT39=0,"",VALUE(CONCATENATE(COPIA!DT39,COPIA!$DY39))),""))</f>
        <v/>
      </c>
      <c r="F46" s="24" t="str">
        <f ca="1">IF(IFERROR(IF(COPIA!DU39=0,"",VALUE(CONCATENATE(COPIA!DU39,COPIA!$DZ39))),"")=0,"",IFERROR(IF(COPIA!DU39=0,"",VALUE(CONCATENATE(COPIA!DU39,COPIA!$DZ39))),""))</f>
        <v/>
      </c>
      <c r="G46" s="24" t="str">
        <f ca="1">IF(IFERROR(IF(COPIA!DV39=0,"",VALUE(CONCATENATE(COPIA!DV39,COPIA!$DZ39))),"")=0,"",IFERROR(IF(COPIA!DV39=0,"",VALUE(CONCATENATE(COPIA!DV39,COPIA!$DZ39))),""))</f>
        <v/>
      </c>
      <c r="H46" s="6">
        <f ca="1">IFERROR(COPIA!DW39,"")</f>
        <v>0</v>
      </c>
    </row>
    <row r="47" spans="2:8" ht="20.100000000000001" customHeight="1">
      <c r="B47" s="118" t="str">
        <f t="shared" ca="1" si="0"/>
        <v/>
      </c>
      <c r="C47" s="13" t="str">
        <f ca="1">IFERROR(CONCATENATE(COPIA!DR40,COPIA!DX40),"")</f>
        <v/>
      </c>
      <c r="D47" s="24" t="str">
        <f ca="1">IF(IFERROR(IF(COPIA!DS40=0,"",VALUE(CONCATENATE(COPIA!DS40,COPIA!$DY40))),"")=0,"",IFERROR(IF(COPIA!DS40=0,"",VALUE(CONCATENATE(COPIA!DS40,COPIA!$DY40))),""))</f>
        <v/>
      </c>
      <c r="E47" s="24" t="str">
        <f ca="1">IF(IFERROR(IF(COPIA!DT40=0,"",VALUE(CONCATENATE(COPIA!DT40,COPIA!$DY40))),"")=0,"",IFERROR(IF(COPIA!DT40=0,"",VALUE(CONCATENATE(COPIA!DT40,COPIA!$DY40))),""))</f>
        <v/>
      </c>
      <c r="F47" s="24" t="str">
        <f ca="1">IF(IFERROR(IF(COPIA!DU40=0,"",VALUE(CONCATENATE(COPIA!DU40,COPIA!$DZ40))),"")=0,"",IFERROR(IF(COPIA!DU40=0,"",VALUE(CONCATENATE(COPIA!DU40,COPIA!$DZ40))),""))</f>
        <v/>
      </c>
      <c r="G47" s="24" t="str">
        <f ca="1">IF(IFERROR(IF(COPIA!DV40=0,"",VALUE(CONCATENATE(COPIA!DV40,COPIA!$DZ40))),"")=0,"",IFERROR(IF(COPIA!DV40=0,"",VALUE(CONCATENATE(COPIA!DV40,COPIA!$DZ40))),""))</f>
        <v/>
      </c>
      <c r="H47" s="6">
        <f ca="1">IFERROR(COPIA!DW40,"")</f>
        <v>0</v>
      </c>
    </row>
    <row r="48" spans="2:8" ht="20.100000000000001" customHeight="1">
      <c r="B48" s="118" t="str">
        <f t="shared" ca="1" si="0"/>
        <v/>
      </c>
      <c r="C48" s="13" t="str">
        <f ca="1">IFERROR(CONCATENATE(COPIA!DR41,COPIA!DX41),"")</f>
        <v/>
      </c>
      <c r="D48" s="24" t="str">
        <f ca="1">IF(IFERROR(IF(COPIA!DS41=0,"",VALUE(CONCATENATE(COPIA!DS41,COPIA!$DY41))),"")=0,"",IFERROR(IF(COPIA!DS41=0,"",VALUE(CONCATENATE(COPIA!DS41,COPIA!$DY41))),""))</f>
        <v/>
      </c>
      <c r="E48" s="24" t="str">
        <f ca="1">IF(IFERROR(IF(COPIA!DT41=0,"",VALUE(CONCATENATE(COPIA!DT41,COPIA!$DY41))),"")=0,"",IFERROR(IF(COPIA!DT41=0,"",VALUE(CONCATENATE(COPIA!DT41,COPIA!$DY41))),""))</f>
        <v/>
      </c>
      <c r="F48" s="24" t="str">
        <f ca="1">IF(IFERROR(IF(COPIA!DU41=0,"",VALUE(CONCATENATE(COPIA!DU41,COPIA!$DZ41))),"")=0,"",IFERROR(IF(COPIA!DU41=0,"",VALUE(CONCATENATE(COPIA!DU41,COPIA!$DZ41))),""))</f>
        <v/>
      </c>
      <c r="G48" s="24" t="str">
        <f ca="1">IF(IFERROR(IF(COPIA!DV41=0,"",VALUE(CONCATENATE(COPIA!DV41,COPIA!$DZ41))),"")=0,"",IFERROR(IF(COPIA!DV41=0,"",VALUE(CONCATENATE(COPIA!DV41,COPIA!$DZ41))),""))</f>
        <v/>
      </c>
      <c r="H48" s="6">
        <f ca="1">IFERROR(COPIA!DW41,"")</f>
        <v>0</v>
      </c>
    </row>
    <row r="49" spans="2:8" ht="20.100000000000001" customHeight="1">
      <c r="B49" s="118" t="str">
        <f t="shared" ca="1" si="0"/>
        <v/>
      </c>
      <c r="C49" s="13" t="str">
        <f ca="1">IFERROR(CONCATENATE(COPIA!DR42,COPIA!DX42),"")</f>
        <v/>
      </c>
      <c r="D49" s="24" t="str">
        <f ca="1">IF(IFERROR(IF(COPIA!DS42=0,"",VALUE(CONCATENATE(COPIA!DS42,COPIA!$DY42))),"")=0,"",IFERROR(IF(COPIA!DS42=0,"",VALUE(CONCATENATE(COPIA!DS42,COPIA!$DY42))),""))</f>
        <v/>
      </c>
      <c r="E49" s="24" t="str">
        <f ca="1">IF(IFERROR(IF(COPIA!DT42=0,"",VALUE(CONCATENATE(COPIA!DT42,COPIA!$DY42))),"")=0,"",IFERROR(IF(COPIA!DT42=0,"",VALUE(CONCATENATE(COPIA!DT42,COPIA!$DY42))),""))</f>
        <v/>
      </c>
      <c r="F49" s="24" t="str">
        <f ca="1">IF(IFERROR(IF(COPIA!DU42=0,"",VALUE(CONCATENATE(COPIA!DU42,COPIA!$DZ42))),"")=0,"",IFERROR(IF(COPIA!DU42=0,"",VALUE(CONCATENATE(COPIA!DU42,COPIA!$DZ42))),""))</f>
        <v/>
      </c>
      <c r="G49" s="24" t="str">
        <f ca="1">IF(IFERROR(IF(COPIA!DV42=0,"",VALUE(CONCATENATE(COPIA!DV42,COPIA!$DZ42))),"")=0,"",IFERROR(IF(COPIA!DV42=0,"",VALUE(CONCATENATE(COPIA!DV42,COPIA!$DZ42))),""))</f>
        <v/>
      </c>
      <c r="H49" s="6">
        <f ca="1">IFERROR(COPIA!DW42,"")</f>
        <v>0</v>
      </c>
    </row>
    <row r="50" spans="2:8" ht="20.100000000000001" customHeight="1">
      <c r="B50" s="118" t="str">
        <f t="shared" ca="1" si="0"/>
        <v/>
      </c>
      <c r="C50" s="13" t="str">
        <f ca="1">IFERROR(CONCATENATE(COPIA!DR43,COPIA!DX43),"")</f>
        <v/>
      </c>
      <c r="D50" s="24" t="str">
        <f ca="1">IF(IFERROR(IF(COPIA!DS43=0,"",VALUE(CONCATENATE(COPIA!DS43,COPIA!$DY43))),"")=0,"",IFERROR(IF(COPIA!DS43=0,"",VALUE(CONCATENATE(COPIA!DS43,COPIA!$DY43))),""))</f>
        <v/>
      </c>
      <c r="E50" s="24" t="str">
        <f ca="1">IF(IFERROR(IF(COPIA!DT43=0,"",VALUE(CONCATENATE(COPIA!DT43,COPIA!$DY43))),"")=0,"",IFERROR(IF(COPIA!DT43=0,"",VALUE(CONCATENATE(COPIA!DT43,COPIA!$DY43))),""))</f>
        <v/>
      </c>
      <c r="F50" s="24" t="str">
        <f ca="1">IF(IFERROR(IF(COPIA!DU43=0,"",VALUE(CONCATENATE(COPIA!DU43,COPIA!$DZ43))),"")=0,"",IFERROR(IF(COPIA!DU43=0,"",VALUE(CONCATENATE(COPIA!DU43,COPIA!$DZ43))),""))</f>
        <v/>
      </c>
      <c r="G50" s="24" t="str">
        <f ca="1">IF(IFERROR(IF(COPIA!DV43=0,"",VALUE(CONCATENATE(COPIA!DV43,COPIA!$DZ43))),"")=0,"",IFERROR(IF(COPIA!DV43=0,"",VALUE(CONCATENATE(COPIA!DV43,COPIA!$DZ43))),""))</f>
        <v/>
      </c>
      <c r="H50" s="6">
        <f ca="1">IFERROR(COPIA!DW43,"")</f>
        <v>0</v>
      </c>
    </row>
    <row r="51" spans="2:8" ht="20.100000000000001" customHeight="1">
      <c r="B51" s="118" t="str">
        <f t="shared" ca="1" si="0"/>
        <v/>
      </c>
      <c r="C51" s="13" t="str">
        <f ca="1">IFERROR(CONCATENATE(COPIA!DR44,COPIA!DX44),"")</f>
        <v/>
      </c>
      <c r="D51" s="24" t="str">
        <f ca="1">IF(IFERROR(IF(COPIA!DS44=0,"",VALUE(CONCATENATE(COPIA!DS44,COPIA!$DY44))),"")=0,"",IFERROR(IF(COPIA!DS44=0,"",VALUE(CONCATENATE(COPIA!DS44,COPIA!$DY44))),""))</f>
        <v/>
      </c>
      <c r="E51" s="24" t="str">
        <f ca="1">IF(IFERROR(IF(COPIA!DT44=0,"",VALUE(CONCATENATE(COPIA!DT44,COPIA!$DY44))),"")=0,"",IFERROR(IF(COPIA!DT44=0,"",VALUE(CONCATENATE(COPIA!DT44,COPIA!$DY44))),""))</f>
        <v/>
      </c>
      <c r="F51" s="24" t="str">
        <f ca="1">IF(IFERROR(IF(COPIA!DU44=0,"",VALUE(CONCATENATE(COPIA!DU44,COPIA!$DZ44))),"")=0,"",IFERROR(IF(COPIA!DU44=0,"",VALUE(CONCATENATE(COPIA!DU44,COPIA!$DZ44))),""))</f>
        <v/>
      </c>
      <c r="G51" s="24" t="str">
        <f ca="1">IF(IFERROR(IF(COPIA!DV44=0,"",VALUE(CONCATENATE(COPIA!DV44,COPIA!$DZ44))),"")=0,"",IFERROR(IF(COPIA!DV44=0,"",VALUE(CONCATENATE(COPIA!DV44,COPIA!$DZ44))),""))</f>
        <v/>
      </c>
      <c r="H51" s="6">
        <f ca="1">IFERROR(COPIA!DW44,"")</f>
        <v>0</v>
      </c>
    </row>
    <row r="52" spans="2:8" ht="20.100000000000001" customHeight="1">
      <c r="B52" s="118" t="str">
        <f t="shared" ca="1" si="0"/>
        <v/>
      </c>
      <c r="C52" s="13" t="str">
        <f ca="1">IFERROR(CONCATENATE(COPIA!DR45,COPIA!DX45),"")</f>
        <v/>
      </c>
      <c r="D52" s="24" t="str">
        <f ca="1">IF(IFERROR(IF(COPIA!DS45=0,"",VALUE(CONCATENATE(COPIA!DS45,COPIA!$DY45))),"")=0,"",IFERROR(IF(COPIA!DS45=0,"",VALUE(CONCATENATE(COPIA!DS45,COPIA!$DY45))),""))</f>
        <v/>
      </c>
      <c r="E52" s="24" t="str">
        <f ca="1">IF(IFERROR(IF(COPIA!DT45=0,"",VALUE(CONCATENATE(COPIA!DT45,COPIA!$DY45))),"")=0,"",IFERROR(IF(COPIA!DT45=0,"",VALUE(CONCATENATE(COPIA!DT45,COPIA!$DY45))),""))</f>
        <v/>
      </c>
      <c r="F52" s="24" t="str">
        <f ca="1">IF(IFERROR(IF(COPIA!DU45=0,"",VALUE(CONCATENATE(COPIA!DU45,COPIA!$DZ45))),"")=0,"",IFERROR(IF(COPIA!DU45=0,"",VALUE(CONCATENATE(COPIA!DU45,COPIA!$DZ45))),""))</f>
        <v/>
      </c>
      <c r="G52" s="24" t="str">
        <f ca="1">IF(IFERROR(IF(COPIA!DV45=0,"",VALUE(CONCATENATE(COPIA!DV45,COPIA!$DZ45))),"")=0,"",IFERROR(IF(COPIA!DV45=0,"",VALUE(CONCATENATE(COPIA!DV45,COPIA!$DZ45))),""))</f>
        <v/>
      </c>
      <c r="H52" s="6">
        <f ca="1">IFERROR(COPIA!DW45,"")</f>
        <v>0</v>
      </c>
    </row>
    <row r="53" spans="2:8" ht="20.100000000000001" customHeight="1">
      <c r="B53" s="118" t="str">
        <f t="shared" ca="1" si="0"/>
        <v/>
      </c>
      <c r="C53" s="13" t="str">
        <f ca="1">IFERROR(CONCATENATE(COPIA!DR46,COPIA!DX46),"")</f>
        <v/>
      </c>
      <c r="D53" s="24" t="str">
        <f ca="1">IF(IFERROR(IF(COPIA!DS46=0,"",VALUE(CONCATENATE(COPIA!DS46,COPIA!$DY46))),"")=0,"",IFERROR(IF(COPIA!DS46=0,"",VALUE(CONCATENATE(COPIA!DS46,COPIA!$DY46))),""))</f>
        <v/>
      </c>
      <c r="E53" s="24" t="str">
        <f ca="1">IF(IFERROR(IF(COPIA!DT46=0,"",VALUE(CONCATENATE(COPIA!DT46,COPIA!$DY46))),"")=0,"",IFERROR(IF(COPIA!DT46=0,"",VALUE(CONCATENATE(COPIA!DT46,COPIA!$DY46))),""))</f>
        <v/>
      </c>
      <c r="F53" s="24" t="str">
        <f ca="1">IF(IFERROR(IF(COPIA!DU46=0,"",VALUE(CONCATENATE(COPIA!DU46,COPIA!$DZ46))),"")=0,"",IFERROR(IF(COPIA!DU46=0,"",VALUE(CONCATENATE(COPIA!DU46,COPIA!$DZ46))),""))</f>
        <v/>
      </c>
      <c r="G53" s="24" t="str">
        <f ca="1">IF(IFERROR(IF(COPIA!DV46=0,"",VALUE(CONCATENATE(COPIA!DV46,COPIA!$DZ46))),"")=0,"",IFERROR(IF(COPIA!DV46=0,"",VALUE(CONCATENATE(COPIA!DV46,COPIA!$DZ46))),""))</f>
        <v/>
      </c>
      <c r="H53" s="6">
        <f ca="1">IFERROR(COPIA!DW46,"")</f>
        <v>0</v>
      </c>
    </row>
    <row r="54" spans="2:8" ht="20.100000000000001" customHeight="1">
      <c r="B54" s="118" t="str">
        <f t="shared" ca="1" si="0"/>
        <v/>
      </c>
      <c r="C54" s="13" t="str">
        <f ca="1">IFERROR(CONCATENATE(COPIA!DR47,COPIA!DX47),"")</f>
        <v/>
      </c>
      <c r="D54" s="24" t="str">
        <f ca="1">IF(IFERROR(IF(COPIA!DS47=0,"",VALUE(CONCATENATE(COPIA!DS47,COPIA!$DY47))),"")=0,"",IFERROR(IF(COPIA!DS47=0,"",VALUE(CONCATENATE(COPIA!DS47,COPIA!$DY47))),""))</f>
        <v/>
      </c>
      <c r="E54" s="24" t="str">
        <f ca="1">IF(IFERROR(IF(COPIA!DT47=0,"",VALUE(CONCATENATE(COPIA!DT47,COPIA!$DY47))),"")=0,"",IFERROR(IF(COPIA!DT47=0,"",VALUE(CONCATENATE(COPIA!DT47,COPIA!$DY47))),""))</f>
        <v/>
      </c>
      <c r="F54" s="24" t="str">
        <f ca="1">IF(IFERROR(IF(COPIA!DU47=0,"",VALUE(CONCATENATE(COPIA!DU47,COPIA!$DZ47))),"")=0,"",IFERROR(IF(COPIA!DU47=0,"",VALUE(CONCATENATE(COPIA!DU47,COPIA!$DZ47))),""))</f>
        <v/>
      </c>
      <c r="G54" s="24" t="str">
        <f ca="1">IF(IFERROR(IF(COPIA!DV47=0,"",VALUE(CONCATENATE(COPIA!DV47,COPIA!$DZ47))),"")=0,"",IFERROR(IF(COPIA!DV47=0,"",VALUE(CONCATENATE(COPIA!DV47,COPIA!$DZ47))),""))</f>
        <v/>
      </c>
      <c r="H54" s="6">
        <f ca="1">IFERROR(COPIA!DW47,"")</f>
        <v>0</v>
      </c>
    </row>
    <row r="55" spans="2:8" ht="20.100000000000001" customHeight="1">
      <c r="B55" s="118" t="str">
        <f t="shared" ca="1" si="0"/>
        <v/>
      </c>
      <c r="C55" s="13" t="str">
        <f ca="1">IFERROR(CONCATENATE(COPIA!DR48,COPIA!DX48),"")</f>
        <v/>
      </c>
      <c r="D55" s="24" t="str">
        <f ca="1">IF(IFERROR(IF(COPIA!DS48=0,"",VALUE(CONCATENATE(COPIA!DS48,COPIA!$DY48))),"")=0,"",IFERROR(IF(COPIA!DS48=0,"",VALUE(CONCATENATE(COPIA!DS48,COPIA!$DY48))),""))</f>
        <v/>
      </c>
      <c r="E55" s="24" t="str">
        <f ca="1">IF(IFERROR(IF(COPIA!DT48=0,"",VALUE(CONCATENATE(COPIA!DT48,COPIA!$DY48))),"")=0,"",IFERROR(IF(COPIA!DT48=0,"",VALUE(CONCATENATE(COPIA!DT48,COPIA!$DY48))),""))</f>
        <v/>
      </c>
      <c r="F55" s="24" t="str">
        <f ca="1">IF(IFERROR(IF(COPIA!DU48=0,"",VALUE(CONCATENATE(COPIA!DU48,COPIA!$DZ48))),"")=0,"",IFERROR(IF(COPIA!DU48=0,"",VALUE(CONCATENATE(COPIA!DU48,COPIA!$DZ48))),""))</f>
        <v/>
      </c>
      <c r="G55" s="24" t="str">
        <f ca="1">IF(IFERROR(IF(COPIA!DV48=0,"",VALUE(CONCATENATE(COPIA!DV48,COPIA!$DZ48))),"")=0,"",IFERROR(IF(COPIA!DV48=0,"",VALUE(CONCATENATE(COPIA!DV48,COPIA!$DZ48))),""))</f>
        <v/>
      </c>
      <c r="H55" s="6">
        <f ca="1">IFERROR(COPIA!DW48,"")</f>
        <v>0</v>
      </c>
    </row>
    <row r="56" spans="2:8" ht="20.100000000000001" customHeight="1">
      <c r="B56" s="118" t="str">
        <f t="shared" ca="1" si="0"/>
        <v/>
      </c>
      <c r="C56" s="13" t="str">
        <f ca="1">IFERROR(CONCATENATE(COPIA!DR49,COPIA!DX49),"")</f>
        <v/>
      </c>
      <c r="D56" s="24" t="str">
        <f ca="1">IF(IFERROR(IF(COPIA!DS49=0,"",VALUE(CONCATENATE(COPIA!DS49,COPIA!$DY49))),"")=0,"",IFERROR(IF(COPIA!DS49=0,"",VALUE(CONCATENATE(COPIA!DS49,COPIA!$DY49))),""))</f>
        <v/>
      </c>
      <c r="E56" s="24" t="str">
        <f ca="1">IF(IFERROR(IF(COPIA!DT49=0,"",VALUE(CONCATENATE(COPIA!DT49,COPIA!$DY49))),"")=0,"",IFERROR(IF(COPIA!DT49=0,"",VALUE(CONCATENATE(COPIA!DT49,COPIA!$DY49))),""))</f>
        <v/>
      </c>
      <c r="F56" s="24" t="str">
        <f ca="1">IF(IFERROR(IF(COPIA!DU49=0,"",VALUE(CONCATENATE(COPIA!DU49,COPIA!$DZ49))),"")=0,"",IFERROR(IF(COPIA!DU49=0,"",VALUE(CONCATENATE(COPIA!DU49,COPIA!$DZ49))),""))</f>
        <v/>
      </c>
      <c r="G56" s="24" t="str">
        <f ca="1">IF(IFERROR(IF(COPIA!DV49=0,"",VALUE(CONCATENATE(COPIA!DV49,COPIA!$DZ49))),"")=0,"",IFERROR(IF(COPIA!DV49=0,"",VALUE(CONCATENATE(COPIA!DV49,COPIA!$DZ49))),""))</f>
        <v/>
      </c>
      <c r="H56" s="6">
        <f ca="1">IFERROR(COPIA!DW49,"")</f>
        <v>0</v>
      </c>
    </row>
    <row r="57" spans="2:8" ht="20.100000000000001" customHeight="1">
      <c r="B57" s="118" t="str">
        <f t="shared" ca="1" si="0"/>
        <v/>
      </c>
      <c r="C57" s="13" t="str">
        <f ca="1">IFERROR(CONCATENATE(COPIA!DR50,COPIA!DX50),"")</f>
        <v/>
      </c>
      <c r="D57" s="24" t="str">
        <f ca="1">IF(IFERROR(IF(COPIA!DS50=0,"",VALUE(CONCATENATE(COPIA!DS50,COPIA!$DY50))),"")=0,"",IFERROR(IF(COPIA!DS50=0,"",VALUE(CONCATENATE(COPIA!DS50,COPIA!$DY50))),""))</f>
        <v/>
      </c>
      <c r="E57" s="24" t="str">
        <f ca="1">IF(IFERROR(IF(COPIA!DT50=0,"",VALUE(CONCATENATE(COPIA!DT50,COPIA!$DY50))),"")=0,"",IFERROR(IF(COPIA!DT50=0,"",VALUE(CONCATENATE(COPIA!DT50,COPIA!$DY50))),""))</f>
        <v/>
      </c>
      <c r="F57" s="24" t="str">
        <f ca="1">IF(IFERROR(IF(COPIA!DU50=0,"",VALUE(CONCATENATE(COPIA!DU50,COPIA!$DZ50))),"")=0,"",IFERROR(IF(COPIA!DU50=0,"",VALUE(CONCATENATE(COPIA!DU50,COPIA!$DZ50))),""))</f>
        <v/>
      </c>
      <c r="G57" s="24" t="str">
        <f ca="1">IF(IFERROR(IF(COPIA!DV50=0,"",VALUE(CONCATENATE(COPIA!DV50,COPIA!$DZ50))),"")=0,"",IFERROR(IF(COPIA!DV50=0,"",VALUE(CONCATENATE(COPIA!DV50,COPIA!$DZ50))),""))</f>
        <v/>
      </c>
      <c r="H57" s="6">
        <f ca="1">IFERROR(COPIA!DW50,"")</f>
        <v>0</v>
      </c>
    </row>
    <row r="58" spans="2:8" ht="20.100000000000001" customHeight="1">
      <c r="B58" s="118" t="str">
        <f t="shared" ca="1" si="0"/>
        <v/>
      </c>
      <c r="C58" s="13" t="str">
        <f ca="1">IFERROR(CONCATENATE(COPIA!DR51,COPIA!DX51),"")</f>
        <v/>
      </c>
      <c r="D58" s="24" t="str">
        <f ca="1">IF(IFERROR(IF(COPIA!DS51=0,"",VALUE(CONCATENATE(COPIA!DS51,COPIA!$DY51))),"")=0,"",IFERROR(IF(COPIA!DS51=0,"",VALUE(CONCATENATE(COPIA!DS51,COPIA!$DY51))),""))</f>
        <v/>
      </c>
      <c r="E58" s="24" t="str">
        <f ca="1">IF(IFERROR(IF(COPIA!DT51=0,"",VALUE(CONCATENATE(COPIA!DT51,COPIA!$DY51))),"")=0,"",IFERROR(IF(COPIA!DT51=0,"",VALUE(CONCATENATE(COPIA!DT51,COPIA!$DY51))),""))</f>
        <v/>
      </c>
      <c r="F58" s="24" t="str">
        <f ca="1">IF(IFERROR(IF(COPIA!DU51=0,"",VALUE(CONCATENATE(COPIA!DU51,COPIA!$DZ51))),"")=0,"",IFERROR(IF(COPIA!DU51=0,"",VALUE(CONCATENATE(COPIA!DU51,COPIA!$DZ51))),""))</f>
        <v/>
      </c>
      <c r="G58" s="24" t="str">
        <f ca="1">IF(IFERROR(IF(COPIA!DV51=0,"",VALUE(CONCATENATE(COPIA!DV51,COPIA!$DZ51))),"")=0,"",IFERROR(IF(COPIA!DV51=0,"",VALUE(CONCATENATE(COPIA!DV51,COPIA!$DZ51))),""))</f>
        <v/>
      </c>
      <c r="H58" s="6">
        <f ca="1">IFERROR(COPIA!DW51,"")</f>
        <v>0</v>
      </c>
    </row>
    <row r="59" spans="2:8" ht="20.100000000000001" customHeight="1">
      <c r="B59" s="118" t="str">
        <f t="shared" ca="1" si="0"/>
        <v/>
      </c>
      <c r="C59" s="13" t="str">
        <f ca="1">IFERROR(CONCATENATE(COPIA!DR52,COPIA!DX52),"")</f>
        <v/>
      </c>
      <c r="D59" s="24" t="str">
        <f ca="1">IF(IFERROR(IF(COPIA!DS52=0,"",VALUE(CONCATENATE(COPIA!DS52,COPIA!$DY52))),"")=0,"",IFERROR(IF(COPIA!DS52=0,"",VALUE(CONCATENATE(COPIA!DS52,COPIA!$DY52))),""))</f>
        <v/>
      </c>
      <c r="E59" s="24" t="str">
        <f ca="1">IF(IFERROR(IF(COPIA!DT52=0,"",VALUE(CONCATENATE(COPIA!DT52,COPIA!$DY52))),"")=0,"",IFERROR(IF(COPIA!DT52=0,"",VALUE(CONCATENATE(COPIA!DT52,COPIA!$DY52))),""))</f>
        <v/>
      </c>
      <c r="F59" s="24" t="str">
        <f ca="1">IF(IFERROR(IF(COPIA!DU52=0,"",VALUE(CONCATENATE(COPIA!DU52,COPIA!$DZ52))),"")=0,"",IFERROR(IF(COPIA!DU52=0,"",VALUE(CONCATENATE(COPIA!DU52,COPIA!$DZ52))),""))</f>
        <v/>
      </c>
      <c r="G59" s="24" t="str">
        <f ca="1">IF(IFERROR(IF(COPIA!DV52=0,"",VALUE(CONCATENATE(COPIA!DV52,COPIA!$DZ52))),"")=0,"",IFERROR(IF(COPIA!DV52=0,"",VALUE(CONCATENATE(COPIA!DV52,COPIA!$DZ52))),""))</f>
        <v/>
      </c>
      <c r="H59" s="6">
        <f ca="1">IFERROR(COPIA!DW52,"")</f>
        <v>0</v>
      </c>
    </row>
    <row r="60" spans="2:8" ht="20.100000000000001" customHeight="1">
      <c r="B60" s="118" t="str">
        <f t="shared" ca="1" si="0"/>
        <v/>
      </c>
      <c r="C60" s="13" t="str">
        <f ca="1">IFERROR(CONCATENATE(COPIA!DR53,COPIA!DX53),"")</f>
        <v/>
      </c>
      <c r="D60" s="24" t="str">
        <f ca="1">IF(IFERROR(IF(COPIA!DS53=0,"",VALUE(CONCATENATE(COPIA!DS53,COPIA!$DY53))),"")=0,"",IFERROR(IF(COPIA!DS53=0,"",VALUE(CONCATENATE(COPIA!DS53,COPIA!$DY53))),""))</f>
        <v/>
      </c>
      <c r="E60" s="24" t="str">
        <f ca="1">IF(IFERROR(IF(COPIA!DT53=0,"",VALUE(CONCATENATE(COPIA!DT53,COPIA!$DY53))),"")=0,"",IFERROR(IF(COPIA!DT53=0,"",VALUE(CONCATENATE(COPIA!DT53,COPIA!$DY53))),""))</f>
        <v/>
      </c>
      <c r="F60" s="24" t="str">
        <f ca="1">IF(IFERROR(IF(COPIA!DU53=0,"",VALUE(CONCATENATE(COPIA!DU53,COPIA!$DZ53))),"")=0,"",IFERROR(IF(COPIA!DU53=0,"",VALUE(CONCATENATE(COPIA!DU53,COPIA!$DZ53))),""))</f>
        <v/>
      </c>
      <c r="G60" s="24" t="str">
        <f ca="1">IF(IFERROR(IF(COPIA!DV53=0,"",VALUE(CONCATENATE(COPIA!DV53,COPIA!$DZ53))),"")=0,"",IFERROR(IF(COPIA!DV53=0,"",VALUE(CONCATENATE(COPIA!DV53,COPIA!$DZ53))),""))</f>
        <v/>
      </c>
      <c r="H60" s="6">
        <f ca="1">IFERROR(COPIA!DW53,"")</f>
        <v>0</v>
      </c>
    </row>
    <row r="61" spans="2:8" ht="20.100000000000001" customHeight="1">
      <c r="B61" s="118" t="str">
        <f t="shared" ca="1" si="0"/>
        <v/>
      </c>
      <c r="C61" s="13" t="str">
        <f ca="1">IFERROR(CONCATENATE(COPIA!DR54,COPIA!DX54),"")</f>
        <v/>
      </c>
      <c r="D61" s="24" t="str">
        <f ca="1">IF(IFERROR(IF(COPIA!DS54=0,"",VALUE(CONCATENATE(COPIA!DS54,COPIA!$DY54))),"")=0,"",IFERROR(IF(COPIA!DS54=0,"",VALUE(CONCATENATE(COPIA!DS54,COPIA!$DY54))),""))</f>
        <v/>
      </c>
      <c r="E61" s="24" t="str">
        <f ca="1">IF(IFERROR(IF(COPIA!DT54=0,"",VALUE(CONCATENATE(COPIA!DT54,COPIA!$DY54))),"")=0,"",IFERROR(IF(COPIA!DT54=0,"",VALUE(CONCATENATE(COPIA!DT54,COPIA!$DY54))),""))</f>
        <v/>
      </c>
      <c r="F61" s="24" t="str">
        <f ca="1">IF(IFERROR(IF(COPIA!DU54=0,"",VALUE(CONCATENATE(COPIA!DU54,COPIA!$DZ54))),"")=0,"",IFERROR(IF(COPIA!DU54=0,"",VALUE(CONCATENATE(COPIA!DU54,COPIA!$DZ54))),""))</f>
        <v/>
      </c>
      <c r="G61" s="24" t="str">
        <f ca="1">IF(IFERROR(IF(COPIA!DV54=0,"",VALUE(CONCATENATE(COPIA!DV54,COPIA!$DZ54))),"")=0,"",IFERROR(IF(COPIA!DV54=0,"",VALUE(CONCATENATE(COPIA!DV54,COPIA!$DZ54))),""))</f>
        <v/>
      </c>
      <c r="H61" s="6">
        <f ca="1">IFERROR(COPIA!DW54,"")</f>
        <v>0</v>
      </c>
    </row>
    <row r="62" spans="2:8" ht="20.100000000000001" customHeight="1">
      <c r="B62" s="118" t="str">
        <f t="shared" ca="1" si="0"/>
        <v/>
      </c>
      <c r="C62" s="13" t="str">
        <f ca="1">IFERROR(CONCATENATE(COPIA!DR55,COPIA!DX55),"")</f>
        <v/>
      </c>
      <c r="D62" s="24" t="str">
        <f ca="1">IF(IFERROR(IF(COPIA!DS55=0,"",VALUE(CONCATENATE(COPIA!DS55,COPIA!$DY55))),"")=0,"",IFERROR(IF(COPIA!DS55=0,"",VALUE(CONCATENATE(COPIA!DS55,COPIA!$DY55))),""))</f>
        <v/>
      </c>
      <c r="E62" s="24" t="str">
        <f ca="1">IF(IFERROR(IF(COPIA!DT55=0,"",VALUE(CONCATENATE(COPIA!DT55,COPIA!$DY55))),"")=0,"",IFERROR(IF(COPIA!DT55=0,"",VALUE(CONCATENATE(COPIA!DT55,COPIA!$DY55))),""))</f>
        <v/>
      </c>
      <c r="F62" s="24" t="str">
        <f ca="1">IF(IFERROR(IF(COPIA!DU55=0,"",VALUE(CONCATENATE(COPIA!DU55,COPIA!$DZ55))),"")=0,"",IFERROR(IF(COPIA!DU55=0,"",VALUE(CONCATENATE(COPIA!DU55,COPIA!$DZ55))),""))</f>
        <v/>
      </c>
      <c r="G62" s="24" t="str">
        <f ca="1">IF(IFERROR(IF(COPIA!DV55=0,"",VALUE(CONCATENATE(COPIA!DV55,COPIA!$DZ55))),"")=0,"",IFERROR(IF(COPIA!DV55=0,"",VALUE(CONCATENATE(COPIA!DV55,COPIA!$DZ55))),""))</f>
        <v/>
      </c>
      <c r="H62" s="6">
        <f ca="1">IFERROR(COPIA!DW55,"")</f>
        <v>0</v>
      </c>
    </row>
    <row r="63" spans="2:8" ht="20.100000000000001" customHeight="1">
      <c r="B63" s="118" t="str">
        <f t="shared" ca="1" si="0"/>
        <v/>
      </c>
      <c r="C63" s="13" t="str">
        <f ca="1">IFERROR(CONCATENATE(COPIA!DR56,COPIA!DX56),"")</f>
        <v/>
      </c>
      <c r="D63" s="24" t="str">
        <f ca="1">IF(IFERROR(IF(COPIA!DS56=0,"",VALUE(CONCATENATE(COPIA!DS56,COPIA!$DY56))),"")=0,"",IFERROR(IF(COPIA!DS56=0,"",VALUE(CONCATENATE(COPIA!DS56,COPIA!$DY56))),""))</f>
        <v/>
      </c>
      <c r="E63" s="24" t="str">
        <f ca="1">IF(IFERROR(IF(COPIA!DT56=0,"",VALUE(CONCATENATE(COPIA!DT56,COPIA!$DY56))),"")=0,"",IFERROR(IF(COPIA!DT56=0,"",VALUE(CONCATENATE(COPIA!DT56,COPIA!$DY56))),""))</f>
        <v/>
      </c>
      <c r="F63" s="24" t="str">
        <f ca="1">IF(IFERROR(IF(COPIA!DU56=0,"",VALUE(CONCATENATE(COPIA!DU56,COPIA!$DZ56))),"")=0,"",IFERROR(IF(COPIA!DU56=0,"",VALUE(CONCATENATE(COPIA!DU56,COPIA!$DZ56))),""))</f>
        <v/>
      </c>
      <c r="G63" s="24" t="str">
        <f ca="1">IF(IFERROR(IF(COPIA!DV56=0,"",VALUE(CONCATENATE(COPIA!DV56,COPIA!$DZ56))),"")=0,"",IFERROR(IF(COPIA!DV56=0,"",VALUE(CONCATENATE(COPIA!DV56,COPIA!$DZ56))),""))</f>
        <v/>
      </c>
      <c r="H63" s="6">
        <f ca="1">IFERROR(COPIA!DW56,"")</f>
        <v>0</v>
      </c>
    </row>
    <row r="64" spans="2:8" ht="20.100000000000001" customHeight="1">
      <c r="B64" s="118" t="str">
        <f t="shared" ca="1" si="0"/>
        <v/>
      </c>
      <c r="C64" s="13" t="str">
        <f ca="1">IFERROR(CONCATENATE(COPIA!DR57,COPIA!DX57),"")</f>
        <v/>
      </c>
      <c r="D64" s="24" t="str">
        <f ca="1">IF(IFERROR(IF(COPIA!DS57=0,"",VALUE(CONCATENATE(COPIA!DS57,COPIA!$DY57))),"")=0,"",IFERROR(IF(COPIA!DS57=0,"",VALUE(CONCATENATE(COPIA!DS57,COPIA!$DY57))),""))</f>
        <v/>
      </c>
      <c r="E64" s="24" t="str">
        <f ca="1">IF(IFERROR(IF(COPIA!DT57=0,"",VALUE(CONCATENATE(COPIA!DT57,COPIA!$DY57))),"")=0,"",IFERROR(IF(COPIA!DT57=0,"",VALUE(CONCATENATE(COPIA!DT57,COPIA!$DY57))),""))</f>
        <v/>
      </c>
      <c r="F64" s="24" t="str">
        <f ca="1">IF(IFERROR(IF(COPIA!DU57=0,"",VALUE(CONCATENATE(COPIA!DU57,COPIA!$DZ57))),"")=0,"",IFERROR(IF(COPIA!DU57=0,"",VALUE(CONCATENATE(COPIA!DU57,COPIA!$DZ57))),""))</f>
        <v/>
      </c>
      <c r="G64" s="24" t="str">
        <f ca="1">IF(IFERROR(IF(COPIA!DV57=0,"",VALUE(CONCATENATE(COPIA!DV57,COPIA!$DZ57))),"")=0,"",IFERROR(IF(COPIA!DV57=0,"",VALUE(CONCATENATE(COPIA!DV57,COPIA!$DZ57))),""))</f>
        <v/>
      </c>
      <c r="H64" s="6">
        <f ca="1">IFERROR(COPIA!DW57,"")</f>
        <v>0</v>
      </c>
    </row>
    <row r="65" spans="2:8" ht="20.100000000000001" customHeight="1">
      <c r="B65" s="118" t="str">
        <f t="shared" ca="1" si="0"/>
        <v/>
      </c>
      <c r="C65" s="13" t="str">
        <f ca="1">IFERROR(CONCATENATE(COPIA!DR58,COPIA!DX58),"")</f>
        <v/>
      </c>
      <c r="D65" s="24" t="str">
        <f ca="1">IF(IFERROR(IF(COPIA!DS58=0,"",VALUE(CONCATENATE(COPIA!DS58,COPIA!$DY58))),"")=0,"",IFERROR(IF(COPIA!DS58=0,"",VALUE(CONCATENATE(COPIA!DS58,COPIA!$DY58))),""))</f>
        <v/>
      </c>
      <c r="E65" s="24" t="str">
        <f ca="1">IF(IFERROR(IF(COPIA!DT58=0,"",VALUE(CONCATENATE(COPIA!DT58,COPIA!$DY58))),"")=0,"",IFERROR(IF(COPIA!DT58=0,"",VALUE(CONCATENATE(COPIA!DT58,COPIA!$DY58))),""))</f>
        <v/>
      </c>
      <c r="F65" s="24" t="str">
        <f ca="1">IF(IFERROR(IF(COPIA!DU58=0,"",VALUE(CONCATENATE(COPIA!DU58,COPIA!$DZ58))),"")=0,"",IFERROR(IF(COPIA!DU58=0,"",VALUE(CONCATENATE(COPIA!DU58,COPIA!$DZ58))),""))</f>
        <v/>
      </c>
      <c r="G65" s="24" t="str">
        <f ca="1">IF(IFERROR(IF(COPIA!DV58=0,"",VALUE(CONCATENATE(COPIA!DV58,COPIA!$DZ58))),"")=0,"",IFERROR(IF(COPIA!DV58=0,"",VALUE(CONCATENATE(COPIA!DV58,COPIA!$DZ58))),""))</f>
        <v/>
      </c>
      <c r="H65" s="6">
        <f ca="1">IFERROR(COPIA!DW58,"")</f>
        <v>0</v>
      </c>
    </row>
    <row r="66" spans="2:8" ht="20.100000000000001" customHeight="1">
      <c r="B66" s="118" t="str">
        <f t="shared" ca="1" si="0"/>
        <v/>
      </c>
      <c r="C66" s="13" t="str">
        <f ca="1">IFERROR(CONCATENATE(COPIA!DR59,COPIA!DX59),"")</f>
        <v/>
      </c>
      <c r="D66" s="24" t="str">
        <f ca="1">IF(IFERROR(IF(COPIA!DS59=0,"",VALUE(CONCATENATE(COPIA!DS59,COPIA!$DY59))),"")=0,"",IFERROR(IF(COPIA!DS59=0,"",VALUE(CONCATENATE(COPIA!DS59,COPIA!$DY59))),""))</f>
        <v/>
      </c>
      <c r="E66" s="24" t="str">
        <f ca="1">IF(IFERROR(IF(COPIA!DT59=0,"",VALUE(CONCATENATE(COPIA!DT59,COPIA!$DY59))),"")=0,"",IFERROR(IF(COPIA!DT59=0,"",VALUE(CONCATENATE(COPIA!DT59,COPIA!$DY59))),""))</f>
        <v/>
      </c>
      <c r="F66" s="24" t="str">
        <f ca="1">IF(IFERROR(IF(COPIA!DU59=0,"",VALUE(CONCATENATE(COPIA!DU59,COPIA!$DZ59))),"")=0,"",IFERROR(IF(COPIA!DU59=0,"",VALUE(CONCATENATE(COPIA!DU59,COPIA!$DZ59))),""))</f>
        <v/>
      </c>
      <c r="G66" s="24" t="str">
        <f ca="1">IF(IFERROR(IF(COPIA!DV59=0,"",VALUE(CONCATENATE(COPIA!DV59,COPIA!$DZ59))),"")=0,"",IFERROR(IF(COPIA!DV59=0,"",VALUE(CONCATENATE(COPIA!DV59,COPIA!$DZ59))),""))</f>
        <v/>
      </c>
      <c r="H66" s="6">
        <f ca="1">IFERROR(COPIA!DW59,"")</f>
        <v>0</v>
      </c>
    </row>
    <row r="67" spans="2:8" ht="20.100000000000001" customHeight="1">
      <c r="B67" s="118" t="str">
        <f t="shared" ca="1" si="0"/>
        <v/>
      </c>
      <c r="C67" s="13" t="str">
        <f ca="1">IFERROR(CONCATENATE(COPIA!DR60,COPIA!DX60),"")</f>
        <v/>
      </c>
      <c r="D67" s="24" t="str">
        <f ca="1">IF(IFERROR(IF(COPIA!DS60=0,"",VALUE(CONCATENATE(COPIA!DS60,COPIA!$DY60))),"")=0,"",IFERROR(IF(COPIA!DS60=0,"",VALUE(CONCATENATE(COPIA!DS60,COPIA!$DY60))),""))</f>
        <v/>
      </c>
      <c r="E67" s="24" t="str">
        <f ca="1">IF(IFERROR(IF(COPIA!DT60=0,"",VALUE(CONCATENATE(COPIA!DT60,COPIA!$DY60))),"")=0,"",IFERROR(IF(COPIA!DT60=0,"",VALUE(CONCATENATE(COPIA!DT60,COPIA!$DY60))),""))</f>
        <v/>
      </c>
      <c r="F67" s="24" t="str">
        <f ca="1">IF(IFERROR(IF(COPIA!DU60=0,"",VALUE(CONCATENATE(COPIA!DU60,COPIA!$DZ60))),"")=0,"",IFERROR(IF(COPIA!DU60=0,"",VALUE(CONCATENATE(COPIA!DU60,COPIA!$DZ60))),""))</f>
        <v/>
      </c>
      <c r="G67" s="24" t="str">
        <f ca="1">IF(IFERROR(IF(COPIA!DV60=0,"",VALUE(CONCATENATE(COPIA!DV60,COPIA!$DZ60))),"")=0,"",IFERROR(IF(COPIA!DV60=0,"",VALUE(CONCATENATE(COPIA!DV60,COPIA!$DZ60))),""))</f>
        <v/>
      </c>
      <c r="H67" s="6">
        <f ca="1">IFERROR(COPIA!DW60,"")</f>
        <v>0</v>
      </c>
    </row>
    <row r="68" spans="2:8" ht="20.100000000000001" customHeight="1">
      <c r="B68" s="118" t="str">
        <f t="shared" ca="1" si="0"/>
        <v/>
      </c>
      <c r="C68" s="13" t="str">
        <f ca="1">IFERROR(CONCATENATE(COPIA!DR61,COPIA!DX61),"")</f>
        <v/>
      </c>
      <c r="D68" s="24" t="str">
        <f ca="1">IF(IFERROR(IF(COPIA!DS61=0,"",VALUE(CONCATENATE(COPIA!DS61,COPIA!$DY61))),"")=0,"",IFERROR(IF(COPIA!DS61=0,"",VALUE(CONCATENATE(COPIA!DS61,COPIA!$DY61))),""))</f>
        <v/>
      </c>
      <c r="E68" s="24" t="str">
        <f ca="1">IF(IFERROR(IF(COPIA!DT61=0,"",VALUE(CONCATENATE(COPIA!DT61,COPIA!$DY61))),"")=0,"",IFERROR(IF(COPIA!DT61=0,"",VALUE(CONCATENATE(COPIA!DT61,COPIA!$DY61))),""))</f>
        <v/>
      </c>
      <c r="F68" s="24" t="str">
        <f ca="1">IF(IFERROR(IF(COPIA!DU61=0,"",VALUE(CONCATENATE(COPIA!DU61,COPIA!$DZ61))),"")=0,"",IFERROR(IF(COPIA!DU61=0,"",VALUE(CONCATENATE(COPIA!DU61,COPIA!$DZ61))),""))</f>
        <v/>
      </c>
      <c r="G68" s="24" t="str">
        <f ca="1">IF(IFERROR(IF(COPIA!DV61=0,"",VALUE(CONCATENATE(COPIA!DV61,COPIA!$DZ61))),"")=0,"",IFERROR(IF(COPIA!DV61=0,"",VALUE(CONCATENATE(COPIA!DV61,COPIA!$DZ61))),""))</f>
        <v/>
      </c>
      <c r="H68" s="6">
        <f ca="1">IFERROR(COPIA!DW61,"")</f>
        <v>0</v>
      </c>
    </row>
    <row r="69" spans="2:8" ht="20.100000000000001" customHeight="1">
      <c r="B69" s="118" t="str">
        <f t="shared" ca="1" si="0"/>
        <v/>
      </c>
      <c r="C69" s="13" t="str">
        <f ca="1">IFERROR(CONCATENATE(COPIA!DR62,COPIA!DX62),"")</f>
        <v/>
      </c>
      <c r="D69" s="24" t="str">
        <f ca="1">IF(IFERROR(IF(COPIA!DS62=0,"",VALUE(CONCATENATE(COPIA!DS62,COPIA!$DY62))),"")=0,"",IFERROR(IF(COPIA!DS62=0,"",VALUE(CONCATENATE(COPIA!DS62,COPIA!$DY62))),""))</f>
        <v/>
      </c>
      <c r="E69" s="24" t="str">
        <f ca="1">IF(IFERROR(IF(COPIA!DT62=0,"",VALUE(CONCATENATE(COPIA!DT62,COPIA!$DY62))),"")=0,"",IFERROR(IF(COPIA!DT62=0,"",VALUE(CONCATENATE(COPIA!DT62,COPIA!$DY62))),""))</f>
        <v/>
      </c>
      <c r="F69" s="24" t="str">
        <f ca="1">IF(IFERROR(IF(COPIA!DU62=0,"",VALUE(CONCATENATE(COPIA!DU62,COPIA!$DZ62))),"")=0,"",IFERROR(IF(COPIA!DU62=0,"",VALUE(CONCATENATE(COPIA!DU62,COPIA!$DZ62))),""))</f>
        <v/>
      </c>
      <c r="G69" s="24" t="str">
        <f ca="1">IF(IFERROR(IF(COPIA!DV62=0,"",VALUE(CONCATENATE(COPIA!DV62,COPIA!$DZ62))),"")=0,"",IFERROR(IF(COPIA!DV62=0,"",VALUE(CONCATENATE(COPIA!DV62,COPIA!$DZ62))),""))</f>
        <v/>
      </c>
      <c r="H69" s="6">
        <f ca="1">IFERROR(COPIA!DW62,"")</f>
        <v>0</v>
      </c>
    </row>
    <row r="70" spans="2:8" ht="20.100000000000001" customHeight="1">
      <c r="B70" s="118" t="str">
        <f t="shared" ca="1" si="0"/>
        <v/>
      </c>
      <c r="C70" s="13" t="str">
        <f ca="1">IFERROR(CONCATENATE(COPIA!DR63,COPIA!DX63),"")</f>
        <v/>
      </c>
      <c r="D70" s="24" t="str">
        <f ca="1">IF(IFERROR(IF(COPIA!DS63=0,"",VALUE(CONCATENATE(COPIA!DS63,COPIA!$DY63))),"")=0,"",IFERROR(IF(COPIA!DS63=0,"",VALUE(CONCATENATE(COPIA!DS63,COPIA!$DY63))),""))</f>
        <v/>
      </c>
      <c r="E70" s="24" t="str">
        <f ca="1">IF(IFERROR(IF(COPIA!DT63=0,"",VALUE(CONCATENATE(COPIA!DT63,COPIA!$DY63))),"")=0,"",IFERROR(IF(COPIA!DT63=0,"",VALUE(CONCATENATE(COPIA!DT63,COPIA!$DY63))),""))</f>
        <v/>
      </c>
      <c r="F70" s="24" t="str">
        <f ca="1">IF(IFERROR(IF(COPIA!DU63=0,"",VALUE(CONCATENATE(COPIA!DU63,COPIA!$DZ63))),"")=0,"",IFERROR(IF(COPIA!DU63=0,"",VALUE(CONCATENATE(COPIA!DU63,COPIA!$DZ63))),""))</f>
        <v/>
      </c>
      <c r="G70" s="24" t="str">
        <f ca="1">IF(IFERROR(IF(COPIA!DV63=0,"",VALUE(CONCATENATE(COPIA!DV63,COPIA!$DZ63))),"")=0,"",IFERROR(IF(COPIA!DV63=0,"",VALUE(CONCATENATE(COPIA!DV63,COPIA!$DZ63))),""))</f>
        <v/>
      </c>
      <c r="H70" s="6">
        <f ca="1">IFERROR(COPIA!DW63,"")</f>
        <v>0</v>
      </c>
    </row>
    <row r="71" spans="2:8" ht="20.100000000000001" customHeight="1">
      <c r="B71" s="118" t="str">
        <f t="shared" ca="1" si="0"/>
        <v/>
      </c>
      <c r="C71" s="13" t="str">
        <f ca="1">IFERROR(CONCATENATE(COPIA!DR64,COPIA!DX64),"")</f>
        <v/>
      </c>
      <c r="D71" s="24" t="str">
        <f ca="1">IF(IFERROR(IF(COPIA!DS64=0,"",VALUE(CONCATENATE(COPIA!DS64,COPIA!$DY64))),"")=0,"",IFERROR(IF(COPIA!DS64=0,"",VALUE(CONCATENATE(COPIA!DS64,COPIA!$DY64))),""))</f>
        <v/>
      </c>
      <c r="E71" s="24" t="str">
        <f ca="1">IF(IFERROR(IF(COPIA!DT64=0,"",VALUE(CONCATENATE(COPIA!DT64,COPIA!$DY64))),"")=0,"",IFERROR(IF(COPIA!DT64=0,"",VALUE(CONCATENATE(COPIA!DT64,COPIA!$DY64))),""))</f>
        <v/>
      </c>
      <c r="F71" s="24" t="str">
        <f ca="1">IF(IFERROR(IF(COPIA!DU64=0,"",VALUE(CONCATENATE(COPIA!DU64,COPIA!$DZ64))),"")=0,"",IFERROR(IF(COPIA!DU64=0,"",VALUE(CONCATENATE(COPIA!DU64,COPIA!$DZ64))),""))</f>
        <v/>
      </c>
      <c r="G71" s="24" t="str">
        <f ca="1">IF(IFERROR(IF(COPIA!DV64=0,"",VALUE(CONCATENATE(COPIA!DV64,COPIA!$DZ64))),"")=0,"",IFERROR(IF(COPIA!DV64=0,"",VALUE(CONCATENATE(COPIA!DV64,COPIA!$DZ64))),""))</f>
        <v/>
      </c>
      <c r="H71" s="6">
        <f ca="1">IFERROR(COPIA!DW64,"")</f>
        <v>0</v>
      </c>
    </row>
    <row r="72" spans="2:8" ht="20.100000000000001" customHeight="1">
      <c r="B72" s="118" t="str">
        <f t="shared" ca="1" si="0"/>
        <v/>
      </c>
      <c r="C72" s="13" t="str">
        <f ca="1">IFERROR(CONCATENATE(COPIA!DR65,COPIA!DX65),"")</f>
        <v/>
      </c>
      <c r="D72" s="24" t="str">
        <f ca="1">IF(IFERROR(IF(COPIA!DS65=0,"",VALUE(CONCATENATE(COPIA!DS65,COPIA!$DY65))),"")=0,"",IFERROR(IF(COPIA!DS65=0,"",VALUE(CONCATENATE(COPIA!DS65,COPIA!$DY65))),""))</f>
        <v/>
      </c>
      <c r="E72" s="24" t="str">
        <f ca="1">IF(IFERROR(IF(COPIA!DT65=0,"",VALUE(CONCATENATE(COPIA!DT65,COPIA!$DY65))),"")=0,"",IFERROR(IF(COPIA!DT65=0,"",VALUE(CONCATENATE(COPIA!DT65,COPIA!$DY65))),""))</f>
        <v/>
      </c>
      <c r="F72" s="24" t="str">
        <f ca="1">IF(IFERROR(IF(COPIA!DU65=0,"",VALUE(CONCATENATE(COPIA!DU65,COPIA!$DZ65))),"")=0,"",IFERROR(IF(COPIA!DU65=0,"",VALUE(CONCATENATE(COPIA!DU65,COPIA!$DZ65))),""))</f>
        <v/>
      </c>
      <c r="G72" s="24" t="str">
        <f ca="1">IF(IFERROR(IF(COPIA!DV65=0,"",VALUE(CONCATENATE(COPIA!DV65,COPIA!$DZ65))),"")=0,"",IFERROR(IF(COPIA!DV65=0,"",VALUE(CONCATENATE(COPIA!DV65,COPIA!$DZ65))),""))</f>
        <v/>
      </c>
      <c r="H72" s="6">
        <f ca="1">IFERROR(COPIA!DW65,"")</f>
        <v>0</v>
      </c>
    </row>
    <row r="73" spans="2:8" ht="20.100000000000001" customHeight="1">
      <c r="B73" s="118" t="str">
        <f t="shared" ca="1" si="0"/>
        <v/>
      </c>
      <c r="C73" s="13" t="str">
        <f ca="1">IFERROR(CONCATENATE(COPIA!DR66,COPIA!DX66),"")</f>
        <v/>
      </c>
      <c r="D73" s="24" t="str">
        <f ca="1">IF(IFERROR(IF(COPIA!DS66=0,"",VALUE(CONCATENATE(COPIA!DS66,COPIA!$DY66))),"")=0,"",IFERROR(IF(COPIA!DS66=0,"",VALUE(CONCATENATE(COPIA!DS66,COPIA!$DY66))),""))</f>
        <v/>
      </c>
      <c r="E73" s="24" t="str">
        <f ca="1">IF(IFERROR(IF(COPIA!DT66=0,"",VALUE(CONCATENATE(COPIA!DT66,COPIA!$DY66))),"")=0,"",IFERROR(IF(COPIA!DT66=0,"",VALUE(CONCATENATE(COPIA!DT66,COPIA!$DY66))),""))</f>
        <v/>
      </c>
      <c r="F73" s="24" t="str">
        <f ca="1">IF(IFERROR(IF(COPIA!DU66=0,"",VALUE(CONCATENATE(COPIA!DU66,COPIA!$DZ66))),"")=0,"",IFERROR(IF(COPIA!DU66=0,"",VALUE(CONCATENATE(COPIA!DU66,COPIA!$DZ66))),""))</f>
        <v/>
      </c>
      <c r="G73" s="24" t="str">
        <f ca="1">IF(IFERROR(IF(COPIA!DV66=0,"",VALUE(CONCATENATE(COPIA!DV66,COPIA!$DZ66))),"")=0,"",IFERROR(IF(COPIA!DV66=0,"",VALUE(CONCATENATE(COPIA!DV66,COPIA!$DZ66))),""))</f>
        <v/>
      </c>
      <c r="H73" s="6">
        <f ca="1">IFERROR(COPIA!DW66,"")</f>
        <v>0</v>
      </c>
    </row>
    <row r="74" spans="2:8" ht="20.100000000000001" customHeight="1">
      <c r="B74" s="118" t="str">
        <f t="shared" ref="B74:B137" ca="1" si="1">IFERROR(INDEX(PIANO_DEI_CONTI,MATCH(C74,DENOMINAZIONE,0),1),"")</f>
        <v/>
      </c>
      <c r="C74" s="13" t="str">
        <f ca="1">IFERROR(CONCATENATE(COPIA!DR67,COPIA!DX67),"")</f>
        <v/>
      </c>
      <c r="D74" s="24" t="str">
        <f ca="1">IF(IFERROR(IF(COPIA!DS67=0,"",VALUE(CONCATENATE(COPIA!DS67,COPIA!$DY67))),"")=0,"",IFERROR(IF(COPIA!DS67=0,"",VALUE(CONCATENATE(COPIA!DS67,COPIA!$DY67))),""))</f>
        <v/>
      </c>
      <c r="E74" s="24" t="str">
        <f ca="1">IF(IFERROR(IF(COPIA!DT67=0,"",VALUE(CONCATENATE(COPIA!DT67,COPIA!$DY67))),"")=0,"",IFERROR(IF(COPIA!DT67=0,"",VALUE(CONCATENATE(COPIA!DT67,COPIA!$DY67))),""))</f>
        <v/>
      </c>
      <c r="F74" s="24" t="str">
        <f ca="1">IF(IFERROR(IF(COPIA!DU67=0,"",VALUE(CONCATENATE(COPIA!DU67,COPIA!$DZ67))),"")=0,"",IFERROR(IF(COPIA!DU67=0,"",VALUE(CONCATENATE(COPIA!DU67,COPIA!$DZ67))),""))</f>
        <v/>
      </c>
      <c r="G74" s="24" t="str">
        <f ca="1">IF(IFERROR(IF(COPIA!DV67=0,"",VALUE(CONCATENATE(COPIA!DV67,COPIA!$DZ67))),"")=0,"",IFERROR(IF(COPIA!DV67=0,"",VALUE(CONCATENATE(COPIA!DV67,COPIA!$DZ67))),""))</f>
        <v/>
      </c>
      <c r="H74" s="6">
        <f ca="1">IFERROR(COPIA!DW67,"")</f>
        <v>0</v>
      </c>
    </row>
    <row r="75" spans="2:8" ht="20.100000000000001" customHeight="1">
      <c r="B75" s="118" t="str">
        <f t="shared" ca="1" si="1"/>
        <v/>
      </c>
      <c r="C75" s="13" t="str">
        <f ca="1">IFERROR(CONCATENATE(COPIA!DR68,COPIA!DX68),"")</f>
        <v/>
      </c>
      <c r="D75" s="24" t="str">
        <f ca="1">IF(IFERROR(IF(COPIA!DS68=0,"",VALUE(CONCATENATE(COPIA!DS68,COPIA!$DY68))),"")=0,"",IFERROR(IF(COPIA!DS68=0,"",VALUE(CONCATENATE(COPIA!DS68,COPIA!$DY68))),""))</f>
        <v/>
      </c>
      <c r="E75" s="24" t="str">
        <f ca="1">IF(IFERROR(IF(COPIA!DT68=0,"",VALUE(CONCATENATE(COPIA!DT68,COPIA!$DY68))),"")=0,"",IFERROR(IF(COPIA!DT68=0,"",VALUE(CONCATENATE(COPIA!DT68,COPIA!$DY68))),""))</f>
        <v/>
      </c>
      <c r="F75" s="24" t="str">
        <f ca="1">IF(IFERROR(IF(COPIA!DU68=0,"",VALUE(CONCATENATE(COPIA!DU68,COPIA!$DZ68))),"")=0,"",IFERROR(IF(COPIA!DU68=0,"",VALUE(CONCATENATE(COPIA!DU68,COPIA!$DZ68))),""))</f>
        <v/>
      </c>
      <c r="G75" s="24" t="str">
        <f ca="1">IF(IFERROR(IF(COPIA!DV68=0,"",VALUE(CONCATENATE(COPIA!DV68,COPIA!$DZ68))),"")=0,"",IFERROR(IF(COPIA!DV68=0,"",VALUE(CONCATENATE(COPIA!DV68,COPIA!$DZ68))),""))</f>
        <v/>
      </c>
      <c r="H75" s="6">
        <f ca="1">IFERROR(COPIA!DW68,"")</f>
        <v>0</v>
      </c>
    </row>
    <row r="76" spans="2:8" ht="20.100000000000001" customHeight="1">
      <c r="B76" s="118" t="str">
        <f t="shared" ca="1" si="1"/>
        <v/>
      </c>
      <c r="C76" s="13" t="str">
        <f ca="1">IFERROR(CONCATENATE(COPIA!DR69,COPIA!DX69),"")</f>
        <v/>
      </c>
      <c r="D76" s="24" t="str">
        <f ca="1">IF(IFERROR(IF(COPIA!DS69=0,"",VALUE(CONCATENATE(COPIA!DS69,COPIA!$DY69))),"")=0,"",IFERROR(IF(COPIA!DS69=0,"",VALUE(CONCATENATE(COPIA!DS69,COPIA!$DY69))),""))</f>
        <v/>
      </c>
      <c r="E76" s="24" t="str">
        <f ca="1">IF(IFERROR(IF(COPIA!DT69=0,"",VALUE(CONCATENATE(COPIA!DT69,COPIA!$DY69))),"")=0,"",IFERROR(IF(COPIA!DT69=0,"",VALUE(CONCATENATE(COPIA!DT69,COPIA!$DY69))),""))</f>
        <v/>
      </c>
      <c r="F76" s="24" t="str">
        <f ca="1">IF(IFERROR(IF(COPIA!DU69=0,"",VALUE(CONCATENATE(COPIA!DU69,COPIA!$DZ69))),"")=0,"",IFERROR(IF(COPIA!DU69=0,"",VALUE(CONCATENATE(COPIA!DU69,COPIA!$DZ69))),""))</f>
        <v/>
      </c>
      <c r="G76" s="24" t="str">
        <f ca="1">IF(IFERROR(IF(COPIA!DV69=0,"",VALUE(CONCATENATE(COPIA!DV69,COPIA!$DZ69))),"")=0,"",IFERROR(IF(COPIA!DV69=0,"",VALUE(CONCATENATE(COPIA!DV69,COPIA!$DZ69))),""))</f>
        <v/>
      </c>
      <c r="H76" s="6">
        <f ca="1">IFERROR(COPIA!DW69,"")</f>
        <v>0</v>
      </c>
    </row>
    <row r="77" spans="2:8" ht="20.100000000000001" customHeight="1">
      <c r="B77" s="118" t="str">
        <f t="shared" ca="1" si="1"/>
        <v/>
      </c>
      <c r="C77" s="13" t="str">
        <f ca="1">IFERROR(CONCATENATE(COPIA!DR70,COPIA!DX70),"")</f>
        <v/>
      </c>
      <c r="D77" s="24" t="str">
        <f ca="1">IF(IFERROR(IF(COPIA!DS70=0,"",VALUE(CONCATENATE(COPIA!DS70,COPIA!$DY70))),"")=0,"",IFERROR(IF(COPIA!DS70=0,"",VALUE(CONCATENATE(COPIA!DS70,COPIA!$DY70))),""))</f>
        <v/>
      </c>
      <c r="E77" s="24" t="str">
        <f ca="1">IF(IFERROR(IF(COPIA!DT70=0,"",VALUE(CONCATENATE(COPIA!DT70,COPIA!$DY70))),"")=0,"",IFERROR(IF(COPIA!DT70=0,"",VALUE(CONCATENATE(COPIA!DT70,COPIA!$DY70))),""))</f>
        <v/>
      </c>
      <c r="F77" s="24" t="str">
        <f ca="1">IF(IFERROR(IF(COPIA!DU70=0,"",VALUE(CONCATENATE(COPIA!DU70,COPIA!$DZ70))),"")=0,"",IFERROR(IF(COPIA!DU70=0,"",VALUE(CONCATENATE(COPIA!DU70,COPIA!$DZ70))),""))</f>
        <v/>
      </c>
      <c r="G77" s="24" t="str">
        <f ca="1">IF(IFERROR(IF(COPIA!DV70=0,"",VALUE(CONCATENATE(COPIA!DV70,COPIA!$DZ70))),"")=0,"",IFERROR(IF(COPIA!DV70=0,"",VALUE(CONCATENATE(COPIA!DV70,COPIA!$DZ70))),""))</f>
        <v/>
      </c>
      <c r="H77" s="6">
        <f ca="1">IFERROR(COPIA!DW70,"")</f>
        <v>0</v>
      </c>
    </row>
    <row r="78" spans="2:8" ht="20.100000000000001" customHeight="1">
      <c r="B78" s="118" t="str">
        <f t="shared" ca="1" si="1"/>
        <v/>
      </c>
      <c r="C78" s="13" t="str">
        <f ca="1">IFERROR(CONCATENATE(COPIA!DR71,COPIA!DX71),"")</f>
        <v/>
      </c>
      <c r="D78" s="24" t="str">
        <f ca="1">IF(IFERROR(IF(COPIA!DS71=0,"",VALUE(CONCATENATE(COPIA!DS71,COPIA!$DY71))),"")=0,"",IFERROR(IF(COPIA!DS71=0,"",VALUE(CONCATENATE(COPIA!DS71,COPIA!$DY71))),""))</f>
        <v/>
      </c>
      <c r="E78" s="24" t="str">
        <f ca="1">IF(IFERROR(IF(COPIA!DT71=0,"",VALUE(CONCATENATE(COPIA!DT71,COPIA!$DY71))),"")=0,"",IFERROR(IF(COPIA!DT71=0,"",VALUE(CONCATENATE(COPIA!DT71,COPIA!$DY71))),""))</f>
        <v/>
      </c>
      <c r="F78" s="24" t="str">
        <f ca="1">IF(IFERROR(IF(COPIA!DU71=0,"",VALUE(CONCATENATE(COPIA!DU71,COPIA!$DZ71))),"")=0,"",IFERROR(IF(COPIA!DU71=0,"",VALUE(CONCATENATE(COPIA!DU71,COPIA!$DZ71))),""))</f>
        <v/>
      </c>
      <c r="G78" s="24" t="str">
        <f ca="1">IF(IFERROR(IF(COPIA!DV71=0,"",VALUE(CONCATENATE(COPIA!DV71,COPIA!$DZ71))),"")=0,"",IFERROR(IF(COPIA!DV71=0,"",VALUE(CONCATENATE(COPIA!DV71,COPIA!$DZ71))),""))</f>
        <v/>
      </c>
      <c r="H78" s="6">
        <f ca="1">IFERROR(COPIA!DW71,"")</f>
        <v>0</v>
      </c>
    </row>
    <row r="79" spans="2:8" ht="20.100000000000001" customHeight="1">
      <c r="B79" s="118" t="str">
        <f t="shared" ca="1" si="1"/>
        <v/>
      </c>
      <c r="C79" s="13" t="str">
        <f ca="1">IFERROR(CONCATENATE(COPIA!DR72,COPIA!DX72),"")</f>
        <v/>
      </c>
      <c r="D79" s="24" t="str">
        <f ca="1">IF(IFERROR(IF(COPIA!DS72=0,"",VALUE(CONCATENATE(COPIA!DS72,COPIA!$DY72))),"")=0,"",IFERROR(IF(COPIA!DS72=0,"",VALUE(CONCATENATE(COPIA!DS72,COPIA!$DY72))),""))</f>
        <v/>
      </c>
      <c r="E79" s="24" t="str">
        <f ca="1">IF(IFERROR(IF(COPIA!DT72=0,"",VALUE(CONCATENATE(COPIA!DT72,COPIA!$DY72))),"")=0,"",IFERROR(IF(COPIA!DT72=0,"",VALUE(CONCATENATE(COPIA!DT72,COPIA!$DY72))),""))</f>
        <v/>
      </c>
      <c r="F79" s="24" t="str">
        <f ca="1">IF(IFERROR(IF(COPIA!DU72=0,"",VALUE(CONCATENATE(COPIA!DU72,COPIA!$DZ72))),"")=0,"",IFERROR(IF(COPIA!DU72=0,"",VALUE(CONCATENATE(COPIA!DU72,COPIA!$DZ72))),""))</f>
        <v/>
      </c>
      <c r="G79" s="24" t="str">
        <f ca="1">IF(IFERROR(IF(COPIA!DV72=0,"",VALUE(CONCATENATE(COPIA!DV72,COPIA!$DZ72))),"")=0,"",IFERROR(IF(COPIA!DV72=0,"",VALUE(CONCATENATE(COPIA!DV72,COPIA!$DZ72))),""))</f>
        <v/>
      </c>
      <c r="H79" s="6">
        <f ca="1">IFERROR(COPIA!DW72,"")</f>
        <v>0</v>
      </c>
    </row>
    <row r="80" spans="2:8" ht="20.100000000000001" customHeight="1">
      <c r="B80" s="118" t="str">
        <f t="shared" ca="1" si="1"/>
        <v/>
      </c>
      <c r="C80" s="13" t="str">
        <f ca="1">IFERROR(CONCATENATE(COPIA!DR73,COPIA!DX73),"")</f>
        <v/>
      </c>
      <c r="D80" s="24" t="str">
        <f ca="1">IF(IFERROR(IF(COPIA!DS73=0,"",VALUE(CONCATENATE(COPIA!DS73,COPIA!$DY73))),"")=0,"",IFERROR(IF(COPIA!DS73=0,"",VALUE(CONCATENATE(COPIA!DS73,COPIA!$DY73))),""))</f>
        <v/>
      </c>
      <c r="E80" s="24" t="str">
        <f ca="1">IF(IFERROR(IF(COPIA!DT73=0,"",VALUE(CONCATENATE(COPIA!DT73,COPIA!$DY73))),"")=0,"",IFERROR(IF(COPIA!DT73=0,"",VALUE(CONCATENATE(COPIA!DT73,COPIA!$DY73))),""))</f>
        <v/>
      </c>
      <c r="F80" s="24" t="str">
        <f ca="1">IF(IFERROR(IF(COPIA!DU73=0,"",VALUE(CONCATENATE(COPIA!DU73,COPIA!$DZ73))),"")=0,"",IFERROR(IF(COPIA!DU73=0,"",VALUE(CONCATENATE(COPIA!DU73,COPIA!$DZ73))),""))</f>
        <v/>
      </c>
      <c r="G80" s="24" t="str">
        <f ca="1">IF(IFERROR(IF(COPIA!DV73=0,"",VALUE(CONCATENATE(COPIA!DV73,COPIA!$DZ73))),"")=0,"",IFERROR(IF(COPIA!DV73=0,"",VALUE(CONCATENATE(COPIA!DV73,COPIA!$DZ73))),""))</f>
        <v/>
      </c>
      <c r="H80" s="6">
        <f ca="1">IFERROR(COPIA!DW73,"")</f>
        <v>0</v>
      </c>
    </row>
    <row r="81" spans="2:8" ht="20.100000000000001" customHeight="1">
      <c r="B81" s="118" t="str">
        <f t="shared" ca="1" si="1"/>
        <v/>
      </c>
      <c r="C81" s="13" t="str">
        <f ca="1">IFERROR(CONCATENATE(COPIA!DR74,COPIA!DX74),"")</f>
        <v/>
      </c>
      <c r="D81" s="24" t="str">
        <f ca="1">IF(IFERROR(IF(COPIA!DS74=0,"",VALUE(CONCATENATE(COPIA!DS74,COPIA!$DY74))),"")=0,"",IFERROR(IF(COPIA!DS74=0,"",VALUE(CONCATENATE(COPIA!DS74,COPIA!$DY74))),""))</f>
        <v/>
      </c>
      <c r="E81" s="24" t="str">
        <f ca="1">IF(IFERROR(IF(COPIA!DT74=0,"",VALUE(CONCATENATE(COPIA!DT74,COPIA!$DY74))),"")=0,"",IFERROR(IF(COPIA!DT74=0,"",VALUE(CONCATENATE(COPIA!DT74,COPIA!$DY74))),""))</f>
        <v/>
      </c>
      <c r="F81" s="24" t="str">
        <f ca="1">IF(IFERROR(IF(COPIA!DU74=0,"",VALUE(CONCATENATE(COPIA!DU74,COPIA!$DZ74))),"")=0,"",IFERROR(IF(COPIA!DU74=0,"",VALUE(CONCATENATE(COPIA!DU74,COPIA!$DZ74))),""))</f>
        <v/>
      </c>
      <c r="G81" s="24" t="str">
        <f ca="1">IF(IFERROR(IF(COPIA!DV74=0,"",VALUE(CONCATENATE(COPIA!DV74,COPIA!$DZ74))),"")=0,"",IFERROR(IF(COPIA!DV74=0,"",VALUE(CONCATENATE(COPIA!DV74,COPIA!$DZ74))),""))</f>
        <v/>
      </c>
      <c r="H81" s="6">
        <f ca="1">IFERROR(COPIA!DW74,"")</f>
        <v>0</v>
      </c>
    </row>
    <row r="82" spans="2:8" ht="20.100000000000001" customHeight="1">
      <c r="B82" s="118" t="str">
        <f t="shared" ca="1" si="1"/>
        <v/>
      </c>
      <c r="C82" s="13" t="str">
        <f ca="1">IFERROR(CONCATENATE(COPIA!DR75,COPIA!DX75),"")</f>
        <v/>
      </c>
      <c r="D82" s="24" t="str">
        <f ca="1">IF(IFERROR(IF(COPIA!DS75=0,"",VALUE(CONCATENATE(COPIA!DS75,COPIA!$DY75))),"")=0,"",IFERROR(IF(COPIA!DS75=0,"",VALUE(CONCATENATE(COPIA!DS75,COPIA!$DY75))),""))</f>
        <v/>
      </c>
      <c r="E82" s="24" t="str">
        <f ca="1">IF(IFERROR(IF(COPIA!DT75=0,"",VALUE(CONCATENATE(COPIA!DT75,COPIA!$DY75))),"")=0,"",IFERROR(IF(COPIA!DT75=0,"",VALUE(CONCATENATE(COPIA!DT75,COPIA!$DY75))),""))</f>
        <v/>
      </c>
      <c r="F82" s="24" t="str">
        <f ca="1">IF(IFERROR(IF(COPIA!DU75=0,"",VALUE(CONCATENATE(COPIA!DU75,COPIA!$DZ75))),"")=0,"",IFERROR(IF(COPIA!DU75=0,"",VALUE(CONCATENATE(COPIA!DU75,COPIA!$DZ75))),""))</f>
        <v/>
      </c>
      <c r="G82" s="24" t="str">
        <f ca="1">IF(IFERROR(IF(COPIA!DV75=0,"",VALUE(CONCATENATE(COPIA!DV75,COPIA!$DZ75))),"")=0,"",IFERROR(IF(COPIA!DV75=0,"",VALUE(CONCATENATE(COPIA!DV75,COPIA!$DZ75))),""))</f>
        <v/>
      </c>
      <c r="H82" s="6">
        <f ca="1">IFERROR(COPIA!DW75,"")</f>
        <v>0</v>
      </c>
    </row>
    <row r="83" spans="2:8" ht="20.100000000000001" customHeight="1">
      <c r="B83" s="118" t="str">
        <f t="shared" ca="1" si="1"/>
        <v/>
      </c>
      <c r="C83" s="13" t="str">
        <f ca="1">IFERROR(CONCATENATE(COPIA!DR76,COPIA!DX76),"")</f>
        <v/>
      </c>
      <c r="D83" s="24" t="str">
        <f ca="1">IF(IFERROR(IF(COPIA!DS76=0,"",VALUE(CONCATENATE(COPIA!DS76,COPIA!$DY76))),"")=0,"",IFERROR(IF(COPIA!DS76=0,"",VALUE(CONCATENATE(COPIA!DS76,COPIA!$DY76))),""))</f>
        <v/>
      </c>
      <c r="E83" s="24" t="str">
        <f ca="1">IF(IFERROR(IF(COPIA!DT76=0,"",VALUE(CONCATENATE(COPIA!DT76,COPIA!$DY76))),"")=0,"",IFERROR(IF(COPIA!DT76=0,"",VALUE(CONCATENATE(COPIA!DT76,COPIA!$DY76))),""))</f>
        <v/>
      </c>
      <c r="F83" s="24" t="str">
        <f ca="1">IF(IFERROR(IF(COPIA!DU76=0,"",VALUE(CONCATENATE(COPIA!DU76,COPIA!$DZ76))),"")=0,"",IFERROR(IF(COPIA!DU76=0,"",VALUE(CONCATENATE(COPIA!DU76,COPIA!$DZ76))),""))</f>
        <v/>
      </c>
      <c r="G83" s="24" t="str">
        <f ca="1">IF(IFERROR(IF(COPIA!DV76=0,"",VALUE(CONCATENATE(COPIA!DV76,COPIA!$DZ76))),"")=0,"",IFERROR(IF(COPIA!DV76=0,"",VALUE(CONCATENATE(COPIA!DV76,COPIA!$DZ76))),""))</f>
        <v/>
      </c>
      <c r="H83" s="6">
        <f ca="1">IFERROR(COPIA!DW76,"")</f>
        <v>0</v>
      </c>
    </row>
    <row r="84" spans="2:8" ht="20.100000000000001" customHeight="1">
      <c r="B84" s="118" t="str">
        <f t="shared" ca="1" si="1"/>
        <v/>
      </c>
      <c r="C84" s="13" t="str">
        <f ca="1">IFERROR(CONCATENATE(COPIA!DR77,COPIA!DX77),"")</f>
        <v/>
      </c>
      <c r="D84" s="24" t="str">
        <f ca="1">IF(IFERROR(IF(COPIA!DS77=0,"",VALUE(CONCATENATE(COPIA!DS77,COPIA!$DY77))),"")=0,"",IFERROR(IF(COPIA!DS77=0,"",VALUE(CONCATENATE(COPIA!DS77,COPIA!$DY77))),""))</f>
        <v/>
      </c>
      <c r="E84" s="24" t="str">
        <f ca="1">IF(IFERROR(IF(COPIA!DT77=0,"",VALUE(CONCATENATE(COPIA!DT77,COPIA!$DY77))),"")=0,"",IFERROR(IF(COPIA!DT77=0,"",VALUE(CONCATENATE(COPIA!DT77,COPIA!$DY77))),""))</f>
        <v/>
      </c>
      <c r="F84" s="24" t="str">
        <f ca="1">IF(IFERROR(IF(COPIA!DU77=0,"",VALUE(CONCATENATE(COPIA!DU77,COPIA!$DZ77))),"")=0,"",IFERROR(IF(COPIA!DU77=0,"",VALUE(CONCATENATE(COPIA!DU77,COPIA!$DZ77))),""))</f>
        <v/>
      </c>
      <c r="G84" s="24" t="str">
        <f ca="1">IF(IFERROR(IF(COPIA!DV77=0,"",VALUE(CONCATENATE(COPIA!DV77,COPIA!$DZ77))),"")=0,"",IFERROR(IF(COPIA!DV77=0,"",VALUE(CONCATENATE(COPIA!DV77,COPIA!$DZ77))),""))</f>
        <v/>
      </c>
      <c r="H84" s="6">
        <f ca="1">IFERROR(COPIA!DW77,"")</f>
        <v>0</v>
      </c>
    </row>
    <row r="85" spans="2:8" ht="20.100000000000001" customHeight="1">
      <c r="B85" s="118" t="str">
        <f t="shared" ca="1" si="1"/>
        <v/>
      </c>
      <c r="C85" s="13" t="str">
        <f ca="1">IFERROR(CONCATENATE(COPIA!DR78,COPIA!DX78),"")</f>
        <v/>
      </c>
      <c r="D85" s="24" t="str">
        <f ca="1">IF(IFERROR(IF(COPIA!DS78=0,"",VALUE(CONCATENATE(COPIA!DS78,COPIA!$DY78))),"")=0,"",IFERROR(IF(COPIA!DS78=0,"",VALUE(CONCATENATE(COPIA!DS78,COPIA!$DY78))),""))</f>
        <v/>
      </c>
      <c r="E85" s="24" t="str">
        <f ca="1">IF(IFERROR(IF(COPIA!DT78=0,"",VALUE(CONCATENATE(COPIA!DT78,COPIA!$DY78))),"")=0,"",IFERROR(IF(COPIA!DT78=0,"",VALUE(CONCATENATE(COPIA!DT78,COPIA!$DY78))),""))</f>
        <v/>
      </c>
      <c r="F85" s="24" t="str">
        <f ca="1">IF(IFERROR(IF(COPIA!DU78=0,"",VALUE(CONCATENATE(COPIA!DU78,COPIA!$DZ78))),"")=0,"",IFERROR(IF(COPIA!DU78=0,"",VALUE(CONCATENATE(COPIA!DU78,COPIA!$DZ78))),""))</f>
        <v/>
      </c>
      <c r="G85" s="24" t="str">
        <f ca="1">IF(IFERROR(IF(COPIA!DV78=0,"",VALUE(CONCATENATE(COPIA!DV78,COPIA!$DZ78))),"")=0,"",IFERROR(IF(COPIA!DV78=0,"",VALUE(CONCATENATE(COPIA!DV78,COPIA!$DZ78))),""))</f>
        <v/>
      </c>
      <c r="H85" s="6">
        <f ca="1">IFERROR(COPIA!DW78,"")</f>
        <v>0</v>
      </c>
    </row>
    <row r="86" spans="2:8" ht="20.100000000000001" customHeight="1">
      <c r="B86" s="118" t="str">
        <f t="shared" ca="1" si="1"/>
        <v/>
      </c>
      <c r="C86" s="13" t="str">
        <f ca="1">IFERROR(CONCATENATE(COPIA!DR79,COPIA!DX79),"")</f>
        <v/>
      </c>
      <c r="D86" s="24" t="str">
        <f ca="1">IF(IFERROR(IF(COPIA!DS79=0,"",VALUE(CONCATENATE(COPIA!DS79,COPIA!$DY79))),"")=0,"",IFERROR(IF(COPIA!DS79=0,"",VALUE(CONCATENATE(COPIA!DS79,COPIA!$DY79))),""))</f>
        <v/>
      </c>
      <c r="E86" s="24" t="str">
        <f ca="1">IF(IFERROR(IF(COPIA!DT79=0,"",VALUE(CONCATENATE(COPIA!DT79,COPIA!$DY79))),"")=0,"",IFERROR(IF(COPIA!DT79=0,"",VALUE(CONCATENATE(COPIA!DT79,COPIA!$DY79))),""))</f>
        <v/>
      </c>
      <c r="F86" s="24" t="str">
        <f ca="1">IF(IFERROR(IF(COPIA!DU79=0,"",VALUE(CONCATENATE(COPIA!DU79,COPIA!$DZ79))),"")=0,"",IFERROR(IF(COPIA!DU79=0,"",VALUE(CONCATENATE(COPIA!DU79,COPIA!$DZ79))),""))</f>
        <v/>
      </c>
      <c r="G86" s="24" t="str">
        <f ca="1">IF(IFERROR(IF(COPIA!DV79=0,"",VALUE(CONCATENATE(COPIA!DV79,COPIA!$DZ79))),"")=0,"",IFERROR(IF(COPIA!DV79=0,"",VALUE(CONCATENATE(COPIA!DV79,COPIA!$DZ79))),""))</f>
        <v/>
      </c>
      <c r="H86" s="6">
        <f ca="1">IFERROR(COPIA!DW79,"")</f>
        <v>0</v>
      </c>
    </row>
    <row r="87" spans="2:8" ht="20.100000000000001" customHeight="1">
      <c r="B87" s="118" t="str">
        <f t="shared" ca="1" si="1"/>
        <v/>
      </c>
      <c r="C87" s="13" t="str">
        <f ca="1">IFERROR(CONCATENATE(COPIA!DR80,COPIA!DX80),"")</f>
        <v/>
      </c>
      <c r="D87" s="24" t="str">
        <f ca="1">IF(IFERROR(IF(COPIA!DS80=0,"",VALUE(CONCATENATE(COPIA!DS80,COPIA!$DY80))),"")=0,"",IFERROR(IF(COPIA!DS80=0,"",VALUE(CONCATENATE(COPIA!DS80,COPIA!$DY80))),""))</f>
        <v/>
      </c>
      <c r="E87" s="24" t="str">
        <f ca="1">IF(IFERROR(IF(COPIA!DT80=0,"",VALUE(CONCATENATE(COPIA!DT80,COPIA!$DY80))),"")=0,"",IFERROR(IF(COPIA!DT80=0,"",VALUE(CONCATENATE(COPIA!DT80,COPIA!$DY80))),""))</f>
        <v/>
      </c>
      <c r="F87" s="24" t="str">
        <f ca="1">IF(IFERROR(IF(COPIA!DU80=0,"",VALUE(CONCATENATE(COPIA!DU80,COPIA!$DZ80))),"")=0,"",IFERROR(IF(COPIA!DU80=0,"",VALUE(CONCATENATE(COPIA!DU80,COPIA!$DZ80))),""))</f>
        <v/>
      </c>
      <c r="G87" s="24" t="str">
        <f ca="1">IF(IFERROR(IF(COPIA!DV80=0,"",VALUE(CONCATENATE(COPIA!DV80,COPIA!$DZ80))),"")=0,"",IFERROR(IF(COPIA!DV80=0,"",VALUE(CONCATENATE(COPIA!DV80,COPIA!$DZ80))),""))</f>
        <v/>
      </c>
      <c r="H87" s="6">
        <f ca="1">IFERROR(COPIA!DW80,"")</f>
        <v>0</v>
      </c>
    </row>
    <row r="88" spans="2:8" ht="20.100000000000001" customHeight="1">
      <c r="B88" s="118" t="str">
        <f t="shared" ca="1" si="1"/>
        <v/>
      </c>
      <c r="C88" s="13" t="str">
        <f ca="1">IFERROR(CONCATENATE(COPIA!DR81,COPIA!DX81),"")</f>
        <v/>
      </c>
      <c r="D88" s="24" t="str">
        <f ca="1">IF(IFERROR(IF(COPIA!DS81=0,"",VALUE(CONCATENATE(COPIA!DS81,COPIA!$DY81))),"")=0,"",IFERROR(IF(COPIA!DS81=0,"",VALUE(CONCATENATE(COPIA!DS81,COPIA!$DY81))),""))</f>
        <v/>
      </c>
      <c r="E88" s="24" t="str">
        <f ca="1">IF(IFERROR(IF(COPIA!DT81=0,"",VALUE(CONCATENATE(COPIA!DT81,COPIA!$DY81))),"")=0,"",IFERROR(IF(COPIA!DT81=0,"",VALUE(CONCATENATE(COPIA!DT81,COPIA!$DY81))),""))</f>
        <v/>
      </c>
      <c r="F88" s="24" t="str">
        <f ca="1">IF(IFERROR(IF(COPIA!DU81=0,"",VALUE(CONCATENATE(COPIA!DU81,COPIA!$DZ81))),"")=0,"",IFERROR(IF(COPIA!DU81=0,"",VALUE(CONCATENATE(COPIA!DU81,COPIA!$DZ81))),""))</f>
        <v/>
      </c>
      <c r="G88" s="24" t="str">
        <f ca="1">IF(IFERROR(IF(COPIA!DV81=0,"",VALUE(CONCATENATE(COPIA!DV81,COPIA!$DZ81))),"")=0,"",IFERROR(IF(COPIA!DV81=0,"",VALUE(CONCATENATE(COPIA!DV81,COPIA!$DZ81))),""))</f>
        <v/>
      </c>
      <c r="H88" s="6">
        <f ca="1">IFERROR(COPIA!DW81,"")</f>
        <v>0</v>
      </c>
    </row>
    <row r="89" spans="2:8" ht="20.100000000000001" customHeight="1">
      <c r="B89" s="118" t="str">
        <f t="shared" ca="1" si="1"/>
        <v/>
      </c>
      <c r="C89" s="13" t="str">
        <f ca="1">IFERROR(CONCATENATE(COPIA!DR82,COPIA!DX82),"")</f>
        <v/>
      </c>
      <c r="D89" s="24" t="str">
        <f ca="1">IF(IFERROR(IF(COPIA!DS82=0,"",VALUE(CONCATENATE(COPIA!DS82,COPIA!$DY82))),"")=0,"",IFERROR(IF(COPIA!DS82=0,"",VALUE(CONCATENATE(COPIA!DS82,COPIA!$DY82))),""))</f>
        <v/>
      </c>
      <c r="E89" s="24" t="str">
        <f ca="1">IF(IFERROR(IF(COPIA!DT82=0,"",VALUE(CONCATENATE(COPIA!DT82,COPIA!$DY82))),"")=0,"",IFERROR(IF(COPIA!DT82=0,"",VALUE(CONCATENATE(COPIA!DT82,COPIA!$DY82))),""))</f>
        <v/>
      </c>
      <c r="F89" s="24" t="str">
        <f ca="1">IF(IFERROR(IF(COPIA!DU82=0,"",VALUE(CONCATENATE(COPIA!DU82,COPIA!$DZ82))),"")=0,"",IFERROR(IF(COPIA!DU82=0,"",VALUE(CONCATENATE(COPIA!DU82,COPIA!$DZ82))),""))</f>
        <v/>
      </c>
      <c r="G89" s="24" t="str">
        <f ca="1">IF(IFERROR(IF(COPIA!DV82=0,"",VALUE(CONCATENATE(COPIA!DV82,COPIA!$DZ82))),"")=0,"",IFERROR(IF(COPIA!DV82=0,"",VALUE(CONCATENATE(COPIA!DV82,COPIA!$DZ82))),""))</f>
        <v/>
      </c>
      <c r="H89" s="6">
        <f ca="1">IFERROR(COPIA!DW82,"")</f>
        <v>0</v>
      </c>
    </row>
    <row r="90" spans="2:8" ht="20.100000000000001" customHeight="1">
      <c r="B90" s="118" t="str">
        <f t="shared" ca="1" si="1"/>
        <v/>
      </c>
      <c r="C90" s="13" t="str">
        <f ca="1">IFERROR(CONCATENATE(COPIA!DR83,COPIA!DX83),"")</f>
        <v/>
      </c>
      <c r="D90" s="24" t="str">
        <f ca="1">IF(IFERROR(IF(COPIA!DS83=0,"",VALUE(CONCATENATE(COPIA!DS83,COPIA!$DY83))),"")=0,"",IFERROR(IF(COPIA!DS83=0,"",VALUE(CONCATENATE(COPIA!DS83,COPIA!$DY83))),""))</f>
        <v/>
      </c>
      <c r="E90" s="24" t="str">
        <f ca="1">IF(IFERROR(IF(COPIA!DT83=0,"",VALUE(CONCATENATE(COPIA!DT83,COPIA!$DY83))),"")=0,"",IFERROR(IF(COPIA!DT83=0,"",VALUE(CONCATENATE(COPIA!DT83,COPIA!$DY83))),""))</f>
        <v/>
      </c>
      <c r="F90" s="24" t="str">
        <f ca="1">IF(IFERROR(IF(COPIA!DU83=0,"",VALUE(CONCATENATE(COPIA!DU83,COPIA!$DZ83))),"")=0,"",IFERROR(IF(COPIA!DU83=0,"",VALUE(CONCATENATE(COPIA!DU83,COPIA!$DZ83))),""))</f>
        <v/>
      </c>
      <c r="G90" s="24" t="str">
        <f ca="1">IF(IFERROR(IF(COPIA!DV83=0,"",VALUE(CONCATENATE(COPIA!DV83,COPIA!$DZ83))),"")=0,"",IFERROR(IF(COPIA!DV83=0,"",VALUE(CONCATENATE(COPIA!DV83,COPIA!$DZ83))),""))</f>
        <v/>
      </c>
      <c r="H90" s="6">
        <f ca="1">IFERROR(COPIA!DW83,"")</f>
        <v>0</v>
      </c>
    </row>
    <row r="91" spans="2:8" ht="20.100000000000001" customHeight="1">
      <c r="B91" s="118" t="str">
        <f t="shared" ca="1" si="1"/>
        <v/>
      </c>
      <c r="C91" s="13" t="str">
        <f ca="1">IFERROR(CONCATENATE(COPIA!DR84,COPIA!DX84),"")</f>
        <v/>
      </c>
      <c r="D91" s="24" t="str">
        <f ca="1">IF(IFERROR(IF(COPIA!DS84=0,"",VALUE(CONCATENATE(COPIA!DS84,COPIA!$DY84))),"")=0,"",IFERROR(IF(COPIA!DS84=0,"",VALUE(CONCATENATE(COPIA!DS84,COPIA!$DY84))),""))</f>
        <v/>
      </c>
      <c r="E91" s="24" t="str">
        <f ca="1">IF(IFERROR(IF(COPIA!DT84=0,"",VALUE(CONCATENATE(COPIA!DT84,COPIA!$DY84))),"")=0,"",IFERROR(IF(COPIA!DT84=0,"",VALUE(CONCATENATE(COPIA!DT84,COPIA!$DY84))),""))</f>
        <v/>
      </c>
      <c r="F91" s="24" t="str">
        <f ca="1">IF(IFERROR(IF(COPIA!DU84=0,"",VALUE(CONCATENATE(COPIA!DU84,COPIA!$DZ84))),"")=0,"",IFERROR(IF(COPIA!DU84=0,"",VALUE(CONCATENATE(COPIA!DU84,COPIA!$DZ84))),""))</f>
        <v/>
      </c>
      <c r="G91" s="24" t="str">
        <f ca="1">IF(IFERROR(IF(COPIA!DV84=0,"",VALUE(CONCATENATE(COPIA!DV84,COPIA!$DZ84))),"")=0,"",IFERROR(IF(COPIA!DV84=0,"",VALUE(CONCATENATE(COPIA!DV84,COPIA!$DZ84))),""))</f>
        <v/>
      </c>
      <c r="H91" s="6">
        <f ca="1">IFERROR(COPIA!DW84,"")</f>
        <v>0</v>
      </c>
    </row>
    <row r="92" spans="2:8" ht="20.100000000000001" customHeight="1">
      <c r="B92" s="118" t="str">
        <f t="shared" ca="1" si="1"/>
        <v/>
      </c>
      <c r="C92" s="13" t="str">
        <f ca="1">IFERROR(CONCATENATE(COPIA!DR85,COPIA!DX85),"")</f>
        <v/>
      </c>
      <c r="D92" s="24" t="str">
        <f ca="1">IF(IFERROR(IF(COPIA!DS85=0,"",VALUE(CONCATENATE(COPIA!DS85,COPIA!$DY85))),"")=0,"",IFERROR(IF(COPIA!DS85=0,"",VALUE(CONCATENATE(COPIA!DS85,COPIA!$DY85))),""))</f>
        <v/>
      </c>
      <c r="E92" s="24" t="str">
        <f ca="1">IF(IFERROR(IF(COPIA!DT85=0,"",VALUE(CONCATENATE(COPIA!DT85,COPIA!$DY85))),"")=0,"",IFERROR(IF(COPIA!DT85=0,"",VALUE(CONCATENATE(COPIA!DT85,COPIA!$DY85))),""))</f>
        <v/>
      </c>
      <c r="F92" s="24" t="str">
        <f ca="1">IF(IFERROR(IF(COPIA!DU85=0,"",VALUE(CONCATENATE(COPIA!DU85,COPIA!$DZ85))),"")=0,"",IFERROR(IF(COPIA!DU85=0,"",VALUE(CONCATENATE(COPIA!DU85,COPIA!$DZ85))),""))</f>
        <v/>
      </c>
      <c r="G92" s="24" t="str">
        <f ca="1">IF(IFERROR(IF(COPIA!DV85=0,"",VALUE(CONCATENATE(COPIA!DV85,COPIA!$DZ85))),"")=0,"",IFERROR(IF(COPIA!DV85=0,"",VALUE(CONCATENATE(COPIA!DV85,COPIA!$DZ85))),""))</f>
        <v/>
      </c>
      <c r="H92" s="6">
        <f ca="1">IFERROR(COPIA!DW85,"")</f>
        <v>0</v>
      </c>
    </row>
    <row r="93" spans="2:8" ht="20.100000000000001" customHeight="1">
      <c r="B93" s="118" t="str">
        <f t="shared" ca="1" si="1"/>
        <v/>
      </c>
      <c r="C93" s="13" t="str">
        <f ca="1">IFERROR(CONCATENATE(COPIA!DR86,COPIA!DX86),"")</f>
        <v/>
      </c>
      <c r="D93" s="24" t="str">
        <f ca="1">IF(IFERROR(IF(COPIA!DS86=0,"",VALUE(CONCATENATE(COPIA!DS86,COPIA!$DY86))),"")=0,"",IFERROR(IF(COPIA!DS86=0,"",VALUE(CONCATENATE(COPIA!DS86,COPIA!$DY86))),""))</f>
        <v/>
      </c>
      <c r="E93" s="24" t="str">
        <f ca="1">IF(IFERROR(IF(COPIA!DT86=0,"",VALUE(CONCATENATE(COPIA!DT86,COPIA!$DY86))),"")=0,"",IFERROR(IF(COPIA!DT86=0,"",VALUE(CONCATENATE(COPIA!DT86,COPIA!$DY86))),""))</f>
        <v/>
      </c>
      <c r="F93" s="24" t="str">
        <f ca="1">IF(IFERROR(IF(COPIA!DU86=0,"",VALUE(CONCATENATE(COPIA!DU86,COPIA!$DZ86))),"")=0,"",IFERROR(IF(COPIA!DU86=0,"",VALUE(CONCATENATE(COPIA!DU86,COPIA!$DZ86))),""))</f>
        <v/>
      </c>
      <c r="G93" s="24" t="str">
        <f ca="1">IF(IFERROR(IF(COPIA!DV86=0,"",VALUE(CONCATENATE(COPIA!DV86,COPIA!$DZ86))),"")=0,"",IFERROR(IF(COPIA!DV86=0,"",VALUE(CONCATENATE(COPIA!DV86,COPIA!$DZ86))),""))</f>
        <v/>
      </c>
      <c r="H93" s="6">
        <f ca="1">IFERROR(COPIA!DW86,"")</f>
        <v>0</v>
      </c>
    </row>
    <row r="94" spans="2:8" ht="20.100000000000001" customHeight="1">
      <c r="B94" s="118" t="str">
        <f t="shared" ca="1" si="1"/>
        <v/>
      </c>
      <c r="C94" s="13" t="str">
        <f ca="1">IFERROR(CONCATENATE(COPIA!DR87,COPIA!DX87),"")</f>
        <v/>
      </c>
      <c r="D94" s="24" t="str">
        <f ca="1">IF(IFERROR(IF(COPIA!DS87=0,"",VALUE(CONCATENATE(COPIA!DS87,COPIA!$DY87))),"")=0,"",IFERROR(IF(COPIA!DS87=0,"",VALUE(CONCATENATE(COPIA!DS87,COPIA!$DY87))),""))</f>
        <v/>
      </c>
      <c r="E94" s="24" t="str">
        <f ca="1">IF(IFERROR(IF(COPIA!DT87=0,"",VALUE(CONCATENATE(COPIA!DT87,COPIA!$DY87))),"")=0,"",IFERROR(IF(COPIA!DT87=0,"",VALUE(CONCATENATE(COPIA!DT87,COPIA!$DY87))),""))</f>
        <v/>
      </c>
      <c r="F94" s="24" t="str">
        <f ca="1">IF(IFERROR(IF(COPIA!DU87=0,"",VALUE(CONCATENATE(COPIA!DU87,COPIA!$DZ87))),"")=0,"",IFERROR(IF(COPIA!DU87=0,"",VALUE(CONCATENATE(COPIA!DU87,COPIA!$DZ87))),""))</f>
        <v/>
      </c>
      <c r="G94" s="24" t="str">
        <f ca="1">IF(IFERROR(IF(COPIA!DV87=0,"",VALUE(CONCATENATE(COPIA!DV87,COPIA!$DZ87))),"")=0,"",IFERROR(IF(COPIA!DV87=0,"",VALUE(CONCATENATE(COPIA!DV87,COPIA!$DZ87))),""))</f>
        <v/>
      </c>
      <c r="H94" s="6">
        <f ca="1">IFERROR(COPIA!DW87,"")</f>
        <v>0</v>
      </c>
    </row>
    <row r="95" spans="2:8" ht="20.100000000000001" customHeight="1">
      <c r="B95" s="118" t="str">
        <f t="shared" ca="1" si="1"/>
        <v/>
      </c>
      <c r="C95" s="13" t="str">
        <f ca="1">IFERROR(CONCATENATE(COPIA!DR88,COPIA!DX88),"")</f>
        <v/>
      </c>
      <c r="D95" s="24" t="str">
        <f ca="1">IF(IFERROR(IF(COPIA!DS88=0,"",VALUE(CONCATENATE(COPIA!DS88,COPIA!$DY88))),"")=0,"",IFERROR(IF(COPIA!DS88=0,"",VALUE(CONCATENATE(COPIA!DS88,COPIA!$DY88))),""))</f>
        <v/>
      </c>
      <c r="E95" s="24" t="str">
        <f ca="1">IF(IFERROR(IF(COPIA!DT88=0,"",VALUE(CONCATENATE(COPIA!DT88,COPIA!$DY88))),"")=0,"",IFERROR(IF(COPIA!DT88=0,"",VALUE(CONCATENATE(COPIA!DT88,COPIA!$DY88))),""))</f>
        <v/>
      </c>
      <c r="F95" s="24" t="str">
        <f ca="1">IF(IFERROR(IF(COPIA!DU88=0,"",VALUE(CONCATENATE(COPIA!DU88,COPIA!$DZ88))),"")=0,"",IFERROR(IF(COPIA!DU88=0,"",VALUE(CONCATENATE(COPIA!DU88,COPIA!$DZ88))),""))</f>
        <v/>
      </c>
      <c r="G95" s="24" t="str">
        <f ca="1">IF(IFERROR(IF(COPIA!DV88=0,"",VALUE(CONCATENATE(COPIA!DV88,COPIA!$DZ88))),"")=0,"",IFERROR(IF(COPIA!DV88=0,"",VALUE(CONCATENATE(COPIA!DV88,COPIA!$DZ88))),""))</f>
        <v/>
      </c>
      <c r="H95" s="6">
        <f ca="1">IFERROR(COPIA!DW88,"")</f>
        <v>0</v>
      </c>
    </row>
    <row r="96" spans="2:8" ht="20.100000000000001" customHeight="1">
      <c r="B96" s="118" t="str">
        <f t="shared" ca="1" si="1"/>
        <v/>
      </c>
      <c r="C96" s="13" t="str">
        <f ca="1">IFERROR(CONCATENATE(COPIA!DR89,COPIA!DX89),"")</f>
        <v/>
      </c>
      <c r="D96" s="24" t="str">
        <f ca="1">IF(IFERROR(IF(COPIA!DS89=0,"",VALUE(CONCATENATE(COPIA!DS89,COPIA!$DY89))),"")=0,"",IFERROR(IF(COPIA!DS89=0,"",VALUE(CONCATENATE(COPIA!DS89,COPIA!$DY89))),""))</f>
        <v/>
      </c>
      <c r="E96" s="24" t="str">
        <f ca="1">IF(IFERROR(IF(COPIA!DT89=0,"",VALUE(CONCATENATE(COPIA!DT89,COPIA!$DY89))),"")=0,"",IFERROR(IF(COPIA!DT89=0,"",VALUE(CONCATENATE(COPIA!DT89,COPIA!$DY89))),""))</f>
        <v/>
      </c>
      <c r="F96" s="24" t="str">
        <f ca="1">IF(IFERROR(IF(COPIA!DU89=0,"",VALUE(CONCATENATE(COPIA!DU89,COPIA!$DZ89))),"")=0,"",IFERROR(IF(COPIA!DU89=0,"",VALUE(CONCATENATE(COPIA!DU89,COPIA!$DZ89))),""))</f>
        <v/>
      </c>
      <c r="G96" s="24" t="str">
        <f ca="1">IF(IFERROR(IF(COPIA!DV89=0,"",VALUE(CONCATENATE(COPIA!DV89,COPIA!$DZ89))),"")=0,"",IFERROR(IF(COPIA!DV89=0,"",VALUE(CONCATENATE(COPIA!DV89,COPIA!$DZ89))),""))</f>
        <v/>
      </c>
      <c r="H96" s="6">
        <f ca="1">IFERROR(COPIA!DW89,"")</f>
        <v>0</v>
      </c>
    </row>
    <row r="97" spans="2:8" ht="20.100000000000001" customHeight="1">
      <c r="B97" s="118" t="str">
        <f t="shared" ca="1" si="1"/>
        <v/>
      </c>
      <c r="C97" s="13" t="str">
        <f ca="1">IFERROR(CONCATENATE(COPIA!DR90,COPIA!DX90),"")</f>
        <v/>
      </c>
      <c r="D97" s="24" t="str">
        <f ca="1">IF(IFERROR(IF(COPIA!DS90=0,"",VALUE(CONCATENATE(COPIA!DS90,COPIA!$DY90))),"")=0,"",IFERROR(IF(COPIA!DS90=0,"",VALUE(CONCATENATE(COPIA!DS90,COPIA!$DY90))),""))</f>
        <v/>
      </c>
      <c r="E97" s="24" t="str">
        <f ca="1">IF(IFERROR(IF(COPIA!DT90=0,"",VALUE(CONCATENATE(COPIA!DT90,COPIA!$DY90))),"")=0,"",IFERROR(IF(COPIA!DT90=0,"",VALUE(CONCATENATE(COPIA!DT90,COPIA!$DY90))),""))</f>
        <v/>
      </c>
      <c r="F97" s="24" t="str">
        <f ca="1">IF(IFERROR(IF(COPIA!DU90=0,"",VALUE(CONCATENATE(COPIA!DU90,COPIA!$DZ90))),"")=0,"",IFERROR(IF(COPIA!DU90=0,"",VALUE(CONCATENATE(COPIA!DU90,COPIA!$DZ90))),""))</f>
        <v/>
      </c>
      <c r="G97" s="24" t="str">
        <f ca="1">IF(IFERROR(IF(COPIA!DV90=0,"",VALUE(CONCATENATE(COPIA!DV90,COPIA!$DZ90))),"")=0,"",IFERROR(IF(COPIA!DV90=0,"",VALUE(CONCATENATE(COPIA!DV90,COPIA!$DZ90))),""))</f>
        <v/>
      </c>
      <c r="H97" s="6">
        <f ca="1">IFERROR(COPIA!DW90,"")</f>
        <v>0</v>
      </c>
    </row>
    <row r="98" spans="2:8" ht="20.100000000000001" customHeight="1">
      <c r="B98" s="118" t="str">
        <f t="shared" ca="1" si="1"/>
        <v/>
      </c>
      <c r="C98" s="13" t="str">
        <f ca="1">IFERROR(CONCATENATE(COPIA!DR91,COPIA!DX91),"")</f>
        <v/>
      </c>
      <c r="D98" s="24" t="str">
        <f ca="1">IF(IFERROR(IF(COPIA!DS91=0,"",VALUE(CONCATENATE(COPIA!DS91,COPIA!$DY91))),"")=0,"",IFERROR(IF(COPIA!DS91=0,"",VALUE(CONCATENATE(COPIA!DS91,COPIA!$DY91))),""))</f>
        <v/>
      </c>
      <c r="E98" s="24" t="str">
        <f ca="1">IF(IFERROR(IF(COPIA!DT91=0,"",VALUE(CONCATENATE(COPIA!DT91,COPIA!$DY91))),"")=0,"",IFERROR(IF(COPIA!DT91=0,"",VALUE(CONCATENATE(COPIA!DT91,COPIA!$DY91))),""))</f>
        <v/>
      </c>
      <c r="F98" s="24" t="str">
        <f ca="1">IF(IFERROR(IF(COPIA!DU91=0,"",VALUE(CONCATENATE(COPIA!DU91,COPIA!$DZ91))),"")=0,"",IFERROR(IF(COPIA!DU91=0,"",VALUE(CONCATENATE(COPIA!DU91,COPIA!$DZ91))),""))</f>
        <v/>
      </c>
      <c r="G98" s="24" t="str">
        <f ca="1">IF(IFERROR(IF(COPIA!DV91=0,"",VALUE(CONCATENATE(COPIA!DV91,COPIA!$DZ91))),"")=0,"",IFERROR(IF(COPIA!DV91=0,"",VALUE(CONCATENATE(COPIA!DV91,COPIA!$DZ91))),""))</f>
        <v/>
      </c>
      <c r="H98" s="6">
        <f ca="1">IFERROR(COPIA!DW91,"")</f>
        <v>0</v>
      </c>
    </row>
    <row r="99" spans="2:8" ht="20.100000000000001" customHeight="1">
      <c r="B99" s="118" t="str">
        <f t="shared" ca="1" si="1"/>
        <v/>
      </c>
      <c r="C99" s="13" t="str">
        <f ca="1">IFERROR(CONCATENATE(COPIA!DR92,COPIA!DX92),"")</f>
        <v/>
      </c>
      <c r="D99" s="24" t="str">
        <f ca="1">IF(IFERROR(IF(COPIA!DS92=0,"",VALUE(CONCATENATE(COPIA!DS92,COPIA!$DY92))),"")=0,"",IFERROR(IF(COPIA!DS92=0,"",VALUE(CONCATENATE(COPIA!DS92,COPIA!$DY92))),""))</f>
        <v/>
      </c>
      <c r="E99" s="24" t="str">
        <f ca="1">IF(IFERROR(IF(COPIA!DT92=0,"",VALUE(CONCATENATE(COPIA!DT92,COPIA!$DY92))),"")=0,"",IFERROR(IF(COPIA!DT92=0,"",VALUE(CONCATENATE(COPIA!DT92,COPIA!$DY92))),""))</f>
        <v/>
      </c>
      <c r="F99" s="24" t="str">
        <f ca="1">IF(IFERROR(IF(COPIA!DU92=0,"",VALUE(CONCATENATE(COPIA!DU92,COPIA!$DZ92))),"")=0,"",IFERROR(IF(COPIA!DU92=0,"",VALUE(CONCATENATE(COPIA!DU92,COPIA!$DZ92))),""))</f>
        <v/>
      </c>
      <c r="G99" s="24" t="str">
        <f ca="1">IF(IFERROR(IF(COPIA!DV92=0,"",VALUE(CONCATENATE(COPIA!DV92,COPIA!$DZ92))),"")=0,"",IFERROR(IF(COPIA!DV92=0,"",VALUE(CONCATENATE(COPIA!DV92,COPIA!$DZ92))),""))</f>
        <v/>
      </c>
      <c r="H99" s="6">
        <f ca="1">IFERROR(COPIA!DW92,"")</f>
        <v>0</v>
      </c>
    </row>
    <row r="100" spans="2:8" ht="20.100000000000001" customHeight="1">
      <c r="B100" s="118" t="str">
        <f t="shared" ca="1" si="1"/>
        <v/>
      </c>
      <c r="C100" s="13" t="str">
        <f ca="1">IFERROR(CONCATENATE(COPIA!DR93,COPIA!DX93),"")</f>
        <v/>
      </c>
      <c r="D100" s="24" t="str">
        <f ca="1">IF(IFERROR(IF(COPIA!DS93=0,"",VALUE(CONCATENATE(COPIA!DS93,COPIA!$DY93))),"")=0,"",IFERROR(IF(COPIA!DS93=0,"",VALUE(CONCATENATE(COPIA!DS93,COPIA!$DY93))),""))</f>
        <v/>
      </c>
      <c r="E100" s="24" t="str">
        <f ca="1">IF(IFERROR(IF(COPIA!DT93=0,"",VALUE(CONCATENATE(COPIA!DT93,COPIA!$DY93))),"")=0,"",IFERROR(IF(COPIA!DT93=0,"",VALUE(CONCATENATE(COPIA!DT93,COPIA!$DY93))),""))</f>
        <v/>
      </c>
      <c r="F100" s="24" t="str">
        <f ca="1">IF(IFERROR(IF(COPIA!DU93=0,"",VALUE(CONCATENATE(COPIA!DU93,COPIA!$DZ93))),"")=0,"",IFERROR(IF(COPIA!DU93=0,"",VALUE(CONCATENATE(COPIA!DU93,COPIA!$DZ93))),""))</f>
        <v/>
      </c>
      <c r="G100" s="24" t="str">
        <f ca="1">IF(IFERROR(IF(COPIA!DV93=0,"",VALUE(CONCATENATE(COPIA!DV93,COPIA!$DZ93))),"")=0,"",IFERROR(IF(COPIA!DV93=0,"",VALUE(CONCATENATE(COPIA!DV93,COPIA!$DZ93))),""))</f>
        <v/>
      </c>
      <c r="H100" s="6">
        <f ca="1">IFERROR(COPIA!DW93,"")</f>
        <v>0</v>
      </c>
    </row>
    <row r="101" spans="2:8" ht="20.100000000000001" customHeight="1">
      <c r="B101" s="118" t="str">
        <f t="shared" ca="1" si="1"/>
        <v/>
      </c>
      <c r="C101" s="13" t="str">
        <f ca="1">IFERROR(CONCATENATE(COPIA!DR94,COPIA!DX94),"")</f>
        <v/>
      </c>
      <c r="D101" s="24" t="str">
        <f ca="1">IF(IFERROR(IF(COPIA!DS94=0,"",VALUE(CONCATENATE(COPIA!DS94,COPIA!$DY94))),"")=0,"",IFERROR(IF(COPIA!DS94=0,"",VALUE(CONCATENATE(COPIA!DS94,COPIA!$DY94))),""))</f>
        <v/>
      </c>
      <c r="E101" s="24" t="str">
        <f ca="1">IF(IFERROR(IF(COPIA!DT94=0,"",VALUE(CONCATENATE(COPIA!DT94,COPIA!$DY94))),"")=0,"",IFERROR(IF(COPIA!DT94=0,"",VALUE(CONCATENATE(COPIA!DT94,COPIA!$DY94))),""))</f>
        <v/>
      </c>
      <c r="F101" s="24" t="str">
        <f ca="1">IF(IFERROR(IF(COPIA!DU94=0,"",VALUE(CONCATENATE(COPIA!DU94,COPIA!$DZ94))),"")=0,"",IFERROR(IF(COPIA!DU94=0,"",VALUE(CONCATENATE(COPIA!DU94,COPIA!$DZ94))),""))</f>
        <v/>
      </c>
      <c r="G101" s="24" t="str">
        <f ca="1">IF(IFERROR(IF(COPIA!DV94=0,"",VALUE(CONCATENATE(COPIA!DV94,COPIA!$DZ94))),"")=0,"",IFERROR(IF(COPIA!DV94=0,"",VALUE(CONCATENATE(COPIA!DV94,COPIA!$DZ94))),""))</f>
        <v/>
      </c>
      <c r="H101" s="6">
        <f ca="1">IFERROR(COPIA!DW94,"")</f>
        <v>0</v>
      </c>
    </row>
    <row r="102" spans="2:8" ht="20.100000000000001" customHeight="1">
      <c r="B102" s="118" t="str">
        <f t="shared" ca="1" si="1"/>
        <v/>
      </c>
      <c r="C102" s="13" t="str">
        <f ca="1">IFERROR(CONCATENATE(COPIA!DR95,COPIA!DX95),"")</f>
        <v/>
      </c>
      <c r="D102" s="24" t="str">
        <f ca="1">IF(IFERROR(IF(COPIA!DS95=0,"",VALUE(CONCATENATE(COPIA!DS95,COPIA!$DY95))),"")=0,"",IFERROR(IF(COPIA!DS95=0,"",VALUE(CONCATENATE(COPIA!DS95,COPIA!$DY95))),""))</f>
        <v/>
      </c>
      <c r="E102" s="24" t="str">
        <f ca="1">IF(IFERROR(IF(COPIA!DT95=0,"",VALUE(CONCATENATE(COPIA!DT95,COPIA!$DY95))),"")=0,"",IFERROR(IF(COPIA!DT95=0,"",VALUE(CONCATENATE(COPIA!DT95,COPIA!$DY95))),""))</f>
        <v/>
      </c>
      <c r="F102" s="24" t="str">
        <f ca="1">IF(IFERROR(IF(COPIA!DU95=0,"",VALUE(CONCATENATE(COPIA!DU95,COPIA!$DZ95))),"")=0,"",IFERROR(IF(COPIA!DU95=0,"",VALUE(CONCATENATE(COPIA!DU95,COPIA!$DZ95))),""))</f>
        <v/>
      </c>
      <c r="G102" s="24" t="str">
        <f ca="1">IF(IFERROR(IF(COPIA!DV95=0,"",VALUE(CONCATENATE(COPIA!DV95,COPIA!$DZ95))),"")=0,"",IFERROR(IF(COPIA!DV95=0,"",VALUE(CONCATENATE(COPIA!DV95,COPIA!$DZ95))),""))</f>
        <v/>
      </c>
      <c r="H102" s="6">
        <f ca="1">IFERROR(COPIA!DW95,"")</f>
        <v>0</v>
      </c>
    </row>
    <row r="103" spans="2:8" ht="20.100000000000001" customHeight="1">
      <c r="B103" s="118" t="str">
        <f t="shared" ca="1" si="1"/>
        <v/>
      </c>
      <c r="C103" s="13" t="str">
        <f ca="1">IFERROR(CONCATENATE(COPIA!DR96,COPIA!DX96),"")</f>
        <v/>
      </c>
      <c r="D103" s="24" t="str">
        <f ca="1">IF(IFERROR(IF(COPIA!DS96=0,"",VALUE(CONCATENATE(COPIA!DS96,COPIA!$DY96))),"")=0,"",IFERROR(IF(COPIA!DS96=0,"",VALUE(CONCATENATE(COPIA!DS96,COPIA!$DY96))),""))</f>
        <v/>
      </c>
      <c r="E103" s="24" t="str">
        <f ca="1">IF(IFERROR(IF(COPIA!DT96=0,"",VALUE(CONCATENATE(COPIA!DT96,COPIA!$DY96))),"")=0,"",IFERROR(IF(COPIA!DT96=0,"",VALUE(CONCATENATE(COPIA!DT96,COPIA!$DY96))),""))</f>
        <v/>
      </c>
      <c r="F103" s="24" t="str">
        <f ca="1">IF(IFERROR(IF(COPIA!DU96=0,"",VALUE(CONCATENATE(COPIA!DU96,COPIA!$DZ96))),"")=0,"",IFERROR(IF(COPIA!DU96=0,"",VALUE(CONCATENATE(COPIA!DU96,COPIA!$DZ96))),""))</f>
        <v/>
      </c>
      <c r="G103" s="24" t="str">
        <f ca="1">IF(IFERROR(IF(COPIA!DV96=0,"",VALUE(CONCATENATE(COPIA!DV96,COPIA!$DZ96))),"")=0,"",IFERROR(IF(COPIA!DV96=0,"",VALUE(CONCATENATE(COPIA!DV96,COPIA!$DZ96))),""))</f>
        <v/>
      </c>
      <c r="H103" s="6">
        <f ca="1">IFERROR(COPIA!DW96,"")</f>
        <v>0</v>
      </c>
    </row>
    <row r="104" spans="2:8" ht="20.100000000000001" customHeight="1">
      <c r="B104" s="118" t="str">
        <f t="shared" ca="1" si="1"/>
        <v/>
      </c>
      <c r="C104" s="13" t="str">
        <f ca="1">IFERROR(CONCATENATE(COPIA!DR97,COPIA!DX97),"")</f>
        <v/>
      </c>
      <c r="D104" s="24" t="str">
        <f ca="1">IF(IFERROR(IF(COPIA!DS97=0,"",VALUE(CONCATENATE(COPIA!DS97,COPIA!$DY97))),"")=0,"",IFERROR(IF(COPIA!DS97=0,"",VALUE(CONCATENATE(COPIA!DS97,COPIA!$DY97))),""))</f>
        <v/>
      </c>
      <c r="E104" s="24" t="str">
        <f ca="1">IF(IFERROR(IF(COPIA!DT97=0,"",VALUE(CONCATENATE(COPIA!DT97,COPIA!$DY97))),"")=0,"",IFERROR(IF(COPIA!DT97=0,"",VALUE(CONCATENATE(COPIA!DT97,COPIA!$DY97))),""))</f>
        <v/>
      </c>
      <c r="F104" s="24" t="str">
        <f ca="1">IF(IFERROR(IF(COPIA!DU97=0,"",VALUE(CONCATENATE(COPIA!DU97,COPIA!$DZ97))),"")=0,"",IFERROR(IF(COPIA!DU97=0,"",VALUE(CONCATENATE(COPIA!DU97,COPIA!$DZ97))),""))</f>
        <v/>
      </c>
      <c r="G104" s="24" t="str">
        <f ca="1">IF(IFERROR(IF(COPIA!DV97=0,"",VALUE(CONCATENATE(COPIA!DV97,COPIA!$DZ97))),"")=0,"",IFERROR(IF(COPIA!DV97=0,"",VALUE(CONCATENATE(COPIA!DV97,COPIA!$DZ97))),""))</f>
        <v/>
      </c>
      <c r="H104" s="6">
        <f ca="1">IFERROR(COPIA!DW97,"")</f>
        <v>0</v>
      </c>
    </row>
    <row r="105" spans="2:8" ht="20.100000000000001" customHeight="1">
      <c r="B105" s="118" t="str">
        <f t="shared" ca="1" si="1"/>
        <v/>
      </c>
      <c r="C105" s="13" t="str">
        <f ca="1">IFERROR(CONCATENATE(COPIA!DR98,COPIA!DX98),"")</f>
        <v/>
      </c>
      <c r="D105" s="24" t="str">
        <f ca="1">IF(IFERROR(IF(COPIA!DS98=0,"",VALUE(CONCATENATE(COPIA!DS98,COPIA!$DY98))),"")=0,"",IFERROR(IF(COPIA!DS98=0,"",VALUE(CONCATENATE(COPIA!DS98,COPIA!$DY98))),""))</f>
        <v/>
      </c>
      <c r="E105" s="24" t="str">
        <f ca="1">IF(IFERROR(IF(COPIA!DT98=0,"",VALUE(CONCATENATE(COPIA!DT98,COPIA!$DY98))),"")=0,"",IFERROR(IF(COPIA!DT98=0,"",VALUE(CONCATENATE(COPIA!DT98,COPIA!$DY98))),""))</f>
        <v/>
      </c>
      <c r="F105" s="24" t="str">
        <f ca="1">IF(IFERROR(IF(COPIA!DU98=0,"",VALUE(CONCATENATE(COPIA!DU98,COPIA!$DZ98))),"")=0,"",IFERROR(IF(COPIA!DU98=0,"",VALUE(CONCATENATE(COPIA!DU98,COPIA!$DZ98))),""))</f>
        <v/>
      </c>
      <c r="G105" s="24" t="str">
        <f ca="1">IF(IFERROR(IF(COPIA!DV98=0,"",VALUE(CONCATENATE(COPIA!DV98,COPIA!$DZ98))),"")=0,"",IFERROR(IF(COPIA!DV98=0,"",VALUE(CONCATENATE(COPIA!DV98,COPIA!$DZ98))),""))</f>
        <v/>
      </c>
      <c r="H105" s="6">
        <f ca="1">IFERROR(COPIA!DW98,"")</f>
        <v>0</v>
      </c>
    </row>
    <row r="106" spans="2:8" ht="20.100000000000001" customHeight="1">
      <c r="B106" s="118" t="str">
        <f t="shared" ca="1" si="1"/>
        <v/>
      </c>
      <c r="C106" s="13" t="str">
        <f ca="1">IFERROR(CONCATENATE(COPIA!DR99,COPIA!DX99),"")</f>
        <v/>
      </c>
      <c r="D106" s="24" t="str">
        <f ca="1">IF(IFERROR(IF(COPIA!DS99=0,"",VALUE(CONCATENATE(COPIA!DS99,COPIA!$DY99))),"")=0,"",IFERROR(IF(COPIA!DS99=0,"",VALUE(CONCATENATE(COPIA!DS99,COPIA!$DY99))),""))</f>
        <v/>
      </c>
      <c r="E106" s="24" t="str">
        <f ca="1">IF(IFERROR(IF(COPIA!DT99=0,"",VALUE(CONCATENATE(COPIA!DT99,COPIA!$DY99))),"")=0,"",IFERROR(IF(COPIA!DT99=0,"",VALUE(CONCATENATE(COPIA!DT99,COPIA!$DY99))),""))</f>
        <v/>
      </c>
      <c r="F106" s="24" t="str">
        <f ca="1">IF(IFERROR(IF(COPIA!DU99=0,"",VALUE(CONCATENATE(COPIA!DU99,COPIA!$DZ99))),"")=0,"",IFERROR(IF(COPIA!DU99=0,"",VALUE(CONCATENATE(COPIA!DU99,COPIA!$DZ99))),""))</f>
        <v/>
      </c>
      <c r="G106" s="24" t="str">
        <f ca="1">IF(IFERROR(IF(COPIA!DV99=0,"",VALUE(CONCATENATE(COPIA!DV99,COPIA!$DZ99))),"")=0,"",IFERROR(IF(COPIA!DV99=0,"",VALUE(CONCATENATE(COPIA!DV99,COPIA!$DZ99))),""))</f>
        <v/>
      </c>
      <c r="H106" s="6">
        <f ca="1">IFERROR(COPIA!DW99,"")</f>
        <v>0</v>
      </c>
    </row>
    <row r="107" spans="2:8" ht="20.100000000000001" customHeight="1">
      <c r="B107" s="118" t="str">
        <f t="shared" ca="1" si="1"/>
        <v/>
      </c>
      <c r="C107" s="13" t="str">
        <f ca="1">IFERROR(CONCATENATE(COPIA!DR100,COPIA!DX100),"")</f>
        <v/>
      </c>
      <c r="D107" s="24" t="str">
        <f ca="1">IF(IFERROR(IF(COPIA!DS100=0,"",VALUE(CONCATENATE(COPIA!DS100,COPIA!$DY100))),"")=0,"",IFERROR(IF(COPIA!DS100=0,"",VALUE(CONCATENATE(COPIA!DS100,COPIA!$DY100))),""))</f>
        <v/>
      </c>
      <c r="E107" s="24" t="str">
        <f ca="1">IF(IFERROR(IF(COPIA!DT100=0,"",VALUE(CONCATENATE(COPIA!DT100,COPIA!$DY100))),"")=0,"",IFERROR(IF(COPIA!DT100=0,"",VALUE(CONCATENATE(COPIA!DT100,COPIA!$DY100))),""))</f>
        <v/>
      </c>
      <c r="F107" s="24" t="str">
        <f ca="1">IF(IFERROR(IF(COPIA!DU100=0,"",VALUE(CONCATENATE(COPIA!DU100,COPIA!$DZ100))),"")=0,"",IFERROR(IF(COPIA!DU100=0,"",VALUE(CONCATENATE(COPIA!DU100,COPIA!$DZ100))),""))</f>
        <v/>
      </c>
      <c r="G107" s="24" t="str">
        <f ca="1">IF(IFERROR(IF(COPIA!DV100=0,"",VALUE(CONCATENATE(COPIA!DV100,COPIA!$DZ100))),"")=0,"",IFERROR(IF(COPIA!DV100=0,"",VALUE(CONCATENATE(COPIA!DV100,COPIA!$DZ100))),""))</f>
        <v/>
      </c>
      <c r="H107" s="6">
        <f ca="1">IFERROR(COPIA!DW100,"")</f>
        <v>0</v>
      </c>
    </row>
    <row r="108" spans="2:8" ht="20.100000000000001" customHeight="1">
      <c r="B108" s="118" t="str">
        <f t="shared" ca="1" si="1"/>
        <v/>
      </c>
      <c r="C108" s="13" t="str">
        <f ca="1">IFERROR(CONCATENATE(COPIA!DR101,COPIA!DX101),"")</f>
        <v/>
      </c>
      <c r="D108" s="24" t="str">
        <f ca="1">IF(IFERROR(IF(COPIA!DS101=0,"",VALUE(CONCATENATE(COPIA!DS101,COPIA!$DY101))),"")=0,"",IFERROR(IF(COPIA!DS101=0,"",VALUE(CONCATENATE(COPIA!DS101,COPIA!$DY101))),""))</f>
        <v/>
      </c>
      <c r="E108" s="24" t="str">
        <f ca="1">IF(IFERROR(IF(COPIA!DT101=0,"",VALUE(CONCATENATE(COPIA!DT101,COPIA!$DY101))),"")=0,"",IFERROR(IF(COPIA!DT101=0,"",VALUE(CONCATENATE(COPIA!DT101,COPIA!$DY101))),""))</f>
        <v/>
      </c>
      <c r="F108" s="24" t="str">
        <f ca="1">IF(IFERROR(IF(COPIA!DU101=0,"",VALUE(CONCATENATE(COPIA!DU101,COPIA!$DZ101))),"")=0,"",IFERROR(IF(COPIA!DU101=0,"",VALUE(CONCATENATE(COPIA!DU101,COPIA!$DZ101))),""))</f>
        <v/>
      </c>
      <c r="G108" s="24" t="str">
        <f ca="1">IF(IFERROR(IF(COPIA!DV101=0,"",VALUE(CONCATENATE(COPIA!DV101,COPIA!$DZ101))),"")=0,"",IFERROR(IF(COPIA!DV101=0,"",VALUE(CONCATENATE(COPIA!DV101,COPIA!$DZ101))),""))</f>
        <v/>
      </c>
      <c r="H108" s="6">
        <f ca="1">IFERROR(COPIA!DW101,"")</f>
        <v>0</v>
      </c>
    </row>
    <row r="109" spans="2:8" ht="20.100000000000001" customHeight="1">
      <c r="B109" s="118" t="str">
        <f t="shared" ca="1" si="1"/>
        <v/>
      </c>
      <c r="C109" s="13" t="str">
        <f ca="1">IFERROR(CONCATENATE(COPIA!DR102,COPIA!DX102),"")</f>
        <v/>
      </c>
      <c r="D109" s="24" t="str">
        <f ca="1">IF(IFERROR(IF(COPIA!DS102=0,"",VALUE(CONCATENATE(COPIA!DS102,COPIA!$DY102))),"")=0,"",IFERROR(IF(COPIA!DS102=0,"",VALUE(CONCATENATE(COPIA!DS102,COPIA!$DY102))),""))</f>
        <v/>
      </c>
      <c r="E109" s="24" t="str">
        <f ca="1">IF(IFERROR(IF(COPIA!DT102=0,"",VALUE(CONCATENATE(COPIA!DT102,COPIA!$DY102))),"")=0,"",IFERROR(IF(COPIA!DT102=0,"",VALUE(CONCATENATE(COPIA!DT102,COPIA!$DY102))),""))</f>
        <v/>
      </c>
      <c r="F109" s="24" t="str">
        <f ca="1">IF(IFERROR(IF(COPIA!DU102=0,"",VALUE(CONCATENATE(COPIA!DU102,COPIA!$DZ102))),"")=0,"",IFERROR(IF(COPIA!DU102=0,"",VALUE(CONCATENATE(COPIA!DU102,COPIA!$DZ102))),""))</f>
        <v/>
      </c>
      <c r="G109" s="24" t="str">
        <f ca="1">IF(IFERROR(IF(COPIA!DV102=0,"",VALUE(CONCATENATE(COPIA!DV102,COPIA!$DZ102))),"")=0,"",IFERROR(IF(COPIA!DV102=0,"",VALUE(CONCATENATE(COPIA!DV102,COPIA!$DZ102))),""))</f>
        <v/>
      </c>
      <c r="H109" s="6">
        <f ca="1">IFERROR(COPIA!DW102,"")</f>
        <v>0</v>
      </c>
    </row>
    <row r="110" spans="2:8" ht="20.100000000000001" customHeight="1">
      <c r="B110" s="118" t="str">
        <f t="shared" ca="1" si="1"/>
        <v/>
      </c>
      <c r="C110" s="13" t="str">
        <f ca="1">IFERROR(CONCATENATE(COPIA!DR103,COPIA!DX103),"")</f>
        <v/>
      </c>
      <c r="D110" s="24" t="str">
        <f ca="1">IF(IFERROR(IF(COPIA!DS103=0,"",VALUE(CONCATENATE(COPIA!DS103,COPIA!$DY103))),"")=0,"",IFERROR(IF(COPIA!DS103=0,"",VALUE(CONCATENATE(COPIA!DS103,COPIA!$DY103))),""))</f>
        <v/>
      </c>
      <c r="E110" s="24" t="str">
        <f ca="1">IF(IFERROR(IF(COPIA!DT103=0,"",VALUE(CONCATENATE(COPIA!DT103,COPIA!$DY103))),"")=0,"",IFERROR(IF(COPIA!DT103=0,"",VALUE(CONCATENATE(COPIA!DT103,COPIA!$DY103))),""))</f>
        <v/>
      </c>
      <c r="F110" s="24" t="str">
        <f ca="1">IF(IFERROR(IF(COPIA!DU103=0,"",VALUE(CONCATENATE(COPIA!DU103,COPIA!$DZ103))),"")=0,"",IFERROR(IF(COPIA!DU103=0,"",VALUE(CONCATENATE(COPIA!DU103,COPIA!$DZ103))),""))</f>
        <v/>
      </c>
      <c r="G110" s="24" t="str">
        <f ca="1">IF(IFERROR(IF(COPIA!DV103=0,"",VALUE(CONCATENATE(COPIA!DV103,COPIA!$DZ103))),"")=0,"",IFERROR(IF(COPIA!DV103=0,"",VALUE(CONCATENATE(COPIA!DV103,COPIA!$DZ103))),""))</f>
        <v/>
      </c>
      <c r="H110" s="6">
        <f ca="1">IFERROR(COPIA!DW103,"")</f>
        <v>0</v>
      </c>
    </row>
    <row r="111" spans="2:8" ht="20.100000000000001" customHeight="1">
      <c r="B111" s="118" t="str">
        <f t="shared" ca="1" si="1"/>
        <v/>
      </c>
      <c r="C111" s="13" t="str">
        <f ca="1">IFERROR(CONCATENATE(COPIA!DR104,COPIA!DX104),"")</f>
        <v/>
      </c>
      <c r="D111" s="24" t="str">
        <f ca="1">IF(IFERROR(IF(COPIA!DS104=0,"",VALUE(CONCATENATE(COPIA!DS104,COPIA!$DY104))),"")=0,"",IFERROR(IF(COPIA!DS104=0,"",VALUE(CONCATENATE(COPIA!DS104,COPIA!$DY104))),""))</f>
        <v/>
      </c>
      <c r="E111" s="24" t="str">
        <f ca="1">IF(IFERROR(IF(COPIA!DT104=0,"",VALUE(CONCATENATE(COPIA!DT104,COPIA!$DY104))),"")=0,"",IFERROR(IF(COPIA!DT104=0,"",VALUE(CONCATENATE(COPIA!DT104,COPIA!$DY104))),""))</f>
        <v/>
      </c>
      <c r="F111" s="24" t="str">
        <f ca="1">IF(IFERROR(IF(COPIA!DU104=0,"",VALUE(CONCATENATE(COPIA!DU104,COPIA!$DZ104))),"")=0,"",IFERROR(IF(COPIA!DU104=0,"",VALUE(CONCATENATE(COPIA!DU104,COPIA!$DZ104))),""))</f>
        <v/>
      </c>
      <c r="G111" s="24" t="str">
        <f ca="1">IF(IFERROR(IF(COPIA!DV104=0,"",VALUE(CONCATENATE(COPIA!DV104,COPIA!$DZ104))),"")=0,"",IFERROR(IF(COPIA!DV104=0,"",VALUE(CONCATENATE(COPIA!DV104,COPIA!$DZ104))),""))</f>
        <v/>
      </c>
      <c r="H111" s="6">
        <f ca="1">IFERROR(COPIA!DW104,"")</f>
        <v>0</v>
      </c>
    </row>
    <row r="112" spans="2:8" ht="20.100000000000001" customHeight="1">
      <c r="B112" s="118" t="str">
        <f t="shared" ca="1" si="1"/>
        <v/>
      </c>
      <c r="C112" s="13" t="str">
        <f ca="1">IFERROR(CONCATENATE(COPIA!DR105,COPIA!DX105),"")</f>
        <v/>
      </c>
      <c r="D112" s="24" t="str">
        <f ca="1">IF(IFERROR(IF(COPIA!DS105=0,"",VALUE(CONCATENATE(COPIA!DS105,COPIA!$DY105))),"")=0,"",IFERROR(IF(COPIA!DS105=0,"",VALUE(CONCATENATE(COPIA!DS105,COPIA!$DY105))),""))</f>
        <v/>
      </c>
      <c r="E112" s="24" t="str">
        <f ca="1">IF(IFERROR(IF(COPIA!DT105=0,"",VALUE(CONCATENATE(COPIA!DT105,COPIA!$DY105))),"")=0,"",IFERROR(IF(COPIA!DT105=0,"",VALUE(CONCATENATE(COPIA!DT105,COPIA!$DY105))),""))</f>
        <v/>
      </c>
      <c r="F112" s="24" t="str">
        <f ca="1">IF(IFERROR(IF(COPIA!DU105=0,"",VALUE(CONCATENATE(COPIA!DU105,COPIA!$DZ105))),"")=0,"",IFERROR(IF(COPIA!DU105=0,"",VALUE(CONCATENATE(COPIA!DU105,COPIA!$DZ105))),""))</f>
        <v/>
      </c>
      <c r="G112" s="24" t="str">
        <f ca="1">IF(IFERROR(IF(COPIA!DV105=0,"",VALUE(CONCATENATE(COPIA!DV105,COPIA!$DZ105))),"")=0,"",IFERROR(IF(COPIA!DV105=0,"",VALUE(CONCATENATE(COPIA!DV105,COPIA!$DZ105))),""))</f>
        <v/>
      </c>
      <c r="H112" s="6">
        <f ca="1">IFERROR(COPIA!DW105,"")</f>
        <v>0</v>
      </c>
    </row>
    <row r="113" spans="2:8" ht="20.100000000000001" customHeight="1">
      <c r="B113" s="118" t="str">
        <f t="shared" ca="1" si="1"/>
        <v/>
      </c>
      <c r="C113" s="13" t="str">
        <f ca="1">IFERROR(CONCATENATE(COPIA!DR106,COPIA!DX106),"")</f>
        <v/>
      </c>
      <c r="D113" s="24" t="str">
        <f ca="1">IF(IFERROR(IF(COPIA!DS106=0,"",VALUE(CONCATENATE(COPIA!DS106,COPIA!$DY106))),"")=0,"",IFERROR(IF(COPIA!DS106=0,"",VALUE(CONCATENATE(COPIA!DS106,COPIA!$DY106))),""))</f>
        <v/>
      </c>
      <c r="E113" s="24" t="str">
        <f ca="1">IF(IFERROR(IF(COPIA!DT106=0,"",VALUE(CONCATENATE(COPIA!DT106,COPIA!$DY106))),"")=0,"",IFERROR(IF(COPIA!DT106=0,"",VALUE(CONCATENATE(COPIA!DT106,COPIA!$DY106))),""))</f>
        <v/>
      </c>
      <c r="F113" s="24" t="str">
        <f ca="1">IF(IFERROR(IF(COPIA!DU106=0,"",VALUE(CONCATENATE(COPIA!DU106,COPIA!$DZ106))),"")=0,"",IFERROR(IF(COPIA!DU106=0,"",VALUE(CONCATENATE(COPIA!DU106,COPIA!$DZ106))),""))</f>
        <v/>
      </c>
      <c r="G113" s="24" t="str">
        <f ca="1">IF(IFERROR(IF(COPIA!DV106=0,"",VALUE(CONCATENATE(COPIA!DV106,COPIA!$DZ106))),"")=0,"",IFERROR(IF(COPIA!DV106=0,"",VALUE(CONCATENATE(COPIA!DV106,COPIA!$DZ106))),""))</f>
        <v/>
      </c>
      <c r="H113" s="6">
        <f ca="1">IFERROR(COPIA!DW106,"")</f>
        <v>0</v>
      </c>
    </row>
    <row r="114" spans="2:8" ht="20.100000000000001" customHeight="1">
      <c r="B114" s="118" t="str">
        <f t="shared" ca="1" si="1"/>
        <v/>
      </c>
      <c r="C114" s="13" t="str">
        <f ca="1">IFERROR(CONCATENATE(COPIA!DR107,COPIA!DX107),"")</f>
        <v/>
      </c>
      <c r="D114" s="24" t="str">
        <f ca="1">IF(IFERROR(IF(COPIA!DS107=0,"",VALUE(CONCATENATE(COPIA!DS107,COPIA!$DY107))),"")=0,"",IFERROR(IF(COPIA!DS107=0,"",VALUE(CONCATENATE(COPIA!DS107,COPIA!$DY107))),""))</f>
        <v/>
      </c>
      <c r="E114" s="24" t="str">
        <f ca="1">IF(IFERROR(IF(COPIA!DT107=0,"",VALUE(CONCATENATE(COPIA!DT107,COPIA!$DY107))),"")=0,"",IFERROR(IF(COPIA!DT107=0,"",VALUE(CONCATENATE(COPIA!DT107,COPIA!$DY107))),""))</f>
        <v/>
      </c>
      <c r="F114" s="24" t="str">
        <f ca="1">IF(IFERROR(IF(COPIA!DU107=0,"",VALUE(CONCATENATE(COPIA!DU107,COPIA!$DZ107))),"")=0,"",IFERROR(IF(COPIA!DU107=0,"",VALUE(CONCATENATE(COPIA!DU107,COPIA!$DZ107))),""))</f>
        <v/>
      </c>
      <c r="G114" s="24" t="str">
        <f ca="1">IF(IFERROR(IF(COPIA!DV107=0,"",VALUE(CONCATENATE(COPIA!DV107,COPIA!$DZ107))),"")=0,"",IFERROR(IF(COPIA!DV107=0,"",VALUE(CONCATENATE(COPIA!DV107,COPIA!$DZ107))),""))</f>
        <v/>
      </c>
      <c r="H114" s="6">
        <f ca="1">IFERROR(COPIA!DW107,"")</f>
        <v>0</v>
      </c>
    </row>
    <row r="115" spans="2:8" ht="20.100000000000001" customHeight="1">
      <c r="B115" s="118" t="str">
        <f t="shared" ca="1" si="1"/>
        <v/>
      </c>
      <c r="C115" s="13" t="str">
        <f ca="1">IFERROR(CONCATENATE(COPIA!DR108,COPIA!DX108),"")</f>
        <v/>
      </c>
      <c r="D115" s="24" t="str">
        <f ca="1">IF(IFERROR(IF(COPIA!DS108=0,"",VALUE(CONCATENATE(COPIA!DS108,COPIA!$DY108))),"")=0,"",IFERROR(IF(COPIA!DS108=0,"",VALUE(CONCATENATE(COPIA!DS108,COPIA!$DY108))),""))</f>
        <v/>
      </c>
      <c r="E115" s="24" t="str">
        <f ca="1">IF(IFERROR(IF(COPIA!DT108=0,"",VALUE(CONCATENATE(COPIA!DT108,COPIA!$DY108))),"")=0,"",IFERROR(IF(COPIA!DT108=0,"",VALUE(CONCATENATE(COPIA!DT108,COPIA!$DY108))),""))</f>
        <v/>
      </c>
      <c r="F115" s="24" t="str">
        <f ca="1">IF(IFERROR(IF(COPIA!DU108=0,"",VALUE(CONCATENATE(COPIA!DU108,COPIA!$DZ108))),"")=0,"",IFERROR(IF(COPIA!DU108=0,"",VALUE(CONCATENATE(COPIA!DU108,COPIA!$DZ108))),""))</f>
        <v/>
      </c>
      <c r="G115" s="24" t="str">
        <f ca="1">IF(IFERROR(IF(COPIA!DV108=0,"",VALUE(CONCATENATE(COPIA!DV108,COPIA!$DZ108))),"")=0,"",IFERROR(IF(COPIA!DV108=0,"",VALUE(CONCATENATE(COPIA!DV108,COPIA!$DZ108))),""))</f>
        <v/>
      </c>
      <c r="H115" s="6">
        <f ca="1">IFERROR(COPIA!DW108,"")</f>
        <v>0</v>
      </c>
    </row>
    <row r="116" spans="2:8" ht="20.100000000000001" customHeight="1">
      <c r="B116" s="118" t="str">
        <f t="shared" ca="1" si="1"/>
        <v/>
      </c>
      <c r="C116" s="13" t="str">
        <f ca="1">IFERROR(CONCATENATE(COPIA!DR109,COPIA!DX109),"")</f>
        <v/>
      </c>
      <c r="D116" s="24" t="str">
        <f ca="1">IF(IFERROR(IF(COPIA!DS109=0,"",VALUE(CONCATENATE(COPIA!DS109,COPIA!$DY109))),"")=0,"",IFERROR(IF(COPIA!DS109=0,"",VALUE(CONCATENATE(COPIA!DS109,COPIA!$DY109))),""))</f>
        <v/>
      </c>
      <c r="E116" s="24" t="str">
        <f ca="1">IF(IFERROR(IF(COPIA!DT109=0,"",VALUE(CONCATENATE(COPIA!DT109,COPIA!$DY109))),"")=0,"",IFERROR(IF(COPIA!DT109=0,"",VALUE(CONCATENATE(COPIA!DT109,COPIA!$DY109))),""))</f>
        <v/>
      </c>
      <c r="F116" s="24" t="str">
        <f ca="1">IF(IFERROR(IF(COPIA!DU109=0,"",VALUE(CONCATENATE(COPIA!DU109,COPIA!$DZ109))),"")=0,"",IFERROR(IF(COPIA!DU109=0,"",VALUE(CONCATENATE(COPIA!DU109,COPIA!$DZ109))),""))</f>
        <v/>
      </c>
      <c r="G116" s="24" t="str">
        <f ca="1">IF(IFERROR(IF(COPIA!DV109=0,"",VALUE(CONCATENATE(COPIA!DV109,COPIA!$DZ109))),"")=0,"",IFERROR(IF(COPIA!DV109=0,"",VALUE(CONCATENATE(COPIA!DV109,COPIA!$DZ109))),""))</f>
        <v/>
      </c>
      <c r="H116" s="6">
        <f ca="1">IFERROR(COPIA!DW109,"")</f>
        <v>0</v>
      </c>
    </row>
    <row r="117" spans="2:8" ht="20.100000000000001" customHeight="1">
      <c r="B117" s="118" t="str">
        <f t="shared" ca="1" si="1"/>
        <v/>
      </c>
      <c r="C117" s="13" t="str">
        <f ca="1">IFERROR(CONCATENATE(COPIA!DR110,COPIA!DX110),"")</f>
        <v/>
      </c>
      <c r="D117" s="24" t="str">
        <f ca="1">IF(IFERROR(IF(COPIA!DS110=0,"",VALUE(CONCATENATE(COPIA!DS110,COPIA!$DY110))),"")=0,"",IFERROR(IF(COPIA!DS110=0,"",VALUE(CONCATENATE(COPIA!DS110,COPIA!$DY110))),""))</f>
        <v/>
      </c>
      <c r="E117" s="24" t="str">
        <f ca="1">IF(IFERROR(IF(COPIA!DT110=0,"",VALUE(CONCATENATE(COPIA!DT110,COPIA!$DY110))),"")=0,"",IFERROR(IF(COPIA!DT110=0,"",VALUE(CONCATENATE(COPIA!DT110,COPIA!$DY110))),""))</f>
        <v/>
      </c>
      <c r="F117" s="24" t="str">
        <f ca="1">IF(IFERROR(IF(COPIA!DU110=0,"",VALUE(CONCATENATE(COPIA!DU110,COPIA!$DZ110))),"")=0,"",IFERROR(IF(COPIA!DU110=0,"",VALUE(CONCATENATE(COPIA!DU110,COPIA!$DZ110))),""))</f>
        <v/>
      </c>
      <c r="G117" s="24" t="str">
        <f ca="1">IF(IFERROR(IF(COPIA!DV110=0,"",VALUE(CONCATENATE(COPIA!DV110,COPIA!$DZ110))),"")=0,"",IFERROR(IF(COPIA!DV110=0,"",VALUE(CONCATENATE(COPIA!DV110,COPIA!$DZ110))),""))</f>
        <v/>
      </c>
      <c r="H117" s="6">
        <f ca="1">IFERROR(COPIA!DW110,"")</f>
        <v>0</v>
      </c>
    </row>
    <row r="118" spans="2:8" ht="20.100000000000001" customHeight="1">
      <c r="B118" s="118" t="str">
        <f t="shared" ca="1" si="1"/>
        <v/>
      </c>
      <c r="C118" s="13" t="str">
        <f ca="1">IFERROR(CONCATENATE(COPIA!DR111,COPIA!DX111),"")</f>
        <v/>
      </c>
      <c r="D118" s="24" t="str">
        <f ca="1">IF(IFERROR(IF(COPIA!DS111=0,"",VALUE(CONCATENATE(COPIA!DS111,COPIA!$DY111))),"")=0,"",IFERROR(IF(COPIA!DS111=0,"",VALUE(CONCATENATE(COPIA!DS111,COPIA!$DY111))),""))</f>
        <v/>
      </c>
      <c r="E118" s="24" t="str">
        <f ca="1">IF(IFERROR(IF(COPIA!DT111=0,"",VALUE(CONCATENATE(COPIA!DT111,COPIA!$DY111))),"")=0,"",IFERROR(IF(COPIA!DT111=0,"",VALUE(CONCATENATE(COPIA!DT111,COPIA!$DY111))),""))</f>
        <v/>
      </c>
      <c r="F118" s="24" t="str">
        <f ca="1">IF(IFERROR(IF(COPIA!DU111=0,"",VALUE(CONCATENATE(COPIA!DU111,COPIA!$DZ111))),"")=0,"",IFERROR(IF(COPIA!DU111=0,"",VALUE(CONCATENATE(COPIA!DU111,COPIA!$DZ111))),""))</f>
        <v/>
      </c>
      <c r="G118" s="24" t="str">
        <f ca="1">IF(IFERROR(IF(COPIA!DV111=0,"",VALUE(CONCATENATE(COPIA!DV111,COPIA!$DZ111))),"")=0,"",IFERROR(IF(COPIA!DV111=0,"",VALUE(CONCATENATE(COPIA!DV111,COPIA!$DZ111))),""))</f>
        <v/>
      </c>
      <c r="H118" s="6">
        <f ca="1">IFERROR(COPIA!DW111,"")</f>
        <v>0</v>
      </c>
    </row>
    <row r="119" spans="2:8" ht="20.100000000000001" customHeight="1">
      <c r="B119" s="118" t="str">
        <f t="shared" ca="1" si="1"/>
        <v/>
      </c>
      <c r="C119" s="13" t="str">
        <f ca="1">IFERROR(CONCATENATE(COPIA!DR112,COPIA!DX112),"")</f>
        <v/>
      </c>
      <c r="D119" s="24" t="str">
        <f ca="1">IF(IFERROR(IF(COPIA!DS112=0,"",VALUE(CONCATENATE(COPIA!DS112,COPIA!$DY112))),"")=0,"",IFERROR(IF(COPIA!DS112=0,"",VALUE(CONCATENATE(COPIA!DS112,COPIA!$DY112))),""))</f>
        <v/>
      </c>
      <c r="E119" s="24" t="str">
        <f ca="1">IF(IFERROR(IF(COPIA!DT112=0,"",VALUE(CONCATENATE(COPIA!DT112,COPIA!$DY112))),"")=0,"",IFERROR(IF(COPIA!DT112=0,"",VALUE(CONCATENATE(COPIA!DT112,COPIA!$DY112))),""))</f>
        <v/>
      </c>
      <c r="F119" s="24" t="str">
        <f ca="1">IF(IFERROR(IF(COPIA!DU112=0,"",VALUE(CONCATENATE(COPIA!DU112,COPIA!$DZ112))),"")=0,"",IFERROR(IF(COPIA!DU112=0,"",VALUE(CONCATENATE(COPIA!DU112,COPIA!$DZ112))),""))</f>
        <v/>
      </c>
      <c r="G119" s="24" t="str">
        <f ca="1">IF(IFERROR(IF(COPIA!DV112=0,"",VALUE(CONCATENATE(COPIA!DV112,COPIA!$DZ112))),"")=0,"",IFERROR(IF(COPIA!DV112=0,"",VALUE(CONCATENATE(COPIA!DV112,COPIA!$DZ112))),""))</f>
        <v/>
      </c>
      <c r="H119" s="6">
        <f ca="1">IFERROR(COPIA!DW112,"")</f>
        <v>0</v>
      </c>
    </row>
    <row r="120" spans="2:8" ht="20.100000000000001" customHeight="1">
      <c r="B120" s="118" t="str">
        <f t="shared" ca="1" si="1"/>
        <v/>
      </c>
      <c r="C120" s="13" t="str">
        <f ca="1">IFERROR(CONCATENATE(COPIA!DR113,COPIA!DX113),"")</f>
        <v/>
      </c>
      <c r="D120" s="24" t="str">
        <f ca="1">IF(IFERROR(IF(COPIA!DS113=0,"",VALUE(CONCATENATE(COPIA!DS113,COPIA!$DY113))),"")=0,"",IFERROR(IF(COPIA!DS113=0,"",VALUE(CONCATENATE(COPIA!DS113,COPIA!$DY113))),""))</f>
        <v/>
      </c>
      <c r="E120" s="24" t="str">
        <f ca="1">IF(IFERROR(IF(COPIA!DT113=0,"",VALUE(CONCATENATE(COPIA!DT113,COPIA!$DY113))),"")=0,"",IFERROR(IF(COPIA!DT113=0,"",VALUE(CONCATENATE(COPIA!DT113,COPIA!$DY113))),""))</f>
        <v/>
      </c>
      <c r="F120" s="24" t="str">
        <f ca="1">IF(IFERROR(IF(COPIA!DU113=0,"",VALUE(CONCATENATE(COPIA!DU113,COPIA!$DZ113))),"")=0,"",IFERROR(IF(COPIA!DU113=0,"",VALUE(CONCATENATE(COPIA!DU113,COPIA!$DZ113))),""))</f>
        <v/>
      </c>
      <c r="G120" s="24" t="str">
        <f ca="1">IF(IFERROR(IF(COPIA!DV113=0,"",VALUE(CONCATENATE(COPIA!DV113,COPIA!$DZ113))),"")=0,"",IFERROR(IF(COPIA!DV113=0,"",VALUE(CONCATENATE(COPIA!DV113,COPIA!$DZ113))),""))</f>
        <v/>
      </c>
      <c r="H120" s="6">
        <f ca="1">IFERROR(COPIA!DW113,"")</f>
        <v>0</v>
      </c>
    </row>
    <row r="121" spans="2:8" ht="20.100000000000001" customHeight="1">
      <c r="B121" s="118" t="str">
        <f t="shared" ca="1" si="1"/>
        <v/>
      </c>
      <c r="C121" s="13" t="str">
        <f ca="1">IFERROR(CONCATENATE(COPIA!DR114,COPIA!DX114),"")</f>
        <v/>
      </c>
      <c r="D121" s="24" t="str">
        <f ca="1">IF(IFERROR(IF(COPIA!DS114=0,"",VALUE(CONCATENATE(COPIA!DS114,COPIA!$DY114))),"")=0,"",IFERROR(IF(COPIA!DS114=0,"",VALUE(CONCATENATE(COPIA!DS114,COPIA!$DY114))),""))</f>
        <v/>
      </c>
      <c r="E121" s="24" t="str">
        <f ca="1">IF(IFERROR(IF(COPIA!DT114=0,"",VALUE(CONCATENATE(COPIA!DT114,COPIA!$DY114))),"")=0,"",IFERROR(IF(COPIA!DT114=0,"",VALUE(CONCATENATE(COPIA!DT114,COPIA!$DY114))),""))</f>
        <v/>
      </c>
      <c r="F121" s="24" t="str">
        <f ca="1">IF(IFERROR(IF(COPIA!DU114=0,"",VALUE(CONCATENATE(COPIA!DU114,COPIA!$DZ114))),"")=0,"",IFERROR(IF(COPIA!DU114=0,"",VALUE(CONCATENATE(COPIA!DU114,COPIA!$DZ114))),""))</f>
        <v/>
      </c>
      <c r="G121" s="24" t="str">
        <f ca="1">IF(IFERROR(IF(COPIA!DV114=0,"",VALUE(CONCATENATE(COPIA!DV114,COPIA!$DZ114))),"")=0,"",IFERROR(IF(COPIA!DV114=0,"",VALUE(CONCATENATE(COPIA!DV114,COPIA!$DZ114))),""))</f>
        <v/>
      </c>
      <c r="H121" s="6">
        <f ca="1">IFERROR(COPIA!DW114,"")</f>
        <v>0</v>
      </c>
    </row>
    <row r="122" spans="2:8" ht="20.100000000000001" customHeight="1">
      <c r="B122" s="118" t="str">
        <f t="shared" ca="1" si="1"/>
        <v/>
      </c>
      <c r="C122" s="13" t="str">
        <f ca="1">IFERROR(CONCATENATE(COPIA!DR115,COPIA!DX115),"")</f>
        <v/>
      </c>
      <c r="D122" s="24" t="str">
        <f ca="1">IF(IFERROR(IF(COPIA!DS115=0,"",VALUE(CONCATENATE(COPIA!DS115,COPIA!$DY115))),"")=0,"",IFERROR(IF(COPIA!DS115=0,"",VALUE(CONCATENATE(COPIA!DS115,COPIA!$DY115))),""))</f>
        <v/>
      </c>
      <c r="E122" s="24" t="str">
        <f ca="1">IF(IFERROR(IF(COPIA!DT115=0,"",VALUE(CONCATENATE(COPIA!DT115,COPIA!$DY115))),"")=0,"",IFERROR(IF(COPIA!DT115=0,"",VALUE(CONCATENATE(COPIA!DT115,COPIA!$DY115))),""))</f>
        <v/>
      </c>
      <c r="F122" s="24" t="str">
        <f ca="1">IF(IFERROR(IF(COPIA!DU115=0,"",VALUE(CONCATENATE(COPIA!DU115,COPIA!$DZ115))),"")=0,"",IFERROR(IF(COPIA!DU115=0,"",VALUE(CONCATENATE(COPIA!DU115,COPIA!$DZ115))),""))</f>
        <v/>
      </c>
      <c r="G122" s="24" t="str">
        <f ca="1">IF(IFERROR(IF(COPIA!DV115=0,"",VALUE(CONCATENATE(COPIA!DV115,COPIA!$DZ115))),"")=0,"",IFERROR(IF(COPIA!DV115=0,"",VALUE(CONCATENATE(COPIA!DV115,COPIA!$DZ115))),""))</f>
        <v/>
      </c>
      <c r="H122" s="6">
        <f ca="1">IFERROR(COPIA!DW115,"")</f>
        <v>0</v>
      </c>
    </row>
    <row r="123" spans="2:8" ht="20.100000000000001" customHeight="1">
      <c r="B123" s="118" t="str">
        <f t="shared" ca="1" si="1"/>
        <v/>
      </c>
      <c r="C123" s="13" t="str">
        <f ca="1">IFERROR(CONCATENATE(COPIA!DR116,COPIA!DX116),"")</f>
        <v/>
      </c>
      <c r="D123" s="24" t="str">
        <f ca="1">IF(IFERROR(IF(COPIA!DS116=0,"",VALUE(CONCATENATE(COPIA!DS116,COPIA!$DY116))),"")=0,"",IFERROR(IF(COPIA!DS116=0,"",VALUE(CONCATENATE(COPIA!DS116,COPIA!$DY116))),""))</f>
        <v/>
      </c>
      <c r="E123" s="24" t="str">
        <f ca="1">IF(IFERROR(IF(COPIA!DT116=0,"",VALUE(CONCATENATE(COPIA!DT116,COPIA!$DY116))),"")=0,"",IFERROR(IF(COPIA!DT116=0,"",VALUE(CONCATENATE(COPIA!DT116,COPIA!$DY116))),""))</f>
        <v/>
      </c>
      <c r="F123" s="24" t="str">
        <f ca="1">IF(IFERROR(IF(COPIA!DU116=0,"",VALUE(CONCATENATE(COPIA!DU116,COPIA!$DZ116))),"")=0,"",IFERROR(IF(COPIA!DU116=0,"",VALUE(CONCATENATE(COPIA!DU116,COPIA!$DZ116))),""))</f>
        <v/>
      </c>
      <c r="G123" s="24" t="str">
        <f ca="1">IF(IFERROR(IF(COPIA!DV116=0,"",VALUE(CONCATENATE(COPIA!DV116,COPIA!$DZ116))),"")=0,"",IFERROR(IF(COPIA!DV116=0,"",VALUE(CONCATENATE(COPIA!DV116,COPIA!$DZ116))),""))</f>
        <v/>
      </c>
      <c r="H123" s="6">
        <f ca="1">IFERROR(COPIA!DW116,"")</f>
        <v>0</v>
      </c>
    </row>
    <row r="124" spans="2:8" ht="20.100000000000001" customHeight="1">
      <c r="B124" s="118" t="str">
        <f t="shared" ca="1" si="1"/>
        <v/>
      </c>
      <c r="C124" s="13" t="str">
        <f ca="1">IFERROR(CONCATENATE(COPIA!DR117,COPIA!DX117),"")</f>
        <v/>
      </c>
      <c r="D124" s="24" t="str">
        <f ca="1">IF(IFERROR(IF(COPIA!DS117=0,"",VALUE(CONCATENATE(COPIA!DS117,COPIA!$DY117))),"")=0,"",IFERROR(IF(COPIA!DS117=0,"",VALUE(CONCATENATE(COPIA!DS117,COPIA!$DY117))),""))</f>
        <v/>
      </c>
      <c r="E124" s="24" t="str">
        <f ca="1">IF(IFERROR(IF(COPIA!DT117=0,"",VALUE(CONCATENATE(COPIA!DT117,COPIA!$DY117))),"")=0,"",IFERROR(IF(COPIA!DT117=0,"",VALUE(CONCATENATE(COPIA!DT117,COPIA!$DY117))),""))</f>
        <v/>
      </c>
      <c r="F124" s="24" t="str">
        <f ca="1">IF(IFERROR(IF(COPIA!DU117=0,"",VALUE(CONCATENATE(COPIA!DU117,COPIA!$DZ117))),"")=0,"",IFERROR(IF(COPIA!DU117=0,"",VALUE(CONCATENATE(COPIA!DU117,COPIA!$DZ117))),""))</f>
        <v/>
      </c>
      <c r="G124" s="24" t="str">
        <f ca="1">IF(IFERROR(IF(COPIA!DV117=0,"",VALUE(CONCATENATE(COPIA!DV117,COPIA!$DZ117))),"")=0,"",IFERROR(IF(COPIA!DV117=0,"",VALUE(CONCATENATE(COPIA!DV117,COPIA!$DZ117))),""))</f>
        <v/>
      </c>
      <c r="H124" s="6">
        <f ca="1">IFERROR(COPIA!DW117,"")</f>
        <v>0</v>
      </c>
    </row>
    <row r="125" spans="2:8" ht="20.100000000000001" customHeight="1">
      <c r="B125" s="118" t="str">
        <f t="shared" ca="1" si="1"/>
        <v/>
      </c>
      <c r="C125" s="13" t="str">
        <f ca="1">IFERROR(CONCATENATE(COPIA!DR118,COPIA!DX118),"")</f>
        <v/>
      </c>
      <c r="D125" s="24" t="str">
        <f ca="1">IF(IFERROR(IF(COPIA!DS118=0,"",VALUE(CONCATENATE(COPIA!DS118,COPIA!$DY118))),"")=0,"",IFERROR(IF(COPIA!DS118=0,"",VALUE(CONCATENATE(COPIA!DS118,COPIA!$DY118))),""))</f>
        <v/>
      </c>
      <c r="E125" s="24" t="str">
        <f ca="1">IF(IFERROR(IF(COPIA!DT118=0,"",VALUE(CONCATENATE(COPIA!DT118,COPIA!$DY118))),"")=0,"",IFERROR(IF(COPIA!DT118=0,"",VALUE(CONCATENATE(COPIA!DT118,COPIA!$DY118))),""))</f>
        <v/>
      </c>
      <c r="F125" s="24" t="str">
        <f ca="1">IF(IFERROR(IF(COPIA!DU118=0,"",VALUE(CONCATENATE(COPIA!DU118,COPIA!$DZ118))),"")=0,"",IFERROR(IF(COPIA!DU118=0,"",VALUE(CONCATENATE(COPIA!DU118,COPIA!$DZ118))),""))</f>
        <v/>
      </c>
      <c r="G125" s="24" t="str">
        <f ca="1">IF(IFERROR(IF(COPIA!DV118=0,"",VALUE(CONCATENATE(COPIA!DV118,COPIA!$DZ118))),"")=0,"",IFERROR(IF(COPIA!DV118=0,"",VALUE(CONCATENATE(COPIA!DV118,COPIA!$DZ118))),""))</f>
        <v/>
      </c>
      <c r="H125" s="6">
        <f ca="1">IFERROR(COPIA!DW118,"")</f>
        <v>0</v>
      </c>
    </row>
    <row r="126" spans="2:8" ht="20.100000000000001" customHeight="1">
      <c r="B126" s="118" t="str">
        <f t="shared" ca="1" si="1"/>
        <v/>
      </c>
      <c r="C126" s="13" t="str">
        <f ca="1">IFERROR(CONCATENATE(COPIA!DR119,COPIA!DX119),"")</f>
        <v/>
      </c>
      <c r="D126" s="24" t="str">
        <f ca="1">IF(IFERROR(IF(COPIA!DS119=0,"",VALUE(CONCATENATE(COPIA!DS119,COPIA!$DY119))),"")=0,"",IFERROR(IF(COPIA!DS119=0,"",VALUE(CONCATENATE(COPIA!DS119,COPIA!$DY119))),""))</f>
        <v/>
      </c>
      <c r="E126" s="24" t="str">
        <f ca="1">IF(IFERROR(IF(COPIA!DT119=0,"",VALUE(CONCATENATE(COPIA!DT119,COPIA!$DY119))),"")=0,"",IFERROR(IF(COPIA!DT119=0,"",VALUE(CONCATENATE(COPIA!DT119,COPIA!$DY119))),""))</f>
        <v/>
      </c>
      <c r="F126" s="24" t="str">
        <f ca="1">IF(IFERROR(IF(COPIA!DU119=0,"",VALUE(CONCATENATE(COPIA!DU119,COPIA!$DZ119))),"")=0,"",IFERROR(IF(COPIA!DU119=0,"",VALUE(CONCATENATE(COPIA!DU119,COPIA!$DZ119))),""))</f>
        <v/>
      </c>
      <c r="G126" s="24" t="str">
        <f ca="1">IF(IFERROR(IF(COPIA!DV119=0,"",VALUE(CONCATENATE(COPIA!DV119,COPIA!$DZ119))),"")=0,"",IFERROR(IF(COPIA!DV119=0,"",VALUE(CONCATENATE(COPIA!DV119,COPIA!$DZ119))),""))</f>
        <v/>
      </c>
      <c r="H126" s="6">
        <f ca="1">IFERROR(COPIA!DW119,"")</f>
        <v>0</v>
      </c>
    </row>
    <row r="127" spans="2:8" ht="20.100000000000001" customHeight="1">
      <c r="B127" s="118" t="str">
        <f t="shared" ca="1" si="1"/>
        <v/>
      </c>
      <c r="C127" s="13" t="str">
        <f ca="1">IFERROR(CONCATENATE(COPIA!DR120,COPIA!DX120),"")</f>
        <v/>
      </c>
      <c r="D127" s="24" t="str">
        <f ca="1">IF(IFERROR(IF(COPIA!DS120=0,"",VALUE(CONCATENATE(COPIA!DS120,COPIA!$DY120))),"")=0,"",IFERROR(IF(COPIA!DS120=0,"",VALUE(CONCATENATE(COPIA!DS120,COPIA!$DY120))),""))</f>
        <v/>
      </c>
      <c r="E127" s="24" t="str">
        <f ca="1">IF(IFERROR(IF(COPIA!DT120=0,"",VALUE(CONCATENATE(COPIA!DT120,COPIA!$DY120))),"")=0,"",IFERROR(IF(COPIA!DT120=0,"",VALUE(CONCATENATE(COPIA!DT120,COPIA!$DY120))),""))</f>
        <v/>
      </c>
      <c r="F127" s="24" t="str">
        <f ca="1">IF(IFERROR(IF(COPIA!DU120=0,"",VALUE(CONCATENATE(COPIA!DU120,COPIA!$DZ120))),"")=0,"",IFERROR(IF(COPIA!DU120=0,"",VALUE(CONCATENATE(COPIA!DU120,COPIA!$DZ120))),""))</f>
        <v/>
      </c>
      <c r="G127" s="24" t="str">
        <f ca="1">IF(IFERROR(IF(COPIA!DV120=0,"",VALUE(CONCATENATE(COPIA!DV120,COPIA!$DZ120))),"")=0,"",IFERROR(IF(COPIA!DV120=0,"",VALUE(CONCATENATE(COPIA!DV120,COPIA!$DZ120))),""))</f>
        <v/>
      </c>
      <c r="H127" s="6">
        <f ca="1">IFERROR(COPIA!DW120,"")</f>
        <v>0</v>
      </c>
    </row>
    <row r="128" spans="2:8" ht="20.100000000000001" customHeight="1">
      <c r="B128" s="118" t="str">
        <f t="shared" ca="1" si="1"/>
        <v/>
      </c>
      <c r="C128" s="13" t="str">
        <f ca="1">IFERROR(CONCATENATE(COPIA!DR121,COPIA!DX121),"")</f>
        <v/>
      </c>
      <c r="D128" s="24" t="str">
        <f ca="1">IF(IFERROR(IF(COPIA!DS121=0,"",VALUE(CONCATENATE(COPIA!DS121,COPIA!$DY121))),"")=0,"",IFERROR(IF(COPIA!DS121=0,"",VALUE(CONCATENATE(COPIA!DS121,COPIA!$DY121))),""))</f>
        <v/>
      </c>
      <c r="E128" s="24" t="str">
        <f ca="1">IF(IFERROR(IF(COPIA!DT121=0,"",VALUE(CONCATENATE(COPIA!DT121,COPIA!$DY121))),"")=0,"",IFERROR(IF(COPIA!DT121=0,"",VALUE(CONCATENATE(COPIA!DT121,COPIA!$DY121))),""))</f>
        <v/>
      </c>
      <c r="F128" s="24" t="str">
        <f ca="1">IF(IFERROR(IF(COPIA!DU121=0,"",VALUE(CONCATENATE(COPIA!DU121,COPIA!$DZ121))),"")=0,"",IFERROR(IF(COPIA!DU121=0,"",VALUE(CONCATENATE(COPIA!DU121,COPIA!$DZ121))),""))</f>
        <v/>
      </c>
      <c r="G128" s="24" t="str">
        <f ca="1">IF(IFERROR(IF(COPIA!DV121=0,"",VALUE(CONCATENATE(COPIA!DV121,COPIA!$DZ121))),"")=0,"",IFERROR(IF(COPIA!DV121=0,"",VALUE(CONCATENATE(COPIA!DV121,COPIA!$DZ121))),""))</f>
        <v/>
      </c>
      <c r="H128" s="6">
        <f ca="1">IFERROR(COPIA!DW121,"")</f>
        <v>0</v>
      </c>
    </row>
    <row r="129" spans="2:8" ht="20.100000000000001" customHeight="1">
      <c r="B129" s="118" t="str">
        <f t="shared" ca="1" si="1"/>
        <v/>
      </c>
      <c r="C129" s="13" t="str">
        <f ca="1">IFERROR(CONCATENATE(COPIA!DR122,COPIA!DX122),"")</f>
        <v/>
      </c>
      <c r="D129" s="24" t="str">
        <f ca="1">IF(IFERROR(IF(COPIA!DS122=0,"",VALUE(CONCATENATE(COPIA!DS122,COPIA!$DY122))),"")=0,"",IFERROR(IF(COPIA!DS122=0,"",VALUE(CONCATENATE(COPIA!DS122,COPIA!$DY122))),""))</f>
        <v/>
      </c>
      <c r="E129" s="24" t="str">
        <f ca="1">IF(IFERROR(IF(COPIA!DT122=0,"",VALUE(CONCATENATE(COPIA!DT122,COPIA!$DY122))),"")=0,"",IFERROR(IF(COPIA!DT122=0,"",VALUE(CONCATENATE(COPIA!DT122,COPIA!$DY122))),""))</f>
        <v/>
      </c>
      <c r="F129" s="24" t="str">
        <f ca="1">IF(IFERROR(IF(COPIA!DU122=0,"",VALUE(CONCATENATE(COPIA!DU122,COPIA!$DZ122))),"")=0,"",IFERROR(IF(COPIA!DU122=0,"",VALUE(CONCATENATE(COPIA!DU122,COPIA!$DZ122))),""))</f>
        <v/>
      </c>
      <c r="G129" s="24" t="str">
        <f ca="1">IF(IFERROR(IF(COPIA!DV122=0,"",VALUE(CONCATENATE(COPIA!DV122,COPIA!$DZ122))),"")=0,"",IFERROR(IF(COPIA!DV122=0,"",VALUE(CONCATENATE(COPIA!DV122,COPIA!$DZ122))),""))</f>
        <v/>
      </c>
      <c r="H129" s="6">
        <f ca="1">IFERROR(COPIA!DW122,"")</f>
        <v>0</v>
      </c>
    </row>
    <row r="130" spans="2:8" ht="20.100000000000001" customHeight="1">
      <c r="B130" s="118" t="str">
        <f t="shared" ca="1" si="1"/>
        <v/>
      </c>
      <c r="C130" s="13" t="str">
        <f ca="1">IFERROR(CONCATENATE(COPIA!DR123,COPIA!DX123),"")</f>
        <v/>
      </c>
      <c r="D130" s="24" t="str">
        <f ca="1">IF(IFERROR(IF(COPIA!DS123=0,"",VALUE(CONCATENATE(COPIA!DS123,COPIA!$DY123))),"")=0,"",IFERROR(IF(COPIA!DS123=0,"",VALUE(CONCATENATE(COPIA!DS123,COPIA!$DY123))),""))</f>
        <v/>
      </c>
      <c r="E130" s="24" t="str">
        <f ca="1">IF(IFERROR(IF(COPIA!DT123=0,"",VALUE(CONCATENATE(COPIA!DT123,COPIA!$DY123))),"")=0,"",IFERROR(IF(COPIA!DT123=0,"",VALUE(CONCATENATE(COPIA!DT123,COPIA!$DY123))),""))</f>
        <v/>
      </c>
      <c r="F130" s="24" t="str">
        <f ca="1">IF(IFERROR(IF(COPIA!DU123=0,"",VALUE(CONCATENATE(COPIA!DU123,COPIA!$DZ123))),"")=0,"",IFERROR(IF(COPIA!DU123=0,"",VALUE(CONCATENATE(COPIA!DU123,COPIA!$DZ123))),""))</f>
        <v/>
      </c>
      <c r="G130" s="24" t="str">
        <f ca="1">IF(IFERROR(IF(COPIA!DV123=0,"",VALUE(CONCATENATE(COPIA!DV123,COPIA!$DZ123))),"")=0,"",IFERROR(IF(COPIA!DV123=0,"",VALUE(CONCATENATE(COPIA!DV123,COPIA!$DZ123))),""))</f>
        <v/>
      </c>
      <c r="H130" s="6">
        <f ca="1">IFERROR(COPIA!DW123,"")</f>
        <v>0</v>
      </c>
    </row>
    <row r="131" spans="2:8" ht="20.100000000000001" customHeight="1">
      <c r="B131" s="118" t="str">
        <f t="shared" ca="1" si="1"/>
        <v/>
      </c>
      <c r="C131" s="13" t="str">
        <f ca="1">IFERROR(CONCATENATE(COPIA!DR124,COPIA!DX124),"")</f>
        <v/>
      </c>
      <c r="D131" s="24" t="str">
        <f ca="1">IF(IFERROR(IF(COPIA!DS124=0,"",VALUE(CONCATENATE(COPIA!DS124,COPIA!$DY124))),"")=0,"",IFERROR(IF(COPIA!DS124=0,"",VALUE(CONCATENATE(COPIA!DS124,COPIA!$DY124))),""))</f>
        <v/>
      </c>
      <c r="E131" s="24" t="str">
        <f ca="1">IF(IFERROR(IF(COPIA!DT124=0,"",VALUE(CONCATENATE(COPIA!DT124,COPIA!$DY124))),"")=0,"",IFERROR(IF(COPIA!DT124=0,"",VALUE(CONCATENATE(COPIA!DT124,COPIA!$DY124))),""))</f>
        <v/>
      </c>
      <c r="F131" s="24" t="str">
        <f ca="1">IF(IFERROR(IF(COPIA!DU124=0,"",VALUE(CONCATENATE(COPIA!DU124,COPIA!$DZ124))),"")=0,"",IFERROR(IF(COPIA!DU124=0,"",VALUE(CONCATENATE(COPIA!DU124,COPIA!$DZ124))),""))</f>
        <v/>
      </c>
      <c r="G131" s="24" t="str">
        <f ca="1">IF(IFERROR(IF(COPIA!DV124=0,"",VALUE(CONCATENATE(COPIA!DV124,COPIA!$DZ124))),"")=0,"",IFERROR(IF(COPIA!DV124=0,"",VALUE(CONCATENATE(COPIA!DV124,COPIA!$DZ124))),""))</f>
        <v/>
      </c>
      <c r="H131" s="6">
        <f ca="1">IFERROR(COPIA!DW124,"")</f>
        <v>0</v>
      </c>
    </row>
    <row r="132" spans="2:8" ht="20.100000000000001" customHeight="1">
      <c r="B132" s="118" t="str">
        <f t="shared" ca="1" si="1"/>
        <v/>
      </c>
      <c r="C132" s="13" t="str">
        <f ca="1">IFERROR(CONCATENATE(COPIA!DR125,COPIA!DX125),"")</f>
        <v/>
      </c>
      <c r="D132" s="24" t="str">
        <f ca="1">IF(IFERROR(IF(COPIA!DS125=0,"",VALUE(CONCATENATE(COPIA!DS125,COPIA!$DY125))),"")=0,"",IFERROR(IF(COPIA!DS125=0,"",VALUE(CONCATENATE(COPIA!DS125,COPIA!$DY125))),""))</f>
        <v/>
      </c>
      <c r="E132" s="24" t="str">
        <f ca="1">IF(IFERROR(IF(COPIA!DT125=0,"",VALUE(CONCATENATE(COPIA!DT125,COPIA!$DY125))),"")=0,"",IFERROR(IF(COPIA!DT125=0,"",VALUE(CONCATENATE(COPIA!DT125,COPIA!$DY125))),""))</f>
        <v/>
      </c>
      <c r="F132" s="24" t="str">
        <f ca="1">IF(IFERROR(IF(COPIA!DU125=0,"",VALUE(CONCATENATE(COPIA!DU125,COPIA!$DZ125))),"")=0,"",IFERROR(IF(COPIA!DU125=0,"",VALUE(CONCATENATE(COPIA!DU125,COPIA!$DZ125))),""))</f>
        <v/>
      </c>
      <c r="G132" s="24" t="str">
        <f ca="1">IF(IFERROR(IF(COPIA!DV125=0,"",VALUE(CONCATENATE(COPIA!DV125,COPIA!$DZ125))),"")=0,"",IFERROR(IF(COPIA!DV125=0,"",VALUE(CONCATENATE(COPIA!DV125,COPIA!$DZ125))),""))</f>
        <v/>
      </c>
      <c r="H132" s="6">
        <f ca="1">IFERROR(COPIA!DW125,"")</f>
        <v>0</v>
      </c>
    </row>
    <row r="133" spans="2:8" ht="20.100000000000001" customHeight="1">
      <c r="B133" s="118" t="str">
        <f t="shared" ca="1" si="1"/>
        <v/>
      </c>
      <c r="C133" s="13" t="str">
        <f ca="1">IFERROR(CONCATENATE(COPIA!DR126,COPIA!DX126),"")</f>
        <v/>
      </c>
      <c r="D133" s="24" t="str">
        <f ca="1">IF(IFERROR(IF(COPIA!DS126=0,"",VALUE(CONCATENATE(COPIA!DS126,COPIA!$DY126))),"")=0,"",IFERROR(IF(COPIA!DS126=0,"",VALUE(CONCATENATE(COPIA!DS126,COPIA!$DY126))),""))</f>
        <v/>
      </c>
      <c r="E133" s="24" t="str">
        <f ca="1">IF(IFERROR(IF(COPIA!DT126=0,"",VALUE(CONCATENATE(COPIA!DT126,COPIA!$DY126))),"")=0,"",IFERROR(IF(COPIA!DT126=0,"",VALUE(CONCATENATE(COPIA!DT126,COPIA!$DY126))),""))</f>
        <v/>
      </c>
      <c r="F133" s="24" t="str">
        <f ca="1">IF(IFERROR(IF(COPIA!DU126=0,"",VALUE(CONCATENATE(COPIA!DU126,COPIA!$DZ126))),"")=0,"",IFERROR(IF(COPIA!DU126=0,"",VALUE(CONCATENATE(COPIA!DU126,COPIA!$DZ126))),""))</f>
        <v/>
      </c>
      <c r="G133" s="24" t="str">
        <f ca="1">IF(IFERROR(IF(COPIA!DV126=0,"",VALUE(CONCATENATE(COPIA!DV126,COPIA!$DZ126))),"")=0,"",IFERROR(IF(COPIA!DV126=0,"",VALUE(CONCATENATE(COPIA!DV126,COPIA!$DZ126))),""))</f>
        <v/>
      </c>
      <c r="H133" s="6">
        <f ca="1">IFERROR(COPIA!DW126,"")</f>
        <v>0</v>
      </c>
    </row>
    <row r="134" spans="2:8" ht="20.100000000000001" customHeight="1">
      <c r="B134" s="118" t="str">
        <f t="shared" ca="1" si="1"/>
        <v/>
      </c>
      <c r="C134" s="13" t="str">
        <f ca="1">IFERROR(CONCATENATE(COPIA!DR127,COPIA!DX127),"")</f>
        <v/>
      </c>
      <c r="D134" s="24" t="str">
        <f ca="1">IF(IFERROR(IF(COPIA!DS127=0,"",VALUE(CONCATENATE(COPIA!DS127,COPIA!$DY127))),"")=0,"",IFERROR(IF(COPIA!DS127=0,"",VALUE(CONCATENATE(COPIA!DS127,COPIA!$DY127))),""))</f>
        <v/>
      </c>
      <c r="E134" s="24" t="str">
        <f ca="1">IF(IFERROR(IF(COPIA!DT127=0,"",VALUE(CONCATENATE(COPIA!DT127,COPIA!$DY127))),"")=0,"",IFERROR(IF(COPIA!DT127=0,"",VALUE(CONCATENATE(COPIA!DT127,COPIA!$DY127))),""))</f>
        <v/>
      </c>
      <c r="F134" s="24" t="str">
        <f ca="1">IF(IFERROR(IF(COPIA!DU127=0,"",VALUE(CONCATENATE(COPIA!DU127,COPIA!$DZ127))),"")=0,"",IFERROR(IF(COPIA!DU127=0,"",VALUE(CONCATENATE(COPIA!DU127,COPIA!$DZ127))),""))</f>
        <v/>
      </c>
      <c r="G134" s="24" t="str">
        <f ca="1">IF(IFERROR(IF(COPIA!DV127=0,"",VALUE(CONCATENATE(COPIA!DV127,COPIA!$DZ127))),"")=0,"",IFERROR(IF(COPIA!DV127=0,"",VALUE(CONCATENATE(COPIA!DV127,COPIA!$DZ127))),""))</f>
        <v/>
      </c>
      <c r="H134" s="6">
        <f ca="1">IFERROR(COPIA!DW127,"")</f>
        <v>0</v>
      </c>
    </row>
    <row r="135" spans="2:8" ht="20.100000000000001" customHeight="1">
      <c r="B135" s="118" t="str">
        <f t="shared" ca="1" si="1"/>
        <v/>
      </c>
      <c r="C135" s="13" t="str">
        <f ca="1">IFERROR(CONCATENATE(COPIA!DR128,COPIA!DX128),"")</f>
        <v/>
      </c>
      <c r="D135" s="24" t="str">
        <f ca="1">IF(IFERROR(IF(COPIA!DS128=0,"",VALUE(CONCATENATE(COPIA!DS128,COPIA!$DY128))),"")=0,"",IFERROR(IF(COPIA!DS128=0,"",VALUE(CONCATENATE(COPIA!DS128,COPIA!$DY128))),""))</f>
        <v/>
      </c>
      <c r="E135" s="24" t="str">
        <f ca="1">IF(IFERROR(IF(COPIA!DT128=0,"",VALUE(CONCATENATE(COPIA!DT128,COPIA!$DY128))),"")=0,"",IFERROR(IF(COPIA!DT128=0,"",VALUE(CONCATENATE(COPIA!DT128,COPIA!$DY128))),""))</f>
        <v/>
      </c>
      <c r="F135" s="24" t="str">
        <f ca="1">IF(IFERROR(IF(COPIA!DU128=0,"",VALUE(CONCATENATE(COPIA!DU128,COPIA!$DZ128))),"")=0,"",IFERROR(IF(COPIA!DU128=0,"",VALUE(CONCATENATE(COPIA!DU128,COPIA!$DZ128))),""))</f>
        <v/>
      </c>
      <c r="G135" s="24" t="str">
        <f ca="1">IF(IFERROR(IF(COPIA!DV128=0,"",VALUE(CONCATENATE(COPIA!DV128,COPIA!$DZ128))),"")=0,"",IFERROR(IF(COPIA!DV128=0,"",VALUE(CONCATENATE(COPIA!DV128,COPIA!$DZ128))),""))</f>
        <v/>
      </c>
      <c r="H135" s="6">
        <f ca="1">IFERROR(COPIA!DW128,"")</f>
        <v>0</v>
      </c>
    </row>
    <row r="136" spans="2:8" ht="20.100000000000001" customHeight="1">
      <c r="B136" s="118" t="str">
        <f t="shared" ca="1" si="1"/>
        <v/>
      </c>
      <c r="C136" s="13" t="str">
        <f ca="1">IFERROR(CONCATENATE(COPIA!DR129,COPIA!DX129),"")</f>
        <v/>
      </c>
      <c r="D136" s="24" t="str">
        <f ca="1">IF(IFERROR(IF(COPIA!DS129=0,"",VALUE(CONCATENATE(COPIA!DS129,COPIA!$DY129))),"")=0,"",IFERROR(IF(COPIA!DS129=0,"",VALUE(CONCATENATE(COPIA!DS129,COPIA!$DY129))),""))</f>
        <v/>
      </c>
      <c r="E136" s="24" t="str">
        <f ca="1">IF(IFERROR(IF(COPIA!DT129=0,"",VALUE(CONCATENATE(COPIA!DT129,COPIA!$DY129))),"")=0,"",IFERROR(IF(COPIA!DT129=0,"",VALUE(CONCATENATE(COPIA!DT129,COPIA!$DY129))),""))</f>
        <v/>
      </c>
      <c r="F136" s="24" t="str">
        <f ca="1">IF(IFERROR(IF(COPIA!DU129=0,"",VALUE(CONCATENATE(COPIA!DU129,COPIA!$DZ129))),"")=0,"",IFERROR(IF(COPIA!DU129=0,"",VALUE(CONCATENATE(COPIA!DU129,COPIA!$DZ129))),""))</f>
        <v/>
      </c>
      <c r="G136" s="24" t="str">
        <f ca="1">IF(IFERROR(IF(COPIA!DV129=0,"",VALUE(CONCATENATE(COPIA!DV129,COPIA!$DZ129))),"")=0,"",IFERROR(IF(COPIA!DV129=0,"",VALUE(CONCATENATE(COPIA!DV129,COPIA!$DZ129))),""))</f>
        <v/>
      </c>
      <c r="H136" s="6">
        <f ca="1">IFERROR(COPIA!DW129,"")</f>
        <v>0</v>
      </c>
    </row>
    <row r="137" spans="2:8" ht="20.100000000000001" customHeight="1">
      <c r="B137" s="118" t="str">
        <f t="shared" ca="1" si="1"/>
        <v/>
      </c>
      <c r="C137" s="13" t="str">
        <f ca="1">IFERROR(CONCATENATE(COPIA!DR130,COPIA!DX130),"")</f>
        <v/>
      </c>
      <c r="D137" s="24" t="str">
        <f ca="1">IF(IFERROR(IF(COPIA!DS130=0,"",VALUE(CONCATENATE(COPIA!DS130,COPIA!$DY130))),"")=0,"",IFERROR(IF(COPIA!DS130=0,"",VALUE(CONCATENATE(COPIA!DS130,COPIA!$DY130))),""))</f>
        <v/>
      </c>
      <c r="E137" s="24" t="str">
        <f ca="1">IF(IFERROR(IF(COPIA!DT130=0,"",VALUE(CONCATENATE(COPIA!DT130,COPIA!$DY130))),"")=0,"",IFERROR(IF(COPIA!DT130=0,"",VALUE(CONCATENATE(COPIA!DT130,COPIA!$DY130))),""))</f>
        <v/>
      </c>
      <c r="F137" s="24" t="str">
        <f ca="1">IF(IFERROR(IF(COPIA!DU130=0,"",VALUE(CONCATENATE(COPIA!DU130,COPIA!$DZ130))),"")=0,"",IFERROR(IF(COPIA!DU130=0,"",VALUE(CONCATENATE(COPIA!DU130,COPIA!$DZ130))),""))</f>
        <v/>
      </c>
      <c r="G137" s="24" t="str">
        <f ca="1">IF(IFERROR(IF(COPIA!DV130=0,"",VALUE(CONCATENATE(COPIA!DV130,COPIA!$DZ130))),"")=0,"",IFERROR(IF(COPIA!DV130=0,"",VALUE(CONCATENATE(COPIA!DV130,COPIA!$DZ130))),""))</f>
        <v/>
      </c>
      <c r="H137" s="6">
        <f ca="1">IFERROR(COPIA!DW130,"")</f>
        <v>0</v>
      </c>
    </row>
    <row r="138" spans="2:8" ht="20.100000000000001" customHeight="1">
      <c r="B138" s="118" t="str">
        <f t="shared" ref="B138:B201" ca="1" si="2">IFERROR(INDEX(PIANO_DEI_CONTI,MATCH(C138,DENOMINAZIONE,0),1),"")</f>
        <v/>
      </c>
      <c r="C138" s="13" t="str">
        <f ca="1">IFERROR(CONCATENATE(COPIA!DR131,COPIA!DX131),"")</f>
        <v/>
      </c>
      <c r="D138" s="24" t="str">
        <f ca="1">IF(IFERROR(IF(COPIA!DS131=0,"",VALUE(CONCATENATE(COPIA!DS131,COPIA!$DY131))),"")=0,"",IFERROR(IF(COPIA!DS131=0,"",VALUE(CONCATENATE(COPIA!DS131,COPIA!$DY131))),""))</f>
        <v/>
      </c>
      <c r="E138" s="24" t="str">
        <f ca="1">IF(IFERROR(IF(COPIA!DT131=0,"",VALUE(CONCATENATE(COPIA!DT131,COPIA!$DY131))),"")=0,"",IFERROR(IF(COPIA!DT131=0,"",VALUE(CONCATENATE(COPIA!DT131,COPIA!$DY131))),""))</f>
        <v/>
      </c>
      <c r="F138" s="24" t="str">
        <f ca="1">IF(IFERROR(IF(COPIA!DU131=0,"",VALUE(CONCATENATE(COPIA!DU131,COPIA!$DZ131))),"")=0,"",IFERROR(IF(COPIA!DU131=0,"",VALUE(CONCATENATE(COPIA!DU131,COPIA!$DZ131))),""))</f>
        <v/>
      </c>
      <c r="G138" s="24" t="str">
        <f ca="1">IF(IFERROR(IF(COPIA!DV131=0,"",VALUE(CONCATENATE(COPIA!DV131,COPIA!$DZ131))),"")=0,"",IFERROR(IF(COPIA!DV131=0,"",VALUE(CONCATENATE(COPIA!DV131,COPIA!$DZ131))),""))</f>
        <v/>
      </c>
      <c r="H138" s="6">
        <f ca="1">IFERROR(COPIA!DW131,"")</f>
        <v>0</v>
      </c>
    </row>
    <row r="139" spans="2:8" ht="20.100000000000001" customHeight="1">
      <c r="B139" s="118" t="str">
        <f t="shared" ca="1" si="2"/>
        <v/>
      </c>
      <c r="C139" s="13" t="str">
        <f ca="1">IFERROR(CONCATENATE(COPIA!DR132,COPIA!DX132),"")</f>
        <v/>
      </c>
      <c r="D139" s="24" t="str">
        <f ca="1">IF(IFERROR(IF(COPIA!DS132=0,"",VALUE(CONCATENATE(COPIA!DS132,COPIA!$DY132))),"")=0,"",IFERROR(IF(COPIA!DS132=0,"",VALUE(CONCATENATE(COPIA!DS132,COPIA!$DY132))),""))</f>
        <v/>
      </c>
      <c r="E139" s="24" t="str">
        <f ca="1">IF(IFERROR(IF(COPIA!DT132=0,"",VALUE(CONCATENATE(COPIA!DT132,COPIA!$DY132))),"")=0,"",IFERROR(IF(COPIA!DT132=0,"",VALUE(CONCATENATE(COPIA!DT132,COPIA!$DY132))),""))</f>
        <v/>
      </c>
      <c r="F139" s="24" t="str">
        <f ca="1">IF(IFERROR(IF(COPIA!DU132=0,"",VALUE(CONCATENATE(COPIA!DU132,COPIA!$DZ132))),"")=0,"",IFERROR(IF(COPIA!DU132=0,"",VALUE(CONCATENATE(COPIA!DU132,COPIA!$DZ132))),""))</f>
        <v/>
      </c>
      <c r="G139" s="24" t="str">
        <f ca="1">IF(IFERROR(IF(COPIA!DV132=0,"",VALUE(CONCATENATE(COPIA!DV132,COPIA!$DZ132))),"")=0,"",IFERROR(IF(COPIA!DV132=0,"",VALUE(CONCATENATE(COPIA!DV132,COPIA!$DZ132))),""))</f>
        <v/>
      </c>
      <c r="H139" s="6">
        <f ca="1">IFERROR(COPIA!DW132,"")</f>
        <v>0</v>
      </c>
    </row>
    <row r="140" spans="2:8" ht="20.100000000000001" customHeight="1">
      <c r="B140" s="118" t="str">
        <f t="shared" ca="1" si="2"/>
        <v/>
      </c>
      <c r="C140" s="13" t="str">
        <f ca="1">IFERROR(CONCATENATE(COPIA!DR133,COPIA!DX133),"")</f>
        <v/>
      </c>
      <c r="D140" s="24" t="str">
        <f ca="1">IF(IFERROR(IF(COPIA!DS133=0,"",VALUE(CONCATENATE(COPIA!DS133,COPIA!$DY133))),"")=0,"",IFERROR(IF(COPIA!DS133=0,"",VALUE(CONCATENATE(COPIA!DS133,COPIA!$DY133))),""))</f>
        <v/>
      </c>
      <c r="E140" s="24" t="str">
        <f ca="1">IF(IFERROR(IF(COPIA!DT133=0,"",VALUE(CONCATENATE(COPIA!DT133,COPIA!$DY133))),"")=0,"",IFERROR(IF(COPIA!DT133=0,"",VALUE(CONCATENATE(COPIA!DT133,COPIA!$DY133))),""))</f>
        <v/>
      </c>
      <c r="F140" s="24" t="str">
        <f ca="1">IF(IFERROR(IF(COPIA!DU133=0,"",VALUE(CONCATENATE(COPIA!DU133,COPIA!$DZ133))),"")=0,"",IFERROR(IF(COPIA!DU133=0,"",VALUE(CONCATENATE(COPIA!DU133,COPIA!$DZ133))),""))</f>
        <v/>
      </c>
      <c r="G140" s="24" t="str">
        <f ca="1">IF(IFERROR(IF(COPIA!DV133=0,"",VALUE(CONCATENATE(COPIA!DV133,COPIA!$DZ133))),"")=0,"",IFERROR(IF(COPIA!DV133=0,"",VALUE(CONCATENATE(COPIA!DV133,COPIA!$DZ133))),""))</f>
        <v/>
      </c>
      <c r="H140" s="6">
        <f ca="1">IFERROR(COPIA!DW133,"")</f>
        <v>0</v>
      </c>
    </row>
    <row r="141" spans="2:8" ht="20.100000000000001" customHeight="1">
      <c r="B141" s="118" t="str">
        <f t="shared" ca="1" si="2"/>
        <v/>
      </c>
      <c r="C141" s="13" t="str">
        <f ca="1">IFERROR(CONCATENATE(COPIA!DR134,COPIA!DX134),"")</f>
        <v/>
      </c>
      <c r="D141" s="24" t="str">
        <f ca="1">IF(IFERROR(IF(COPIA!DS134=0,"",VALUE(CONCATENATE(COPIA!DS134,COPIA!$DY134))),"")=0,"",IFERROR(IF(COPIA!DS134=0,"",VALUE(CONCATENATE(COPIA!DS134,COPIA!$DY134))),""))</f>
        <v/>
      </c>
      <c r="E141" s="24" t="str">
        <f ca="1">IF(IFERROR(IF(COPIA!DT134=0,"",VALUE(CONCATENATE(COPIA!DT134,COPIA!$DY134))),"")=0,"",IFERROR(IF(COPIA!DT134=0,"",VALUE(CONCATENATE(COPIA!DT134,COPIA!$DY134))),""))</f>
        <v/>
      </c>
      <c r="F141" s="24" t="str">
        <f ca="1">IF(IFERROR(IF(COPIA!DU134=0,"",VALUE(CONCATENATE(COPIA!DU134,COPIA!$DZ134))),"")=0,"",IFERROR(IF(COPIA!DU134=0,"",VALUE(CONCATENATE(COPIA!DU134,COPIA!$DZ134))),""))</f>
        <v/>
      </c>
      <c r="G141" s="24" t="str">
        <f ca="1">IF(IFERROR(IF(COPIA!DV134=0,"",VALUE(CONCATENATE(COPIA!DV134,COPIA!$DZ134))),"")=0,"",IFERROR(IF(COPIA!DV134=0,"",VALUE(CONCATENATE(COPIA!DV134,COPIA!$DZ134))),""))</f>
        <v/>
      </c>
      <c r="H141" s="6">
        <f ca="1">IFERROR(COPIA!DW134,"")</f>
        <v>0</v>
      </c>
    </row>
    <row r="142" spans="2:8" ht="20.100000000000001" customHeight="1">
      <c r="B142" s="118" t="str">
        <f t="shared" ca="1" si="2"/>
        <v/>
      </c>
      <c r="C142" s="13" t="str">
        <f ca="1">IFERROR(CONCATENATE(COPIA!DR135,COPIA!DX135),"")</f>
        <v/>
      </c>
      <c r="D142" s="24" t="str">
        <f ca="1">IF(IFERROR(IF(COPIA!DS135=0,"",VALUE(CONCATENATE(COPIA!DS135,COPIA!$DY135))),"")=0,"",IFERROR(IF(COPIA!DS135=0,"",VALUE(CONCATENATE(COPIA!DS135,COPIA!$DY135))),""))</f>
        <v/>
      </c>
      <c r="E142" s="24" t="str">
        <f ca="1">IF(IFERROR(IF(COPIA!DT135=0,"",VALUE(CONCATENATE(COPIA!DT135,COPIA!$DY135))),"")=0,"",IFERROR(IF(COPIA!DT135=0,"",VALUE(CONCATENATE(COPIA!DT135,COPIA!$DY135))),""))</f>
        <v/>
      </c>
      <c r="F142" s="24" t="str">
        <f ca="1">IF(IFERROR(IF(COPIA!DU135=0,"",VALUE(CONCATENATE(COPIA!DU135,COPIA!$DZ135))),"")=0,"",IFERROR(IF(COPIA!DU135=0,"",VALUE(CONCATENATE(COPIA!DU135,COPIA!$DZ135))),""))</f>
        <v/>
      </c>
      <c r="G142" s="24" t="str">
        <f ca="1">IF(IFERROR(IF(COPIA!DV135=0,"",VALUE(CONCATENATE(COPIA!DV135,COPIA!$DZ135))),"")=0,"",IFERROR(IF(COPIA!DV135=0,"",VALUE(CONCATENATE(COPIA!DV135,COPIA!$DZ135))),""))</f>
        <v/>
      </c>
      <c r="H142" s="6">
        <f ca="1">IFERROR(COPIA!DW135,"")</f>
        <v>0</v>
      </c>
    </row>
    <row r="143" spans="2:8" ht="20.100000000000001" customHeight="1">
      <c r="B143" s="118" t="str">
        <f t="shared" ca="1" si="2"/>
        <v/>
      </c>
      <c r="C143" s="13" t="str">
        <f ca="1">IFERROR(CONCATENATE(COPIA!DR136,COPIA!DX136),"")</f>
        <v/>
      </c>
      <c r="D143" s="24" t="str">
        <f ca="1">IF(IFERROR(IF(COPIA!DS136=0,"",VALUE(CONCATENATE(COPIA!DS136,COPIA!$DY136))),"")=0,"",IFERROR(IF(COPIA!DS136=0,"",VALUE(CONCATENATE(COPIA!DS136,COPIA!$DY136))),""))</f>
        <v/>
      </c>
      <c r="E143" s="24" t="str">
        <f ca="1">IF(IFERROR(IF(COPIA!DT136=0,"",VALUE(CONCATENATE(COPIA!DT136,COPIA!$DY136))),"")=0,"",IFERROR(IF(COPIA!DT136=0,"",VALUE(CONCATENATE(COPIA!DT136,COPIA!$DY136))),""))</f>
        <v/>
      </c>
      <c r="F143" s="24" t="str">
        <f ca="1">IF(IFERROR(IF(COPIA!DU136=0,"",VALUE(CONCATENATE(COPIA!DU136,COPIA!$DZ136))),"")=0,"",IFERROR(IF(COPIA!DU136=0,"",VALUE(CONCATENATE(COPIA!DU136,COPIA!$DZ136))),""))</f>
        <v/>
      </c>
      <c r="G143" s="24" t="str">
        <f ca="1">IF(IFERROR(IF(COPIA!DV136=0,"",VALUE(CONCATENATE(COPIA!DV136,COPIA!$DZ136))),"")=0,"",IFERROR(IF(COPIA!DV136=0,"",VALUE(CONCATENATE(COPIA!DV136,COPIA!$DZ136))),""))</f>
        <v/>
      </c>
      <c r="H143" s="6">
        <f ca="1">IFERROR(COPIA!DW136,"")</f>
        <v>0</v>
      </c>
    </row>
    <row r="144" spans="2:8" ht="20.100000000000001" customHeight="1">
      <c r="B144" s="118" t="str">
        <f t="shared" ca="1" si="2"/>
        <v/>
      </c>
      <c r="C144" s="13" t="str">
        <f ca="1">IFERROR(CONCATENATE(COPIA!DR137,COPIA!DX137),"")</f>
        <v/>
      </c>
      <c r="D144" s="24" t="str">
        <f ca="1">IF(IFERROR(IF(COPIA!DS137=0,"",VALUE(CONCATENATE(COPIA!DS137,COPIA!$DY137))),"")=0,"",IFERROR(IF(COPIA!DS137=0,"",VALUE(CONCATENATE(COPIA!DS137,COPIA!$DY137))),""))</f>
        <v/>
      </c>
      <c r="E144" s="24" t="str">
        <f ca="1">IF(IFERROR(IF(COPIA!DT137=0,"",VALUE(CONCATENATE(COPIA!DT137,COPIA!$DY137))),"")=0,"",IFERROR(IF(COPIA!DT137=0,"",VALUE(CONCATENATE(COPIA!DT137,COPIA!$DY137))),""))</f>
        <v/>
      </c>
      <c r="F144" s="24" t="str">
        <f ca="1">IF(IFERROR(IF(COPIA!DU137=0,"",VALUE(CONCATENATE(COPIA!DU137,COPIA!$DZ137))),"")=0,"",IFERROR(IF(COPIA!DU137=0,"",VALUE(CONCATENATE(COPIA!DU137,COPIA!$DZ137))),""))</f>
        <v/>
      </c>
      <c r="G144" s="24" t="str">
        <f ca="1">IF(IFERROR(IF(COPIA!DV137=0,"",VALUE(CONCATENATE(COPIA!DV137,COPIA!$DZ137))),"")=0,"",IFERROR(IF(COPIA!DV137=0,"",VALUE(CONCATENATE(COPIA!DV137,COPIA!$DZ137))),""))</f>
        <v/>
      </c>
      <c r="H144" s="6">
        <f ca="1">IFERROR(COPIA!DW137,"")</f>
        <v>0</v>
      </c>
    </row>
    <row r="145" spans="2:8" ht="20.100000000000001" customHeight="1">
      <c r="B145" s="118" t="str">
        <f t="shared" ca="1" si="2"/>
        <v/>
      </c>
      <c r="C145" s="13" t="str">
        <f ca="1">IFERROR(CONCATENATE(COPIA!DR138,COPIA!DX138),"")</f>
        <v/>
      </c>
      <c r="D145" s="24" t="str">
        <f ca="1">IF(IFERROR(IF(COPIA!DS138=0,"",VALUE(CONCATENATE(COPIA!DS138,COPIA!$DY138))),"")=0,"",IFERROR(IF(COPIA!DS138=0,"",VALUE(CONCATENATE(COPIA!DS138,COPIA!$DY138))),""))</f>
        <v/>
      </c>
      <c r="E145" s="24" t="str">
        <f ca="1">IF(IFERROR(IF(COPIA!DT138=0,"",VALUE(CONCATENATE(COPIA!DT138,COPIA!$DY138))),"")=0,"",IFERROR(IF(COPIA!DT138=0,"",VALUE(CONCATENATE(COPIA!DT138,COPIA!$DY138))),""))</f>
        <v/>
      </c>
      <c r="F145" s="24" t="str">
        <f ca="1">IF(IFERROR(IF(COPIA!DU138=0,"",VALUE(CONCATENATE(COPIA!DU138,COPIA!$DZ138))),"")=0,"",IFERROR(IF(COPIA!DU138=0,"",VALUE(CONCATENATE(COPIA!DU138,COPIA!$DZ138))),""))</f>
        <v/>
      </c>
      <c r="G145" s="24" t="str">
        <f ca="1">IF(IFERROR(IF(COPIA!DV138=0,"",VALUE(CONCATENATE(COPIA!DV138,COPIA!$DZ138))),"")=0,"",IFERROR(IF(COPIA!DV138=0,"",VALUE(CONCATENATE(COPIA!DV138,COPIA!$DZ138))),""))</f>
        <v/>
      </c>
      <c r="H145" s="6">
        <f ca="1">IFERROR(COPIA!DW138,"")</f>
        <v>0</v>
      </c>
    </row>
    <row r="146" spans="2:8" ht="20.100000000000001" customHeight="1">
      <c r="B146" s="118" t="str">
        <f t="shared" ca="1" si="2"/>
        <v/>
      </c>
      <c r="C146" s="13" t="str">
        <f ca="1">IFERROR(CONCATENATE(COPIA!DR139,COPIA!DX139),"")</f>
        <v/>
      </c>
      <c r="D146" s="24" t="str">
        <f ca="1">IF(IFERROR(IF(COPIA!DS139=0,"",VALUE(CONCATENATE(COPIA!DS139,COPIA!$DY139))),"")=0,"",IFERROR(IF(COPIA!DS139=0,"",VALUE(CONCATENATE(COPIA!DS139,COPIA!$DY139))),""))</f>
        <v/>
      </c>
      <c r="E146" s="24" t="str">
        <f ca="1">IF(IFERROR(IF(COPIA!DT139=0,"",VALUE(CONCATENATE(COPIA!DT139,COPIA!$DY139))),"")=0,"",IFERROR(IF(COPIA!DT139=0,"",VALUE(CONCATENATE(COPIA!DT139,COPIA!$DY139))),""))</f>
        <v/>
      </c>
      <c r="F146" s="24" t="str">
        <f ca="1">IF(IFERROR(IF(COPIA!DU139=0,"",VALUE(CONCATENATE(COPIA!DU139,COPIA!$DZ139))),"")=0,"",IFERROR(IF(COPIA!DU139=0,"",VALUE(CONCATENATE(COPIA!DU139,COPIA!$DZ139))),""))</f>
        <v/>
      </c>
      <c r="G146" s="24" t="str">
        <f ca="1">IF(IFERROR(IF(COPIA!DV139=0,"",VALUE(CONCATENATE(COPIA!DV139,COPIA!$DZ139))),"")=0,"",IFERROR(IF(COPIA!DV139=0,"",VALUE(CONCATENATE(COPIA!DV139,COPIA!$DZ139))),""))</f>
        <v/>
      </c>
      <c r="H146" s="6">
        <f ca="1">IFERROR(COPIA!DW139,"")</f>
        <v>0</v>
      </c>
    </row>
    <row r="147" spans="2:8" ht="20.100000000000001" customHeight="1">
      <c r="B147" s="118" t="str">
        <f t="shared" ca="1" si="2"/>
        <v/>
      </c>
      <c r="C147" s="13" t="str">
        <f ca="1">IFERROR(CONCATENATE(COPIA!DR140,COPIA!DX140),"")</f>
        <v/>
      </c>
      <c r="D147" s="24" t="str">
        <f ca="1">IF(IFERROR(IF(COPIA!DS140=0,"",VALUE(CONCATENATE(COPIA!DS140,COPIA!$DY140))),"")=0,"",IFERROR(IF(COPIA!DS140=0,"",VALUE(CONCATENATE(COPIA!DS140,COPIA!$DY140))),""))</f>
        <v/>
      </c>
      <c r="E147" s="24" t="str">
        <f ca="1">IF(IFERROR(IF(COPIA!DT140=0,"",VALUE(CONCATENATE(COPIA!DT140,COPIA!$DY140))),"")=0,"",IFERROR(IF(COPIA!DT140=0,"",VALUE(CONCATENATE(COPIA!DT140,COPIA!$DY140))),""))</f>
        <v/>
      </c>
      <c r="F147" s="24" t="str">
        <f ca="1">IF(IFERROR(IF(COPIA!DU140=0,"",VALUE(CONCATENATE(COPIA!DU140,COPIA!$DZ140))),"")=0,"",IFERROR(IF(COPIA!DU140=0,"",VALUE(CONCATENATE(COPIA!DU140,COPIA!$DZ140))),""))</f>
        <v/>
      </c>
      <c r="G147" s="24" t="str">
        <f ca="1">IF(IFERROR(IF(COPIA!DV140=0,"",VALUE(CONCATENATE(COPIA!DV140,COPIA!$DZ140))),"")=0,"",IFERROR(IF(COPIA!DV140=0,"",VALUE(CONCATENATE(COPIA!DV140,COPIA!$DZ140))),""))</f>
        <v/>
      </c>
      <c r="H147" s="6">
        <f ca="1">IFERROR(COPIA!DW140,"")</f>
        <v>0</v>
      </c>
    </row>
    <row r="148" spans="2:8" ht="20.100000000000001" customHeight="1">
      <c r="B148" s="118" t="str">
        <f t="shared" ca="1" si="2"/>
        <v/>
      </c>
      <c r="C148" s="13" t="str">
        <f ca="1">IFERROR(CONCATENATE(COPIA!DR141,COPIA!DX141),"")</f>
        <v/>
      </c>
      <c r="D148" s="24" t="str">
        <f ca="1">IF(IFERROR(IF(COPIA!DS141=0,"",VALUE(CONCATENATE(COPIA!DS141,COPIA!$DY141))),"")=0,"",IFERROR(IF(COPIA!DS141=0,"",VALUE(CONCATENATE(COPIA!DS141,COPIA!$DY141))),""))</f>
        <v/>
      </c>
      <c r="E148" s="24" t="str">
        <f ca="1">IF(IFERROR(IF(COPIA!DT141=0,"",VALUE(CONCATENATE(COPIA!DT141,COPIA!$DY141))),"")=0,"",IFERROR(IF(COPIA!DT141=0,"",VALUE(CONCATENATE(COPIA!DT141,COPIA!$DY141))),""))</f>
        <v/>
      </c>
      <c r="F148" s="24" t="str">
        <f ca="1">IF(IFERROR(IF(COPIA!DU141=0,"",VALUE(CONCATENATE(COPIA!DU141,COPIA!$DZ141))),"")=0,"",IFERROR(IF(COPIA!DU141=0,"",VALUE(CONCATENATE(COPIA!DU141,COPIA!$DZ141))),""))</f>
        <v/>
      </c>
      <c r="G148" s="24" t="str">
        <f ca="1">IF(IFERROR(IF(COPIA!DV141=0,"",VALUE(CONCATENATE(COPIA!DV141,COPIA!$DZ141))),"")=0,"",IFERROR(IF(COPIA!DV141=0,"",VALUE(CONCATENATE(COPIA!DV141,COPIA!$DZ141))),""))</f>
        <v/>
      </c>
      <c r="H148" s="6">
        <f ca="1">IFERROR(COPIA!DW141,"")</f>
        <v>0</v>
      </c>
    </row>
    <row r="149" spans="2:8" ht="20.100000000000001" customHeight="1">
      <c r="B149" s="118" t="str">
        <f t="shared" ca="1" si="2"/>
        <v/>
      </c>
      <c r="C149" s="13" t="str">
        <f ca="1">IFERROR(CONCATENATE(COPIA!DR142,COPIA!DX142),"")</f>
        <v/>
      </c>
      <c r="D149" s="24" t="str">
        <f ca="1">IF(IFERROR(IF(COPIA!DS142=0,"",VALUE(CONCATENATE(COPIA!DS142,COPIA!$DY142))),"")=0,"",IFERROR(IF(COPIA!DS142=0,"",VALUE(CONCATENATE(COPIA!DS142,COPIA!$DY142))),""))</f>
        <v/>
      </c>
      <c r="E149" s="24" t="str">
        <f ca="1">IF(IFERROR(IF(COPIA!DT142=0,"",VALUE(CONCATENATE(COPIA!DT142,COPIA!$DY142))),"")=0,"",IFERROR(IF(COPIA!DT142=0,"",VALUE(CONCATENATE(COPIA!DT142,COPIA!$DY142))),""))</f>
        <v/>
      </c>
      <c r="F149" s="24" t="str">
        <f ca="1">IF(IFERROR(IF(COPIA!DU142=0,"",VALUE(CONCATENATE(COPIA!DU142,COPIA!$DZ142))),"")=0,"",IFERROR(IF(COPIA!DU142=0,"",VALUE(CONCATENATE(COPIA!DU142,COPIA!$DZ142))),""))</f>
        <v/>
      </c>
      <c r="G149" s="24" t="str">
        <f ca="1">IF(IFERROR(IF(COPIA!DV142=0,"",VALUE(CONCATENATE(COPIA!DV142,COPIA!$DZ142))),"")=0,"",IFERROR(IF(COPIA!DV142=0,"",VALUE(CONCATENATE(COPIA!DV142,COPIA!$DZ142))),""))</f>
        <v/>
      </c>
      <c r="H149" s="6">
        <f ca="1">IFERROR(COPIA!DW142,"")</f>
        <v>0</v>
      </c>
    </row>
    <row r="150" spans="2:8" ht="20.100000000000001" customHeight="1">
      <c r="B150" s="118" t="str">
        <f t="shared" ca="1" si="2"/>
        <v/>
      </c>
      <c r="C150" s="13" t="str">
        <f ca="1">IFERROR(CONCATENATE(COPIA!DR143,COPIA!DX143),"")</f>
        <v/>
      </c>
      <c r="D150" s="24" t="str">
        <f ca="1">IF(IFERROR(IF(COPIA!DS143=0,"",VALUE(CONCATENATE(COPIA!DS143,COPIA!$DY143))),"")=0,"",IFERROR(IF(COPIA!DS143=0,"",VALUE(CONCATENATE(COPIA!DS143,COPIA!$DY143))),""))</f>
        <v/>
      </c>
      <c r="E150" s="24" t="str">
        <f ca="1">IF(IFERROR(IF(COPIA!DT143=0,"",VALUE(CONCATENATE(COPIA!DT143,COPIA!$DY143))),"")=0,"",IFERROR(IF(COPIA!DT143=0,"",VALUE(CONCATENATE(COPIA!DT143,COPIA!$DY143))),""))</f>
        <v/>
      </c>
      <c r="F150" s="24" t="str">
        <f ca="1">IF(IFERROR(IF(COPIA!DU143=0,"",VALUE(CONCATENATE(COPIA!DU143,COPIA!$DZ143))),"")=0,"",IFERROR(IF(COPIA!DU143=0,"",VALUE(CONCATENATE(COPIA!DU143,COPIA!$DZ143))),""))</f>
        <v/>
      </c>
      <c r="G150" s="24" t="str">
        <f ca="1">IF(IFERROR(IF(COPIA!DV143=0,"",VALUE(CONCATENATE(COPIA!DV143,COPIA!$DZ143))),"")=0,"",IFERROR(IF(COPIA!DV143=0,"",VALUE(CONCATENATE(COPIA!DV143,COPIA!$DZ143))),""))</f>
        <v/>
      </c>
      <c r="H150" s="6">
        <f ca="1">IFERROR(COPIA!DW143,"")</f>
        <v>0</v>
      </c>
    </row>
    <row r="151" spans="2:8" ht="20.100000000000001" customHeight="1">
      <c r="B151" s="118" t="str">
        <f t="shared" ca="1" si="2"/>
        <v/>
      </c>
      <c r="C151" s="13" t="str">
        <f ca="1">IFERROR(CONCATENATE(COPIA!DR144,COPIA!DX144),"")</f>
        <v/>
      </c>
      <c r="D151" s="24" t="str">
        <f ca="1">IF(IFERROR(IF(COPIA!DS144=0,"",VALUE(CONCATENATE(COPIA!DS144,COPIA!$DY144))),"")=0,"",IFERROR(IF(COPIA!DS144=0,"",VALUE(CONCATENATE(COPIA!DS144,COPIA!$DY144))),""))</f>
        <v/>
      </c>
      <c r="E151" s="24" t="str">
        <f ca="1">IF(IFERROR(IF(COPIA!DT144=0,"",VALUE(CONCATENATE(COPIA!DT144,COPIA!$DY144))),"")=0,"",IFERROR(IF(COPIA!DT144=0,"",VALUE(CONCATENATE(COPIA!DT144,COPIA!$DY144))),""))</f>
        <v/>
      </c>
      <c r="F151" s="24" t="str">
        <f ca="1">IF(IFERROR(IF(COPIA!DU144=0,"",VALUE(CONCATENATE(COPIA!DU144,COPIA!$DZ144))),"")=0,"",IFERROR(IF(COPIA!DU144=0,"",VALUE(CONCATENATE(COPIA!DU144,COPIA!$DZ144))),""))</f>
        <v/>
      </c>
      <c r="G151" s="24" t="str">
        <f ca="1">IF(IFERROR(IF(COPIA!DV144=0,"",VALUE(CONCATENATE(COPIA!DV144,COPIA!$DZ144))),"")=0,"",IFERROR(IF(COPIA!DV144=0,"",VALUE(CONCATENATE(COPIA!DV144,COPIA!$DZ144))),""))</f>
        <v/>
      </c>
      <c r="H151" s="6">
        <f ca="1">IFERROR(COPIA!DW144,"")</f>
        <v>0</v>
      </c>
    </row>
    <row r="152" spans="2:8" ht="20.100000000000001" customHeight="1">
      <c r="B152" s="118" t="str">
        <f t="shared" ca="1" si="2"/>
        <v/>
      </c>
      <c r="C152" s="13" t="str">
        <f ca="1">IFERROR(CONCATENATE(COPIA!DR145,COPIA!DX145),"")</f>
        <v/>
      </c>
      <c r="D152" s="24" t="str">
        <f ca="1">IF(IFERROR(IF(COPIA!DS145=0,"",VALUE(CONCATENATE(COPIA!DS145,COPIA!$DY145))),"")=0,"",IFERROR(IF(COPIA!DS145=0,"",VALUE(CONCATENATE(COPIA!DS145,COPIA!$DY145))),""))</f>
        <v/>
      </c>
      <c r="E152" s="24" t="str">
        <f ca="1">IF(IFERROR(IF(COPIA!DT145=0,"",VALUE(CONCATENATE(COPIA!DT145,COPIA!$DY145))),"")=0,"",IFERROR(IF(COPIA!DT145=0,"",VALUE(CONCATENATE(COPIA!DT145,COPIA!$DY145))),""))</f>
        <v/>
      </c>
      <c r="F152" s="24" t="str">
        <f ca="1">IF(IFERROR(IF(COPIA!DU145=0,"",VALUE(CONCATENATE(COPIA!DU145,COPIA!$DZ145))),"")=0,"",IFERROR(IF(COPIA!DU145=0,"",VALUE(CONCATENATE(COPIA!DU145,COPIA!$DZ145))),""))</f>
        <v/>
      </c>
      <c r="G152" s="24" t="str">
        <f ca="1">IF(IFERROR(IF(COPIA!DV145=0,"",VALUE(CONCATENATE(COPIA!DV145,COPIA!$DZ145))),"")=0,"",IFERROR(IF(COPIA!DV145=0,"",VALUE(CONCATENATE(COPIA!DV145,COPIA!$DZ145))),""))</f>
        <v/>
      </c>
      <c r="H152" s="6">
        <f ca="1">IFERROR(COPIA!DW145,"")</f>
        <v>0</v>
      </c>
    </row>
    <row r="153" spans="2:8" ht="20.100000000000001" customHeight="1">
      <c r="B153" s="118" t="str">
        <f t="shared" ca="1" si="2"/>
        <v/>
      </c>
      <c r="C153" s="13" t="str">
        <f ca="1">IFERROR(CONCATENATE(COPIA!DR146,COPIA!DX146),"")</f>
        <v/>
      </c>
      <c r="D153" s="24" t="str">
        <f ca="1">IF(IFERROR(IF(COPIA!DS146=0,"",VALUE(CONCATENATE(COPIA!DS146,COPIA!$DY146))),"")=0,"",IFERROR(IF(COPIA!DS146=0,"",VALUE(CONCATENATE(COPIA!DS146,COPIA!$DY146))),""))</f>
        <v/>
      </c>
      <c r="E153" s="24" t="str">
        <f ca="1">IF(IFERROR(IF(COPIA!DT146=0,"",VALUE(CONCATENATE(COPIA!DT146,COPIA!$DY146))),"")=0,"",IFERROR(IF(COPIA!DT146=0,"",VALUE(CONCATENATE(COPIA!DT146,COPIA!$DY146))),""))</f>
        <v/>
      </c>
      <c r="F153" s="24" t="str">
        <f ca="1">IF(IFERROR(IF(COPIA!DU146=0,"",VALUE(CONCATENATE(COPIA!DU146,COPIA!$DZ146))),"")=0,"",IFERROR(IF(COPIA!DU146=0,"",VALUE(CONCATENATE(COPIA!DU146,COPIA!$DZ146))),""))</f>
        <v/>
      </c>
      <c r="G153" s="24" t="str">
        <f ca="1">IF(IFERROR(IF(COPIA!DV146=0,"",VALUE(CONCATENATE(COPIA!DV146,COPIA!$DZ146))),"")=0,"",IFERROR(IF(COPIA!DV146=0,"",VALUE(CONCATENATE(COPIA!DV146,COPIA!$DZ146))),""))</f>
        <v/>
      </c>
      <c r="H153" s="6">
        <f ca="1">IFERROR(COPIA!DW146,"")</f>
        <v>0</v>
      </c>
    </row>
    <row r="154" spans="2:8" ht="20.100000000000001" customHeight="1">
      <c r="B154" s="118" t="str">
        <f t="shared" ca="1" si="2"/>
        <v/>
      </c>
      <c r="C154" s="13" t="str">
        <f ca="1">IFERROR(CONCATENATE(COPIA!DR147,COPIA!DX147),"")</f>
        <v/>
      </c>
      <c r="D154" s="24" t="str">
        <f ca="1">IF(IFERROR(IF(COPIA!DS147=0,"",VALUE(CONCATENATE(COPIA!DS147,COPIA!$DY147))),"")=0,"",IFERROR(IF(COPIA!DS147=0,"",VALUE(CONCATENATE(COPIA!DS147,COPIA!$DY147))),""))</f>
        <v/>
      </c>
      <c r="E154" s="24" t="str">
        <f ca="1">IF(IFERROR(IF(COPIA!DT147=0,"",VALUE(CONCATENATE(COPIA!DT147,COPIA!$DY147))),"")=0,"",IFERROR(IF(COPIA!DT147=0,"",VALUE(CONCATENATE(COPIA!DT147,COPIA!$DY147))),""))</f>
        <v/>
      </c>
      <c r="F154" s="24" t="str">
        <f ca="1">IF(IFERROR(IF(COPIA!DU147=0,"",VALUE(CONCATENATE(COPIA!DU147,COPIA!$DZ147))),"")=0,"",IFERROR(IF(COPIA!DU147=0,"",VALUE(CONCATENATE(COPIA!DU147,COPIA!$DZ147))),""))</f>
        <v/>
      </c>
      <c r="G154" s="24" t="str">
        <f ca="1">IF(IFERROR(IF(COPIA!DV147=0,"",VALUE(CONCATENATE(COPIA!DV147,COPIA!$DZ147))),"")=0,"",IFERROR(IF(COPIA!DV147=0,"",VALUE(CONCATENATE(COPIA!DV147,COPIA!$DZ147))),""))</f>
        <v/>
      </c>
      <c r="H154" s="6">
        <f ca="1">IFERROR(COPIA!DW147,"")</f>
        <v>0</v>
      </c>
    </row>
    <row r="155" spans="2:8" ht="20.100000000000001" customHeight="1">
      <c r="B155" s="118" t="str">
        <f t="shared" ca="1" si="2"/>
        <v/>
      </c>
      <c r="C155" s="13" t="str">
        <f ca="1">IFERROR(CONCATENATE(COPIA!DR148,COPIA!DX148),"")</f>
        <v/>
      </c>
      <c r="D155" s="24" t="str">
        <f ca="1">IF(IFERROR(IF(COPIA!DS148=0,"",VALUE(CONCATENATE(COPIA!DS148,COPIA!$DY148))),"")=0,"",IFERROR(IF(COPIA!DS148=0,"",VALUE(CONCATENATE(COPIA!DS148,COPIA!$DY148))),""))</f>
        <v/>
      </c>
      <c r="E155" s="24" t="str">
        <f ca="1">IF(IFERROR(IF(COPIA!DT148=0,"",VALUE(CONCATENATE(COPIA!DT148,COPIA!$DY148))),"")=0,"",IFERROR(IF(COPIA!DT148=0,"",VALUE(CONCATENATE(COPIA!DT148,COPIA!$DY148))),""))</f>
        <v/>
      </c>
      <c r="F155" s="24" t="str">
        <f ca="1">IF(IFERROR(IF(COPIA!DU148=0,"",VALUE(CONCATENATE(COPIA!DU148,COPIA!$DZ148))),"")=0,"",IFERROR(IF(COPIA!DU148=0,"",VALUE(CONCATENATE(COPIA!DU148,COPIA!$DZ148))),""))</f>
        <v/>
      </c>
      <c r="G155" s="24" t="str">
        <f ca="1">IF(IFERROR(IF(COPIA!DV148=0,"",VALUE(CONCATENATE(COPIA!DV148,COPIA!$DZ148))),"")=0,"",IFERROR(IF(COPIA!DV148=0,"",VALUE(CONCATENATE(COPIA!DV148,COPIA!$DZ148))),""))</f>
        <v/>
      </c>
      <c r="H155" s="6">
        <f ca="1">IFERROR(COPIA!DW148,"")</f>
        <v>0</v>
      </c>
    </row>
    <row r="156" spans="2:8" ht="20.100000000000001" customHeight="1">
      <c r="B156" s="118" t="str">
        <f t="shared" ca="1" si="2"/>
        <v/>
      </c>
      <c r="C156" s="13" t="str">
        <f ca="1">IFERROR(CONCATENATE(COPIA!DR149,COPIA!DX149),"")</f>
        <v/>
      </c>
      <c r="D156" s="24" t="str">
        <f ca="1">IF(IFERROR(IF(COPIA!DS149=0,"",VALUE(CONCATENATE(COPIA!DS149,COPIA!$DY149))),"")=0,"",IFERROR(IF(COPIA!DS149=0,"",VALUE(CONCATENATE(COPIA!DS149,COPIA!$DY149))),""))</f>
        <v/>
      </c>
      <c r="E156" s="24" t="str">
        <f ca="1">IF(IFERROR(IF(COPIA!DT149=0,"",VALUE(CONCATENATE(COPIA!DT149,COPIA!$DY149))),"")=0,"",IFERROR(IF(COPIA!DT149=0,"",VALUE(CONCATENATE(COPIA!DT149,COPIA!$DY149))),""))</f>
        <v/>
      </c>
      <c r="F156" s="24" t="str">
        <f ca="1">IF(IFERROR(IF(COPIA!DU149=0,"",VALUE(CONCATENATE(COPIA!DU149,COPIA!$DZ149))),"")=0,"",IFERROR(IF(COPIA!DU149=0,"",VALUE(CONCATENATE(COPIA!DU149,COPIA!$DZ149))),""))</f>
        <v/>
      </c>
      <c r="G156" s="24" t="str">
        <f ca="1">IF(IFERROR(IF(COPIA!DV149=0,"",VALUE(CONCATENATE(COPIA!DV149,COPIA!$DZ149))),"")=0,"",IFERROR(IF(COPIA!DV149=0,"",VALUE(CONCATENATE(COPIA!DV149,COPIA!$DZ149))),""))</f>
        <v/>
      </c>
      <c r="H156" s="6">
        <f ca="1">IFERROR(COPIA!DW149,"")</f>
        <v>0</v>
      </c>
    </row>
    <row r="157" spans="2:8" ht="20.100000000000001" customHeight="1">
      <c r="B157" s="118" t="str">
        <f t="shared" ca="1" si="2"/>
        <v/>
      </c>
      <c r="C157" s="13" t="str">
        <f ca="1">IFERROR(CONCATENATE(COPIA!DR150,COPIA!DX150),"")</f>
        <v/>
      </c>
      <c r="D157" s="24" t="str">
        <f ca="1">IF(IFERROR(IF(COPIA!DS150=0,"",VALUE(CONCATENATE(COPIA!DS150,COPIA!$DY150))),"")=0,"",IFERROR(IF(COPIA!DS150=0,"",VALUE(CONCATENATE(COPIA!DS150,COPIA!$DY150))),""))</f>
        <v/>
      </c>
      <c r="E157" s="24" t="str">
        <f ca="1">IF(IFERROR(IF(COPIA!DT150=0,"",VALUE(CONCATENATE(COPIA!DT150,COPIA!$DY150))),"")=0,"",IFERROR(IF(COPIA!DT150=0,"",VALUE(CONCATENATE(COPIA!DT150,COPIA!$DY150))),""))</f>
        <v/>
      </c>
      <c r="F157" s="24" t="str">
        <f ca="1">IF(IFERROR(IF(COPIA!DU150=0,"",VALUE(CONCATENATE(COPIA!DU150,COPIA!$DZ150))),"")=0,"",IFERROR(IF(COPIA!DU150=0,"",VALUE(CONCATENATE(COPIA!DU150,COPIA!$DZ150))),""))</f>
        <v/>
      </c>
      <c r="G157" s="24" t="str">
        <f ca="1">IF(IFERROR(IF(COPIA!DV150=0,"",VALUE(CONCATENATE(COPIA!DV150,COPIA!$DZ150))),"")=0,"",IFERROR(IF(COPIA!DV150=0,"",VALUE(CONCATENATE(COPIA!DV150,COPIA!$DZ150))),""))</f>
        <v/>
      </c>
      <c r="H157" s="6">
        <f ca="1">IFERROR(COPIA!DW150,"")</f>
        <v>0</v>
      </c>
    </row>
    <row r="158" spans="2:8" ht="20.100000000000001" customHeight="1">
      <c r="B158" s="118" t="str">
        <f t="shared" ca="1" si="2"/>
        <v/>
      </c>
      <c r="C158" s="13" t="str">
        <f ca="1">IFERROR(CONCATENATE(COPIA!DR151,COPIA!DX151),"")</f>
        <v/>
      </c>
      <c r="D158" s="24" t="str">
        <f ca="1">IF(IFERROR(IF(COPIA!DS151=0,"",VALUE(CONCATENATE(COPIA!DS151,COPIA!$DY151))),"")=0,"",IFERROR(IF(COPIA!DS151=0,"",VALUE(CONCATENATE(COPIA!DS151,COPIA!$DY151))),""))</f>
        <v/>
      </c>
      <c r="E158" s="24" t="str">
        <f ca="1">IF(IFERROR(IF(COPIA!DT151=0,"",VALUE(CONCATENATE(COPIA!DT151,COPIA!$DY151))),"")=0,"",IFERROR(IF(COPIA!DT151=0,"",VALUE(CONCATENATE(COPIA!DT151,COPIA!$DY151))),""))</f>
        <v/>
      </c>
      <c r="F158" s="24" t="str">
        <f ca="1">IF(IFERROR(IF(COPIA!DU151=0,"",VALUE(CONCATENATE(COPIA!DU151,COPIA!$DZ151))),"")=0,"",IFERROR(IF(COPIA!DU151=0,"",VALUE(CONCATENATE(COPIA!DU151,COPIA!$DZ151))),""))</f>
        <v/>
      </c>
      <c r="G158" s="24" t="str">
        <f ca="1">IF(IFERROR(IF(COPIA!DV151=0,"",VALUE(CONCATENATE(COPIA!DV151,COPIA!$DZ151))),"")=0,"",IFERROR(IF(COPIA!DV151=0,"",VALUE(CONCATENATE(COPIA!DV151,COPIA!$DZ151))),""))</f>
        <v/>
      </c>
      <c r="H158" s="6">
        <f ca="1">IFERROR(COPIA!DW151,"")</f>
        <v>0</v>
      </c>
    </row>
    <row r="159" spans="2:8" ht="20.100000000000001" customHeight="1">
      <c r="B159" s="118" t="str">
        <f t="shared" ca="1" si="2"/>
        <v/>
      </c>
      <c r="C159" s="13" t="str">
        <f ca="1">IFERROR(CONCATENATE(COPIA!DR152,COPIA!DX152),"")</f>
        <v/>
      </c>
      <c r="D159" s="24" t="str">
        <f ca="1">IF(IFERROR(IF(COPIA!DS152=0,"",VALUE(CONCATENATE(COPIA!DS152,COPIA!$DY152))),"")=0,"",IFERROR(IF(COPIA!DS152=0,"",VALUE(CONCATENATE(COPIA!DS152,COPIA!$DY152))),""))</f>
        <v/>
      </c>
      <c r="E159" s="24" t="str">
        <f ca="1">IF(IFERROR(IF(COPIA!DT152=0,"",VALUE(CONCATENATE(COPIA!DT152,COPIA!$DY152))),"")=0,"",IFERROR(IF(COPIA!DT152=0,"",VALUE(CONCATENATE(COPIA!DT152,COPIA!$DY152))),""))</f>
        <v/>
      </c>
      <c r="F159" s="24" t="str">
        <f ca="1">IF(IFERROR(IF(COPIA!DU152=0,"",VALUE(CONCATENATE(COPIA!DU152,COPIA!$DZ152))),"")=0,"",IFERROR(IF(COPIA!DU152=0,"",VALUE(CONCATENATE(COPIA!DU152,COPIA!$DZ152))),""))</f>
        <v/>
      </c>
      <c r="G159" s="24" t="str">
        <f ca="1">IF(IFERROR(IF(COPIA!DV152=0,"",VALUE(CONCATENATE(COPIA!DV152,COPIA!$DZ152))),"")=0,"",IFERROR(IF(COPIA!DV152=0,"",VALUE(CONCATENATE(COPIA!DV152,COPIA!$DZ152))),""))</f>
        <v/>
      </c>
      <c r="H159" s="6">
        <f ca="1">IFERROR(COPIA!DW152,"")</f>
        <v>0</v>
      </c>
    </row>
    <row r="160" spans="2:8" ht="20.100000000000001" customHeight="1">
      <c r="B160" s="118" t="str">
        <f t="shared" ca="1" si="2"/>
        <v/>
      </c>
      <c r="C160" s="13" t="str">
        <f ca="1">IFERROR(CONCATENATE(COPIA!DR153,COPIA!DX153),"")</f>
        <v/>
      </c>
      <c r="D160" s="24" t="str">
        <f ca="1">IF(IFERROR(IF(COPIA!DS153=0,"",VALUE(CONCATENATE(COPIA!DS153,COPIA!$DY153))),"")=0,"",IFERROR(IF(COPIA!DS153=0,"",VALUE(CONCATENATE(COPIA!DS153,COPIA!$DY153))),""))</f>
        <v/>
      </c>
      <c r="E160" s="24" t="str">
        <f ca="1">IF(IFERROR(IF(COPIA!DT153=0,"",VALUE(CONCATENATE(COPIA!DT153,COPIA!$DY153))),"")=0,"",IFERROR(IF(COPIA!DT153=0,"",VALUE(CONCATENATE(COPIA!DT153,COPIA!$DY153))),""))</f>
        <v/>
      </c>
      <c r="F160" s="24" t="str">
        <f ca="1">IF(IFERROR(IF(COPIA!DU153=0,"",VALUE(CONCATENATE(COPIA!DU153,COPIA!$DZ153))),"")=0,"",IFERROR(IF(COPIA!DU153=0,"",VALUE(CONCATENATE(COPIA!DU153,COPIA!$DZ153))),""))</f>
        <v/>
      </c>
      <c r="G160" s="24" t="str">
        <f ca="1">IF(IFERROR(IF(COPIA!DV153=0,"",VALUE(CONCATENATE(COPIA!DV153,COPIA!$DZ153))),"")=0,"",IFERROR(IF(COPIA!DV153=0,"",VALUE(CONCATENATE(COPIA!DV153,COPIA!$DZ153))),""))</f>
        <v/>
      </c>
      <c r="H160" s="6">
        <f ca="1">IFERROR(COPIA!DW153,"")</f>
        <v>0</v>
      </c>
    </row>
    <row r="161" spans="2:8" ht="20.100000000000001" customHeight="1">
      <c r="B161" s="118" t="str">
        <f t="shared" ca="1" si="2"/>
        <v/>
      </c>
      <c r="C161" s="13" t="str">
        <f ca="1">IFERROR(CONCATENATE(COPIA!DR154,COPIA!DX154),"")</f>
        <v/>
      </c>
      <c r="D161" s="24" t="str">
        <f ca="1">IF(IFERROR(IF(COPIA!DS154=0,"",VALUE(CONCATENATE(COPIA!DS154,COPIA!$DY154))),"")=0,"",IFERROR(IF(COPIA!DS154=0,"",VALUE(CONCATENATE(COPIA!DS154,COPIA!$DY154))),""))</f>
        <v/>
      </c>
      <c r="E161" s="24" t="str">
        <f ca="1">IF(IFERROR(IF(COPIA!DT154=0,"",VALUE(CONCATENATE(COPIA!DT154,COPIA!$DY154))),"")=0,"",IFERROR(IF(COPIA!DT154=0,"",VALUE(CONCATENATE(COPIA!DT154,COPIA!$DY154))),""))</f>
        <v/>
      </c>
      <c r="F161" s="24" t="str">
        <f ca="1">IF(IFERROR(IF(COPIA!DU154=0,"",VALUE(CONCATENATE(COPIA!DU154,COPIA!$DZ154))),"")=0,"",IFERROR(IF(COPIA!DU154=0,"",VALUE(CONCATENATE(COPIA!DU154,COPIA!$DZ154))),""))</f>
        <v/>
      </c>
      <c r="G161" s="24" t="str">
        <f ca="1">IF(IFERROR(IF(COPIA!DV154=0,"",VALUE(CONCATENATE(COPIA!DV154,COPIA!$DZ154))),"")=0,"",IFERROR(IF(COPIA!DV154=0,"",VALUE(CONCATENATE(COPIA!DV154,COPIA!$DZ154))),""))</f>
        <v/>
      </c>
      <c r="H161" s="6">
        <f ca="1">IFERROR(COPIA!DW154,"")</f>
        <v>0</v>
      </c>
    </row>
    <row r="162" spans="2:8" ht="20.100000000000001" customHeight="1">
      <c r="B162" s="118" t="str">
        <f t="shared" ca="1" si="2"/>
        <v/>
      </c>
      <c r="C162" s="13" t="str">
        <f ca="1">IFERROR(CONCATENATE(COPIA!DR155,COPIA!DX155),"")</f>
        <v/>
      </c>
      <c r="D162" s="24" t="str">
        <f ca="1">IF(IFERROR(IF(COPIA!DS155=0,"",VALUE(CONCATENATE(COPIA!DS155,COPIA!$DY155))),"")=0,"",IFERROR(IF(COPIA!DS155=0,"",VALUE(CONCATENATE(COPIA!DS155,COPIA!$DY155))),""))</f>
        <v/>
      </c>
      <c r="E162" s="24" t="str">
        <f ca="1">IF(IFERROR(IF(COPIA!DT155=0,"",VALUE(CONCATENATE(COPIA!DT155,COPIA!$DY155))),"")=0,"",IFERROR(IF(COPIA!DT155=0,"",VALUE(CONCATENATE(COPIA!DT155,COPIA!$DY155))),""))</f>
        <v/>
      </c>
      <c r="F162" s="24" t="str">
        <f ca="1">IF(IFERROR(IF(COPIA!DU155=0,"",VALUE(CONCATENATE(COPIA!DU155,COPIA!$DZ155))),"")=0,"",IFERROR(IF(COPIA!DU155=0,"",VALUE(CONCATENATE(COPIA!DU155,COPIA!$DZ155))),""))</f>
        <v/>
      </c>
      <c r="G162" s="24" t="str">
        <f ca="1">IF(IFERROR(IF(COPIA!DV155=0,"",VALUE(CONCATENATE(COPIA!DV155,COPIA!$DZ155))),"")=0,"",IFERROR(IF(COPIA!DV155=0,"",VALUE(CONCATENATE(COPIA!DV155,COPIA!$DZ155))),""))</f>
        <v/>
      </c>
      <c r="H162" s="6">
        <f ca="1">IFERROR(COPIA!DW155,"")</f>
        <v>0</v>
      </c>
    </row>
    <row r="163" spans="2:8" ht="20.100000000000001" customHeight="1">
      <c r="B163" s="118" t="str">
        <f t="shared" ca="1" si="2"/>
        <v/>
      </c>
      <c r="C163" s="13" t="str">
        <f ca="1">IFERROR(CONCATENATE(COPIA!DR156,COPIA!DX156),"")</f>
        <v/>
      </c>
      <c r="D163" s="24" t="str">
        <f ca="1">IF(IFERROR(IF(COPIA!DS156=0,"",VALUE(CONCATENATE(COPIA!DS156,COPIA!$DY156))),"")=0,"",IFERROR(IF(COPIA!DS156=0,"",VALUE(CONCATENATE(COPIA!DS156,COPIA!$DY156))),""))</f>
        <v/>
      </c>
      <c r="E163" s="24" t="str">
        <f ca="1">IF(IFERROR(IF(COPIA!DT156=0,"",VALUE(CONCATENATE(COPIA!DT156,COPIA!$DY156))),"")=0,"",IFERROR(IF(COPIA!DT156=0,"",VALUE(CONCATENATE(COPIA!DT156,COPIA!$DY156))),""))</f>
        <v/>
      </c>
      <c r="F163" s="24" t="str">
        <f ca="1">IF(IFERROR(IF(COPIA!DU156=0,"",VALUE(CONCATENATE(COPIA!DU156,COPIA!$DZ156))),"")=0,"",IFERROR(IF(COPIA!DU156=0,"",VALUE(CONCATENATE(COPIA!DU156,COPIA!$DZ156))),""))</f>
        <v/>
      </c>
      <c r="G163" s="24" t="str">
        <f ca="1">IF(IFERROR(IF(COPIA!DV156=0,"",VALUE(CONCATENATE(COPIA!DV156,COPIA!$DZ156))),"")=0,"",IFERROR(IF(COPIA!DV156=0,"",VALUE(CONCATENATE(COPIA!DV156,COPIA!$DZ156))),""))</f>
        <v/>
      </c>
      <c r="H163" s="6">
        <f ca="1">IFERROR(COPIA!DW156,"")</f>
        <v>0</v>
      </c>
    </row>
    <row r="164" spans="2:8" ht="20.100000000000001" customHeight="1">
      <c r="B164" s="118" t="str">
        <f t="shared" ca="1" si="2"/>
        <v/>
      </c>
      <c r="C164" s="13" t="str">
        <f ca="1">IFERROR(CONCATENATE(COPIA!DR157,COPIA!DX157),"")</f>
        <v/>
      </c>
      <c r="D164" s="24" t="str">
        <f ca="1">IF(IFERROR(IF(COPIA!DS157=0,"",VALUE(CONCATENATE(COPIA!DS157,COPIA!$DY157))),"")=0,"",IFERROR(IF(COPIA!DS157=0,"",VALUE(CONCATENATE(COPIA!DS157,COPIA!$DY157))),""))</f>
        <v/>
      </c>
      <c r="E164" s="24" t="str">
        <f ca="1">IF(IFERROR(IF(COPIA!DT157=0,"",VALUE(CONCATENATE(COPIA!DT157,COPIA!$DY157))),"")=0,"",IFERROR(IF(COPIA!DT157=0,"",VALUE(CONCATENATE(COPIA!DT157,COPIA!$DY157))),""))</f>
        <v/>
      </c>
      <c r="F164" s="24" t="str">
        <f ca="1">IF(IFERROR(IF(COPIA!DU157=0,"",VALUE(CONCATENATE(COPIA!DU157,COPIA!$DZ157))),"")=0,"",IFERROR(IF(COPIA!DU157=0,"",VALUE(CONCATENATE(COPIA!DU157,COPIA!$DZ157))),""))</f>
        <v/>
      </c>
      <c r="G164" s="24" t="str">
        <f ca="1">IF(IFERROR(IF(COPIA!DV157=0,"",VALUE(CONCATENATE(COPIA!DV157,COPIA!$DZ157))),"")=0,"",IFERROR(IF(COPIA!DV157=0,"",VALUE(CONCATENATE(COPIA!DV157,COPIA!$DZ157))),""))</f>
        <v/>
      </c>
      <c r="H164" s="6">
        <f ca="1">IFERROR(COPIA!DW157,"")</f>
        <v>0</v>
      </c>
    </row>
    <row r="165" spans="2:8" ht="20.100000000000001" customHeight="1">
      <c r="B165" s="118" t="str">
        <f t="shared" ca="1" si="2"/>
        <v/>
      </c>
      <c r="C165" s="13" t="str">
        <f ca="1">IFERROR(CONCATENATE(COPIA!DR158,COPIA!DX158),"")</f>
        <v/>
      </c>
      <c r="D165" s="24" t="str">
        <f ca="1">IF(IFERROR(IF(COPIA!DS158=0,"",VALUE(CONCATENATE(COPIA!DS158,COPIA!$DY158))),"")=0,"",IFERROR(IF(COPIA!DS158=0,"",VALUE(CONCATENATE(COPIA!DS158,COPIA!$DY158))),""))</f>
        <v/>
      </c>
      <c r="E165" s="24" t="str">
        <f ca="1">IF(IFERROR(IF(COPIA!DT158=0,"",VALUE(CONCATENATE(COPIA!DT158,COPIA!$DY158))),"")=0,"",IFERROR(IF(COPIA!DT158=0,"",VALUE(CONCATENATE(COPIA!DT158,COPIA!$DY158))),""))</f>
        <v/>
      </c>
      <c r="F165" s="24" t="str">
        <f ca="1">IF(IFERROR(IF(COPIA!DU158=0,"",VALUE(CONCATENATE(COPIA!DU158,COPIA!$DZ158))),"")=0,"",IFERROR(IF(COPIA!DU158=0,"",VALUE(CONCATENATE(COPIA!DU158,COPIA!$DZ158))),""))</f>
        <v/>
      </c>
      <c r="G165" s="24" t="str">
        <f ca="1">IF(IFERROR(IF(COPIA!DV158=0,"",VALUE(CONCATENATE(COPIA!DV158,COPIA!$DZ158))),"")=0,"",IFERROR(IF(COPIA!DV158=0,"",VALUE(CONCATENATE(COPIA!DV158,COPIA!$DZ158))),""))</f>
        <v/>
      </c>
      <c r="H165" s="6">
        <f ca="1">IFERROR(COPIA!DW158,"")</f>
        <v>0</v>
      </c>
    </row>
    <row r="166" spans="2:8" ht="20.100000000000001" customHeight="1">
      <c r="B166" s="118" t="str">
        <f t="shared" ca="1" si="2"/>
        <v/>
      </c>
      <c r="C166" s="13" t="str">
        <f ca="1">IFERROR(CONCATENATE(COPIA!DR159,COPIA!DX159),"")</f>
        <v/>
      </c>
      <c r="D166" s="24" t="str">
        <f ca="1">IF(IFERROR(IF(COPIA!DS159=0,"",VALUE(CONCATENATE(COPIA!DS159,COPIA!$DY159))),"")=0,"",IFERROR(IF(COPIA!DS159=0,"",VALUE(CONCATENATE(COPIA!DS159,COPIA!$DY159))),""))</f>
        <v/>
      </c>
      <c r="E166" s="24" t="str">
        <f ca="1">IF(IFERROR(IF(COPIA!DT159=0,"",VALUE(CONCATENATE(COPIA!DT159,COPIA!$DY159))),"")=0,"",IFERROR(IF(COPIA!DT159=0,"",VALUE(CONCATENATE(COPIA!DT159,COPIA!$DY159))),""))</f>
        <v/>
      </c>
      <c r="F166" s="24" t="str">
        <f ca="1">IF(IFERROR(IF(COPIA!DU159=0,"",VALUE(CONCATENATE(COPIA!DU159,COPIA!$DZ159))),"")=0,"",IFERROR(IF(COPIA!DU159=0,"",VALUE(CONCATENATE(COPIA!DU159,COPIA!$DZ159))),""))</f>
        <v/>
      </c>
      <c r="G166" s="24" t="str">
        <f ca="1">IF(IFERROR(IF(COPIA!DV159=0,"",VALUE(CONCATENATE(COPIA!DV159,COPIA!$DZ159))),"")=0,"",IFERROR(IF(COPIA!DV159=0,"",VALUE(CONCATENATE(COPIA!DV159,COPIA!$DZ159))),""))</f>
        <v/>
      </c>
      <c r="H166" s="6">
        <f ca="1">IFERROR(COPIA!DW159,"")</f>
        <v>0</v>
      </c>
    </row>
    <row r="167" spans="2:8" ht="20.100000000000001" customHeight="1">
      <c r="B167" s="118" t="str">
        <f t="shared" ca="1" si="2"/>
        <v/>
      </c>
      <c r="C167" s="13" t="str">
        <f ca="1">IFERROR(CONCATENATE(COPIA!DR160,COPIA!DX160),"")</f>
        <v/>
      </c>
      <c r="D167" s="24" t="str">
        <f ca="1">IF(IFERROR(IF(COPIA!DS160=0,"",VALUE(CONCATENATE(COPIA!DS160,COPIA!$DY160))),"")=0,"",IFERROR(IF(COPIA!DS160=0,"",VALUE(CONCATENATE(COPIA!DS160,COPIA!$DY160))),""))</f>
        <v/>
      </c>
      <c r="E167" s="24" t="str">
        <f ca="1">IF(IFERROR(IF(COPIA!DT160=0,"",VALUE(CONCATENATE(COPIA!DT160,COPIA!$DY160))),"")=0,"",IFERROR(IF(COPIA!DT160=0,"",VALUE(CONCATENATE(COPIA!DT160,COPIA!$DY160))),""))</f>
        <v/>
      </c>
      <c r="F167" s="24" t="str">
        <f ca="1">IF(IFERROR(IF(COPIA!DU160=0,"",VALUE(CONCATENATE(COPIA!DU160,COPIA!$DZ160))),"")=0,"",IFERROR(IF(COPIA!DU160=0,"",VALUE(CONCATENATE(COPIA!DU160,COPIA!$DZ160))),""))</f>
        <v/>
      </c>
      <c r="G167" s="24" t="str">
        <f ca="1">IF(IFERROR(IF(COPIA!DV160=0,"",VALUE(CONCATENATE(COPIA!DV160,COPIA!$DZ160))),"")=0,"",IFERROR(IF(COPIA!DV160=0,"",VALUE(CONCATENATE(COPIA!DV160,COPIA!$DZ160))),""))</f>
        <v/>
      </c>
      <c r="H167" s="6">
        <f ca="1">IFERROR(COPIA!DW160,"")</f>
        <v>0</v>
      </c>
    </row>
    <row r="168" spans="2:8" ht="20.100000000000001" customHeight="1">
      <c r="B168" s="118" t="str">
        <f t="shared" ca="1" si="2"/>
        <v/>
      </c>
      <c r="C168" s="13" t="str">
        <f ca="1">IFERROR(CONCATENATE(COPIA!DR161,COPIA!DX161),"")</f>
        <v/>
      </c>
      <c r="D168" s="24" t="str">
        <f ca="1">IF(IFERROR(IF(COPIA!DS161=0,"",VALUE(CONCATENATE(COPIA!DS161,COPIA!$DY161))),"")=0,"",IFERROR(IF(COPIA!DS161=0,"",VALUE(CONCATENATE(COPIA!DS161,COPIA!$DY161))),""))</f>
        <v/>
      </c>
      <c r="E168" s="24" t="str">
        <f ca="1">IF(IFERROR(IF(COPIA!DT161=0,"",VALUE(CONCATENATE(COPIA!DT161,COPIA!$DY161))),"")=0,"",IFERROR(IF(COPIA!DT161=0,"",VALUE(CONCATENATE(COPIA!DT161,COPIA!$DY161))),""))</f>
        <v/>
      </c>
      <c r="F168" s="24" t="str">
        <f ca="1">IF(IFERROR(IF(COPIA!DU161=0,"",VALUE(CONCATENATE(COPIA!DU161,COPIA!$DZ161))),"")=0,"",IFERROR(IF(COPIA!DU161=0,"",VALUE(CONCATENATE(COPIA!DU161,COPIA!$DZ161))),""))</f>
        <v/>
      </c>
      <c r="G168" s="24" t="str">
        <f ca="1">IF(IFERROR(IF(COPIA!DV161=0,"",VALUE(CONCATENATE(COPIA!DV161,COPIA!$DZ161))),"")=0,"",IFERROR(IF(COPIA!DV161=0,"",VALUE(CONCATENATE(COPIA!DV161,COPIA!$DZ161))),""))</f>
        <v/>
      </c>
      <c r="H168" s="6">
        <f ca="1">IFERROR(COPIA!DW161,"")</f>
        <v>0</v>
      </c>
    </row>
    <row r="169" spans="2:8" ht="20.100000000000001" customHeight="1">
      <c r="B169" s="118" t="str">
        <f t="shared" ca="1" si="2"/>
        <v/>
      </c>
      <c r="C169" s="13" t="str">
        <f ca="1">IFERROR(CONCATENATE(COPIA!DR162,COPIA!DX162),"")</f>
        <v/>
      </c>
      <c r="D169" s="24" t="str">
        <f ca="1">IF(IFERROR(IF(COPIA!DS162=0,"",VALUE(CONCATENATE(COPIA!DS162,COPIA!$DY162))),"")=0,"",IFERROR(IF(COPIA!DS162=0,"",VALUE(CONCATENATE(COPIA!DS162,COPIA!$DY162))),""))</f>
        <v/>
      </c>
      <c r="E169" s="24" t="str">
        <f ca="1">IF(IFERROR(IF(COPIA!DT162=0,"",VALUE(CONCATENATE(COPIA!DT162,COPIA!$DY162))),"")=0,"",IFERROR(IF(COPIA!DT162=0,"",VALUE(CONCATENATE(COPIA!DT162,COPIA!$DY162))),""))</f>
        <v/>
      </c>
      <c r="F169" s="24" t="str">
        <f ca="1">IF(IFERROR(IF(COPIA!DU162=0,"",VALUE(CONCATENATE(COPIA!DU162,COPIA!$DZ162))),"")=0,"",IFERROR(IF(COPIA!DU162=0,"",VALUE(CONCATENATE(COPIA!DU162,COPIA!$DZ162))),""))</f>
        <v/>
      </c>
      <c r="G169" s="24" t="str">
        <f ca="1">IF(IFERROR(IF(COPIA!DV162=0,"",VALUE(CONCATENATE(COPIA!DV162,COPIA!$DZ162))),"")=0,"",IFERROR(IF(COPIA!DV162=0,"",VALUE(CONCATENATE(COPIA!DV162,COPIA!$DZ162))),""))</f>
        <v/>
      </c>
      <c r="H169" s="6">
        <f ca="1">IFERROR(COPIA!DW162,"")</f>
        <v>0</v>
      </c>
    </row>
    <row r="170" spans="2:8" ht="20.100000000000001" customHeight="1">
      <c r="B170" s="118" t="str">
        <f t="shared" ca="1" si="2"/>
        <v/>
      </c>
      <c r="C170" s="13" t="str">
        <f ca="1">IFERROR(CONCATENATE(COPIA!DR163,COPIA!DX163),"")</f>
        <v/>
      </c>
      <c r="D170" s="24" t="str">
        <f ca="1">IF(IFERROR(IF(COPIA!DS163=0,"",VALUE(CONCATENATE(COPIA!DS163,COPIA!$DY163))),"")=0,"",IFERROR(IF(COPIA!DS163=0,"",VALUE(CONCATENATE(COPIA!DS163,COPIA!$DY163))),""))</f>
        <v/>
      </c>
      <c r="E170" s="24" t="str">
        <f ca="1">IF(IFERROR(IF(COPIA!DT163=0,"",VALUE(CONCATENATE(COPIA!DT163,COPIA!$DY163))),"")=0,"",IFERROR(IF(COPIA!DT163=0,"",VALUE(CONCATENATE(COPIA!DT163,COPIA!$DY163))),""))</f>
        <v/>
      </c>
      <c r="F170" s="24" t="str">
        <f ca="1">IF(IFERROR(IF(COPIA!DU163=0,"",VALUE(CONCATENATE(COPIA!DU163,COPIA!$DZ163))),"")=0,"",IFERROR(IF(COPIA!DU163=0,"",VALUE(CONCATENATE(COPIA!DU163,COPIA!$DZ163))),""))</f>
        <v/>
      </c>
      <c r="G170" s="24" t="str">
        <f ca="1">IF(IFERROR(IF(COPIA!DV163=0,"",VALUE(CONCATENATE(COPIA!DV163,COPIA!$DZ163))),"")=0,"",IFERROR(IF(COPIA!DV163=0,"",VALUE(CONCATENATE(COPIA!DV163,COPIA!$DZ163))),""))</f>
        <v/>
      </c>
      <c r="H170" s="6">
        <f ca="1">IFERROR(COPIA!DW163,"")</f>
        <v>0</v>
      </c>
    </row>
    <row r="171" spans="2:8" ht="20.100000000000001" customHeight="1">
      <c r="B171" s="118" t="str">
        <f t="shared" ca="1" si="2"/>
        <v/>
      </c>
      <c r="C171" s="13" t="str">
        <f ca="1">IFERROR(CONCATENATE(COPIA!DR164,COPIA!DX164),"")</f>
        <v/>
      </c>
      <c r="D171" s="24" t="str">
        <f ca="1">IF(IFERROR(IF(COPIA!DS164=0,"",VALUE(CONCATENATE(COPIA!DS164,COPIA!$DY164))),"")=0,"",IFERROR(IF(COPIA!DS164=0,"",VALUE(CONCATENATE(COPIA!DS164,COPIA!$DY164))),""))</f>
        <v/>
      </c>
      <c r="E171" s="24" t="str">
        <f ca="1">IF(IFERROR(IF(COPIA!DT164=0,"",VALUE(CONCATENATE(COPIA!DT164,COPIA!$DY164))),"")=0,"",IFERROR(IF(COPIA!DT164=0,"",VALUE(CONCATENATE(COPIA!DT164,COPIA!$DY164))),""))</f>
        <v/>
      </c>
      <c r="F171" s="24" t="str">
        <f ca="1">IF(IFERROR(IF(COPIA!DU164=0,"",VALUE(CONCATENATE(COPIA!DU164,COPIA!$DZ164))),"")=0,"",IFERROR(IF(COPIA!DU164=0,"",VALUE(CONCATENATE(COPIA!DU164,COPIA!$DZ164))),""))</f>
        <v/>
      </c>
      <c r="G171" s="24" t="str">
        <f ca="1">IF(IFERROR(IF(COPIA!DV164=0,"",VALUE(CONCATENATE(COPIA!DV164,COPIA!$DZ164))),"")=0,"",IFERROR(IF(COPIA!DV164=0,"",VALUE(CONCATENATE(COPIA!DV164,COPIA!$DZ164))),""))</f>
        <v/>
      </c>
      <c r="H171" s="6">
        <f ca="1">IFERROR(COPIA!DW164,"")</f>
        <v>0</v>
      </c>
    </row>
    <row r="172" spans="2:8" ht="20.100000000000001" customHeight="1">
      <c r="B172" s="118" t="str">
        <f t="shared" ca="1" si="2"/>
        <v/>
      </c>
      <c r="C172" s="13" t="str">
        <f ca="1">IFERROR(CONCATENATE(COPIA!DR165,COPIA!DX165),"")</f>
        <v/>
      </c>
      <c r="D172" s="24" t="str">
        <f ca="1">IF(IFERROR(IF(COPIA!DS165=0,"",VALUE(CONCATENATE(COPIA!DS165,COPIA!$DY165))),"")=0,"",IFERROR(IF(COPIA!DS165=0,"",VALUE(CONCATENATE(COPIA!DS165,COPIA!$DY165))),""))</f>
        <v/>
      </c>
      <c r="E172" s="24" t="str">
        <f ca="1">IF(IFERROR(IF(COPIA!DT165=0,"",VALUE(CONCATENATE(COPIA!DT165,COPIA!$DY165))),"")=0,"",IFERROR(IF(COPIA!DT165=0,"",VALUE(CONCATENATE(COPIA!DT165,COPIA!$DY165))),""))</f>
        <v/>
      </c>
      <c r="F172" s="24" t="str">
        <f ca="1">IF(IFERROR(IF(COPIA!DU165=0,"",VALUE(CONCATENATE(COPIA!DU165,COPIA!$DZ165))),"")=0,"",IFERROR(IF(COPIA!DU165=0,"",VALUE(CONCATENATE(COPIA!DU165,COPIA!$DZ165))),""))</f>
        <v/>
      </c>
      <c r="G172" s="24" t="str">
        <f ca="1">IF(IFERROR(IF(COPIA!DV165=0,"",VALUE(CONCATENATE(COPIA!DV165,COPIA!$DZ165))),"")=0,"",IFERROR(IF(COPIA!DV165=0,"",VALUE(CONCATENATE(COPIA!DV165,COPIA!$DZ165))),""))</f>
        <v/>
      </c>
      <c r="H172" s="6">
        <f ca="1">IFERROR(COPIA!DW165,"")</f>
        <v>0</v>
      </c>
    </row>
    <row r="173" spans="2:8" ht="20.100000000000001" customHeight="1">
      <c r="B173" s="118" t="str">
        <f t="shared" ca="1" si="2"/>
        <v/>
      </c>
      <c r="C173" s="13" t="str">
        <f ca="1">IFERROR(CONCATENATE(COPIA!DR166,COPIA!DX166),"")</f>
        <v/>
      </c>
      <c r="D173" s="24" t="str">
        <f ca="1">IF(IFERROR(IF(COPIA!DS166=0,"",VALUE(CONCATENATE(COPIA!DS166,COPIA!$DY166))),"")=0,"",IFERROR(IF(COPIA!DS166=0,"",VALUE(CONCATENATE(COPIA!DS166,COPIA!$DY166))),""))</f>
        <v/>
      </c>
      <c r="E173" s="24" t="str">
        <f ca="1">IF(IFERROR(IF(COPIA!DT166=0,"",VALUE(CONCATENATE(COPIA!DT166,COPIA!$DY166))),"")=0,"",IFERROR(IF(COPIA!DT166=0,"",VALUE(CONCATENATE(COPIA!DT166,COPIA!$DY166))),""))</f>
        <v/>
      </c>
      <c r="F173" s="24" t="str">
        <f ca="1">IF(IFERROR(IF(COPIA!DU166=0,"",VALUE(CONCATENATE(COPIA!DU166,COPIA!$DZ166))),"")=0,"",IFERROR(IF(COPIA!DU166=0,"",VALUE(CONCATENATE(COPIA!DU166,COPIA!$DZ166))),""))</f>
        <v/>
      </c>
      <c r="G173" s="24" t="str">
        <f ca="1">IF(IFERROR(IF(COPIA!DV166=0,"",VALUE(CONCATENATE(COPIA!DV166,COPIA!$DZ166))),"")=0,"",IFERROR(IF(COPIA!DV166=0,"",VALUE(CONCATENATE(COPIA!DV166,COPIA!$DZ166))),""))</f>
        <v/>
      </c>
      <c r="H173" s="6">
        <f ca="1">IFERROR(COPIA!DW166,"")</f>
        <v>0</v>
      </c>
    </row>
    <row r="174" spans="2:8" ht="20.100000000000001" customHeight="1">
      <c r="B174" s="118" t="str">
        <f t="shared" ca="1" si="2"/>
        <v/>
      </c>
      <c r="C174" s="13" t="str">
        <f ca="1">IFERROR(CONCATENATE(COPIA!DR167,COPIA!DX167),"")</f>
        <v/>
      </c>
      <c r="D174" s="24" t="str">
        <f ca="1">IF(IFERROR(IF(COPIA!DS167=0,"",VALUE(CONCATENATE(COPIA!DS167,COPIA!$DY167))),"")=0,"",IFERROR(IF(COPIA!DS167=0,"",VALUE(CONCATENATE(COPIA!DS167,COPIA!$DY167))),""))</f>
        <v/>
      </c>
      <c r="E174" s="24" t="str">
        <f ca="1">IF(IFERROR(IF(COPIA!DT167=0,"",VALUE(CONCATENATE(COPIA!DT167,COPIA!$DY167))),"")=0,"",IFERROR(IF(COPIA!DT167=0,"",VALUE(CONCATENATE(COPIA!DT167,COPIA!$DY167))),""))</f>
        <v/>
      </c>
      <c r="F174" s="24" t="str">
        <f ca="1">IF(IFERROR(IF(COPIA!DU167=0,"",VALUE(CONCATENATE(COPIA!DU167,COPIA!$DZ167))),"")=0,"",IFERROR(IF(COPIA!DU167=0,"",VALUE(CONCATENATE(COPIA!DU167,COPIA!$DZ167))),""))</f>
        <v/>
      </c>
      <c r="G174" s="24" t="str">
        <f ca="1">IF(IFERROR(IF(COPIA!DV167=0,"",VALUE(CONCATENATE(COPIA!DV167,COPIA!$DZ167))),"")=0,"",IFERROR(IF(COPIA!DV167=0,"",VALUE(CONCATENATE(COPIA!DV167,COPIA!$DZ167))),""))</f>
        <v/>
      </c>
      <c r="H174" s="6">
        <f ca="1">IFERROR(COPIA!DW167,"")</f>
        <v>0</v>
      </c>
    </row>
    <row r="175" spans="2:8" ht="20.100000000000001" customHeight="1">
      <c r="B175" s="118" t="str">
        <f t="shared" ca="1" si="2"/>
        <v/>
      </c>
      <c r="C175" s="13" t="str">
        <f ca="1">IFERROR(CONCATENATE(COPIA!DR168,COPIA!DX168),"")</f>
        <v/>
      </c>
      <c r="D175" s="24" t="str">
        <f ca="1">IF(IFERROR(IF(COPIA!DS168=0,"",VALUE(CONCATENATE(COPIA!DS168,COPIA!$DY168))),"")=0,"",IFERROR(IF(COPIA!DS168=0,"",VALUE(CONCATENATE(COPIA!DS168,COPIA!$DY168))),""))</f>
        <v/>
      </c>
      <c r="E175" s="24" t="str">
        <f ca="1">IF(IFERROR(IF(COPIA!DT168=0,"",VALUE(CONCATENATE(COPIA!DT168,COPIA!$DY168))),"")=0,"",IFERROR(IF(COPIA!DT168=0,"",VALUE(CONCATENATE(COPIA!DT168,COPIA!$DY168))),""))</f>
        <v/>
      </c>
      <c r="F175" s="24" t="str">
        <f ca="1">IF(IFERROR(IF(COPIA!DU168=0,"",VALUE(CONCATENATE(COPIA!DU168,COPIA!$DZ168))),"")=0,"",IFERROR(IF(COPIA!DU168=0,"",VALUE(CONCATENATE(COPIA!DU168,COPIA!$DZ168))),""))</f>
        <v/>
      </c>
      <c r="G175" s="24" t="str">
        <f ca="1">IF(IFERROR(IF(COPIA!DV168=0,"",VALUE(CONCATENATE(COPIA!DV168,COPIA!$DZ168))),"")=0,"",IFERROR(IF(COPIA!DV168=0,"",VALUE(CONCATENATE(COPIA!DV168,COPIA!$DZ168))),""))</f>
        <v/>
      </c>
      <c r="H175" s="6">
        <f ca="1">IFERROR(COPIA!DW168,"")</f>
        <v>0</v>
      </c>
    </row>
    <row r="176" spans="2:8" ht="20.100000000000001" customHeight="1">
      <c r="B176" s="118" t="str">
        <f t="shared" ca="1" si="2"/>
        <v/>
      </c>
      <c r="C176" s="13" t="str">
        <f ca="1">IFERROR(CONCATENATE(COPIA!DR169,COPIA!DX169),"")</f>
        <v/>
      </c>
      <c r="D176" s="24" t="str">
        <f ca="1">IF(IFERROR(IF(COPIA!DS169=0,"",VALUE(CONCATENATE(COPIA!DS169,COPIA!$DY169))),"")=0,"",IFERROR(IF(COPIA!DS169=0,"",VALUE(CONCATENATE(COPIA!DS169,COPIA!$DY169))),""))</f>
        <v/>
      </c>
      <c r="E176" s="24" t="str">
        <f ca="1">IF(IFERROR(IF(COPIA!DT169=0,"",VALUE(CONCATENATE(COPIA!DT169,COPIA!$DY169))),"")=0,"",IFERROR(IF(COPIA!DT169=0,"",VALUE(CONCATENATE(COPIA!DT169,COPIA!$DY169))),""))</f>
        <v/>
      </c>
      <c r="F176" s="24" t="str">
        <f ca="1">IF(IFERROR(IF(COPIA!DU169=0,"",VALUE(CONCATENATE(COPIA!DU169,COPIA!$DZ169))),"")=0,"",IFERROR(IF(COPIA!DU169=0,"",VALUE(CONCATENATE(COPIA!DU169,COPIA!$DZ169))),""))</f>
        <v/>
      </c>
      <c r="G176" s="24" t="str">
        <f ca="1">IF(IFERROR(IF(COPIA!DV169=0,"",VALUE(CONCATENATE(COPIA!DV169,COPIA!$DZ169))),"")=0,"",IFERROR(IF(COPIA!DV169=0,"",VALUE(CONCATENATE(COPIA!DV169,COPIA!$DZ169))),""))</f>
        <v/>
      </c>
      <c r="H176" s="6">
        <f ca="1">IFERROR(COPIA!DW169,"")</f>
        <v>0</v>
      </c>
    </row>
    <row r="177" spans="2:8" ht="20.100000000000001" customHeight="1">
      <c r="B177" s="118" t="str">
        <f t="shared" ca="1" si="2"/>
        <v/>
      </c>
      <c r="C177" s="13" t="str">
        <f ca="1">IFERROR(CONCATENATE(COPIA!DR170,COPIA!DX170),"")</f>
        <v/>
      </c>
      <c r="D177" s="24" t="str">
        <f ca="1">IF(IFERROR(IF(COPIA!DS170=0,"",VALUE(CONCATENATE(COPIA!DS170,COPIA!$DY170))),"")=0,"",IFERROR(IF(COPIA!DS170=0,"",VALUE(CONCATENATE(COPIA!DS170,COPIA!$DY170))),""))</f>
        <v/>
      </c>
      <c r="E177" s="24" t="str">
        <f ca="1">IF(IFERROR(IF(COPIA!DT170=0,"",VALUE(CONCATENATE(COPIA!DT170,COPIA!$DY170))),"")=0,"",IFERROR(IF(COPIA!DT170=0,"",VALUE(CONCATENATE(COPIA!DT170,COPIA!$DY170))),""))</f>
        <v/>
      </c>
      <c r="F177" s="24" t="str">
        <f ca="1">IF(IFERROR(IF(COPIA!DU170=0,"",VALUE(CONCATENATE(COPIA!DU170,COPIA!$DZ170))),"")=0,"",IFERROR(IF(COPIA!DU170=0,"",VALUE(CONCATENATE(COPIA!DU170,COPIA!$DZ170))),""))</f>
        <v/>
      </c>
      <c r="G177" s="24" t="str">
        <f ca="1">IF(IFERROR(IF(COPIA!DV170=0,"",VALUE(CONCATENATE(COPIA!DV170,COPIA!$DZ170))),"")=0,"",IFERROR(IF(COPIA!DV170=0,"",VALUE(CONCATENATE(COPIA!DV170,COPIA!$DZ170))),""))</f>
        <v/>
      </c>
      <c r="H177" s="6">
        <f ca="1">IFERROR(COPIA!DW170,"")</f>
        <v>0</v>
      </c>
    </row>
    <row r="178" spans="2:8" ht="20.100000000000001" customHeight="1">
      <c r="B178" s="118" t="str">
        <f t="shared" ca="1" si="2"/>
        <v/>
      </c>
      <c r="C178" s="13" t="str">
        <f ca="1">IFERROR(CONCATENATE(COPIA!DR171,COPIA!DX171),"")</f>
        <v/>
      </c>
      <c r="D178" s="24" t="str">
        <f ca="1">IF(IFERROR(IF(COPIA!DS171=0,"",VALUE(CONCATENATE(COPIA!DS171,COPIA!$DY171))),"")=0,"",IFERROR(IF(COPIA!DS171=0,"",VALUE(CONCATENATE(COPIA!DS171,COPIA!$DY171))),""))</f>
        <v/>
      </c>
      <c r="E178" s="24" t="str">
        <f ca="1">IF(IFERROR(IF(COPIA!DT171=0,"",VALUE(CONCATENATE(COPIA!DT171,COPIA!$DY171))),"")=0,"",IFERROR(IF(COPIA!DT171=0,"",VALUE(CONCATENATE(COPIA!DT171,COPIA!$DY171))),""))</f>
        <v/>
      </c>
      <c r="F178" s="24" t="str">
        <f ca="1">IF(IFERROR(IF(COPIA!DU171=0,"",VALUE(CONCATENATE(COPIA!DU171,COPIA!$DZ171))),"")=0,"",IFERROR(IF(COPIA!DU171=0,"",VALUE(CONCATENATE(COPIA!DU171,COPIA!$DZ171))),""))</f>
        <v/>
      </c>
      <c r="G178" s="24" t="str">
        <f ca="1">IF(IFERROR(IF(COPIA!DV171=0,"",VALUE(CONCATENATE(COPIA!DV171,COPIA!$DZ171))),"")=0,"",IFERROR(IF(COPIA!DV171=0,"",VALUE(CONCATENATE(COPIA!DV171,COPIA!$DZ171))),""))</f>
        <v/>
      </c>
      <c r="H178" s="6">
        <f ca="1">IFERROR(COPIA!DW171,"")</f>
        <v>0</v>
      </c>
    </row>
    <row r="179" spans="2:8" ht="20.100000000000001" customHeight="1">
      <c r="B179" s="118" t="str">
        <f t="shared" ca="1" si="2"/>
        <v/>
      </c>
      <c r="C179" s="13" t="str">
        <f ca="1">IFERROR(CONCATENATE(COPIA!DR172,COPIA!DX172),"")</f>
        <v/>
      </c>
      <c r="D179" s="24" t="str">
        <f ca="1">IF(IFERROR(IF(COPIA!DS172=0,"",VALUE(CONCATENATE(COPIA!DS172,COPIA!$DY172))),"")=0,"",IFERROR(IF(COPIA!DS172=0,"",VALUE(CONCATENATE(COPIA!DS172,COPIA!$DY172))),""))</f>
        <v/>
      </c>
      <c r="E179" s="24" t="str">
        <f ca="1">IF(IFERROR(IF(COPIA!DT172=0,"",VALUE(CONCATENATE(COPIA!DT172,COPIA!$DY172))),"")=0,"",IFERROR(IF(COPIA!DT172=0,"",VALUE(CONCATENATE(COPIA!DT172,COPIA!$DY172))),""))</f>
        <v/>
      </c>
      <c r="F179" s="24" t="str">
        <f ca="1">IF(IFERROR(IF(COPIA!DU172=0,"",VALUE(CONCATENATE(COPIA!DU172,COPIA!$DZ172))),"")=0,"",IFERROR(IF(COPIA!DU172=0,"",VALUE(CONCATENATE(COPIA!DU172,COPIA!$DZ172))),""))</f>
        <v/>
      </c>
      <c r="G179" s="24" t="str">
        <f ca="1">IF(IFERROR(IF(COPIA!DV172=0,"",VALUE(CONCATENATE(COPIA!DV172,COPIA!$DZ172))),"")=0,"",IFERROR(IF(COPIA!DV172=0,"",VALUE(CONCATENATE(COPIA!DV172,COPIA!$DZ172))),""))</f>
        <v/>
      </c>
      <c r="H179" s="6">
        <f ca="1">IFERROR(COPIA!DW172,"")</f>
        <v>0</v>
      </c>
    </row>
    <row r="180" spans="2:8" ht="20.100000000000001" customHeight="1">
      <c r="B180" s="118" t="str">
        <f t="shared" ca="1" si="2"/>
        <v/>
      </c>
      <c r="C180" s="13" t="str">
        <f ca="1">IFERROR(CONCATENATE(COPIA!DR173,COPIA!DX173),"")</f>
        <v/>
      </c>
      <c r="D180" s="24" t="str">
        <f ca="1">IF(IFERROR(IF(COPIA!DS173=0,"",VALUE(CONCATENATE(COPIA!DS173,COPIA!$DY173))),"")=0,"",IFERROR(IF(COPIA!DS173=0,"",VALUE(CONCATENATE(COPIA!DS173,COPIA!$DY173))),""))</f>
        <v/>
      </c>
      <c r="E180" s="24" t="str">
        <f ca="1">IF(IFERROR(IF(COPIA!DT173=0,"",VALUE(CONCATENATE(COPIA!DT173,COPIA!$DY173))),"")=0,"",IFERROR(IF(COPIA!DT173=0,"",VALUE(CONCATENATE(COPIA!DT173,COPIA!$DY173))),""))</f>
        <v/>
      </c>
      <c r="F180" s="24" t="str">
        <f ca="1">IF(IFERROR(IF(COPIA!DU173=0,"",VALUE(CONCATENATE(COPIA!DU173,COPIA!$DZ173))),"")=0,"",IFERROR(IF(COPIA!DU173=0,"",VALUE(CONCATENATE(COPIA!DU173,COPIA!$DZ173))),""))</f>
        <v/>
      </c>
      <c r="G180" s="24" t="str">
        <f ca="1">IF(IFERROR(IF(COPIA!DV173=0,"",VALUE(CONCATENATE(COPIA!DV173,COPIA!$DZ173))),"")=0,"",IFERROR(IF(COPIA!DV173=0,"",VALUE(CONCATENATE(COPIA!DV173,COPIA!$DZ173))),""))</f>
        <v/>
      </c>
      <c r="H180" s="6">
        <f ca="1">IFERROR(COPIA!DW173,"")</f>
        <v>0</v>
      </c>
    </row>
    <row r="181" spans="2:8" ht="20.100000000000001" customHeight="1">
      <c r="B181" s="118" t="str">
        <f t="shared" ca="1" si="2"/>
        <v/>
      </c>
      <c r="C181" s="13" t="str">
        <f ca="1">IFERROR(CONCATENATE(COPIA!DR174,COPIA!DX174),"")</f>
        <v/>
      </c>
      <c r="D181" s="24" t="str">
        <f ca="1">IF(IFERROR(IF(COPIA!DS174=0,"",VALUE(CONCATENATE(COPIA!DS174,COPIA!$DY174))),"")=0,"",IFERROR(IF(COPIA!DS174=0,"",VALUE(CONCATENATE(COPIA!DS174,COPIA!$DY174))),""))</f>
        <v/>
      </c>
      <c r="E181" s="24" t="str">
        <f ca="1">IF(IFERROR(IF(COPIA!DT174=0,"",VALUE(CONCATENATE(COPIA!DT174,COPIA!$DY174))),"")=0,"",IFERROR(IF(COPIA!DT174=0,"",VALUE(CONCATENATE(COPIA!DT174,COPIA!$DY174))),""))</f>
        <v/>
      </c>
      <c r="F181" s="24" t="str">
        <f ca="1">IF(IFERROR(IF(COPIA!DU174=0,"",VALUE(CONCATENATE(COPIA!DU174,COPIA!$DZ174))),"")=0,"",IFERROR(IF(COPIA!DU174=0,"",VALUE(CONCATENATE(COPIA!DU174,COPIA!$DZ174))),""))</f>
        <v/>
      </c>
      <c r="G181" s="24" t="str">
        <f ca="1">IF(IFERROR(IF(COPIA!DV174=0,"",VALUE(CONCATENATE(COPIA!DV174,COPIA!$DZ174))),"")=0,"",IFERROR(IF(COPIA!DV174=0,"",VALUE(CONCATENATE(COPIA!DV174,COPIA!$DZ174))),""))</f>
        <v/>
      </c>
      <c r="H181" s="6">
        <f ca="1">IFERROR(COPIA!DW174,"")</f>
        <v>0</v>
      </c>
    </row>
    <row r="182" spans="2:8" ht="20.100000000000001" customHeight="1">
      <c r="B182" s="118" t="str">
        <f t="shared" ca="1" si="2"/>
        <v/>
      </c>
      <c r="C182" s="13" t="str">
        <f ca="1">IFERROR(CONCATENATE(COPIA!DR175,COPIA!DX175),"")</f>
        <v/>
      </c>
      <c r="D182" s="24" t="str">
        <f ca="1">IF(IFERROR(IF(COPIA!DS175=0,"",VALUE(CONCATENATE(COPIA!DS175,COPIA!$DY175))),"")=0,"",IFERROR(IF(COPIA!DS175=0,"",VALUE(CONCATENATE(COPIA!DS175,COPIA!$DY175))),""))</f>
        <v/>
      </c>
      <c r="E182" s="24" t="str">
        <f ca="1">IF(IFERROR(IF(COPIA!DT175=0,"",VALUE(CONCATENATE(COPIA!DT175,COPIA!$DY175))),"")=0,"",IFERROR(IF(COPIA!DT175=0,"",VALUE(CONCATENATE(COPIA!DT175,COPIA!$DY175))),""))</f>
        <v/>
      </c>
      <c r="F182" s="24" t="str">
        <f ca="1">IF(IFERROR(IF(COPIA!DU175=0,"",VALUE(CONCATENATE(COPIA!DU175,COPIA!$DZ175))),"")=0,"",IFERROR(IF(COPIA!DU175=0,"",VALUE(CONCATENATE(COPIA!DU175,COPIA!$DZ175))),""))</f>
        <v/>
      </c>
      <c r="G182" s="24" t="str">
        <f ca="1">IF(IFERROR(IF(COPIA!DV175=0,"",VALUE(CONCATENATE(COPIA!DV175,COPIA!$DZ175))),"")=0,"",IFERROR(IF(COPIA!DV175=0,"",VALUE(CONCATENATE(COPIA!DV175,COPIA!$DZ175))),""))</f>
        <v/>
      </c>
      <c r="H182" s="6">
        <f ca="1">IFERROR(COPIA!DW175,"")</f>
        <v>0</v>
      </c>
    </row>
    <row r="183" spans="2:8" ht="20.100000000000001" customHeight="1">
      <c r="B183" s="118" t="str">
        <f t="shared" ca="1" si="2"/>
        <v/>
      </c>
      <c r="C183" s="13" t="str">
        <f ca="1">IFERROR(CONCATENATE(COPIA!DR176,COPIA!DX176),"")</f>
        <v/>
      </c>
      <c r="D183" s="24" t="str">
        <f ca="1">IF(IFERROR(IF(COPIA!DS176=0,"",VALUE(CONCATENATE(COPIA!DS176,COPIA!$DY176))),"")=0,"",IFERROR(IF(COPIA!DS176=0,"",VALUE(CONCATENATE(COPIA!DS176,COPIA!$DY176))),""))</f>
        <v/>
      </c>
      <c r="E183" s="24" t="str">
        <f ca="1">IF(IFERROR(IF(COPIA!DT176=0,"",VALUE(CONCATENATE(COPIA!DT176,COPIA!$DY176))),"")=0,"",IFERROR(IF(COPIA!DT176=0,"",VALUE(CONCATENATE(COPIA!DT176,COPIA!$DY176))),""))</f>
        <v/>
      </c>
      <c r="F183" s="24" t="str">
        <f ca="1">IF(IFERROR(IF(COPIA!DU176=0,"",VALUE(CONCATENATE(COPIA!DU176,COPIA!$DZ176))),"")=0,"",IFERROR(IF(COPIA!DU176=0,"",VALUE(CONCATENATE(COPIA!DU176,COPIA!$DZ176))),""))</f>
        <v/>
      </c>
      <c r="G183" s="24" t="str">
        <f ca="1">IF(IFERROR(IF(COPIA!DV176=0,"",VALUE(CONCATENATE(COPIA!DV176,COPIA!$DZ176))),"")=0,"",IFERROR(IF(COPIA!DV176=0,"",VALUE(CONCATENATE(COPIA!DV176,COPIA!$DZ176))),""))</f>
        <v/>
      </c>
      <c r="H183" s="6">
        <f ca="1">IFERROR(COPIA!DW176,"")</f>
        <v>0</v>
      </c>
    </row>
    <row r="184" spans="2:8" ht="20.100000000000001" customHeight="1">
      <c r="B184" s="118" t="str">
        <f t="shared" ca="1" si="2"/>
        <v/>
      </c>
      <c r="C184" s="13" t="str">
        <f ca="1">IFERROR(CONCATENATE(COPIA!DR177,COPIA!DX177),"")</f>
        <v/>
      </c>
      <c r="D184" s="24" t="str">
        <f ca="1">IF(IFERROR(IF(COPIA!DS177=0,"",VALUE(CONCATENATE(COPIA!DS177,COPIA!$DY177))),"")=0,"",IFERROR(IF(COPIA!DS177=0,"",VALUE(CONCATENATE(COPIA!DS177,COPIA!$DY177))),""))</f>
        <v/>
      </c>
      <c r="E184" s="24" t="str">
        <f ca="1">IF(IFERROR(IF(COPIA!DT177=0,"",VALUE(CONCATENATE(COPIA!DT177,COPIA!$DY177))),"")=0,"",IFERROR(IF(COPIA!DT177=0,"",VALUE(CONCATENATE(COPIA!DT177,COPIA!$DY177))),""))</f>
        <v/>
      </c>
      <c r="F184" s="24" t="str">
        <f ca="1">IF(IFERROR(IF(COPIA!DU177=0,"",VALUE(CONCATENATE(COPIA!DU177,COPIA!$DZ177))),"")=0,"",IFERROR(IF(COPIA!DU177=0,"",VALUE(CONCATENATE(COPIA!DU177,COPIA!$DZ177))),""))</f>
        <v/>
      </c>
      <c r="G184" s="24" t="str">
        <f ca="1">IF(IFERROR(IF(COPIA!DV177=0,"",VALUE(CONCATENATE(COPIA!DV177,COPIA!$DZ177))),"")=0,"",IFERROR(IF(COPIA!DV177=0,"",VALUE(CONCATENATE(COPIA!DV177,COPIA!$DZ177))),""))</f>
        <v/>
      </c>
      <c r="H184" s="6">
        <f ca="1">IFERROR(COPIA!DW177,"")</f>
        <v>0</v>
      </c>
    </row>
    <row r="185" spans="2:8" ht="20.100000000000001" customHeight="1">
      <c r="B185" s="118" t="str">
        <f t="shared" ca="1" si="2"/>
        <v/>
      </c>
      <c r="C185" s="13" t="str">
        <f ca="1">IFERROR(CONCATENATE(COPIA!DR178,COPIA!DX178),"")</f>
        <v/>
      </c>
      <c r="D185" s="24" t="str">
        <f ca="1">IF(IFERROR(IF(COPIA!DS178=0,"",VALUE(CONCATENATE(COPIA!DS178,COPIA!$DY178))),"")=0,"",IFERROR(IF(COPIA!DS178=0,"",VALUE(CONCATENATE(COPIA!DS178,COPIA!$DY178))),""))</f>
        <v/>
      </c>
      <c r="E185" s="24" t="str">
        <f ca="1">IF(IFERROR(IF(COPIA!DT178=0,"",VALUE(CONCATENATE(COPIA!DT178,COPIA!$DY178))),"")=0,"",IFERROR(IF(COPIA!DT178=0,"",VALUE(CONCATENATE(COPIA!DT178,COPIA!$DY178))),""))</f>
        <v/>
      </c>
      <c r="F185" s="24" t="str">
        <f ca="1">IF(IFERROR(IF(COPIA!DU178=0,"",VALUE(CONCATENATE(COPIA!DU178,COPIA!$DZ178))),"")=0,"",IFERROR(IF(COPIA!DU178=0,"",VALUE(CONCATENATE(COPIA!DU178,COPIA!$DZ178))),""))</f>
        <v/>
      </c>
      <c r="G185" s="24" t="str">
        <f ca="1">IF(IFERROR(IF(COPIA!DV178=0,"",VALUE(CONCATENATE(COPIA!DV178,COPIA!$DZ178))),"")=0,"",IFERROR(IF(COPIA!DV178=0,"",VALUE(CONCATENATE(COPIA!DV178,COPIA!$DZ178))),""))</f>
        <v/>
      </c>
      <c r="H185" s="6">
        <f ca="1">IFERROR(COPIA!DW178,"")</f>
        <v>0</v>
      </c>
    </row>
    <row r="186" spans="2:8" ht="20.100000000000001" customHeight="1">
      <c r="B186" s="118" t="str">
        <f t="shared" ca="1" si="2"/>
        <v/>
      </c>
      <c r="C186" s="13" t="str">
        <f ca="1">IFERROR(CONCATENATE(COPIA!DR179,COPIA!DX179),"")</f>
        <v/>
      </c>
      <c r="D186" s="24" t="str">
        <f ca="1">IF(IFERROR(IF(COPIA!DS179=0,"",VALUE(CONCATENATE(COPIA!DS179,COPIA!$DY179))),"")=0,"",IFERROR(IF(COPIA!DS179=0,"",VALUE(CONCATENATE(COPIA!DS179,COPIA!$DY179))),""))</f>
        <v/>
      </c>
      <c r="E186" s="24" t="str">
        <f ca="1">IF(IFERROR(IF(COPIA!DT179=0,"",VALUE(CONCATENATE(COPIA!DT179,COPIA!$DY179))),"")=0,"",IFERROR(IF(COPIA!DT179=0,"",VALUE(CONCATENATE(COPIA!DT179,COPIA!$DY179))),""))</f>
        <v/>
      </c>
      <c r="F186" s="24" t="str">
        <f ca="1">IF(IFERROR(IF(COPIA!DU179=0,"",VALUE(CONCATENATE(COPIA!DU179,COPIA!$DZ179))),"")=0,"",IFERROR(IF(COPIA!DU179=0,"",VALUE(CONCATENATE(COPIA!DU179,COPIA!$DZ179))),""))</f>
        <v/>
      </c>
      <c r="G186" s="24" t="str">
        <f ca="1">IF(IFERROR(IF(COPIA!DV179=0,"",VALUE(CONCATENATE(COPIA!DV179,COPIA!$DZ179))),"")=0,"",IFERROR(IF(COPIA!DV179=0,"",VALUE(CONCATENATE(COPIA!DV179,COPIA!$DZ179))),""))</f>
        <v/>
      </c>
      <c r="H186" s="6">
        <f ca="1">IFERROR(COPIA!DW179,"")</f>
        <v>0</v>
      </c>
    </row>
    <row r="187" spans="2:8" ht="20.100000000000001" customHeight="1">
      <c r="B187" s="118" t="str">
        <f t="shared" ca="1" si="2"/>
        <v/>
      </c>
      <c r="C187" s="13" t="str">
        <f ca="1">IFERROR(CONCATENATE(COPIA!DR180,COPIA!DX180),"")</f>
        <v/>
      </c>
      <c r="D187" s="24" t="str">
        <f ca="1">IF(IFERROR(IF(COPIA!DS180=0,"",VALUE(CONCATENATE(COPIA!DS180,COPIA!$DY180))),"")=0,"",IFERROR(IF(COPIA!DS180=0,"",VALUE(CONCATENATE(COPIA!DS180,COPIA!$DY180))),""))</f>
        <v/>
      </c>
      <c r="E187" s="24" t="str">
        <f ca="1">IF(IFERROR(IF(COPIA!DT180=0,"",VALUE(CONCATENATE(COPIA!DT180,COPIA!$DY180))),"")=0,"",IFERROR(IF(COPIA!DT180=0,"",VALUE(CONCATENATE(COPIA!DT180,COPIA!$DY180))),""))</f>
        <v/>
      </c>
      <c r="F187" s="24" t="str">
        <f ca="1">IF(IFERROR(IF(COPIA!DU180=0,"",VALUE(CONCATENATE(COPIA!DU180,COPIA!$DZ180))),"")=0,"",IFERROR(IF(COPIA!DU180=0,"",VALUE(CONCATENATE(COPIA!DU180,COPIA!$DZ180))),""))</f>
        <v/>
      </c>
      <c r="G187" s="24" t="str">
        <f ca="1">IF(IFERROR(IF(COPIA!DV180=0,"",VALUE(CONCATENATE(COPIA!DV180,COPIA!$DZ180))),"")=0,"",IFERROR(IF(COPIA!DV180=0,"",VALUE(CONCATENATE(COPIA!DV180,COPIA!$DZ180))),""))</f>
        <v/>
      </c>
      <c r="H187" s="6">
        <f ca="1">IFERROR(COPIA!DW180,"")</f>
        <v>0</v>
      </c>
    </row>
    <row r="188" spans="2:8" ht="20.100000000000001" customHeight="1">
      <c r="B188" s="118" t="str">
        <f t="shared" ca="1" si="2"/>
        <v/>
      </c>
      <c r="C188" s="13" t="str">
        <f ca="1">IFERROR(CONCATENATE(COPIA!DR181,COPIA!DX181),"")</f>
        <v/>
      </c>
      <c r="D188" s="24" t="str">
        <f ca="1">IF(IFERROR(IF(COPIA!DS181=0,"",VALUE(CONCATENATE(COPIA!DS181,COPIA!$DY181))),"")=0,"",IFERROR(IF(COPIA!DS181=0,"",VALUE(CONCATENATE(COPIA!DS181,COPIA!$DY181))),""))</f>
        <v/>
      </c>
      <c r="E188" s="24" t="str">
        <f ca="1">IF(IFERROR(IF(COPIA!DT181=0,"",VALUE(CONCATENATE(COPIA!DT181,COPIA!$DY181))),"")=0,"",IFERROR(IF(COPIA!DT181=0,"",VALUE(CONCATENATE(COPIA!DT181,COPIA!$DY181))),""))</f>
        <v/>
      </c>
      <c r="F188" s="24" t="str">
        <f ca="1">IF(IFERROR(IF(COPIA!DU181=0,"",VALUE(CONCATENATE(COPIA!DU181,COPIA!$DZ181))),"")=0,"",IFERROR(IF(COPIA!DU181=0,"",VALUE(CONCATENATE(COPIA!DU181,COPIA!$DZ181))),""))</f>
        <v/>
      </c>
      <c r="G188" s="24" t="str">
        <f ca="1">IF(IFERROR(IF(COPIA!DV181=0,"",VALUE(CONCATENATE(COPIA!DV181,COPIA!$DZ181))),"")=0,"",IFERROR(IF(COPIA!DV181=0,"",VALUE(CONCATENATE(COPIA!DV181,COPIA!$DZ181))),""))</f>
        <v/>
      </c>
      <c r="H188" s="6">
        <f ca="1">IFERROR(COPIA!DW181,"")</f>
        <v>0</v>
      </c>
    </row>
    <row r="189" spans="2:8" ht="20.100000000000001" customHeight="1">
      <c r="B189" s="118" t="str">
        <f t="shared" ca="1" si="2"/>
        <v/>
      </c>
      <c r="C189" s="13" t="str">
        <f ca="1">IFERROR(CONCATENATE(COPIA!DR182,COPIA!DX182),"")</f>
        <v/>
      </c>
      <c r="D189" s="24" t="str">
        <f ca="1">IF(IFERROR(IF(COPIA!DS182=0,"",VALUE(CONCATENATE(COPIA!DS182,COPIA!$DY182))),"")=0,"",IFERROR(IF(COPIA!DS182=0,"",VALUE(CONCATENATE(COPIA!DS182,COPIA!$DY182))),""))</f>
        <v/>
      </c>
      <c r="E189" s="24" t="str">
        <f ca="1">IF(IFERROR(IF(COPIA!DT182=0,"",VALUE(CONCATENATE(COPIA!DT182,COPIA!$DY182))),"")=0,"",IFERROR(IF(COPIA!DT182=0,"",VALUE(CONCATENATE(COPIA!DT182,COPIA!$DY182))),""))</f>
        <v/>
      </c>
      <c r="F189" s="24" t="str">
        <f ca="1">IF(IFERROR(IF(COPIA!DU182=0,"",VALUE(CONCATENATE(COPIA!DU182,COPIA!$DZ182))),"")=0,"",IFERROR(IF(COPIA!DU182=0,"",VALUE(CONCATENATE(COPIA!DU182,COPIA!$DZ182))),""))</f>
        <v/>
      </c>
      <c r="G189" s="24" t="str">
        <f ca="1">IF(IFERROR(IF(COPIA!DV182=0,"",VALUE(CONCATENATE(COPIA!DV182,COPIA!$DZ182))),"")=0,"",IFERROR(IF(COPIA!DV182=0,"",VALUE(CONCATENATE(COPIA!DV182,COPIA!$DZ182))),""))</f>
        <v/>
      </c>
      <c r="H189" s="6">
        <f ca="1">IFERROR(COPIA!DW182,"")</f>
        <v>0</v>
      </c>
    </row>
    <row r="190" spans="2:8" ht="20.100000000000001" customHeight="1">
      <c r="B190" s="118" t="str">
        <f t="shared" ca="1" si="2"/>
        <v/>
      </c>
      <c r="C190" s="13" t="str">
        <f ca="1">IFERROR(CONCATENATE(COPIA!DR183,COPIA!DX183),"")</f>
        <v/>
      </c>
      <c r="D190" s="24" t="str">
        <f ca="1">IF(IFERROR(IF(COPIA!DS183=0,"",VALUE(CONCATENATE(COPIA!DS183,COPIA!$DY183))),"")=0,"",IFERROR(IF(COPIA!DS183=0,"",VALUE(CONCATENATE(COPIA!DS183,COPIA!$DY183))),""))</f>
        <v/>
      </c>
      <c r="E190" s="24" t="str">
        <f ca="1">IF(IFERROR(IF(COPIA!DT183=0,"",VALUE(CONCATENATE(COPIA!DT183,COPIA!$DY183))),"")=0,"",IFERROR(IF(COPIA!DT183=0,"",VALUE(CONCATENATE(COPIA!DT183,COPIA!$DY183))),""))</f>
        <v/>
      </c>
      <c r="F190" s="24" t="str">
        <f ca="1">IF(IFERROR(IF(COPIA!DU183=0,"",VALUE(CONCATENATE(COPIA!DU183,COPIA!$DZ183))),"")=0,"",IFERROR(IF(COPIA!DU183=0,"",VALUE(CONCATENATE(COPIA!DU183,COPIA!$DZ183))),""))</f>
        <v/>
      </c>
      <c r="G190" s="24" t="str">
        <f ca="1">IF(IFERROR(IF(COPIA!DV183=0,"",VALUE(CONCATENATE(COPIA!DV183,COPIA!$DZ183))),"")=0,"",IFERROR(IF(COPIA!DV183=0,"",VALUE(CONCATENATE(COPIA!DV183,COPIA!$DZ183))),""))</f>
        <v/>
      </c>
      <c r="H190" s="6">
        <f ca="1">IFERROR(COPIA!DW183,"")</f>
        <v>0</v>
      </c>
    </row>
    <row r="191" spans="2:8" ht="20.100000000000001" customHeight="1">
      <c r="B191" s="118" t="str">
        <f t="shared" ca="1" si="2"/>
        <v/>
      </c>
      <c r="C191" s="13" t="str">
        <f ca="1">IFERROR(CONCATENATE(COPIA!DR184,COPIA!DX184),"")</f>
        <v/>
      </c>
      <c r="D191" s="24" t="str">
        <f ca="1">IF(IFERROR(IF(COPIA!DS184=0,"",VALUE(CONCATENATE(COPIA!DS184,COPIA!$DY184))),"")=0,"",IFERROR(IF(COPIA!DS184=0,"",VALUE(CONCATENATE(COPIA!DS184,COPIA!$DY184))),""))</f>
        <v/>
      </c>
      <c r="E191" s="24" t="str">
        <f ca="1">IF(IFERROR(IF(COPIA!DT184=0,"",VALUE(CONCATENATE(COPIA!DT184,COPIA!$DY184))),"")=0,"",IFERROR(IF(COPIA!DT184=0,"",VALUE(CONCATENATE(COPIA!DT184,COPIA!$DY184))),""))</f>
        <v/>
      </c>
      <c r="F191" s="24" t="str">
        <f ca="1">IF(IFERROR(IF(COPIA!DU184=0,"",VALUE(CONCATENATE(COPIA!DU184,COPIA!$DZ184))),"")=0,"",IFERROR(IF(COPIA!DU184=0,"",VALUE(CONCATENATE(COPIA!DU184,COPIA!$DZ184))),""))</f>
        <v/>
      </c>
      <c r="G191" s="24" t="str">
        <f ca="1">IF(IFERROR(IF(COPIA!DV184=0,"",VALUE(CONCATENATE(COPIA!DV184,COPIA!$DZ184))),"")=0,"",IFERROR(IF(COPIA!DV184=0,"",VALUE(CONCATENATE(COPIA!DV184,COPIA!$DZ184))),""))</f>
        <v/>
      </c>
      <c r="H191" s="6">
        <f ca="1">IFERROR(COPIA!DW184,"")</f>
        <v>0</v>
      </c>
    </row>
    <row r="192" spans="2:8" ht="20.100000000000001" customHeight="1">
      <c r="B192" s="118" t="str">
        <f t="shared" ca="1" si="2"/>
        <v/>
      </c>
      <c r="C192" s="13" t="str">
        <f ca="1">IFERROR(CONCATENATE(COPIA!DR185,COPIA!DX185),"")</f>
        <v/>
      </c>
      <c r="D192" s="24" t="str">
        <f ca="1">IF(IFERROR(IF(COPIA!DS185=0,"",VALUE(CONCATENATE(COPIA!DS185,COPIA!$DY185))),"")=0,"",IFERROR(IF(COPIA!DS185=0,"",VALUE(CONCATENATE(COPIA!DS185,COPIA!$DY185))),""))</f>
        <v/>
      </c>
      <c r="E192" s="24" t="str">
        <f ca="1">IF(IFERROR(IF(COPIA!DT185=0,"",VALUE(CONCATENATE(COPIA!DT185,COPIA!$DY185))),"")=0,"",IFERROR(IF(COPIA!DT185=0,"",VALUE(CONCATENATE(COPIA!DT185,COPIA!$DY185))),""))</f>
        <v/>
      </c>
      <c r="F192" s="24" t="str">
        <f ca="1">IF(IFERROR(IF(COPIA!DU185=0,"",VALUE(CONCATENATE(COPIA!DU185,COPIA!$DZ185))),"")=0,"",IFERROR(IF(COPIA!DU185=0,"",VALUE(CONCATENATE(COPIA!DU185,COPIA!$DZ185))),""))</f>
        <v/>
      </c>
      <c r="G192" s="24" t="str">
        <f ca="1">IF(IFERROR(IF(COPIA!DV185=0,"",VALUE(CONCATENATE(COPIA!DV185,COPIA!$DZ185))),"")=0,"",IFERROR(IF(COPIA!DV185=0,"",VALUE(CONCATENATE(COPIA!DV185,COPIA!$DZ185))),""))</f>
        <v/>
      </c>
      <c r="H192" s="6">
        <f ca="1">IFERROR(COPIA!DW185,"")</f>
        <v>0</v>
      </c>
    </row>
    <row r="193" spans="2:8" ht="20.100000000000001" customHeight="1">
      <c r="B193" s="118" t="str">
        <f t="shared" ca="1" si="2"/>
        <v/>
      </c>
      <c r="C193" s="13" t="str">
        <f ca="1">IFERROR(CONCATENATE(COPIA!DR186,COPIA!DX186),"")</f>
        <v/>
      </c>
      <c r="D193" s="24" t="str">
        <f ca="1">IF(IFERROR(IF(COPIA!DS186=0,"",VALUE(CONCATENATE(COPIA!DS186,COPIA!$DY186))),"")=0,"",IFERROR(IF(COPIA!DS186=0,"",VALUE(CONCATENATE(COPIA!DS186,COPIA!$DY186))),""))</f>
        <v/>
      </c>
      <c r="E193" s="24" t="str">
        <f ca="1">IF(IFERROR(IF(COPIA!DT186=0,"",VALUE(CONCATENATE(COPIA!DT186,COPIA!$DY186))),"")=0,"",IFERROR(IF(COPIA!DT186=0,"",VALUE(CONCATENATE(COPIA!DT186,COPIA!$DY186))),""))</f>
        <v/>
      </c>
      <c r="F193" s="24" t="str">
        <f ca="1">IF(IFERROR(IF(COPIA!DU186=0,"",VALUE(CONCATENATE(COPIA!DU186,COPIA!$DZ186))),"")=0,"",IFERROR(IF(COPIA!DU186=0,"",VALUE(CONCATENATE(COPIA!DU186,COPIA!$DZ186))),""))</f>
        <v/>
      </c>
      <c r="G193" s="24" t="str">
        <f ca="1">IF(IFERROR(IF(COPIA!DV186=0,"",VALUE(CONCATENATE(COPIA!DV186,COPIA!$DZ186))),"")=0,"",IFERROR(IF(COPIA!DV186=0,"",VALUE(CONCATENATE(COPIA!DV186,COPIA!$DZ186))),""))</f>
        <v/>
      </c>
      <c r="H193" s="6">
        <f ca="1">IFERROR(COPIA!DW186,"")</f>
        <v>0</v>
      </c>
    </row>
    <row r="194" spans="2:8" ht="20.100000000000001" customHeight="1">
      <c r="B194" s="118" t="str">
        <f t="shared" ca="1" si="2"/>
        <v/>
      </c>
      <c r="C194" s="13" t="str">
        <f ca="1">IFERROR(CONCATENATE(COPIA!DR187,COPIA!DX187),"")</f>
        <v/>
      </c>
      <c r="D194" s="24" t="str">
        <f ca="1">IF(IFERROR(IF(COPIA!DS187=0,"",VALUE(CONCATENATE(COPIA!DS187,COPIA!$DY187))),"")=0,"",IFERROR(IF(COPIA!DS187=0,"",VALUE(CONCATENATE(COPIA!DS187,COPIA!$DY187))),""))</f>
        <v/>
      </c>
      <c r="E194" s="24" t="str">
        <f ca="1">IF(IFERROR(IF(COPIA!DT187=0,"",VALUE(CONCATENATE(COPIA!DT187,COPIA!$DY187))),"")=0,"",IFERROR(IF(COPIA!DT187=0,"",VALUE(CONCATENATE(COPIA!DT187,COPIA!$DY187))),""))</f>
        <v/>
      </c>
      <c r="F194" s="24" t="str">
        <f ca="1">IF(IFERROR(IF(COPIA!DU187=0,"",VALUE(CONCATENATE(COPIA!DU187,COPIA!$DZ187))),"")=0,"",IFERROR(IF(COPIA!DU187=0,"",VALUE(CONCATENATE(COPIA!DU187,COPIA!$DZ187))),""))</f>
        <v/>
      </c>
      <c r="G194" s="24" t="str">
        <f ca="1">IF(IFERROR(IF(COPIA!DV187=0,"",VALUE(CONCATENATE(COPIA!DV187,COPIA!$DZ187))),"")=0,"",IFERROR(IF(COPIA!DV187=0,"",VALUE(CONCATENATE(COPIA!DV187,COPIA!$DZ187))),""))</f>
        <v/>
      </c>
      <c r="H194" s="6">
        <f ca="1">IFERROR(COPIA!DW187,"")</f>
        <v>0</v>
      </c>
    </row>
    <row r="195" spans="2:8" ht="20.100000000000001" customHeight="1">
      <c r="B195" s="118" t="str">
        <f t="shared" ca="1" si="2"/>
        <v/>
      </c>
      <c r="C195" s="13" t="str">
        <f ca="1">IFERROR(CONCATENATE(COPIA!DR188,COPIA!DX188),"")</f>
        <v/>
      </c>
      <c r="D195" s="24" t="str">
        <f ca="1">IF(IFERROR(IF(COPIA!DS188=0,"",VALUE(CONCATENATE(COPIA!DS188,COPIA!$DY188))),"")=0,"",IFERROR(IF(COPIA!DS188=0,"",VALUE(CONCATENATE(COPIA!DS188,COPIA!$DY188))),""))</f>
        <v/>
      </c>
      <c r="E195" s="24" t="str">
        <f ca="1">IF(IFERROR(IF(COPIA!DT188=0,"",VALUE(CONCATENATE(COPIA!DT188,COPIA!$DY188))),"")=0,"",IFERROR(IF(COPIA!DT188=0,"",VALUE(CONCATENATE(COPIA!DT188,COPIA!$DY188))),""))</f>
        <v/>
      </c>
      <c r="F195" s="24" t="str">
        <f ca="1">IF(IFERROR(IF(COPIA!DU188=0,"",VALUE(CONCATENATE(COPIA!DU188,COPIA!$DZ188))),"")=0,"",IFERROR(IF(COPIA!DU188=0,"",VALUE(CONCATENATE(COPIA!DU188,COPIA!$DZ188))),""))</f>
        <v/>
      </c>
      <c r="G195" s="24" t="str">
        <f ca="1">IF(IFERROR(IF(COPIA!DV188=0,"",VALUE(CONCATENATE(COPIA!DV188,COPIA!$DZ188))),"")=0,"",IFERROR(IF(COPIA!DV188=0,"",VALUE(CONCATENATE(COPIA!DV188,COPIA!$DZ188))),""))</f>
        <v/>
      </c>
      <c r="H195" s="6">
        <f ca="1">IFERROR(COPIA!DW188,"")</f>
        <v>0</v>
      </c>
    </row>
    <row r="196" spans="2:8" ht="20.100000000000001" customHeight="1">
      <c r="B196" s="118" t="str">
        <f t="shared" ca="1" si="2"/>
        <v/>
      </c>
      <c r="C196" s="13" t="str">
        <f ca="1">IFERROR(CONCATENATE(COPIA!DR189,COPIA!DX189),"")</f>
        <v/>
      </c>
      <c r="D196" s="24" t="str">
        <f ca="1">IF(IFERROR(IF(COPIA!DS189=0,"",VALUE(CONCATENATE(COPIA!DS189,COPIA!$DY189))),"")=0,"",IFERROR(IF(COPIA!DS189=0,"",VALUE(CONCATENATE(COPIA!DS189,COPIA!$DY189))),""))</f>
        <v/>
      </c>
      <c r="E196" s="24" t="str">
        <f ca="1">IF(IFERROR(IF(COPIA!DT189=0,"",VALUE(CONCATENATE(COPIA!DT189,COPIA!$DY189))),"")=0,"",IFERROR(IF(COPIA!DT189=0,"",VALUE(CONCATENATE(COPIA!DT189,COPIA!$DY189))),""))</f>
        <v/>
      </c>
      <c r="F196" s="24" t="str">
        <f ca="1">IF(IFERROR(IF(COPIA!DU189=0,"",VALUE(CONCATENATE(COPIA!DU189,COPIA!$DZ189))),"")=0,"",IFERROR(IF(COPIA!DU189=0,"",VALUE(CONCATENATE(COPIA!DU189,COPIA!$DZ189))),""))</f>
        <v/>
      </c>
      <c r="G196" s="24" t="str">
        <f ca="1">IF(IFERROR(IF(COPIA!DV189=0,"",VALUE(CONCATENATE(COPIA!DV189,COPIA!$DZ189))),"")=0,"",IFERROR(IF(COPIA!DV189=0,"",VALUE(CONCATENATE(COPIA!DV189,COPIA!$DZ189))),""))</f>
        <v/>
      </c>
      <c r="H196" s="6">
        <f ca="1">IFERROR(COPIA!DW189,"")</f>
        <v>0</v>
      </c>
    </row>
    <row r="197" spans="2:8" ht="20.100000000000001" customHeight="1">
      <c r="B197" s="118" t="str">
        <f t="shared" ca="1" si="2"/>
        <v/>
      </c>
      <c r="C197" s="13" t="str">
        <f ca="1">IFERROR(CONCATENATE(COPIA!DR190,COPIA!DX190),"")</f>
        <v/>
      </c>
      <c r="D197" s="24" t="str">
        <f ca="1">IF(IFERROR(IF(COPIA!DS190=0,"",VALUE(CONCATENATE(COPIA!DS190,COPIA!$DY190))),"")=0,"",IFERROR(IF(COPIA!DS190=0,"",VALUE(CONCATENATE(COPIA!DS190,COPIA!$DY190))),""))</f>
        <v/>
      </c>
      <c r="E197" s="24" t="str">
        <f ca="1">IF(IFERROR(IF(COPIA!DT190=0,"",VALUE(CONCATENATE(COPIA!DT190,COPIA!$DY190))),"")=0,"",IFERROR(IF(COPIA!DT190=0,"",VALUE(CONCATENATE(COPIA!DT190,COPIA!$DY190))),""))</f>
        <v/>
      </c>
      <c r="F197" s="24" t="str">
        <f ca="1">IF(IFERROR(IF(COPIA!DU190=0,"",VALUE(CONCATENATE(COPIA!DU190,COPIA!$DZ190))),"")=0,"",IFERROR(IF(COPIA!DU190=0,"",VALUE(CONCATENATE(COPIA!DU190,COPIA!$DZ190))),""))</f>
        <v/>
      </c>
      <c r="G197" s="24" t="str">
        <f ca="1">IF(IFERROR(IF(COPIA!DV190=0,"",VALUE(CONCATENATE(COPIA!DV190,COPIA!$DZ190))),"")=0,"",IFERROR(IF(COPIA!DV190=0,"",VALUE(CONCATENATE(COPIA!DV190,COPIA!$DZ190))),""))</f>
        <v/>
      </c>
      <c r="H197" s="6">
        <f ca="1">IFERROR(COPIA!DW190,"")</f>
        <v>0</v>
      </c>
    </row>
    <row r="198" spans="2:8" ht="20.100000000000001" customHeight="1">
      <c r="B198" s="118" t="str">
        <f t="shared" ca="1" si="2"/>
        <v/>
      </c>
      <c r="C198" s="13" t="str">
        <f ca="1">IFERROR(CONCATENATE(COPIA!DR191,COPIA!DX191),"")</f>
        <v/>
      </c>
      <c r="D198" s="24" t="str">
        <f ca="1">IF(IFERROR(IF(COPIA!DS191=0,"",VALUE(CONCATENATE(COPIA!DS191,COPIA!$DY191))),"")=0,"",IFERROR(IF(COPIA!DS191=0,"",VALUE(CONCATENATE(COPIA!DS191,COPIA!$DY191))),""))</f>
        <v/>
      </c>
      <c r="E198" s="24" t="str">
        <f ca="1">IF(IFERROR(IF(COPIA!DT191=0,"",VALUE(CONCATENATE(COPIA!DT191,COPIA!$DY191))),"")=0,"",IFERROR(IF(COPIA!DT191=0,"",VALUE(CONCATENATE(COPIA!DT191,COPIA!$DY191))),""))</f>
        <v/>
      </c>
      <c r="F198" s="24" t="str">
        <f ca="1">IF(IFERROR(IF(COPIA!DU191=0,"",VALUE(CONCATENATE(COPIA!DU191,COPIA!$DZ191))),"")=0,"",IFERROR(IF(COPIA!DU191=0,"",VALUE(CONCATENATE(COPIA!DU191,COPIA!$DZ191))),""))</f>
        <v/>
      </c>
      <c r="G198" s="24" t="str">
        <f ca="1">IF(IFERROR(IF(COPIA!DV191=0,"",VALUE(CONCATENATE(COPIA!DV191,COPIA!$DZ191))),"")=0,"",IFERROR(IF(COPIA!DV191=0,"",VALUE(CONCATENATE(COPIA!DV191,COPIA!$DZ191))),""))</f>
        <v/>
      </c>
      <c r="H198" s="6">
        <f ca="1">IFERROR(COPIA!DW191,"")</f>
        <v>0</v>
      </c>
    </row>
    <row r="199" spans="2:8" ht="20.100000000000001" customHeight="1">
      <c r="B199" s="118" t="str">
        <f t="shared" ca="1" si="2"/>
        <v/>
      </c>
      <c r="C199" s="13" t="str">
        <f ca="1">IFERROR(CONCATENATE(COPIA!DR192,COPIA!DX192),"")</f>
        <v/>
      </c>
      <c r="D199" s="24" t="str">
        <f ca="1">IF(IFERROR(IF(COPIA!DS192=0,"",VALUE(CONCATENATE(COPIA!DS192,COPIA!$DY192))),"")=0,"",IFERROR(IF(COPIA!DS192=0,"",VALUE(CONCATENATE(COPIA!DS192,COPIA!$DY192))),""))</f>
        <v/>
      </c>
      <c r="E199" s="24" t="str">
        <f ca="1">IF(IFERROR(IF(COPIA!DT192=0,"",VALUE(CONCATENATE(COPIA!DT192,COPIA!$DY192))),"")=0,"",IFERROR(IF(COPIA!DT192=0,"",VALUE(CONCATENATE(COPIA!DT192,COPIA!$DY192))),""))</f>
        <v/>
      </c>
      <c r="F199" s="24" t="str">
        <f ca="1">IF(IFERROR(IF(COPIA!DU192=0,"",VALUE(CONCATENATE(COPIA!DU192,COPIA!$DZ192))),"")=0,"",IFERROR(IF(COPIA!DU192=0,"",VALUE(CONCATENATE(COPIA!DU192,COPIA!$DZ192))),""))</f>
        <v/>
      </c>
      <c r="G199" s="24" t="str">
        <f ca="1">IF(IFERROR(IF(COPIA!DV192=0,"",VALUE(CONCATENATE(COPIA!DV192,COPIA!$DZ192))),"")=0,"",IFERROR(IF(COPIA!DV192=0,"",VALUE(CONCATENATE(COPIA!DV192,COPIA!$DZ192))),""))</f>
        <v/>
      </c>
      <c r="H199" s="6">
        <f ca="1">IFERROR(COPIA!DW192,"")</f>
        <v>0</v>
      </c>
    </row>
    <row r="200" spans="2:8" ht="20.100000000000001" customHeight="1">
      <c r="B200" s="118" t="str">
        <f t="shared" ca="1" si="2"/>
        <v/>
      </c>
      <c r="C200" s="13" t="str">
        <f ca="1">IFERROR(CONCATENATE(COPIA!DR193,COPIA!DX193),"")</f>
        <v/>
      </c>
      <c r="D200" s="24" t="str">
        <f ca="1">IF(IFERROR(IF(COPIA!DS193=0,"",VALUE(CONCATENATE(COPIA!DS193,COPIA!$DY193))),"")=0,"",IFERROR(IF(COPIA!DS193=0,"",VALUE(CONCATENATE(COPIA!DS193,COPIA!$DY193))),""))</f>
        <v/>
      </c>
      <c r="E200" s="24" t="str">
        <f ca="1">IF(IFERROR(IF(COPIA!DT193=0,"",VALUE(CONCATENATE(COPIA!DT193,COPIA!$DY193))),"")=0,"",IFERROR(IF(COPIA!DT193=0,"",VALUE(CONCATENATE(COPIA!DT193,COPIA!$DY193))),""))</f>
        <v/>
      </c>
      <c r="F200" s="24" t="str">
        <f ca="1">IF(IFERROR(IF(COPIA!DU193=0,"",VALUE(CONCATENATE(COPIA!DU193,COPIA!$DZ193))),"")=0,"",IFERROR(IF(COPIA!DU193=0,"",VALUE(CONCATENATE(COPIA!DU193,COPIA!$DZ193))),""))</f>
        <v/>
      </c>
      <c r="G200" s="24" t="str">
        <f ca="1">IF(IFERROR(IF(COPIA!DV193=0,"",VALUE(CONCATENATE(COPIA!DV193,COPIA!$DZ193))),"")=0,"",IFERROR(IF(COPIA!DV193=0,"",VALUE(CONCATENATE(COPIA!DV193,COPIA!$DZ193))),""))</f>
        <v/>
      </c>
      <c r="H200" s="6">
        <f ca="1">IFERROR(COPIA!DW193,"")</f>
        <v>0</v>
      </c>
    </row>
    <row r="201" spans="2:8" ht="20.100000000000001" customHeight="1">
      <c r="B201" s="118" t="str">
        <f t="shared" ca="1" si="2"/>
        <v/>
      </c>
      <c r="C201" s="13" t="str">
        <f ca="1">IFERROR(CONCATENATE(COPIA!DR194,COPIA!DX194),"")</f>
        <v/>
      </c>
      <c r="D201" s="24" t="str">
        <f ca="1">IF(IFERROR(IF(COPIA!DS194=0,"",VALUE(CONCATENATE(COPIA!DS194,COPIA!$DY194))),"")=0,"",IFERROR(IF(COPIA!DS194=0,"",VALUE(CONCATENATE(COPIA!DS194,COPIA!$DY194))),""))</f>
        <v/>
      </c>
      <c r="E201" s="24" t="str">
        <f ca="1">IF(IFERROR(IF(COPIA!DT194=0,"",VALUE(CONCATENATE(COPIA!DT194,COPIA!$DY194))),"")=0,"",IFERROR(IF(COPIA!DT194=0,"",VALUE(CONCATENATE(COPIA!DT194,COPIA!$DY194))),""))</f>
        <v/>
      </c>
      <c r="F201" s="24" t="str">
        <f ca="1">IF(IFERROR(IF(COPIA!DU194=0,"",VALUE(CONCATENATE(COPIA!DU194,COPIA!$DZ194))),"")=0,"",IFERROR(IF(COPIA!DU194=0,"",VALUE(CONCATENATE(COPIA!DU194,COPIA!$DZ194))),""))</f>
        <v/>
      </c>
      <c r="G201" s="24" t="str">
        <f ca="1">IF(IFERROR(IF(COPIA!DV194=0,"",VALUE(CONCATENATE(COPIA!DV194,COPIA!$DZ194))),"")=0,"",IFERROR(IF(COPIA!DV194=0,"",VALUE(CONCATENATE(COPIA!DV194,COPIA!$DZ194))),""))</f>
        <v/>
      </c>
      <c r="H201" s="6">
        <f ca="1">IFERROR(COPIA!DW194,"")</f>
        <v>0</v>
      </c>
    </row>
    <row r="202" spans="2:8" ht="20.100000000000001" customHeight="1">
      <c r="B202" s="118" t="str">
        <f t="shared" ref="B202:B227" ca="1" si="3">IFERROR(INDEX(PIANO_DEI_CONTI,MATCH(C202,DENOMINAZIONE,0),1),"")</f>
        <v/>
      </c>
      <c r="C202" s="13" t="str">
        <f ca="1">IFERROR(CONCATENATE(COPIA!DR195,COPIA!DX195),"")</f>
        <v/>
      </c>
      <c r="D202" s="24" t="str">
        <f ca="1">IF(IFERROR(IF(COPIA!DS195=0,"",VALUE(CONCATENATE(COPIA!DS195,COPIA!$DY195))),"")=0,"",IFERROR(IF(COPIA!DS195=0,"",VALUE(CONCATENATE(COPIA!DS195,COPIA!$DY195))),""))</f>
        <v/>
      </c>
      <c r="E202" s="24" t="str">
        <f ca="1">IF(IFERROR(IF(COPIA!DT195=0,"",VALUE(CONCATENATE(COPIA!DT195,COPIA!$DY195))),"")=0,"",IFERROR(IF(COPIA!DT195=0,"",VALUE(CONCATENATE(COPIA!DT195,COPIA!$DY195))),""))</f>
        <v/>
      </c>
      <c r="F202" s="24" t="str">
        <f ca="1">IF(IFERROR(IF(COPIA!DU195=0,"",VALUE(CONCATENATE(COPIA!DU195,COPIA!$DZ195))),"")=0,"",IFERROR(IF(COPIA!DU195=0,"",VALUE(CONCATENATE(COPIA!DU195,COPIA!$DZ195))),""))</f>
        <v/>
      </c>
      <c r="G202" s="24" t="str">
        <f ca="1">IF(IFERROR(IF(COPIA!DV195=0,"",VALUE(CONCATENATE(COPIA!DV195,COPIA!$DZ195))),"")=0,"",IFERROR(IF(COPIA!DV195=0,"",VALUE(CONCATENATE(COPIA!DV195,COPIA!$DZ195))),""))</f>
        <v/>
      </c>
      <c r="H202" s="6">
        <f ca="1">IFERROR(COPIA!DW195,"")</f>
        <v>0</v>
      </c>
    </row>
    <row r="203" spans="2:8" ht="20.100000000000001" customHeight="1">
      <c r="B203" s="118" t="str">
        <f t="shared" ca="1" si="3"/>
        <v/>
      </c>
      <c r="C203" s="13" t="str">
        <f ca="1">IFERROR(CONCATENATE(COPIA!DR196,COPIA!DX196),"")</f>
        <v/>
      </c>
      <c r="D203" s="24" t="str">
        <f ca="1">IF(IFERROR(IF(COPIA!DS196=0,"",VALUE(CONCATENATE(COPIA!DS196,COPIA!$DY196))),"")=0,"",IFERROR(IF(COPIA!DS196=0,"",VALUE(CONCATENATE(COPIA!DS196,COPIA!$DY196))),""))</f>
        <v/>
      </c>
      <c r="E203" s="24" t="str">
        <f ca="1">IF(IFERROR(IF(COPIA!DT196=0,"",VALUE(CONCATENATE(COPIA!DT196,COPIA!$DY196))),"")=0,"",IFERROR(IF(COPIA!DT196=0,"",VALUE(CONCATENATE(COPIA!DT196,COPIA!$DY196))),""))</f>
        <v/>
      </c>
      <c r="F203" s="24" t="str">
        <f ca="1">IF(IFERROR(IF(COPIA!DU196=0,"",VALUE(CONCATENATE(COPIA!DU196,COPIA!$DZ196))),"")=0,"",IFERROR(IF(COPIA!DU196=0,"",VALUE(CONCATENATE(COPIA!DU196,COPIA!$DZ196))),""))</f>
        <v/>
      </c>
      <c r="G203" s="24" t="str">
        <f ca="1">IF(IFERROR(IF(COPIA!DV196=0,"",VALUE(CONCATENATE(COPIA!DV196,COPIA!$DZ196))),"")=0,"",IFERROR(IF(COPIA!DV196=0,"",VALUE(CONCATENATE(COPIA!DV196,COPIA!$DZ196))),""))</f>
        <v/>
      </c>
      <c r="H203" s="6">
        <f ca="1">IFERROR(COPIA!DW196,"")</f>
        <v>0</v>
      </c>
    </row>
    <row r="204" spans="2:8" ht="20.100000000000001" customHeight="1">
      <c r="B204" s="118" t="str">
        <f t="shared" ca="1" si="3"/>
        <v/>
      </c>
      <c r="C204" s="13" t="str">
        <f ca="1">IFERROR(CONCATENATE(COPIA!DR197,COPIA!DX197),"")</f>
        <v/>
      </c>
      <c r="D204" s="24" t="str">
        <f ca="1">IF(IFERROR(IF(COPIA!DS197=0,"",VALUE(CONCATENATE(COPIA!DS197,COPIA!$DY197))),"")=0,"",IFERROR(IF(COPIA!DS197=0,"",VALUE(CONCATENATE(COPIA!DS197,COPIA!$DY197))),""))</f>
        <v/>
      </c>
      <c r="E204" s="24" t="str">
        <f ca="1">IF(IFERROR(IF(COPIA!DT197=0,"",VALUE(CONCATENATE(COPIA!DT197,COPIA!$DY197))),"")=0,"",IFERROR(IF(COPIA!DT197=0,"",VALUE(CONCATENATE(COPIA!DT197,COPIA!$DY197))),""))</f>
        <v/>
      </c>
      <c r="F204" s="24" t="str">
        <f ca="1">IF(IFERROR(IF(COPIA!DU197=0,"",VALUE(CONCATENATE(COPIA!DU197,COPIA!$DZ197))),"")=0,"",IFERROR(IF(COPIA!DU197=0,"",VALUE(CONCATENATE(COPIA!DU197,COPIA!$DZ197))),""))</f>
        <v/>
      </c>
      <c r="G204" s="24" t="str">
        <f ca="1">IF(IFERROR(IF(COPIA!DV197=0,"",VALUE(CONCATENATE(COPIA!DV197,COPIA!$DZ197))),"")=0,"",IFERROR(IF(COPIA!DV197=0,"",VALUE(CONCATENATE(COPIA!DV197,COPIA!$DZ197))),""))</f>
        <v/>
      </c>
      <c r="H204" s="6">
        <f ca="1">IFERROR(COPIA!DW197,"")</f>
        <v>0</v>
      </c>
    </row>
    <row r="205" spans="2:8">
      <c r="B205" s="118" t="str">
        <f t="shared" ca="1" si="3"/>
        <v/>
      </c>
      <c r="C205" s="13" t="str">
        <f ca="1">IFERROR(CONCATENATE(COPIA!DR198,COPIA!DX198),"")</f>
        <v/>
      </c>
      <c r="D205" s="24" t="str">
        <f ca="1">IF(IFERROR(IF(COPIA!DS198=0,"",VALUE(CONCATENATE(COPIA!DS198,COPIA!$DY198))),"")=0,"",IFERROR(IF(COPIA!DS198=0,"",VALUE(CONCATENATE(COPIA!DS198,COPIA!$DY198))),""))</f>
        <v/>
      </c>
      <c r="E205" s="24" t="str">
        <f ca="1">IF(IFERROR(IF(COPIA!DT198=0,"",VALUE(CONCATENATE(COPIA!DT198,COPIA!$DY198))),"")=0,"",IFERROR(IF(COPIA!DT198=0,"",VALUE(CONCATENATE(COPIA!DT198,COPIA!$DY198))),""))</f>
        <v/>
      </c>
      <c r="F205" s="24" t="str">
        <f ca="1">IF(IFERROR(IF(COPIA!DU198=0,"",VALUE(CONCATENATE(COPIA!DU198,COPIA!$DZ198))),"")=0,"",IFERROR(IF(COPIA!DU198=0,"",VALUE(CONCATENATE(COPIA!DU198,COPIA!$DZ198))),""))</f>
        <v/>
      </c>
      <c r="G205" s="24" t="str">
        <f ca="1">IF(IFERROR(IF(COPIA!DV198=0,"",VALUE(CONCATENATE(COPIA!DV198,COPIA!$DZ198))),"")=0,"",IFERROR(IF(COPIA!DV198=0,"",VALUE(CONCATENATE(COPIA!DV198,COPIA!$DZ198))),""))</f>
        <v/>
      </c>
      <c r="H205" s="6">
        <f ca="1">IFERROR(COPIA!DW198,"")</f>
        <v>0</v>
      </c>
    </row>
    <row r="206" spans="2:8">
      <c r="B206" s="118" t="str">
        <f t="shared" ca="1" si="3"/>
        <v/>
      </c>
      <c r="C206" s="13" t="str">
        <f ca="1">IFERROR(CONCATENATE(COPIA!DR199,COPIA!DX199),"")</f>
        <v/>
      </c>
      <c r="D206" s="24" t="str">
        <f ca="1">IF(IFERROR(IF(COPIA!DS199=0,"",VALUE(CONCATENATE(COPIA!DS199,COPIA!$DY199))),"")=0,"",IFERROR(IF(COPIA!DS199=0,"",VALUE(CONCATENATE(COPIA!DS199,COPIA!$DY199))),""))</f>
        <v/>
      </c>
      <c r="E206" s="24" t="str">
        <f ca="1">IF(IFERROR(IF(COPIA!DT199=0,"",VALUE(CONCATENATE(COPIA!DT199,COPIA!$DY199))),"")=0,"",IFERROR(IF(COPIA!DT199=0,"",VALUE(CONCATENATE(COPIA!DT199,COPIA!$DY199))),""))</f>
        <v/>
      </c>
      <c r="F206" s="24" t="str">
        <f ca="1">IF(IFERROR(IF(COPIA!DU199=0,"",VALUE(CONCATENATE(COPIA!DU199,COPIA!$DZ199))),"")=0,"",IFERROR(IF(COPIA!DU199=0,"",VALUE(CONCATENATE(COPIA!DU199,COPIA!$DZ199))),""))</f>
        <v/>
      </c>
      <c r="G206" s="24" t="str">
        <f ca="1">IF(IFERROR(IF(COPIA!DV199=0,"",VALUE(CONCATENATE(COPIA!DV199,COPIA!$DZ199))),"")=0,"",IFERROR(IF(COPIA!DV199=0,"",VALUE(CONCATENATE(COPIA!DV199,COPIA!$DZ199))),""))</f>
        <v/>
      </c>
      <c r="H206" s="6">
        <f ca="1">IFERROR(COPIA!DW199,"")</f>
        <v>0</v>
      </c>
    </row>
    <row r="207" spans="2:8">
      <c r="B207" s="118" t="str">
        <f t="shared" ca="1" si="3"/>
        <v/>
      </c>
      <c r="C207" s="13" t="str">
        <f ca="1">IFERROR(CONCATENATE(COPIA!DR200,COPIA!DX200),"")</f>
        <v/>
      </c>
      <c r="D207" s="24" t="str">
        <f ca="1">IF(IFERROR(IF(COPIA!DS200=0,"",VALUE(CONCATENATE(COPIA!DS200,COPIA!$DY200))),"")=0,"",IFERROR(IF(COPIA!DS200=0,"",VALUE(CONCATENATE(COPIA!DS200,COPIA!$DY200))),""))</f>
        <v/>
      </c>
      <c r="E207" s="24" t="str">
        <f ca="1">IF(IFERROR(IF(COPIA!DT200=0,"",VALUE(CONCATENATE(COPIA!DT200,COPIA!$DY200))),"")=0,"",IFERROR(IF(COPIA!DT200=0,"",VALUE(CONCATENATE(COPIA!DT200,COPIA!$DY200))),""))</f>
        <v/>
      </c>
      <c r="F207" s="24" t="str">
        <f ca="1">IF(IFERROR(IF(COPIA!DU200=0,"",VALUE(CONCATENATE(COPIA!DU200,COPIA!$DZ200))),"")=0,"",IFERROR(IF(COPIA!DU200=0,"",VALUE(CONCATENATE(COPIA!DU200,COPIA!$DZ200))),""))</f>
        <v/>
      </c>
      <c r="G207" s="24" t="str">
        <f ca="1">IF(IFERROR(IF(COPIA!DV200=0,"",VALUE(CONCATENATE(COPIA!DV200,COPIA!$DZ200))),"")=0,"",IFERROR(IF(COPIA!DV200=0,"",VALUE(CONCATENATE(COPIA!DV200,COPIA!$DZ200))),""))</f>
        <v/>
      </c>
      <c r="H207" s="6">
        <f ca="1">IFERROR(COPIA!DW200,"")</f>
        <v>0</v>
      </c>
    </row>
    <row r="208" spans="2:8">
      <c r="B208" s="118" t="str">
        <f t="shared" ca="1" si="3"/>
        <v/>
      </c>
      <c r="C208" s="13" t="str">
        <f ca="1">IFERROR(CONCATENATE(COPIA!DR201,COPIA!DX201),"")</f>
        <v/>
      </c>
      <c r="D208" s="24" t="str">
        <f ca="1">IF(IFERROR(IF(COPIA!DS201=0,"",VALUE(CONCATENATE(COPIA!DS201,COPIA!$DY201))),"")=0,"",IFERROR(IF(COPIA!DS201=0,"",VALUE(CONCATENATE(COPIA!DS201,COPIA!$DY201))),""))</f>
        <v/>
      </c>
      <c r="E208" s="24" t="str">
        <f ca="1">IF(IFERROR(IF(COPIA!DT201=0,"",VALUE(CONCATENATE(COPIA!DT201,COPIA!$DY201))),"")=0,"",IFERROR(IF(COPIA!DT201=0,"",VALUE(CONCATENATE(COPIA!DT201,COPIA!$DY201))),""))</f>
        <v/>
      </c>
      <c r="F208" s="24" t="str">
        <f ca="1">IF(IFERROR(IF(COPIA!DU201=0,"",VALUE(CONCATENATE(COPIA!DU201,COPIA!$DZ201))),"")=0,"",IFERROR(IF(COPIA!DU201=0,"",VALUE(CONCATENATE(COPIA!DU201,COPIA!$DZ201))),""))</f>
        <v/>
      </c>
      <c r="G208" s="24" t="str">
        <f ca="1">IF(IFERROR(IF(COPIA!DV201=0,"",VALUE(CONCATENATE(COPIA!DV201,COPIA!$DZ201))),"")=0,"",IFERROR(IF(COPIA!DV201=0,"",VALUE(CONCATENATE(COPIA!DV201,COPIA!$DZ201))),""))</f>
        <v/>
      </c>
      <c r="H208" s="6">
        <f ca="1">IFERROR(COPIA!DW201,"")</f>
        <v>0</v>
      </c>
    </row>
    <row r="209" spans="2:8">
      <c r="B209" s="118" t="str">
        <f t="shared" ca="1" si="3"/>
        <v/>
      </c>
      <c r="C209" s="13" t="str">
        <f ca="1">IFERROR(CONCATENATE(COPIA!DR202,COPIA!DX202),"")</f>
        <v/>
      </c>
      <c r="D209" s="24" t="str">
        <f ca="1">IF(IFERROR(IF(COPIA!DS202=0,"",VALUE(CONCATENATE(COPIA!DS202,COPIA!$DY202))),"")=0,"",IFERROR(IF(COPIA!DS202=0,"",VALUE(CONCATENATE(COPIA!DS202,COPIA!$DY202))),""))</f>
        <v/>
      </c>
      <c r="E209" s="24" t="str">
        <f ca="1">IF(IFERROR(IF(COPIA!DT202=0,"",VALUE(CONCATENATE(COPIA!DT202,COPIA!$DY202))),"")=0,"",IFERROR(IF(COPIA!DT202=0,"",VALUE(CONCATENATE(COPIA!DT202,COPIA!$DY202))),""))</f>
        <v/>
      </c>
      <c r="F209" s="24" t="str">
        <f ca="1">IF(IFERROR(IF(COPIA!DU202=0,"",VALUE(CONCATENATE(COPIA!DU202,COPIA!$DZ202))),"")=0,"",IFERROR(IF(COPIA!DU202=0,"",VALUE(CONCATENATE(COPIA!DU202,COPIA!$DZ202))),""))</f>
        <v/>
      </c>
      <c r="G209" s="24" t="str">
        <f ca="1">IF(IFERROR(IF(COPIA!DV202=0,"",VALUE(CONCATENATE(COPIA!DV202,COPIA!$DZ202))),"")=0,"",IFERROR(IF(COPIA!DV202=0,"",VALUE(CONCATENATE(COPIA!DV202,COPIA!$DZ202))),""))</f>
        <v/>
      </c>
      <c r="H209" s="6">
        <f ca="1">IFERROR(COPIA!DW202,"")</f>
        <v>0</v>
      </c>
    </row>
    <row r="210" spans="2:8">
      <c r="B210" s="118" t="str">
        <f t="shared" ca="1" si="3"/>
        <v/>
      </c>
      <c r="C210" s="13" t="str">
        <f ca="1">IFERROR(CONCATENATE(COPIA!DR203,COPIA!DX203),"")</f>
        <v/>
      </c>
      <c r="D210" s="24" t="str">
        <f ca="1">IF(IFERROR(IF(COPIA!DS203=0,"",VALUE(CONCATENATE(COPIA!DS203,COPIA!$DY203))),"")=0,"",IFERROR(IF(COPIA!DS203=0,"",VALUE(CONCATENATE(COPIA!DS203,COPIA!$DY203))),""))</f>
        <v/>
      </c>
      <c r="E210" s="24" t="str">
        <f ca="1">IF(IFERROR(IF(COPIA!DT203=0,"",VALUE(CONCATENATE(COPIA!DT203,COPIA!$DY203))),"")=0,"",IFERROR(IF(COPIA!DT203=0,"",VALUE(CONCATENATE(COPIA!DT203,COPIA!$DY203))),""))</f>
        <v/>
      </c>
      <c r="F210" s="24" t="str">
        <f ca="1">IF(IFERROR(IF(COPIA!DU203=0,"",VALUE(CONCATENATE(COPIA!DU203,COPIA!$DZ203))),"")=0,"",IFERROR(IF(COPIA!DU203=0,"",VALUE(CONCATENATE(COPIA!DU203,COPIA!$DZ203))),""))</f>
        <v/>
      </c>
      <c r="G210" s="24" t="str">
        <f ca="1">IF(IFERROR(IF(COPIA!DV203=0,"",VALUE(CONCATENATE(COPIA!DV203,COPIA!$DZ203))),"")=0,"",IFERROR(IF(COPIA!DV203=0,"",VALUE(CONCATENATE(COPIA!DV203,COPIA!$DZ203))),""))</f>
        <v/>
      </c>
      <c r="H210" s="6">
        <f ca="1">IFERROR(COPIA!DW203,"")</f>
        <v>0</v>
      </c>
    </row>
    <row r="211" spans="2:8">
      <c r="B211" s="118" t="str">
        <f t="shared" ca="1" si="3"/>
        <v/>
      </c>
      <c r="C211" s="13" t="str">
        <f ca="1">IFERROR(CONCATENATE(COPIA!DR204,COPIA!DX204),"")</f>
        <v/>
      </c>
      <c r="D211" s="24" t="str">
        <f ca="1">IF(IFERROR(IF(COPIA!DS204=0,"",VALUE(CONCATENATE(COPIA!DS204,COPIA!$DY204))),"")=0,"",IFERROR(IF(COPIA!DS204=0,"",VALUE(CONCATENATE(COPIA!DS204,COPIA!$DY204))),""))</f>
        <v/>
      </c>
      <c r="E211" s="24" t="str">
        <f ca="1">IF(IFERROR(IF(COPIA!DT204=0,"",VALUE(CONCATENATE(COPIA!DT204,COPIA!$DY204))),"")=0,"",IFERROR(IF(COPIA!DT204=0,"",VALUE(CONCATENATE(COPIA!DT204,COPIA!$DY204))),""))</f>
        <v/>
      </c>
      <c r="F211" s="24" t="str">
        <f ca="1">IF(IFERROR(IF(COPIA!DU204=0,"",VALUE(CONCATENATE(COPIA!DU204,COPIA!$DZ204))),"")=0,"",IFERROR(IF(COPIA!DU204=0,"",VALUE(CONCATENATE(COPIA!DU204,COPIA!$DZ204))),""))</f>
        <v/>
      </c>
      <c r="G211" s="24" t="str">
        <f ca="1">IF(IFERROR(IF(COPIA!DV204=0,"",VALUE(CONCATENATE(COPIA!DV204,COPIA!$DZ204))),"")=0,"",IFERROR(IF(COPIA!DV204=0,"",VALUE(CONCATENATE(COPIA!DV204,COPIA!$DZ204))),""))</f>
        <v/>
      </c>
      <c r="H211" s="6">
        <f ca="1">IFERROR(COPIA!DW204,"")</f>
        <v>0</v>
      </c>
    </row>
    <row r="212" spans="2:8">
      <c r="B212" s="118" t="str">
        <f t="shared" ca="1" si="3"/>
        <v/>
      </c>
      <c r="C212" s="13" t="str">
        <f ca="1">IFERROR(CONCATENATE(COPIA!DR205,COPIA!DX205),"")</f>
        <v/>
      </c>
      <c r="D212" s="24" t="str">
        <f ca="1">IF(IFERROR(IF(COPIA!DS205=0,"",VALUE(CONCATENATE(COPIA!DS205,COPIA!$DY205))),"")=0,"",IFERROR(IF(COPIA!DS205=0,"",VALUE(CONCATENATE(COPIA!DS205,COPIA!$DY205))),""))</f>
        <v/>
      </c>
      <c r="E212" s="24" t="str">
        <f ca="1">IF(IFERROR(IF(COPIA!DT205=0,"",VALUE(CONCATENATE(COPIA!DT205,COPIA!$DY205))),"")=0,"",IFERROR(IF(COPIA!DT205=0,"",VALUE(CONCATENATE(COPIA!DT205,COPIA!$DY205))),""))</f>
        <v/>
      </c>
      <c r="F212" s="24" t="str">
        <f ca="1">IF(IFERROR(IF(COPIA!DU205=0,"",VALUE(CONCATENATE(COPIA!DU205,COPIA!$DZ205))),"")=0,"",IFERROR(IF(COPIA!DU205=0,"",VALUE(CONCATENATE(COPIA!DU205,COPIA!$DZ205))),""))</f>
        <v/>
      </c>
      <c r="G212" s="24" t="str">
        <f ca="1">IF(IFERROR(IF(COPIA!DV205=0,"",VALUE(CONCATENATE(COPIA!DV205,COPIA!$DZ205))),"")=0,"",IFERROR(IF(COPIA!DV205=0,"",VALUE(CONCATENATE(COPIA!DV205,COPIA!$DZ205))),""))</f>
        <v/>
      </c>
      <c r="H212" s="6">
        <f ca="1">IFERROR(COPIA!DW205,"")</f>
        <v>0</v>
      </c>
    </row>
    <row r="213" spans="2:8">
      <c r="B213" s="118" t="str">
        <f t="shared" ca="1" si="3"/>
        <v/>
      </c>
      <c r="C213" s="13" t="str">
        <f ca="1">IFERROR(CONCATENATE(COPIA!DR206,COPIA!DX206),"")</f>
        <v/>
      </c>
      <c r="D213" s="24" t="str">
        <f ca="1">IF(IFERROR(IF(COPIA!DS206=0,"",VALUE(CONCATENATE(COPIA!DS206,COPIA!$DY206))),"")=0,"",IFERROR(IF(COPIA!DS206=0,"",VALUE(CONCATENATE(COPIA!DS206,COPIA!$DY206))),""))</f>
        <v/>
      </c>
      <c r="E213" s="24" t="str">
        <f ca="1">IF(IFERROR(IF(COPIA!DT206=0,"",VALUE(CONCATENATE(COPIA!DT206,COPIA!$DY206))),"")=0,"",IFERROR(IF(COPIA!DT206=0,"",VALUE(CONCATENATE(COPIA!DT206,COPIA!$DY206))),""))</f>
        <v/>
      </c>
      <c r="F213" s="24" t="str">
        <f ca="1">IF(IFERROR(IF(COPIA!DU206=0,"",VALUE(CONCATENATE(COPIA!DU206,COPIA!$DZ206))),"")=0,"",IFERROR(IF(COPIA!DU206=0,"",VALUE(CONCATENATE(COPIA!DU206,COPIA!$DZ206))),""))</f>
        <v/>
      </c>
      <c r="G213" s="24" t="str">
        <f ca="1">IF(IFERROR(IF(COPIA!DV206=0,"",VALUE(CONCATENATE(COPIA!DV206,COPIA!$DZ206))),"")=0,"",IFERROR(IF(COPIA!DV206=0,"",VALUE(CONCATENATE(COPIA!DV206,COPIA!$DZ206))),""))</f>
        <v/>
      </c>
      <c r="H213" s="6">
        <f ca="1">IFERROR(COPIA!DW206,"")</f>
        <v>0</v>
      </c>
    </row>
    <row r="214" spans="2:8">
      <c r="B214" s="118" t="str">
        <f t="shared" ca="1" si="3"/>
        <v/>
      </c>
      <c r="C214" s="13" t="str">
        <f ca="1">IFERROR(CONCATENATE(COPIA!DR207,COPIA!DX207),"")</f>
        <v/>
      </c>
      <c r="D214" s="24" t="str">
        <f ca="1">IF(IFERROR(IF(COPIA!DS207=0,"",VALUE(CONCATENATE(COPIA!DS207,COPIA!$DY207))),"")=0,"",IFERROR(IF(COPIA!DS207=0,"",VALUE(CONCATENATE(COPIA!DS207,COPIA!$DY207))),""))</f>
        <v/>
      </c>
      <c r="E214" s="24" t="str">
        <f ca="1">IF(IFERROR(IF(COPIA!DT207=0,"",VALUE(CONCATENATE(COPIA!DT207,COPIA!$DY207))),"")=0,"",IFERROR(IF(COPIA!DT207=0,"",VALUE(CONCATENATE(COPIA!DT207,COPIA!$DY207))),""))</f>
        <v/>
      </c>
      <c r="F214" s="24" t="str">
        <f ca="1">IF(IFERROR(IF(COPIA!DU207=0,"",VALUE(CONCATENATE(COPIA!DU207,COPIA!$DZ207))),"")=0,"",IFERROR(IF(COPIA!DU207=0,"",VALUE(CONCATENATE(COPIA!DU207,COPIA!$DZ207))),""))</f>
        <v/>
      </c>
      <c r="G214" s="24" t="str">
        <f ca="1">IF(IFERROR(IF(COPIA!DV207=0,"",VALUE(CONCATENATE(COPIA!DV207,COPIA!$DZ207))),"")=0,"",IFERROR(IF(COPIA!DV207=0,"",VALUE(CONCATENATE(COPIA!DV207,COPIA!$DZ207))),""))</f>
        <v/>
      </c>
      <c r="H214" s="6">
        <f ca="1">IFERROR(COPIA!DW207,"")</f>
        <v>0</v>
      </c>
    </row>
    <row r="215" spans="2:8">
      <c r="B215" s="118" t="str">
        <f t="shared" ca="1" si="3"/>
        <v/>
      </c>
      <c r="C215" s="13" t="str">
        <f ca="1">IFERROR(CONCATENATE(COPIA!DR208,COPIA!DX208),"")</f>
        <v/>
      </c>
      <c r="D215" s="24" t="str">
        <f ca="1">IF(IFERROR(IF(COPIA!DS208=0,"",VALUE(CONCATENATE(COPIA!DS208,COPIA!$DY208))),"")=0,"",IFERROR(IF(COPIA!DS208=0,"",VALUE(CONCATENATE(COPIA!DS208,COPIA!$DY208))),""))</f>
        <v/>
      </c>
      <c r="E215" s="24" t="str">
        <f ca="1">IF(IFERROR(IF(COPIA!DT208=0,"",VALUE(CONCATENATE(COPIA!DT208,COPIA!$DY208))),"")=0,"",IFERROR(IF(COPIA!DT208=0,"",VALUE(CONCATENATE(COPIA!DT208,COPIA!$DY208))),""))</f>
        <v/>
      </c>
      <c r="F215" s="24" t="str">
        <f ca="1">IF(IFERROR(IF(COPIA!DU208=0,"",VALUE(CONCATENATE(COPIA!DU208,COPIA!$DZ208))),"")=0,"",IFERROR(IF(COPIA!DU208=0,"",VALUE(CONCATENATE(COPIA!DU208,COPIA!$DZ208))),""))</f>
        <v/>
      </c>
      <c r="G215" s="24" t="str">
        <f ca="1">IF(IFERROR(IF(COPIA!DV208=0,"",VALUE(CONCATENATE(COPIA!DV208,COPIA!$DZ208))),"")=0,"",IFERROR(IF(COPIA!DV208=0,"",VALUE(CONCATENATE(COPIA!DV208,COPIA!$DZ208))),""))</f>
        <v/>
      </c>
      <c r="H215" s="6">
        <f ca="1">IFERROR(COPIA!DW208,"")</f>
        <v>0</v>
      </c>
    </row>
    <row r="216" spans="2:8">
      <c r="B216" s="118" t="str">
        <f t="shared" ca="1" si="3"/>
        <v/>
      </c>
      <c r="C216" s="13" t="str">
        <f ca="1">IFERROR(CONCATENATE(COPIA!DR209,COPIA!DX209),"")</f>
        <v/>
      </c>
      <c r="D216" s="24" t="str">
        <f ca="1">IF(IFERROR(IF(COPIA!DS209=0,"",VALUE(CONCATENATE(COPIA!DS209,COPIA!$DY209))),"")=0,"",IFERROR(IF(COPIA!DS209=0,"",VALUE(CONCATENATE(COPIA!DS209,COPIA!$DY209))),""))</f>
        <v/>
      </c>
      <c r="E216" s="24" t="str">
        <f ca="1">IF(IFERROR(IF(COPIA!DT209=0,"",VALUE(CONCATENATE(COPIA!DT209,COPIA!$DY209))),"")=0,"",IFERROR(IF(COPIA!DT209=0,"",VALUE(CONCATENATE(COPIA!DT209,COPIA!$DY209))),""))</f>
        <v/>
      </c>
      <c r="F216" s="24" t="str">
        <f ca="1">IF(IFERROR(IF(COPIA!DU209=0,"",VALUE(CONCATENATE(COPIA!DU209,COPIA!$DZ209))),"")=0,"",IFERROR(IF(COPIA!DU209=0,"",VALUE(CONCATENATE(COPIA!DU209,COPIA!$DZ209))),""))</f>
        <v/>
      </c>
      <c r="G216" s="24" t="str">
        <f ca="1">IF(IFERROR(IF(COPIA!DV209=0,"",VALUE(CONCATENATE(COPIA!DV209,COPIA!$DZ209))),"")=0,"",IFERROR(IF(COPIA!DV209=0,"",VALUE(CONCATENATE(COPIA!DV209,COPIA!$DZ209))),""))</f>
        <v/>
      </c>
      <c r="H216" s="6">
        <f ca="1">IFERROR(COPIA!DW209,"")</f>
        <v>0</v>
      </c>
    </row>
    <row r="217" spans="2:8">
      <c r="B217" s="118" t="str">
        <f t="shared" ca="1" si="3"/>
        <v/>
      </c>
      <c r="C217" s="13" t="str">
        <f ca="1">IFERROR(CONCATENATE(COPIA!DR210,COPIA!DX210),"")</f>
        <v/>
      </c>
      <c r="D217" s="24" t="str">
        <f ca="1">IF(IFERROR(IF(COPIA!DS210=0,"",VALUE(CONCATENATE(COPIA!DS210,COPIA!$DY210))),"")=0,"",IFERROR(IF(COPIA!DS210=0,"",VALUE(CONCATENATE(COPIA!DS210,COPIA!$DY210))),""))</f>
        <v/>
      </c>
      <c r="E217" s="24" t="str">
        <f ca="1">IF(IFERROR(IF(COPIA!DT210=0,"",VALUE(CONCATENATE(COPIA!DT210,COPIA!$DY210))),"")=0,"",IFERROR(IF(COPIA!DT210=0,"",VALUE(CONCATENATE(COPIA!DT210,COPIA!$DY210))),""))</f>
        <v/>
      </c>
      <c r="F217" s="24" t="str">
        <f ca="1">IF(IFERROR(IF(COPIA!DU210=0,"",VALUE(CONCATENATE(COPIA!DU210,COPIA!$DZ210))),"")=0,"",IFERROR(IF(COPIA!DU210=0,"",VALUE(CONCATENATE(COPIA!DU210,COPIA!$DZ210))),""))</f>
        <v/>
      </c>
      <c r="G217" s="24" t="str">
        <f ca="1">IF(IFERROR(IF(COPIA!DV210=0,"",VALUE(CONCATENATE(COPIA!DV210,COPIA!$DZ210))),"")=0,"",IFERROR(IF(COPIA!DV210=0,"",VALUE(CONCATENATE(COPIA!DV210,COPIA!$DZ210))),""))</f>
        <v/>
      </c>
      <c r="H217" s="6">
        <f ca="1">IFERROR(COPIA!DW210,"")</f>
        <v>0</v>
      </c>
    </row>
    <row r="218" spans="2:8">
      <c r="B218" s="118" t="str">
        <f t="shared" ca="1" si="3"/>
        <v/>
      </c>
      <c r="C218" s="13" t="str">
        <f ca="1">IFERROR(CONCATENATE(COPIA!DR211,COPIA!DX211),"")</f>
        <v/>
      </c>
      <c r="D218" s="24" t="str">
        <f ca="1">IF(IFERROR(IF(COPIA!DS211=0,"",VALUE(CONCATENATE(COPIA!DS211,COPIA!$DY211))),"")=0,"",IFERROR(IF(COPIA!DS211=0,"",VALUE(CONCATENATE(COPIA!DS211,COPIA!$DY211))),""))</f>
        <v/>
      </c>
      <c r="E218" s="24" t="str">
        <f ca="1">IF(IFERROR(IF(COPIA!DT211=0,"",VALUE(CONCATENATE(COPIA!DT211,COPIA!$DY211))),"")=0,"",IFERROR(IF(COPIA!DT211=0,"",VALUE(CONCATENATE(COPIA!DT211,COPIA!$DY211))),""))</f>
        <v/>
      </c>
      <c r="F218" s="24" t="str">
        <f ca="1">IF(IFERROR(IF(COPIA!DU211=0,"",VALUE(CONCATENATE(COPIA!DU211,COPIA!$DZ211))),"")=0,"",IFERROR(IF(COPIA!DU211=0,"",VALUE(CONCATENATE(COPIA!DU211,COPIA!$DZ211))),""))</f>
        <v/>
      </c>
      <c r="G218" s="24" t="str">
        <f ca="1">IF(IFERROR(IF(COPIA!DV211=0,"",VALUE(CONCATENATE(COPIA!DV211,COPIA!$DZ211))),"")=0,"",IFERROR(IF(COPIA!DV211=0,"",VALUE(CONCATENATE(COPIA!DV211,COPIA!$DZ211))),""))</f>
        <v/>
      </c>
      <c r="H218" s="6">
        <f ca="1">IFERROR(COPIA!DW211,"")</f>
        <v>0</v>
      </c>
    </row>
    <row r="219" spans="2:8">
      <c r="B219" s="118" t="str">
        <f t="shared" ca="1" si="3"/>
        <v/>
      </c>
      <c r="C219" s="13" t="str">
        <f ca="1">IFERROR(CONCATENATE(COPIA!DR212,COPIA!DX212),"")</f>
        <v/>
      </c>
      <c r="D219" s="24" t="str">
        <f ca="1">IF(IFERROR(IF(COPIA!DS212=0,"",VALUE(CONCATENATE(COPIA!DS212,COPIA!$DY212))),"")=0,"",IFERROR(IF(COPIA!DS212=0,"",VALUE(CONCATENATE(COPIA!DS212,COPIA!$DY212))),""))</f>
        <v/>
      </c>
      <c r="E219" s="24" t="str">
        <f ca="1">IF(IFERROR(IF(COPIA!DT212=0,"",VALUE(CONCATENATE(COPIA!DT212,COPIA!$DY212))),"")=0,"",IFERROR(IF(COPIA!DT212=0,"",VALUE(CONCATENATE(COPIA!DT212,COPIA!$DY212))),""))</f>
        <v/>
      </c>
      <c r="F219" s="24" t="str">
        <f ca="1">IF(IFERROR(IF(COPIA!DU212=0,"",VALUE(CONCATENATE(COPIA!DU212,COPIA!$DZ212))),"")=0,"",IFERROR(IF(COPIA!DU212=0,"",VALUE(CONCATENATE(COPIA!DU212,COPIA!$DZ212))),""))</f>
        <v/>
      </c>
      <c r="G219" s="24" t="str">
        <f ca="1">IF(IFERROR(IF(COPIA!DV212=0,"",VALUE(CONCATENATE(COPIA!DV212,COPIA!$DZ212))),"")=0,"",IFERROR(IF(COPIA!DV212=0,"",VALUE(CONCATENATE(COPIA!DV212,COPIA!$DZ212))),""))</f>
        <v/>
      </c>
      <c r="H219" s="6">
        <f ca="1">IFERROR(COPIA!DW212,"")</f>
        <v>0</v>
      </c>
    </row>
    <row r="220" spans="2:8">
      <c r="B220" s="118" t="str">
        <f t="shared" ca="1" si="3"/>
        <v/>
      </c>
      <c r="C220" s="13" t="str">
        <f ca="1">IFERROR(CONCATENATE(COPIA!DR213,COPIA!DX213),"")</f>
        <v/>
      </c>
      <c r="D220" s="24" t="str">
        <f ca="1">IF(IFERROR(IF(COPIA!DS213=0,"",VALUE(CONCATENATE(COPIA!DS213,COPIA!$DY213))),"")=0,"",IFERROR(IF(COPIA!DS213=0,"",VALUE(CONCATENATE(COPIA!DS213,COPIA!$DY213))),""))</f>
        <v/>
      </c>
      <c r="E220" s="24" t="str">
        <f ca="1">IF(IFERROR(IF(COPIA!DT213=0,"",VALUE(CONCATENATE(COPIA!DT213,COPIA!$DY213))),"")=0,"",IFERROR(IF(COPIA!DT213=0,"",VALUE(CONCATENATE(COPIA!DT213,COPIA!$DY213))),""))</f>
        <v/>
      </c>
      <c r="F220" s="24" t="str">
        <f ca="1">IF(IFERROR(IF(COPIA!DU213=0,"",VALUE(CONCATENATE(COPIA!DU213,COPIA!$DZ213))),"")=0,"",IFERROR(IF(COPIA!DU213=0,"",VALUE(CONCATENATE(COPIA!DU213,COPIA!$DZ213))),""))</f>
        <v/>
      </c>
      <c r="G220" s="24" t="str">
        <f ca="1">IF(IFERROR(IF(COPIA!DV213=0,"",VALUE(CONCATENATE(COPIA!DV213,COPIA!$DZ213))),"")=0,"",IFERROR(IF(COPIA!DV213=0,"",VALUE(CONCATENATE(COPIA!DV213,COPIA!$DZ213))),""))</f>
        <v/>
      </c>
      <c r="H220" s="6">
        <f ca="1">IFERROR(COPIA!DW213,"")</f>
        <v>0</v>
      </c>
    </row>
    <row r="221" spans="2:8">
      <c r="B221" s="118" t="str">
        <f t="shared" ca="1" si="3"/>
        <v/>
      </c>
      <c r="C221" s="13" t="str">
        <f ca="1">IFERROR(CONCATENATE(COPIA!DR214,COPIA!DX214),"")</f>
        <v/>
      </c>
      <c r="D221" s="24" t="str">
        <f ca="1">IF(IFERROR(IF(COPIA!DS214=0,"",VALUE(CONCATENATE(COPIA!DS214,COPIA!$DY214))),"")=0,"",IFERROR(IF(COPIA!DS214=0,"",VALUE(CONCATENATE(COPIA!DS214,COPIA!$DY214))),""))</f>
        <v/>
      </c>
      <c r="E221" s="24" t="str">
        <f ca="1">IF(IFERROR(IF(COPIA!DT214=0,"",VALUE(CONCATENATE(COPIA!DT214,COPIA!$DY214))),"")=0,"",IFERROR(IF(COPIA!DT214=0,"",VALUE(CONCATENATE(COPIA!DT214,COPIA!$DY214))),""))</f>
        <v/>
      </c>
      <c r="F221" s="24" t="str">
        <f ca="1">IF(IFERROR(IF(COPIA!DU214=0,"",VALUE(CONCATENATE(COPIA!DU214,COPIA!$DZ214))),"")=0,"",IFERROR(IF(COPIA!DU214=0,"",VALUE(CONCATENATE(COPIA!DU214,COPIA!$DZ214))),""))</f>
        <v/>
      </c>
      <c r="G221" s="24" t="str">
        <f ca="1">IF(IFERROR(IF(COPIA!DV214=0,"",VALUE(CONCATENATE(COPIA!DV214,COPIA!$DZ214))),"")=0,"",IFERROR(IF(COPIA!DV214=0,"",VALUE(CONCATENATE(COPIA!DV214,COPIA!$DZ214))),""))</f>
        <v/>
      </c>
      <c r="H221" s="6">
        <f ca="1">IFERROR(COPIA!DW214,"")</f>
        <v>0</v>
      </c>
    </row>
    <row r="222" spans="2:8">
      <c r="B222" s="118" t="str">
        <f t="shared" ca="1" si="3"/>
        <v/>
      </c>
      <c r="C222" s="13" t="str">
        <f ca="1">IFERROR(CONCATENATE(COPIA!DR215,COPIA!DX215),"")</f>
        <v/>
      </c>
      <c r="D222" s="24" t="str">
        <f ca="1">IF(IFERROR(IF(COPIA!DS215=0,"",VALUE(CONCATENATE(COPIA!DS215,COPIA!$DY215))),"")=0,"",IFERROR(IF(COPIA!DS215=0,"",VALUE(CONCATENATE(COPIA!DS215,COPIA!$DY215))),""))</f>
        <v/>
      </c>
      <c r="E222" s="24" t="str">
        <f ca="1">IF(IFERROR(IF(COPIA!DT215=0,"",VALUE(CONCATENATE(COPIA!DT215,COPIA!$DY215))),"")=0,"",IFERROR(IF(COPIA!DT215=0,"",VALUE(CONCATENATE(COPIA!DT215,COPIA!$DY215))),""))</f>
        <v/>
      </c>
      <c r="F222" s="24" t="str">
        <f ca="1">IF(IFERROR(IF(COPIA!DU215=0,"",VALUE(CONCATENATE(COPIA!DU215,COPIA!$DZ215))),"")=0,"",IFERROR(IF(COPIA!DU215=0,"",VALUE(CONCATENATE(COPIA!DU215,COPIA!$DZ215))),""))</f>
        <v/>
      </c>
      <c r="G222" s="24" t="str">
        <f ca="1">IF(IFERROR(IF(COPIA!DV215=0,"",VALUE(CONCATENATE(COPIA!DV215,COPIA!$DZ215))),"")=0,"",IFERROR(IF(COPIA!DV215=0,"",VALUE(CONCATENATE(COPIA!DV215,COPIA!$DZ215))),""))</f>
        <v/>
      </c>
      <c r="H222" s="6">
        <f ca="1">IFERROR(COPIA!DW215,"")</f>
        <v>0</v>
      </c>
    </row>
    <row r="223" spans="2:8">
      <c r="B223" s="118" t="str">
        <f t="shared" ca="1" si="3"/>
        <v/>
      </c>
      <c r="C223" s="13" t="str">
        <f ca="1">IFERROR(CONCATENATE(COPIA!DR216,COPIA!DX216),"")</f>
        <v/>
      </c>
      <c r="D223" s="24" t="str">
        <f ca="1">IF(IFERROR(IF(COPIA!DS216=0,"",VALUE(CONCATENATE(COPIA!DS216,COPIA!$DY216))),"")=0,"",IFERROR(IF(COPIA!DS216=0,"",VALUE(CONCATENATE(COPIA!DS216,COPIA!$DY216))),""))</f>
        <v/>
      </c>
      <c r="E223" s="24" t="str">
        <f ca="1">IF(IFERROR(IF(COPIA!DT216=0,"",VALUE(CONCATENATE(COPIA!DT216,COPIA!$DY216))),"")=0,"",IFERROR(IF(COPIA!DT216=0,"",VALUE(CONCATENATE(COPIA!DT216,COPIA!$DY216))),""))</f>
        <v/>
      </c>
      <c r="F223" s="24" t="str">
        <f ca="1">IF(IFERROR(IF(COPIA!DU216=0,"",VALUE(CONCATENATE(COPIA!DU216,COPIA!$DZ216))),"")=0,"",IFERROR(IF(COPIA!DU216=0,"",VALUE(CONCATENATE(COPIA!DU216,COPIA!$DZ216))),""))</f>
        <v/>
      </c>
      <c r="G223" s="24" t="str">
        <f ca="1">IF(IFERROR(IF(COPIA!DV216=0,"",VALUE(CONCATENATE(COPIA!DV216,COPIA!$DZ216))),"")=0,"",IFERROR(IF(COPIA!DV216=0,"",VALUE(CONCATENATE(COPIA!DV216,COPIA!$DZ216))),""))</f>
        <v/>
      </c>
      <c r="H223" s="6">
        <f ca="1">IFERROR(COPIA!DW216,"")</f>
        <v>0</v>
      </c>
    </row>
    <row r="224" spans="2:8">
      <c r="B224" s="118" t="str">
        <f t="shared" ca="1" si="3"/>
        <v/>
      </c>
      <c r="C224" s="13" t="str">
        <f ca="1">IFERROR(CONCATENATE(COPIA!DR217,COPIA!DX217),"")</f>
        <v/>
      </c>
      <c r="D224" s="24" t="str">
        <f ca="1">IF(IFERROR(IF(COPIA!DS217=0,"",VALUE(CONCATENATE(COPIA!DS217,COPIA!$DY217))),"")=0,"",IFERROR(IF(COPIA!DS217=0,"",VALUE(CONCATENATE(COPIA!DS217,COPIA!$DY217))),""))</f>
        <v/>
      </c>
      <c r="E224" s="24" t="str">
        <f ca="1">IF(IFERROR(IF(COPIA!DT217=0,"",VALUE(CONCATENATE(COPIA!DT217,COPIA!$DY217))),"")=0,"",IFERROR(IF(COPIA!DT217=0,"",VALUE(CONCATENATE(COPIA!DT217,COPIA!$DY217))),""))</f>
        <v/>
      </c>
      <c r="F224" s="24" t="str">
        <f ca="1">IF(IFERROR(IF(COPIA!DU217=0,"",VALUE(CONCATENATE(COPIA!DU217,COPIA!$DZ217))),"")=0,"",IFERROR(IF(COPIA!DU217=0,"",VALUE(CONCATENATE(COPIA!DU217,COPIA!$DZ217))),""))</f>
        <v/>
      </c>
      <c r="G224" s="24" t="str">
        <f ca="1">IF(IFERROR(IF(COPIA!DV217=0,"",VALUE(CONCATENATE(COPIA!DV217,COPIA!$DZ217))),"")=0,"",IFERROR(IF(COPIA!DV217=0,"",VALUE(CONCATENATE(COPIA!DV217,COPIA!$DZ217))),""))</f>
        <v/>
      </c>
      <c r="H224" s="6">
        <f ca="1">IFERROR(COPIA!DW217,"")</f>
        <v>0</v>
      </c>
    </row>
    <row r="225" spans="2:8">
      <c r="B225" s="118" t="str">
        <f t="shared" ca="1" si="3"/>
        <v/>
      </c>
      <c r="C225" s="13" t="str">
        <f ca="1">IFERROR(CONCATENATE(COPIA!DR218,COPIA!DX218),"")</f>
        <v/>
      </c>
      <c r="D225" s="24" t="str">
        <f ca="1">IF(IFERROR(IF(COPIA!DS218=0,"",VALUE(CONCATENATE(COPIA!DS218,COPIA!$DY218))),"")=0,"",IFERROR(IF(COPIA!DS218=0,"",VALUE(CONCATENATE(COPIA!DS218,COPIA!$DY218))),""))</f>
        <v/>
      </c>
      <c r="E225" s="24" t="str">
        <f ca="1">IF(IFERROR(IF(COPIA!DT218=0,"",VALUE(CONCATENATE(COPIA!DT218,COPIA!$DY218))),"")=0,"",IFERROR(IF(COPIA!DT218=0,"",VALUE(CONCATENATE(COPIA!DT218,COPIA!$DY218))),""))</f>
        <v/>
      </c>
      <c r="F225" s="24" t="str">
        <f ca="1">IF(IFERROR(IF(COPIA!DU218=0,"",VALUE(CONCATENATE(COPIA!DU218,COPIA!$DZ218))),"")=0,"",IFERROR(IF(COPIA!DU218=0,"",VALUE(CONCATENATE(COPIA!DU218,COPIA!$DZ218))),""))</f>
        <v/>
      </c>
      <c r="G225" s="24" t="str">
        <f ca="1">IF(IFERROR(IF(COPIA!DV218=0,"",VALUE(CONCATENATE(COPIA!DV218,COPIA!$DZ218))),"")=0,"",IFERROR(IF(COPIA!DV218=0,"",VALUE(CONCATENATE(COPIA!DV218,COPIA!$DZ218))),""))</f>
        <v/>
      </c>
      <c r="H225" s="6">
        <f ca="1">IFERROR(COPIA!DW218,"")</f>
        <v>0</v>
      </c>
    </row>
    <row r="226" spans="2:8">
      <c r="B226" s="118" t="str">
        <f t="shared" ca="1" si="3"/>
        <v/>
      </c>
      <c r="C226" s="13" t="str">
        <f ca="1">IFERROR(CONCATENATE(COPIA!DR219,COPIA!DX219),"")</f>
        <v/>
      </c>
      <c r="D226" s="24" t="str">
        <f ca="1">IF(IFERROR(IF(COPIA!DS219=0,"",VALUE(CONCATENATE(COPIA!DS219,COPIA!$DY219))),"")=0,"",IFERROR(IF(COPIA!DS219=0,"",VALUE(CONCATENATE(COPIA!DS219,COPIA!$DY219))),""))</f>
        <v/>
      </c>
      <c r="E226" s="24" t="str">
        <f ca="1">IF(IFERROR(IF(COPIA!DT219=0,"",VALUE(CONCATENATE(COPIA!DT219,COPIA!$DY219))),"")=0,"",IFERROR(IF(COPIA!DT219=0,"",VALUE(CONCATENATE(COPIA!DT219,COPIA!$DY219))),""))</f>
        <v/>
      </c>
      <c r="F226" s="24" t="str">
        <f ca="1">IF(IFERROR(IF(COPIA!DU219=0,"",VALUE(CONCATENATE(COPIA!DU219,COPIA!$DZ219))),"")=0,"",IFERROR(IF(COPIA!DU219=0,"",VALUE(CONCATENATE(COPIA!DU219,COPIA!$DZ219))),""))</f>
        <v/>
      </c>
      <c r="G226" s="24" t="str">
        <f ca="1">IF(IFERROR(IF(COPIA!DV219=0,"",VALUE(CONCATENATE(COPIA!DV219,COPIA!$DZ219))),"")=0,"",IFERROR(IF(COPIA!DV219=0,"",VALUE(CONCATENATE(COPIA!DV219,COPIA!$DZ219))),""))</f>
        <v/>
      </c>
      <c r="H226" s="6">
        <f ca="1">IFERROR(COPIA!DW219,"")</f>
        <v>0</v>
      </c>
    </row>
    <row r="227" spans="2:8">
      <c r="B227" s="118" t="str">
        <f t="shared" ca="1" si="3"/>
        <v/>
      </c>
      <c r="C227" s="13" t="str">
        <f ca="1">IFERROR(CONCATENATE(COPIA!DR220,COPIA!DX220),"")</f>
        <v/>
      </c>
      <c r="D227" s="24" t="str">
        <f ca="1">IF(IFERROR(IF(COPIA!DS220=0,"",VALUE(CONCATENATE(COPIA!DS220,COPIA!$DY220))),"")=0,"",IFERROR(IF(COPIA!DS220=0,"",VALUE(CONCATENATE(COPIA!DS220,COPIA!$DY220))),""))</f>
        <v/>
      </c>
      <c r="E227" s="24" t="str">
        <f ca="1">IF(IFERROR(IF(COPIA!DT220=0,"",VALUE(CONCATENATE(COPIA!DT220,COPIA!$DY220))),"")=0,"",IFERROR(IF(COPIA!DT220=0,"",VALUE(CONCATENATE(COPIA!DT220,COPIA!$DY220))),""))</f>
        <v/>
      </c>
      <c r="F227" s="24" t="str">
        <f ca="1">IF(IFERROR(IF(COPIA!DU220=0,"",VALUE(CONCATENATE(COPIA!DU220,COPIA!$DZ220))),"")=0,"",IFERROR(IF(COPIA!DU220=0,"",VALUE(CONCATENATE(COPIA!DU220,COPIA!$DZ220))),""))</f>
        <v/>
      </c>
      <c r="G227" s="24" t="str">
        <f ca="1">IF(IFERROR(IF(COPIA!DV220=0,"",VALUE(CONCATENATE(COPIA!DV220,COPIA!$DZ220))),"")=0,"",IFERROR(IF(COPIA!DV220=0,"",VALUE(CONCATENATE(COPIA!DV220,COPIA!$DZ220))),""))</f>
        <v/>
      </c>
      <c r="H227" s="6">
        <f ca="1">IFERROR(COPIA!DW220,"")</f>
        <v>0</v>
      </c>
    </row>
    <row r="228" spans="2:8">
      <c r="B228" s="144"/>
      <c r="C228" s="145"/>
      <c r="D228" s="146"/>
      <c r="E228" s="146"/>
      <c r="F228" s="146"/>
      <c r="G228" s="146"/>
      <c r="H228" s="48"/>
    </row>
  </sheetData>
  <sheetProtection algorithmName="SHA-512" hashValue="j3p22vqF5PoEl0cFMXMFNvY0z1Eof8Tv0iLqCCFWrXDwcYQaJS6W0bulwNaJO65UJZ3fXH6e4fTewq18YkkxAA==" saltValue="2PHOLM/0g/sya+1PSzfRjw==" spinCount="100000" sheet="1" objects="1" scenarios="1"/>
  <mergeCells count="12">
    <mergeCell ref="F8:G8"/>
    <mergeCell ref="C8:C9"/>
    <mergeCell ref="B1:E1"/>
    <mergeCell ref="B8:B9"/>
    <mergeCell ref="C7:E7"/>
    <mergeCell ref="D8:E8"/>
    <mergeCell ref="B2:C2"/>
    <mergeCell ref="B3:C3"/>
    <mergeCell ref="D2:J3"/>
    <mergeCell ref="B4:C4"/>
    <mergeCell ref="D6:E6"/>
    <mergeCell ref="F6:G6"/>
  </mergeCells>
  <conditionalFormatting sqref="B8:B9">
    <cfRule type="expression" dxfId="68" priority="15">
      <formula>$B$8&lt;&gt;""</formula>
    </cfRule>
  </conditionalFormatting>
  <conditionalFormatting sqref="B10:B227">
    <cfRule type="expression" dxfId="67" priority="2">
      <formula>AND($B10&lt;&gt;"",$C10&lt;&gt;"TOTALI")</formula>
    </cfRule>
  </conditionalFormatting>
  <conditionalFormatting sqref="B10:C227">
    <cfRule type="expression" dxfId="66" priority="1">
      <formula>$C10="TOTALI"</formula>
    </cfRule>
  </conditionalFormatting>
  <conditionalFormatting sqref="C8:C9">
    <cfRule type="expression" dxfId="65" priority="14">
      <formula>$C$8&lt;&gt;""</formula>
    </cfRule>
  </conditionalFormatting>
  <conditionalFormatting sqref="C10:C227">
    <cfRule type="expression" dxfId="64" priority="4">
      <formula>AND($C10&lt;&gt;"",$C10&lt;&gt;"TOTALI")</formula>
    </cfRule>
  </conditionalFormatting>
  <conditionalFormatting sqref="D2">
    <cfRule type="expression" dxfId="63" priority="16">
      <formula>$D$2="i totali sono correttamente visualizzati"</formula>
    </cfRule>
  </conditionalFormatting>
  <conditionalFormatting sqref="D9">
    <cfRule type="expression" dxfId="62" priority="13">
      <formula>$D$9&lt;&gt;""</formula>
    </cfRule>
  </conditionalFormatting>
  <conditionalFormatting sqref="D8:E8">
    <cfRule type="expression" dxfId="61" priority="11">
      <formula>$D$8&lt;&gt;""</formula>
    </cfRule>
  </conditionalFormatting>
  <conditionalFormatting sqref="D10:E227">
    <cfRule type="expression" dxfId="60" priority="5">
      <formula>AND($C10="TOTALI",OR($D10&lt;&gt;"",$E10&lt;&gt;""))</formula>
    </cfRule>
    <cfRule type="expression" dxfId="59" priority="6">
      <formula>OR($D10&lt;&gt;"",$E10&lt;&gt;"")</formula>
    </cfRule>
  </conditionalFormatting>
  <conditionalFormatting sqref="E9">
    <cfRule type="expression" dxfId="58" priority="12">
      <formula>$E$9&lt;&gt;""</formula>
    </cfRule>
  </conditionalFormatting>
  <conditionalFormatting sqref="F9">
    <cfRule type="expression" dxfId="57" priority="27">
      <formula>$F$9="dare"</formula>
    </cfRule>
  </conditionalFormatting>
  <conditionalFormatting sqref="F8:G8">
    <cfRule type="expression" dxfId="56" priority="28">
      <formula>$F$8="ECCEDENZE"</formula>
    </cfRule>
  </conditionalFormatting>
  <conditionalFormatting sqref="F10:G227">
    <cfRule type="expression" dxfId="55" priority="7">
      <formula>AND($C10="TOTALI",OR($F10&lt;&gt;"",$G10&lt;&gt;""))</formula>
    </cfRule>
    <cfRule type="expression" dxfId="54" priority="9">
      <formula>AND($A$6=3,OR($F10&lt;&gt;"",$G10&lt;&gt;"",$C10&lt;&gt;""))</formula>
    </cfRule>
  </conditionalFormatting>
  <conditionalFormatting sqref="G9">
    <cfRule type="expression" dxfId="53" priority="26">
      <formula>$G$9="AVERE"</formula>
    </cfRule>
  </conditionalFormatting>
  <dataValidations count="3">
    <dataValidation allowBlank="1" sqref="D4 D6" xr:uid="{00000000-0002-0000-0300-000000000000}"/>
    <dataValidation type="whole" allowBlank="1" showInputMessage="1" showErrorMessage="1" sqref="G5" xr:uid="{00000000-0002-0000-0300-000001000000}">
      <formula1>1</formula1>
      <formula2>400</formula2>
    </dataValidation>
    <dataValidation type="list" allowBlank="1" showInputMessage="1" showErrorMessage="1" sqref="B3:C3" xr:uid="{00000000-0002-0000-0300-000002000000}">
      <formula1>"PER TOTALI,PER ECCEDENZE,PER TOTALI ED ECCEDENZE"</formula1>
    </dataValidation>
  </dataValidations>
  <printOptions horizontalCentered="1"/>
  <pageMargins left="7.874015748031496E-2" right="7.874015748031496E-2" top="0.98425196850393704" bottom="0.55118110236220474" header="0.39370078740157483" footer="0.31496062992125984"/>
  <pageSetup paperSize="9" orientation="portrait" horizontalDpi="4294967294" r:id="rId1"/>
  <headerFooter>
    <oddHeader>&amp;L&amp;"Arial Narrow,Grassetto"&amp;10&amp;K08-038&amp;A&amp;R&amp;G</oddHeader>
    <oddFooter>&amp;L&amp;"Arial Narrow,Grassetto"&amp;10&amp;Y&amp;K08-035FUTURO IMPRESA 3 - T-SMART - AUTORE: Biagio PALACINO&amp;C&amp;"Arial Narrow,Grassetto"&amp;10&amp;K08-048&amp;D&amp;R&amp;"-,Grassetto"&amp;8&amp;K08-036pag. &amp;P di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J125"/>
  <sheetViews>
    <sheetView showGridLines="0" showRowColHeaders="0" zoomScale="120" zoomScaleNormal="120" workbookViewId="0">
      <pane ySplit="3" topLeftCell="A4" activePane="bottomLeft" state="frozen"/>
      <selection pane="bottomLeft" activeCell="B2" sqref="B2:C2"/>
    </sheetView>
  </sheetViews>
  <sheetFormatPr defaultColWidth="9" defaultRowHeight="15.6"/>
  <cols>
    <col min="1" max="1" width="1.69921875" style="48" customWidth="1"/>
    <col min="2" max="2" width="34.3984375" style="8" customWidth="1"/>
    <col min="3" max="3" width="11.69921875" style="9" bestFit="1" customWidth="1"/>
    <col min="4" max="4" width="32.69921875" style="8" bestFit="1" customWidth="1"/>
    <col min="5" max="5" width="11.69921875" style="9" bestFit="1" customWidth="1"/>
    <col min="6" max="6" width="16.19921875" style="8" customWidth="1"/>
    <col min="7" max="7" width="2.69921875" style="14" customWidth="1"/>
    <col min="8" max="8" width="11.3984375" style="14" bestFit="1" customWidth="1"/>
    <col min="9" max="16384" width="9" style="14"/>
  </cols>
  <sheetData>
    <row r="1" spans="1:10" ht="26.25" customHeight="1">
      <c r="B1" s="349" t="s">
        <v>702</v>
      </c>
      <c r="C1" s="349"/>
      <c r="D1" s="349"/>
      <c r="E1" s="349"/>
      <c r="F1" s="349"/>
      <c r="G1" s="132"/>
      <c r="H1" s="132"/>
      <c r="I1" s="132"/>
    </row>
    <row r="2" spans="1:10" ht="16.5" customHeight="1">
      <c r="B2" s="355" t="s">
        <v>706</v>
      </c>
      <c r="C2" s="356"/>
      <c r="D2" s="359" t="str">
        <f ca="1">IF(COPIA!CH1=0,"",COPIA!ES1)</f>
        <v/>
      </c>
      <c r="E2" s="360"/>
      <c r="F2" s="360"/>
      <c r="G2" s="361"/>
      <c r="H2" s="353" t="s">
        <v>427</v>
      </c>
      <c r="I2" s="354"/>
    </row>
    <row r="3" spans="1:10" ht="32.25" customHeight="1">
      <c r="B3" s="357" t="str">
        <f ca="1">IF(COPIA!CH1=0,"",COPIA!EU37)</f>
        <v/>
      </c>
      <c r="C3" s="358"/>
      <c r="D3" s="362"/>
      <c r="E3" s="363"/>
      <c r="F3" s="363"/>
      <c r="G3" s="364"/>
      <c r="H3" s="351" t="s">
        <v>418</v>
      </c>
      <c r="I3" s="352"/>
      <c r="J3" s="161"/>
    </row>
    <row r="4" spans="1:10" ht="16.5" customHeight="1">
      <c r="A4" s="233"/>
      <c r="B4" s="243" t="str">
        <f ca="1">IF(INDIRECT(ADDRESS(8,6,,,"LIBRO_GIORNALE"))="","",INDIRECT(ADDRESS(8,6,,,"LIBRO_GIORNALE")))</f>
        <v/>
      </c>
      <c r="C4" s="244"/>
      <c r="D4" s="249" t="str">
        <f ca="1">IF(INDIRECT(ADDRESS(8,7,,,"LIBRO_GIORNALE"))="","",INDIRECT(ADDRESS(8,7,,,"LIBRO_GIORNALE")))</f>
        <v/>
      </c>
      <c r="E4" s="220"/>
      <c r="F4" s="220"/>
      <c r="G4" s="221"/>
      <c r="H4" s="221"/>
      <c r="I4" s="222"/>
    </row>
    <row r="5" spans="1:10" ht="24.75" customHeight="1">
      <c r="A5" s="85"/>
      <c r="B5" s="350" t="str">
        <f ca="1">IF(COPIA!CH1=0,"",CONCATENATE("Situazione contabile per destinazione ","al", " ",COPIA!DS2,"/",COPIA!DT2,"/",COPIA!DU2))</f>
        <v/>
      </c>
      <c r="C5" s="350"/>
      <c r="D5" s="350"/>
      <c r="E5" s="350"/>
      <c r="F5" s="59"/>
    </row>
    <row r="6" spans="1:10" ht="15" customHeight="1">
      <c r="B6" s="184" t="str">
        <f ca="1">IF(COPIA!CH1=0,"","SITUAZIONE PATRIMONIALE")</f>
        <v/>
      </c>
      <c r="C6" s="44"/>
      <c r="D6" s="49" t="s">
        <v>259</v>
      </c>
      <c r="E6" s="50"/>
      <c r="G6" s="67"/>
      <c r="H6" s="245"/>
      <c r="I6" s="4"/>
    </row>
    <row r="7" spans="1:10" ht="19.5" customHeight="1">
      <c r="B7" s="29" t="str">
        <f ca="1">IF(COPIA!CH1=0,"","ATTIVITÀ")</f>
        <v/>
      </c>
      <c r="D7" s="29" t="str">
        <f ca="1">IF(COPIA!CH1=0,"","PASSIVITÀ E NETTO")</f>
        <v/>
      </c>
      <c r="F7" s="22"/>
      <c r="G7" s="67"/>
      <c r="H7" s="67"/>
    </row>
    <row r="8" spans="1:10">
      <c r="B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IF((ROW())&gt;=MAX(COPIA!$BV$2,COPIA!$BW$2)+COPIA!$CB$2,CONCATENATE((INDIRECT(ADDRESS(ROW()-MAX(COPIA!$BV$2,COPIA!$BW$2)-COPIA!$CC$2,87,4,,"COPIA"))),INDIRECT(ADDRESS(ROW()-MAX(COPIA!$BV$2,COPIA!$BW$2)-COPIA!$CC$2,96,4,,"COPIA"))),IF(AND(COPIA!$EO$1=TRUE,UPPER(COPIA!BZ3)="SALDO ECONOMICO NEGATIVO"),SUBSTITUTE(COPIA!BZ3,"SALDO ECONOMICO NEGATIVO","PERDITA D'ESERCIZIO"),UPPER(COPIA!BZ3)))</f>
        <v/>
      </c>
      <c r="C8" s="9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IFERROR(VALUE(IF((ROW())&gt;=MAX(COPIA!$BV$2,COPIA!$BW$2)+COPIA!$CB$2,CONCATENATE((INDIRECT(ADDRESS(ROW()-MAX(COPIA!$BV$2,COPIA!$BW$2)-COPIA!$CC$2,88,4,,"COPIA"))),INDIRECT(ADDRESS(ROW()-MAX(COPIA!$BV$2,COPIA!$BW$2)-COPIA!$CC$2,137,4,,"COPIA"))),UPPER(COPIA!CA3))),"")</f>
        <v>0</v>
      </c>
      <c r="D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IF((ROW())&gt;=MAX(COPIA!$BV$2,COPIA!$BW$2)+COPIA!$CB$2,CONCATENATE((INDIRECT(ADDRESS(ROW()-MAX(COPIA!$BV$2,COPIA!$BW$2)-COPIA!$CC$2,138,4,,"COPIA"))),INDIRECT(ADDRESS(ROW()-MAX(COPIA!$BV$2,COPIA!$BW$2)-COPIA!$CC$2,135,4,,"COPIA"))),IF(AND($EO$4=TRUE,UPPER(COPIA!CB3)="SALDO ECONOMICO POSITIVO"),SUBSTITUTE(COPIA!CB3,"SALDO ECONOMICO POSITIVO","UTILE D'ESERCIZIO"),UPPER(COPIA!CB3)))</f>
        <v/>
      </c>
      <c r="E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IFERROR(VALUE(IF((ROW())&gt;=MAX(COPIA!$BV$2,COPIA!$BW$2)+COPIA!$CB$2,CONCATENATE((INDIRECT(ADDRESS(ROW()-MAX(COPIA!$BV$2,COPIA!$BW$2)-COPIA!$CC$2,136,4,,"COPIA"))),INDIRECT(ADDRESS(ROW()-MAX(COPIA!$BV$2,COPIA!$BW$2)-COPIA!$CC$2,95,4,,"COPIA"))),UPPER(COPIA!CC3))),"")</f>
        <v/>
      </c>
      <c r="F8" s="22"/>
      <c r="G8" s="67"/>
      <c r="H8" s="67"/>
    </row>
    <row r="9" spans="1:10">
      <c r="B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IF((ROW())&gt;=MAX(COPIA!$BV$2,COPIA!$BW$2)+COPIA!$CB$2,CONCATENATE((INDIRECT(ADDRESS(ROW()-MAX(COPIA!$BV$2,COPIA!$BW$2)-COPIA!$CC$2,87,4,,"COPIA"))),INDIRECT(ADDRESS(ROW()-MAX(COPIA!$BV$2,COPIA!$BW$2)-COPIA!$CC$2,96,4,,"COPIA"))),IF(AND(COPIA!$EO$1=TRUE,UPPER(COPIA!BZ4)="SALDO ECONOMICO NEGATIVO"),SUBSTITUTE(COPIA!BZ4,"SALDO ECONOMICO NEGATIVO","PERDITA D'ESERCIZIO"),UPPER(COPIA!BZ4)))</f>
        <v/>
      </c>
      <c r="C9" s="9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IFERROR(VALUE(IF((ROW())&gt;=MAX(COPIA!$BV$2,COPIA!$BW$2)+COPIA!$CB$2,CONCATENATE((INDIRECT(ADDRESS(ROW()-MAX(COPIA!$BV$2,COPIA!$BW$2)-COPIA!$CC$2,88,4,,"COPIA"))),INDIRECT(ADDRESS(ROW()-MAX(COPIA!$BV$2,COPIA!$BW$2)-COPIA!$CC$2,137,4,,"COPIA"))),UPPER(COPIA!CA4))),"")</f>
        <v>0</v>
      </c>
      <c r="D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IF((ROW())&gt;=MAX(COPIA!$BV$2,COPIA!$BW$2)+COPIA!$CB$2,CONCATENATE((INDIRECT(ADDRESS(ROW()-MAX(COPIA!$BV$2,COPIA!$BW$2)-COPIA!$CC$2,138,4,,"COPIA"))),INDIRECT(ADDRESS(ROW()-MAX(COPIA!$BV$2,COPIA!$BW$2)-COPIA!$CC$2,135,4,,"COPIA"))),IF(AND($EO$4=TRUE,UPPER(COPIA!CB4)="SALDO ECONOMICO POSITIVO"),SUBSTITUTE(COPIA!CB4,"SALDO ECONOMICO POSITIVO","UTILE D'ESERCIZIO"),UPPER(COPIA!CB4)))</f>
        <v/>
      </c>
      <c r="E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IFERROR(VALUE(IF((ROW())&gt;=MAX(COPIA!$BV$2,COPIA!$BW$2)+COPIA!$CB$2,CONCATENATE((INDIRECT(ADDRESS(ROW()-MAX(COPIA!$BV$2,COPIA!$BW$2)-COPIA!$CC$2,136,4,,"COPIA"))),INDIRECT(ADDRESS(ROW()-MAX(COPIA!$BV$2,COPIA!$BW$2)-COPIA!$CC$2,95,4,,"COPIA"))),UPPER(COPIA!CC4))),"")</f>
        <v/>
      </c>
      <c r="F9" s="22"/>
      <c r="G9" s="67"/>
      <c r="H9" s="67"/>
    </row>
    <row r="10" spans="1:10">
      <c r="B1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IF((ROW())&gt;=MAX(COPIA!$BV$2,COPIA!$BW$2)+COPIA!$CB$2,CONCATENATE((INDIRECT(ADDRESS(ROW()-MAX(COPIA!$BV$2,COPIA!$BW$2)-COPIA!$CC$2,87,4,,"COPIA"))),INDIRECT(ADDRESS(ROW()-MAX(COPIA!$BV$2,COPIA!$BW$2)-COPIA!$CC$2,96,4,,"COPIA"))),IF(AND(COPIA!$EO$1=TRUE,UPPER(COPIA!BZ5)="SALDO ECONOMICO NEGATIVO"),SUBSTITUTE(COPIA!BZ5,"SALDO ECONOMICO NEGATIVO","PERDITA D'ESERCIZIO"),UPPER(COPIA!BZ5)))</f>
        <v/>
      </c>
      <c r="C10" s="9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IFERROR(VALUE(IF((ROW())&gt;=MAX(COPIA!$BV$2,COPIA!$BW$2)+COPIA!$CB$2,CONCATENATE((INDIRECT(ADDRESS(ROW()-MAX(COPIA!$BV$2,COPIA!$BW$2)-COPIA!$CC$2,88,4,,"COPIA"))),INDIRECT(ADDRESS(ROW()-MAX(COPIA!$BV$2,COPIA!$BW$2)-COPIA!$CC$2,137,4,,"COPIA"))),UPPER(COPIA!CA5))),"")</f>
        <v>0</v>
      </c>
      <c r="D1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IF((ROW())&gt;=MAX(COPIA!$BV$2,COPIA!$BW$2)+COPIA!$CB$2,CONCATENATE((INDIRECT(ADDRESS(ROW()-MAX(COPIA!$BV$2,COPIA!$BW$2)-COPIA!$CC$2,138,4,,"COPIA"))),INDIRECT(ADDRESS(ROW()-MAX(COPIA!$BV$2,COPIA!$BW$2)-COPIA!$CC$2,135,4,,"COPIA"))),IF(AND($EO$4=TRUE,UPPER(COPIA!CB5)="SALDO ECONOMICO POSITIVO"),SUBSTITUTE(COPIA!CB5,"SALDO ECONOMICO POSITIVO","UTILE D'ESERCIZIO"),UPPER(COPIA!CB5)))</f>
        <v/>
      </c>
      <c r="E1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IFERROR(VALUE(IF((ROW())&gt;=MAX(COPIA!$BV$2,COPIA!$BW$2)+COPIA!$CB$2,CONCATENATE((INDIRECT(ADDRESS(ROW()-MAX(COPIA!$BV$2,COPIA!$BW$2)-COPIA!$CC$2,136,4,,"COPIA"))),INDIRECT(ADDRESS(ROW()-MAX(COPIA!$BV$2,COPIA!$BW$2)-COPIA!$CC$2,95,4,,"COPIA"))),UPPER(COPIA!CC5))),"")</f>
        <v/>
      </c>
      <c r="F10" s="22"/>
      <c r="G10" s="67"/>
      <c r="H10" s="67"/>
    </row>
    <row r="11" spans="1:10">
      <c r="B1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IF((ROW())&gt;=MAX(COPIA!$BV$2,COPIA!$BW$2)+COPIA!$CB$2,CONCATENATE((INDIRECT(ADDRESS(ROW()-MAX(COPIA!$BV$2,COPIA!$BW$2)-COPIA!$CC$2,87,4,,"COPIA"))),INDIRECT(ADDRESS(ROW()-MAX(COPIA!$BV$2,COPIA!$BW$2)-COPIA!$CC$2,96,4,,"COPIA"))),IF(AND(COPIA!$EO$1=TRUE,UPPER(COPIA!BZ6)="SALDO ECONOMICO NEGATIVO"),SUBSTITUTE(COPIA!BZ6,"SALDO ECONOMICO NEGATIVO","PERDITA D'ESERCIZIO"),UPPER(COPIA!BZ6)))</f>
        <v/>
      </c>
      <c r="C11" s="9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IFERROR(VALUE(IF((ROW())&gt;=MAX(COPIA!$BV$2,COPIA!$BW$2)+COPIA!$CB$2,CONCATENATE((INDIRECT(ADDRESS(ROW()-MAX(COPIA!$BV$2,COPIA!$BW$2)-COPIA!$CC$2,88,4,,"COPIA"))),INDIRECT(ADDRESS(ROW()-MAX(COPIA!$BV$2,COPIA!$BW$2)-COPIA!$CC$2,137,4,,"COPIA"))),UPPER(COPIA!CA6))),"")</f>
        <v>0</v>
      </c>
      <c r="D1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IF((ROW())&gt;=MAX(COPIA!$BV$2,COPIA!$BW$2)+COPIA!$CB$2,CONCATENATE((INDIRECT(ADDRESS(ROW()-MAX(COPIA!$BV$2,COPIA!$BW$2)-COPIA!$CC$2,138,4,,"COPIA"))),INDIRECT(ADDRESS(ROW()-MAX(COPIA!$BV$2,COPIA!$BW$2)-COPIA!$CC$2,135,4,,"COPIA"))),IF(AND($EO$4=TRUE,UPPER(COPIA!CB6)="SALDO ECONOMICO POSITIVO"),SUBSTITUTE(COPIA!CB6,"SALDO ECONOMICO POSITIVO","UTILE D'ESERCIZIO"),UPPER(COPIA!CB6)))</f>
        <v/>
      </c>
      <c r="E1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IFERROR(VALUE(IF((ROW())&gt;=MAX(COPIA!$BV$2,COPIA!$BW$2)+COPIA!$CB$2,CONCATENATE((INDIRECT(ADDRESS(ROW()-MAX(COPIA!$BV$2,COPIA!$BW$2)-COPIA!$CC$2,136,4,,"COPIA"))),INDIRECT(ADDRESS(ROW()-MAX(COPIA!$BV$2,COPIA!$BW$2)-COPIA!$CC$2,95,4,,"COPIA"))),UPPER(COPIA!CC6))),"")</f>
        <v/>
      </c>
      <c r="F11" s="22"/>
      <c r="G11" s="67"/>
      <c r="H11" s="67"/>
    </row>
    <row r="12" spans="1:10">
      <c r="B1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IF((ROW())&gt;=MAX(COPIA!$BV$2,COPIA!$BW$2)+COPIA!$CB$2,CONCATENATE((INDIRECT(ADDRESS(ROW()-MAX(COPIA!$BV$2,COPIA!$BW$2)-COPIA!$CC$2,87,4,,"COPIA"))),INDIRECT(ADDRESS(ROW()-MAX(COPIA!$BV$2,COPIA!$BW$2)-COPIA!$CC$2,96,4,,"COPIA"))),IF(AND(COPIA!$EO$1=TRUE,UPPER(COPIA!BZ7)="SALDO ECONOMICO NEGATIVO"),SUBSTITUTE(COPIA!BZ7,"SALDO ECONOMICO NEGATIVO","PERDITA D'ESERCIZIO"),UPPER(COPIA!BZ7)))</f>
        <v/>
      </c>
      <c r="C12" s="9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IFERROR(VALUE(IF((ROW())&gt;=MAX(COPIA!$BV$2,COPIA!$BW$2)+COPIA!$CB$2,CONCATENATE((INDIRECT(ADDRESS(ROW()-MAX(COPIA!$BV$2,COPIA!$BW$2)-COPIA!$CC$2,88,4,,"COPIA"))),INDIRECT(ADDRESS(ROW()-MAX(COPIA!$BV$2,COPIA!$BW$2)-COPIA!$CC$2,137,4,,"COPIA"))),UPPER(COPIA!CA7))),"")</f>
        <v>0</v>
      </c>
      <c r="D1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IF((ROW())&gt;=MAX(COPIA!$BV$2,COPIA!$BW$2)+COPIA!$CB$2,CONCATENATE((INDIRECT(ADDRESS(ROW()-MAX(COPIA!$BV$2,COPIA!$BW$2)-COPIA!$CC$2,138,4,,"COPIA"))),INDIRECT(ADDRESS(ROW()-MAX(COPIA!$BV$2,COPIA!$BW$2)-COPIA!$CC$2,135,4,,"COPIA"))),IF(AND($EO$4=TRUE,UPPER(COPIA!CB7)="SALDO ECONOMICO POSITIVO"),SUBSTITUTE(COPIA!CB7,"SALDO ECONOMICO POSITIVO","UTILE D'ESERCIZIO"),UPPER(COPIA!CB7)))</f>
        <v/>
      </c>
      <c r="E1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IFERROR(VALUE(IF((ROW())&gt;=MAX(COPIA!$BV$2,COPIA!$BW$2)+COPIA!$CB$2,CONCATENATE((INDIRECT(ADDRESS(ROW()-MAX(COPIA!$BV$2,COPIA!$BW$2)-COPIA!$CC$2,136,4,,"COPIA"))),INDIRECT(ADDRESS(ROW()-MAX(COPIA!$BV$2,COPIA!$BW$2)-COPIA!$CC$2,95,4,,"COPIA"))),UPPER(COPIA!CC7))),"")</f>
        <v/>
      </c>
      <c r="F12" s="22"/>
      <c r="G12" s="67"/>
      <c r="H12" s="67"/>
    </row>
    <row r="13" spans="1:10">
      <c r="B1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IF((ROW())&gt;=MAX(COPIA!$BV$2,COPIA!$BW$2)+COPIA!$CB$2,CONCATENATE((INDIRECT(ADDRESS(ROW()-MAX(COPIA!$BV$2,COPIA!$BW$2)-COPIA!$CC$2,87,4,,"COPIA"))),INDIRECT(ADDRESS(ROW()-MAX(COPIA!$BV$2,COPIA!$BW$2)-COPIA!$CC$2,96,4,,"COPIA"))),IF(AND(COPIA!$EO$1=TRUE,UPPER(COPIA!BZ8)="SALDO ECONOMICO NEGATIVO"),SUBSTITUTE(COPIA!BZ8,"SALDO ECONOMICO NEGATIVO","PERDITA D'ESERCIZIO"),UPPER(COPIA!BZ8)))</f>
        <v/>
      </c>
      <c r="C1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IFERROR(VALUE(IF((ROW())&gt;=MAX(COPIA!$BV$2,COPIA!$BW$2)+COPIA!$CB$2,CONCATENATE((INDIRECT(ADDRESS(ROW()-MAX(COPIA!$BV$2,COPIA!$BW$2)-COPIA!$CC$2,88,4,,"COPIA"))),INDIRECT(ADDRESS(ROW()-MAX(COPIA!$BV$2,COPIA!$BW$2)-COPIA!$CC$2,137,4,,"COPIA"))),UPPER(COPIA!CA8))),"")</f>
        <v/>
      </c>
      <c r="D1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IF((ROW())&gt;=MAX(COPIA!$BV$2,COPIA!$BW$2)+COPIA!$CB$2,CONCATENATE((INDIRECT(ADDRESS(ROW()-MAX(COPIA!$BV$2,COPIA!$BW$2)-COPIA!$CC$2,138,4,,"COPIA"))),INDIRECT(ADDRESS(ROW()-MAX(COPIA!$BV$2,COPIA!$BW$2)-COPIA!$CC$2,135,4,,"COPIA"))),IF(AND($EO$4=TRUE,UPPER(COPIA!CB8)="SALDO ECONOMICO POSITIVO"),SUBSTITUTE(COPIA!CB8,"SALDO ECONOMICO POSITIVO","UTILE D'ESERCIZIO"),UPPER(COPIA!CB8)))</f>
        <v/>
      </c>
      <c r="E1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IFERROR(VALUE(IF((ROW())&gt;=MAX(COPIA!$BV$2,COPIA!$BW$2)+COPIA!$CB$2,CONCATENATE((INDIRECT(ADDRESS(ROW()-MAX(COPIA!$BV$2,COPIA!$BW$2)-COPIA!$CC$2,136,4,,"COPIA"))),INDIRECT(ADDRESS(ROW()-MAX(COPIA!$BV$2,COPIA!$BW$2)-COPIA!$CC$2,95,4,,"COPIA"))),UPPER(COPIA!CC8))),"")</f>
        <v/>
      </c>
      <c r="F13" s="22"/>
      <c r="G13" s="58"/>
      <c r="H13" s="58"/>
    </row>
    <row r="14" spans="1:10">
      <c r="B1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IF((ROW())&gt;=MAX(COPIA!$BV$2,COPIA!$BW$2)+COPIA!$CB$2,CONCATENATE((INDIRECT(ADDRESS(ROW()-MAX(COPIA!$BV$2,COPIA!$BW$2)-COPIA!$CC$2,87,4,,"COPIA"))),INDIRECT(ADDRESS(ROW()-MAX(COPIA!$BV$2,COPIA!$BW$2)-COPIA!$CC$2,96,4,,"COPIA"))),IF(AND(COPIA!$EO$1=TRUE,UPPER(COPIA!BZ9)="SALDO ECONOMICO NEGATIVO"),SUBSTITUTE(COPIA!BZ9,"SALDO ECONOMICO NEGATIVO","PERDITA D'ESERCIZIO"),UPPER(COPIA!BZ9)))</f>
        <v/>
      </c>
      <c r="C1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IFERROR(VALUE(IF((ROW())&gt;=MAX(COPIA!$BV$2,COPIA!$BW$2)+COPIA!$CB$2,CONCATENATE((INDIRECT(ADDRESS(ROW()-MAX(COPIA!$BV$2,COPIA!$BW$2)-COPIA!$CC$2,88,4,,"COPIA"))),INDIRECT(ADDRESS(ROW()-MAX(COPIA!$BV$2,COPIA!$BW$2)-COPIA!$CC$2,137,4,,"COPIA"))),UPPER(COPIA!CA9))),"")</f>
        <v/>
      </c>
      <c r="D1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IF((ROW())&gt;=MAX(COPIA!$BV$2,COPIA!$BW$2)+COPIA!$CB$2,CONCATENATE((INDIRECT(ADDRESS(ROW()-MAX(COPIA!$BV$2,COPIA!$BW$2)-COPIA!$CC$2,138,4,,"COPIA"))),INDIRECT(ADDRESS(ROW()-MAX(COPIA!$BV$2,COPIA!$BW$2)-COPIA!$CC$2,135,4,,"COPIA"))),IF(AND($EO$4=TRUE,UPPER(COPIA!CB9)="SALDO ECONOMICO POSITIVO"),SUBSTITUTE(COPIA!CB9,"SALDO ECONOMICO POSITIVO","UTILE D'ESERCIZIO"),UPPER(COPIA!CB9)))</f>
        <v/>
      </c>
      <c r="E1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IFERROR(VALUE(IF((ROW())&gt;=MAX(COPIA!$BV$2,COPIA!$BW$2)+COPIA!$CB$2,CONCATENATE((INDIRECT(ADDRESS(ROW()-MAX(COPIA!$BV$2,COPIA!$BW$2)-COPIA!$CC$2,136,4,,"COPIA"))),INDIRECT(ADDRESS(ROW()-MAX(COPIA!$BV$2,COPIA!$BW$2)-COPIA!$CC$2,95,4,,"COPIA"))),UPPER(COPIA!CC9))),"")</f>
        <v/>
      </c>
      <c r="F14" s="22"/>
      <c r="G14" s="58"/>
      <c r="H14" s="58"/>
    </row>
    <row r="15" spans="1:10">
      <c r="B1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IF((ROW())&gt;=MAX(COPIA!$BV$2,COPIA!$BW$2)+COPIA!$CB$2,CONCATENATE((INDIRECT(ADDRESS(ROW()-MAX(COPIA!$BV$2,COPIA!$BW$2)-COPIA!$CC$2,87,4,,"COPIA"))),INDIRECT(ADDRESS(ROW()-MAX(COPIA!$BV$2,COPIA!$BW$2)-COPIA!$CC$2,96,4,,"COPIA"))),IF(AND(COPIA!$EO$1=TRUE,UPPER(COPIA!BZ10)="SALDO ECONOMICO NEGATIVO"),SUBSTITUTE(COPIA!BZ10,"SALDO ECONOMICO NEGATIVO","PERDITA D'ESERCIZIO"),UPPER(COPIA!BZ10)))</f>
        <v/>
      </c>
      <c r="C1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IFERROR(VALUE(IF((ROW())&gt;=MAX(COPIA!$BV$2,COPIA!$BW$2)+COPIA!$CB$2,CONCATENATE((INDIRECT(ADDRESS(ROW()-MAX(COPIA!$BV$2,COPIA!$BW$2)-COPIA!$CC$2,88,4,,"COPIA"))),INDIRECT(ADDRESS(ROW()-MAX(COPIA!$BV$2,COPIA!$BW$2)-COPIA!$CC$2,137,4,,"COPIA"))),UPPER(COPIA!CA10))),"")</f>
        <v/>
      </c>
      <c r="D1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IF((ROW())&gt;=MAX(COPIA!$BV$2,COPIA!$BW$2)+COPIA!$CB$2,CONCATENATE((INDIRECT(ADDRESS(ROW()-MAX(COPIA!$BV$2,COPIA!$BW$2)-COPIA!$CC$2,138,4,,"COPIA"))),INDIRECT(ADDRESS(ROW()-MAX(COPIA!$BV$2,COPIA!$BW$2)-COPIA!$CC$2,135,4,,"COPIA"))),IF(AND($EO$4=TRUE,UPPER(COPIA!CB10)="SALDO ECONOMICO POSITIVO"),SUBSTITUTE(COPIA!CB10,"SALDO ECONOMICO POSITIVO","UTILE D'ESERCIZIO"),UPPER(COPIA!CB10)))</f>
        <v/>
      </c>
      <c r="E1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IFERROR(VALUE(IF((ROW())&gt;=MAX(COPIA!$BV$2,COPIA!$BW$2)+COPIA!$CB$2,CONCATENATE((INDIRECT(ADDRESS(ROW()-MAX(COPIA!$BV$2,COPIA!$BW$2)-COPIA!$CC$2,136,4,,"COPIA"))),INDIRECT(ADDRESS(ROW()-MAX(COPIA!$BV$2,COPIA!$BW$2)-COPIA!$CC$2,95,4,,"COPIA"))),UPPER(COPIA!CC10))),"")</f>
        <v/>
      </c>
      <c r="F15" s="22"/>
      <c r="G15" s="19"/>
    </row>
    <row r="16" spans="1:10">
      <c r="B1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IF((ROW())&gt;=MAX(COPIA!$BV$2,COPIA!$BW$2)+COPIA!$CB$2,CONCATENATE((INDIRECT(ADDRESS(ROW()-MAX(COPIA!$BV$2,COPIA!$BW$2)-COPIA!$CC$2,87,4,,"COPIA"))),INDIRECT(ADDRESS(ROW()-MAX(COPIA!$BV$2,COPIA!$BW$2)-COPIA!$CC$2,96,4,,"COPIA"))),IF(AND(COPIA!$EO$1=TRUE,UPPER(COPIA!BZ11)="SALDO ECONOMICO NEGATIVO"),SUBSTITUTE(COPIA!BZ11,"SALDO ECONOMICO NEGATIVO","PERDITA D'ESERCIZIO"),UPPER(COPIA!BZ11)))</f>
        <v/>
      </c>
      <c r="C1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IFERROR(VALUE(IF((ROW())&gt;=MAX(COPIA!$BV$2,COPIA!$BW$2)+COPIA!$CB$2,CONCATENATE((INDIRECT(ADDRESS(ROW()-MAX(COPIA!$BV$2,COPIA!$BW$2)-COPIA!$CC$2,88,4,,"COPIA"))),INDIRECT(ADDRESS(ROW()-MAX(COPIA!$BV$2,COPIA!$BW$2)-COPIA!$CC$2,137,4,,"COPIA"))),UPPER(COPIA!CA11))),"")</f>
        <v/>
      </c>
      <c r="D1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IF((ROW())&gt;=MAX(COPIA!$BV$2,COPIA!$BW$2)+COPIA!$CB$2,CONCATENATE((INDIRECT(ADDRESS(ROW()-MAX(COPIA!$BV$2,COPIA!$BW$2)-COPIA!$CC$2,138,4,,"COPIA"))),INDIRECT(ADDRESS(ROW()-MAX(COPIA!$BV$2,COPIA!$BW$2)-COPIA!$CC$2,135,4,,"COPIA"))),IF(AND($EO$4=TRUE,UPPER(COPIA!CB11)="SALDO ECONOMICO POSITIVO"),SUBSTITUTE(COPIA!CB11,"SALDO ECONOMICO POSITIVO","UTILE D'ESERCIZIO"),UPPER(COPIA!CB11)))</f>
        <v/>
      </c>
      <c r="E1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IFERROR(VALUE(IF((ROW())&gt;=MAX(COPIA!$BV$2,COPIA!$BW$2)+COPIA!$CB$2,CONCATENATE((INDIRECT(ADDRESS(ROW()-MAX(COPIA!$BV$2,COPIA!$BW$2)-COPIA!$CC$2,136,4,,"COPIA"))),INDIRECT(ADDRESS(ROW()-MAX(COPIA!$BV$2,COPIA!$BW$2)-COPIA!$CC$2,95,4,,"COPIA"))),UPPER(COPIA!CC11))),"")</f>
        <v/>
      </c>
      <c r="F16" s="22"/>
    </row>
    <row r="17" spans="2:8">
      <c r="B1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IF((ROW())&gt;=MAX(COPIA!$BV$2,COPIA!$BW$2)+COPIA!$CB$2,CONCATENATE((INDIRECT(ADDRESS(ROW()-MAX(COPIA!$BV$2,COPIA!$BW$2)-COPIA!$CC$2,87,4,,"COPIA"))),INDIRECT(ADDRESS(ROW()-MAX(COPIA!$BV$2,COPIA!$BW$2)-COPIA!$CC$2,96,4,,"COPIA"))),IF(AND(COPIA!$EO$1=TRUE,UPPER(COPIA!BZ12)="SALDO ECONOMICO NEGATIVO"),SUBSTITUTE(COPIA!BZ12,"SALDO ECONOMICO NEGATIVO","PERDITA D'ESERCIZIO"),UPPER(COPIA!BZ12)))</f>
        <v/>
      </c>
      <c r="C1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IFERROR(VALUE(IF((ROW())&gt;=MAX(COPIA!$BV$2,COPIA!$BW$2)+COPIA!$CB$2,CONCATENATE((INDIRECT(ADDRESS(ROW()-MAX(COPIA!$BV$2,COPIA!$BW$2)-COPIA!$CC$2,88,4,,"COPIA"))),INDIRECT(ADDRESS(ROW()-MAX(COPIA!$BV$2,COPIA!$BW$2)-COPIA!$CC$2,137,4,,"COPIA"))),UPPER(COPIA!CA12))),"")</f>
        <v/>
      </c>
      <c r="D1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IF((ROW())&gt;=MAX(COPIA!$BV$2,COPIA!$BW$2)+COPIA!$CB$2,CONCATENATE((INDIRECT(ADDRESS(ROW()-MAX(COPIA!$BV$2,COPIA!$BW$2)-COPIA!$CC$2,138,4,,"COPIA"))),INDIRECT(ADDRESS(ROW()-MAX(COPIA!$BV$2,COPIA!$BW$2)-COPIA!$CC$2,135,4,,"COPIA"))),IF(AND($EO$4=TRUE,UPPER(COPIA!CB12)="SALDO ECONOMICO POSITIVO"),SUBSTITUTE(COPIA!CB12,"SALDO ECONOMICO POSITIVO","UTILE D'ESERCIZIO"),UPPER(COPIA!CB12)))</f>
        <v/>
      </c>
      <c r="E1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IFERROR(VALUE(IF((ROW())&gt;=MAX(COPIA!$BV$2,COPIA!$BW$2)+COPIA!$CB$2,CONCATENATE((INDIRECT(ADDRESS(ROW()-MAX(COPIA!$BV$2,COPIA!$BW$2)-COPIA!$CC$2,136,4,,"COPIA"))),INDIRECT(ADDRESS(ROW()-MAX(COPIA!$BV$2,COPIA!$BW$2)-COPIA!$CC$2,95,4,,"COPIA"))),UPPER(COPIA!CC12))),"")</f>
        <v/>
      </c>
      <c r="F17" s="22"/>
    </row>
    <row r="18" spans="2:8">
      <c r="B1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IF((ROW())&gt;=MAX(COPIA!$BV$2,COPIA!$BW$2)+COPIA!$CB$2,CONCATENATE((INDIRECT(ADDRESS(ROW()-MAX(COPIA!$BV$2,COPIA!$BW$2)-COPIA!$CC$2,87,4,,"COPIA"))),INDIRECT(ADDRESS(ROW()-MAX(COPIA!$BV$2,COPIA!$BW$2)-COPIA!$CC$2,96,4,,"COPIA"))),IF(AND(COPIA!$EO$1=TRUE,UPPER(COPIA!BZ13)="SALDO ECONOMICO NEGATIVO"),SUBSTITUTE(COPIA!BZ13,"SALDO ECONOMICO NEGATIVO","PERDITA D'ESERCIZIO"),UPPER(COPIA!BZ13)))</f>
        <v/>
      </c>
      <c r="C1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IFERROR(VALUE(IF((ROW())&gt;=MAX(COPIA!$BV$2,COPIA!$BW$2)+COPIA!$CB$2,CONCATENATE((INDIRECT(ADDRESS(ROW()-MAX(COPIA!$BV$2,COPIA!$BW$2)-COPIA!$CC$2,88,4,,"COPIA"))),INDIRECT(ADDRESS(ROW()-MAX(COPIA!$BV$2,COPIA!$BW$2)-COPIA!$CC$2,137,4,,"COPIA"))),UPPER(COPIA!CA13))),"")</f>
        <v/>
      </c>
      <c r="D1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IF((ROW())&gt;=MAX(COPIA!$BV$2,COPIA!$BW$2)+COPIA!$CB$2,CONCATENATE((INDIRECT(ADDRESS(ROW()-MAX(COPIA!$BV$2,COPIA!$BW$2)-COPIA!$CC$2,138,4,,"COPIA"))),INDIRECT(ADDRESS(ROW()-MAX(COPIA!$BV$2,COPIA!$BW$2)-COPIA!$CC$2,135,4,,"COPIA"))),IF(AND($EO$4=TRUE,UPPER(COPIA!CB13)="SALDO ECONOMICO POSITIVO"),SUBSTITUTE(COPIA!CB13,"SALDO ECONOMICO POSITIVO","UTILE D'ESERCIZIO"),UPPER(COPIA!CB13)))</f>
        <v/>
      </c>
      <c r="E1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IFERROR(VALUE(IF((ROW())&gt;=MAX(COPIA!$BV$2,COPIA!$BW$2)+COPIA!$CB$2,CONCATENATE((INDIRECT(ADDRESS(ROW()-MAX(COPIA!$BV$2,COPIA!$BW$2)-COPIA!$CC$2,136,4,,"COPIA"))),INDIRECT(ADDRESS(ROW()-MAX(COPIA!$BV$2,COPIA!$BW$2)-COPIA!$CC$2,95,4,,"COPIA"))),UPPER(COPIA!CC13))),"")</f>
        <v/>
      </c>
      <c r="F18" s="22"/>
    </row>
    <row r="19" spans="2:8">
      <c r="B1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IF((ROW())&gt;=MAX(COPIA!$BV$2,COPIA!$BW$2)+COPIA!$CB$2,CONCATENATE((INDIRECT(ADDRESS(ROW()-MAX(COPIA!$BV$2,COPIA!$BW$2)-COPIA!$CC$2,87,4,,"COPIA"))),INDIRECT(ADDRESS(ROW()-MAX(COPIA!$BV$2,COPIA!$BW$2)-COPIA!$CC$2,96,4,,"COPIA"))),IF(AND(COPIA!$EO$1=TRUE,UPPER(COPIA!BZ14)="SALDO ECONOMICO NEGATIVO"),SUBSTITUTE(COPIA!BZ14,"SALDO ECONOMICO NEGATIVO","PERDITA D'ESERCIZIO"),UPPER(COPIA!BZ14)))</f>
        <v/>
      </c>
      <c r="C1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IFERROR(VALUE(IF((ROW())&gt;=MAX(COPIA!$BV$2,COPIA!$BW$2)+COPIA!$CB$2,CONCATENATE((INDIRECT(ADDRESS(ROW()-MAX(COPIA!$BV$2,COPIA!$BW$2)-COPIA!$CC$2,88,4,,"COPIA"))),INDIRECT(ADDRESS(ROW()-MAX(COPIA!$BV$2,COPIA!$BW$2)-COPIA!$CC$2,137,4,,"COPIA"))),UPPER(COPIA!CA14))),"")</f>
        <v/>
      </c>
      <c r="D1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IF((ROW())&gt;=MAX(COPIA!$BV$2,COPIA!$BW$2)+COPIA!$CB$2,CONCATENATE((INDIRECT(ADDRESS(ROW()-MAX(COPIA!$BV$2,COPIA!$BW$2)-COPIA!$CC$2,138,4,,"COPIA"))),INDIRECT(ADDRESS(ROW()-MAX(COPIA!$BV$2,COPIA!$BW$2)-COPIA!$CC$2,135,4,,"COPIA"))),IF(AND($EO$4=TRUE,UPPER(COPIA!CB14)="SALDO ECONOMICO POSITIVO"),SUBSTITUTE(COPIA!CB14,"SALDO ECONOMICO POSITIVO","UTILE D'ESERCIZIO"),UPPER(COPIA!CB14)))</f>
        <v/>
      </c>
      <c r="E1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IFERROR(VALUE(IF((ROW())&gt;=MAX(COPIA!$BV$2,COPIA!$BW$2)+COPIA!$CB$2,CONCATENATE((INDIRECT(ADDRESS(ROW()-MAX(COPIA!$BV$2,COPIA!$BW$2)-COPIA!$CC$2,136,4,,"COPIA"))),INDIRECT(ADDRESS(ROW()-MAX(COPIA!$BV$2,COPIA!$BW$2)-COPIA!$CC$2,95,4,,"COPIA"))),UPPER(COPIA!CC14))),"")</f>
        <v/>
      </c>
      <c r="F19" s="22"/>
    </row>
    <row r="20" spans="2:8">
      <c r="B2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IF((ROW())&gt;=MAX(COPIA!$BV$2,COPIA!$BW$2)+COPIA!$CB$2,CONCATENATE((INDIRECT(ADDRESS(ROW()-MAX(COPIA!$BV$2,COPIA!$BW$2)-COPIA!$CC$2,87,4,,"COPIA"))),INDIRECT(ADDRESS(ROW()-MAX(COPIA!$BV$2,COPIA!$BW$2)-COPIA!$CC$2,96,4,,"COPIA"))),IF(AND(COPIA!$EO$1=TRUE,UPPER(COPIA!BZ15)="SALDO ECONOMICO NEGATIVO"),SUBSTITUTE(COPIA!BZ15,"SALDO ECONOMICO NEGATIVO","PERDITA D'ESERCIZIO"),UPPER(COPIA!BZ15)))</f>
        <v/>
      </c>
      <c r="C2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IFERROR(VALUE(IF((ROW())&gt;=MAX(COPIA!$BV$2,COPIA!$BW$2)+COPIA!$CB$2,CONCATENATE((INDIRECT(ADDRESS(ROW()-MAX(COPIA!$BV$2,COPIA!$BW$2)-COPIA!$CC$2,88,4,,"COPIA"))),INDIRECT(ADDRESS(ROW()-MAX(COPIA!$BV$2,COPIA!$BW$2)-COPIA!$CC$2,137,4,,"COPIA"))),UPPER(COPIA!CA15))),"")</f>
        <v/>
      </c>
      <c r="D2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IF((ROW())&gt;=MAX(COPIA!$BV$2,COPIA!$BW$2)+COPIA!$CB$2,CONCATENATE((INDIRECT(ADDRESS(ROW()-MAX(COPIA!$BV$2,COPIA!$BW$2)-COPIA!$CC$2,138,4,,"COPIA"))),INDIRECT(ADDRESS(ROW()-MAX(COPIA!$BV$2,COPIA!$BW$2)-COPIA!$CC$2,135,4,,"COPIA"))),IF(AND($EO$4=TRUE,UPPER(COPIA!CB15)="SALDO ECONOMICO POSITIVO"),SUBSTITUTE(COPIA!CB15,"SALDO ECONOMICO POSITIVO","UTILE D'ESERCIZIO"),UPPER(COPIA!CB15)))</f>
        <v/>
      </c>
      <c r="E2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IFERROR(VALUE(IF((ROW())&gt;=MAX(COPIA!$BV$2,COPIA!$BW$2)+COPIA!$CB$2,CONCATENATE((INDIRECT(ADDRESS(ROW()-MAX(COPIA!$BV$2,COPIA!$BW$2)-COPIA!$CC$2,136,4,,"COPIA"))),INDIRECT(ADDRESS(ROW()-MAX(COPIA!$BV$2,COPIA!$BW$2)-COPIA!$CC$2,95,4,,"COPIA"))),UPPER(COPIA!CC15))),"")</f>
        <v/>
      </c>
      <c r="F20" s="22"/>
    </row>
    <row r="21" spans="2:8">
      <c r="B2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IF((ROW())&gt;=MAX(COPIA!$BV$2,COPIA!$BW$2)+COPIA!$CB$2,CONCATENATE((INDIRECT(ADDRESS(ROW()-MAX(COPIA!$BV$2,COPIA!$BW$2)-COPIA!$CC$2,87,4,,"COPIA"))),INDIRECT(ADDRESS(ROW()-MAX(COPIA!$BV$2,COPIA!$BW$2)-COPIA!$CC$2,96,4,,"COPIA"))),IF(AND(COPIA!$EO$1=TRUE,UPPER(COPIA!BZ16)="SALDO ECONOMICO NEGATIVO"),SUBSTITUTE(COPIA!BZ16,"SALDO ECONOMICO NEGATIVO","PERDITA D'ESERCIZIO"),UPPER(COPIA!BZ16)))</f>
        <v/>
      </c>
      <c r="C2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IFERROR(VALUE(IF((ROW())&gt;=MAX(COPIA!$BV$2,COPIA!$BW$2)+COPIA!$CB$2,CONCATENATE((INDIRECT(ADDRESS(ROW()-MAX(COPIA!$BV$2,COPIA!$BW$2)-COPIA!$CC$2,88,4,,"COPIA"))),INDIRECT(ADDRESS(ROW()-MAX(COPIA!$BV$2,COPIA!$BW$2)-COPIA!$CC$2,137,4,,"COPIA"))),UPPER(COPIA!CA16))),"")</f>
        <v/>
      </c>
      <c r="D2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IF((ROW())&gt;=MAX(COPIA!$BV$2,COPIA!$BW$2)+COPIA!$CB$2,CONCATENATE((INDIRECT(ADDRESS(ROW()-MAX(COPIA!$BV$2,COPIA!$BW$2)-COPIA!$CC$2,138,4,,"COPIA"))),INDIRECT(ADDRESS(ROW()-MAX(COPIA!$BV$2,COPIA!$BW$2)-COPIA!$CC$2,135,4,,"COPIA"))),IF(AND($EO$4=TRUE,UPPER(COPIA!CB16)="SALDO ECONOMICO POSITIVO"),SUBSTITUTE(COPIA!CB16,"SALDO ECONOMICO POSITIVO","UTILE D'ESERCIZIO"),UPPER(COPIA!CB16)))</f>
        <v/>
      </c>
      <c r="E2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IFERROR(VALUE(IF((ROW())&gt;=MAX(COPIA!$BV$2,COPIA!$BW$2)+COPIA!$CB$2,CONCATENATE((INDIRECT(ADDRESS(ROW()-MAX(COPIA!$BV$2,COPIA!$BW$2)-COPIA!$CC$2,136,4,,"COPIA"))),INDIRECT(ADDRESS(ROW()-MAX(COPIA!$BV$2,COPIA!$BW$2)-COPIA!$CC$2,95,4,,"COPIA"))),UPPER(COPIA!CC16))),"")</f>
        <v/>
      </c>
      <c r="F21" s="22"/>
    </row>
    <row r="22" spans="2:8">
      <c r="B2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IF((ROW())&gt;=MAX(COPIA!$BV$2,COPIA!$BW$2)+COPIA!$CB$2,CONCATENATE((INDIRECT(ADDRESS(ROW()-MAX(COPIA!$BV$2,COPIA!$BW$2)-COPIA!$CC$2,87,4,,"COPIA"))),INDIRECT(ADDRESS(ROW()-MAX(COPIA!$BV$2,COPIA!$BW$2)-COPIA!$CC$2,96,4,,"COPIA"))),IF(AND(COPIA!$EO$1=TRUE,UPPER(COPIA!BZ17)="SALDO ECONOMICO NEGATIVO"),SUBSTITUTE(COPIA!BZ17,"SALDO ECONOMICO NEGATIVO","PERDITA D'ESERCIZIO"),UPPER(COPIA!BZ17)))</f>
        <v/>
      </c>
      <c r="C2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IFERROR(VALUE(IF((ROW())&gt;=MAX(COPIA!$BV$2,COPIA!$BW$2)+COPIA!$CB$2,CONCATENATE((INDIRECT(ADDRESS(ROW()-MAX(COPIA!$BV$2,COPIA!$BW$2)-COPIA!$CC$2,88,4,,"COPIA"))),INDIRECT(ADDRESS(ROW()-MAX(COPIA!$BV$2,COPIA!$BW$2)-COPIA!$CC$2,137,4,,"COPIA"))),UPPER(COPIA!CA17))),"")</f>
        <v/>
      </c>
      <c r="D2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IF((ROW())&gt;=MAX(COPIA!$BV$2,COPIA!$BW$2)+COPIA!$CB$2,CONCATENATE((INDIRECT(ADDRESS(ROW()-MAX(COPIA!$BV$2,COPIA!$BW$2)-COPIA!$CC$2,138,4,,"COPIA"))),INDIRECT(ADDRESS(ROW()-MAX(COPIA!$BV$2,COPIA!$BW$2)-COPIA!$CC$2,135,4,,"COPIA"))),IF(AND($EO$4=TRUE,UPPER(COPIA!CB17)="SALDO ECONOMICO POSITIVO"),SUBSTITUTE(COPIA!CB17,"SALDO ECONOMICO POSITIVO","UTILE D'ESERCIZIO"),UPPER(COPIA!CB17)))</f>
        <v/>
      </c>
      <c r="E2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IFERROR(VALUE(IF((ROW())&gt;=MAX(COPIA!$BV$2,COPIA!$BW$2)+COPIA!$CB$2,CONCATENATE((INDIRECT(ADDRESS(ROW()-MAX(COPIA!$BV$2,COPIA!$BW$2)-COPIA!$CC$2,136,4,,"COPIA"))),INDIRECT(ADDRESS(ROW()-MAX(COPIA!$BV$2,COPIA!$BW$2)-COPIA!$CC$2,95,4,,"COPIA"))),UPPER(COPIA!CC17))),"")</f>
        <v/>
      </c>
      <c r="F22" s="22"/>
    </row>
    <row r="23" spans="2:8">
      <c r="B2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IF((ROW())&gt;=MAX(COPIA!$BV$2,COPIA!$BW$2)+COPIA!$CB$2,CONCATENATE((INDIRECT(ADDRESS(ROW()-MAX(COPIA!$BV$2,COPIA!$BW$2)-COPIA!$CC$2,87,4,,"COPIA"))),INDIRECT(ADDRESS(ROW()-MAX(COPIA!$BV$2,COPIA!$BW$2)-COPIA!$CC$2,96,4,,"COPIA"))),IF(AND(COPIA!$EO$1=TRUE,UPPER(COPIA!BZ18)="SALDO ECONOMICO NEGATIVO"),SUBSTITUTE(COPIA!BZ18,"SALDO ECONOMICO NEGATIVO","PERDITA D'ESERCIZIO"),UPPER(COPIA!BZ18)))</f>
        <v/>
      </c>
      <c r="C2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IFERROR(VALUE(IF((ROW())&gt;=MAX(COPIA!$BV$2,COPIA!$BW$2)+COPIA!$CB$2,CONCATENATE((INDIRECT(ADDRESS(ROW()-MAX(COPIA!$BV$2,COPIA!$BW$2)-COPIA!$CC$2,88,4,,"COPIA"))),INDIRECT(ADDRESS(ROW()-MAX(COPIA!$BV$2,COPIA!$BW$2)-COPIA!$CC$2,137,4,,"COPIA"))),UPPER(COPIA!CA18))),"")</f>
        <v/>
      </c>
      <c r="D2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IF((ROW())&gt;=MAX(COPIA!$BV$2,COPIA!$BW$2)+COPIA!$CB$2,CONCATENATE((INDIRECT(ADDRESS(ROW()-MAX(COPIA!$BV$2,COPIA!$BW$2)-COPIA!$CC$2,138,4,,"COPIA"))),INDIRECT(ADDRESS(ROW()-MAX(COPIA!$BV$2,COPIA!$BW$2)-COPIA!$CC$2,135,4,,"COPIA"))),IF(AND($EO$4=TRUE,UPPER(COPIA!CB18)="SALDO ECONOMICO POSITIVO"),SUBSTITUTE(COPIA!CB18,"SALDO ECONOMICO POSITIVO","UTILE D'ESERCIZIO"),UPPER(COPIA!CB18)))</f>
        <v/>
      </c>
      <c r="E2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IFERROR(VALUE(IF((ROW())&gt;=MAX(COPIA!$BV$2,COPIA!$BW$2)+COPIA!$CB$2,CONCATENATE((INDIRECT(ADDRESS(ROW()-MAX(COPIA!$BV$2,COPIA!$BW$2)-COPIA!$CC$2,136,4,,"COPIA"))),INDIRECT(ADDRESS(ROW()-MAX(COPIA!$BV$2,COPIA!$BW$2)-COPIA!$CC$2,95,4,,"COPIA"))),UPPER(COPIA!CC18))),"")</f>
        <v/>
      </c>
      <c r="F23" s="22"/>
    </row>
    <row r="24" spans="2:8">
      <c r="B2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IF((ROW())&gt;=MAX(COPIA!$BV$2,COPIA!$BW$2)+COPIA!$CB$2,CONCATENATE((INDIRECT(ADDRESS(ROW()-MAX(COPIA!$BV$2,COPIA!$BW$2)-COPIA!$CC$2,87,4,,"COPIA"))),INDIRECT(ADDRESS(ROW()-MAX(COPIA!$BV$2,COPIA!$BW$2)-COPIA!$CC$2,96,4,,"COPIA"))),IF(AND(COPIA!$EO$1=TRUE,UPPER(COPIA!BZ19)="SALDO ECONOMICO NEGATIVO"),SUBSTITUTE(COPIA!BZ19,"SALDO ECONOMICO NEGATIVO","PERDITA D'ESERCIZIO"),UPPER(COPIA!BZ19)))</f>
        <v/>
      </c>
      <c r="C2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IFERROR(VALUE(IF((ROW())&gt;=MAX(COPIA!$BV$2,COPIA!$BW$2)+COPIA!$CB$2,CONCATENATE((INDIRECT(ADDRESS(ROW()-MAX(COPIA!$BV$2,COPIA!$BW$2)-COPIA!$CC$2,88,4,,"COPIA"))),INDIRECT(ADDRESS(ROW()-MAX(COPIA!$BV$2,COPIA!$BW$2)-COPIA!$CC$2,137,4,,"COPIA"))),UPPER(COPIA!CA19))),"")</f>
        <v/>
      </c>
      <c r="D2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IF((ROW())&gt;=MAX(COPIA!$BV$2,COPIA!$BW$2)+COPIA!$CB$2,CONCATENATE((INDIRECT(ADDRESS(ROW()-MAX(COPIA!$BV$2,COPIA!$BW$2)-COPIA!$CC$2,138,4,,"COPIA"))),INDIRECT(ADDRESS(ROW()-MAX(COPIA!$BV$2,COPIA!$BW$2)-COPIA!$CC$2,135,4,,"COPIA"))),IF(AND($EO$4=TRUE,UPPER(COPIA!CB19)="SALDO ECONOMICO POSITIVO"),SUBSTITUTE(COPIA!CB19,"SALDO ECONOMICO POSITIVO","UTILE D'ESERCIZIO"),UPPER(COPIA!CB19)))</f>
        <v/>
      </c>
      <c r="E2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IFERROR(VALUE(IF((ROW())&gt;=MAX(COPIA!$BV$2,COPIA!$BW$2)+COPIA!$CB$2,CONCATENATE((INDIRECT(ADDRESS(ROW()-MAX(COPIA!$BV$2,COPIA!$BW$2)-COPIA!$CC$2,136,4,,"COPIA"))),INDIRECT(ADDRESS(ROW()-MAX(COPIA!$BV$2,COPIA!$BW$2)-COPIA!$CC$2,95,4,,"COPIA"))),UPPER(COPIA!CC19))),"")</f>
        <v/>
      </c>
      <c r="F24" s="22"/>
    </row>
    <row r="25" spans="2:8">
      <c r="B2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IF((ROW())&gt;=MAX(COPIA!$BV$2,COPIA!$BW$2)+COPIA!$CB$2,CONCATENATE((INDIRECT(ADDRESS(ROW()-MAX(COPIA!$BV$2,COPIA!$BW$2)-COPIA!$CC$2,87,4,,"COPIA"))),INDIRECT(ADDRESS(ROW()-MAX(COPIA!$BV$2,COPIA!$BW$2)-COPIA!$CC$2,96,4,,"COPIA"))),IF(AND(COPIA!$EO$1=TRUE,UPPER(COPIA!BZ20)="SALDO ECONOMICO NEGATIVO"),SUBSTITUTE(COPIA!BZ20,"SALDO ECONOMICO NEGATIVO","PERDITA D'ESERCIZIO"),UPPER(COPIA!BZ20)))</f>
        <v/>
      </c>
      <c r="C2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IFERROR(VALUE(IF((ROW())&gt;=MAX(COPIA!$BV$2,COPIA!$BW$2)+COPIA!$CB$2,CONCATENATE((INDIRECT(ADDRESS(ROW()-MAX(COPIA!$BV$2,COPIA!$BW$2)-COPIA!$CC$2,88,4,,"COPIA"))),INDIRECT(ADDRESS(ROW()-MAX(COPIA!$BV$2,COPIA!$BW$2)-COPIA!$CC$2,137,4,,"COPIA"))),UPPER(COPIA!CA20))),"")</f>
        <v/>
      </c>
      <c r="D2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IF((ROW())&gt;=MAX(COPIA!$BV$2,COPIA!$BW$2)+COPIA!$CB$2,CONCATENATE((INDIRECT(ADDRESS(ROW()-MAX(COPIA!$BV$2,COPIA!$BW$2)-COPIA!$CC$2,138,4,,"COPIA"))),INDIRECT(ADDRESS(ROW()-MAX(COPIA!$BV$2,COPIA!$BW$2)-COPIA!$CC$2,135,4,,"COPIA"))),IF(AND($EO$4=TRUE,UPPER(COPIA!CB20)="SALDO ECONOMICO POSITIVO"),SUBSTITUTE(COPIA!CB20,"SALDO ECONOMICO POSITIVO","UTILE D'ESERCIZIO"),UPPER(COPIA!CB20)))</f>
        <v/>
      </c>
      <c r="E2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IFERROR(VALUE(IF((ROW())&gt;=MAX(COPIA!$BV$2,COPIA!$BW$2)+COPIA!$CB$2,CONCATENATE((INDIRECT(ADDRESS(ROW()-MAX(COPIA!$BV$2,COPIA!$BW$2)-COPIA!$CC$2,136,4,,"COPIA"))),INDIRECT(ADDRESS(ROW()-MAX(COPIA!$BV$2,COPIA!$BW$2)-COPIA!$CC$2,95,4,,"COPIA"))),UPPER(COPIA!CC20))),"")</f>
        <v/>
      </c>
      <c r="F25" s="22"/>
    </row>
    <row r="26" spans="2:8">
      <c r="B2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IF((ROW())&gt;=MAX(COPIA!$BV$2,COPIA!$BW$2)+COPIA!$CB$2,CONCATENATE((INDIRECT(ADDRESS(ROW()-MAX(COPIA!$BV$2,COPIA!$BW$2)-COPIA!$CC$2,87,4,,"COPIA"))),INDIRECT(ADDRESS(ROW()-MAX(COPIA!$BV$2,COPIA!$BW$2)-COPIA!$CC$2,96,4,,"COPIA"))),IF(AND(COPIA!$EO$1=TRUE,UPPER(COPIA!BZ21)="SALDO ECONOMICO NEGATIVO"),SUBSTITUTE(COPIA!BZ21,"SALDO ECONOMICO NEGATIVO","PERDITA D'ESERCIZIO"),UPPER(COPIA!BZ21)))</f>
        <v/>
      </c>
      <c r="C2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IFERROR(VALUE(IF((ROW())&gt;=MAX(COPIA!$BV$2,COPIA!$BW$2)+COPIA!$CB$2,CONCATENATE((INDIRECT(ADDRESS(ROW()-MAX(COPIA!$BV$2,COPIA!$BW$2)-COPIA!$CC$2,88,4,,"COPIA"))),INDIRECT(ADDRESS(ROW()-MAX(COPIA!$BV$2,COPIA!$BW$2)-COPIA!$CC$2,137,4,,"COPIA"))),UPPER(COPIA!CA21))),"")</f>
        <v/>
      </c>
      <c r="D2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IF((ROW())&gt;=MAX(COPIA!$BV$2,COPIA!$BW$2)+COPIA!$CB$2,CONCATENATE((INDIRECT(ADDRESS(ROW()-MAX(COPIA!$BV$2,COPIA!$BW$2)-COPIA!$CC$2,138,4,,"COPIA"))),INDIRECT(ADDRESS(ROW()-MAX(COPIA!$BV$2,COPIA!$BW$2)-COPIA!$CC$2,135,4,,"COPIA"))),IF(AND($EO$4=TRUE,UPPER(COPIA!CB21)="SALDO ECONOMICO POSITIVO"),SUBSTITUTE(COPIA!CB21,"SALDO ECONOMICO POSITIVO","UTILE D'ESERCIZIO"),UPPER(COPIA!CB21)))</f>
        <v/>
      </c>
      <c r="E2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IFERROR(VALUE(IF((ROW())&gt;=MAX(COPIA!$BV$2,COPIA!$BW$2)+COPIA!$CB$2,CONCATENATE((INDIRECT(ADDRESS(ROW()-MAX(COPIA!$BV$2,COPIA!$BW$2)-COPIA!$CC$2,136,4,,"COPIA"))),INDIRECT(ADDRESS(ROW()-MAX(COPIA!$BV$2,COPIA!$BW$2)-COPIA!$CC$2,95,4,,"COPIA"))),UPPER(COPIA!CC21))),"")</f>
        <v/>
      </c>
      <c r="F26" s="22"/>
    </row>
    <row r="27" spans="2:8">
      <c r="B2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IF((ROW())&gt;=MAX(COPIA!$BV$2,COPIA!$BW$2)+COPIA!$CB$2,CONCATENATE((INDIRECT(ADDRESS(ROW()-MAX(COPIA!$BV$2,COPIA!$BW$2)-COPIA!$CC$2,87,4,,"COPIA"))),INDIRECT(ADDRESS(ROW()-MAX(COPIA!$BV$2,COPIA!$BW$2)-COPIA!$CC$2,96,4,,"COPIA"))),IF(AND(COPIA!$EO$1=TRUE,UPPER(COPIA!BZ22)="SALDO ECONOMICO NEGATIVO"),SUBSTITUTE(COPIA!BZ22,"SALDO ECONOMICO NEGATIVO","PERDITA D'ESERCIZIO"),UPPER(COPIA!BZ22)))</f>
        <v/>
      </c>
      <c r="C2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IFERROR(VALUE(IF((ROW())&gt;=MAX(COPIA!$BV$2,COPIA!$BW$2)+COPIA!$CB$2,CONCATENATE((INDIRECT(ADDRESS(ROW()-MAX(COPIA!$BV$2,COPIA!$BW$2)-COPIA!$CC$2,88,4,,"COPIA"))),INDIRECT(ADDRESS(ROW()-MAX(COPIA!$BV$2,COPIA!$BW$2)-COPIA!$CC$2,137,4,,"COPIA"))),UPPER(COPIA!CA22))),"")</f>
        <v/>
      </c>
      <c r="D2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IF((ROW())&gt;=MAX(COPIA!$BV$2,COPIA!$BW$2)+COPIA!$CB$2,CONCATENATE((INDIRECT(ADDRESS(ROW()-MAX(COPIA!$BV$2,COPIA!$BW$2)-COPIA!$CC$2,138,4,,"COPIA"))),INDIRECT(ADDRESS(ROW()-MAX(COPIA!$BV$2,COPIA!$BW$2)-COPIA!$CC$2,135,4,,"COPIA"))),IF(AND($EO$4=TRUE,UPPER(COPIA!CB22)="SALDO ECONOMICO POSITIVO"),SUBSTITUTE(COPIA!CB22,"SALDO ECONOMICO POSITIVO","UTILE D'ESERCIZIO"),UPPER(COPIA!CB22)))</f>
        <v/>
      </c>
      <c r="E2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IFERROR(VALUE(IF((ROW())&gt;=MAX(COPIA!$BV$2,COPIA!$BW$2)+COPIA!$CB$2,CONCATENATE((INDIRECT(ADDRESS(ROW()-MAX(COPIA!$BV$2,COPIA!$BW$2)-COPIA!$CC$2,136,4,,"COPIA"))),INDIRECT(ADDRESS(ROW()-MAX(COPIA!$BV$2,COPIA!$BW$2)-COPIA!$CC$2,95,4,,"COPIA"))),UPPER(COPIA!CC22))),"")</f>
        <v/>
      </c>
      <c r="F27" s="22"/>
    </row>
    <row r="28" spans="2:8">
      <c r="B2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IF((ROW())&gt;=MAX(COPIA!$BV$2,COPIA!$BW$2)+COPIA!$CB$2,CONCATENATE((INDIRECT(ADDRESS(ROW()-MAX(COPIA!$BV$2,COPIA!$BW$2)-COPIA!$CC$2,87,4,,"COPIA"))),INDIRECT(ADDRESS(ROW()-MAX(COPIA!$BV$2,COPIA!$BW$2)-COPIA!$CC$2,96,4,,"COPIA"))),IF(AND(COPIA!$EO$1=TRUE,UPPER(COPIA!BZ23)="SALDO ECONOMICO NEGATIVO"),SUBSTITUTE(COPIA!BZ23,"SALDO ECONOMICO NEGATIVO","PERDITA D'ESERCIZIO"),UPPER(COPIA!BZ23)))</f>
        <v/>
      </c>
      <c r="C2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IFERROR(VALUE(IF((ROW())&gt;=MAX(COPIA!$BV$2,COPIA!$BW$2)+COPIA!$CB$2,CONCATENATE((INDIRECT(ADDRESS(ROW()-MAX(COPIA!$BV$2,COPIA!$BW$2)-COPIA!$CC$2,88,4,,"COPIA"))),INDIRECT(ADDRESS(ROW()-MAX(COPIA!$BV$2,COPIA!$BW$2)-COPIA!$CC$2,137,4,,"COPIA"))),UPPER(COPIA!CA23))),"")</f>
        <v/>
      </c>
      <c r="D2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IF((ROW())&gt;=MAX(COPIA!$BV$2,COPIA!$BW$2)+COPIA!$CB$2,CONCATENATE((INDIRECT(ADDRESS(ROW()-MAX(COPIA!$BV$2,COPIA!$BW$2)-COPIA!$CC$2,138,4,,"COPIA"))),INDIRECT(ADDRESS(ROW()-MAX(COPIA!$BV$2,COPIA!$BW$2)-COPIA!$CC$2,135,4,,"COPIA"))),IF(AND($EO$4=TRUE,UPPER(COPIA!CB23)="SALDO ECONOMICO POSITIVO"),SUBSTITUTE(COPIA!CB23,"SALDO ECONOMICO POSITIVO","UTILE D'ESERCIZIO"),UPPER(COPIA!CB23)))</f>
        <v/>
      </c>
      <c r="E2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IFERROR(VALUE(IF((ROW())&gt;=MAX(COPIA!$BV$2,COPIA!$BW$2)+COPIA!$CB$2,CONCATENATE((INDIRECT(ADDRESS(ROW()-MAX(COPIA!$BV$2,COPIA!$BW$2)-COPIA!$CC$2,136,4,,"COPIA"))),INDIRECT(ADDRESS(ROW()-MAX(COPIA!$BV$2,COPIA!$BW$2)-COPIA!$CC$2,95,4,,"COPIA"))),UPPER(COPIA!CC23))),"")</f>
        <v/>
      </c>
      <c r="F28" s="22"/>
    </row>
    <row r="29" spans="2:8">
      <c r="B2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IF((ROW())&gt;=MAX(COPIA!$BV$2,COPIA!$BW$2)+COPIA!$CB$2,CONCATENATE((INDIRECT(ADDRESS(ROW()-MAX(COPIA!$BV$2,COPIA!$BW$2)-COPIA!$CC$2,87,4,,"COPIA"))),INDIRECT(ADDRESS(ROW()-MAX(COPIA!$BV$2,COPIA!$BW$2)-COPIA!$CC$2,96,4,,"COPIA"))),IF(AND(COPIA!$EO$1=TRUE,UPPER(COPIA!BZ24)="SALDO ECONOMICO NEGATIVO"),SUBSTITUTE(COPIA!BZ24,"SALDO ECONOMICO NEGATIVO","PERDITA D'ESERCIZIO"),UPPER(COPIA!BZ24)))</f>
        <v/>
      </c>
      <c r="C2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IFERROR(VALUE(IF((ROW())&gt;=MAX(COPIA!$BV$2,COPIA!$BW$2)+COPIA!$CB$2,CONCATENATE((INDIRECT(ADDRESS(ROW()-MAX(COPIA!$BV$2,COPIA!$BW$2)-COPIA!$CC$2,88,4,,"COPIA"))),INDIRECT(ADDRESS(ROW()-MAX(COPIA!$BV$2,COPIA!$BW$2)-COPIA!$CC$2,137,4,,"COPIA"))),UPPER(COPIA!CA24))),"")</f>
        <v/>
      </c>
      <c r="D2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IF((ROW())&gt;=MAX(COPIA!$BV$2,COPIA!$BW$2)+COPIA!$CB$2,CONCATENATE((INDIRECT(ADDRESS(ROW()-MAX(COPIA!$BV$2,COPIA!$BW$2)-COPIA!$CC$2,138,4,,"COPIA"))),INDIRECT(ADDRESS(ROW()-MAX(COPIA!$BV$2,COPIA!$BW$2)-COPIA!$CC$2,135,4,,"COPIA"))),IF(AND($EO$4=TRUE,UPPER(COPIA!CB24)="SALDO ECONOMICO POSITIVO"),SUBSTITUTE(COPIA!CB24,"SALDO ECONOMICO POSITIVO","UTILE D'ESERCIZIO"),UPPER(COPIA!CB24)))</f>
        <v/>
      </c>
      <c r="E2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IFERROR(VALUE(IF((ROW())&gt;=MAX(COPIA!$BV$2,COPIA!$BW$2)+COPIA!$CB$2,CONCATENATE((INDIRECT(ADDRESS(ROW()-MAX(COPIA!$BV$2,COPIA!$BW$2)-COPIA!$CC$2,136,4,,"COPIA"))),INDIRECT(ADDRESS(ROW()-MAX(COPIA!$BV$2,COPIA!$BW$2)-COPIA!$CC$2,95,4,,"COPIA"))),UPPER(COPIA!CC24))),"")</f>
        <v/>
      </c>
      <c r="F29" s="22"/>
      <c r="G29" s="51"/>
    </row>
    <row r="30" spans="2:8">
      <c r="B3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IF((ROW())&gt;=MAX(COPIA!$BV$2,COPIA!$BW$2)+COPIA!$CB$2,CONCATENATE((INDIRECT(ADDRESS(ROW()-MAX(COPIA!$BV$2,COPIA!$BW$2)-COPIA!$CC$2,87,4,,"COPIA"))),INDIRECT(ADDRESS(ROW()-MAX(COPIA!$BV$2,COPIA!$BW$2)-COPIA!$CC$2,96,4,,"COPIA"))),IF(AND(COPIA!$EO$1=TRUE,UPPER(COPIA!BZ25)="SALDO ECONOMICO NEGATIVO"),SUBSTITUTE(COPIA!BZ25,"SALDO ECONOMICO NEGATIVO","PERDITA D'ESERCIZIO"),UPPER(COPIA!BZ25)))</f>
        <v/>
      </c>
      <c r="C3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IFERROR(VALUE(IF((ROW())&gt;=MAX(COPIA!$BV$2,COPIA!$BW$2)+COPIA!$CB$2,CONCATENATE((INDIRECT(ADDRESS(ROW()-MAX(COPIA!$BV$2,COPIA!$BW$2)-COPIA!$CC$2,88,4,,"COPIA"))),INDIRECT(ADDRESS(ROW()-MAX(COPIA!$BV$2,COPIA!$BW$2)-COPIA!$CC$2,137,4,,"COPIA"))),UPPER(COPIA!CA25))),"")</f>
        <v/>
      </c>
      <c r="D3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IF((ROW())&gt;=MAX(COPIA!$BV$2,COPIA!$BW$2)+COPIA!$CB$2,CONCATENATE((INDIRECT(ADDRESS(ROW()-MAX(COPIA!$BV$2,COPIA!$BW$2)-COPIA!$CC$2,138,4,,"COPIA"))),INDIRECT(ADDRESS(ROW()-MAX(COPIA!$BV$2,COPIA!$BW$2)-COPIA!$CC$2,135,4,,"COPIA"))),IF(AND($EO$4=TRUE,UPPER(COPIA!CB25)="SALDO ECONOMICO POSITIVO"),SUBSTITUTE(COPIA!CB25,"SALDO ECONOMICO POSITIVO","UTILE D'ESERCIZIO"),UPPER(COPIA!CB25)))</f>
        <v/>
      </c>
      <c r="E3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IFERROR(VALUE(IF((ROW())&gt;=MAX(COPIA!$BV$2,COPIA!$BW$2)+COPIA!$CB$2,CONCATENATE((INDIRECT(ADDRESS(ROW()-MAX(COPIA!$BV$2,COPIA!$BW$2)-COPIA!$CC$2,136,4,,"COPIA"))),INDIRECT(ADDRESS(ROW()-MAX(COPIA!$BV$2,COPIA!$BW$2)-COPIA!$CC$2,95,4,,"COPIA"))),UPPER(COPIA!CC25))),"")</f>
        <v/>
      </c>
      <c r="F30" s="22"/>
      <c r="G30" s="52"/>
    </row>
    <row r="31" spans="2:8">
      <c r="B3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IF((ROW())&gt;=MAX(COPIA!$BV$2,COPIA!$BW$2)+COPIA!$CB$2,CONCATENATE((INDIRECT(ADDRESS(ROW()-MAX(COPIA!$BV$2,COPIA!$BW$2)-COPIA!$CC$2,87,4,,"COPIA"))),INDIRECT(ADDRESS(ROW()-MAX(COPIA!$BV$2,COPIA!$BW$2)-COPIA!$CC$2,96,4,,"COPIA"))),IF(AND(COPIA!$EO$1=TRUE,UPPER(COPIA!BZ26)="SALDO ECONOMICO NEGATIVO"),SUBSTITUTE(COPIA!BZ26,"SALDO ECONOMICO NEGATIVO","PERDITA D'ESERCIZIO"),UPPER(COPIA!BZ26)))</f>
        <v/>
      </c>
      <c r="C3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IFERROR(VALUE(IF((ROW())&gt;=MAX(COPIA!$BV$2,COPIA!$BW$2)+COPIA!$CB$2,CONCATENATE((INDIRECT(ADDRESS(ROW()-MAX(COPIA!$BV$2,COPIA!$BW$2)-COPIA!$CC$2,88,4,,"COPIA"))),INDIRECT(ADDRESS(ROW()-MAX(COPIA!$BV$2,COPIA!$BW$2)-COPIA!$CC$2,137,4,,"COPIA"))),UPPER(COPIA!CA26))),"")</f>
        <v/>
      </c>
      <c r="D3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IF((ROW())&gt;=MAX(COPIA!$BV$2,COPIA!$BW$2)+COPIA!$CB$2,CONCATENATE((INDIRECT(ADDRESS(ROW()-MAX(COPIA!$BV$2,COPIA!$BW$2)-COPIA!$CC$2,138,4,,"COPIA"))),INDIRECT(ADDRESS(ROW()-MAX(COPIA!$BV$2,COPIA!$BW$2)-COPIA!$CC$2,135,4,,"COPIA"))),IF(AND($EO$4=TRUE,UPPER(COPIA!CB26)="SALDO ECONOMICO POSITIVO"),SUBSTITUTE(COPIA!CB26,"SALDO ECONOMICO POSITIVO","UTILE D'ESERCIZIO"),UPPER(COPIA!CB26)))</f>
        <v/>
      </c>
      <c r="E3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IFERROR(VALUE(IF((ROW())&gt;=MAX(COPIA!$BV$2,COPIA!$BW$2)+COPIA!$CB$2,CONCATENATE((INDIRECT(ADDRESS(ROW()-MAX(COPIA!$BV$2,COPIA!$BW$2)-COPIA!$CC$2,136,4,,"COPIA"))),INDIRECT(ADDRESS(ROW()-MAX(COPIA!$BV$2,COPIA!$BW$2)-COPIA!$CC$2,95,4,,"COPIA"))),UPPER(COPIA!CC26))),"")</f>
        <v/>
      </c>
      <c r="F31" s="22"/>
      <c r="G31" s="52"/>
    </row>
    <row r="32" spans="2:8">
      <c r="B3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IF((ROW())&gt;=MAX(COPIA!$BV$2,COPIA!$BW$2)+COPIA!$CB$2,CONCATENATE((INDIRECT(ADDRESS(ROW()-MAX(COPIA!$BV$2,COPIA!$BW$2)-COPIA!$CC$2,87,4,,"COPIA"))),INDIRECT(ADDRESS(ROW()-MAX(COPIA!$BV$2,COPIA!$BW$2)-COPIA!$CC$2,96,4,,"COPIA"))),IF(AND(COPIA!$EO$1=TRUE,UPPER(COPIA!BZ27)="SALDO ECONOMICO NEGATIVO"),SUBSTITUTE(COPIA!BZ27,"SALDO ECONOMICO NEGATIVO","PERDITA D'ESERCIZIO"),UPPER(COPIA!BZ27)))</f>
        <v/>
      </c>
      <c r="C3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IFERROR(VALUE(IF((ROW())&gt;=MAX(COPIA!$BV$2,COPIA!$BW$2)+COPIA!$CB$2,CONCATENATE((INDIRECT(ADDRESS(ROW()-MAX(COPIA!$BV$2,COPIA!$BW$2)-COPIA!$CC$2,88,4,,"COPIA"))),INDIRECT(ADDRESS(ROW()-MAX(COPIA!$BV$2,COPIA!$BW$2)-COPIA!$CC$2,137,4,,"COPIA"))),UPPER(COPIA!CA27))),"")</f>
        <v/>
      </c>
      <c r="D3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IF((ROW())&gt;=MAX(COPIA!$BV$2,COPIA!$BW$2)+COPIA!$CB$2,CONCATENATE((INDIRECT(ADDRESS(ROW()-MAX(COPIA!$BV$2,COPIA!$BW$2)-COPIA!$CC$2,138,4,,"COPIA"))),INDIRECT(ADDRESS(ROW()-MAX(COPIA!$BV$2,COPIA!$BW$2)-COPIA!$CC$2,135,4,,"COPIA"))),IF(AND($EO$4=TRUE,UPPER(COPIA!CB27)="SALDO ECONOMICO POSITIVO"),SUBSTITUTE(COPIA!CB27,"SALDO ECONOMICO POSITIVO","UTILE D'ESERCIZIO"),UPPER(COPIA!CB27)))</f>
        <v/>
      </c>
      <c r="E3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IFERROR(VALUE(IF((ROW())&gt;=MAX(COPIA!$BV$2,COPIA!$BW$2)+COPIA!$CB$2,CONCATENATE((INDIRECT(ADDRESS(ROW()-MAX(COPIA!$BV$2,COPIA!$BW$2)-COPIA!$CC$2,136,4,,"COPIA"))),INDIRECT(ADDRESS(ROW()-MAX(COPIA!$BV$2,COPIA!$BW$2)-COPIA!$CC$2,95,4,,"COPIA"))),UPPER(COPIA!CC27))),"")</f>
        <v/>
      </c>
      <c r="F32" s="22"/>
      <c r="G32" s="52"/>
      <c r="H32" s="52"/>
    </row>
    <row r="33" spans="2:6">
      <c r="B3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IF((ROW())&gt;=MAX(COPIA!$BV$2,COPIA!$BW$2)+COPIA!$CB$2,CONCATENATE((INDIRECT(ADDRESS(ROW()-MAX(COPIA!$BV$2,COPIA!$BW$2)-COPIA!$CC$2,87,4,,"COPIA"))),INDIRECT(ADDRESS(ROW()-MAX(COPIA!$BV$2,COPIA!$BW$2)-COPIA!$CC$2,96,4,,"COPIA"))),IF(AND(COPIA!$EO$1=TRUE,UPPER(COPIA!BZ28)="SALDO ECONOMICO NEGATIVO"),SUBSTITUTE(COPIA!BZ28,"SALDO ECONOMICO NEGATIVO","PERDITA D'ESERCIZIO"),UPPER(COPIA!BZ28)))</f>
        <v/>
      </c>
      <c r="C3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IFERROR(VALUE(IF((ROW())&gt;=MAX(COPIA!$BV$2,COPIA!$BW$2)+COPIA!$CB$2,CONCATENATE((INDIRECT(ADDRESS(ROW()-MAX(COPIA!$BV$2,COPIA!$BW$2)-COPIA!$CC$2,88,4,,"COPIA"))),INDIRECT(ADDRESS(ROW()-MAX(COPIA!$BV$2,COPIA!$BW$2)-COPIA!$CC$2,137,4,,"COPIA"))),UPPER(COPIA!CA28))),"")</f>
        <v/>
      </c>
      <c r="D3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IF((ROW())&gt;=MAX(COPIA!$BV$2,COPIA!$BW$2)+COPIA!$CB$2,CONCATENATE((INDIRECT(ADDRESS(ROW()-MAX(COPIA!$BV$2,COPIA!$BW$2)-COPIA!$CC$2,138,4,,"COPIA"))),INDIRECT(ADDRESS(ROW()-MAX(COPIA!$BV$2,COPIA!$BW$2)-COPIA!$CC$2,135,4,,"COPIA"))),IF(AND($EO$4=TRUE,UPPER(COPIA!CB28)="SALDO ECONOMICO POSITIVO"),SUBSTITUTE(COPIA!CB28,"SALDO ECONOMICO POSITIVO","UTILE D'ESERCIZIO"),UPPER(COPIA!CB28)))</f>
        <v/>
      </c>
      <c r="E3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IFERROR(VALUE(IF((ROW())&gt;=MAX(COPIA!$BV$2,COPIA!$BW$2)+COPIA!$CB$2,CONCATENATE((INDIRECT(ADDRESS(ROW()-MAX(COPIA!$BV$2,COPIA!$BW$2)-COPIA!$CC$2,136,4,,"COPIA"))),INDIRECT(ADDRESS(ROW()-MAX(COPIA!$BV$2,COPIA!$BW$2)-COPIA!$CC$2,95,4,,"COPIA"))),UPPER(COPIA!CC28))),"")</f>
        <v/>
      </c>
      <c r="F33" s="22"/>
    </row>
    <row r="34" spans="2:6">
      <c r="B3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IF((ROW())&gt;=MAX(COPIA!$BV$2,COPIA!$BW$2)+COPIA!$CB$2,CONCATENATE((INDIRECT(ADDRESS(ROW()-MAX(COPIA!$BV$2,COPIA!$BW$2)-COPIA!$CC$2,87,4,,"COPIA"))),INDIRECT(ADDRESS(ROW()-MAX(COPIA!$BV$2,COPIA!$BW$2)-COPIA!$CC$2,96,4,,"COPIA"))),IF(AND(COPIA!$EO$1=TRUE,UPPER(COPIA!BZ29)="SALDO ECONOMICO NEGATIVO"),SUBSTITUTE(COPIA!BZ29,"SALDO ECONOMICO NEGATIVO","PERDITA D'ESERCIZIO"),UPPER(COPIA!BZ29)))</f>
        <v/>
      </c>
      <c r="C3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IFERROR(VALUE(IF((ROW())&gt;=MAX(COPIA!$BV$2,COPIA!$BW$2)+COPIA!$CB$2,CONCATENATE((INDIRECT(ADDRESS(ROW()-MAX(COPIA!$BV$2,COPIA!$BW$2)-COPIA!$CC$2,88,4,,"COPIA"))),INDIRECT(ADDRESS(ROW()-MAX(COPIA!$BV$2,COPIA!$BW$2)-COPIA!$CC$2,137,4,,"COPIA"))),UPPER(COPIA!CA29))),"")</f>
        <v/>
      </c>
      <c r="D3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IF((ROW())&gt;=MAX(COPIA!$BV$2,COPIA!$BW$2)+COPIA!$CB$2,CONCATENATE((INDIRECT(ADDRESS(ROW()-MAX(COPIA!$BV$2,COPIA!$BW$2)-COPIA!$CC$2,138,4,,"COPIA"))),INDIRECT(ADDRESS(ROW()-MAX(COPIA!$BV$2,COPIA!$BW$2)-COPIA!$CC$2,135,4,,"COPIA"))),IF(AND($EO$4=TRUE,UPPER(COPIA!CB29)="SALDO ECONOMICO POSITIVO"),SUBSTITUTE(COPIA!CB29,"SALDO ECONOMICO POSITIVO","UTILE D'ESERCIZIO"),UPPER(COPIA!CB29)))</f>
        <v/>
      </c>
      <c r="E3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IFERROR(VALUE(IF((ROW())&gt;=MAX(COPIA!$BV$2,COPIA!$BW$2)+COPIA!$CB$2,CONCATENATE((INDIRECT(ADDRESS(ROW()-MAX(COPIA!$BV$2,COPIA!$BW$2)-COPIA!$CC$2,136,4,,"COPIA"))),INDIRECT(ADDRESS(ROW()-MAX(COPIA!$BV$2,COPIA!$BW$2)-COPIA!$CC$2,95,4,,"COPIA"))),UPPER(COPIA!CC29))),"")</f>
        <v/>
      </c>
      <c r="F34" s="22"/>
    </row>
    <row r="35" spans="2:6">
      <c r="B3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IF((ROW())&gt;=MAX(COPIA!$BV$2,COPIA!$BW$2)+COPIA!$CB$2,CONCATENATE((INDIRECT(ADDRESS(ROW()-MAX(COPIA!$BV$2,COPIA!$BW$2)-COPIA!$CC$2,87,4,,"COPIA"))),INDIRECT(ADDRESS(ROW()-MAX(COPIA!$BV$2,COPIA!$BW$2)-COPIA!$CC$2,96,4,,"COPIA"))),IF(AND(COPIA!$EO$1=TRUE,UPPER(COPIA!BZ30)="SALDO ECONOMICO NEGATIVO"),SUBSTITUTE(COPIA!BZ30,"SALDO ECONOMICO NEGATIVO","PERDITA D'ESERCIZIO"),UPPER(COPIA!BZ30)))</f>
        <v/>
      </c>
      <c r="C3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IFERROR(VALUE(IF((ROW())&gt;=MAX(COPIA!$BV$2,COPIA!$BW$2)+COPIA!$CB$2,CONCATENATE((INDIRECT(ADDRESS(ROW()-MAX(COPIA!$BV$2,COPIA!$BW$2)-COPIA!$CC$2,88,4,,"COPIA"))),INDIRECT(ADDRESS(ROW()-MAX(COPIA!$BV$2,COPIA!$BW$2)-COPIA!$CC$2,137,4,,"COPIA"))),UPPER(COPIA!CA30))),"")</f>
        <v/>
      </c>
      <c r="D3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IF((ROW())&gt;=MAX(COPIA!$BV$2,COPIA!$BW$2)+COPIA!$CB$2,CONCATENATE((INDIRECT(ADDRESS(ROW()-MAX(COPIA!$BV$2,COPIA!$BW$2)-COPIA!$CC$2,138,4,,"COPIA"))),INDIRECT(ADDRESS(ROW()-MAX(COPIA!$BV$2,COPIA!$BW$2)-COPIA!$CC$2,135,4,,"COPIA"))),IF(AND($EO$4=TRUE,UPPER(COPIA!CB30)="SALDO ECONOMICO POSITIVO"),SUBSTITUTE(COPIA!CB30,"SALDO ECONOMICO POSITIVO","UTILE D'ESERCIZIO"),UPPER(COPIA!CB30)))</f>
        <v/>
      </c>
      <c r="E3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IFERROR(VALUE(IF((ROW())&gt;=MAX(COPIA!$BV$2,COPIA!$BW$2)+COPIA!$CB$2,CONCATENATE((INDIRECT(ADDRESS(ROW()-MAX(COPIA!$BV$2,COPIA!$BW$2)-COPIA!$CC$2,136,4,,"COPIA"))),INDIRECT(ADDRESS(ROW()-MAX(COPIA!$BV$2,COPIA!$BW$2)-COPIA!$CC$2,95,4,,"COPIA"))),UPPER(COPIA!CC30))),"")</f>
        <v/>
      </c>
      <c r="F35" s="22"/>
    </row>
    <row r="36" spans="2:6">
      <c r="B3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IF((ROW())&gt;=MAX(COPIA!$BV$2,COPIA!$BW$2)+COPIA!$CB$2,CONCATENATE((INDIRECT(ADDRESS(ROW()-MAX(COPIA!$BV$2,COPIA!$BW$2)-COPIA!$CC$2,87,4,,"COPIA"))),INDIRECT(ADDRESS(ROW()-MAX(COPIA!$BV$2,COPIA!$BW$2)-COPIA!$CC$2,96,4,,"COPIA"))),IF(AND(COPIA!$EO$1=TRUE,UPPER(COPIA!BZ31)="SALDO ECONOMICO NEGATIVO"),SUBSTITUTE(COPIA!BZ31,"SALDO ECONOMICO NEGATIVO","PERDITA D'ESERCIZIO"),UPPER(COPIA!BZ31)))</f>
        <v/>
      </c>
      <c r="C3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IFERROR(VALUE(IF((ROW())&gt;=MAX(COPIA!$BV$2,COPIA!$BW$2)+COPIA!$CB$2,CONCATENATE((INDIRECT(ADDRESS(ROW()-MAX(COPIA!$BV$2,COPIA!$BW$2)-COPIA!$CC$2,88,4,,"COPIA"))),INDIRECT(ADDRESS(ROW()-MAX(COPIA!$BV$2,COPIA!$BW$2)-COPIA!$CC$2,137,4,,"COPIA"))),UPPER(COPIA!CA31))),"")</f>
        <v/>
      </c>
      <c r="D3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IF((ROW())&gt;=MAX(COPIA!$BV$2,COPIA!$BW$2)+COPIA!$CB$2,CONCATENATE((INDIRECT(ADDRESS(ROW()-MAX(COPIA!$BV$2,COPIA!$BW$2)-COPIA!$CC$2,138,4,,"COPIA"))),INDIRECT(ADDRESS(ROW()-MAX(COPIA!$BV$2,COPIA!$BW$2)-COPIA!$CC$2,135,4,,"COPIA"))),IF(AND($EO$4=TRUE,UPPER(COPIA!CB31)="SALDO ECONOMICO POSITIVO"),SUBSTITUTE(COPIA!CB31,"SALDO ECONOMICO POSITIVO","UTILE D'ESERCIZIO"),UPPER(COPIA!CB31)))</f>
        <v/>
      </c>
      <c r="E3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IFERROR(VALUE(IF((ROW())&gt;=MAX(COPIA!$BV$2,COPIA!$BW$2)+COPIA!$CB$2,CONCATENATE((INDIRECT(ADDRESS(ROW()-MAX(COPIA!$BV$2,COPIA!$BW$2)-COPIA!$CC$2,136,4,,"COPIA"))),INDIRECT(ADDRESS(ROW()-MAX(COPIA!$BV$2,COPIA!$BW$2)-COPIA!$CC$2,95,4,,"COPIA"))),UPPER(COPIA!CC31))),"")</f>
        <v/>
      </c>
      <c r="F36" s="22"/>
    </row>
    <row r="37" spans="2:6">
      <c r="B3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IF((ROW())&gt;=MAX(COPIA!$BV$2,COPIA!$BW$2)+COPIA!$CB$2,CONCATENATE((INDIRECT(ADDRESS(ROW()-MAX(COPIA!$BV$2,COPIA!$BW$2)-COPIA!$CC$2,87,4,,"COPIA"))),INDIRECT(ADDRESS(ROW()-MAX(COPIA!$BV$2,COPIA!$BW$2)-COPIA!$CC$2,96,4,,"COPIA"))),IF(AND(COPIA!$EO$1=TRUE,UPPER(COPIA!BZ32)="SALDO ECONOMICO NEGATIVO"),SUBSTITUTE(COPIA!BZ32,"SALDO ECONOMICO NEGATIVO","PERDITA D'ESERCIZIO"),UPPER(COPIA!BZ32)))</f>
        <v/>
      </c>
      <c r="C3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IFERROR(VALUE(IF((ROW())&gt;=MAX(COPIA!$BV$2,COPIA!$BW$2)+COPIA!$CB$2,CONCATENATE((INDIRECT(ADDRESS(ROW()-MAX(COPIA!$BV$2,COPIA!$BW$2)-COPIA!$CC$2,88,4,,"COPIA"))),INDIRECT(ADDRESS(ROW()-MAX(COPIA!$BV$2,COPIA!$BW$2)-COPIA!$CC$2,137,4,,"COPIA"))),UPPER(COPIA!CA32))),"")</f>
        <v/>
      </c>
      <c r="D3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IF((ROW())&gt;=MAX(COPIA!$BV$2,COPIA!$BW$2)+COPIA!$CB$2,CONCATENATE((INDIRECT(ADDRESS(ROW()-MAX(COPIA!$BV$2,COPIA!$BW$2)-COPIA!$CC$2,138,4,,"COPIA"))),INDIRECT(ADDRESS(ROW()-MAX(COPIA!$BV$2,COPIA!$BW$2)-COPIA!$CC$2,135,4,,"COPIA"))),IF(AND($EO$4=TRUE,UPPER(COPIA!CB32)="SALDO ECONOMICO POSITIVO"),SUBSTITUTE(COPIA!CB32,"SALDO ECONOMICO POSITIVO","UTILE D'ESERCIZIO"),UPPER(COPIA!CB32)))</f>
        <v/>
      </c>
      <c r="E3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IFERROR(VALUE(IF((ROW())&gt;=MAX(COPIA!$BV$2,COPIA!$BW$2)+COPIA!$CB$2,CONCATENATE((INDIRECT(ADDRESS(ROW()-MAX(COPIA!$BV$2,COPIA!$BW$2)-COPIA!$CC$2,136,4,,"COPIA"))),INDIRECT(ADDRESS(ROW()-MAX(COPIA!$BV$2,COPIA!$BW$2)-COPIA!$CC$2,95,4,,"COPIA"))),UPPER(COPIA!CC32))),"")</f>
        <v/>
      </c>
      <c r="F37" s="22"/>
    </row>
    <row r="38" spans="2:6">
      <c r="B3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IF((ROW())&gt;=MAX(COPIA!$BV$2,COPIA!$BW$2)+COPIA!$CB$2,CONCATENATE((INDIRECT(ADDRESS(ROW()-MAX(COPIA!$BV$2,COPIA!$BW$2)-COPIA!$CC$2,87,4,,"COPIA"))),INDIRECT(ADDRESS(ROW()-MAX(COPIA!$BV$2,COPIA!$BW$2)-COPIA!$CC$2,96,4,,"COPIA"))),IF(AND(COPIA!$EO$1=TRUE,UPPER(COPIA!BZ33)="SALDO ECONOMICO NEGATIVO"),SUBSTITUTE(COPIA!BZ33,"SALDO ECONOMICO NEGATIVO","PERDITA D'ESERCIZIO"),UPPER(COPIA!BZ33)))</f>
        <v/>
      </c>
      <c r="C3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IFERROR(VALUE(IF((ROW())&gt;=MAX(COPIA!$BV$2,COPIA!$BW$2)+COPIA!$CB$2,CONCATENATE((INDIRECT(ADDRESS(ROW()-MAX(COPIA!$BV$2,COPIA!$BW$2)-COPIA!$CC$2,88,4,,"COPIA"))),INDIRECT(ADDRESS(ROW()-MAX(COPIA!$BV$2,COPIA!$BW$2)-COPIA!$CC$2,137,4,,"COPIA"))),UPPER(COPIA!CA33))),"")</f>
        <v/>
      </c>
      <c r="D3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IF((ROW())&gt;=MAX(COPIA!$BV$2,COPIA!$BW$2)+COPIA!$CB$2,CONCATENATE((INDIRECT(ADDRESS(ROW()-MAX(COPIA!$BV$2,COPIA!$BW$2)-COPIA!$CC$2,138,4,,"COPIA"))),INDIRECT(ADDRESS(ROW()-MAX(COPIA!$BV$2,COPIA!$BW$2)-COPIA!$CC$2,135,4,,"COPIA"))),IF(AND($EO$4=TRUE,UPPER(COPIA!CB33)="SALDO ECONOMICO POSITIVO"),SUBSTITUTE(COPIA!CB33,"SALDO ECONOMICO POSITIVO","UTILE D'ESERCIZIO"),UPPER(COPIA!CB33)))</f>
        <v/>
      </c>
      <c r="E3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IFERROR(VALUE(IF((ROW())&gt;=MAX(COPIA!$BV$2,COPIA!$BW$2)+COPIA!$CB$2,CONCATENATE((INDIRECT(ADDRESS(ROW()-MAX(COPIA!$BV$2,COPIA!$BW$2)-COPIA!$CC$2,136,4,,"COPIA"))),INDIRECT(ADDRESS(ROW()-MAX(COPIA!$BV$2,COPIA!$BW$2)-COPIA!$CC$2,95,4,,"COPIA"))),UPPER(COPIA!CC33))),"")</f>
        <v/>
      </c>
      <c r="F38" s="22"/>
    </row>
    <row r="39" spans="2:6">
      <c r="B3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IF((ROW())&gt;=MAX(COPIA!$BV$2,COPIA!$BW$2)+COPIA!$CB$2,CONCATENATE((INDIRECT(ADDRESS(ROW()-MAX(COPIA!$BV$2,COPIA!$BW$2)-COPIA!$CC$2,87,4,,"COPIA"))),INDIRECT(ADDRESS(ROW()-MAX(COPIA!$BV$2,COPIA!$BW$2)-COPIA!$CC$2,96,4,,"COPIA"))),IF(AND(COPIA!$EO$1=TRUE,UPPER(COPIA!BZ34)="SALDO ECONOMICO NEGATIVO"),SUBSTITUTE(COPIA!BZ34,"SALDO ECONOMICO NEGATIVO","PERDITA D'ESERCIZIO"),UPPER(COPIA!BZ34)))</f>
        <v/>
      </c>
      <c r="C3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IFERROR(VALUE(IF((ROW())&gt;=MAX(COPIA!$BV$2,COPIA!$BW$2)+COPIA!$CB$2,CONCATENATE((INDIRECT(ADDRESS(ROW()-MAX(COPIA!$BV$2,COPIA!$BW$2)-COPIA!$CC$2,88,4,,"COPIA"))),INDIRECT(ADDRESS(ROW()-MAX(COPIA!$BV$2,COPIA!$BW$2)-COPIA!$CC$2,137,4,,"COPIA"))),UPPER(COPIA!CA34))),"")</f>
        <v/>
      </c>
      <c r="D3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IF((ROW())&gt;=MAX(COPIA!$BV$2,COPIA!$BW$2)+COPIA!$CB$2,CONCATENATE((INDIRECT(ADDRESS(ROW()-MAX(COPIA!$BV$2,COPIA!$BW$2)-COPIA!$CC$2,138,4,,"COPIA"))),INDIRECT(ADDRESS(ROW()-MAX(COPIA!$BV$2,COPIA!$BW$2)-COPIA!$CC$2,135,4,,"COPIA"))),IF(AND($EO$4=TRUE,UPPER(COPIA!CB34)="SALDO ECONOMICO POSITIVO"),SUBSTITUTE(COPIA!CB34,"SALDO ECONOMICO POSITIVO","UTILE D'ESERCIZIO"),UPPER(COPIA!CB34)))</f>
        <v/>
      </c>
      <c r="E3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IFERROR(VALUE(IF((ROW())&gt;=MAX(COPIA!$BV$2,COPIA!$BW$2)+COPIA!$CB$2,CONCATENATE((INDIRECT(ADDRESS(ROW()-MAX(COPIA!$BV$2,COPIA!$BW$2)-COPIA!$CC$2,136,4,,"COPIA"))),INDIRECT(ADDRESS(ROW()-MAX(COPIA!$BV$2,COPIA!$BW$2)-COPIA!$CC$2,95,4,,"COPIA"))),UPPER(COPIA!CC34))),"")</f>
        <v/>
      </c>
      <c r="F39" s="22"/>
    </row>
    <row r="40" spans="2:6">
      <c r="B4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IF((ROW())&gt;=MAX(COPIA!$BV$2,COPIA!$BW$2)+COPIA!$CB$2,CONCATENATE((INDIRECT(ADDRESS(ROW()-MAX(COPIA!$BV$2,COPIA!$BW$2)-COPIA!$CC$2,87,4,,"COPIA"))),INDIRECT(ADDRESS(ROW()-MAX(COPIA!$BV$2,COPIA!$BW$2)-COPIA!$CC$2,96,4,,"COPIA"))),IF(AND(COPIA!$EO$1=TRUE,UPPER(COPIA!BZ35)="SALDO ECONOMICO NEGATIVO"),SUBSTITUTE(COPIA!BZ35,"SALDO ECONOMICO NEGATIVO","PERDITA D'ESERCIZIO"),UPPER(COPIA!BZ35)))</f>
        <v/>
      </c>
      <c r="C4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IFERROR(VALUE(IF((ROW())&gt;=MAX(COPIA!$BV$2,COPIA!$BW$2)+COPIA!$CB$2,CONCATENATE((INDIRECT(ADDRESS(ROW()-MAX(COPIA!$BV$2,COPIA!$BW$2)-COPIA!$CC$2,88,4,,"COPIA"))),INDIRECT(ADDRESS(ROW()-MAX(COPIA!$BV$2,COPIA!$BW$2)-COPIA!$CC$2,137,4,,"COPIA"))),UPPER(COPIA!CA35))),"")</f>
        <v/>
      </c>
      <c r="D4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IF((ROW())&gt;=MAX(COPIA!$BV$2,COPIA!$BW$2)+COPIA!$CB$2,CONCATENATE((INDIRECT(ADDRESS(ROW()-MAX(COPIA!$BV$2,COPIA!$BW$2)-COPIA!$CC$2,138,4,,"COPIA"))),INDIRECT(ADDRESS(ROW()-MAX(COPIA!$BV$2,COPIA!$BW$2)-COPIA!$CC$2,135,4,,"COPIA"))),IF(AND($EO$4=TRUE,UPPER(COPIA!CB35)="SALDO ECONOMICO POSITIVO"),SUBSTITUTE(COPIA!CB35,"SALDO ECONOMICO POSITIVO","UTILE D'ESERCIZIO"),UPPER(COPIA!CB35)))</f>
        <v/>
      </c>
      <c r="E4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IFERROR(VALUE(IF((ROW())&gt;=MAX(COPIA!$BV$2,COPIA!$BW$2)+COPIA!$CB$2,CONCATENATE((INDIRECT(ADDRESS(ROW()-MAX(COPIA!$BV$2,COPIA!$BW$2)-COPIA!$CC$2,136,4,,"COPIA"))),INDIRECT(ADDRESS(ROW()-MAX(COPIA!$BV$2,COPIA!$BW$2)-COPIA!$CC$2,95,4,,"COPIA"))),UPPER(COPIA!CC35))),"")</f>
        <v/>
      </c>
      <c r="F40" s="22"/>
    </row>
    <row r="41" spans="2:6">
      <c r="B4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IF((ROW())&gt;=MAX(COPIA!$BV$2,COPIA!$BW$2)+COPIA!$CB$2,CONCATENATE((INDIRECT(ADDRESS(ROW()-MAX(COPIA!$BV$2,COPIA!$BW$2)-COPIA!$CC$2,87,4,,"COPIA"))),INDIRECT(ADDRESS(ROW()-MAX(COPIA!$BV$2,COPIA!$BW$2)-COPIA!$CC$2,96,4,,"COPIA"))),IF(AND(COPIA!$EO$1=TRUE,UPPER(COPIA!BZ36)="SALDO ECONOMICO NEGATIVO"),SUBSTITUTE(COPIA!BZ36,"SALDO ECONOMICO NEGATIVO","PERDITA D'ESERCIZIO"),UPPER(COPIA!BZ36)))</f>
        <v/>
      </c>
      <c r="C4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IFERROR(VALUE(IF((ROW())&gt;=MAX(COPIA!$BV$2,COPIA!$BW$2)+COPIA!$CB$2,CONCATENATE((INDIRECT(ADDRESS(ROW()-MAX(COPIA!$BV$2,COPIA!$BW$2)-COPIA!$CC$2,88,4,,"COPIA"))),INDIRECT(ADDRESS(ROW()-MAX(COPIA!$BV$2,COPIA!$BW$2)-COPIA!$CC$2,137,4,,"COPIA"))),UPPER(COPIA!CA36))),"")</f>
        <v/>
      </c>
      <c r="D4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IF((ROW())&gt;=MAX(COPIA!$BV$2,COPIA!$BW$2)+COPIA!$CB$2,CONCATENATE((INDIRECT(ADDRESS(ROW()-MAX(COPIA!$BV$2,COPIA!$BW$2)-COPIA!$CC$2,138,4,,"COPIA"))),INDIRECT(ADDRESS(ROW()-MAX(COPIA!$BV$2,COPIA!$BW$2)-COPIA!$CC$2,135,4,,"COPIA"))),IF(AND($EO$4=TRUE,UPPER(COPIA!CB36)="SALDO ECONOMICO POSITIVO"),SUBSTITUTE(COPIA!CB36,"SALDO ECONOMICO POSITIVO","UTILE D'ESERCIZIO"),UPPER(COPIA!CB36)))</f>
        <v/>
      </c>
      <c r="E4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IFERROR(VALUE(IF((ROW())&gt;=MAX(COPIA!$BV$2,COPIA!$BW$2)+COPIA!$CB$2,CONCATENATE((INDIRECT(ADDRESS(ROW()-MAX(COPIA!$BV$2,COPIA!$BW$2)-COPIA!$CC$2,136,4,,"COPIA"))),INDIRECT(ADDRESS(ROW()-MAX(COPIA!$BV$2,COPIA!$BW$2)-COPIA!$CC$2,95,4,,"COPIA"))),UPPER(COPIA!CC36))),"")</f>
        <v/>
      </c>
      <c r="F41" s="22"/>
    </row>
    <row r="42" spans="2:6">
      <c r="B4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IF((ROW())&gt;=MAX(COPIA!$BV$2,COPIA!$BW$2)+COPIA!$CB$2,CONCATENATE((INDIRECT(ADDRESS(ROW()-MAX(COPIA!$BV$2,COPIA!$BW$2)-COPIA!$CC$2,87,4,,"COPIA"))),INDIRECT(ADDRESS(ROW()-MAX(COPIA!$BV$2,COPIA!$BW$2)-COPIA!$CC$2,96,4,,"COPIA"))),IF(AND(COPIA!$EO$1=TRUE,UPPER(COPIA!BZ37)="SALDO ECONOMICO NEGATIVO"),SUBSTITUTE(COPIA!BZ37,"SALDO ECONOMICO NEGATIVO","PERDITA D'ESERCIZIO"),UPPER(COPIA!BZ37)))</f>
        <v/>
      </c>
      <c r="C4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IFERROR(VALUE(IF((ROW())&gt;=MAX(COPIA!$BV$2,COPIA!$BW$2)+COPIA!$CB$2,CONCATENATE((INDIRECT(ADDRESS(ROW()-MAX(COPIA!$BV$2,COPIA!$BW$2)-COPIA!$CC$2,88,4,,"COPIA"))),INDIRECT(ADDRESS(ROW()-MAX(COPIA!$BV$2,COPIA!$BW$2)-COPIA!$CC$2,137,4,,"COPIA"))),UPPER(COPIA!CA37))),"")</f>
        <v/>
      </c>
      <c r="D4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IF((ROW())&gt;=MAX(COPIA!$BV$2,COPIA!$BW$2)+COPIA!$CB$2,CONCATENATE((INDIRECT(ADDRESS(ROW()-MAX(COPIA!$BV$2,COPIA!$BW$2)-COPIA!$CC$2,138,4,,"COPIA"))),INDIRECT(ADDRESS(ROW()-MAX(COPIA!$BV$2,COPIA!$BW$2)-COPIA!$CC$2,135,4,,"COPIA"))),IF(AND($EO$4=TRUE,UPPER(COPIA!CB37)="SALDO ECONOMICO POSITIVO"),SUBSTITUTE(COPIA!CB37,"SALDO ECONOMICO POSITIVO","UTILE D'ESERCIZIO"),UPPER(COPIA!CB37)))</f>
        <v/>
      </c>
      <c r="E4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IFERROR(VALUE(IF((ROW())&gt;=MAX(COPIA!$BV$2,COPIA!$BW$2)+COPIA!$CB$2,CONCATENATE((INDIRECT(ADDRESS(ROW()-MAX(COPIA!$BV$2,COPIA!$BW$2)-COPIA!$CC$2,136,4,,"COPIA"))),INDIRECT(ADDRESS(ROW()-MAX(COPIA!$BV$2,COPIA!$BW$2)-COPIA!$CC$2,95,4,,"COPIA"))),UPPER(COPIA!CC37))),"")</f>
        <v/>
      </c>
      <c r="F42" s="22"/>
    </row>
    <row r="43" spans="2:6">
      <c r="B4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IF((ROW())&gt;=MAX(COPIA!$BV$2,COPIA!$BW$2)+COPIA!$CB$2,CONCATENATE((INDIRECT(ADDRESS(ROW()-MAX(COPIA!$BV$2,COPIA!$BW$2)-COPIA!$CC$2,87,4,,"COPIA"))),INDIRECT(ADDRESS(ROW()-MAX(COPIA!$BV$2,COPIA!$BW$2)-COPIA!$CC$2,96,4,,"COPIA"))),IF(AND(COPIA!$EO$1=TRUE,UPPER(COPIA!BZ38)="SALDO ECONOMICO NEGATIVO"),SUBSTITUTE(COPIA!BZ38,"SALDO ECONOMICO NEGATIVO","PERDITA D'ESERCIZIO"),UPPER(COPIA!BZ38)))</f>
        <v/>
      </c>
      <c r="C4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IFERROR(VALUE(IF((ROW())&gt;=MAX(COPIA!$BV$2,COPIA!$BW$2)+COPIA!$CB$2,CONCATENATE((INDIRECT(ADDRESS(ROW()-MAX(COPIA!$BV$2,COPIA!$BW$2)-COPIA!$CC$2,88,4,,"COPIA"))),INDIRECT(ADDRESS(ROW()-MAX(COPIA!$BV$2,COPIA!$BW$2)-COPIA!$CC$2,137,4,,"COPIA"))),UPPER(COPIA!CA38))),"")</f>
        <v/>
      </c>
      <c r="D4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IF((ROW())&gt;=MAX(COPIA!$BV$2,COPIA!$BW$2)+COPIA!$CB$2,CONCATENATE((INDIRECT(ADDRESS(ROW()-MAX(COPIA!$BV$2,COPIA!$BW$2)-COPIA!$CC$2,138,4,,"COPIA"))),INDIRECT(ADDRESS(ROW()-MAX(COPIA!$BV$2,COPIA!$BW$2)-COPIA!$CC$2,135,4,,"COPIA"))),IF(AND($EO$4=TRUE,UPPER(COPIA!CB38)="SALDO ECONOMICO POSITIVO"),SUBSTITUTE(COPIA!CB38,"SALDO ECONOMICO POSITIVO","UTILE D'ESERCIZIO"),UPPER(COPIA!CB38)))</f>
        <v/>
      </c>
      <c r="E4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IFERROR(VALUE(IF((ROW())&gt;=MAX(COPIA!$BV$2,COPIA!$BW$2)+COPIA!$CB$2,CONCATENATE((INDIRECT(ADDRESS(ROW()-MAX(COPIA!$BV$2,COPIA!$BW$2)-COPIA!$CC$2,136,4,,"COPIA"))),INDIRECT(ADDRESS(ROW()-MAX(COPIA!$BV$2,COPIA!$BW$2)-COPIA!$CC$2,95,4,,"COPIA"))),UPPER(COPIA!CC38))),"")</f>
        <v/>
      </c>
      <c r="F43" s="22"/>
    </row>
    <row r="44" spans="2:6">
      <c r="B4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IF((ROW())&gt;=MAX(COPIA!$BV$2,COPIA!$BW$2)+COPIA!$CB$2,CONCATENATE((INDIRECT(ADDRESS(ROW()-MAX(COPIA!$BV$2,COPIA!$BW$2)-COPIA!$CC$2,87,4,,"COPIA"))),INDIRECT(ADDRESS(ROW()-MAX(COPIA!$BV$2,COPIA!$BW$2)-COPIA!$CC$2,96,4,,"COPIA"))),IF(AND(COPIA!$EO$1=TRUE,UPPER(COPIA!BZ39)="SALDO ECONOMICO NEGATIVO"),SUBSTITUTE(COPIA!BZ39,"SALDO ECONOMICO NEGATIVO","PERDITA D'ESERCIZIO"),UPPER(COPIA!BZ39)))</f>
        <v/>
      </c>
      <c r="C4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IFERROR(VALUE(IF((ROW())&gt;=MAX(COPIA!$BV$2,COPIA!$BW$2)+COPIA!$CB$2,CONCATENATE((INDIRECT(ADDRESS(ROW()-MAX(COPIA!$BV$2,COPIA!$BW$2)-COPIA!$CC$2,88,4,,"COPIA"))),INDIRECT(ADDRESS(ROW()-MAX(COPIA!$BV$2,COPIA!$BW$2)-COPIA!$CC$2,137,4,,"COPIA"))),UPPER(COPIA!CA39))),"")</f>
        <v/>
      </c>
      <c r="D4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IF((ROW())&gt;=MAX(COPIA!$BV$2,COPIA!$BW$2)+COPIA!$CB$2,CONCATENATE((INDIRECT(ADDRESS(ROW()-MAX(COPIA!$BV$2,COPIA!$BW$2)-COPIA!$CC$2,138,4,,"COPIA"))),INDIRECT(ADDRESS(ROW()-MAX(COPIA!$BV$2,COPIA!$BW$2)-COPIA!$CC$2,135,4,,"COPIA"))),IF(AND($EO$4=TRUE,UPPER(COPIA!CB39)="SALDO ECONOMICO POSITIVO"),SUBSTITUTE(COPIA!CB39,"SALDO ECONOMICO POSITIVO","UTILE D'ESERCIZIO"),UPPER(COPIA!CB39)))</f>
        <v/>
      </c>
      <c r="E4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IFERROR(VALUE(IF((ROW())&gt;=MAX(COPIA!$BV$2,COPIA!$BW$2)+COPIA!$CB$2,CONCATENATE((INDIRECT(ADDRESS(ROW()-MAX(COPIA!$BV$2,COPIA!$BW$2)-COPIA!$CC$2,136,4,,"COPIA"))),INDIRECT(ADDRESS(ROW()-MAX(COPIA!$BV$2,COPIA!$BW$2)-COPIA!$CC$2,95,4,,"COPIA"))),UPPER(COPIA!CC39))),"")</f>
        <v/>
      </c>
      <c r="F44" s="22"/>
    </row>
    <row r="45" spans="2:6">
      <c r="B4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IF((ROW())&gt;=MAX(COPIA!$BV$2,COPIA!$BW$2)+COPIA!$CB$2,CONCATENATE((INDIRECT(ADDRESS(ROW()-MAX(COPIA!$BV$2,COPIA!$BW$2)-COPIA!$CC$2,87,4,,"COPIA"))),INDIRECT(ADDRESS(ROW()-MAX(COPIA!$BV$2,COPIA!$BW$2)-COPIA!$CC$2,96,4,,"COPIA"))),IF(AND(COPIA!$EO$1=TRUE,UPPER(COPIA!BZ40)="SALDO ECONOMICO NEGATIVO"),SUBSTITUTE(COPIA!BZ40,"SALDO ECONOMICO NEGATIVO","PERDITA D'ESERCIZIO"),UPPER(COPIA!BZ40)))</f>
        <v/>
      </c>
      <c r="C4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IFERROR(VALUE(IF((ROW())&gt;=MAX(COPIA!$BV$2,COPIA!$BW$2)+COPIA!$CB$2,CONCATENATE((INDIRECT(ADDRESS(ROW()-MAX(COPIA!$BV$2,COPIA!$BW$2)-COPIA!$CC$2,88,4,,"COPIA"))),INDIRECT(ADDRESS(ROW()-MAX(COPIA!$BV$2,COPIA!$BW$2)-COPIA!$CC$2,137,4,,"COPIA"))),UPPER(COPIA!CA40))),"")</f>
        <v/>
      </c>
      <c r="D4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IF((ROW())&gt;=MAX(COPIA!$BV$2,COPIA!$BW$2)+COPIA!$CB$2,CONCATENATE((INDIRECT(ADDRESS(ROW()-MAX(COPIA!$BV$2,COPIA!$BW$2)-COPIA!$CC$2,138,4,,"COPIA"))),INDIRECT(ADDRESS(ROW()-MAX(COPIA!$BV$2,COPIA!$BW$2)-COPIA!$CC$2,135,4,,"COPIA"))),IF(AND($EO$4=TRUE,UPPER(COPIA!CB40)="SALDO ECONOMICO POSITIVO"),SUBSTITUTE(COPIA!CB40,"SALDO ECONOMICO POSITIVO","UTILE D'ESERCIZIO"),UPPER(COPIA!CB40)))</f>
        <v/>
      </c>
      <c r="E4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IFERROR(VALUE(IF((ROW())&gt;=MAX(COPIA!$BV$2,COPIA!$BW$2)+COPIA!$CB$2,CONCATENATE((INDIRECT(ADDRESS(ROW()-MAX(COPIA!$BV$2,COPIA!$BW$2)-COPIA!$CC$2,136,4,,"COPIA"))),INDIRECT(ADDRESS(ROW()-MAX(COPIA!$BV$2,COPIA!$BW$2)-COPIA!$CC$2,95,4,,"COPIA"))),UPPER(COPIA!CC40))),"")</f>
        <v/>
      </c>
      <c r="F45" s="22"/>
    </row>
    <row r="46" spans="2:6">
      <c r="B4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IF((ROW())&gt;=MAX(COPIA!$BV$2,COPIA!$BW$2)+COPIA!$CB$2,CONCATENATE((INDIRECT(ADDRESS(ROW()-MAX(COPIA!$BV$2,COPIA!$BW$2)-COPIA!$CC$2,87,4,,"COPIA"))),INDIRECT(ADDRESS(ROW()-MAX(COPIA!$BV$2,COPIA!$BW$2)-COPIA!$CC$2,96,4,,"COPIA"))),IF(AND(COPIA!$EO$1=TRUE,UPPER(COPIA!BZ41)="SALDO ECONOMICO NEGATIVO"),SUBSTITUTE(COPIA!BZ41,"SALDO ECONOMICO NEGATIVO","PERDITA D'ESERCIZIO"),UPPER(COPIA!BZ41)))</f>
        <v/>
      </c>
      <c r="C4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IFERROR(VALUE(IF((ROW())&gt;=MAX(COPIA!$BV$2,COPIA!$BW$2)+COPIA!$CB$2,CONCATENATE((INDIRECT(ADDRESS(ROW()-MAX(COPIA!$BV$2,COPIA!$BW$2)-COPIA!$CC$2,88,4,,"COPIA"))),INDIRECT(ADDRESS(ROW()-MAX(COPIA!$BV$2,COPIA!$BW$2)-COPIA!$CC$2,137,4,,"COPIA"))),UPPER(COPIA!CA41))),"")</f>
        <v/>
      </c>
      <c r="D4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IF((ROW())&gt;=MAX(COPIA!$BV$2,COPIA!$BW$2)+COPIA!$CB$2,CONCATENATE((INDIRECT(ADDRESS(ROW()-MAX(COPIA!$BV$2,COPIA!$BW$2)-COPIA!$CC$2,138,4,,"COPIA"))),INDIRECT(ADDRESS(ROW()-MAX(COPIA!$BV$2,COPIA!$BW$2)-COPIA!$CC$2,135,4,,"COPIA"))),IF(AND($EO$4=TRUE,UPPER(COPIA!CB41)="SALDO ECONOMICO POSITIVO"),SUBSTITUTE(COPIA!CB41,"SALDO ECONOMICO POSITIVO","UTILE D'ESERCIZIO"),UPPER(COPIA!CB41)))</f>
        <v/>
      </c>
      <c r="E4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IFERROR(VALUE(IF((ROW())&gt;=MAX(COPIA!$BV$2,COPIA!$BW$2)+COPIA!$CB$2,CONCATENATE((INDIRECT(ADDRESS(ROW()-MAX(COPIA!$BV$2,COPIA!$BW$2)-COPIA!$CC$2,136,4,,"COPIA"))),INDIRECT(ADDRESS(ROW()-MAX(COPIA!$BV$2,COPIA!$BW$2)-COPIA!$CC$2,95,4,,"COPIA"))),UPPER(COPIA!CC41))),"")</f>
        <v/>
      </c>
      <c r="F46" s="22"/>
    </row>
    <row r="47" spans="2:6">
      <c r="B4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IF((ROW())&gt;=MAX(COPIA!$BV$2,COPIA!$BW$2)+COPIA!$CB$2,CONCATENATE((INDIRECT(ADDRESS(ROW()-MAX(COPIA!$BV$2,COPIA!$BW$2)-COPIA!$CC$2,87,4,,"COPIA"))),INDIRECT(ADDRESS(ROW()-MAX(COPIA!$BV$2,COPIA!$BW$2)-COPIA!$CC$2,96,4,,"COPIA"))),IF(AND(COPIA!$EO$1=TRUE,UPPER(COPIA!BZ42)="SALDO ECONOMICO NEGATIVO"),SUBSTITUTE(COPIA!BZ42,"SALDO ECONOMICO NEGATIVO","PERDITA D'ESERCIZIO"),UPPER(COPIA!BZ42)))</f>
        <v/>
      </c>
      <c r="C4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IFERROR(VALUE(IF((ROW())&gt;=MAX(COPIA!$BV$2,COPIA!$BW$2)+COPIA!$CB$2,CONCATENATE((INDIRECT(ADDRESS(ROW()-MAX(COPIA!$BV$2,COPIA!$BW$2)-COPIA!$CC$2,88,4,,"COPIA"))),INDIRECT(ADDRESS(ROW()-MAX(COPIA!$BV$2,COPIA!$BW$2)-COPIA!$CC$2,137,4,,"COPIA"))),UPPER(COPIA!CA42))),"")</f>
        <v/>
      </c>
      <c r="D4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IF((ROW())&gt;=MAX(COPIA!$BV$2,COPIA!$BW$2)+COPIA!$CB$2,CONCATENATE((INDIRECT(ADDRESS(ROW()-MAX(COPIA!$BV$2,COPIA!$BW$2)-COPIA!$CC$2,138,4,,"COPIA"))),INDIRECT(ADDRESS(ROW()-MAX(COPIA!$BV$2,COPIA!$BW$2)-COPIA!$CC$2,135,4,,"COPIA"))),IF(AND($EO$4=TRUE,UPPER(COPIA!CB42)="SALDO ECONOMICO POSITIVO"),SUBSTITUTE(COPIA!CB42,"SALDO ECONOMICO POSITIVO","UTILE D'ESERCIZIO"),UPPER(COPIA!CB42)))</f>
        <v/>
      </c>
      <c r="E4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IFERROR(VALUE(IF((ROW())&gt;=MAX(COPIA!$BV$2,COPIA!$BW$2)+COPIA!$CB$2,CONCATENATE((INDIRECT(ADDRESS(ROW()-MAX(COPIA!$BV$2,COPIA!$BW$2)-COPIA!$CC$2,136,4,,"COPIA"))),INDIRECT(ADDRESS(ROW()-MAX(COPIA!$BV$2,COPIA!$BW$2)-COPIA!$CC$2,95,4,,"COPIA"))),UPPER(COPIA!CC42))),"")</f>
        <v/>
      </c>
      <c r="F47" s="22"/>
    </row>
    <row r="48" spans="2:6">
      <c r="B4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IF((ROW())&gt;=MAX(COPIA!$BV$2,COPIA!$BW$2)+COPIA!$CB$2,CONCATENATE((INDIRECT(ADDRESS(ROW()-MAX(COPIA!$BV$2,COPIA!$BW$2)-COPIA!$CC$2,87,4,,"COPIA"))),INDIRECT(ADDRESS(ROW()-MAX(COPIA!$BV$2,COPIA!$BW$2)-COPIA!$CC$2,96,4,,"COPIA"))),IF(AND(COPIA!$EO$1=TRUE,UPPER(COPIA!BZ43)="SALDO ECONOMICO NEGATIVO"),SUBSTITUTE(COPIA!BZ43,"SALDO ECONOMICO NEGATIVO","PERDITA D'ESERCIZIO"),UPPER(COPIA!BZ43)))</f>
        <v/>
      </c>
      <c r="C4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IFERROR(VALUE(IF((ROW())&gt;=MAX(COPIA!$BV$2,COPIA!$BW$2)+COPIA!$CB$2,CONCATENATE((INDIRECT(ADDRESS(ROW()-MAX(COPIA!$BV$2,COPIA!$BW$2)-COPIA!$CC$2,88,4,,"COPIA"))),INDIRECT(ADDRESS(ROW()-MAX(COPIA!$BV$2,COPIA!$BW$2)-COPIA!$CC$2,137,4,,"COPIA"))),UPPER(COPIA!CA43))),"")</f>
        <v/>
      </c>
      <c r="D4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IF((ROW())&gt;=MAX(COPIA!$BV$2,COPIA!$BW$2)+COPIA!$CB$2,CONCATENATE((INDIRECT(ADDRESS(ROW()-MAX(COPIA!$BV$2,COPIA!$BW$2)-COPIA!$CC$2,138,4,,"COPIA"))),INDIRECT(ADDRESS(ROW()-MAX(COPIA!$BV$2,COPIA!$BW$2)-COPIA!$CC$2,135,4,,"COPIA"))),IF(AND($EO$4=TRUE,UPPER(COPIA!CB43)="SALDO ECONOMICO POSITIVO"),SUBSTITUTE(COPIA!CB43,"SALDO ECONOMICO POSITIVO","UTILE D'ESERCIZIO"),UPPER(COPIA!CB43)))</f>
        <v/>
      </c>
      <c r="E4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IFERROR(VALUE(IF((ROW())&gt;=MAX(COPIA!$BV$2,COPIA!$BW$2)+COPIA!$CB$2,CONCATENATE((INDIRECT(ADDRESS(ROW()-MAX(COPIA!$BV$2,COPIA!$BW$2)-COPIA!$CC$2,136,4,,"COPIA"))),INDIRECT(ADDRESS(ROW()-MAX(COPIA!$BV$2,COPIA!$BW$2)-COPIA!$CC$2,95,4,,"COPIA"))),UPPER(COPIA!CC43))),"")</f>
        <v/>
      </c>
      <c r="F48" s="22"/>
    </row>
    <row r="49" spans="2:6">
      <c r="B4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IF((ROW())&gt;=MAX(COPIA!$BV$2,COPIA!$BW$2)+COPIA!$CB$2,CONCATENATE((INDIRECT(ADDRESS(ROW()-MAX(COPIA!$BV$2,COPIA!$BW$2)-COPIA!$CC$2,87,4,,"COPIA"))),INDIRECT(ADDRESS(ROW()-MAX(COPIA!$BV$2,COPIA!$BW$2)-COPIA!$CC$2,96,4,,"COPIA"))),IF(AND(COPIA!$EO$1=TRUE,UPPER(COPIA!BZ44)="SALDO ECONOMICO NEGATIVO"),SUBSTITUTE(COPIA!BZ44,"SALDO ECONOMICO NEGATIVO","PERDITA D'ESERCIZIO"),UPPER(COPIA!BZ44)))</f>
        <v/>
      </c>
      <c r="C4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IFERROR(VALUE(IF((ROW())&gt;=MAX(COPIA!$BV$2,COPIA!$BW$2)+COPIA!$CB$2,CONCATENATE((INDIRECT(ADDRESS(ROW()-MAX(COPIA!$BV$2,COPIA!$BW$2)-COPIA!$CC$2,88,4,,"COPIA"))),INDIRECT(ADDRESS(ROW()-MAX(COPIA!$BV$2,COPIA!$BW$2)-COPIA!$CC$2,137,4,,"COPIA"))),UPPER(COPIA!CA44))),"")</f>
        <v/>
      </c>
      <c r="D4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IF((ROW())&gt;=MAX(COPIA!$BV$2,COPIA!$BW$2)+COPIA!$CB$2,CONCATENATE((INDIRECT(ADDRESS(ROW()-MAX(COPIA!$BV$2,COPIA!$BW$2)-COPIA!$CC$2,138,4,,"COPIA"))),INDIRECT(ADDRESS(ROW()-MAX(COPIA!$BV$2,COPIA!$BW$2)-COPIA!$CC$2,135,4,,"COPIA"))),IF(AND($EO$4=TRUE,UPPER(COPIA!CB44)="SALDO ECONOMICO POSITIVO"),SUBSTITUTE(COPIA!CB44,"SALDO ECONOMICO POSITIVO","UTILE D'ESERCIZIO"),UPPER(COPIA!CB44)))</f>
        <v/>
      </c>
      <c r="E4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IFERROR(VALUE(IF((ROW())&gt;=MAX(COPIA!$BV$2,COPIA!$BW$2)+COPIA!$CB$2,CONCATENATE((INDIRECT(ADDRESS(ROW()-MAX(COPIA!$BV$2,COPIA!$BW$2)-COPIA!$CC$2,136,4,,"COPIA"))),INDIRECT(ADDRESS(ROW()-MAX(COPIA!$BV$2,COPIA!$BW$2)-COPIA!$CC$2,95,4,,"COPIA"))),UPPER(COPIA!CC44))),"")</f>
        <v/>
      </c>
      <c r="F49" s="22"/>
    </row>
    <row r="50" spans="2:6">
      <c r="B5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IF((ROW())&gt;=MAX(COPIA!$BV$2,COPIA!$BW$2)+COPIA!$CB$2,CONCATENATE((INDIRECT(ADDRESS(ROW()-MAX(COPIA!$BV$2,COPIA!$BW$2)-COPIA!$CC$2,87,4,,"COPIA"))),INDIRECT(ADDRESS(ROW()-MAX(COPIA!$BV$2,COPIA!$BW$2)-COPIA!$CC$2,96,4,,"COPIA"))),IF(AND(COPIA!$EO$1=TRUE,UPPER(COPIA!BZ45)="SALDO ECONOMICO NEGATIVO"),SUBSTITUTE(COPIA!BZ45,"SALDO ECONOMICO NEGATIVO","PERDITA D'ESERCIZIO"),UPPER(COPIA!BZ45)))</f>
        <v/>
      </c>
      <c r="C5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IFERROR(VALUE(IF((ROW())&gt;=MAX(COPIA!$BV$2,COPIA!$BW$2)+COPIA!$CB$2,CONCATENATE((INDIRECT(ADDRESS(ROW()-MAX(COPIA!$BV$2,COPIA!$BW$2)-COPIA!$CC$2,88,4,,"COPIA"))),INDIRECT(ADDRESS(ROW()-MAX(COPIA!$BV$2,COPIA!$BW$2)-COPIA!$CC$2,137,4,,"COPIA"))),UPPER(COPIA!CA45))),"")</f>
        <v/>
      </c>
      <c r="D5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IF((ROW())&gt;=MAX(COPIA!$BV$2,COPIA!$BW$2)+COPIA!$CB$2,CONCATENATE((INDIRECT(ADDRESS(ROW()-MAX(COPIA!$BV$2,COPIA!$BW$2)-COPIA!$CC$2,138,4,,"COPIA"))),INDIRECT(ADDRESS(ROW()-MAX(COPIA!$BV$2,COPIA!$BW$2)-COPIA!$CC$2,135,4,,"COPIA"))),IF(AND($EO$4=TRUE,UPPER(COPIA!CB45)="SALDO ECONOMICO POSITIVO"),SUBSTITUTE(COPIA!CB45,"SALDO ECONOMICO POSITIVO","UTILE D'ESERCIZIO"),UPPER(COPIA!CB45)))</f>
        <v/>
      </c>
      <c r="E5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IFERROR(VALUE(IF((ROW())&gt;=MAX(COPIA!$BV$2,COPIA!$BW$2)+COPIA!$CB$2,CONCATENATE((INDIRECT(ADDRESS(ROW()-MAX(COPIA!$BV$2,COPIA!$BW$2)-COPIA!$CC$2,136,4,,"COPIA"))),INDIRECT(ADDRESS(ROW()-MAX(COPIA!$BV$2,COPIA!$BW$2)-COPIA!$CC$2,95,4,,"COPIA"))),UPPER(COPIA!CC45))),"")</f>
        <v/>
      </c>
      <c r="F50" s="22"/>
    </row>
    <row r="51" spans="2:6">
      <c r="B5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IF((ROW())&gt;=MAX(COPIA!$BV$2,COPIA!$BW$2)+COPIA!$CB$2,CONCATENATE((INDIRECT(ADDRESS(ROW()-MAX(COPIA!$BV$2,COPIA!$BW$2)-COPIA!$CC$2,87,4,,"COPIA"))),INDIRECT(ADDRESS(ROW()-MAX(COPIA!$BV$2,COPIA!$BW$2)-COPIA!$CC$2,96,4,,"COPIA"))),IF(AND(COPIA!$EO$1=TRUE,UPPER(COPIA!BZ46)="SALDO ECONOMICO NEGATIVO"),SUBSTITUTE(COPIA!BZ46,"SALDO ECONOMICO NEGATIVO","PERDITA D'ESERCIZIO"),UPPER(COPIA!BZ46)))</f>
        <v/>
      </c>
      <c r="C5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IFERROR(VALUE(IF((ROW())&gt;=MAX(COPIA!$BV$2,COPIA!$BW$2)+COPIA!$CB$2,CONCATENATE((INDIRECT(ADDRESS(ROW()-MAX(COPIA!$BV$2,COPIA!$BW$2)-COPIA!$CC$2,88,4,,"COPIA"))),INDIRECT(ADDRESS(ROW()-MAX(COPIA!$BV$2,COPIA!$BW$2)-COPIA!$CC$2,137,4,,"COPIA"))),UPPER(COPIA!CA46))),"")</f>
        <v/>
      </c>
      <c r="D5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IF((ROW())&gt;=MAX(COPIA!$BV$2,COPIA!$BW$2)+COPIA!$CB$2,CONCATENATE((INDIRECT(ADDRESS(ROW()-MAX(COPIA!$BV$2,COPIA!$BW$2)-COPIA!$CC$2,138,4,,"COPIA"))),INDIRECT(ADDRESS(ROW()-MAX(COPIA!$BV$2,COPIA!$BW$2)-COPIA!$CC$2,135,4,,"COPIA"))),IF(AND($EO$4=TRUE,UPPER(COPIA!CB46)="SALDO ECONOMICO POSITIVO"),SUBSTITUTE(COPIA!CB46,"SALDO ECONOMICO POSITIVO","UTILE D'ESERCIZIO"),UPPER(COPIA!CB46)))</f>
        <v/>
      </c>
      <c r="E5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IFERROR(VALUE(IF((ROW())&gt;=MAX(COPIA!$BV$2,COPIA!$BW$2)+COPIA!$CB$2,CONCATENATE((INDIRECT(ADDRESS(ROW()-MAX(COPIA!$BV$2,COPIA!$BW$2)-COPIA!$CC$2,136,4,,"COPIA"))),INDIRECT(ADDRESS(ROW()-MAX(COPIA!$BV$2,COPIA!$BW$2)-COPIA!$CC$2,95,4,,"COPIA"))),UPPER(COPIA!CC46))),"")</f>
        <v/>
      </c>
      <c r="F51" s="22"/>
    </row>
    <row r="52" spans="2:6">
      <c r="B5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IF((ROW())&gt;=MAX(COPIA!$BV$2,COPIA!$BW$2)+COPIA!$CB$2,CONCATENATE((INDIRECT(ADDRESS(ROW()-MAX(COPIA!$BV$2,COPIA!$BW$2)-COPIA!$CC$2,87,4,,"COPIA"))),INDIRECT(ADDRESS(ROW()-MAX(COPIA!$BV$2,COPIA!$BW$2)-COPIA!$CC$2,96,4,,"COPIA"))),IF(AND(COPIA!$EO$1=TRUE,UPPER(COPIA!BZ47)="SALDO ECONOMICO NEGATIVO"),SUBSTITUTE(COPIA!BZ47,"SALDO ECONOMICO NEGATIVO","PERDITA D'ESERCIZIO"),UPPER(COPIA!BZ47)))</f>
        <v/>
      </c>
      <c r="C5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IFERROR(VALUE(IF((ROW())&gt;=MAX(COPIA!$BV$2,COPIA!$BW$2)+COPIA!$CB$2,CONCATENATE((INDIRECT(ADDRESS(ROW()-MAX(COPIA!$BV$2,COPIA!$BW$2)-COPIA!$CC$2,88,4,,"COPIA"))),INDIRECT(ADDRESS(ROW()-MAX(COPIA!$BV$2,COPIA!$BW$2)-COPIA!$CC$2,137,4,,"COPIA"))),UPPER(COPIA!CA47))),"")</f>
        <v/>
      </c>
      <c r="D5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IF((ROW())&gt;=MAX(COPIA!$BV$2,COPIA!$BW$2)+COPIA!$CB$2,CONCATENATE((INDIRECT(ADDRESS(ROW()-MAX(COPIA!$BV$2,COPIA!$BW$2)-COPIA!$CC$2,138,4,,"COPIA"))),INDIRECT(ADDRESS(ROW()-MAX(COPIA!$BV$2,COPIA!$BW$2)-COPIA!$CC$2,135,4,,"COPIA"))),IF(AND($EO$4=TRUE,UPPER(COPIA!CB47)="SALDO ECONOMICO POSITIVO"),SUBSTITUTE(COPIA!CB47,"SALDO ECONOMICO POSITIVO","UTILE D'ESERCIZIO"),UPPER(COPIA!CB47)))</f>
        <v/>
      </c>
      <c r="E5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IFERROR(VALUE(IF((ROW())&gt;=MAX(COPIA!$BV$2,COPIA!$BW$2)+COPIA!$CB$2,CONCATENATE((INDIRECT(ADDRESS(ROW()-MAX(COPIA!$BV$2,COPIA!$BW$2)-COPIA!$CC$2,136,4,,"COPIA"))),INDIRECT(ADDRESS(ROW()-MAX(COPIA!$BV$2,COPIA!$BW$2)-COPIA!$CC$2,95,4,,"COPIA"))),UPPER(COPIA!CC47))),"")</f>
        <v/>
      </c>
      <c r="F52" s="22"/>
    </row>
    <row r="53" spans="2:6">
      <c r="B5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IF((ROW())&gt;=MAX(COPIA!$BV$2,COPIA!$BW$2)+COPIA!$CB$2,CONCATENATE((INDIRECT(ADDRESS(ROW()-MAX(COPIA!$BV$2,COPIA!$BW$2)-COPIA!$CC$2,87,4,,"COPIA"))),INDIRECT(ADDRESS(ROW()-MAX(COPIA!$BV$2,COPIA!$BW$2)-COPIA!$CC$2,96,4,,"COPIA"))),IF(AND(COPIA!$EO$1=TRUE,UPPER(COPIA!BZ48)="SALDO ECONOMICO NEGATIVO"),SUBSTITUTE(COPIA!BZ48,"SALDO ECONOMICO NEGATIVO","PERDITA D'ESERCIZIO"),UPPER(COPIA!BZ48)))</f>
        <v/>
      </c>
      <c r="C5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IFERROR(VALUE(IF((ROW())&gt;=MAX(COPIA!$BV$2,COPIA!$BW$2)+COPIA!$CB$2,CONCATENATE((INDIRECT(ADDRESS(ROW()-MAX(COPIA!$BV$2,COPIA!$BW$2)-COPIA!$CC$2,88,4,,"COPIA"))),INDIRECT(ADDRESS(ROW()-MAX(COPIA!$BV$2,COPIA!$BW$2)-COPIA!$CC$2,137,4,,"COPIA"))),UPPER(COPIA!CA48))),"")</f>
        <v/>
      </c>
      <c r="D5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IF((ROW())&gt;=MAX(COPIA!$BV$2,COPIA!$BW$2)+COPIA!$CB$2,CONCATENATE((INDIRECT(ADDRESS(ROW()-MAX(COPIA!$BV$2,COPIA!$BW$2)-COPIA!$CC$2,138,4,,"COPIA"))),INDIRECT(ADDRESS(ROW()-MAX(COPIA!$BV$2,COPIA!$BW$2)-COPIA!$CC$2,135,4,,"COPIA"))),IF(AND($EO$4=TRUE,UPPER(COPIA!CB48)="SALDO ECONOMICO POSITIVO"),SUBSTITUTE(COPIA!CB48,"SALDO ECONOMICO POSITIVO","UTILE D'ESERCIZIO"),UPPER(COPIA!CB48)))</f>
        <v/>
      </c>
      <c r="E5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IFERROR(VALUE(IF((ROW())&gt;=MAX(COPIA!$BV$2,COPIA!$BW$2)+COPIA!$CB$2,CONCATENATE((INDIRECT(ADDRESS(ROW()-MAX(COPIA!$BV$2,COPIA!$BW$2)-COPIA!$CC$2,136,4,,"COPIA"))),INDIRECT(ADDRESS(ROW()-MAX(COPIA!$BV$2,COPIA!$BW$2)-COPIA!$CC$2,95,4,,"COPIA"))),UPPER(COPIA!CC48))),"")</f>
        <v/>
      </c>
      <c r="F53" s="22"/>
    </row>
    <row r="54" spans="2:6">
      <c r="B5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IF((ROW())&gt;=MAX(COPIA!$BV$2,COPIA!$BW$2)+COPIA!$CB$2,CONCATENATE((INDIRECT(ADDRESS(ROW()-MAX(COPIA!$BV$2,COPIA!$BW$2)-COPIA!$CC$2,87,4,,"COPIA"))),INDIRECT(ADDRESS(ROW()-MAX(COPIA!$BV$2,COPIA!$BW$2)-COPIA!$CC$2,96,4,,"COPIA"))),IF(AND(COPIA!$EO$1=TRUE,UPPER(COPIA!BZ49)="SALDO ECONOMICO NEGATIVO"),SUBSTITUTE(COPIA!BZ49,"SALDO ECONOMICO NEGATIVO","PERDITA D'ESERCIZIO"),UPPER(COPIA!BZ49)))</f>
        <v/>
      </c>
      <c r="C5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IFERROR(VALUE(IF((ROW())&gt;=MAX(COPIA!$BV$2,COPIA!$BW$2)+COPIA!$CB$2,CONCATENATE((INDIRECT(ADDRESS(ROW()-MAX(COPIA!$BV$2,COPIA!$BW$2)-COPIA!$CC$2,88,4,,"COPIA"))),INDIRECT(ADDRESS(ROW()-MAX(COPIA!$BV$2,COPIA!$BW$2)-COPIA!$CC$2,137,4,,"COPIA"))),UPPER(COPIA!CA49))),"")</f>
        <v/>
      </c>
      <c r="D5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IF((ROW())&gt;=MAX(COPIA!$BV$2,COPIA!$BW$2)+COPIA!$CB$2,CONCATENATE((INDIRECT(ADDRESS(ROW()-MAX(COPIA!$BV$2,COPIA!$BW$2)-COPIA!$CC$2,138,4,,"COPIA"))),INDIRECT(ADDRESS(ROW()-MAX(COPIA!$BV$2,COPIA!$BW$2)-COPIA!$CC$2,135,4,,"COPIA"))),IF(AND($EO$4=TRUE,UPPER(COPIA!CB49)="SALDO ECONOMICO POSITIVO"),SUBSTITUTE(COPIA!CB49,"SALDO ECONOMICO POSITIVO","UTILE D'ESERCIZIO"),UPPER(COPIA!CB49)))</f>
        <v/>
      </c>
      <c r="E5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IFERROR(VALUE(IF((ROW())&gt;=MAX(COPIA!$BV$2,COPIA!$BW$2)+COPIA!$CB$2,CONCATENATE((INDIRECT(ADDRESS(ROW()-MAX(COPIA!$BV$2,COPIA!$BW$2)-COPIA!$CC$2,136,4,,"COPIA"))),INDIRECT(ADDRESS(ROW()-MAX(COPIA!$BV$2,COPIA!$BW$2)-COPIA!$CC$2,95,4,,"COPIA"))),UPPER(COPIA!CC49))),"")</f>
        <v/>
      </c>
      <c r="F54" s="22"/>
    </row>
    <row r="55" spans="2:6">
      <c r="B5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IF((ROW())&gt;=MAX(COPIA!$BV$2,COPIA!$BW$2)+COPIA!$CB$2,CONCATENATE((INDIRECT(ADDRESS(ROW()-MAX(COPIA!$BV$2,COPIA!$BW$2)-COPIA!$CC$2,87,4,,"COPIA"))),INDIRECT(ADDRESS(ROW()-MAX(COPIA!$BV$2,COPIA!$BW$2)-COPIA!$CC$2,96,4,,"COPIA"))),IF(AND(COPIA!$EO$1=TRUE,UPPER(COPIA!BZ50)="SALDO ECONOMICO NEGATIVO"),SUBSTITUTE(COPIA!BZ50,"SALDO ECONOMICO NEGATIVO","PERDITA D'ESERCIZIO"),UPPER(COPIA!BZ50)))</f>
        <v/>
      </c>
      <c r="C5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IFERROR(VALUE(IF((ROW())&gt;=MAX(COPIA!$BV$2,COPIA!$BW$2)+COPIA!$CB$2,CONCATENATE((INDIRECT(ADDRESS(ROW()-MAX(COPIA!$BV$2,COPIA!$BW$2)-COPIA!$CC$2,88,4,,"COPIA"))),INDIRECT(ADDRESS(ROW()-MAX(COPIA!$BV$2,COPIA!$BW$2)-COPIA!$CC$2,137,4,,"COPIA"))),UPPER(COPIA!CA50))),"")</f>
        <v/>
      </c>
      <c r="D5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IF((ROW())&gt;=MAX(COPIA!$BV$2,COPIA!$BW$2)+COPIA!$CB$2,CONCATENATE((INDIRECT(ADDRESS(ROW()-MAX(COPIA!$BV$2,COPIA!$BW$2)-COPIA!$CC$2,138,4,,"COPIA"))),INDIRECT(ADDRESS(ROW()-MAX(COPIA!$BV$2,COPIA!$BW$2)-COPIA!$CC$2,135,4,,"COPIA"))),IF(AND($EO$4=TRUE,UPPER(COPIA!CB50)="SALDO ECONOMICO POSITIVO"),SUBSTITUTE(COPIA!CB50,"SALDO ECONOMICO POSITIVO","UTILE D'ESERCIZIO"),UPPER(COPIA!CB50)))</f>
        <v/>
      </c>
      <c r="E5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IFERROR(VALUE(IF((ROW())&gt;=MAX(COPIA!$BV$2,COPIA!$BW$2)+COPIA!$CB$2,CONCATENATE((INDIRECT(ADDRESS(ROW()-MAX(COPIA!$BV$2,COPIA!$BW$2)-COPIA!$CC$2,136,4,,"COPIA"))),INDIRECT(ADDRESS(ROW()-MAX(COPIA!$BV$2,COPIA!$BW$2)-COPIA!$CC$2,95,4,,"COPIA"))),UPPER(COPIA!CC50))),"")</f>
        <v/>
      </c>
      <c r="F55" s="22"/>
    </row>
    <row r="56" spans="2:6">
      <c r="B5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IF((ROW())&gt;=MAX(COPIA!$BV$2,COPIA!$BW$2)+COPIA!$CB$2,CONCATENATE((INDIRECT(ADDRESS(ROW()-MAX(COPIA!$BV$2,COPIA!$BW$2)-COPIA!$CC$2,87,4,,"COPIA"))),INDIRECT(ADDRESS(ROW()-MAX(COPIA!$BV$2,COPIA!$BW$2)-COPIA!$CC$2,96,4,,"COPIA"))),IF(AND(COPIA!$EO$1=TRUE,UPPER(COPIA!BZ51)="SALDO ECONOMICO NEGATIVO"),SUBSTITUTE(COPIA!BZ51,"SALDO ECONOMICO NEGATIVO","PERDITA D'ESERCIZIO"),UPPER(COPIA!BZ51)))</f>
        <v/>
      </c>
      <c r="C5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IFERROR(VALUE(IF((ROW())&gt;=MAX(COPIA!$BV$2,COPIA!$BW$2)+COPIA!$CB$2,CONCATENATE((INDIRECT(ADDRESS(ROW()-MAX(COPIA!$BV$2,COPIA!$BW$2)-COPIA!$CC$2,88,4,,"COPIA"))),INDIRECT(ADDRESS(ROW()-MAX(COPIA!$BV$2,COPIA!$BW$2)-COPIA!$CC$2,137,4,,"COPIA"))),UPPER(COPIA!CA51))),"")</f>
        <v/>
      </c>
      <c r="D5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IF((ROW())&gt;=MAX(COPIA!$BV$2,COPIA!$BW$2)+COPIA!$CB$2,CONCATENATE((INDIRECT(ADDRESS(ROW()-MAX(COPIA!$BV$2,COPIA!$BW$2)-COPIA!$CC$2,138,4,,"COPIA"))),INDIRECT(ADDRESS(ROW()-MAX(COPIA!$BV$2,COPIA!$BW$2)-COPIA!$CC$2,135,4,,"COPIA"))),IF(AND($EO$4=TRUE,UPPER(COPIA!CB51)="SALDO ECONOMICO POSITIVO"),SUBSTITUTE(COPIA!CB51,"SALDO ECONOMICO POSITIVO","UTILE D'ESERCIZIO"),UPPER(COPIA!CB51)))</f>
        <v/>
      </c>
      <c r="E5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IFERROR(VALUE(IF((ROW())&gt;=MAX(COPIA!$BV$2,COPIA!$BW$2)+COPIA!$CB$2,CONCATENATE((INDIRECT(ADDRESS(ROW()-MAX(COPIA!$BV$2,COPIA!$BW$2)-COPIA!$CC$2,136,4,,"COPIA"))),INDIRECT(ADDRESS(ROW()-MAX(COPIA!$BV$2,COPIA!$BW$2)-COPIA!$CC$2,95,4,,"COPIA"))),UPPER(COPIA!CC51))),"")</f>
        <v/>
      </c>
      <c r="F56" s="22"/>
    </row>
    <row r="57" spans="2:6">
      <c r="B5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IF((ROW())&gt;=MAX(COPIA!$BV$2,COPIA!$BW$2)+COPIA!$CB$2,CONCATENATE((INDIRECT(ADDRESS(ROW()-MAX(COPIA!$BV$2,COPIA!$BW$2)-COPIA!$CC$2,87,4,,"COPIA"))),INDIRECT(ADDRESS(ROW()-MAX(COPIA!$BV$2,COPIA!$BW$2)-COPIA!$CC$2,96,4,,"COPIA"))),IF(AND(COPIA!$EO$1=TRUE,UPPER(COPIA!BZ52)="SALDO ECONOMICO NEGATIVO"),SUBSTITUTE(COPIA!BZ52,"SALDO ECONOMICO NEGATIVO","PERDITA D'ESERCIZIO"),UPPER(COPIA!BZ52)))</f>
        <v/>
      </c>
      <c r="C5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IFERROR(VALUE(IF((ROW())&gt;=MAX(COPIA!$BV$2,COPIA!$BW$2)+COPIA!$CB$2,CONCATENATE((INDIRECT(ADDRESS(ROW()-MAX(COPIA!$BV$2,COPIA!$BW$2)-COPIA!$CC$2,88,4,,"COPIA"))),INDIRECT(ADDRESS(ROW()-MAX(COPIA!$BV$2,COPIA!$BW$2)-COPIA!$CC$2,137,4,,"COPIA"))),UPPER(COPIA!CA52))),"")</f>
        <v/>
      </c>
      <c r="D5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IF((ROW())&gt;=MAX(COPIA!$BV$2,COPIA!$BW$2)+COPIA!$CB$2,CONCATENATE((INDIRECT(ADDRESS(ROW()-MAX(COPIA!$BV$2,COPIA!$BW$2)-COPIA!$CC$2,138,4,,"COPIA"))),INDIRECT(ADDRESS(ROW()-MAX(COPIA!$BV$2,COPIA!$BW$2)-COPIA!$CC$2,135,4,,"COPIA"))),IF(AND($EO$4=TRUE,UPPER(COPIA!CB52)="SALDO ECONOMICO POSITIVO"),SUBSTITUTE(COPIA!CB52,"SALDO ECONOMICO POSITIVO","UTILE D'ESERCIZIO"),UPPER(COPIA!CB52)))</f>
        <v/>
      </c>
      <c r="E5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IFERROR(VALUE(IF((ROW())&gt;=MAX(COPIA!$BV$2,COPIA!$BW$2)+COPIA!$CB$2,CONCATENATE((INDIRECT(ADDRESS(ROW()-MAX(COPIA!$BV$2,COPIA!$BW$2)-COPIA!$CC$2,136,4,,"COPIA"))),INDIRECT(ADDRESS(ROW()-MAX(COPIA!$BV$2,COPIA!$BW$2)-COPIA!$CC$2,95,4,,"COPIA"))),UPPER(COPIA!CC52))),"")</f>
        <v/>
      </c>
      <c r="F57" s="22"/>
    </row>
    <row r="58" spans="2:6">
      <c r="B5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IF((ROW())&gt;=MAX(COPIA!$BV$2,COPIA!$BW$2)+COPIA!$CB$2,CONCATENATE((INDIRECT(ADDRESS(ROW()-MAX(COPIA!$BV$2,COPIA!$BW$2)-COPIA!$CC$2,87,4,,"COPIA"))),INDIRECT(ADDRESS(ROW()-MAX(COPIA!$BV$2,COPIA!$BW$2)-COPIA!$CC$2,96,4,,"COPIA"))),IF(AND(COPIA!$EO$1=TRUE,UPPER(COPIA!BZ53)="SALDO ECONOMICO NEGATIVO"),SUBSTITUTE(COPIA!BZ53,"SALDO ECONOMICO NEGATIVO","PERDITA D'ESERCIZIO"),UPPER(COPIA!BZ53)))</f>
        <v/>
      </c>
      <c r="C5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IFERROR(VALUE(IF((ROW())&gt;=MAX(COPIA!$BV$2,COPIA!$BW$2)+COPIA!$CB$2,CONCATENATE((INDIRECT(ADDRESS(ROW()-MAX(COPIA!$BV$2,COPIA!$BW$2)-COPIA!$CC$2,88,4,,"COPIA"))),INDIRECT(ADDRESS(ROW()-MAX(COPIA!$BV$2,COPIA!$BW$2)-COPIA!$CC$2,137,4,,"COPIA"))),UPPER(COPIA!CA53))),"")</f>
        <v/>
      </c>
      <c r="D5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IF((ROW())&gt;=MAX(COPIA!$BV$2,COPIA!$BW$2)+COPIA!$CB$2,CONCATENATE((INDIRECT(ADDRESS(ROW()-MAX(COPIA!$BV$2,COPIA!$BW$2)-COPIA!$CC$2,138,4,,"COPIA"))),INDIRECT(ADDRESS(ROW()-MAX(COPIA!$BV$2,COPIA!$BW$2)-COPIA!$CC$2,135,4,,"COPIA"))),IF(AND($EO$4=TRUE,UPPER(COPIA!CB53)="SALDO ECONOMICO POSITIVO"),SUBSTITUTE(COPIA!CB53,"SALDO ECONOMICO POSITIVO","UTILE D'ESERCIZIO"),UPPER(COPIA!CB53)))</f>
        <v/>
      </c>
      <c r="E5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IFERROR(VALUE(IF((ROW())&gt;=MAX(COPIA!$BV$2,COPIA!$BW$2)+COPIA!$CB$2,CONCATENATE((INDIRECT(ADDRESS(ROW()-MAX(COPIA!$BV$2,COPIA!$BW$2)-COPIA!$CC$2,136,4,,"COPIA"))),INDIRECT(ADDRESS(ROW()-MAX(COPIA!$BV$2,COPIA!$BW$2)-COPIA!$CC$2,95,4,,"COPIA"))),UPPER(COPIA!CC53))),"")</f>
        <v/>
      </c>
      <c r="F58" s="22"/>
    </row>
    <row r="59" spans="2:6">
      <c r="B5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IF((ROW())&gt;=MAX(COPIA!$BV$2,COPIA!$BW$2)+COPIA!$CB$2,CONCATENATE((INDIRECT(ADDRESS(ROW()-MAX(COPIA!$BV$2,COPIA!$BW$2)-COPIA!$CC$2,87,4,,"COPIA"))),INDIRECT(ADDRESS(ROW()-MAX(COPIA!$BV$2,COPIA!$BW$2)-COPIA!$CC$2,96,4,,"COPIA"))),IF(AND(COPIA!$EO$1=TRUE,UPPER(COPIA!BZ54)="SALDO ECONOMICO NEGATIVO"),SUBSTITUTE(COPIA!BZ54,"SALDO ECONOMICO NEGATIVO","PERDITA D'ESERCIZIO"),UPPER(COPIA!BZ54)))</f>
        <v/>
      </c>
      <c r="C5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IFERROR(VALUE(IF((ROW())&gt;=MAX(COPIA!$BV$2,COPIA!$BW$2)+COPIA!$CB$2,CONCATENATE((INDIRECT(ADDRESS(ROW()-MAX(COPIA!$BV$2,COPIA!$BW$2)-COPIA!$CC$2,88,4,,"COPIA"))),INDIRECT(ADDRESS(ROW()-MAX(COPIA!$BV$2,COPIA!$BW$2)-COPIA!$CC$2,137,4,,"COPIA"))),UPPER(COPIA!CA54))),"")</f>
        <v/>
      </c>
      <c r="D5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IF((ROW())&gt;=MAX(COPIA!$BV$2,COPIA!$BW$2)+COPIA!$CB$2,CONCATENATE((INDIRECT(ADDRESS(ROW()-MAX(COPIA!$BV$2,COPIA!$BW$2)-COPIA!$CC$2,138,4,,"COPIA"))),INDIRECT(ADDRESS(ROW()-MAX(COPIA!$BV$2,COPIA!$BW$2)-COPIA!$CC$2,135,4,,"COPIA"))),IF(AND($EO$4=TRUE,UPPER(COPIA!CB54)="SALDO ECONOMICO POSITIVO"),SUBSTITUTE(COPIA!CB54,"SALDO ECONOMICO POSITIVO","UTILE D'ESERCIZIO"),UPPER(COPIA!CB54)))</f>
        <v/>
      </c>
      <c r="E5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IFERROR(VALUE(IF((ROW())&gt;=MAX(COPIA!$BV$2,COPIA!$BW$2)+COPIA!$CB$2,CONCATENATE((INDIRECT(ADDRESS(ROW()-MAX(COPIA!$BV$2,COPIA!$BW$2)-COPIA!$CC$2,136,4,,"COPIA"))),INDIRECT(ADDRESS(ROW()-MAX(COPIA!$BV$2,COPIA!$BW$2)-COPIA!$CC$2,95,4,,"COPIA"))),UPPER(COPIA!CC54))),"")</f>
        <v/>
      </c>
      <c r="F59" s="22"/>
    </row>
    <row r="60" spans="2:6">
      <c r="B6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IF((ROW())&gt;=MAX(COPIA!$BV$2,COPIA!$BW$2)+COPIA!$CB$2,CONCATENATE((INDIRECT(ADDRESS(ROW()-MAX(COPIA!$BV$2,COPIA!$BW$2)-COPIA!$CC$2,87,4,,"COPIA"))),INDIRECT(ADDRESS(ROW()-MAX(COPIA!$BV$2,COPIA!$BW$2)-COPIA!$CC$2,96,4,,"COPIA"))),IF(AND(COPIA!$EO$1=TRUE,UPPER(COPIA!BZ55)="SALDO ECONOMICO NEGATIVO"),SUBSTITUTE(COPIA!BZ55,"SALDO ECONOMICO NEGATIVO","PERDITA D'ESERCIZIO"),UPPER(COPIA!BZ55)))</f>
        <v/>
      </c>
      <c r="C6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IFERROR(VALUE(IF((ROW())&gt;=MAX(COPIA!$BV$2,COPIA!$BW$2)+COPIA!$CB$2,CONCATENATE((INDIRECT(ADDRESS(ROW()-MAX(COPIA!$BV$2,COPIA!$BW$2)-COPIA!$CC$2,88,4,,"COPIA"))),INDIRECT(ADDRESS(ROW()-MAX(COPIA!$BV$2,COPIA!$BW$2)-COPIA!$CC$2,137,4,,"COPIA"))),UPPER(COPIA!CA55))),"")</f>
        <v/>
      </c>
      <c r="D6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IF((ROW())&gt;=MAX(COPIA!$BV$2,COPIA!$BW$2)+COPIA!$CB$2,CONCATENATE((INDIRECT(ADDRESS(ROW()-MAX(COPIA!$BV$2,COPIA!$BW$2)-COPIA!$CC$2,138,4,,"COPIA"))),INDIRECT(ADDRESS(ROW()-MAX(COPIA!$BV$2,COPIA!$BW$2)-COPIA!$CC$2,135,4,,"COPIA"))),IF(AND($EO$4=TRUE,UPPER(COPIA!CB55)="SALDO ECONOMICO POSITIVO"),SUBSTITUTE(COPIA!CB55,"SALDO ECONOMICO POSITIVO","UTILE D'ESERCIZIO"),UPPER(COPIA!CB55)))</f>
        <v/>
      </c>
      <c r="E6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IFERROR(VALUE(IF((ROW())&gt;=MAX(COPIA!$BV$2,COPIA!$BW$2)+COPIA!$CB$2,CONCATENATE((INDIRECT(ADDRESS(ROW()-MAX(COPIA!$BV$2,COPIA!$BW$2)-COPIA!$CC$2,136,4,,"COPIA"))),INDIRECT(ADDRESS(ROW()-MAX(COPIA!$BV$2,COPIA!$BW$2)-COPIA!$CC$2,95,4,,"COPIA"))),UPPER(COPIA!CC55))),"")</f>
        <v/>
      </c>
      <c r="F60" s="22"/>
    </row>
    <row r="61" spans="2:6">
      <c r="B6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IF((ROW())&gt;=MAX(COPIA!$BV$2,COPIA!$BW$2)+COPIA!$CB$2,CONCATENATE((INDIRECT(ADDRESS(ROW()-MAX(COPIA!$BV$2,COPIA!$BW$2)-COPIA!$CC$2,87,4,,"COPIA"))),INDIRECT(ADDRESS(ROW()-MAX(COPIA!$BV$2,COPIA!$BW$2)-COPIA!$CC$2,96,4,,"COPIA"))),IF(AND(COPIA!$EO$1=TRUE,UPPER(COPIA!BZ56)="SALDO ECONOMICO NEGATIVO"),SUBSTITUTE(COPIA!BZ56,"SALDO ECONOMICO NEGATIVO","PERDITA D'ESERCIZIO"),UPPER(COPIA!BZ56)))</f>
        <v/>
      </c>
      <c r="C6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IFERROR(VALUE(IF((ROW())&gt;=MAX(COPIA!$BV$2,COPIA!$BW$2)+COPIA!$CB$2,CONCATENATE((INDIRECT(ADDRESS(ROW()-MAX(COPIA!$BV$2,COPIA!$BW$2)-COPIA!$CC$2,88,4,,"COPIA"))),INDIRECT(ADDRESS(ROW()-MAX(COPIA!$BV$2,COPIA!$BW$2)-COPIA!$CC$2,137,4,,"COPIA"))),UPPER(COPIA!CA56))),"")</f>
        <v/>
      </c>
      <c r="D6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IF((ROW())&gt;=MAX(COPIA!$BV$2,COPIA!$BW$2)+COPIA!$CB$2,CONCATENATE((INDIRECT(ADDRESS(ROW()-MAX(COPIA!$BV$2,COPIA!$BW$2)-COPIA!$CC$2,138,4,,"COPIA"))),INDIRECT(ADDRESS(ROW()-MAX(COPIA!$BV$2,COPIA!$BW$2)-COPIA!$CC$2,135,4,,"COPIA"))),IF(AND($EO$4=TRUE,UPPER(COPIA!CB56)="SALDO ECONOMICO POSITIVO"),SUBSTITUTE(COPIA!CB56,"SALDO ECONOMICO POSITIVO","UTILE D'ESERCIZIO"),UPPER(COPIA!CB56)))</f>
        <v/>
      </c>
      <c r="E6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IFERROR(VALUE(IF((ROW())&gt;=MAX(COPIA!$BV$2,COPIA!$BW$2)+COPIA!$CB$2,CONCATENATE((INDIRECT(ADDRESS(ROW()-MAX(COPIA!$BV$2,COPIA!$BW$2)-COPIA!$CC$2,136,4,,"COPIA"))),INDIRECT(ADDRESS(ROW()-MAX(COPIA!$BV$2,COPIA!$BW$2)-COPIA!$CC$2,95,4,,"COPIA"))),UPPER(COPIA!CC56))),"")</f>
        <v/>
      </c>
      <c r="F61" s="22"/>
    </row>
    <row r="62" spans="2:6">
      <c r="B6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IF((ROW())&gt;=MAX(COPIA!$BV$2,COPIA!$BW$2)+COPIA!$CB$2,CONCATENATE((INDIRECT(ADDRESS(ROW()-MAX(COPIA!$BV$2,COPIA!$BW$2)-COPIA!$CC$2,87,4,,"COPIA"))),INDIRECT(ADDRESS(ROW()-MAX(COPIA!$BV$2,COPIA!$BW$2)-COPIA!$CC$2,96,4,,"COPIA"))),IF(AND(COPIA!$EO$1=TRUE,UPPER(COPIA!BZ57)="SALDO ECONOMICO NEGATIVO"),SUBSTITUTE(COPIA!BZ57,"SALDO ECONOMICO NEGATIVO","PERDITA D'ESERCIZIO"),UPPER(COPIA!BZ57)))</f>
        <v/>
      </c>
      <c r="C6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IFERROR(VALUE(IF((ROW())&gt;=MAX(COPIA!$BV$2,COPIA!$BW$2)+COPIA!$CB$2,CONCATENATE((INDIRECT(ADDRESS(ROW()-MAX(COPIA!$BV$2,COPIA!$BW$2)-COPIA!$CC$2,88,4,,"COPIA"))),INDIRECT(ADDRESS(ROW()-MAX(COPIA!$BV$2,COPIA!$BW$2)-COPIA!$CC$2,137,4,,"COPIA"))),UPPER(COPIA!CA57))),"")</f>
        <v/>
      </c>
      <c r="D6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IF((ROW())&gt;=MAX(COPIA!$BV$2,COPIA!$BW$2)+COPIA!$CB$2,CONCATENATE((INDIRECT(ADDRESS(ROW()-MAX(COPIA!$BV$2,COPIA!$BW$2)-COPIA!$CC$2,138,4,,"COPIA"))),INDIRECT(ADDRESS(ROW()-MAX(COPIA!$BV$2,COPIA!$BW$2)-COPIA!$CC$2,135,4,,"COPIA"))),IF(AND($EO$4=TRUE,UPPER(COPIA!CB57)="SALDO ECONOMICO POSITIVO"),SUBSTITUTE(COPIA!CB57,"SALDO ECONOMICO POSITIVO","UTILE D'ESERCIZIO"),UPPER(COPIA!CB57)))</f>
        <v/>
      </c>
      <c r="E6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IFERROR(VALUE(IF((ROW())&gt;=MAX(COPIA!$BV$2,COPIA!$BW$2)+COPIA!$CB$2,CONCATENATE((INDIRECT(ADDRESS(ROW()-MAX(COPIA!$BV$2,COPIA!$BW$2)-COPIA!$CC$2,136,4,,"COPIA"))),INDIRECT(ADDRESS(ROW()-MAX(COPIA!$BV$2,COPIA!$BW$2)-COPIA!$CC$2,95,4,,"COPIA"))),UPPER(COPIA!CC57))),"")</f>
        <v/>
      </c>
      <c r="F62" s="22"/>
    </row>
    <row r="63" spans="2:6">
      <c r="B6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IF((ROW())&gt;=MAX(COPIA!$BV$2,COPIA!$BW$2)+COPIA!$CB$2,CONCATENATE((INDIRECT(ADDRESS(ROW()-MAX(COPIA!$BV$2,COPIA!$BW$2)-COPIA!$CC$2,87,4,,"COPIA"))),INDIRECT(ADDRESS(ROW()-MAX(COPIA!$BV$2,COPIA!$BW$2)-COPIA!$CC$2,96,4,,"COPIA"))),IF(AND(COPIA!$EO$1=TRUE,UPPER(COPIA!BZ58)="SALDO ECONOMICO NEGATIVO"),SUBSTITUTE(COPIA!BZ58,"SALDO ECONOMICO NEGATIVO","PERDITA D'ESERCIZIO"),UPPER(COPIA!BZ58)))</f>
        <v/>
      </c>
      <c r="C6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IFERROR(VALUE(IF((ROW())&gt;=MAX(COPIA!$BV$2,COPIA!$BW$2)+COPIA!$CB$2,CONCATENATE((INDIRECT(ADDRESS(ROW()-MAX(COPIA!$BV$2,COPIA!$BW$2)-COPIA!$CC$2,88,4,,"COPIA"))),INDIRECT(ADDRESS(ROW()-MAX(COPIA!$BV$2,COPIA!$BW$2)-COPIA!$CC$2,137,4,,"COPIA"))),UPPER(COPIA!CA58))),"")</f>
        <v/>
      </c>
      <c r="D6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IF((ROW())&gt;=MAX(COPIA!$BV$2,COPIA!$BW$2)+COPIA!$CB$2,CONCATENATE((INDIRECT(ADDRESS(ROW()-MAX(COPIA!$BV$2,COPIA!$BW$2)-COPIA!$CC$2,138,4,,"COPIA"))),INDIRECT(ADDRESS(ROW()-MAX(COPIA!$BV$2,COPIA!$BW$2)-COPIA!$CC$2,135,4,,"COPIA"))),IF(AND($EO$4=TRUE,UPPER(COPIA!CB58)="SALDO ECONOMICO POSITIVO"),SUBSTITUTE(COPIA!CB58,"SALDO ECONOMICO POSITIVO","UTILE D'ESERCIZIO"),UPPER(COPIA!CB58)))</f>
        <v/>
      </c>
      <c r="E6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IFERROR(VALUE(IF((ROW())&gt;=MAX(COPIA!$BV$2,COPIA!$BW$2)+COPIA!$CB$2,CONCATENATE((INDIRECT(ADDRESS(ROW()-MAX(COPIA!$BV$2,COPIA!$BW$2)-COPIA!$CC$2,136,4,,"COPIA"))),INDIRECT(ADDRESS(ROW()-MAX(COPIA!$BV$2,COPIA!$BW$2)-COPIA!$CC$2,95,4,,"COPIA"))),UPPER(COPIA!CC58))),"")</f>
        <v/>
      </c>
      <c r="F63" s="22"/>
    </row>
    <row r="64" spans="2:6">
      <c r="B6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IF((ROW())&gt;=MAX(COPIA!$BV$2,COPIA!$BW$2)+COPIA!$CB$2,CONCATENATE((INDIRECT(ADDRESS(ROW()-MAX(COPIA!$BV$2,COPIA!$BW$2)-COPIA!$CC$2,87,4,,"COPIA"))),INDIRECT(ADDRESS(ROW()-MAX(COPIA!$BV$2,COPIA!$BW$2)-COPIA!$CC$2,96,4,,"COPIA"))),IF(AND(COPIA!$EO$1=TRUE,UPPER(COPIA!BZ59)="SALDO ECONOMICO NEGATIVO"),SUBSTITUTE(COPIA!BZ59,"SALDO ECONOMICO NEGATIVO","PERDITA D'ESERCIZIO"),UPPER(COPIA!BZ59)))</f>
        <v/>
      </c>
      <c r="C6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IFERROR(VALUE(IF((ROW())&gt;=MAX(COPIA!$BV$2,COPIA!$BW$2)+COPIA!$CB$2,CONCATENATE((INDIRECT(ADDRESS(ROW()-MAX(COPIA!$BV$2,COPIA!$BW$2)-COPIA!$CC$2,88,4,,"COPIA"))),INDIRECT(ADDRESS(ROW()-MAX(COPIA!$BV$2,COPIA!$BW$2)-COPIA!$CC$2,137,4,,"COPIA"))),UPPER(COPIA!CA59))),"")</f>
        <v/>
      </c>
      <c r="D6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IF((ROW())&gt;=MAX(COPIA!$BV$2,COPIA!$BW$2)+COPIA!$CB$2,CONCATENATE((INDIRECT(ADDRESS(ROW()-MAX(COPIA!$BV$2,COPIA!$BW$2)-COPIA!$CC$2,138,4,,"COPIA"))),INDIRECT(ADDRESS(ROW()-MAX(COPIA!$BV$2,COPIA!$BW$2)-COPIA!$CC$2,135,4,,"COPIA"))),IF(AND($EO$4=TRUE,UPPER(COPIA!CB59)="SALDO ECONOMICO POSITIVO"),SUBSTITUTE(COPIA!CB59,"SALDO ECONOMICO POSITIVO","UTILE D'ESERCIZIO"),UPPER(COPIA!CB59)))</f>
        <v/>
      </c>
      <c r="E6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IFERROR(VALUE(IF((ROW())&gt;=MAX(COPIA!$BV$2,COPIA!$BW$2)+COPIA!$CB$2,CONCATENATE((INDIRECT(ADDRESS(ROW()-MAX(COPIA!$BV$2,COPIA!$BW$2)-COPIA!$CC$2,136,4,,"COPIA"))),INDIRECT(ADDRESS(ROW()-MAX(COPIA!$BV$2,COPIA!$BW$2)-COPIA!$CC$2,95,4,,"COPIA"))),UPPER(COPIA!CC59))),"")</f>
        <v/>
      </c>
      <c r="F64" s="22"/>
    </row>
    <row r="65" spans="2:6">
      <c r="B6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IF((ROW())&gt;=MAX(COPIA!$BV$2,COPIA!$BW$2)+COPIA!$CB$2,CONCATENATE((INDIRECT(ADDRESS(ROW()-MAX(COPIA!$BV$2,COPIA!$BW$2)-COPIA!$CC$2,87,4,,"COPIA"))),INDIRECT(ADDRESS(ROW()-MAX(COPIA!$BV$2,COPIA!$BW$2)-COPIA!$CC$2,96,4,,"COPIA"))),IF(AND(COPIA!$EO$1=TRUE,UPPER(COPIA!BZ60)="SALDO ECONOMICO NEGATIVO"),SUBSTITUTE(COPIA!BZ60,"SALDO ECONOMICO NEGATIVO","PERDITA D'ESERCIZIO"),UPPER(COPIA!BZ60)))</f>
        <v/>
      </c>
      <c r="C6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IFERROR(VALUE(IF((ROW())&gt;=MAX(COPIA!$BV$2,COPIA!$BW$2)+COPIA!$CB$2,CONCATENATE((INDIRECT(ADDRESS(ROW()-MAX(COPIA!$BV$2,COPIA!$BW$2)-COPIA!$CC$2,88,4,,"COPIA"))),INDIRECT(ADDRESS(ROW()-MAX(COPIA!$BV$2,COPIA!$BW$2)-COPIA!$CC$2,137,4,,"COPIA"))),UPPER(COPIA!CA60))),"")</f>
        <v/>
      </c>
      <c r="D6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IF((ROW())&gt;=MAX(COPIA!$BV$2,COPIA!$BW$2)+COPIA!$CB$2,CONCATENATE((INDIRECT(ADDRESS(ROW()-MAX(COPIA!$BV$2,COPIA!$BW$2)-COPIA!$CC$2,138,4,,"COPIA"))),INDIRECT(ADDRESS(ROW()-MAX(COPIA!$BV$2,COPIA!$BW$2)-COPIA!$CC$2,135,4,,"COPIA"))),IF(AND($EO$4=TRUE,UPPER(COPIA!CB60)="SALDO ECONOMICO POSITIVO"),SUBSTITUTE(COPIA!CB60,"SALDO ECONOMICO POSITIVO","UTILE D'ESERCIZIO"),UPPER(COPIA!CB60)))</f>
        <v/>
      </c>
      <c r="E6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IFERROR(VALUE(IF((ROW())&gt;=MAX(COPIA!$BV$2,COPIA!$BW$2)+COPIA!$CB$2,CONCATENATE((INDIRECT(ADDRESS(ROW()-MAX(COPIA!$BV$2,COPIA!$BW$2)-COPIA!$CC$2,136,4,,"COPIA"))),INDIRECT(ADDRESS(ROW()-MAX(COPIA!$BV$2,COPIA!$BW$2)-COPIA!$CC$2,95,4,,"COPIA"))),UPPER(COPIA!CC60))),"")</f>
        <v/>
      </c>
      <c r="F65" s="22"/>
    </row>
    <row r="66" spans="2:6">
      <c r="B6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IF((ROW())&gt;=MAX(COPIA!$BV$2,COPIA!$BW$2)+COPIA!$CB$2,CONCATENATE((INDIRECT(ADDRESS(ROW()-MAX(COPIA!$BV$2,COPIA!$BW$2)-COPIA!$CC$2,87,4,,"COPIA"))),INDIRECT(ADDRESS(ROW()-MAX(COPIA!$BV$2,COPIA!$BW$2)-COPIA!$CC$2,96,4,,"COPIA"))),IF(AND(COPIA!$EO$1=TRUE,UPPER(COPIA!BZ61)="SALDO ECONOMICO NEGATIVO"),SUBSTITUTE(COPIA!BZ61,"SALDO ECONOMICO NEGATIVO","PERDITA D'ESERCIZIO"),UPPER(COPIA!BZ61)))</f>
        <v/>
      </c>
      <c r="C6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IFERROR(VALUE(IF((ROW())&gt;=MAX(COPIA!$BV$2,COPIA!$BW$2)+COPIA!$CB$2,CONCATENATE((INDIRECT(ADDRESS(ROW()-MAX(COPIA!$BV$2,COPIA!$BW$2)-COPIA!$CC$2,88,4,,"COPIA"))),INDIRECT(ADDRESS(ROW()-MAX(COPIA!$BV$2,COPIA!$BW$2)-COPIA!$CC$2,137,4,,"COPIA"))),UPPER(COPIA!CA61))),"")</f>
        <v/>
      </c>
      <c r="D6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IF((ROW())&gt;=MAX(COPIA!$BV$2,COPIA!$BW$2)+COPIA!$CB$2,CONCATENATE((INDIRECT(ADDRESS(ROW()-MAX(COPIA!$BV$2,COPIA!$BW$2)-COPIA!$CC$2,138,4,,"COPIA"))),INDIRECT(ADDRESS(ROW()-MAX(COPIA!$BV$2,COPIA!$BW$2)-COPIA!$CC$2,135,4,,"COPIA"))),IF(AND($EO$4=TRUE,UPPER(COPIA!CB61)="SALDO ECONOMICO POSITIVO"),SUBSTITUTE(COPIA!CB61,"SALDO ECONOMICO POSITIVO","UTILE D'ESERCIZIO"),UPPER(COPIA!CB61)))</f>
        <v/>
      </c>
      <c r="E6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IFERROR(VALUE(IF((ROW())&gt;=MAX(COPIA!$BV$2,COPIA!$BW$2)+COPIA!$CB$2,CONCATENATE((INDIRECT(ADDRESS(ROW()-MAX(COPIA!$BV$2,COPIA!$BW$2)-COPIA!$CC$2,136,4,,"COPIA"))),INDIRECT(ADDRESS(ROW()-MAX(COPIA!$BV$2,COPIA!$BW$2)-COPIA!$CC$2,95,4,,"COPIA"))),UPPER(COPIA!CC61))),"")</f>
        <v/>
      </c>
      <c r="F66" s="22"/>
    </row>
    <row r="67" spans="2:6">
      <c r="B6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IF((ROW())&gt;=MAX(COPIA!$BV$2,COPIA!$BW$2)+COPIA!$CB$2,CONCATENATE((INDIRECT(ADDRESS(ROW()-MAX(COPIA!$BV$2,COPIA!$BW$2)-COPIA!$CC$2,87,4,,"COPIA"))),INDIRECT(ADDRESS(ROW()-MAX(COPIA!$BV$2,COPIA!$BW$2)-COPIA!$CC$2,96,4,,"COPIA"))),IF(AND(COPIA!$EO$1=TRUE,UPPER(COPIA!BZ62)="SALDO ECONOMICO NEGATIVO"),SUBSTITUTE(COPIA!BZ62,"SALDO ECONOMICO NEGATIVO","PERDITA D'ESERCIZIO"),UPPER(COPIA!BZ62)))</f>
        <v/>
      </c>
      <c r="C6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IFERROR(VALUE(IF((ROW())&gt;=MAX(COPIA!$BV$2,COPIA!$BW$2)+COPIA!$CB$2,CONCATENATE((INDIRECT(ADDRESS(ROW()-MAX(COPIA!$BV$2,COPIA!$BW$2)-COPIA!$CC$2,88,4,,"COPIA"))),INDIRECT(ADDRESS(ROW()-MAX(COPIA!$BV$2,COPIA!$BW$2)-COPIA!$CC$2,137,4,,"COPIA"))),UPPER(COPIA!CA62))),"")</f>
        <v/>
      </c>
      <c r="D6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IF((ROW())&gt;=MAX(COPIA!$BV$2,COPIA!$BW$2)+COPIA!$CB$2,CONCATENATE((INDIRECT(ADDRESS(ROW()-MAX(COPIA!$BV$2,COPIA!$BW$2)-COPIA!$CC$2,138,4,,"COPIA"))),INDIRECT(ADDRESS(ROW()-MAX(COPIA!$BV$2,COPIA!$BW$2)-COPIA!$CC$2,135,4,,"COPIA"))),IF(AND($EO$4=TRUE,UPPER(COPIA!CB62)="SALDO ECONOMICO POSITIVO"),SUBSTITUTE(COPIA!CB62,"SALDO ECONOMICO POSITIVO","UTILE D'ESERCIZIO"),UPPER(COPIA!CB62)))</f>
        <v/>
      </c>
      <c r="E6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IFERROR(VALUE(IF((ROW())&gt;=MAX(COPIA!$BV$2,COPIA!$BW$2)+COPIA!$CB$2,CONCATENATE((INDIRECT(ADDRESS(ROW()-MAX(COPIA!$BV$2,COPIA!$BW$2)-COPIA!$CC$2,136,4,,"COPIA"))),INDIRECT(ADDRESS(ROW()-MAX(COPIA!$BV$2,COPIA!$BW$2)-COPIA!$CC$2,95,4,,"COPIA"))),UPPER(COPIA!CC62))),"")</f>
        <v/>
      </c>
    </row>
    <row r="68" spans="2:6">
      <c r="B6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IF((ROW())&gt;=MAX(COPIA!$BV$2,COPIA!$BW$2)+COPIA!$CB$2,CONCATENATE((INDIRECT(ADDRESS(ROW()-MAX(COPIA!$BV$2,COPIA!$BW$2)-COPIA!$CC$2,87,4,,"COPIA"))),INDIRECT(ADDRESS(ROW()-MAX(COPIA!$BV$2,COPIA!$BW$2)-COPIA!$CC$2,96,4,,"COPIA"))),IF(AND(COPIA!$EO$1=TRUE,UPPER(COPIA!BZ63)="SALDO ECONOMICO NEGATIVO"),SUBSTITUTE(COPIA!BZ63,"SALDO ECONOMICO NEGATIVO","PERDITA D'ESERCIZIO"),UPPER(COPIA!BZ63)))</f>
        <v/>
      </c>
      <c r="C6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IFERROR(VALUE(IF((ROW())&gt;=MAX(COPIA!$BV$2,COPIA!$BW$2)+COPIA!$CB$2,CONCATENATE((INDIRECT(ADDRESS(ROW()-MAX(COPIA!$BV$2,COPIA!$BW$2)-COPIA!$CC$2,88,4,,"COPIA"))),INDIRECT(ADDRESS(ROW()-MAX(COPIA!$BV$2,COPIA!$BW$2)-COPIA!$CC$2,137,4,,"COPIA"))),UPPER(COPIA!CA63))),"")</f>
        <v/>
      </c>
      <c r="D6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IF((ROW())&gt;=MAX(COPIA!$BV$2,COPIA!$BW$2)+COPIA!$CB$2,CONCATENATE((INDIRECT(ADDRESS(ROW()-MAX(COPIA!$BV$2,COPIA!$BW$2)-COPIA!$CC$2,138,4,,"COPIA"))),INDIRECT(ADDRESS(ROW()-MAX(COPIA!$BV$2,COPIA!$BW$2)-COPIA!$CC$2,135,4,,"COPIA"))),IF(AND($EO$4=TRUE,UPPER(COPIA!CB63)="SALDO ECONOMICO POSITIVO"),SUBSTITUTE(COPIA!CB63,"SALDO ECONOMICO POSITIVO","UTILE D'ESERCIZIO"),UPPER(COPIA!CB63)))</f>
        <v/>
      </c>
      <c r="E6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IFERROR(VALUE(IF((ROW())&gt;=MAX(COPIA!$BV$2,COPIA!$BW$2)+COPIA!$CB$2,CONCATENATE((INDIRECT(ADDRESS(ROW()-MAX(COPIA!$BV$2,COPIA!$BW$2)-COPIA!$CC$2,136,4,,"COPIA"))),INDIRECT(ADDRESS(ROW()-MAX(COPIA!$BV$2,COPIA!$BW$2)-COPIA!$CC$2,95,4,,"COPIA"))),UPPER(COPIA!CC63))),"")</f>
        <v/>
      </c>
    </row>
    <row r="69" spans="2:6">
      <c r="B6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IF((ROW())&gt;=MAX(COPIA!$BV$2,COPIA!$BW$2)+COPIA!$CB$2,CONCATENATE((INDIRECT(ADDRESS(ROW()-MAX(COPIA!$BV$2,COPIA!$BW$2)-COPIA!$CC$2,87,4,,"COPIA"))),INDIRECT(ADDRESS(ROW()-MAX(COPIA!$BV$2,COPIA!$BW$2)-COPIA!$CC$2,96,4,,"COPIA"))),IF(AND(COPIA!$EO$1=TRUE,UPPER(COPIA!BZ64)="SALDO ECONOMICO NEGATIVO"),SUBSTITUTE(COPIA!BZ64,"SALDO ECONOMICO NEGATIVO","PERDITA D'ESERCIZIO"),UPPER(COPIA!BZ64)))</f>
        <v/>
      </c>
      <c r="C6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IFERROR(VALUE(IF((ROW())&gt;=MAX(COPIA!$BV$2,COPIA!$BW$2)+COPIA!$CB$2,CONCATENATE((INDIRECT(ADDRESS(ROW()-MAX(COPIA!$BV$2,COPIA!$BW$2)-COPIA!$CC$2,88,4,,"COPIA"))),INDIRECT(ADDRESS(ROW()-MAX(COPIA!$BV$2,COPIA!$BW$2)-COPIA!$CC$2,137,4,,"COPIA"))),UPPER(COPIA!CA64))),"")</f>
        <v/>
      </c>
      <c r="D6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IF((ROW())&gt;=MAX(COPIA!$BV$2,COPIA!$BW$2)+COPIA!$CB$2,CONCATENATE((INDIRECT(ADDRESS(ROW()-MAX(COPIA!$BV$2,COPIA!$BW$2)-COPIA!$CC$2,138,4,,"COPIA"))),INDIRECT(ADDRESS(ROW()-MAX(COPIA!$BV$2,COPIA!$BW$2)-COPIA!$CC$2,135,4,,"COPIA"))),IF(AND($EO$4=TRUE,UPPER(COPIA!CB64)="SALDO ECONOMICO POSITIVO"),SUBSTITUTE(COPIA!CB64,"SALDO ECONOMICO POSITIVO","UTILE D'ESERCIZIO"),UPPER(COPIA!CB64)))</f>
        <v/>
      </c>
      <c r="E6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IFERROR(VALUE(IF((ROW())&gt;=MAX(COPIA!$BV$2,COPIA!$BW$2)+COPIA!$CB$2,CONCATENATE((INDIRECT(ADDRESS(ROW()-MAX(COPIA!$BV$2,COPIA!$BW$2)-COPIA!$CC$2,136,4,,"COPIA"))),INDIRECT(ADDRESS(ROW()-MAX(COPIA!$BV$2,COPIA!$BW$2)-COPIA!$CC$2,95,4,,"COPIA"))),UPPER(COPIA!CC64))),"")</f>
        <v/>
      </c>
    </row>
    <row r="70" spans="2:6">
      <c r="B7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IF((ROW())&gt;=MAX(COPIA!$BV$2,COPIA!$BW$2)+COPIA!$CB$2,CONCATENATE((INDIRECT(ADDRESS(ROW()-MAX(COPIA!$BV$2,COPIA!$BW$2)-COPIA!$CC$2,87,4,,"COPIA"))),INDIRECT(ADDRESS(ROW()-MAX(COPIA!$BV$2,COPIA!$BW$2)-COPIA!$CC$2,96,4,,"COPIA"))),IF(AND(COPIA!$EO$1=TRUE,UPPER(COPIA!BZ65)="SALDO ECONOMICO NEGATIVO"),SUBSTITUTE(COPIA!BZ65,"SALDO ECONOMICO NEGATIVO","PERDITA D'ESERCIZIO"),UPPER(COPIA!BZ65)))</f>
        <v/>
      </c>
      <c r="C7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IFERROR(VALUE(IF((ROW())&gt;=MAX(COPIA!$BV$2,COPIA!$BW$2)+COPIA!$CB$2,CONCATENATE((INDIRECT(ADDRESS(ROW()-MAX(COPIA!$BV$2,COPIA!$BW$2)-COPIA!$CC$2,88,4,,"COPIA"))),INDIRECT(ADDRESS(ROW()-MAX(COPIA!$BV$2,COPIA!$BW$2)-COPIA!$CC$2,137,4,,"COPIA"))),UPPER(COPIA!CA65))),"")</f>
        <v/>
      </c>
      <c r="D7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IF((ROW())&gt;=MAX(COPIA!$BV$2,COPIA!$BW$2)+COPIA!$CB$2,CONCATENATE((INDIRECT(ADDRESS(ROW()-MAX(COPIA!$BV$2,COPIA!$BW$2)-COPIA!$CC$2,138,4,,"COPIA"))),INDIRECT(ADDRESS(ROW()-MAX(COPIA!$BV$2,COPIA!$BW$2)-COPIA!$CC$2,135,4,,"COPIA"))),IF(AND($EO$4=TRUE,UPPER(COPIA!CB65)="SALDO ECONOMICO POSITIVO"),SUBSTITUTE(COPIA!CB65,"SALDO ECONOMICO POSITIVO","UTILE D'ESERCIZIO"),UPPER(COPIA!CB65)))</f>
        <v/>
      </c>
      <c r="E7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IFERROR(VALUE(IF((ROW())&gt;=MAX(COPIA!$BV$2,COPIA!$BW$2)+COPIA!$CB$2,CONCATENATE((INDIRECT(ADDRESS(ROW()-MAX(COPIA!$BV$2,COPIA!$BW$2)-COPIA!$CC$2,136,4,,"COPIA"))),INDIRECT(ADDRESS(ROW()-MAX(COPIA!$BV$2,COPIA!$BW$2)-COPIA!$CC$2,95,4,,"COPIA"))),UPPER(COPIA!CC65))),"")</f>
        <v/>
      </c>
    </row>
    <row r="71" spans="2:6">
      <c r="B7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IF((ROW())&gt;=MAX(COPIA!$BV$2,COPIA!$BW$2)+COPIA!$CB$2,CONCATENATE((INDIRECT(ADDRESS(ROW()-MAX(COPIA!$BV$2,COPIA!$BW$2)-COPIA!$CC$2,87,4,,"COPIA"))),INDIRECT(ADDRESS(ROW()-MAX(COPIA!$BV$2,COPIA!$BW$2)-COPIA!$CC$2,96,4,,"COPIA"))),IF(AND(COPIA!$EO$1=TRUE,UPPER(COPIA!BZ66)="SALDO ECONOMICO NEGATIVO"),SUBSTITUTE(COPIA!BZ66,"SALDO ECONOMICO NEGATIVO","PERDITA D'ESERCIZIO"),UPPER(COPIA!BZ66)))</f>
        <v/>
      </c>
      <c r="C7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IFERROR(VALUE(IF((ROW())&gt;=MAX(COPIA!$BV$2,COPIA!$BW$2)+COPIA!$CB$2,CONCATENATE((INDIRECT(ADDRESS(ROW()-MAX(COPIA!$BV$2,COPIA!$BW$2)-COPIA!$CC$2,88,4,,"COPIA"))),INDIRECT(ADDRESS(ROW()-MAX(COPIA!$BV$2,COPIA!$BW$2)-COPIA!$CC$2,137,4,,"COPIA"))),UPPER(COPIA!CA66))),"")</f>
        <v/>
      </c>
      <c r="D7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IF((ROW())&gt;=MAX(COPIA!$BV$2,COPIA!$BW$2)+COPIA!$CB$2,CONCATENATE((INDIRECT(ADDRESS(ROW()-MAX(COPIA!$BV$2,COPIA!$BW$2)-COPIA!$CC$2,138,4,,"COPIA"))),INDIRECT(ADDRESS(ROW()-MAX(COPIA!$BV$2,COPIA!$BW$2)-COPIA!$CC$2,135,4,,"COPIA"))),IF(AND($EO$4=TRUE,UPPER(COPIA!CB66)="SALDO ECONOMICO POSITIVO"),SUBSTITUTE(COPIA!CB66,"SALDO ECONOMICO POSITIVO","UTILE D'ESERCIZIO"),UPPER(COPIA!CB66)))</f>
        <v/>
      </c>
      <c r="E7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IFERROR(VALUE(IF((ROW())&gt;=MAX(COPIA!$BV$2,COPIA!$BW$2)+COPIA!$CB$2,CONCATENATE((INDIRECT(ADDRESS(ROW()-MAX(COPIA!$BV$2,COPIA!$BW$2)-COPIA!$CC$2,136,4,,"COPIA"))),INDIRECT(ADDRESS(ROW()-MAX(COPIA!$BV$2,COPIA!$BW$2)-COPIA!$CC$2,95,4,,"COPIA"))),UPPER(COPIA!CC66))),"")</f>
        <v/>
      </c>
    </row>
    <row r="72" spans="2:6">
      <c r="B7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IF((ROW())&gt;=MAX(COPIA!$BV$2,COPIA!$BW$2)+COPIA!$CB$2,CONCATENATE((INDIRECT(ADDRESS(ROW()-MAX(COPIA!$BV$2,COPIA!$BW$2)-COPIA!$CC$2,87,4,,"COPIA"))),INDIRECT(ADDRESS(ROW()-MAX(COPIA!$BV$2,COPIA!$BW$2)-COPIA!$CC$2,96,4,,"COPIA"))),IF(AND(COPIA!$EO$1=TRUE,UPPER(COPIA!BZ67)="SALDO ECONOMICO NEGATIVO"),SUBSTITUTE(COPIA!BZ67,"SALDO ECONOMICO NEGATIVO","PERDITA D'ESERCIZIO"),UPPER(COPIA!BZ67)))</f>
        <v/>
      </c>
      <c r="C7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IFERROR(VALUE(IF((ROW())&gt;=MAX(COPIA!$BV$2,COPIA!$BW$2)+COPIA!$CB$2,CONCATENATE((INDIRECT(ADDRESS(ROW()-MAX(COPIA!$BV$2,COPIA!$BW$2)-COPIA!$CC$2,88,4,,"COPIA"))),INDIRECT(ADDRESS(ROW()-MAX(COPIA!$BV$2,COPIA!$BW$2)-COPIA!$CC$2,137,4,,"COPIA"))),UPPER(COPIA!CA67))),"")</f>
        <v/>
      </c>
      <c r="D7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IF((ROW())&gt;=MAX(COPIA!$BV$2,COPIA!$BW$2)+COPIA!$CB$2,CONCATENATE((INDIRECT(ADDRESS(ROW()-MAX(COPIA!$BV$2,COPIA!$BW$2)-COPIA!$CC$2,138,4,,"COPIA"))),INDIRECT(ADDRESS(ROW()-MAX(COPIA!$BV$2,COPIA!$BW$2)-COPIA!$CC$2,135,4,,"COPIA"))),IF(AND($EO$4=TRUE,UPPER(COPIA!CB67)="SALDO ECONOMICO POSITIVO"),SUBSTITUTE(COPIA!CB67,"SALDO ECONOMICO POSITIVO","UTILE D'ESERCIZIO"),UPPER(COPIA!CB67)))</f>
        <v/>
      </c>
      <c r="E7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IFERROR(VALUE(IF((ROW())&gt;=MAX(COPIA!$BV$2,COPIA!$BW$2)+COPIA!$CB$2,CONCATENATE((INDIRECT(ADDRESS(ROW()-MAX(COPIA!$BV$2,COPIA!$BW$2)-COPIA!$CC$2,136,4,,"COPIA"))),INDIRECT(ADDRESS(ROW()-MAX(COPIA!$BV$2,COPIA!$BW$2)-COPIA!$CC$2,95,4,,"COPIA"))),UPPER(COPIA!CC67))),"")</f>
        <v/>
      </c>
    </row>
    <row r="73" spans="2:6">
      <c r="B7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IF((ROW())&gt;=MAX(COPIA!$BV$2,COPIA!$BW$2)+COPIA!$CB$2,CONCATENATE((INDIRECT(ADDRESS(ROW()-MAX(COPIA!$BV$2,COPIA!$BW$2)-COPIA!$CC$2,87,4,,"COPIA"))),INDIRECT(ADDRESS(ROW()-MAX(COPIA!$BV$2,COPIA!$BW$2)-COPIA!$CC$2,96,4,,"COPIA"))),IF(AND(COPIA!$EO$1=TRUE,UPPER(COPIA!BZ68)="SALDO ECONOMICO NEGATIVO"),SUBSTITUTE(COPIA!BZ68,"SALDO ECONOMICO NEGATIVO","PERDITA D'ESERCIZIO"),UPPER(COPIA!BZ68)))</f>
        <v/>
      </c>
      <c r="C7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IFERROR(VALUE(IF((ROW())&gt;=MAX(COPIA!$BV$2,COPIA!$BW$2)+COPIA!$CB$2,CONCATENATE((INDIRECT(ADDRESS(ROW()-MAX(COPIA!$BV$2,COPIA!$BW$2)-COPIA!$CC$2,88,4,,"COPIA"))),INDIRECT(ADDRESS(ROW()-MAX(COPIA!$BV$2,COPIA!$BW$2)-COPIA!$CC$2,137,4,,"COPIA"))),UPPER(COPIA!CA68))),"")</f>
        <v/>
      </c>
      <c r="D7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IF((ROW())&gt;=MAX(COPIA!$BV$2,COPIA!$BW$2)+COPIA!$CB$2,CONCATENATE((INDIRECT(ADDRESS(ROW()-MAX(COPIA!$BV$2,COPIA!$BW$2)-COPIA!$CC$2,138,4,,"COPIA"))),INDIRECT(ADDRESS(ROW()-MAX(COPIA!$BV$2,COPIA!$BW$2)-COPIA!$CC$2,135,4,,"COPIA"))),IF(AND($EO$4=TRUE,UPPER(COPIA!CB68)="SALDO ECONOMICO POSITIVO"),SUBSTITUTE(COPIA!CB68,"SALDO ECONOMICO POSITIVO","UTILE D'ESERCIZIO"),UPPER(COPIA!CB68)))</f>
        <v/>
      </c>
      <c r="E7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IFERROR(VALUE(IF((ROW())&gt;=MAX(COPIA!$BV$2,COPIA!$BW$2)+COPIA!$CB$2,CONCATENATE((INDIRECT(ADDRESS(ROW()-MAX(COPIA!$BV$2,COPIA!$BW$2)-COPIA!$CC$2,136,4,,"COPIA"))),INDIRECT(ADDRESS(ROW()-MAX(COPIA!$BV$2,COPIA!$BW$2)-COPIA!$CC$2,95,4,,"COPIA"))),UPPER(COPIA!CC68))),"")</f>
        <v/>
      </c>
    </row>
    <row r="74" spans="2:6">
      <c r="B7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IF((ROW())&gt;=MAX(COPIA!$BV$2,COPIA!$BW$2)+COPIA!$CB$2,CONCATENATE((INDIRECT(ADDRESS(ROW()-MAX(COPIA!$BV$2,COPIA!$BW$2)-COPIA!$CC$2,87,4,,"COPIA"))),INDIRECT(ADDRESS(ROW()-MAX(COPIA!$BV$2,COPIA!$BW$2)-COPIA!$CC$2,96,4,,"COPIA"))),IF(AND(COPIA!$EO$1=TRUE,UPPER(COPIA!BZ69)="SALDO ECONOMICO NEGATIVO"),SUBSTITUTE(COPIA!BZ69,"SALDO ECONOMICO NEGATIVO","PERDITA D'ESERCIZIO"),UPPER(COPIA!BZ69)))</f>
        <v/>
      </c>
      <c r="C7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IFERROR(VALUE(IF((ROW())&gt;=MAX(COPIA!$BV$2,COPIA!$BW$2)+COPIA!$CB$2,CONCATENATE((INDIRECT(ADDRESS(ROW()-MAX(COPIA!$BV$2,COPIA!$BW$2)-COPIA!$CC$2,88,4,,"COPIA"))),INDIRECT(ADDRESS(ROW()-MAX(COPIA!$BV$2,COPIA!$BW$2)-COPIA!$CC$2,137,4,,"COPIA"))),UPPER(COPIA!CA69))),"")</f>
        <v/>
      </c>
      <c r="D7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IF((ROW())&gt;=MAX(COPIA!$BV$2,COPIA!$BW$2)+COPIA!$CB$2,CONCATENATE((INDIRECT(ADDRESS(ROW()-MAX(COPIA!$BV$2,COPIA!$BW$2)-COPIA!$CC$2,138,4,,"COPIA"))),INDIRECT(ADDRESS(ROW()-MAX(COPIA!$BV$2,COPIA!$BW$2)-COPIA!$CC$2,135,4,,"COPIA"))),IF(AND($EO$4=TRUE,UPPER(COPIA!CB69)="SALDO ECONOMICO POSITIVO"),SUBSTITUTE(COPIA!CB69,"SALDO ECONOMICO POSITIVO","UTILE D'ESERCIZIO"),UPPER(COPIA!CB69)))</f>
        <v/>
      </c>
      <c r="E7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IFERROR(VALUE(IF((ROW())&gt;=MAX(COPIA!$BV$2,COPIA!$BW$2)+COPIA!$CB$2,CONCATENATE((INDIRECT(ADDRESS(ROW()-MAX(COPIA!$BV$2,COPIA!$BW$2)-COPIA!$CC$2,136,4,,"COPIA"))),INDIRECT(ADDRESS(ROW()-MAX(COPIA!$BV$2,COPIA!$BW$2)-COPIA!$CC$2,95,4,,"COPIA"))),UPPER(COPIA!CC69))),"")</f>
        <v/>
      </c>
    </row>
    <row r="75" spans="2:6">
      <c r="B7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IF((ROW())&gt;=MAX(COPIA!$BV$2,COPIA!$BW$2)+COPIA!$CB$2,CONCATENATE((INDIRECT(ADDRESS(ROW()-MAX(COPIA!$BV$2,COPIA!$BW$2)-COPIA!$CC$2,87,4,,"COPIA"))),INDIRECT(ADDRESS(ROW()-MAX(COPIA!$BV$2,COPIA!$BW$2)-COPIA!$CC$2,96,4,,"COPIA"))),IF(AND(COPIA!$EO$1=TRUE,UPPER(COPIA!BZ70)="SALDO ECONOMICO NEGATIVO"),SUBSTITUTE(COPIA!BZ70,"SALDO ECONOMICO NEGATIVO","PERDITA D'ESERCIZIO"),UPPER(COPIA!BZ70)))</f>
        <v/>
      </c>
      <c r="C7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IFERROR(VALUE(IF((ROW())&gt;=MAX(COPIA!$BV$2,COPIA!$BW$2)+COPIA!$CB$2,CONCATENATE((INDIRECT(ADDRESS(ROW()-MAX(COPIA!$BV$2,COPIA!$BW$2)-COPIA!$CC$2,88,4,,"COPIA"))),INDIRECT(ADDRESS(ROW()-MAX(COPIA!$BV$2,COPIA!$BW$2)-COPIA!$CC$2,137,4,,"COPIA"))),UPPER(COPIA!CA70))),"")</f>
        <v/>
      </c>
      <c r="D7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IF((ROW())&gt;=MAX(COPIA!$BV$2,COPIA!$BW$2)+COPIA!$CB$2,CONCATENATE((INDIRECT(ADDRESS(ROW()-MAX(COPIA!$BV$2,COPIA!$BW$2)-COPIA!$CC$2,138,4,,"COPIA"))),INDIRECT(ADDRESS(ROW()-MAX(COPIA!$BV$2,COPIA!$BW$2)-COPIA!$CC$2,135,4,,"COPIA"))),IF(AND($EO$4=TRUE,UPPER(COPIA!CB70)="SALDO ECONOMICO POSITIVO"),SUBSTITUTE(COPIA!CB70,"SALDO ECONOMICO POSITIVO","UTILE D'ESERCIZIO"),UPPER(COPIA!CB70)))</f>
        <v/>
      </c>
      <c r="E7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IFERROR(VALUE(IF((ROW())&gt;=MAX(COPIA!$BV$2,COPIA!$BW$2)+COPIA!$CB$2,CONCATENATE((INDIRECT(ADDRESS(ROW()-MAX(COPIA!$BV$2,COPIA!$BW$2)-COPIA!$CC$2,136,4,,"COPIA"))),INDIRECT(ADDRESS(ROW()-MAX(COPIA!$BV$2,COPIA!$BW$2)-COPIA!$CC$2,95,4,,"COPIA"))),UPPER(COPIA!CC70))),"")</f>
        <v/>
      </c>
    </row>
    <row r="76" spans="2:6">
      <c r="B7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IF((ROW())&gt;=MAX(COPIA!$BV$2,COPIA!$BW$2)+COPIA!$CB$2,CONCATENATE((INDIRECT(ADDRESS(ROW()-MAX(COPIA!$BV$2,COPIA!$BW$2)-COPIA!$CC$2,87,4,,"COPIA"))),INDIRECT(ADDRESS(ROW()-MAX(COPIA!$BV$2,COPIA!$BW$2)-COPIA!$CC$2,96,4,,"COPIA"))),IF(AND(COPIA!$EO$1=TRUE,UPPER(COPIA!BZ71)="SALDO ECONOMICO NEGATIVO"),SUBSTITUTE(COPIA!BZ71,"SALDO ECONOMICO NEGATIVO","PERDITA D'ESERCIZIO"),UPPER(COPIA!BZ71)))</f>
        <v/>
      </c>
      <c r="C7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IFERROR(VALUE(IF((ROW())&gt;=MAX(COPIA!$BV$2,COPIA!$BW$2)+COPIA!$CB$2,CONCATENATE((INDIRECT(ADDRESS(ROW()-MAX(COPIA!$BV$2,COPIA!$BW$2)-COPIA!$CC$2,88,4,,"COPIA"))),INDIRECT(ADDRESS(ROW()-MAX(COPIA!$BV$2,COPIA!$BW$2)-COPIA!$CC$2,137,4,,"COPIA"))),UPPER(COPIA!CA71))),"")</f>
        <v/>
      </c>
      <c r="D7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IF((ROW())&gt;=MAX(COPIA!$BV$2,COPIA!$BW$2)+COPIA!$CB$2,CONCATENATE((INDIRECT(ADDRESS(ROW()-MAX(COPIA!$BV$2,COPIA!$BW$2)-COPIA!$CC$2,138,4,,"COPIA"))),INDIRECT(ADDRESS(ROW()-MAX(COPIA!$BV$2,COPIA!$BW$2)-COPIA!$CC$2,135,4,,"COPIA"))),IF(AND($EO$4=TRUE,UPPER(COPIA!CB71)="SALDO ECONOMICO POSITIVO"),SUBSTITUTE(COPIA!CB71,"SALDO ECONOMICO POSITIVO","UTILE D'ESERCIZIO"),UPPER(COPIA!CB71)))</f>
        <v/>
      </c>
      <c r="E7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IFERROR(VALUE(IF((ROW())&gt;=MAX(COPIA!$BV$2,COPIA!$BW$2)+COPIA!$CB$2,CONCATENATE((INDIRECT(ADDRESS(ROW()-MAX(COPIA!$BV$2,COPIA!$BW$2)-COPIA!$CC$2,136,4,,"COPIA"))),INDIRECT(ADDRESS(ROW()-MAX(COPIA!$BV$2,COPIA!$BW$2)-COPIA!$CC$2,95,4,,"COPIA"))),UPPER(COPIA!CC71))),"")</f>
        <v/>
      </c>
    </row>
    <row r="77" spans="2:6">
      <c r="B7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IF((ROW())&gt;=MAX(COPIA!$BV$2,COPIA!$BW$2)+COPIA!$CB$2,CONCATENATE((INDIRECT(ADDRESS(ROW()-MAX(COPIA!$BV$2,COPIA!$BW$2)-COPIA!$CC$2,87,4,,"COPIA"))),INDIRECT(ADDRESS(ROW()-MAX(COPIA!$BV$2,COPIA!$BW$2)-COPIA!$CC$2,96,4,,"COPIA"))),IF(AND(COPIA!$EO$1=TRUE,UPPER(COPIA!BZ72)="SALDO ECONOMICO NEGATIVO"),SUBSTITUTE(COPIA!BZ72,"SALDO ECONOMICO NEGATIVO","PERDITA D'ESERCIZIO"),UPPER(COPIA!BZ72)))</f>
        <v/>
      </c>
      <c r="C7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IFERROR(VALUE(IF((ROW())&gt;=MAX(COPIA!$BV$2,COPIA!$BW$2)+COPIA!$CB$2,CONCATENATE((INDIRECT(ADDRESS(ROW()-MAX(COPIA!$BV$2,COPIA!$BW$2)-COPIA!$CC$2,88,4,,"COPIA"))),INDIRECT(ADDRESS(ROW()-MAX(COPIA!$BV$2,COPIA!$BW$2)-COPIA!$CC$2,137,4,,"COPIA"))),UPPER(COPIA!CA72))),"")</f>
        <v/>
      </c>
      <c r="D7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IF((ROW())&gt;=MAX(COPIA!$BV$2,COPIA!$BW$2)+COPIA!$CB$2,CONCATENATE((INDIRECT(ADDRESS(ROW()-MAX(COPIA!$BV$2,COPIA!$BW$2)-COPIA!$CC$2,138,4,,"COPIA"))),INDIRECT(ADDRESS(ROW()-MAX(COPIA!$BV$2,COPIA!$BW$2)-COPIA!$CC$2,135,4,,"COPIA"))),IF(AND($EO$4=TRUE,UPPER(COPIA!CB72)="SALDO ECONOMICO POSITIVO"),SUBSTITUTE(COPIA!CB72,"SALDO ECONOMICO POSITIVO","UTILE D'ESERCIZIO"),UPPER(COPIA!CB72)))</f>
        <v/>
      </c>
      <c r="E7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IFERROR(VALUE(IF((ROW())&gt;=MAX(COPIA!$BV$2,COPIA!$BW$2)+COPIA!$CB$2,CONCATENATE((INDIRECT(ADDRESS(ROW()-MAX(COPIA!$BV$2,COPIA!$BW$2)-COPIA!$CC$2,136,4,,"COPIA"))),INDIRECT(ADDRESS(ROW()-MAX(COPIA!$BV$2,COPIA!$BW$2)-COPIA!$CC$2,95,4,,"COPIA"))),UPPER(COPIA!CC72))),"")</f>
        <v/>
      </c>
    </row>
    <row r="78" spans="2:6">
      <c r="B7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IF((ROW())&gt;=MAX(COPIA!$BV$2,COPIA!$BW$2)+COPIA!$CB$2,CONCATENATE((INDIRECT(ADDRESS(ROW()-MAX(COPIA!$BV$2,COPIA!$BW$2)-COPIA!$CC$2,87,4,,"COPIA"))),INDIRECT(ADDRESS(ROW()-MAX(COPIA!$BV$2,COPIA!$BW$2)-COPIA!$CC$2,96,4,,"COPIA"))),IF(AND(COPIA!$EO$1=TRUE,UPPER(COPIA!BZ73)="SALDO ECONOMICO NEGATIVO"),SUBSTITUTE(COPIA!BZ73,"SALDO ECONOMICO NEGATIVO","PERDITA D'ESERCIZIO"),UPPER(COPIA!BZ73)))</f>
        <v/>
      </c>
      <c r="C7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IFERROR(VALUE(IF((ROW())&gt;=MAX(COPIA!$BV$2,COPIA!$BW$2)+COPIA!$CB$2,CONCATENATE((INDIRECT(ADDRESS(ROW()-MAX(COPIA!$BV$2,COPIA!$BW$2)-COPIA!$CC$2,88,4,,"COPIA"))),INDIRECT(ADDRESS(ROW()-MAX(COPIA!$BV$2,COPIA!$BW$2)-COPIA!$CC$2,137,4,,"COPIA"))),UPPER(COPIA!CA73))),"")</f>
        <v/>
      </c>
      <c r="D7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IF((ROW())&gt;=MAX(COPIA!$BV$2,COPIA!$BW$2)+COPIA!$CB$2,CONCATENATE((INDIRECT(ADDRESS(ROW()-MAX(COPIA!$BV$2,COPIA!$BW$2)-COPIA!$CC$2,138,4,,"COPIA"))),INDIRECT(ADDRESS(ROW()-MAX(COPIA!$BV$2,COPIA!$BW$2)-COPIA!$CC$2,135,4,,"COPIA"))),IF(AND($EO$4=TRUE,UPPER(COPIA!CB73)="SALDO ECONOMICO POSITIVO"),SUBSTITUTE(COPIA!CB73,"SALDO ECONOMICO POSITIVO","UTILE D'ESERCIZIO"),UPPER(COPIA!CB73)))</f>
        <v/>
      </c>
      <c r="E7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IFERROR(VALUE(IF((ROW())&gt;=MAX(COPIA!$BV$2,COPIA!$BW$2)+COPIA!$CB$2,CONCATENATE((INDIRECT(ADDRESS(ROW()-MAX(COPIA!$BV$2,COPIA!$BW$2)-COPIA!$CC$2,136,4,,"COPIA"))),INDIRECT(ADDRESS(ROW()-MAX(COPIA!$BV$2,COPIA!$BW$2)-COPIA!$CC$2,95,4,,"COPIA"))),UPPER(COPIA!CC73))),"")</f>
        <v/>
      </c>
    </row>
    <row r="79" spans="2:6">
      <c r="B7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IF((ROW())&gt;=MAX(COPIA!$BV$2,COPIA!$BW$2)+COPIA!$CB$2,CONCATENATE((INDIRECT(ADDRESS(ROW()-MAX(COPIA!$BV$2,COPIA!$BW$2)-COPIA!$CC$2,87,4,,"COPIA"))),INDIRECT(ADDRESS(ROW()-MAX(COPIA!$BV$2,COPIA!$BW$2)-COPIA!$CC$2,96,4,,"COPIA"))),IF(AND(COPIA!$EO$1=TRUE,UPPER(COPIA!BZ74)="SALDO ECONOMICO NEGATIVO"),SUBSTITUTE(COPIA!BZ74,"SALDO ECONOMICO NEGATIVO","PERDITA D'ESERCIZIO"),UPPER(COPIA!BZ74)))</f>
        <v/>
      </c>
      <c r="C7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IFERROR(VALUE(IF((ROW())&gt;=MAX(COPIA!$BV$2,COPIA!$BW$2)+COPIA!$CB$2,CONCATENATE((INDIRECT(ADDRESS(ROW()-MAX(COPIA!$BV$2,COPIA!$BW$2)-COPIA!$CC$2,88,4,,"COPIA"))),INDIRECT(ADDRESS(ROW()-MAX(COPIA!$BV$2,COPIA!$BW$2)-COPIA!$CC$2,137,4,,"COPIA"))),UPPER(COPIA!CA74))),"")</f>
        <v/>
      </c>
      <c r="D7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IF((ROW())&gt;=MAX(COPIA!$BV$2,COPIA!$BW$2)+COPIA!$CB$2,CONCATENATE((INDIRECT(ADDRESS(ROW()-MAX(COPIA!$BV$2,COPIA!$BW$2)-COPIA!$CC$2,138,4,,"COPIA"))),INDIRECT(ADDRESS(ROW()-MAX(COPIA!$BV$2,COPIA!$BW$2)-COPIA!$CC$2,135,4,,"COPIA"))),IF(AND($EO$4=TRUE,UPPER(COPIA!CB74)="SALDO ECONOMICO POSITIVO"),SUBSTITUTE(COPIA!CB74,"SALDO ECONOMICO POSITIVO","UTILE D'ESERCIZIO"),UPPER(COPIA!CB74)))</f>
        <v/>
      </c>
      <c r="E7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IFERROR(VALUE(IF((ROW())&gt;=MAX(COPIA!$BV$2,COPIA!$BW$2)+COPIA!$CB$2,CONCATENATE((INDIRECT(ADDRESS(ROW()-MAX(COPIA!$BV$2,COPIA!$BW$2)-COPIA!$CC$2,136,4,,"COPIA"))),INDIRECT(ADDRESS(ROW()-MAX(COPIA!$BV$2,COPIA!$BW$2)-COPIA!$CC$2,95,4,,"COPIA"))),UPPER(COPIA!CC74))),"")</f>
        <v/>
      </c>
    </row>
    <row r="80" spans="2:6">
      <c r="B8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IF((ROW())&gt;=MAX(COPIA!$BV$2,COPIA!$BW$2)+COPIA!$CB$2,CONCATENATE((INDIRECT(ADDRESS(ROW()-MAX(COPIA!$BV$2,COPIA!$BW$2)-COPIA!$CC$2,87,4,,"COPIA"))),INDIRECT(ADDRESS(ROW()-MAX(COPIA!$BV$2,COPIA!$BW$2)-COPIA!$CC$2,96,4,,"COPIA"))),IF(AND(COPIA!$EO$1=TRUE,UPPER(COPIA!BZ75)="SALDO ECONOMICO NEGATIVO"),SUBSTITUTE(COPIA!BZ75,"SALDO ECONOMICO NEGATIVO","PERDITA D'ESERCIZIO"),UPPER(COPIA!BZ75)))</f>
        <v/>
      </c>
      <c r="C8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IFERROR(VALUE(IF((ROW())&gt;=MAX(COPIA!$BV$2,COPIA!$BW$2)+COPIA!$CB$2,CONCATENATE((INDIRECT(ADDRESS(ROW()-MAX(COPIA!$BV$2,COPIA!$BW$2)-COPIA!$CC$2,88,4,,"COPIA"))),INDIRECT(ADDRESS(ROW()-MAX(COPIA!$BV$2,COPIA!$BW$2)-COPIA!$CC$2,137,4,,"COPIA"))),UPPER(COPIA!CA75))),"")</f>
        <v/>
      </c>
      <c r="D8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IF((ROW())&gt;=MAX(COPIA!$BV$2,COPIA!$BW$2)+COPIA!$CB$2,CONCATENATE((INDIRECT(ADDRESS(ROW()-MAX(COPIA!$BV$2,COPIA!$BW$2)-COPIA!$CC$2,138,4,,"COPIA"))),INDIRECT(ADDRESS(ROW()-MAX(COPIA!$BV$2,COPIA!$BW$2)-COPIA!$CC$2,135,4,,"COPIA"))),IF(AND($EO$4=TRUE,UPPER(COPIA!CB75)="SALDO ECONOMICO POSITIVO"),SUBSTITUTE(COPIA!CB75,"SALDO ECONOMICO POSITIVO","UTILE D'ESERCIZIO"),UPPER(COPIA!CB75)))</f>
        <v/>
      </c>
      <c r="E8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IFERROR(VALUE(IF((ROW())&gt;=MAX(COPIA!$BV$2,COPIA!$BW$2)+COPIA!$CB$2,CONCATENATE((INDIRECT(ADDRESS(ROW()-MAX(COPIA!$BV$2,COPIA!$BW$2)-COPIA!$CC$2,136,4,,"COPIA"))),INDIRECT(ADDRESS(ROW()-MAX(COPIA!$BV$2,COPIA!$BW$2)-COPIA!$CC$2,95,4,,"COPIA"))),UPPER(COPIA!CC75))),"")</f>
        <v/>
      </c>
    </row>
    <row r="81" spans="2:5">
      <c r="B8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IF((ROW())&gt;=MAX(COPIA!$BV$2,COPIA!$BW$2)+COPIA!$CB$2,CONCATENATE((INDIRECT(ADDRESS(ROW()-MAX(COPIA!$BV$2,COPIA!$BW$2)-COPIA!$CC$2,87,4,,"COPIA"))),INDIRECT(ADDRESS(ROW()-MAX(COPIA!$BV$2,COPIA!$BW$2)-COPIA!$CC$2,96,4,,"COPIA"))),IF(AND(COPIA!$EO$1=TRUE,UPPER(COPIA!BZ76)="SALDO ECONOMICO NEGATIVO"),SUBSTITUTE(COPIA!BZ76,"SALDO ECONOMICO NEGATIVO","PERDITA D'ESERCIZIO"),UPPER(COPIA!BZ76)))</f>
        <v/>
      </c>
      <c r="C8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IFERROR(VALUE(IF((ROW())&gt;=MAX(COPIA!$BV$2,COPIA!$BW$2)+COPIA!$CB$2,CONCATENATE((INDIRECT(ADDRESS(ROW()-MAX(COPIA!$BV$2,COPIA!$BW$2)-COPIA!$CC$2,88,4,,"COPIA"))),INDIRECT(ADDRESS(ROW()-MAX(COPIA!$BV$2,COPIA!$BW$2)-COPIA!$CC$2,137,4,,"COPIA"))),UPPER(COPIA!CA76))),"")</f>
        <v/>
      </c>
      <c r="D8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IF((ROW())&gt;=MAX(COPIA!$BV$2,COPIA!$BW$2)+COPIA!$CB$2,CONCATENATE((INDIRECT(ADDRESS(ROW()-MAX(COPIA!$BV$2,COPIA!$BW$2)-COPIA!$CC$2,138,4,,"COPIA"))),INDIRECT(ADDRESS(ROW()-MAX(COPIA!$BV$2,COPIA!$BW$2)-COPIA!$CC$2,135,4,,"COPIA"))),IF(AND($EO$4=TRUE,UPPER(COPIA!CB76)="SALDO ECONOMICO POSITIVO"),SUBSTITUTE(COPIA!CB76,"SALDO ECONOMICO POSITIVO","UTILE D'ESERCIZIO"),UPPER(COPIA!CB76)))</f>
        <v/>
      </c>
      <c r="E8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IFERROR(VALUE(IF((ROW())&gt;=MAX(COPIA!$BV$2,COPIA!$BW$2)+COPIA!$CB$2,CONCATENATE((INDIRECT(ADDRESS(ROW()-MAX(COPIA!$BV$2,COPIA!$BW$2)-COPIA!$CC$2,136,4,,"COPIA"))),INDIRECT(ADDRESS(ROW()-MAX(COPIA!$BV$2,COPIA!$BW$2)-COPIA!$CC$2,95,4,,"COPIA"))),UPPER(COPIA!CC76))),"")</f>
        <v/>
      </c>
    </row>
    <row r="82" spans="2:5">
      <c r="B8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IF((ROW())&gt;=MAX(COPIA!$BV$2,COPIA!$BW$2)+COPIA!$CB$2,CONCATENATE((INDIRECT(ADDRESS(ROW()-MAX(COPIA!$BV$2,COPIA!$BW$2)-COPIA!$CC$2,87,4,,"COPIA"))),INDIRECT(ADDRESS(ROW()-MAX(COPIA!$BV$2,COPIA!$BW$2)-COPIA!$CC$2,96,4,,"COPIA"))),IF(AND(COPIA!$EO$1=TRUE,UPPER(COPIA!BZ77)="SALDO ECONOMICO NEGATIVO"),SUBSTITUTE(COPIA!BZ77,"SALDO ECONOMICO NEGATIVO","PERDITA D'ESERCIZIO"),UPPER(COPIA!BZ77)))</f>
        <v/>
      </c>
      <c r="C8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IFERROR(VALUE(IF((ROW())&gt;=MAX(COPIA!$BV$2,COPIA!$BW$2)+COPIA!$CB$2,CONCATENATE((INDIRECT(ADDRESS(ROW()-MAX(COPIA!$BV$2,COPIA!$BW$2)-COPIA!$CC$2,88,4,,"COPIA"))),INDIRECT(ADDRESS(ROW()-MAX(COPIA!$BV$2,COPIA!$BW$2)-COPIA!$CC$2,137,4,,"COPIA"))),UPPER(COPIA!CA77))),"")</f>
        <v/>
      </c>
      <c r="D8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IF((ROW())&gt;=MAX(COPIA!$BV$2,COPIA!$BW$2)+COPIA!$CB$2,CONCATENATE((INDIRECT(ADDRESS(ROW()-MAX(COPIA!$BV$2,COPIA!$BW$2)-COPIA!$CC$2,138,4,,"COPIA"))),INDIRECT(ADDRESS(ROW()-MAX(COPIA!$BV$2,COPIA!$BW$2)-COPIA!$CC$2,135,4,,"COPIA"))),IF(AND($EO$4=TRUE,UPPER(COPIA!CB77)="SALDO ECONOMICO POSITIVO"),SUBSTITUTE(COPIA!CB77,"SALDO ECONOMICO POSITIVO","UTILE D'ESERCIZIO"),UPPER(COPIA!CB77)))</f>
        <v/>
      </c>
      <c r="E8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IFERROR(VALUE(IF((ROW())&gt;=MAX(COPIA!$BV$2,COPIA!$BW$2)+COPIA!$CB$2,CONCATENATE((INDIRECT(ADDRESS(ROW()-MAX(COPIA!$BV$2,COPIA!$BW$2)-COPIA!$CC$2,136,4,,"COPIA"))),INDIRECT(ADDRESS(ROW()-MAX(COPIA!$BV$2,COPIA!$BW$2)-COPIA!$CC$2,95,4,,"COPIA"))),UPPER(COPIA!CC77))),"")</f>
        <v/>
      </c>
    </row>
    <row r="83" spans="2:5">
      <c r="B8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IF((ROW())&gt;=MAX(COPIA!$BV$2,COPIA!$BW$2)+COPIA!$CB$2,CONCATENATE((INDIRECT(ADDRESS(ROW()-MAX(COPIA!$BV$2,COPIA!$BW$2)-COPIA!$CC$2,87,4,,"COPIA"))),INDIRECT(ADDRESS(ROW()-MAX(COPIA!$BV$2,COPIA!$BW$2)-COPIA!$CC$2,96,4,,"COPIA"))),IF(AND(COPIA!$EO$1=TRUE,UPPER(COPIA!BZ78)="SALDO ECONOMICO NEGATIVO"),SUBSTITUTE(COPIA!BZ78,"SALDO ECONOMICO NEGATIVO","PERDITA D'ESERCIZIO"),UPPER(COPIA!BZ78)))</f>
        <v/>
      </c>
      <c r="C8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IFERROR(VALUE(IF((ROW())&gt;=MAX(COPIA!$BV$2,COPIA!$BW$2)+COPIA!$CB$2,CONCATENATE((INDIRECT(ADDRESS(ROW()-MAX(COPIA!$BV$2,COPIA!$BW$2)-COPIA!$CC$2,88,4,,"COPIA"))),INDIRECT(ADDRESS(ROW()-MAX(COPIA!$BV$2,COPIA!$BW$2)-COPIA!$CC$2,137,4,,"COPIA"))),UPPER(COPIA!CA78))),"")</f>
        <v/>
      </c>
      <c r="D8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IF((ROW())&gt;=MAX(COPIA!$BV$2,COPIA!$BW$2)+COPIA!$CB$2,CONCATENATE((INDIRECT(ADDRESS(ROW()-MAX(COPIA!$BV$2,COPIA!$BW$2)-COPIA!$CC$2,138,4,,"COPIA"))),INDIRECT(ADDRESS(ROW()-MAX(COPIA!$BV$2,COPIA!$BW$2)-COPIA!$CC$2,135,4,,"COPIA"))),IF(AND($EO$4=TRUE,UPPER(COPIA!CB78)="SALDO ECONOMICO POSITIVO"),SUBSTITUTE(COPIA!CB78,"SALDO ECONOMICO POSITIVO","UTILE D'ESERCIZIO"),UPPER(COPIA!CB78)))</f>
        <v/>
      </c>
      <c r="E8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IFERROR(VALUE(IF((ROW())&gt;=MAX(COPIA!$BV$2,COPIA!$BW$2)+COPIA!$CB$2,CONCATENATE((INDIRECT(ADDRESS(ROW()-MAX(COPIA!$BV$2,COPIA!$BW$2)-COPIA!$CC$2,136,4,,"COPIA"))),INDIRECT(ADDRESS(ROW()-MAX(COPIA!$BV$2,COPIA!$BW$2)-COPIA!$CC$2,95,4,,"COPIA"))),UPPER(COPIA!CC78))),"")</f>
        <v/>
      </c>
    </row>
    <row r="84" spans="2:5">
      <c r="B8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IF((ROW())&gt;=MAX(COPIA!$BV$2,COPIA!$BW$2)+COPIA!$CB$2,CONCATENATE((INDIRECT(ADDRESS(ROW()-MAX(COPIA!$BV$2,COPIA!$BW$2)-COPIA!$CC$2,87,4,,"COPIA"))),INDIRECT(ADDRESS(ROW()-MAX(COPIA!$BV$2,COPIA!$BW$2)-COPIA!$CC$2,96,4,,"COPIA"))),IF(AND(COPIA!$EO$1=TRUE,UPPER(COPIA!BZ79)="SALDO ECONOMICO NEGATIVO"),SUBSTITUTE(COPIA!BZ79,"SALDO ECONOMICO NEGATIVO","PERDITA D'ESERCIZIO"),UPPER(COPIA!BZ79)))</f>
        <v/>
      </c>
      <c r="C8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IFERROR(VALUE(IF((ROW())&gt;=MAX(COPIA!$BV$2,COPIA!$BW$2)+COPIA!$CB$2,CONCATENATE((INDIRECT(ADDRESS(ROW()-MAX(COPIA!$BV$2,COPIA!$BW$2)-COPIA!$CC$2,88,4,,"COPIA"))),INDIRECT(ADDRESS(ROW()-MAX(COPIA!$BV$2,COPIA!$BW$2)-COPIA!$CC$2,137,4,,"COPIA"))),UPPER(COPIA!CA79))),"")</f>
        <v/>
      </c>
      <c r="D8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IF((ROW())&gt;=MAX(COPIA!$BV$2,COPIA!$BW$2)+COPIA!$CB$2,CONCATENATE((INDIRECT(ADDRESS(ROW()-MAX(COPIA!$BV$2,COPIA!$BW$2)-COPIA!$CC$2,138,4,,"COPIA"))),INDIRECT(ADDRESS(ROW()-MAX(COPIA!$BV$2,COPIA!$BW$2)-COPIA!$CC$2,135,4,,"COPIA"))),IF(AND($EO$4=TRUE,UPPER(COPIA!CB79)="SALDO ECONOMICO POSITIVO"),SUBSTITUTE(COPIA!CB79,"SALDO ECONOMICO POSITIVO","UTILE D'ESERCIZIO"),UPPER(COPIA!CB79)))</f>
        <v/>
      </c>
      <c r="E8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IFERROR(VALUE(IF((ROW())&gt;=MAX(COPIA!$BV$2,COPIA!$BW$2)+COPIA!$CB$2,CONCATENATE((INDIRECT(ADDRESS(ROW()-MAX(COPIA!$BV$2,COPIA!$BW$2)-COPIA!$CC$2,136,4,,"COPIA"))),INDIRECT(ADDRESS(ROW()-MAX(COPIA!$BV$2,COPIA!$BW$2)-COPIA!$CC$2,95,4,,"COPIA"))),UPPER(COPIA!CC79))),"")</f>
        <v/>
      </c>
    </row>
    <row r="85" spans="2:5">
      <c r="B8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IF((ROW())&gt;=MAX(COPIA!$BV$2,COPIA!$BW$2)+COPIA!$CB$2,CONCATENATE((INDIRECT(ADDRESS(ROW()-MAX(COPIA!$BV$2,COPIA!$BW$2)-COPIA!$CC$2,87,4,,"COPIA"))),INDIRECT(ADDRESS(ROW()-MAX(COPIA!$BV$2,COPIA!$BW$2)-COPIA!$CC$2,96,4,,"COPIA"))),IF(AND(COPIA!$EO$1=TRUE,UPPER(COPIA!BZ80)="SALDO ECONOMICO NEGATIVO"),SUBSTITUTE(COPIA!BZ80,"SALDO ECONOMICO NEGATIVO","PERDITA D'ESERCIZIO"),UPPER(COPIA!BZ80)))</f>
        <v/>
      </c>
      <c r="C8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IFERROR(VALUE(IF((ROW())&gt;=MAX(COPIA!$BV$2,COPIA!$BW$2)+COPIA!$CB$2,CONCATENATE((INDIRECT(ADDRESS(ROW()-MAX(COPIA!$BV$2,COPIA!$BW$2)-COPIA!$CC$2,88,4,,"COPIA"))),INDIRECT(ADDRESS(ROW()-MAX(COPIA!$BV$2,COPIA!$BW$2)-COPIA!$CC$2,137,4,,"COPIA"))),UPPER(COPIA!CA80))),"")</f>
        <v/>
      </c>
      <c r="D8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IF((ROW())&gt;=MAX(COPIA!$BV$2,COPIA!$BW$2)+COPIA!$CB$2,CONCATENATE((INDIRECT(ADDRESS(ROW()-MAX(COPIA!$BV$2,COPIA!$BW$2)-COPIA!$CC$2,138,4,,"COPIA"))),INDIRECT(ADDRESS(ROW()-MAX(COPIA!$BV$2,COPIA!$BW$2)-COPIA!$CC$2,135,4,,"COPIA"))),IF(AND($EO$4=TRUE,UPPER(COPIA!CB80)="SALDO ECONOMICO POSITIVO"),SUBSTITUTE(COPIA!CB80,"SALDO ECONOMICO POSITIVO","UTILE D'ESERCIZIO"),UPPER(COPIA!CB80)))</f>
        <v/>
      </c>
      <c r="E8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IFERROR(VALUE(IF((ROW())&gt;=MAX(COPIA!$BV$2,COPIA!$BW$2)+COPIA!$CB$2,CONCATENATE((INDIRECT(ADDRESS(ROW()-MAX(COPIA!$BV$2,COPIA!$BW$2)-COPIA!$CC$2,136,4,,"COPIA"))),INDIRECT(ADDRESS(ROW()-MAX(COPIA!$BV$2,COPIA!$BW$2)-COPIA!$CC$2,95,4,,"COPIA"))),UPPER(COPIA!CC80))),"")</f>
        <v/>
      </c>
    </row>
    <row r="86" spans="2:5">
      <c r="B8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IF((ROW())&gt;=MAX(COPIA!$BV$2,COPIA!$BW$2)+COPIA!$CB$2,CONCATENATE((INDIRECT(ADDRESS(ROW()-MAX(COPIA!$BV$2,COPIA!$BW$2)-COPIA!$CC$2,87,4,,"COPIA"))),INDIRECT(ADDRESS(ROW()-MAX(COPIA!$BV$2,COPIA!$BW$2)-COPIA!$CC$2,96,4,,"COPIA"))),IF(AND(COPIA!$EO$1=TRUE,UPPER(COPIA!BZ81)="SALDO ECONOMICO NEGATIVO"),SUBSTITUTE(COPIA!BZ81,"SALDO ECONOMICO NEGATIVO","PERDITA D'ESERCIZIO"),UPPER(COPIA!BZ81)))</f>
        <v/>
      </c>
      <c r="C8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IFERROR(VALUE(IF((ROW())&gt;=MAX(COPIA!$BV$2,COPIA!$BW$2)+COPIA!$CB$2,CONCATENATE((INDIRECT(ADDRESS(ROW()-MAX(COPIA!$BV$2,COPIA!$BW$2)-COPIA!$CC$2,88,4,,"COPIA"))),INDIRECT(ADDRESS(ROW()-MAX(COPIA!$BV$2,COPIA!$BW$2)-COPIA!$CC$2,137,4,,"COPIA"))),UPPER(COPIA!CA81))),"")</f>
        <v/>
      </c>
      <c r="D8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IF((ROW())&gt;=MAX(COPIA!$BV$2,COPIA!$BW$2)+COPIA!$CB$2,CONCATENATE((INDIRECT(ADDRESS(ROW()-MAX(COPIA!$BV$2,COPIA!$BW$2)-COPIA!$CC$2,138,4,,"COPIA"))),INDIRECT(ADDRESS(ROW()-MAX(COPIA!$BV$2,COPIA!$BW$2)-COPIA!$CC$2,135,4,,"COPIA"))),IF(AND($EO$4=TRUE,UPPER(COPIA!CB81)="SALDO ECONOMICO POSITIVO"),SUBSTITUTE(COPIA!CB81,"SALDO ECONOMICO POSITIVO","UTILE D'ESERCIZIO"),UPPER(COPIA!CB81)))</f>
        <v/>
      </c>
      <c r="E8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IFERROR(VALUE(IF((ROW())&gt;=MAX(COPIA!$BV$2,COPIA!$BW$2)+COPIA!$CB$2,CONCATENATE((INDIRECT(ADDRESS(ROW()-MAX(COPIA!$BV$2,COPIA!$BW$2)-COPIA!$CC$2,136,4,,"COPIA"))),INDIRECT(ADDRESS(ROW()-MAX(COPIA!$BV$2,COPIA!$BW$2)-COPIA!$CC$2,95,4,,"COPIA"))),UPPER(COPIA!CC81))),"")</f>
        <v/>
      </c>
    </row>
    <row r="87" spans="2:5">
      <c r="B8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IF((ROW())&gt;=MAX(COPIA!$BV$2,COPIA!$BW$2)+COPIA!$CB$2,CONCATENATE((INDIRECT(ADDRESS(ROW()-MAX(COPIA!$BV$2,COPIA!$BW$2)-COPIA!$CC$2,87,4,,"COPIA"))),INDIRECT(ADDRESS(ROW()-MAX(COPIA!$BV$2,COPIA!$BW$2)-COPIA!$CC$2,96,4,,"COPIA"))),IF(AND(COPIA!$EO$1=TRUE,UPPER(COPIA!BZ82)="SALDO ECONOMICO NEGATIVO"),SUBSTITUTE(COPIA!BZ82,"SALDO ECONOMICO NEGATIVO","PERDITA D'ESERCIZIO"),UPPER(COPIA!BZ82)))</f>
        <v/>
      </c>
      <c r="C8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IFERROR(VALUE(IF((ROW())&gt;=MAX(COPIA!$BV$2,COPIA!$BW$2)+COPIA!$CB$2,CONCATENATE((INDIRECT(ADDRESS(ROW()-MAX(COPIA!$BV$2,COPIA!$BW$2)-COPIA!$CC$2,88,4,,"COPIA"))),INDIRECT(ADDRESS(ROW()-MAX(COPIA!$BV$2,COPIA!$BW$2)-COPIA!$CC$2,137,4,,"COPIA"))),UPPER(COPIA!CA82))),"")</f>
        <v/>
      </c>
      <c r="D8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IF((ROW())&gt;=MAX(COPIA!$BV$2,COPIA!$BW$2)+COPIA!$CB$2,CONCATENATE((INDIRECT(ADDRESS(ROW()-MAX(COPIA!$BV$2,COPIA!$BW$2)-COPIA!$CC$2,138,4,,"COPIA"))),INDIRECT(ADDRESS(ROW()-MAX(COPIA!$BV$2,COPIA!$BW$2)-COPIA!$CC$2,135,4,,"COPIA"))),IF(AND($EO$4=TRUE,UPPER(COPIA!CB82)="SALDO ECONOMICO POSITIVO"),SUBSTITUTE(COPIA!CB82,"SALDO ECONOMICO POSITIVO","UTILE D'ESERCIZIO"),UPPER(COPIA!CB82)))</f>
        <v/>
      </c>
      <c r="E8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IFERROR(VALUE(IF((ROW())&gt;=MAX(COPIA!$BV$2,COPIA!$BW$2)+COPIA!$CB$2,CONCATENATE((INDIRECT(ADDRESS(ROW()-MAX(COPIA!$BV$2,COPIA!$BW$2)-COPIA!$CC$2,136,4,,"COPIA"))),INDIRECT(ADDRESS(ROW()-MAX(COPIA!$BV$2,COPIA!$BW$2)-COPIA!$CC$2,95,4,,"COPIA"))),UPPER(COPIA!CC82))),"")</f>
        <v/>
      </c>
    </row>
    <row r="88" spans="2:5">
      <c r="B8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IF((ROW())&gt;=MAX(COPIA!$BV$2,COPIA!$BW$2)+COPIA!$CB$2,CONCATENATE((INDIRECT(ADDRESS(ROW()-MAX(COPIA!$BV$2,COPIA!$BW$2)-COPIA!$CC$2,87,4,,"COPIA"))),INDIRECT(ADDRESS(ROW()-MAX(COPIA!$BV$2,COPIA!$BW$2)-COPIA!$CC$2,96,4,,"COPIA"))),IF(AND(COPIA!$EO$1=TRUE,UPPER(COPIA!BZ83)="SALDO ECONOMICO NEGATIVO"),SUBSTITUTE(COPIA!BZ83,"SALDO ECONOMICO NEGATIVO","PERDITA D'ESERCIZIO"),UPPER(COPIA!BZ83)))</f>
        <v/>
      </c>
      <c r="C8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IFERROR(VALUE(IF((ROW())&gt;=MAX(COPIA!$BV$2,COPIA!$BW$2)+COPIA!$CB$2,CONCATENATE((INDIRECT(ADDRESS(ROW()-MAX(COPIA!$BV$2,COPIA!$BW$2)-COPIA!$CC$2,88,4,,"COPIA"))),INDIRECT(ADDRESS(ROW()-MAX(COPIA!$BV$2,COPIA!$BW$2)-COPIA!$CC$2,137,4,,"COPIA"))),UPPER(COPIA!CA83))),"")</f>
        <v/>
      </c>
      <c r="D8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IF((ROW())&gt;=MAX(COPIA!$BV$2,COPIA!$BW$2)+COPIA!$CB$2,CONCATENATE((INDIRECT(ADDRESS(ROW()-MAX(COPIA!$BV$2,COPIA!$BW$2)-COPIA!$CC$2,138,4,,"COPIA"))),INDIRECT(ADDRESS(ROW()-MAX(COPIA!$BV$2,COPIA!$BW$2)-COPIA!$CC$2,135,4,,"COPIA"))),IF(AND($EO$4=TRUE,UPPER(COPIA!CB83)="SALDO ECONOMICO POSITIVO"),SUBSTITUTE(COPIA!CB83,"SALDO ECONOMICO POSITIVO","UTILE D'ESERCIZIO"),UPPER(COPIA!CB83)))</f>
        <v/>
      </c>
      <c r="E8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IFERROR(VALUE(IF((ROW())&gt;=MAX(COPIA!$BV$2,COPIA!$BW$2)+COPIA!$CB$2,CONCATENATE((INDIRECT(ADDRESS(ROW()-MAX(COPIA!$BV$2,COPIA!$BW$2)-COPIA!$CC$2,136,4,,"COPIA"))),INDIRECT(ADDRESS(ROW()-MAX(COPIA!$BV$2,COPIA!$BW$2)-COPIA!$CC$2,95,4,,"COPIA"))),UPPER(COPIA!CC83))),"")</f>
        <v/>
      </c>
    </row>
    <row r="89" spans="2:5">
      <c r="B8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IF((ROW())&gt;=MAX(COPIA!$BV$2,COPIA!$BW$2)+COPIA!$CB$2,CONCATENATE((INDIRECT(ADDRESS(ROW()-MAX(COPIA!$BV$2,COPIA!$BW$2)-COPIA!$CC$2,87,4,,"COPIA"))),INDIRECT(ADDRESS(ROW()-MAX(COPIA!$BV$2,COPIA!$BW$2)-COPIA!$CC$2,96,4,,"COPIA"))),IF(AND(COPIA!$EO$1=TRUE,UPPER(COPIA!BZ84)="SALDO ECONOMICO NEGATIVO"),SUBSTITUTE(COPIA!BZ84,"SALDO ECONOMICO NEGATIVO","PERDITA D'ESERCIZIO"),UPPER(COPIA!BZ84)))</f>
        <v/>
      </c>
      <c r="C8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IFERROR(VALUE(IF((ROW())&gt;=MAX(COPIA!$BV$2,COPIA!$BW$2)+COPIA!$CB$2,CONCATENATE((INDIRECT(ADDRESS(ROW()-MAX(COPIA!$BV$2,COPIA!$BW$2)-COPIA!$CC$2,88,4,,"COPIA"))),INDIRECT(ADDRESS(ROW()-MAX(COPIA!$BV$2,COPIA!$BW$2)-COPIA!$CC$2,137,4,,"COPIA"))),UPPER(COPIA!CA84))),"")</f>
        <v/>
      </c>
      <c r="D8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IF((ROW())&gt;=MAX(COPIA!$BV$2,COPIA!$BW$2)+COPIA!$CB$2,CONCATENATE((INDIRECT(ADDRESS(ROW()-MAX(COPIA!$BV$2,COPIA!$BW$2)-COPIA!$CC$2,138,4,,"COPIA"))),INDIRECT(ADDRESS(ROW()-MAX(COPIA!$BV$2,COPIA!$BW$2)-COPIA!$CC$2,135,4,,"COPIA"))),IF(AND($EO$4=TRUE,UPPER(COPIA!CB84)="SALDO ECONOMICO POSITIVO"),SUBSTITUTE(COPIA!CB84,"SALDO ECONOMICO POSITIVO","UTILE D'ESERCIZIO"),UPPER(COPIA!CB84)))</f>
        <v/>
      </c>
      <c r="E8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IFERROR(VALUE(IF((ROW())&gt;=MAX(COPIA!$BV$2,COPIA!$BW$2)+COPIA!$CB$2,CONCATENATE((INDIRECT(ADDRESS(ROW()-MAX(COPIA!$BV$2,COPIA!$BW$2)-COPIA!$CC$2,136,4,,"COPIA"))),INDIRECT(ADDRESS(ROW()-MAX(COPIA!$BV$2,COPIA!$BW$2)-COPIA!$CC$2,95,4,,"COPIA"))),UPPER(COPIA!CC84))),"")</f>
        <v/>
      </c>
    </row>
    <row r="90" spans="2:5">
      <c r="B9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IF((ROW())&gt;=MAX(COPIA!$BV$2,COPIA!$BW$2)+COPIA!$CB$2,CONCATENATE((INDIRECT(ADDRESS(ROW()-MAX(COPIA!$BV$2,COPIA!$BW$2)-COPIA!$CC$2,87,4,,"COPIA"))),INDIRECT(ADDRESS(ROW()-MAX(COPIA!$BV$2,COPIA!$BW$2)-COPIA!$CC$2,96,4,,"COPIA"))),IF(AND(COPIA!$EO$1=TRUE,UPPER(COPIA!BZ85)="SALDO ECONOMICO NEGATIVO"),SUBSTITUTE(COPIA!BZ85,"SALDO ECONOMICO NEGATIVO","PERDITA D'ESERCIZIO"),UPPER(COPIA!BZ85)))</f>
        <v/>
      </c>
      <c r="C9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IFERROR(VALUE(IF((ROW())&gt;=MAX(COPIA!$BV$2,COPIA!$BW$2)+COPIA!$CB$2,CONCATENATE((INDIRECT(ADDRESS(ROW()-MAX(COPIA!$BV$2,COPIA!$BW$2)-COPIA!$CC$2,88,4,,"COPIA"))),INDIRECT(ADDRESS(ROW()-MAX(COPIA!$BV$2,COPIA!$BW$2)-COPIA!$CC$2,137,4,,"COPIA"))),UPPER(COPIA!CA85))),"")</f>
        <v/>
      </c>
      <c r="D9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IF((ROW())&gt;=MAX(COPIA!$BV$2,COPIA!$BW$2)+COPIA!$CB$2,CONCATENATE((INDIRECT(ADDRESS(ROW()-MAX(COPIA!$BV$2,COPIA!$BW$2)-COPIA!$CC$2,138,4,,"COPIA"))),INDIRECT(ADDRESS(ROW()-MAX(COPIA!$BV$2,COPIA!$BW$2)-COPIA!$CC$2,135,4,,"COPIA"))),IF(AND($EO$4=TRUE,UPPER(COPIA!CB85)="SALDO ECONOMICO POSITIVO"),SUBSTITUTE(COPIA!CB85,"SALDO ECONOMICO POSITIVO","UTILE D'ESERCIZIO"),UPPER(COPIA!CB85)))</f>
        <v/>
      </c>
      <c r="E9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IFERROR(VALUE(IF((ROW())&gt;=MAX(COPIA!$BV$2,COPIA!$BW$2)+COPIA!$CB$2,CONCATENATE((INDIRECT(ADDRESS(ROW()-MAX(COPIA!$BV$2,COPIA!$BW$2)-COPIA!$CC$2,136,4,,"COPIA"))),INDIRECT(ADDRESS(ROW()-MAX(COPIA!$BV$2,COPIA!$BW$2)-COPIA!$CC$2,95,4,,"COPIA"))),UPPER(COPIA!CC85))),"")</f>
        <v/>
      </c>
    </row>
    <row r="91" spans="2:5">
      <c r="B9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IF((ROW())&gt;=MAX(COPIA!$BV$2,COPIA!$BW$2)+COPIA!$CB$2,CONCATENATE((INDIRECT(ADDRESS(ROW()-MAX(COPIA!$BV$2,COPIA!$BW$2)-COPIA!$CC$2,87,4,,"COPIA"))),INDIRECT(ADDRESS(ROW()-MAX(COPIA!$BV$2,COPIA!$BW$2)-COPIA!$CC$2,96,4,,"COPIA"))),IF(AND(COPIA!$EO$1=TRUE,UPPER(COPIA!BZ86)="SALDO ECONOMICO NEGATIVO"),SUBSTITUTE(COPIA!BZ86,"SALDO ECONOMICO NEGATIVO","PERDITA D'ESERCIZIO"),UPPER(COPIA!BZ86)))</f>
        <v/>
      </c>
      <c r="C9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IFERROR(VALUE(IF((ROW())&gt;=MAX(COPIA!$BV$2,COPIA!$BW$2)+COPIA!$CB$2,CONCATENATE((INDIRECT(ADDRESS(ROW()-MAX(COPIA!$BV$2,COPIA!$BW$2)-COPIA!$CC$2,88,4,,"COPIA"))),INDIRECT(ADDRESS(ROW()-MAX(COPIA!$BV$2,COPIA!$BW$2)-COPIA!$CC$2,137,4,,"COPIA"))),UPPER(COPIA!CA86))),"")</f>
        <v/>
      </c>
      <c r="D9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IF((ROW())&gt;=MAX(COPIA!$BV$2,COPIA!$BW$2)+COPIA!$CB$2,CONCATENATE((INDIRECT(ADDRESS(ROW()-MAX(COPIA!$BV$2,COPIA!$BW$2)-COPIA!$CC$2,138,4,,"COPIA"))),INDIRECT(ADDRESS(ROW()-MAX(COPIA!$BV$2,COPIA!$BW$2)-COPIA!$CC$2,135,4,,"COPIA"))),IF(AND($EO$4=TRUE,UPPER(COPIA!CB86)="SALDO ECONOMICO POSITIVO"),SUBSTITUTE(COPIA!CB86,"SALDO ECONOMICO POSITIVO","UTILE D'ESERCIZIO"),UPPER(COPIA!CB86)))</f>
        <v/>
      </c>
      <c r="E9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IFERROR(VALUE(IF((ROW())&gt;=MAX(COPIA!$BV$2,COPIA!$BW$2)+COPIA!$CB$2,CONCATENATE((INDIRECT(ADDRESS(ROW()-MAX(COPIA!$BV$2,COPIA!$BW$2)-COPIA!$CC$2,136,4,,"COPIA"))),INDIRECT(ADDRESS(ROW()-MAX(COPIA!$BV$2,COPIA!$BW$2)-COPIA!$CC$2,95,4,,"COPIA"))),UPPER(COPIA!CC86))),"")</f>
        <v/>
      </c>
    </row>
    <row r="92" spans="2:5">
      <c r="B9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IF((ROW())&gt;=MAX(COPIA!$BV$2,COPIA!$BW$2)+COPIA!$CB$2,CONCATENATE((INDIRECT(ADDRESS(ROW()-MAX(COPIA!$BV$2,COPIA!$BW$2)-COPIA!$CC$2,87,4,,"COPIA"))),INDIRECT(ADDRESS(ROW()-MAX(COPIA!$BV$2,COPIA!$BW$2)-COPIA!$CC$2,96,4,,"COPIA"))),IF(AND(COPIA!$EO$1=TRUE,UPPER(COPIA!BZ87)="SALDO ECONOMICO NEGATIVO"),SUBSTITUTE(COPIA!BZ87,"SALDO ECONOMICO NEGATIVO","PERDITA D'ESERCIZIO"),UPPER(COPIA!BZ87)))</f>
        <v/>
      </c>
      <c r="C9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IFERROR(VALUE(IF((ROW())&gt;=MAX(COPIA!$BV$2,COPIA!$BW$2)+COPIA!$CB$2,CONCATENATE((INDIRECT(ADDRESS(ROW()-MAX(COPIA!$BV$2,COPIA!$BW$2)-COPIA!$CC$2,88,4,,"COPIA"))),INDIRECT(ADDRESS(ROW()-MAX(COPIA!$BV$2,COPIA!$BW$2)-COPIA!$CC$2,137,4,,"COPIA"))),UPPER(COPIA!CA87))),"")</f>
        <v/>
      </c>
      <c r="D9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IF((ROW())&gt;=MAX(COPIA!$BV$2,COPIA!$BW$2)+COPIA!$CB$2,CONCATENATE((INDIRECT(ADDRESS(ROW()-MAX(COPIA!$BV$2,COPIA!$BW$2)-COPIA!$CC$2,138,4,,"COPIA"))),INDIRECT(ADDRESS(ROW()-MAX(COPIA!$BV$2,COPIA!$BW$2)-COPIA!$CC$2,135,4,,"COPIA"))),IF(AND($EO$4=TRUE,UPPER(COPIA!CB87)="SALDO ECONOMICO POSITIVO"),SUBSTITUTE(COPIA!CB87,"SALDO ECONOMICO POSITIVO","UTILE D'ESERCIZIO"),UPPER(COPIA!CB87)))</f>
        <v/>
      </c>
      <c r="E9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IFERROR(VALUE(IF((ROW())&gt;=MAX(COPIA!$BV$2,COPIA!$BW$2)+COPIA!$CB$2,CONCATENATE((INDIRECT(ADDRESS(ROW()-MAX(COPIA!$BV$2,COPIA!$BW$2)-COPIA!$CC$2,136,4,,"COPIA"))),INDIRECT(ADDRESS(ROW()-MAX(COPIA!$BV$2,COPIA!$BW$2)-COPIA!$CC$2,95,4,,"COPIA"))),UPPER(COPIA!CC87))),"")</f>
        <v/>
      </c>
    </row>
    <row r="93" spans="2:5">
      <c r="B9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IF((ROW())&gt;=MAX(COPIA!$BV$2,COPIA!$BW$2)+COPIA!$CB$2,CONCATENATE((INDIRECT(ADDRESS(ROW()-MAX(COPIA!$BV$2,COPIA!$BW$2)-COPIA!$CC$2,87,4,,"COPIA"))),INDIRECT(ADDRESS(ROW()-MAX(COPIA!$BV$2,COPIA!$BW$2)-COPIA!$CC$2,96,4,,"COPIA"))),IF(AND(COPIA!$EO$1=TRUE,UPPER(COPIA!BZ88)="SALDO ECONOMICO NEGATIVO"),SUBSTITUTE(COPIA!BZ88,"SALDO ECONOMICO NEGATIVO","PERDITA D'ESERCIZIO"),UPPER(COPIA!BZ88)))</f>
        <v/>
      </c>
      <c r="C9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IFERROR(VALUE(IF((ROW())&gt;=MAX(COPIA!$BV$2,COPIA!$BW$2)+COPIA!$CB$2,CONCATENATE((INDIRECT(ADDRESS(ROW()-MAX(COPIA!$BV$2,COPIA!$BW$2)-COPIA!$CC$2,88,4,,"COPIA"))),INDIRECT(ADDRESS(ROW()-MAX(COPIA!$BV$2,COPIA!$BW$2)-COPIA!$CC$2,137,4,,"COPIA"))),UPPER(COPIA!CA88))),"")</f>
        <v/>
      </c>
      <c r="D9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IF((ROW())&gt;=MAX(COPIA!$BV$2,COPIA!$BW$2)+COPIA!$CB$2,CONCATENATE((INDIRECT(ADDRESS(ROW()-MAX(COPIA!$BV$2,COPIA!$BW$2)-COPIA!$CC$2,138,4,,"COPIA"))),INDIRECT(ADDRESS(ROW()-MAX(COPIA!$BV$2,COPIA!$BW$2)-COPIA!$CC$2,135,4,,"COPIA"))),IF(AND($EO$4=TRUE,UPPER(COPIA!CB88)="SALDO ECONOMICO POSITIVO"),SUBSTITUTE(COPIA!CB88,"SALDO ECONOMICO POSITIVO","UTILE D'ESERCIZIO"),UPPER(COPIA!CB88)))</f>
        <v/>
      </c>
      <c r="E9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IFERROR(VALUE(IF((ROW())&gt;=MAX(COPIA!$BV$2,COPIA!$BW$2)+COPIA!$CB$2,CONCATENATE((INDIRECT(ADDRESS(ROW()-MAX(COPIA!$BV$2,COPIA!$BW$2)-COPIA!$CC$2,136,4,,"COPIA"))),INDIRECT(ADDRESS(ROW()-MAX(COPIA!$BV$2,COPIA!$BW$2)-COPIA!$CC$2,95,4,,"COPIA"))),UPPER(COPIA!CC88))),"")</f>
        <v/>
      </c>
    </row>
    <row r="94" spans="2:5">
      <c r="B9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IF((ROW())&gt;=MAX(COPIA!$BV$2,COPIA!$BW$2)+COPIA!$CB$2,CONCATENATE((INDIRECT(ADDRESS(ROW()-MAX(COPIA!$BV$2,COPIA!$BW$2)-COPIA!$CC$2,87,4,,"COPIA"))),INDIRECT(ADDRESS(ROW()-MAX(COPIA!$BV$2,COPIA!$BW$2)-COPIA!$CC$2,96,4,,"COPIA"))),IF(AND(COPIA!$EO$1=TRUE,UPPER(COPIA!BZ89)="SALDO ECONOMICO NEGATIVO"),SUBSTITUTE(COPIA!BZ89,"SALDO ECONOMICO NEGATIVO","PERDITA D'ESERCIZIO"),UPPER(COPIA!BZ89)))</f>
        <v/>
      </c>
      <c r="C9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IFERROR(VALUE(IF((ROW())&gt;=MAX(COPIA!$BV$2,COPIA!$BW$2)+COPIA!$CB$2,CONCATENATE((INDIRECT(ADDRESS(ROW()-MAX(COPIA!$BV$2,COPIA!$BW$2)-COPIA!$CC$2,88,4,,"COPIA"))),INDIRECT(ADDRESS(ROW()-MAX(COPIA!$BV$2,COPIA!$BW$2)-COPIA!$CC$2,137,4,,"COPIA"))),UPPER(COPIA!CA89))),"")</f>
        <v/>
      </c>
      <c r="D9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IF((ROW())&gt;=MAX(COPIA!$BV$2,COPIA!$BW$2)+COPIA!$CB$2,CONCATENATE((INDIRECT(ADDRESS(ROW()-MAX(COPIA!$BV$2,COPIA!$BW$2)-COPIA!$CC$2,138,4,,"COPIA"))),INDIRECT(ADDRESS(ROW()-MAX(COPIA!$BV$2,COPIA!$BW$2)-COPIA!$CC$2,135,4,,"COPIA"))),IF(AND($EO$4=TRUE,UPPER(COPIA!CB89)="SALDO ECONOMICO POSITIVO"),SUBSTITUTE(COPIA!CB89,"SALDO ECONOMICO POSITIVO","UTILE D'ESERCIZIO"),UPPER(COPIA!CB89)))</f>
        <v/>
      </c>
      <c r="E9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IFERROR(VALUE(IF((ROW())&gt;=MAX(COPIA!$BV$2,COPIA!$BW$2)+COPIA!$CB$2,CONCATENATE((INDIRECT(ADDRESS(ROW()-MAX(COPIA!$BV$2,COPIA!$BW$2)-COPIA!$CC$2,136,4,,"COPIA"))),INDIRECT(ADDRESS(ROW()-MAX(COPIA!$BV$2,COPIA!$BW$2)-COPIA!$CC$2,95,4,,"COPIA"))),UPPER(COPIA!CC89))),"")</f>
        <v/>
      </c>
    </row>
    <row r="95" spans="2:5">
      <c r="B9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IF((ROW())&gt;=MAX(COPIA!$BV$2,COPIA!$BW$2)+COPIA!$CB$2,CONCATENATE((INDIRECT(ADDRESS(ROW()-MAX(COPIA!$BV$2,COPIA!$BW$2)-COPIA!$CC$2,87,4,,"COPIA"))),INDIRECT(ADDRESS(ROW()-MAX(COPIA!$BV$2,COPIA!$BW$2)-COPIA!$CC$2,96,4,,"COPIA"))),IF(AND(COPIA!$EO$1=TRUE,UPPER(COPIA!BZ90)="SALDO ECONOMICO NEGATIVO"),SUBSTITUTE(COPIA!BZ90,"SALDO ECONOMICO NEGATIVO","PERDITA D'ESERCIZIO"),UPPER(COPIA!BZ90)))</f>
        <v/>
      </c>
      <c r="C9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IFERROR(VALUE(IF((ROW())&gt;=MAX(COPIA!$BV$2,COPIA!$BW$2)+COPIA!$CB$2,CONCATENATE((INDIRECT(ADDRESS(ROW()-MAX(COPIA!$BV$2,COPIA!$BW$2)-COPIA!$CC$2,88,4,,"COPIA"))),INDIRECT(ADDRESS(ROW()-MAX(COPIA!$BV$2,COPIA!$BW$2)-COPIA!$CC$2,137,4,,"COPIA"))),UPPER(COPIA!CA90))),"")</f>
        <v/>
      </c>
      <c r="D9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IF((ROW())&gt;=MAX(COPIA!$BV$2,COPIA!$BW$2)+COPIA!$CB$2,CONCATENATE((INDIRECT(ADDRESS(ROW()-MAX(COPIA!$BV$2,COPIA!$BW$2)-COPIA!$CC$2,138,4,,"COPIA"))),INDIRECT(ADDRESS(ROW()-MAX(COPIA!$BV$2,COPIA!$BW$2)-COPIA!$CC$2,135,4,,"COPIA"))),IF(AND($EO$4=TRUE,UPPER(COPIA!CB90)="SALDO ECONOMICO POSITIVO"),SUBSTITUTE(COPIA!CB90,"SALDO ECONOMICO POSITIVO","UTILE D'ESERCIZIO"),UPPER(COPIA!CB90)))</f>
        <v/>
      </c>
      <c r="E9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IFERROR(VALUE(IF((ROW())&gt;=MAX(COPIA!$BV$2,COPIA!$BW$2)+COPIA!$CB$2,CONCATENATE((INDIRECT(ADDRESS(ROW()-MAX(COPIA!$BV$2,COPIA!$BW$2)-COPIA!$CC$2,136,4,,"COPIA"))),INDIRECT(ADDRESS(ROW()-MAX(COPIA!$BV$2,COPIA!$BW$2)-COPIA!$CC$2,95,4,,"COPIA"))),UPPER(COPIA!CC90))),"")</f>
        <v/>
      </c>
    </row>
    <row r="96" spans="2:5">
      <c r="B9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IF((ROW())&gt;=MAX(COPIA!$BV$2,COPIA!$BW$2)+COPIA!$CB$2,CONCATENATE((INDIRECT(ADDRESS(ROW()-MAX(COPIA!$BV$2,COPIA!$BW$2)-COPIA!$CC$2,87,4,,"COPIA"))),INDIRECT(ADDRESS(ROW()-MAX(COPIA!$BV$2,COPIA!$BW$2)-COPIA!$CC$2,96,4,,"COPIA"))),IF(AND(COPIA!$EO$1=TRUE,UPPER(COPIA!BZ91)="SALDO ECONOMICO NEGATIVO"),SUBSTITUTE(COPIA!BZ91,"SALDO ECONOMICO NEGATIVO","PERDITA D'ESERCIZIO"),UPPER(COPIA!BZ91)))</f>
        <v/>
      </c>
      <c r="C9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IFERROR(VALUE(IF((ROW())&gt;=MAX(COPIA!$BV$2,COPIA!$BW$2)+COPIA!$CB$2,CONCATENATE((INDIRECT(ADDRESS(ROW()-MAX(COPIA!$BV$2,COPIA!$BW$2)-COPIA!$CC$2,88,4,,"COPIA"))),INDIRECT(ADDRESS(ROW()-MAX(COPIA!$BV$2,COPIA!$BW$2)-COPIA!$CC$2,137,4,,"COPIA"))),UPPER(COPIA!CA91))),"")</f>
        <v/>
      </c>
      <c r="D9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IF((ROW())&gt;=MAX(COPIA!$BV$2,COPIA!$BW$2)+COPIA!$CB$2,CONCATENATE((INDIRECT(ADDRESS(ROW()-MAX(COPIA!$BV$2,COPIA!$BW$2)-COPIA!$CC$2,138,4,,"COPIA"))),INDIRECT(ADDRESS(ROW()-MAX(COPIA!$BV$2,COPIA!$BW$2)-COPIA!$CC$2,135,4,,"COPIA"))),IF(AND($EO$4=TRUE,UPPER(COPIA!CB91)="SALDO ECONOMICO POSITIVO"),SUBSTITUTE(COPIA!CB91,"SALDO ECONOMICO POSITIVO","UTILE D'ESERCIZIO"),UPPER(COPIA!CB91)))</f>
        <v/>
      </c>
      <c r="E9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IFERROR(VALUE(IF((ROW())&gt;=MAX(COPIA!$BV$2,COPIA!$BW$2)+COPIA!$CB$2,CONCATENATE((INDIRECT(ADDRESS(ROW()-MAX(COPIA!$BV$2,COPIA!$BW$2)-COPIA!$CC$2,136,4,,"COPIA"))),INDIRECT(ADDRESS(ROW()-MAX(COPIA!$BV$2,COPIA!$BW$2)-COPIA!$CC$2,95,4,,"COPIA"))),UPPER(COPIA!CC91))),"")</f>
        <v/>
      </c>
    </row>
    <row r="97" spans="2:5">
      <c r="B9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IF((ROW())&gt;=MAX(COPIA!$BV$2,COPIA!$BW$2)+COPIA!$CB$2,CONCATENATE((INDIRECT(ADDRESS(ROW()-MAX(COPIA!$BV$2,COPIA!$BW$2)-COPIA!$CC$2,87,4,,"COPIA"))),INDIRECT(ADDRESS(ROW()-MAX(COPIA!$BV$2,COPIA!$BW$2)-COPIA!$CC$2,96,4,,"COPIA"))),IF(AND(COPIA!$EO$1=TRUE,UPPER(COPIA!BZ92)="SALDO ECONOMICO NEGATIVO"),SUBSTITUTE(COPIA!BZ92,"SALDO ECONOMICO NEGATIVO","PERDITA D'ESERCIZIO"),UPPER(COPIA!BZ92)))</f>
        <v/>
      </c>
      <c r="C9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IFERROR(VALUE(IF((ROW())&gt;=MAX(COPIA!$BV$2,COPIA!$BW$2)+COPIA!$CB$2,CONCATENATE((INDIRECT(ADDRESS(ROW()-MAX(COPIA!$BV$2,COPIA!$BW$2)-COPIA!$CC$2,88,4,,"COPIA"))),INDIRECT(ADDRESS(ROW()-MAX(COPIA!$BV$2,COPIA!$BW$2)-COPIA!$CC$2,137,4,,"COPIA"))),UPPER(COPIA!CA92))),"")</f>
        <v/>
      </c>
      <c r="D9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IF((ROW())&gt;=MAX(COPIA!$BV$2,COPIA!$BW$2)+COPIA!$CB$2,CONCATENATE((INDIRECT(ADDRESS(ROW()-MAX(COPIA!$BV$2,COPIA!$BW$2)-COPIA!$CC$2,138,4,,"COPIA"))),INDIRECT(ADDRESS(ROW()-MAX(COPIA!$BV$2,COPIA!$BW$2)-COPIA!$CC$2,135,4,,"COPIA"))),IF(AND($EO$4=TRUE,UPPER(COPIA!CB92)="SALDO ECONOMICO POSITIVO"),SUBSTITUTE(COPIA!CB92,"SALDO ECONOMICO POSITIVO","UTILE D'ESERCIZIO"),UPPER(COPIA!CB92)))</f>
        <v/>
      </c>
      <c r="E9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IFERROR(VALUE(IF((ROW())&gt;=MAX(COPIA!$BV$2,COPIA!$BW$2)+COPIA!$CB$2,CONCATENATE((INDIRECT(ADDRESS(ROW()-MAX(COPIA!$BV$2,COPIA!$BW$2)-COPIA!$CC$2,136,4,,"COPIA"))),INDIRECT(ADDRESS(ROW()-MAX(COPIA!$BV$2,COPIA!$BW$2)-COPIA!$CC$2,95,4,,"COPIA"))),UPPER(COPIA!CC92))),"")</f>
        <v/>
      </c>
    </row>
    <row r="98" spans="2:5">
      <c r="B9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IF((ROW())&gt;=MAX(COPIA!$BV$2,COPIA!$BW$2)+COPIA!$CB$2,CONCATENATE((INDIRECT(ADDRESS(ROW()-MAX(COPIA!$BV$2,COPIA!$BW$2)-COPIA!$CC$2,87,4,,"COPIA"))),INDIRECT(ADDRESS(ROW()-MAX(COPIA!$BV$2,COPIA!$BW$2)-COPIA!$CC$2,96,4,,"COPIA"))),IF(AND(COPIA!$EO$1=TRUE,UPPER(COPIA!BZ93)="SALDO ECONOMICO NEGATIVO"),SUBSTITUTE(COPIA!BZ93,"SALDO ECONOMICO NEGATIVO","PERDITA D'ESERCIZIO"),UPPER(COPIA!BZ93)))</f>
        <v/>
      </c>
      <c r="C9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IFERROR(VALUE(IF((ROW())&gt;=MAX(COPIA!$BV$2,COPIA!$BW$2)+COPIA!$CB$2,CONCATENATE((INDIRECT(ADDRESS(ROW()-MAX(COPIA!$BV$2,COPIA!$BW$2)-COPIA!$CC$2,88,4,,"COPIA"))),INDIRECT(ADDRESS(ROW()-MAX(COPIA!$BV$2,COPIA!$BW$2)-COPIA!$CC$2,137,4,,"COPIA"))),UPPER(COPIA!CA93))),"")</f>
        <v/>
      </c>
      <c r="D9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IF((ROW())&gt;=MAX(COPIA!$BV$2,COPIA!$BW$2)+COPIA!$CB$2,CONCATENATE((INDIRECT(ADDRESS(ROW()-MAX(COPIA!$BV$2,COPIA!$BW$2)-COPIA!$CC$2,138,4,,"COPIA"))),INDIRECT(ADDRESS(ROW()-MAX(COPIA!$BV$2,COPIA!$BW$2)-COPIA!$CC$2,135,4,,"COPIA"))),IF(AND($EO$4=TRUE,UPPER(COPIA!CB93)="SALDO ECONOMICO POSITIVO"),SUBSTITUTE(COPIA!CB93,"SALDO ECONOMICO POSITIVO","UTILE D'ESERCIZIO"),UPPER(COPIA!CB93)))</f>
        <v/>
      </c>
      <c r="E9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IFERROR(VALUE(IF((ROW())&gt;=MAX(COPIA!$BV$2,COPIA!$BW$2)+COPIA!$CB$2,CONCATENATE((INDIRECT(ADDRESS(ROW()-MAX(COPIA!$BV$2,COPIA!$BW$2)-COPIA!$CC$2,136,4,,"COPIA"))),INDIRECT(ADDRESS(ROW()-MAX(COPIA!$BV$2,COPIA!$BW$2)-COPIA!$CC$2,95,4,,"COPIA"))),UPPER(COPIA!CC93))),"")</f>
        <v/>
      </c>
    </row>
    <row r="99" spans="2:5">
      <c r="B9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IF((ROW())&gt;=MAX(COPIA!$BV$2,COPIA!$BW$2)+COPIA!$CB$2,CONCATENATE((INDIRECT(ADDRESS(ROW()-MAX(COPIA!$BV$2,COPIA!$BW$2)-COPIA!$CC$2,87,4,,"COPIA"))),INDIRECT(ADDRESS(ROW()-MAX(COPIA!$BV$2,COPIA!$BW$2)-COPIA!$CC$2,96,4,,"COPIA"))),IF(AND(COPIA!$EO$1=TRUE,UPPER(COPIA!BZ94)="SALDO ECONOMICO NEGATIVO"),SUBSTITUTE(COPIA!BZ94,"SALDO ECONOMICO NEGATIVO","PERDITA D'ESERCIZIO"),UPPER(COPIA!BZ94)))</f>
        <v/>
      </c>
      <c r="C9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IFERROR(VALUE(IF((ROW())&gt;=MAX(COPIA!$BV$2,COPIA!$BW$2)+COPIA!$CB$2,CONCATENATE((INDIRECT(ADDRESS(ROW()-MAX(COPIA!$BV$2,COPIA!$BW$2)-COPIA!$CC$2,88,4,,"COPIA"))),INDIRECT(ADDRESS(ROW()-MAX(COPIA!$BV$2,COPIA!$BW$2)-COPIA!$CC$2,137,4,,"COPIA"))),UPPER(COPIA!CA94))),"")</f>
        <v/>
      </c>
      <c r="D9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IF((ROW())&gt;=MAX(COPIA!$BV$2,COPIA!$BW$2)+COPIA!$CB$2,CONCATENATE((INDIRECT(ADDRESS(ROW()-MAX(COPIA!$BV$2,COPIA!$BW$2)-COPIA!$CC$2,138,4,,"COPIA"))),INDIRECT(ADDRESS(ROW()-MAX(COPIA!$BV$2,COPIA!$BW$2)-COPIA!$CC$2,135,4,,"COPIA"))),IF(AND($EO$4=TRUE,UPPER(COPIA!CB94)="SALDO ECONOMICO POSITIVO"),SUBSTITUTE(COPIA!CB94,"SALDO ECONOMICO POSITIVO","UTILE D'ESERCIZIO"),UPPER(COPIA!CB94)))</f>
        <v/>
      </c>
      <c r="E9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IFERROR(VALUE(IF((ROW())&gt;=MAX(COPIA!$BV$2,COPIA!$BW$2)+COPIA!$CB$2,CONCATENATE((INDIRECT(ADDRESS(ROW()-MAX(COPIA!$BV$2,COPIA!$BW$2)-COPIA!$CC$2,136,4,,"COPIA"))),INDIRECT(ADDRESS(ROW()-MAX(COPIA!$BV$2,COPIA!$BW$2)-COPIA!$CC$2,95,4,,"COPIA"))),UPPER(COPIA!CC94))),"")</f>
        <v/>
      </c>
    </row>
    <row r="100" spans="2:5">
      <c r="B10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IF((ROW())&gt;=MAX(COPIA!$BV$2,COPIA!$BW$2)+COPIA!$CB$2,CONCATENATE((INDIRECT(ADDRESS(ROW()-MAX(COPIA!$BV$2,COPIA!$BW$2)-COPIA!$CC$2,87,4,,"COPIA"))),INDIRECT(ADDRESS(ROW()-MAX(COPIA!$BV$2,COPIA!$BW$2)-COPIA!$CC$2,96,4,,"COPIA"))),IF(AND(COPIA!$EO$1=TRUE,UPPER(COPIA!BZ95)="SALDO ECONOMICO NEGATIVO"),SUBSTITUTE(COPIA!BZ95,"SALDO ECONOMICO NEGATIVO","PERDITA D'ESERCIZIO"),UPPER(COPIA!BZ95)))</f>
        <v/>
      </c>
      <c r="C10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IFERROR(VALUE(IF((ROW())&gt;=MAX(COPIA!$BV$2,COPIA!$BW$2)+COPIA!$CB$2,CONCATENATE((INDIRECT(ADDRESS(ROW()-MAX(COPIA!$BV$2,COPIA!$BW$2)-COPIA!$CC$2,88,4,,"COPIA"))),INDIRECT(ADDRESS(ROW()-MAX(COPIA!$BV$2,COPIA!$BW$2)-COPIA!$CC$2,137,4,,"COPIA"))),UPPER(COPIA!CA95))),"")</f>
        <v/>
      </c>
      <c r="D10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IF((ROW())&gt;=MAX(COPIA!$BV$2,COPIA!$BW$2)+COPIA!$CB$2,CONCATENATE((INDIRECT(ADDRESS(ROW()-MAX(COPIA!$BV$2,COPIA!$BW$2)-COPIA!$CC$2,138,4,,"COPIA"))),INDIRECT(ADDRESS(ROW()-MAX(COPIA!$BV$2,COPIA!$BW$2)-COPIA!$CC$2,135,4,,"COPIA"))),IF(AND($EO$4=TRUE,UPPER(COPIA!CB95)="SALDO ECONOMICO POSITIVO"),SUBSTITUTE(COPIA!CB95,"SALDO ECONOMICO POSITIVO","UTILE D'ESERCIZIO"),UPPER(COPIA!CB95)))</f>
        <v/>
      </c>
      <c r="E10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IFERROR(VALUE(IF((ROW())&gt;=MAX(COPIA!$BV$2,COPIA!$BW$2)+COPIA!$CB$2,CONCATENATE((INDIRECT(ADDRESS(ROW()-MAX(COPIA!$BV$2,COPIA!$BW$2)-COPIA!$CC$2,136,4,,"COPIA"))),INDIRECT(ADDRESS(ROW()-MAX(COPIA!$BV$2,COPIA!$BW$2)-COPIA!$CC$2,95,4,,"COPIA"))),UPPER(COPIA!CC95))),"")</f>
        <v/>
      </c>
    </row>
    <row r="101" spans="2:5">
      <c r="B10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IF((ROW())&gt;=MAX(COPIA!$BV$2,COPIA!$BW$2)+COPIA!$CB$2,CONCATENATE((INDIRECT(ADDRESS(ROW()-MAX(COPIA!$BV$2,COPIA!$BW$2)-COPIA!$CC$2,87,4,,"COPIA"))),INDIRECT(ADDRESS(ROW()-MAX(COPIA!$BV$2,COPIA!$BW$2)-COPIA!$CC$2,96,4,,"COPIA"))),IF(AND(COPIA!$EO$1=TRUE,UPPER(COPIA!BZ96)="SALDO ECONOMICO NEGATIVO"),SUBSTITUTE(COPIA!BZ96,"SALDO ECONOMICO NEGATIVO","PERDITA D'ESERCIZIO"),UPPER(COPIA!BZ96)))</f>
        <v/>
      </c>
      <c r="C10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IFERROR(VALUE(IF((ROW())&gt;=MAX(COPIA!$BV$2,COPIA!$BW$2)+COPIA!$CB$2,CONCATENATE((INDIRECT(ADDRESS(ROW()-MAX(COPIA!$BV$2,COPIA!$BW$2)-COPIA!$CC$2,88,4,,"COPIA"))),INDIRECT(ADDRESS(ROW()-MAX(COPIA!$BV$2,COPIA!$BW$2)-COPIA!$CC$2,137,4,,"COPIA"))),UPPER(COPIA!CA96))),"")</f>
        <v/>
      </c>
      <c r="D10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IF((ROW())&gt;=MAX(COPIA!$BV$2,COPIA!$BW$2)+COPIA!$CB$2,CONCATENATE((INDIRECT(ADDRESS(ROW()-MAX(COPIA!$BV$2,COPIA!$BW$2)-COPIA!$CC$2,138,4,,"COPIA"))),INDIRECT(ADDRESS(ROW()-MAX(COPIA!$BV$2,COPIA!$BW$2)-COPIA!$CC$2,135,4,,"COPIA"))),IF(AND($EO$4=TRUE,UPPER(COPIA!CB96)="SALDO ECONOMICO POSITIVO"),SUBSTITUTE(COPIA!CB96,"SALDO ECONOMICO POSITIVO","UTILE D'ESERCIZIO"),UPPER(COPIA!CB96)))</f>
        <v/>
      </c>
      <c r="E10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IFERROR(VALUE(IF((ROW())&gt;=MAX(COPIA!$BV$2,COPIA!$BW$2)+COPIA!$CB$2,CONCATENATE((INDIRECT(ADDRESS(ROW()-MAX(COPIA!$BV$2,COPIA!$BW$2)-COPIA!$CC$2,136,4,,"COPIA"))),INDIRECT(ADDRESS(ROW()-MAX(COPIA!$BV$2,COPIA!$BW$2)-COPIA!$CC$2,95,4,,"COPIA"))),UPPER(COPIA!CC96))),"")</f>
        <v/>
      </c>
    </row>
    <row r="102" spans="2:5">
      <c r="B10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IF((ROW())&gt;=MAX(COPIA!$BV$2,COPIA!$BW$2)+COPIA!$CB$2,CONCATENATE((INDIRECT(ADDRESS(ROW()-MAX(COPIA!$BV$2,COPIA!$BW$2)-COPIA!$CC$2,87,4,,"COPIA"))),INDIRECT(ADDRESS(ROW()-MAX(COPIA!$BV$2,COPIA!$BW$2)-COPIA!$CC$2,96,4,,"COPIA"))),IF(AND(COPIA!$EO$1=TRUE,UPPER(COPIA!BZ97)="SALDO ECONOMICO NEGATIVO"),SUBSTITUTE(COPIA!BZ97,"SALDO ECONOMICO NEGATIVO","PERDITA D'ESERCIZIO"),UPPER(COPIA!BZ97)))</f>
        <v/>
      </c>
      <c r="C10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IFERROR(VALUE(IF((ROW())&gt;=MAX(COPIA!$BV$2,COPIA!$BW$2)+COPIA!$CB$2,CONCATENATE((INDIRECT(ADDRESS(ROW()-MAX(COPIA!$BV$2,COPIA!$BW$2)-COPIA!$CC$2,88,4,,"COPIA"))),INDIRECT(ADDRESS(ROW()-MAX(COPIA!$BV$2,COPIA!$BW$2)-COPIA!$CC$2,137,4,,"COPIA"))),UPPER(COPIA!CA97))),"")</f>
        <v/>
      </c>
      <c r="D10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IF((ROW())&gt;=MAX(COPIA!$BV$2,COPIA!$BW$2)+COPIA!$CB$2,CONCATENATE((INDIRECT(ADDRESS(ROW()-MAX(COPIA!$BV$2,COPIA!$BW$2)-COPIA!$CC$2,138,4,,"COPIA"))),INDIRECT(ADDRESS(ROW()-MAX(COPIA!$BV$2,COPIA!$BW$2)-COPIA!$CC$2,135,4,,"COPIA"))),IF(AND($EO$4=TRUE,UPPER(COPIA!CB97)="SALDO ECONOMICO POSITIVO"),SUBSTITUTE(COPIA!CB97,"SALDO ECONOMICO POSITIVO","UTILE D'ESERCIZIO"),UPPER(COPIA!CB97)))</f>
        <v/>
      </c>
      <c r="E10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IFERROR(VALUE(IF((ROW())&gt;=MAX(COPIA!$BV$2,COPIA!$BW$2)+COPIA!$CB$2,CONCATENATE((INDIRECT(ADDRESS(ROW()-MAX(COPIA!$BV$2,COPIA!$BW$2)-COPIA!$CC$2,136,4,,"COPIA"))),INDIRECT(ADDRESS(ROW()-MAX(COPIA!$BV$2,COPIA!$BW$2)-COPIA!$CC$2,95,4,,"COPIA"))),UPPER(COPIA!CC97))),"")</f>
        <v/>
      </c>
    </row>
    <row r="103" spans="2:5">
      <c r="B10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IF((ROW())&gt;=MAX(COPIA!$BV$2,COPIA!$BW$2)+COPIA!$CB$2,CONCATENATE((INDIRECT(ADDRESS(ROW()-MAX(COPIA!$BV$2,COPIA!$BW$2)-COPIA!$CC$2,87,4,,"COPIA"))),INDIRECT(ADDRESS(ROW()-MAX(COPIA!$BV$2,COPIA!$BW$2)-COPIA!$CC$2,96,4,,"COPIA"))),IF(AND(COPIA!$EO$1=TRUE,UPPER(COPIA!BZ98)="SALDO ECONOMICO NEGATIVO"),SUBSTITUTE(COPIA!BZ98,"SALDO ECONOMICO NEGATIVO","PERDITA D'ESERCIZIO"),UPPER(COPIA!BZ98)))</f>
        <v/>
      </c>
      <c r="C10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IFERROR(VALUE(IF((ROW())&gt;=MAX(COPIA!$BV$2,COPIA!$BW$2)+COPIA!$CB$2,CONCATENATE((INDIRECT(ADDRESS(ROW()-MAX(COPIA!$BV$2,COPIA!$BW$2)-COPIA!$CC$2,88,4,,"COPIA"))),INDIRECT(ADDRESS(ROW()-MAX(COPIA!$BV$2,COPIA!$BW$2)-COPIA!$CC$2,137,4,,"COPIA"))),UPPER(COPIA!CA98))),"")</f>
        <v/>
      </c>
      <c r="D10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IF((ROW())&gt;=MAX(COPIA!$BV$2,COPIA!$BW$2)+COPIA!$CB$2,CONCATENATE((INDIRECT(ADDRESS(ROW()-MAX(COPIA!$BV$2,COPIA!$BW$2)-COPIA!$CC$2,138,4,,"COPIA"))),INDIRECT(ADDRESS(ROW()-MAX(COPIA!$BV$2,COPIA!$BW$2)-COPIA!$CC$2,135,4,,"COPIA"))),IF(AND($EO$4=TRUE,UPPER(COPIA!CB98)="SALDO ECONOMICO POSITIVO"),SUBSTITUTE(COPIA!CB98,"SALDO ECONOMICO POSITIVO","UTILE D'ESERCIZIO"),UPPER(COPIA!CB98)))</f>
        <v/>
      </c>
      <c r="E10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IFERROR(VALUE(IF((ROW())&gt;=MAX(COPIA!$BV$2,COPIA!$BW$2)+COPIA!$CB$2,CONCATENATE((INDIRECT(ADDRESS(ROW()-MAX(COPIA!$BV$2,COPIA!$BW$2)-COPIA!$CC$2,136,4,,"COPIA"))),INDIRECT(ADDRESS(ROW()-MAX(COPIA!$BV$2,COPIA!$BW$2)-COPIA!$CC$2,95,4,,"COPIA"))),UPPER(COPIA!CC98))),"")</f>
        <v/>
      </c>
    </row>
    <row r="104" spans="2:5">
      <c r="B10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IF((ROW())&gt;=MAX(COPIA!$BV$2,COPIA!$BW$2)+COPIA!$CB$2,CONCATENATE((INDIRECT(ADDRESS(ROW()-MAX(COPIA!$BV$2,COPIA!$BW$2)-COPIA!$CC$2,87,4,,"COPIA"))),INDIRECT(ADDRESS(ROW()-MAX(COPIA!$BV$2,COPIA!$BW$2)-COPIA!$CC$2,96,4,,"COPIA"))),IF(AND(COPIA!$EO$1=TRUE,UPPER(COPIA!BZ99)="SALDO ECONOMICO NEGATIVO"),SUBSTITUTE(COPIA!BZ99,"SALDO ECONOMICO NEGATIVO","PERDITA D'ESERCIZIO"),UPPER(COPIA!BZ99)))</f>
        <v/>
      </c>
      <c r="C10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IFERROR(VALUE(IF((ROW())&gt;=MAX(COPIA!$BV$2,COPIA!$BW$2)+COPIA!$CB$2,CONCATENATE((INDIRECT(ADDRESS(ROW()-MAX(COPIA!$BV$2,COPIA!$BW$2)-COPIA!$CC$2,88,4,,"COPIA"))),INDIRECT(ADDRESS(ROW()-MAX(COPIA!$BV$2,COPIA!$BW$2)-COPIA!$CC$2,137,4,,"COPIA"))),UPPER(COPIA!CA99))),"")</f>
        <v/>
      </c>
      <c r="D10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IF((ROW())&gt;=MAX(COPIA!$BV$2,COPIA!$BW$2)+COPIA!$CB$2,CONCATENATE((INDIRECT(ADDRESS(ROW()-MAX(COPIA!$BV$2,COPIA!$BW$2)-COPIA!$CC$2,138,4,,"COPIA"))),INDIRECT(ADDRESS(ROW()-MAX(COPIA!$BV$2,COPIA!$BW$2)-COPIA!$CC$2,135,4,,"COPIA"))),IF(AND($EO$4=TRUE,UPPER(COPIA!CB99)="SALDO ECONOMICO POSITIVO"),SUBSTITUTE(COPIA!CB99,"SALDO ECONOMICO POSITIVO","UTILE D'ESERCIZIO"),UPPER(COPIA!CB99)))</f>
        <v/>
      </c>
      <c r="E10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IFERROR(VALUE(IF((ROW())&gt;=MAX(COPIA!$BV$2,COPIA!$BW$2)+COPIA!$CB$2,CONCATENATE((INDIRECT(ADDRESS(ROW()-MAX(COPIA!$BV$2,COPIA!$BW$2)-COPIA!$CC$2,136,4,,"COPIA"))),INDIRECT(ADDRESS(ROW()-MAX(COPIA!$BV$2,COPIA!$BW$2)-COPIA!$CC$2,95,4,,"COPIA"))),UPPER(COPIA!CC99))),"")</f>
        <v/>
      </c>
    </row>
    <row r="105" spans="2:5">
      <c r="B10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100)="SALDO ECONOMICO NEGATIVO"),SUBSTITUTE(COPIA!BZ100,"SALDO ECONOMICO NEGATIVO","PERDITA D'ESERCIZIO"),UPPER(COPIA!BZ100)))</f>
        <v/>
      </c>
      <c r="C10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IFERROR(VALUE(IF((ROW())&gt;=MAX(COPIA!$BV$2,COPIA!$BW$2)+COPIA!$CB$2,CONCATENATE((INDIRECT(ADDRESS(ROW()-MAX(COPIA!$BV$2,COPIA!$BW$2)-COPIA!$CC$2,88,4,,"COPIA"))),INDIRECT(ADDRESS(ROW()-MAX(COPIA!$BV$2,COPIA!$BW$2)-COPIA!$CC$2,137,4,,"COPIA"))),UPPER(COPIA!CA100))),"")</f>
        <v/>
      </c>
      <c r="D10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IF((ROW())&gt;=MAX(COPIA!$BV$2,COPIA!$BW$2)+COPIA!$CB$2,CONCATENATE((INDIRECT(ADDRESS(ROW()-MAX(COPIA!$BV$2,COPIA!$BW$2)-COPIA!$CC$2,138,4,,"COPIA"))),INDIRECT(ADDRESS(ROW()-MAX(COPIA!$BV$2,COPIA!$BW$2)-COPIA!$CC$2,135,4,,"COPIA"))),IF(AND($EO$4=TRUE,UPPER(COPIA!CB100)="SALDO ECONOMICO POSITIVO"),SUBSTITUTE(COPIA!CB100,"SALDO ECONOMICO POSITIVO","UTILE D'ESERCIZIO"),UPPER(COPIA!CB100)))</f>
        <v/>
      </c>
      <c r="E10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IFERROR(VALUE(IF((ROW())&gt;=MAX(COPIA!$BV$2,COPIA!$BW$2)+COPIA!$CB$2,CONCATENATE((INDIRECT(ADDRESS(ROW()-MAX(COPIA!$BV$2,COPIA!$BW$2)-COPIA!$CC$2,136,4,,"COPIA"))),INDIRECT(ADDRESS(ROW()-MAX(COPIA!$BV$2,COPIA!$BW$2)-COPIA!$CC$2,95,4,,"COPIA"))),UPPER(COPIA!CC100))),"")</f>
        <v/>
      </c>
    </row>
    <row r="106" spans="2:5">
      <c r="B10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101)="SALDO ECONOMICO NEGATIVO"),SUBSTITUTE(COPIA!BZ101,"SALDO ECONOMICO NEGATIVO","PERDITA D'ESERCIZIO"),UPPER(COPIA!BZ101)))</f>
        <v/>
      </c>
      <c r="C10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IFERROR(VALUE(IF((ROW())&gt;=MAX(COPIA!$BV$2,COPIA!$BW$2)+COPIA!$CB$2,CONCATENATE((INDIRECT(ADDRESS(ROW()-MAX(COPIA!$BV$2,COPIA!$BW$2)-COPIA!$CC$2,88,4,,"COPIA"))),INDIRECT(ADDRESS(ROW()-MAX(COPIA!$BV$2,COPIA!$BW$2)-COPIA!$CC$2,137,4,,"COPIA"))),UPPER(COPIA!CA101))),"")</f>
        <v/>
      </c>
      <c r="D10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IF((ROW())&gt;=MAX(COPIA!$BV$2,COPIA!$BW$2)+COPIA!$CB$2,CONCATENATE((INDIRECT(ADDRESS(ROW()-MAX(COPIA!$BV$2,COPIA!$BW$2)-COPIA!$CC$2,138,4,,"COPIA"))),INDIRECT(ADDRESS(ROW()-MAX(COPIA!$BV$2,COPIA!$BW$2)-COPIA!$CC$2,135,4,,"COPIA"))),IF(AND($EO$4=TRUE,UPPER(COPIA!CB101)="SALDO ECONOMICO POSITIVO"),SUBSTITUTE(COPIA!CB101,"SALDO ECONOMICO POSITIVO","UTILE D'ESERCIZIO"),UPPER(COPIA!CB101)))</f>
        <v/>
      </c>
      <c r="E10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IFERROR(VALUE(IF((ROW())&gt;=MAX(COPIA!$BV$2,COPIA!$BW$2)+COPIA!$CB$2,CONCATENATE((INDIRECT(ADDRESS(ROW()-MAX(COPIA!$BV$2,COPIA!$BW$2)-COPIA!$CC$2,136,4,,"COPIA"))),INDIRECT(ADDRESS(ROW()-MAX(COPIA!$BV$2,COPIA!$BW$2)-COPIA!$CC$2,95,4,,"COPIA"))),UPPER(COPIA!CC101))),"")</f>
        <v/>
      </c>
    </row>
    <row r="107" spans="2:5">
      <c r="B10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102)="SALDO ECONOMICO NEGATIVO"),SUBSTITUTE(COPIA!BZ102,"SALDO ECONOMICO NEGATIVO","PERDITA D'ESERCIZIO"),UPPER(COPIA!BZ102)))</f>
        <v/>
      </c>
      <c r="C10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IFERROR(VALUE(IF((ROW())&gt;=MAX(COPIA!$BV$2,COPIA!$BW$2)+COPIA!$CB$2,CONCATENATE((INDIRECT(ADDRESS(ROW()-MAX(COPIA!$BV$2,COPIA!$BW$2)-COPIA!$CC$2,88,4,,"COPIA"))),INDIRECT(ADDRESS(ROW()-MAX(COPIA!$BV$2,COPIA!$BW$2)-COPIA!$CC$2,137,4,,"COPIA"))),UPPER(COPIA!CA102))),"")</f>
        <v/>
      </c>
      <c r="D10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IF((ROW())&gt;=MAX(COPIA!$BV$2,COPIA!$BW$2)+COPIA!$CB$2,CONCATENATE((INDIRECT(ADDRESS(ROW()-MAX(COPIA!$BV$2,COPIA!$BW$2)-COPIA!$CC$2,138,4,,"COPIA"))),INDIRECT(ADDRESS(ROW()-MAX(COPIA!$BV$2,COPIA!$BW$2)-COPIA!$CC$2,135,4,,"COPIA"))),IF(AND($EO$4=TRUE,UPPER(COPIA!CB102)="SALDO ECONOMICO POSITIVO"),SUBSTITUTE(COPIA!CB102,"SALDO ECONOMICO POSITIVO","UTILE D'ESERCIZIO"),UPPER(COPIA!CB102)))</f>
        <v/>
      </c>
      <c r="E10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IFERROR(VALUE(IF((ROW())&gt;=MAX(COPIA!$BV$2,COPIA!$BW$2)+COPIA!$CB$2,CONCATENATE((INDIRECT(ADDRESS(ROW()-MAX(COPIA!$BV$2,COPIA!$BW$2)-COPIA!$CC$2,136,4,,"COPIA"))),INDIRECT(ADDRESS(ROW()-MAX(COPIA!$BV$2,COPIA!$BW$2)-COPIA!$CC$2,95,4,,"COPIA"))),UPPER(COPIA!CC102))),"")</f>
        <v/>
      </c>
    </row>
    <row r="108" spans="2:5">
      <c r="B10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103)="SALDO ECONOMICO NEGATIVO"),SUBSTITUTE(COPIA!BZ103,"SALDO ECONOMICO NEGATIVO","PERDITA D'ESERCIZIO"),UPPER(COPIA!BZ103)))</f>
        <v/>
      </c>
      <c r="C10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IFERROR(VALUE(IF((ROW())&gt;=MAX(COPIA!$BV$2,COPIA!$BW$2)+COPIA!$CB$2,CONCATENATE((INDIRECT(ADDRESS(ROW()-MAX(COPIA!$BV$2,COPIA!$BW$2)-COPIA!$CC$2,88,4,,"COPIA"))),INDIRECT(ADDRESS(ROW()-MAX(COPIA!$BV$2,COPIA!$BW$2)-COPIA!$CC$2,137,4,,"COPIA"))),UPPER(COPIA!CA103))),"")</f>
        <v/>
      </c>
      <c r="D10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IF((ROW())&gt;=MAX(COPIA!$BV$2,COPIA!$BW$2)+COPIA!$CB$2,CONCATENATE((INDIRECT(ADDRESS(ROW()-MAX(COPIA!$BV$2,COPIA!$BW$2)-COPIA!$CC$2,138,4,,"COPIA"))),INDIRECT(ADDRESS(ROW()-MAX(COPIA!$BV$2,COPIA!$BW$2)-COPIA!$CC$2,135,4,,"COPIA"))),IF(AND($EO$4=TRUE,UPPER(COPIA!CB103)="SALDO ECONOMICO POSITIVO"),SUBSTITUTE(COPIA!CB103,"SALDO ECONOMICO POSITIVO","UTILE D'ESERCIZIO"),UPPER(COPIA!CB103)))</f>
        <v/>
      </c>
      <c r="E10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IFERROR(VALUE(IF((ROW())&gt;=MAX(COPIA!$BV$2,COPIA!$BW$2)+COPIA!$CB$2,CONCATENATE((INDIRECT(ADDRESS(ROW()-MAX(COPIA!$BV$2,COPIA!$BW$2)-COPIA!$CC$2,136,4,,"COPIA"))),INDIRECT(ADDRESS(ROW()-MAX(COPIA!$BV$2,COPIA!$BW$2)-COPIA!$CC$2,95,4,,"COPIA"))),UPPER(COPIA!CC103))),"")</f>
        <v/>
      </c>
    </row>
    <row r="109" spans="2:5">
      <c r="B10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104)="SALDO ECONOMICO NEGATIVO"),SUBSTITUTE(COPIA!BZ104,"SALDO ECONOMICO NEGATIVO","PERDITA D'ESERCIZIO"),UPPER(COPIA!BZ104)))</f>
        <v/>
      </c>
      <c r="C10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IFERROR(VALUE(IF((ROW())&gt;=MAX(COPIA!$BV$2,COPIA!$BW$2)+COPIA!$CB$2,CONCATENATE((INDIRECT(ADDRESS(ROW()-MAX(COPIA!$BV$2,COPIA!$BW$2)-COPIA!$CC$2,88,4,,"COPIA"))),INDIRECT(ADDRESS(ROW()-MAX(COPIA!$BV$2,COPIA!$BW$2)-COPIA!$CC$2,137,4,,"COPIA"))),UPPER(COPIA!CA104))),"")</f>
        <v/>
      </c>
      <c r="D10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IF((ROW())&gt;=MAX(COPIA!$BV$2,COPIA!$BW$2)+COPIA!$CB$2,CONCATENATE((INDIRECT(ADDRESS(ROW()-MAX(COPIA!$BV$2,COPIA!$BW$2)-COPIA!$CC$2,138,4,,"COPIA"))),INDIRECT(ADDRESS(ROW()-MAX(COPIA!$BV$2,COPIA!$BW$2)-COPIA!$CC$2,135,4,,"COPIA"))),IF(AND($EO$4=TRUE,UPPER(COPIA!CB104)="SALDO ECONOMICO POSITIVO"),SUBSTITUTE(COPIA!CB104,"SALDO ECONOMICO POSITIVO","UTILE D'ESERCIZIO"),UPPER(COPIA!CB104)))</f>
        <v/>
      </c>
      <c r="E10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IFERROR(VALUE(IF((ROW())&gt;=MAX(COPIA!$BV$2,COPIA!$BW$2)+COPIA!$CB$2,CONCATENATE((INDIRECT(ADDRESS(ROW()-MAX(COPIA!$BV$2,COPIA!$BW$2)-COPIA!$CC$2,136,4,,"COPIA"))),INDIRECT(ADDRESS(ROW()-MAX(COPIA!$BV$2,COPIA!$BW$2)-COPIA!$CC$2,95,4,,"COPIA"))),UPPER(COPIA!CC104))),"")</f>
        <v/>
      </c>
    </row>
    <row r="110" spans="2:5">
      <c r="B11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105)="SALDO ECONOMICO NEGATIVO"),SUBSTITUTE(COPIA!BZ105,"SALDO ECONOMICO NEGATIVO","PERDITA D'ESERCIZIO"),UPPER(COPIA!BZ105)))</f>
        <v/>
      </c>
      <c r="C11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IFERROR(VALUE(IF((ROW())&gt;=MAX(COPIA!$BV$2,COPIA!$BW$2)+COPIA!$CB$2,CONCATENATE((INDIRECT(ADDRESS(ROW()-MAX(COPIA!$BV$2,COPIA!$BW$2)-COPIA!$CC$2,88,4,,"COPIA"))),INDIRECT(ADDRESS(ROW()-MAX(COPIA!$BV$2,COPIA!$BW$2)-COPIA!$CC$2,137,4,,"COPIA"))),UPPER(COPIA!CA105))),"")</f>
        <v/>
      </c>
      <c r="D11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IF((ROW())&gt;=MAX(COPIA!$BV$2,COPIA!$BW$2)+COPIA!$CB$2,CONCATENATE((INDIRECT(ADDRESS(ROW()-MAX(COPIA!$BV$2,COPIA!$BW$2)-COPIA!$CC$2,138,4,,"COPIA"))),INDIRECT(ADDRESS(ROW()-MAX(COPIA!$BV$2,COPIA!$BW$2)-COPIA!$CC$2,135,4,,"COPIA"))),IF(AND($EO$4=TRUE,UPPER(COPIA!CB105)="SALDO ECONOMICO POSITIVO"),SUBSTITUTE(COPIA!CB105,"SALDO ECONOMICO POSITIVO","UTILE D'ESERCIZIO"),UPPER(COPIA!CB105)))</f>
        <v/>
      </c>
      <c r="E11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IFERROR(VALUE(IF((ROW())&gt;=MAX(COPIA!$BV$2,COPIA!$BW$2)+COPIA!$CB$2,CONCATENATE((INDIRECT(ADDRESS(ROW()-MAX(COPIA!$BV$2,COPIA!$BW$2)-COPIA!$CC$2,136,4,,"COPIA"))),INDIRECT(ADDRESS(ROW()-MAX(COPIA!$BV$2,COPIA!$BW$2)-COPIA!$CC$2,95,4,,"COPIA"))),UPPER(COPIA!CC105))),"")</f>
        <v/>
      </c>
    </row>
    <row r="111" spans="2:5">
      <c r="B11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106)="SALDO ECONOMICO NEGATIVO"),SUBSTITUTE(COPIA!BZ106,"SALDO ECONOMICO NEGATIVO","PERDITA D'ESERCIZIO"),UPPER(COPIA!BZ106)))</f>
        <v/>
      </c>
      <c r="C11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IFERROR(VALUE(IF((ROW())&gt;=MAX(COPIA!$BV$2,COPIA!$BW$2)+COPIA!$CB$2,CONCATENATE((INDIRECT(ADDRESS(ROW()-MAX(COPIA!$BV$2,COPIA!$BW$2)-COPIA!$CC$2,88,4,,"COPIA"))),INDIRECT(ADDRESS(ROW()-MAX(COPIA!$BV$2,COPIA!$BW$2)-COPIA!$CC$2,137,4,,"COPIA"))),UPPER(COPIA!CA106))),"")</f>
        <v/>
      </c>
      <c r="D11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IF((ROW())&gt;=MAX(COPIA!$BV$2,COPIA!$BW$2)+COPIA!$CB$2,CONCATENATE((INDIRECT(ADDRESS(ROW()-MAX(COPIA!$BV$2,COPIA!$BW$2)-COPIA!$CC$2,138,4,,"COPIA"))),INDIRECT(ADDRESS(ROW()-MAX(COPIA!$BV$2,COPIA!$BW$2)-COPIA!$CC$2,135,4,,"COPIA"))),IF(AND($EO$4=TRUE,UPPER(COPIA!CB106)="SALDO ECONOMICO POSITIVO"),SUBSTITUTE(COPIA!CB106,"SALDO ECONOMICO POSITIVO","UTILE D'ESERCIZIO"),UPPER(COPIA!CB106)))</f>
        <v/>
      </c>
      <c r="E11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IFERROR(VALUE(IF((ROW())&gt;=MAX(COPIA!$BV$2,COPIA!$BW$2)+COPIA!$CB$2,CONCATENATE((INDIRECT(ADDRESS(ROW()-MAX(COPIA!$BV$2,COPIA!$BW$2)-COPIA!$CC$2,136,4,,"COPIA"))),INDIRECT(ADDRESS(ROW()-MAX(COPIA!$BV$2,COPIA!$BW$2)-COPIA!$CC$2,95,4,,"COPIA"))),UPPER(COPIA!CC106))),"")</f>
        <v/>
      </c>
    </row>
    <row r="112" spans="2:5">
      <c r="B11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107)="SALDO ECONOMICO NEGATIVO"),SUBSTITUTE(COPIA!BZ107,"SALDO ECONOMICO NEGATIVO","PERDITA D'ESERCIZIO"),UPPER(COPIA!BZ107)))</f>
        <v/>
      </c>
      <c r="C11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IFERROR(VALUE(IF((ROW())&gt;=MAX(COPIA!$BV$2,COPIA!$BW$2)+COPIA!$CB$2,CONCATENATE((INDIRECT(ADDRESS(ROW()-MAX(COPIA!$BV$2,COPIA!$BW$2)-COPIA!$CC$2,88,4,,"COPIA"))),INDIRECT(ADDRESS(ROW()-MAX(COPIA!$BV$2,COPIA!$BW$2)-COPIA!$CC$2,137,4,,"COPIA"))),UPPER(COPIA!CA107))),"")</f>
        <v/>
      </c>
      <c r="D11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IF((ROW())&gt;=MAX(COPIA!$BV$2,COPIA!$BW$2)+COPIA!$CB$2,CONCATENATE((INDIRECT(ADDRESS(ROW()-MAX(COPIA!$BV$2,COPIA!$BW$2)-COPIA!$CC$2,138,4,,"COPIA"))),INDIRECT(ADDRESS(ROW()-MAX(COPIA!$BV$2,COPIA!$BW$2)-COPIA!$CC$2,135,4,,"COPIA"))),IF(AND($EO$4=TRUE,UPPER(COPIA!CB107)="SALDO ECONOMICO POSITIVO"),SUBSTITUTE(COPIA!CB107,"SALDO ECONOMICO POSITIVO","UTILE D'ESERCIZIO"),UPPER(COPIA!CB107)))</f>
        <v/>
      </c>
      <c r="E11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IFERROR(VALUE(IF((ROW())&gt;=MAX(COPIA!$BV$2,COPIA!$BW$2)+COPIA!$CB$2,CONCATENATE((INDIRECT(ADDRESS(ROW()-MAX(COPIA!$BV$2,COPIA!$BW$2)-COPIA!$CC$2,136,4,,"COPIA"))),INDIRECT(ADDRESS(ROW()-MAX(COPIA!$BV$2,COPIA!$BW$2)-COPIA!$CC$2,95,4,,"COPIA"))),UPPER(COPIA!CC107))),"")</f>
        <v/>
      </c>
    </row>
    <row r="113" spans="2:5">
      <c r="B11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108)="SALDO ECONOMICO NEGATIVO"),SUBSTITUTE(COPIA!BZ108,"SALDO ECONOMICO NEGATIVO","PERDITA D'ESERCIZIO"),UPPER(COPIA!BZ108)))</f>
        <v/>
      </c>
      <c r="C11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IFERROR(VALUE(IF((ROW())&gt;=MAX(COPIA!$BV$2,COPIA!$BW$2)+COPIA!$CB$2,CONCATENATE((INDIRECT(ADDRESS(ROW()-MAX(COPIA!$BV$2,COPIA!$BW$2)-COPIA!$CC$2,88,4,,"COPIA"))),INDIRECT(ADDRESS(ROW()-MAX(COPIA!$BV$2,COPIA!$BW$2)-COPIA!$CC$2,137,4,,"COPIA"))),UPPER(COPIA!CA108))),"")</f>
        <v/>
      </c>
      <c r="D11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IF((ROW())&gt;=MAX(COPIA!$BV$2,COPIA!$BW$2)+COPIA!$CB$2,CONCATENATE((INDIRECT(ADDRESS(ROW()-MAX(COPIA!$BV$2,COPIA!$BW$2)-COPIA!$CC$2,138,4,,"COPIA"))),INDIRECT(ADDRESS(ROW()-MAX(COPIA!$BV$2,COPIA!$BW$2)-COPIA!$CC$2,135,4,,"COPIA"))),IF(AND($EO$4=TRUE,UPPER(COPIA!CB108)="SALDO ECONOMICO POSITIVO"),SUBSTITUTE(COPIA!CB108,"SALDO ECONOMICO POSITIVO","UTILE D'ESERCIZIO"),UPPER(COPIA!CB108)))</f>
        <v/>
      </c>
      <c r="E11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IFERROR(VALUE(IF((ROW())&gt;=MAX(COPIA!$BV$2,COPIA!$BW$2)+COPIA!$CB$2,CONCATENATE((INDIRECT(ADDRESS(ROW()-MAX(COPIA!$BV$2,COPIA!$BW$2)-COPIA!$CC$2,136,4,,"COPIA"))),INDIRECT(ADDRESS(ROW()-MAX(COPIA!$BV$2,COPIA!$BW$2)-COPIA!$CC$2,95,4,,"COPIA"))),UPPER(COPIA!CC108))),"")</f>
        <v/>
      </c>
    </row>
    <row r="114" spans="2:5">
      <c r="B11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109)="SALDO ECONOMICO NEGATIVO"),SUBSTITUTE(COPIA!BZ109,"SALDO ECONOMICO NEGATIVO","PERDITA D'ESERCIZIO"),UPPER(COPIA!BZ109)))</f>
        <v/>
      </c>
      <c r="C11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IFERROR(VALUE(IF((ROW())&gt;=MAX(COPIA!$BV$2,COPIA!$BW$2)+COPIA!$CB$2,CONCATENATE((INDIRECT(ADDRESS(ROW()-MAX(COPIA!$BV$2,COPIA!$BW$2)-COPIA!$CC$2,88,4,,"COPIA"))),INDIRECT(ADDRESS(ROW()-MAX(COPIA!$BV$2,COPIA!$BW$2)-COPIA!$CC$2,137,4,,"COPIA"))),UPPER(COPIA!CA109))),"")</f>
        <v/>
      </c>
      <c r="D11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IF((ROW())&gt;=MAX(COPIA!$BV$2,COPIA!$BW$2)+COPIA!$CB$2,CONCATENATE((INDIRECT(ADDRESS(ROW()-MAX(COPIA!$BV$2,COPIA!$BW$2)-COPIA!$CC$2,138,4,,"COPIA"))),INDIRECT(ADDRESS(ROW()-MAX(COPIA!$BV$2,COPIA!$BW$2)-COPIA!$CC$2,135,4,,"COPIA"))),IF(AND($EO$4=TRUE,UPPER(COPIA!CB109)="SALDO ECONOMICO POSITIVO"),SUBSTITUTE(COPIA!CB109,"SALDO ECONOMICO POSITIVO","UTILE D'ESERCIZIO"),UPPER(COPIA!CB109)))</f>
        <v/>
      </c>
      <c r="E11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IFERROR(VALUE(IF((ROW())&gt;=MAX(COPIA!$BV$2,COPIA!$BW$2)+COPIA!$CB$2,CONCATENATE((INDIRECT(ADDRESS(ROW()-MAX(COPIA!$BV$2,COPIA!$BW$2)-COPIA!$CC$2,136,4,,"COPIA"))),INDIRECT(ADDRESS(ROW()-MAX(COPIA!$BV$2,COPIA!$BW$2)-COPIA!$CC$2,95,4,,"COPIA"))),UPPER(COPIA!CC109))),"")</f>
        <v/>
      </c>
    </row>
    <row r="115" spans="2:5">
      <c r="B115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110)="SALDO ECONOMICO NEGATIVO"),SUBSTITUTE(COPIA!BZ110,"SALDO ECONOMICO NEGATIVO","PERDITA D'ESERCIZIO"),UPPER(COPIA!BZ110)))</f>
        <v/>
      </c>
      <c r="C115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IFERROR(VALUE(IF((ROW())&gt;=MAX(COPIA!$BV$2,COPIA!$BW$2)+COPIA!$CB$2,CONCATENATE((INDIRECT(ADDRESS(ROW()-MAX(COPIA!$BV$2,COPIA!$BW$2)-COPIA!$CC$2,88,4,,"COPIA"))),INDIRECT(ADDRESS(ROW()-MAX(COPIA!$BV$2,COPIA!$BW$2)-COPIA!$CC$2,137,4,,"COPIA"))),UPPER(COPIA!CA110))),"")</f>
        <v/>
      </c>
      <c r="D115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IF((ROW())&gt;=MAX(COPIA!$BV$2,COPIA!$BW$2)+COPIA!$CB$2,CONCATENATE((INDIRECT(ADDRESS(ROW()-MAX(COPIA!$BV$2,COPIA!$BW$2)-COPIA!$CC$2,138,4,,"COPIA"))),INDIRECT(ADDRESS(ROW()-MAX(COPIA!$BV$2,COPIA!$BW$2)-COPIA!$CC$2,135,4,,"COPIA"))),IF(AND($EO$4=TRUE,UPPER(COPIA!CB110)="SALDO ECONOMICO POSITIVO"),SUBSTITUTE(COPIA!CB110,"SALDO ECONOMICO POSITIVO","UTILE D'ESERCIZIO"),UPPER(COPIA!CB110)))</f>
        <v/>
      </c>
      <c r="E115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IFERROR(VALUE(IF((ROW())&gt;=MAX(COPIA!$BV$2,COPIA!$BW$2)+COPIA!$CB$2,CONCATENATE((INDIRECT(ADDRESS(ROW()-MAX(COPIA!$BV$2,COPIA!$BW$2)-COPIA!$CC$2,136,4,,"COPIA"))),INDIRECT(ADDRESS(ROW()-MAX(COPIA!$BV$2,COPIA!$BW$2)-COPIA!$CC$2,95,4,,"COPIA"))),UPPER(COPIA!CC110))),"")</f>
        <v/>
      </c>
    </row>
    <row r="116" spans="2:5">
      <c r="B116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111)="SALDO ECONOMICO NEGATIVO"),SUBSTITUTE(COPIA!BZ111,"SALDO ECONOMICO NEGATIVO","PERDITA D'ESERCIZIO"),UPPER(COPIA!BZ111)))</f>
        <v/>
      </c>
      <c r="C116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IFERROR(VALUE(IF((ROW())&gt;=MAX(COPIA!$BV$2,COPIA!$BW$2)+COPIA!$CB$2,CONCATENATE((INDIRECT(ADDRESS(ROW()-MAX(COPIA!$BV$2,COPIA!$BW$2)-COPIA!$CC$2,88,4,,"COPIA"))),INDIRECT(ADDRESS(ROW()-MAX(COPIA!$BV$2,COPIA!$BW$2)-COPIA!$CC$2,137,4,,"COPIA"))),UPPER(COPIA!CA111))),"")</f>
        <v/>
      </c>
      <c r="D116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IF((ROW())&gt;=MAX(COPIA!$BV$2,COPIA!$BW$2)+COPIA!$CB$2,CONCATENATE((INDIRECT(ADDRESS(ROW()-MAX(COPIA!$BV$2,COPIA!$BW$2)-COPIA!$CC$2,138,4,,"COPIA"))),INDIRECT(ADDRESS(ROW()-MAX(COPIA!$BV$2,COPIA!$BW$2)-COPIA!$CC$2,135,4,,"COPIA"))),IF(AND($EO$4=TRUE,UPPER(COPIA!CB111)="SALDO ECONOMICO POSITIVO"),SUBSTITUTE(COPIA!CB111,"SALDO ECONOMICO POSITIVO","UTILE D'ESERCIZIO"),UPPER(COPIA!CB111)))</f>
        <v/>
      </c>
      <c r="E116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IFERROR(VALUE(IF((ROW())&gt;=MAX(COPIA!$BV$2,COPIA!$BW$2)+COPIA!$CB$2,CONCATENATE((INDIRECT(ADDRESS(ROW()-MAX(COPIA!$BV$2,COPIA!$BW$2)-COPIA!$CC$2,136,4,,"COPIA"))),INDIRECT(ADDRESS(ROW()-MAX(COPIA!$BV$2,COPIA!$BW$2)-COPIA!$CC$2,95,4,,"COPIA"))),UPPER(COPIA!CC111))),"")</f>
        <v/>
      </c>
    </row>
    <row r="117" spans="2:5">
      <c r="B117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112)="SALDO ECONOMICO NEGATIVO"),SUBSTITUTE(COPIA!BZ112,"SALDO ECONOMICO NEGATIVO","PERDITA D'ESERCIZIO"),UPPER(COPIA!BZ112)))</f>
        <v/>
      </c>
      <c r="C117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IFERROR(VALUE(IF((ROW())&gt;=MAX(COPIA!$BV$2,COPIA!$BW$2)+COPIA!$CB$2,CONCATENATE((INDIRECT(ADDRESS(ROW()-MAX(COPIA!$BV$2,COPIA!$BW$2)-COPIA!$CC$2,88,4,,"COPIA"))),INDIRECT(ADDRESS(ROW()-MAX(COPIA!$BV$2,COPIA!$BW$2)-COPIA!$CC$2,137,4,,"COPIA"))),UPPER(COPIA!CA112))),"")</f>
        <v/>
      </c>
      <c r="D117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IF((ROW())&gt;=MAX(COPIA!$BV$2,COPIA!$BW$2)+COPIA!$CB$2,CONCATENATE((INDIRECT(ADDRESS(ROW()-MAX(COPIA!$BV$2,COPIA!$BW$2)-COPIA!$CC$2,138,4,,"COPIA"))),INDIRECT(ADDRESS(ROW()-MAX(COPIA!$BV$2,COPIA!$BW$2)-COPIA!$CC$2,135,4,,"COPIA"))),IF(AND($EO$4=TRUE,UPPER(COPIA!CB112)="SALDO ECONOMICO POSITIVO"),SUBSTITUTE(COPIA!CB112,"SALDO ECONOMICO POSITIVO","UTILE D'ESERCIZIO"),UPPER(COPIA!CB112)))</f>
        <v/>
      </c>
      <c r="E117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IFERROR(VALUE(IF((ROW())&gt;=MAX(COPIA!$BV$2,COPIA!$BW$2)+COPIA!$CB$2,CONCATENATE((INDIRECT(ADDRESS(ROW()-MAX(COPIA!$BV$2,COPIA!$BW$2)-COPIA!$CC$2,136,4,,"COPIA"))),INDIRECT(ADDRESS(ROW()-MAX(COPIA!$BV$2,COPIA!$BW$2)-COPIA!$CC$2,95,4,,"COPIA"))),UPPER(COPIA!CC112))),"")</f>
        <v/>
      </c>
    </row>
    <row r="118" spans="2:5">
      <c r="B118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113)="SALDO ECONOMICO NEGATIVO"),SUBSTITUTE(COPIA!BZ113,"SALDO ECONOMICO NEGATIVO","PERDITA D'ESERCIZIO"),UPPER(COPIA!BZ113)))</f>
        <v/>
      </c>
      <c r="C118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IFERROR(VALUE(IF((ROW())&gt;=MAX(COPIA!$BV$2,COPIA!$BW$2)+COPIA!$CB$2,CONCATENATE((INDIRECT(ADDRESS(ROW()-MAX(COPIA!$BV$2,COPIA!$BW$2)-COPIA!$CC$2,88,4,,"COPIA"))),INDIRECT(ADDRESS(ROW()-MAX(COPIA!$BV$2,COPIA!$BW$2)-COPIA!$CC$2,137,4,,"COPIA"))),UPPER(COPIA!CA113))),"")</f>
        <v/>
      </c>
      <c r="D118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IF((ROW())&gt;=MAX(COPIA!$BV$2,COPIA!$BW$2)+COPIA!$CB$2,CONCATENATE((INDIRECT(ADDRESS(ROW()-MAX(COPIA!$BV$2,COPIA!$BW$2)-COPIA!$CC$2,138,4,,"COPIA"))),INDIRECT(ADDRESS(ROW()-MAX(COPIA!$BV$2,COPIA!$BW$2)-COPIA!$CC$2,135,4,,"COPIA"))),IF(AND($EO$4=TRUE,UPPER(COPIA!CB113)="SALDO ECONOMICO POSITIVO"),SUBSTITUTE(COPIA!CB113,"SALDO ECONOMICO POSITIVO","UTILE D'ESERCIZIO"),UPPER(COPIA!CB113)))</f>
        <v/>
      </c>
      <c r="E118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IFERROR(VALUE(IF((ROW())&gt;=MAX(COPIA!$BV$2,COPIA!$BW$2)+COPIA!$CB$2,CONCATENATE((INDIRECT(ADDRESS(ROW()-MAX(COPIA!$BV$2,COPIA!$BW$2)-COPIA!$CC$2,136,4,,"COPIA"))),INDIRECT(ADDRESS(ROW()-MAX(COPIA!$BV$2,COPIA!$BW$2)-COPIA!$CC$2,95,4,,"COPIA"))),UPPER(COPIA!CC113))),"")</f>
        <v/>
      </c>
    </row>
    <row r="119" spans="2:5">
      <c r="B119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114)="SALDO ECONOMICO NEGATIVO"),SUBSTITUTE(COPIA!BZ114,"SALDO ECONOMICO NEGATIVO","PERDITA D'ESERCIZIO"),UPPER(COPIA!BZ114)))</f>
        <v/>
      </c>
      <c r="C119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IFERROR(VALUE(IF((ROW())&gt;=MAX(COPIA!$BV$2,COPIA!$BW$2)+COPIA!$CB$2,CONCATENATE((INDIRECT(ADDRESS(ROW()-MAX(COPIA!$BV$2,COPIA!$BW$2)-COPIA!$CC$2,88,4,,"COPIA"))),INDIRECT(ADDRESS(ROW()-MAX(COPIA!$BV$2,COPIA!$BW$2)-COPIA!$CC$2,137,4,,"COPIA"))),UPPER(COPIA!CA114))),"")</f>
        <v/>
      </c>
      <c r="D119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IF((ROW())&gt;=MAX(COPIA!$BV$2,COPIA!$BW$2)+COPIA!$CB$2,CONCATENATE((INDIRECT(ADDRESS(ROW()-MAX(COPIA!$BV$2,COPIA!$BW$2)-COPIA!$CC$2,138,4,,"COPIA"))),INDIRECT(ADDRESS(ROW()-MAX(COPIA!$BV$2,COPIA!$BW$2)-COPIA!$CC$2,135,4,,"COPIA"))),IF(AND($EO$4=TRUE,UPPER(COPIA!CB114)="SALDO ECONOMICO POSITIVO"),SUBSTITUTE(COPIA!CB114,"SALDO ECONOMICO POSITIVO","UTILE D'ESERCIZIO"),UPPER(COPIA!CB114)))</f>
        <v/>
      </c>
      <c r="E119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IFERROR(VALUE(IF((ROW())&gt;=MAX(COPIA!$BV$2,COPIA!$BW$2)+COPIA!$CB$2,CONCATENATE((INDIRECT(ADDRESS(ROW()-MAX(COPIA!$BV$2,COPIA!$BW$2)-COPIA!$CC$2,136,4,,"COPIA"))),INDIRECT(ADDRESS(ROW()-MAX(COPIA!$BV$2,COPIA!$BW$2)-COPIA!$CC$2,95,4,,"COPIA"))),UPPER(COPIA!CC114))),"")</f>
        <v/>
      </c>
    </row>
    <row r="120" spans="2:5">
      <c r="B120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115)="SALDO ECONOMICO NEGATIVO"),SUBSTITUTE(COPIA!BZ115,"SALDO ECONOMICO NEGATIVO","PERDITA D'ESERCIZIO"),UPPER(COPIA!BZ115)))</f>
        <v/>
      </c>
      <c r="C120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IFERROR(VALUE(IF((ROW())&gt;=MAX(COPIA!$BV$2,COPIA!$BW$2)+COPIA!$CB$2,CONCATENATE((INDIRECT(ADDRESS(ROW()-MAX(COPIA!$BV$2,COPIA!$BW$2)-COPIA!$CC$2,88,4,,"COPIA"))),INDIRECT(ADDRESS(ROW()-MAX(COPIA!$BV$2,COPIA!$BW$2)-COPIA!$CC$2,137,4,,"COPIA"))),UPPER(COPIA!CA115))),"")</f>
        <v/>
      </c>
      <c r="D120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IF((ROW())&gt;=MAX(COPIA!$BV$2,COPIA!$BW$2)+COPIA!$CB$2,CONCATENATE((INDIRECT(ADDRESS(ROW()-MAX(COPIA!$BV$2,COPIA!$BW$2)-COPIA!$CC$2,138,4,,"COPIA"))),INDIRECT(ADDRESS(ROW()-MAX(COPIA!$BV$2,COPIA!$BW$2)-COPIA!$CC$2,135,4,,"COPIA"))),IF(AND($EO$4=TRUE,UPPER(COPIA!CB115)="SALDO ECONOMICO POSITIVO"),SUBSTITUTE(COPIA!CB115,"SALDO ECONOMICO POSITIVO","UTILE D'ESERCIZIO"),UPPER(COPIA!CB115)))</f>
        <v/>
      </c>
      <c r="E120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IFERROR(VALUE(IF((ROW())&gt;=MAX(COPIA!$BV$2,COPIA!$BW$2)+COPIA!$CB$2,CONCATENATE((INDIRECT(ADDRESS(ROW()-MAX(COPIA!$BV$2,COPIA!$BW$2)-COPIA!$CC$2,136,4,,"COPIA"))),INDIRECT(ADDRESS(ROW()-MAX(COPIA!$BV$2,COPIA!$BW$2)-COPIA!$CC$2,95,4,,"COPIA"))),UPPER(COPIA!CC115))),"")</f>
        <v/>
      </c>
    </row>
    <row r="121" spans="2:5">
      <c r="B121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116)="SALDO ECONOMICO NEGATIVO"),SUBSTITUTE(COPIA!BZ116,"SALDO ECONOMICO NEGATIVO","PERDITA D'ESERCIZIO"),UPPER(COPIA!BZ116)))</f>
        <v/>
      </c>
      <c r="C121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IFERROR(VALUE(IF((ROW())&gt;=MAX(COPIA!$BV$2,COPIA!$BW$2)+COPIA!$CB$2,CONCATENATE((INDIRECT(ADDRESS(ROW()-MAX(COPIA!$BV$2,COPIA!$BW$2)-COPIA!$CC$2,88,4,,"COPIA"))),INDIRECT(ADDRESS(ROW()-MAX(COPIA!$BV$2,COPIA!$BW$2)-COPIA!$CC$2,137,4,,"COPIA"))),UPPER(COPIA!CA116))),"")</f>
        <v/>
      </c>
      <c r="D121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IF((ROW())&gt;=MAX(COPIA!$BV$2,COPIA!$BW$2)+COPIA!$CB$2,CONCATENATE((INDIRECT(ADDRESS(ROW()-MAX(COPIA!$BV$2,COPIA!$BW$2)-COPIA!$CC$2,138,4,,"COPIA"))),INDIRECT(ADDRESS(ROW()-MAX(COPIA!$BV$2,COPIA!$BW$2)-COPIA!$CC$2,135,4,,"COPIA"))),IF(AND($EO$4=TRUE,UPPER(COPIA!CB116)="SALDO ECONOMICO POSITIVO"),SUBSTITUTE(COPIA!CB116,"SALDO ECONOMICO POSITIVO","UTILE D'ESERCIZIO"),UPPER(COPIA!CB116)))</f>
        <v/>
      </c>
      <c r="E121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IFERROR(VALUE(IF((ROW())&gt;=MAX(COPIA!$BV$2,COPIA!$BW$2)+COPIA!$CB$2,CONCATENATE((INDIRECT(ADDRESS(ROW()-MAX(COPIA!$BV$2,COPIA!$BW$2)-COPIA!$CC$2,136,4,,"COPIA"))),INDIRECT(ADDRESS(ROW()-MAX(COPIA!$BV$2,COPIA!$BW$2)-COPIA!$CC$2,95,4,,"COPIA"))),UPPER(COPIA!CC116))),"")</f>
        <v/>
      </c>
    </row>
    <row r="122" spans="2:5">
      <c r="B122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117)="SALDO ECONOMICO NEGATIVO"),SUBSTITUTE(COPIA!BZ117,"SALDO ECONOMICO NEGATIVO","PERDITA D'ESERCIZIO"),UPPER(COPIA!BZ117)))</f>
        <v/>
      </c>
      <c r="C122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IFERROR(VALUE(IF((ROW())&gt;=MAX(COPIA!$BV$2,COPIA!$BW$2)+COPIA!$CB$2,CONCATENATE((INDIRECT(ADDRESS(ROW()-MAX(COPIA!$BV$2,COPIA!$BW$2)-COPIA!$CC$2,88,4,,"COPIA"))),INDIRECT(ADDRESS(ROW()-MAX(COPIA!$BV$2,COPIA!$BW$2)-COPIA!$CC$2,137,4,,"COPIA"))),UPPER(COPIA!CA117))),"")</f>
        <v/>
      </c>
      <c r="D122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IF((ROW())&gt;=MAX(COPIA!$BV$2,COPIA!$BW$2)+COPIA!$CB$2,CONCATENATE((INDIRECT(ADDRESS(ROW()-MAX(COPIA!$BV$2,COPIA!$BW$2)-COPIA!$CC$2,138,4,,"COPIA"))),INDIRECT(ADDRESS(ROW()-MAX(COPIA!$BV$2,COPIA!$BW$2)-COPIA!$CC$2,135,4,,"COPIA"))),IF(AND($EO$4=TRUE,UPPER(COPIA!CB117)="SALDO ECONOMICO POSITIVO"),SUBSTITUTE(COPIA!CB117,"SALDO ECONOMICO POSITIVO","UTILE D'ESERCIZIO"),UPPER(COPIA!CB117)))</f>
        <v/>
      </c>
      <c r="E122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IFERROR(VALUE(IF((ROW())&gt;=MAX(COPIA!$BV$2,COPIA!$BW$2)+COPIA!$CB$2,CONCATENATE((INDIRECT(ADDRESS(ROW()-MAX(COPIA!$BV$2,COPIA!$BW$2)-COPIA!$CC$2,136,4,,"COPIA"))),INDIRECT(ADDRESS(ROW()-MAX(COPIA!$BV$2,COPIA!$BW$2)-COPIA!$CC$2,95,4,,"COPIA"))),UPPER(COPIA!CC117))),"")</f>
        <v/>
      </c>
    </row>
    <row r="123" spans="2:5">
      <c r="B123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118)="SALDO ECONOMICO NEGATIVO"),SUBSTITUTE(COPIA!BZ118,"SALDO ECONOMICO NEGATIVO","PERDITA D'ESERCIZIO"),UPPER(COPIA!BZ118)))</f>
        <v/>
      </c>
      <c r="C123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IFERROR(VALUE(IF((ROW())&gt;=MAX(COPIA!$BV$2,COPIA!$BW$2)+COPIA!$CB$2,CONCATENATE((INDIRECT(ADDRESS(ROW()-MAX(COPIA!$BV$2,COPIA!$BW$2)-COPIA!$CC$2,88,4,,"COPIA"))),INDIRECT(ADDRESS(ROW()-MAX(COPIA!$BV$2,COPIA!$BW$2)-COPIA!$CC$2,137,4,,"COPIA"))),UPPER(COPIA!CA118))),"")</f>
        <v/>
      </c>
      <c r="D123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IF((ROW())&gt;=MAX(COPIA!$BV$2,COPIA!$BW$2)+COPIA!$CB$2,CONCATENATE((INDIRECT(ADDRESS(ROW()-MAX(COPIA!$BV$2,COPIA!$BW$2)-COPIA!$CC$2,138,4,,"COPIA"))),INDIRECT(ADDRESS(ROW()-MAX(COPIA!$BV$2,COPIA!$BW$2)-COPIA!$CC$2,135,4,,"COPIA"))),IF(AND($EO$4=TRUE,UPPER(COPIA!CB118)="SALDO ECONOMICO POSITIVO"),SUBSTITUTE(COPIA!CB118,"SALDO ECONOMICO POSITIVO","UTILE D'ESERCIZIO"),UPPER(COPIA!CB118)))</f>
        <v/>
      </c>
      <c r="E123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IFERROR(VALUE(IF((ROW())&gt;=MAX(COPIA!$BV$2,COPIA!$BW$2)+COPIA!$CB$2,CONCATENATE((INDIRECT(ADDRESS(ROW()-MAX(COPIA!$BV$2,COPIA!$BW$2)-COPIA!$CC$2,136,4,,"COPIA"))),INDIRECT(ADDRESS(ROW()-MAX(COPIA!$BV$2,COPIA!$BW$2)-COPIA!$CC$2,95,4,,"COPIA"))),UPPER(COPIA!CC118))),"")</f>
        <v/>
      </c>
    </row>
    <row r="124" spans="2:5">
      <c r="B124" s="28" t="str">
        <f ca="1">IF((ROW())&gt;=MAX(COPIA!$BV$2,COPIA!$BW$2)+COPIA!$CB$2,CONCATENATE((INDIRECT(ADDRESS(ROW()-MAX(COPIA!$BV$2,COPIA!$BW$2)-COPIA!$CC$2,87,4,,"COPIA"))),INDIRECT(ADDRESS(ROW()-MAX(COPIA!$BV$2,COPIA!$BW$2)-COPIA!$CC$2,96,4,,"COPIA"))),IF(AND(COPIA!$EO$1=TRUE,UPPER(COPIA!BZ119)="SALDO ECONOMICO NEGATIVO"),SUBSTITUTE(COPIA!BZ119,"SALDO ECONOMICO NEGATIVO","PERDITA D'ESERCIZIO"),UPPER(COPIA!BZ119)))</f>
        <v/>
      </c>
      <c r="C124" s="9" t="str">
        <f ca="1">IFERROR(VALUE(IF((ROW())&gt;=MAX(COPIA!$BV$2,COPIA!$BW$2)+COPIA!$CB$2,CONCATENATE((INDIRECT(ADDRESS(ROW()-MAX(COPIA!$BV$2,COPIA!$BW$2)-COPIA!$CC$2,88,4,,"COPIA"))),INDIRECT(ADDRESS(ROW()-MAX(COPIA!$BV$2,COPIA!$BW$2)-COPIA!$CC$2,137,4,,"COPIA"))),UPPER(COPIA!CA119))),"")</f>
        <v/>
      </c>
      <c r="D124" s="8" t="str">
        <f ca="1">IF((ROW())&gt;=MAX(COPIA!$BV$2,COPIA!$BW$2)+COPIA!$CB$2,CONCATENATE((INDIRECT(ADDRESS(ROW()-MAX(COPIA!$BV$2,COPIA!$BW$2)-COPIA!$CC$2,138,4,,"COPIA"))),INDIRECT(ADDRESS(ROW()-MAX(COPIA!$BV$2,COPIA!$BW$2)-COPIA!$CC$2,135,4,,"COPIA"))),IF(AND($EO$4=TRUE,UPPER(COPIA!CB119)="SALDO ECONOMICO POSITIVO"),SUBSTITUTE(COPIA!CB119,"SALDO ECONOMICO POSITIVO","UTILE D'ESERCIZIO"),UPPER(COPIA!CB119)))</f>
        <v/>
      </c>
      <c r="E124" s="9" t="str">
        <f ca="1">IFERROR(VALUE(IF((ROW())&gt;=MAX(COPIA!$BV$2,COPIA!$BW$2)+COPIA!$CB$2,CONCATENATE((INDIRECT(ADDRESS(ROW()-MAX(COPIA!$BV$2,COPIA!$BW$2)-COPIA!$CC$2,136,4,,"COPIA"))),INDIRECT(ADDRESS(ROW()-MAX(COPIA!$BV$2,COPIA!$BW$2)-COPIA!$CC$2,95,4,,"COPIA"))),UPPER(COPIA!CC119))),"")</f>
        <v/>
      </c>
    </row>
    <row r="125" spans="2:5">
      <c r="C125" s="53"/>
      <c r="E125" s="53"/>
    </row>
  </sheetData>
  <sheetProtection algorithmName="SHA-512" hashValue="wR7uXXkts6Wk2XczeyIU5tpDtpM1A1V/5331EgIWfo+HTe5jtcE6zmmZQZVvhBPzl7YcXZH+WMnRzCPRAH3agA==" saltValue="u2uCbwO3jYCUkC1RIBaRPg==" spinCount="100000" sheet="1" objects="1" scenarios="1"/>
  <mergeCells count="7">
    <mergeCell ref="B1:F1"/>
    <mergeCell ref="B5:E5"/>
    <mergeCell ref="H3:I3"/>
    <mergeCell ref="H2:I2"/>
    <mergeCell ref="B2:C2"/>
    <mergeCell ref="B3:C3"/>
    <mergeCell ref="D2:G3"/>
  </mergeCells>
  <conditionalFormatting sqref="B8:B124 E8:E124">
    <cfRule type="expression" dxfId="52" priority="1">
      <formula>OR($B8="TOTALE ATTIVITÀ",$B8="TOTALE COSTI")</formula>
    </cfRule>
  </conditionalFormatting>
  <conditionalFormatting sqref="B7:E7">
    <cfRule type="expression" dxfId="51" priority="5">
      <formula>$B$7&lt;&gt;""</formula>
    </cfRule>
  </conditionalFormatting>
  <conditionalFormatting sqref="B8:E124">
    <cfRule type="expression" dxfId="50" priority="18" stopIfTrue="1">
      <formula>OR($B8="SITUAZIONE PATRIMONIALE",$B8="SITUAZIONE ECONOMICA")</formula>
    </cfRule>
    <cfRule type="expression" dxfId="49" priority="19">
      <formula>OR($B8="ATTIVITÀ",$B8="COSTI")</formula>
    </cfRule>
    <cfRule type="expression" dxfId="48" priority="20" stopIfTrue="1">
      <formula>AND($B8&lt;&gt;"situazione patrimoniale",$B8&lt;&gt;"situazione economica",$B8&lt;&gt;"TOTALE ATTIVITÀ",$B8&lt;&gt;"TOTALE COSTI",OR($B8&lt;&gt;"",$D8&lt;&gt;""))</formula>
    </cfRule>
  </conditionalFormatting>
  <conditionalFormatting sqref="C1:C3 C5:C1048576">
    <cfRule type="cellIs" dxfId="47" priority="2" operator="equal">
      <formula>0</formula>
    </cfRule>
  </conditionalFormatting>
  <conditionalFormatting sqref="C8:C124 E8:E124">
    <cfRule type="expression" dxfId="46" priority="3">
      <formula>AND($B8="TOTALE COSTI",$D8="TOTALE RICAVI")</formula>
    </cfRule>
    <cfRule type="expression" dxfId="45" priority="8">
      <formula>OR($B8="totale",$D8="totale")</formula>
    </cfRule>
    <cfRule type="expression" dxfId="44" priority="9">
      <formula>$D8="TOTALE A PAREGGIO"</formula>
    </cfRule>
    <cfRule type="expression" dxfId="43" priority="15">
      <formula>OR($B8="TOTALE",$B8="TOTALE A PAREGGIO")</formula>
    </cfRule>
  </conditionalFormatting>
  <conditionalFormatting sqref="C8:C124">
    <cfRule type="expression" dxfId="42" priority="10">
      <formula>$B8="TOTALE ATTIVITÀ"</formula>
    </cfRule>
    <cfRule type="expression" dxfId="41" priority="16">
      <formula>$B8="TOTALE COSTI"</formula>
    </cfRule>
    <cfRule type="expression" dxfId="40" priority="17">
      <formula>AND($B8="TOTALE COSTI",D$8="TOTALE A PAREGGIO")</formula>
    </cfRule>
  </conditionalFormatting>
  <conditionalFormatting sqref="E8:E124">
    <cfRule type="expression" dxfId="39" priority="4">
      <formula>AND($D8="TOTALE RICAVI",$B8="TOTALE A PAREGGIO")</formula>
    </cfRule>
    <cfRule type="expression" dxfId="38" priority="12">
      <formula>$D8="TOTALE RICAVI"</formula>
    </cfRule>
    <cfRule type="expression" dxfId="37" priority="13">
      <formula>$D8="TOTALE PASSIVITÀ"</formula>
    </cfRule>
  </conditionalFormatting>
  <dataValidations count="2">
    <dataValidation type="list" allowBlank="1" showInputMessage="1" showErrorMessage="1" sqref="H3:I3" xr:uid="{00000000-0002-0000-0400-000000000000}">
      <formula1>RIGHE_PROSPETTI</formula1>
    </dataValidation>
    <dataValidation type="list" allowBlank="1" showInputMessage="1" showErrorMessage="1" sqref="B2" xr:uid="{00000000-0002-0000-0400-000001000000}">
      <formula1>"VISUALIZZA IL SALDO ECONOMICO,VISUALIZZA IL RISULTATO ECONOMICO"</formula1>
    </dataValidation>
  </dataValidations>
  <printOptions horizontalCentered="1"/>
  <pageMargins left="0.11811023622047245" right="0.11811023622047245" top="0.98425196850393704" bottom="0.55118110236220474" header="0.39370078740157483" footer="0.31496062992125984"/>
  <pageSetup paperSize="9" orientation="portrait" horizontalDpi="4294967294" verticalDpi="300" r:id="rId1"/>
  <headerFooter>
    <oddHeader>&amp;L&amp;"Arial Narrow,Grassetto"&amp;10&amp;K08-043&amp;A&amp;R&amp;G</oddHeader>
    <oddFooter>&amp;L&amp;"Arial Narrow,Grassetto"&amp;10&amp;Y&amp;K08-041FUTURO IMPRESA 3 - T-SMART - AUTORE: Biagio PALACINO&amp;C&amp;"Arial Narrow,Grassetto"&amp;10&amp;K08-048&amp;D&amp;R&amp;"Arial Narrow,Grassetto"&amp;10&amp;K08-042pag. &amp;P di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0000"/>
  </sheetPr>
  <dimension ref="A1:G122"/>
  <sheetViews>
    <sheetView showGridLines="0" showRowColHeaders="0" zoomScale="110" zoomScaleNormal="110" workbookViewId="0">
      <pane ySplit="5" topLeftCell="A6" activePane="bottomLeft" state="frozen"/>
      <selection pane="bottomLeft" sqref="A1:D1"/>
    </sheetView>
  </sheetViews>
  <sheetFormatPr defaultRowHeight="15.6"/>
  <cols>
    <col min="1" max="1" width="3" customWidth="1"/>
    <col min="2" max="2" width="57.5" style="86" customWidth="1"/>
    <col min="3" max="3" width="12" style="102" customWidth="1"/>
    <col min="4" max="4" width="43.59765625" style="86" customWidth="1"/>
    <col min="5" max="5" width="12" style="87" customWidth="1"/>
    <col min="6" max="6" width="12.59765625" customWidth="1"/>
  </cols>
  <sheetData>
    <row r="1" spans="1:7" ht="23.25" customHeight="1">
      <c r="A1" s="366" t="s">
        <v>703</v>
      </c>
      <c r="B1" s="367"/>
      <c r="C1" s="367"/>
      <c r="D1" s="367"/>
      <c r="E1" s="77"/>
      <c r="F1" s="77"/>
    </row>
    <row r="2" spans="1:7" ht="27.75" customHeight="1">
      <c r="A2" s="142"/>
      <c r="B2" s="166" t="s">
        <v>443</v>
      </c>
      <c r="C2" s="167" t="s">
        <v>427</v>
      </c>
      <c r="D2" s="168" t="s">
        <v>436</v>
      </c>
      <c r="E2" s="368" t="s">
        <v>435</v>
      </c>
      <c r="F2" s="369"/>
    </row>
    <row r="3" spans="1:7" ht="30.75" customHeight="1">
      <c r="A3" s="4"/>
      <c r="B3" s="238" t="s">
        <v>611</v>
      </c>
      <c r="C3" s="239" t="s">
        <v>418</v>
      </c>
      <c r="D3" s="165" t="str">
        <f ca="1">IFERROR(COPIA!GZ1,"")</f>
        <v/>
      </c>
      <c r="E3" s="169" t="s">
        <v>6</v>
      </c>
      <c r="F3" s="170" t="s">
        <v>5</v>
      </c>
      <c r="G3" s="162"/>
    </row>
    <row r="4" spans="1:7" ht="29.25" customHeight="1">
      <c r="A4" s="4"/>
      <c r="B4" s="370" t="str">
        <f>IFERROR(IF(COPIA!CJ1=0,"",COPIA!ES1),"")</f>
        <v/>
      </c>
      <c r="C4" s="363"/>
      <c r="D4" s="164" t="str">
        <f ca="1">IFERROR(COPIA!GW2,"")</f>
        <v/>
      </c>
      <c r="E4" s="240"/>
      <c r="F4" s="241"/>
      <c r="G4" s="162"/>
    </row>
    <row r="5" spans="1:7" ht="9.75" customHeight="1">
      <c r="A5" s="4"/>
      <c r="B5" s="92"/>
      <c r="C5" s="193"/>
      <c r="D5" s="92"/>
      <c r="E5" s="194"/>
      <c r="F5" s="4"/>
    </row>
    <row r="6" spans="1:7" ht="20.100000000000001" customHeight="1">
      <c r="A6" s="6">
        <f ca="1">COPIA!IH1</f>
        <v>0</v>
      </c>
      <c r="B6" s="236" t="str">
        <f ca="1">IF(INDIRECT(ADDRESS(8,6,,,"LIBRO_GIORNALE"))="","",INDIRECT(ADDRESS(8,6,,,"LIBRO_GIORNALE")))</f>
        <v/>
      </c>
      <c r="C6" s="171"/>
      <c r="D6" s="237" t="str">
        <f ca="1">IF(INDIRECT(ADDRESS(8,7,,,"LIBRO_GIORNALE"))="","",INDIRECT(ADDRESS(8,7,,,"LIBRO_GIORNALE")))</f>
        <v/>
      </c>
      <c r="E6" s="172"/>
      <c r="F6" s="14"/>
    </row>
    <row r="7" spans="1:7" ht="20.100000000000001" customHeight="1">
      <c r="A7" s="6">
        <f ca="1">COPIA!IG1</f>
        <v>1</v>
      </c>
      <c r="B7" s="365" t="str">
        <f ca="1">IFERROR(IF(A7&gt;1,CONCATENATE("STATO PATRIMONIALE ","al", " ",COPIA!DS2,"/",COPIA!DT2,"/",COPIA!DU2),""),"")</f>
        <v/>
      </c>
      <c r="C7" s="365"/>
      <c r="D7" s="365"/>
      <c r="E7" s="365"/>
      <c r="F7" s="14"/>
    </row>
    <row r="8" spans="1:7" ht="20.100000000000001" customHeight="1">
      <c r="A8" s="14"/>
      <c r="B8" s="173" t="str">
        <f ca="1">IFERROR(IF($A$7&gt;1,"ATTIVO",""),"")</f>
        <v/>
      </c>
      <c r="C8" s="174" t="str">
        <f ca="1">IFERROR(IF($A$7&gt;1,"importi",""),"")</f>
        <v/>
      </c>
      <c r="D8" s="173" t="str">
        <f ca="1">IFERROR(IF($A$7&gt;1,"PASSIVO E NETTO",""),"")</f>
        <v/>
      </c>
      <c r="E8" s="175" t="str">
        <f ca="1">IFERROR(IF($A$7&gt;1,"importi",""),"")</f>
        <v/>
      </c>
      <c r="F8" s="14"/>
    </row>
    <row r="9" spans="1:7" ht="20.100000000000001" customHeight="1">
      <c r="A9" s="14"/>
      <c r="B9" s="223" t="str">
        <f ca="1">IFERROR(IF(ROW()-8&lt;=COPIA!$IG$1,SUBSTITUTE(INDEX(COPIA!$IB$3:$IH$18,MATCH(ROWS($B$9:B9),COPIA!$IH$3:$IH$18,0),1),"_"," "),IF(ROW()-8&gt;=COPIA!$IG$1+COPIA!$IH$1,SUBSTITUTE(INDEX(COPIA!$IB$37:$IH$93,MATCH(ROW()-8-COPIA!$IH$1,COPIA!$IH$37:$IH$93,0),1),"_"," "),"")),"")</f>
        <v/>
      </c>
      <c r="C9" s="224" t="str">
        <f ca="1">IFERROR(IF(ROW()-8&lt;=COPIA!$IG$1,INDEX(COPIA!$IB$3:$IH$18,MATCH(ROWS($B$9:B9),COPIA!$IH$3:$IH$18,0),6),IF(ROW()-8&gt;=COPIA!$IG$1+2,INDEX(COPIA!$IB$37:$IH$93,MATCH(ROW()-8-COPIA!$IH$1,COPIA!$IH$37:$IH$93,0),6),"")),"")</f>
        <v/>
      </c>
      <c r="D9" s="223" t="str">
        <f ca="1">IFERROR(SUBSTITUTE(INDEX(COPIA!$IB$19:$IH$34,MATCH(ROWS($D$9:D9),COPIA!$IH$19:$IH$34,0),1),"_"," "),"")</f>
        <v/>
      </c>
      <c r="E9" s="225" t="str">
        <f ca="1">IFERROR(INDEX(COPIA!$IB$19:$IH$34,MATCH(ROWS($D$9:E9),COPIA!$IH$19:$IH$34,0),6),"")</f>
        <v/>
      </c>
      <c r="F9" s="14"/>
    </row>
    <row r="10" spans="1:7" ht="20.100000000000001" customHeight="1">
      <c r="A10" s="14"/>
      <c r="B10" s="223" t="str">
        <f ca="1">IFERROR(IF(ROW()-8&lt;=COPIA!$IG$1,SUBSTITUTE(INDEX(COPIA!$IB$3:$IH$18,MATCH(ROWS($B$9:B10),COPIA!$IH$3:$IH$18,0),1),"_"," "),IF(ROW()-8&gt;=COPIA!$IG$1+COPIA!$IH$1,SUBSTITUTE(INDEX(COPIA!$IB$37:$IH$93,MATCH(ROW()-8-COPIA!$IH$1,COPIA!$IH$37:$IH$93,0),1),"_"," "),"")),"")</f>
        <v/>
      </c>
      <c r="C10" s="224" t="str">
        <f ca="1">IFERROR(IF(ROW()-8&lt;=COPIA!$IG$1,INDEX(COPIA!$IB$3:$IH$18,MATCH(ROWS($B$9:B10),COPIA!$IH$3:$IH$18,0),6),IF(ROW()-8&gt;=COPIA!$IG$1+2,INDEX(COPIA!$IB$37:$IH$93,MATCH(ROW()-8-COPIA!$IH$1,COPIA!$IH$37:$IH$93,0),6),"")),"")</f>
        <v/>
      </c>
      <c r="D10" s="223" t="str">
        <f ca="1">IFERROR(SUBSTITUTE(INDEX(COPIA!$IB$19:$IH$34,MATCH(ROWS($D$9:D10),COPIA!$IH$19:$IH$34,0),1),"_"," "),"")</f>
        <v/>
      </c>
      <c r="E10" s="225" t="str">
        <f ca="1">IFERROR(INDEX(COPIA!$IB$19:$IH$34,MATCH(ROWS($D$9:E10),COPIA!$IH$19:$IH$34,0),6),"")</f>
        <v/>
      </c>
      <c r="F10" s="14"/>
    </row>
    <row r="11" spans="1:7" ht="20.100000000000001" customHeight="1">
      <c r="A11" s="14"/>
      <c r="B11" s="223" t="str">
        <f ca="1">IFERROR(IF(ROW()-8&lt;=COPIA!$IG$1,SUBSTITUTE(INDEX(COPIA!$IB$3:$IH$18,MATCH(ROWS($B$9:B11),COPIA!$IH$3:$IH$18,0),1),"_"," "),IF(ROW()-8&gt;=COPIA!$IG$1+COPIA!$IH$1,SUBSTITUTE(INDEX(COPIA!$IB$37:$IH$93,MATCH(ROW()-8-COPIA!$IH$1,COPIA!$IH$37:$IH$93,0),1),"_"," "),"")),"")</f>
        <v/>
      </c>
      <c r="C11" s="224" t="str">
        <f ca="1">IFERROR(IF(ROW()-8&lt;=COPIA!$IG$1,INDEX(COPIA!$IB$3:$IH$18,MATCH(ROWS($B$9:B11),COPIA!$IH$3:$IH$18,0),6),IF(ROW()-8&gt;=COPIA!$IG$1+2,INDEX(COPIA!$IB$37:$IH$93,MATCH(ROW()-8-COPIA!$IH$1,COPIA!$IH$37:$IH$93,0),6),"")),"")</f>
        <v/>
      </c>
      <c r="D11" s="223" t="str">
        <f ca="1">IFERROR(SUBSTITUTE(INDEX(COPIA!$IB$19:$IH$34,MATCH(ROWS($D$9:D11),COPIA!$IH$19:$IH$34,0),1),"_"," "),"")</f>
        <v/>
      </c>
      <c r="E11" s="225" t="str">
        <f ca="1">IFERROR(INDEX(COPIA!$IB$19:$IH$34,MATCH(ROWS($D$9:E11),COPIA!$IH$19:$IH$34,0),6),"")</f>
        <v/>
      </c>
      <c r="F11" s="14"/>
    </row>
    <row r="12" spans="1:7" ht="20.100000000000001" customHeight="1">
      <c r="A12" s="14"/>
      <c r="B12" s="223" t="str">
        <f ca="1">IFERROR(IF(ROW()-8&lt;=COPIA!$IG$1,SUBSTITUTE(INDEX(COPIA!$IB$3:$IH$18,MATCH(ROWS($B$9:B12),COPIA!$IH$3:$IH$18,0),1),"_"," "),IF(ROW()-8&gt;=COPIA!$IG$1+COPIA!$IH$1,SUBSTITUTE(INDEX(COPIA!$IB$37:$IH$93,MATCH(ROW()-8-COPIA!$IH$1,COPIA!$IH$37:$IH$93,0),1),"_"," "),"")),"")</f>
        <v/>
      </c>
      <c r="C12" s="224" t="str">
        <f ca="1">IFERROR(IF(ROW()-8&lt;=COPIA!$IG$1,INDEX(COPIA!$IB$3:$IH$18,MATCH(ROWS($B$9:B12),COPIA!$IH$3:$IH$18,0),6),IF(ROW()-8&gt;=COPIA!$IG$1+2,INDEX(COPIA!$IB$37:$IH$93,MATCH(ROW()-8-COPIA!$IH$1,COPIA!$IH$37:$IH$93,0),6),"")),"")</f>
        <v/>
      </c>
      <c r="D12" s="223" t="str">
        <f ca="1">IFERROR(SUBSTITUTE(INDEX(COPIA!$IB$19:$IH$34,MATCH(ROWS($D$9:D12),COPIA!$IH$19:$IH$34,0),1),"_"," "),"")</f>
        <v/>
      </c>
      <c r="E12" s="225" t="str">
        <f ca="1">IFERROR(INDEX(COPIA!$IB$19:$IH$34,MATCH(ROWS($D$9:E12),COPIA!$IH$19:$IH$34,0),6),"")</f>
        <v/>
      </c>
      <c r="F12" s="14"/>
    </row>
    <row r="13" spans="1:7" ht="20.100000000000001" customHeight="1">
      <c r="A13" s="14"/>
      <c r="B13" s="223" t="str">
        <f ca="1">IFERROR(IF(ROW()-8&lt;=COPIA!$IG$1,SUBSTITUTE(INDEX(COPIA!$IB$3:$IH$18,MATCH(ROWS($B$9:B13),COPIA!$IH$3:$IH$18,0),1),"_"," "),IF(ROW()-8&gt;=COPIA!$IG$1+COPIA!$IH$1,SUBSTITUTE(INDEX(COPIA!$IB$37:$IH$93,MATCH(ROW()-8-COPIA!$IH$1,COPIA!$IH$37:$IH$93,0),1),"_"," "),"")),"")</f>
        <v/>
      </c>
      <c r="C13" s="224" t="str">
        <f ca="1">IFERROR(IF(ROW()-8&lt;=COPIA!$IG$1,INDEX(COPIA!$IB$3:$IH$18,MATCH(ROWS($B$9:B13),COPIA!$IH$3:$IH$18,0),6),IF(ROW()-8&gt;=COPIA!$IG$1+2,INDEX(COPIA!$IB$37:$IH$93,MATCH(ROW()-8-COPIA!$IH$1,COPIA!$IH$37:$IH$93,0),6),"")),"")</f>
        <v/>
      </c>
      <c r="D13" s="223" t="str">
        <f ca="1">IFERROR(SUBSTITUTE(INDEX(COPIA!$IB$19:$IH$34,MATCH(ROWS($D$9:D13),COPIA!$IH$19:$IH$34,0),1),"_"," "),"")</f>
        <v/>
      </c>
      <c r="E13" s="225" t="str">
        <f ca="1">IFERROR(INDEX(COPIA!$IB$19:$IH$34,MATCH(ROWS($D$9:E13),COPIA!$IH$19:$IH$34,0),6),"")</f>
        <v/>
      </c>
      <c r="F13" s="14"/>
    </row>
    <row r="14" spans="1:7" ht="20.100000000000001" customHeight="1">
      <c r="A14" s="14"/>
      <c r="B14" s="223" t="str">
        <f ca="1">IFERROR(IF(ROW()-8&lt;=COPIA!$IG$1,SUBSTITUTE(INDEX(COPIA!$IB$3:$IH$18,MATCH(ROWS($B$9:B14),COPIA!$IH$3:$IH$18,0),1),"_"," "),IF(ROW()-8&gt;=COPIA!$IG$1+COPIA!$IH$1,SUBSTITUTE(INDEX(COPIA!$IB$37:$IH$93,MATCH(ROW()-8-COPIA!$IH$1,COPIA!$IH$37:$IH$93,0),1),"_"," "),"")),"")</f>
        <v/>
      </c>
      <c r="C14" s="224" t="str">
        <f ca="1">IFERROR(IF(ROW()-8&lt;=COPIA!$IG$1,INDEX(COPIA!$IB$3:$IH$18,MATCH(ROWS($B$9:B14),COPIA!$IH$3:$IH$18,0),6),IF(ROW()-8&gt;=COPIA!$IG$1+2,INDEX(COPIA!$IB$37:$IH$93,MATCH(ROW()-8-COPIA!$IH$1,COPIA!$IH$37:$IH$93,0),6),"")),"")</f>
        <v/>
      </c>
      <c r="D14" s="223" t="str">
        <f ca="1">IFERROR(SUBSTITUTE(INDEX(COPIA!$IB$19:$IH$34,MATCH(ROWS($D$9:D14),COPIA!$IH$19:$IH$34,0),1),"_"," "),"")</f>
        <v/>
      </c>
      <c r="E14" s="225" t="str">
        <f ca="1">IFERROR(INDEX(COPIA!$IB$19:$IH$34,MATCH(ROWS($D$9:E14),COPIA!$IH$19:$IH$34,0),6),"")</f>
        <v/>
      </c>
      <c r="F14" s="14"/>
    </row>
    <row r="15" spans="1:7" ht="20.100000000000001" customHeight="1">
      <c r="A15" s="14"/>
      <c r="B15" s="223" t="str">
        <f ca="1">IFERROR(IF(ROW()-8&lt;=COPIA!$IG$1,SUBSTITUTE(INDEX(COPIA!$IB$3:$IH$18,MATCH(ROWS($B$9:B15),COPIA!$IH$3:$IH$18,0),1),"_"," "),IF(ROW()-8&gt;=COPIA!$IG$1+COPIA!$IH$1,SUBSTITUTE(INDEX(COPIA!$IB$37:$IH$93,MATCH(ROW()-8-COPIA!$IH$1,COPIA!$IH$37:$IH$93,0),1),"_"," "),"")),"")</f>
        <v/>
      </c>
      <c r="C15" s="224" t="str">
        <f ca="1">IFERROR(IF(ROW()-8&lt;=COPIA!$IG$1,INDEX(COPIA!$IB$3:$IH$18,MATCH(ROWS($B$9:B15),COPIA!$IH$3:$IH$18,0),6),IF(ROW()-8&gt;=COPIA!$IG$1+2,INDEX(COPIA!$IB$37:$IH$93,MATCH(ROW()-8-COPIA!$IH$1,COPIA!$IH$37:$IH$93,0),6),"")),"")</f>
        <v/>
      </c>
      <c r="D15" s="223" t="str">
        <f ca="1">IFERROR(SUBSTITUTE(INDEX(COPIA!$IB$19:$IH$34,MATCH(ROWS($D$9:D15),COPIA!$IH$19:$IH$34,0),1),"_"," "),"")</f>
        <v/>
      </c>
      <c r="E15" s="225" t="str">
        <f ca="1">IFERROR(INDEX(COPIA!$IB$19:$IH$34,MATCH(ROWS($D$9:E15),COPIA!$IH$19:$IH$34,0),6),"")</f>
        <v/>
      </c>
      <c r="F15" s="14"/>
    </row>
    <row r="16" spans="1:7" ht="20.100000000000001" customHeight="1">
      <c r="A16" s="14"/>
      <c r="B16" s="223" t="str">
        <f ca="1">IFERROR(IF(ROW()-8&lt;=COPIA!$IG$1,SUBSTITUTE(INDEX(COPIA!$IB$3:$IH$18,MATCH(ROWS($B$9:B16),COPIA!$IH$3:$IH$18,0),1),"_"," "),IF(ROW()-8&gt;=COPIA!$IG$1+COPIA!$IH$1,SUBSTITUTE(INDEX(COPIA!$IB$37:$IH$93,MATCH(ROW()-8-COPIA!$IH$1,COPIA!$IH$37:$IH$93,0),1),"_"," "),"")),"")</f>
        <v/>
      </c>
      <c r="C16" s="224" t="str">
        <f ca="1">IFERROR(IF(ROW()-8&lt;=COPIA!$IG$1,INDEX(COPIA!$IB$3:$IH$18,MATCH(ROWS($B$9:B16),COPIA!$IH$3:$IH$18,0),6),IF(ROW()-8&gt;=COPIA!$IG$1+2,INDEX(COPIA!$IB$37:$IH$93,MATCH(ROW()-8-COPIA!$IH$1,COPIA!$IH$37:$IH$93,0),6),"")),"")</f>
        <v/>
      </c>
      <c r="D16" s="223" t="str">
        <f ca="1">IFERROR(SUBSTITUTE(INDEX(COPIA!$IB$19:$IH$34,MATCH(ROWS($D$9:D16),COPIA!$IH$19:$IH$34,0),1),"_"," "),"")</f>
        <v/>
      </c>
      <c r="E16" s="225" t="str">
        <f ca="1">IFERROR(INDEX(COPIA!$IB$19:$IH$34,MATCH(ROWS($D$9:E16),COPIA!$IH$19:$IH$34,0),6),"")</f>
        <v/>
      </c>
      <c r="F16" s="14"/>
    </row>
    <row r="17" spans="1:6" ht="20.100000000000001" customHeight="1">
      <c r="A17" s="14"/>
      <c r="B17" s="223" t="str">
        <f ca="1">IFERROR(IF(ROW()-8&lt;=COPIA!$IG$1,SUBSTITUTE(INDEX(COPIA!$IB$3:$IH$18,MATCH(ROWS($B$9:B17),COPIA!$IH$3:$IH$18,0),1),"_"," "),IF(ROW()-8&gt;=COPIA!$IG$1+COPIA!$IH$1,SUBSTITUTE(INDEX(COPIA!$IB$37:$IH$93,MATCH(ROW()-8-COPIA!$IH$1,COPIA!$IH$37:$IH$93,0),1),"_"," "),"")),"")</f>
        <v/>
      </c>
      <c r="C17" s="224" t="str">
        <f ca="1">IFERROR(IF(ROW()-8&lt;=COPIA!$IG$1,INDEX(COPIA!$IB$3:$IH$18,MATCH(ROWS($B$9:B17),COPIA!$IH$3:$IH$18,0),6),IF(ROW()-8&gt;=COPIA!$IG$1+2,INDEX(COPIA!$IB$37:$IH$93,MATCH(ROW()-8-COPIA!$IH$1,COPIA!$IH$37:$IH$93,0),6),"")),"")</f>
        <v/>
      </c>
      <c r="D17" s="223" t="str">
        <f ca="1">IFERROR(SUBSTITUTE(INDEX(COPIA!$IB$19:$IH$34,MATCH(ROWS($D$9:D17),COPIA!$IH$19:$IH$34,0),1),"_"," "),"")</f>
        <v/>
      </c>
      <c r="E17" s="225" t="str">
        <f ca="1">IFERROR(INDEX(COPIA!$IB$19:$IH$34,MATCH(ROWS($D$9:E17),COPIA!$IH$19:$IH$34,0),6),"")</f>
        <v/>
      </c>
      <c r="F17" s="14"/>
    </row>
    <row r="18" spans="1:6" ht="20.100000000000001" customHeight="1">
      <c r="A18" s="14"/>
      <c r="B18" s="223" t="str">
        <f ca="1">IFERROR(IF(ROW()-8&lt;=COPIA!$IG$1,SUBSTITUTE(INDEX(COPIA!$IB$3:$IH$18,MATCH(ROWS($B$9:B18),COPIA!$IH$3:$IH$18,0),1),"_"," "),IF(ROW()-8&gt;=COPIA!$IG$1+COPIA!$IH$1,SUBSTITUTE(INDEX(COPIA!$IB$37:$IH$93,MATCH(ROW()-8-COPIA!$IH$1,COPIA!$IH$37:$IH$93,0),1),"_"," "),"")),"")</f>
        <v/>
      </c>
      <c r="C18" s="224" t="str">
        <f ca="1">IFERROR(IF(ROW()-8&lt;=COPIA!$IG$1,INDEX(COPIA!$IB$3:$IH$18,MATCH(ROWS($B$9:B18),COPIA!$IH$3:$IH$18,0),6),IF(ROW()-8&gt;=COPIA!$IG$1+2,INDEX(COPIA!$IB$37:$IH$93,MATCH(ROW()-8-COPIA!$IH$1,COPIA!$IH$37:$IH$93,0),6),"")),"")</f>
        <v/>
      </c>
      <c r="D18" s="223" t="str">
        <f ca="1">IFERROR(SUBSTITUTE(INDEX(COPIA!$IB$19:$IH$34,MATCH(ROWS($D$9:D18),COPIA!$IH$19:$IH$34,0),1),"_"," "),"")</f>
        <v/>
      </c>
      <c r="E18" s="225" t="str">
        <f ca="1">IFERROR(INDEX(COPIA!$IB$19:$IH$34,MATCH(ROWS($D$9:E18),COPIA!$IH$19:$IH$34,0),6),"")</f>
        <v/>
      </c>
      <c r="F18" s="14"/>
    </row>
    <row r="19" spans="1:6" ht="20.100000000000001" customHeight="1">
      <c r="A19" s="14"/>
      <c r="B19" s="223" t="str">
        <f ca="1">IFERROR(IF(ROW()-8&lt;=COPIA!$IG$1,SUBSTITUTE(INDEX(COPIA!$IB$3:$IH$18,MATCH(ROWS($B$9:B19),COPIA!$IH$3:$IH$18,0),1),"_"," "),IF(ROW()-8&gt;=COPIA!$IG$1+COPIA!$IH$1,SUBSTITUTE(INDEX(COPIA!$IB$37:$IH$93,MATCH(ROW()-8-COPIA!$IH$1,COPIA!$IH$37:$IH$93,0),1),"_"," "),"")),"")</f>
        <v/>
      </c>
      <c r="C19" s="224" t="str">
        <f ca="1">IFERROR(IF(ROW()-8&lt;=COPIA!$IG$1,INDEX(COPIA!$IB$3:$IH$18,MATCH(ROWS($B$9:B19),COPIA!$IH$3:$IH$18,0),6),IF(ROW()-8&gt;=COPIA!$IG$1+2,INDEX(COPIA!$IB$37:$IH$93,MATCH(ROW()-8-COPIA!$IH$1,COPIA!$IH$37:$IH$93,0),6),"")),"")</f>
        <v/>
      </c>
      <c r="D19" s="223" t="str">
        <f ca="1">IFERROR(SUBSTITUTE(INDEX(COPIA!$IB$19:$IH$34,MATCH(ROWS($D$9:D19),COPIA!$IH$19:$IH$34,0),1),"_"," "),"")</f>
        <v/>
      </c>
      <c r="E19" s="225" t="str">
        <f ca="1">IFERROR(INDEX(COPIA!$IB$19:$IH$34,MATCH(ROWS($D$9:E19),COPIA!$IH$19:$IH$34,0),6),"")</f>
        <v/>
      </c>
      <c r="F19" s="14"/>
    </row>
    <row r="20" spans="1:6" ht="20.100000000000001" customHeight="1">
      <c r="A20" s="14"/>
      <c r="B20" s="223" t="str">
        <f ca="1">IFERROR(IF(ROW()-8&lt;=COPIA!$IG$1,SUBSTITUTE(INDEX(COPIA!$IB$3:$IH$18,MATCH(ROWS($B$9:B20),COPIA!$IH$3:$IH$18,0),1),"_"," "),IF(ROW()-8&gt;=COPIA!$IG$1+COPIA!$IH$1,SUBSTITUTE(INDEX(COPIA!$IB$37:$IH$93,MATCH(ROW()-8-COPIA!$IH$1,COPIA!$IH$37:$IH$93,0),1),"_"," "),"")),"")</f>
        <v/>
      </c>
      <c r="C20" s="224" t="str">
        <f ca="1">IFERROR(IF(ROW()-8&lt;=COPIA!$IG$1,INDEX(COPIA!$IB$3:$IH$18,MATCH(ROWS($B$9:B20),COPIA!$IH$3:$IH$18,0),6),IF(ROW()-8&gt;=COPIA!$IG$1+2,INDEX(COPIA!$IB$37:$IH$93,MATCH(ROW()-8-COPIA!$IH$1,COPIA!$IH$37:$IH$93,0),6),"")),"")</f>
        <v/>
      </c>
      <c r="D20" s="223" t="str">
        <f ca="1">IFERROR(SUBSTITUTE(INDEX(COPIA!$IB$19:$IH$34,MATCH(ROWS($D$9:D20),COPIA!$IH$19:$IH$34,0),1),"_"," "),"")</f>
        <v/>
      </c>
      <c r="E20" s="225" t="str">
        <f ca="1">IFERROR(INDEX(COPIA!$IB$19:$IH$34,MATCH(ROWS($D$9:E20),COPIA!$IH$19:$IH$34,0),6),"")</f>
        <v/>
      </c>
      <c r="F20" s="14"/>
    </row>
    <row r="21" spans="1:6" ht="20.100000000000001" customHeight="1">
      <c r="A21" s="14"/>
      <c r="B21" s="223" t="str">
        <f ca="1">IFERROR(IF(ROW()-8&lt;=COPIA!$IG$1,SUBSTITUTE(INDEX(COPIA!$IB$3:$IH$18,MATCH(ROWS($B$9:B21),COPIA!$IH$3:$IH$18,0),1),"_"," "),IF(ROW()-8&gt;=COPIA!$IG$1+COPIA!$IH$1,SUBSTITUTE(INDEX(COPIA!$IB$37:$IH$93,MATCH(ROW()-8-COPIA!$IH$1,COPIA!$IH$37:$IH$93,0),1),"_"," "),"")),"")</f>
        <v/>
      </c>
      <c r="C21" s="224" t="str">
        <f ca="1">IFERROR(IF(ROW()-8&lt;=COPIA!$IG$1,INDEX(COPIA!$IB$3:$IH$18,MATCH(ROWS($B$9:B21),COPIA!$IH$3:$IH$18,0),6),IF(ROW()-8&gt;=COPIA!$IG$1+2,INDEX(COPIA!$IB$37:$IH$93,MATCH(ROW()-8-COPIA!$IH$1,COPIA!$IH$37:$IH$93,0),6),"")),"")</f>
        <v/>
      </c>
      <c r="D21" s="223" t="str">
        <f ca="1">IFERROR(SUBSTITUTE(INDEX(COPIA!$IB$19:$IH$34,MATCH(ROWS($D$9:D21),COPIA!$IH$19:$IH$34,0),1),"_"," "),"")</f>
        <v/>
      </c>
      <c r="E21" s="225" t="str">
        <f ca="1">IFERROR(INDEX(COPIA!$IB$19:$IH$34,MATCH(ROWS($D$9:E21),COPIA!$IH$19:$IH$34,0),6),"")</f>
        <v/>
      </c>
      <c r="F21" s="14"/>
    </row>
    <row r="22" spans="1:6" ht="20.100000000000001" customHeight="1">
      <c r="A22" s="14"/>
      <c r="B22" s="223" t="str">
        <f ca="1">IFERROR(IF(ROW()-8&lt;=COPIA!$IG$1,SUBSTITUTE(INDEX(COPIA!$IB$3:$IH$18,MATCH(ROWS($B$9:B22),COPIA!$IH$3:$IH$18,0),1),"_"," "),IF(ROW()-8&gt;=COPIA!$IG$1+COPIA!$IH$1,SUBSTITUTE(INDEX(COPIA!$IB$37:$IH$93,MATCH(ROW()-8-COPIA!$IH$1,COPIA!$IH$37:$IH$93,0),1),"_"," "),"")),"")</f>
        <v/>
      </c>
      <c r="C22" s="224" t="str">
        <f ca="1">IFERROR(IF(ROW()-8&lt;=COPIA!$IG$1,INDEX(COPIA!$IB$3:$IH$18,MATCH(ROWS($B$9:B22),COPIA!$IH$3:$IH$18,0),6),IF(ROW()-8&gt;=COPIA!$IG$1+2,INDEX(COPIA!$IB$37:$IH$93,MATCH(ROW()-8-COPIA!$IH$1,COPIA!$IH$37:$IH$93,0),6),"")),"")</f>
        <v/>
      </c>
      <c r="D22" s="223" t="str">
        <f ca="1">IFERROR(SUBSTITUTE(INDEX(COPIA!$IB$19:$IH$34,MATCH(ROWS($D$9:D22),COPIA!$IH$19:$IH$34,0),1),"_"," "),"")</f>
        <v/>
      </c>
      <c r="E22" s="225" t="str">
        <f ca="1">IFERROR(INDEX(COPIA!$IB$19:$IH$34,MATCH(ROWS($D$9:E22),COPIA!$IH$19:$IH$34,0),6),"")</f>
        <v/>
      </c>
      <c r="F22" s="14"/>
    </row>
    <row r="23" spans="1:6" ht="20.100000000000001" customHeight="1">
      <c r="A23" s="14"/>
      <c r="B23" s="223" t="str">
        <f ca="1">IFERROR(IF(ROW()-8&lt;=COPIA!$IG$1,SUBSTITUTE(INDEX(COPIA!$IB$3:$IH$18,MATCH(ROWS($B$9:B23),COPIA!$IH$3:$IH$18,0),1),"_"," "),IF(ROW()-8&gt;=COPIA!$IG$1+COPIA!$IH$1,SUBSTITUTE(INDEX(COPIA!$IB$37:$IH$93,MATCH(ROW()-8-COPIA!$IH$1,COPIA!$IH$37:$IH$93,0),1),"_"," "),"")),"")</f>
        <v/>
      </c>
      <c r="C23" s="224" t="str">
        <f ca="1">IFERROR(IF(ROW()-8&lt;=COPIA!$IG$1,INDEX(COPIA!$IB$3:$IH$18,MATCH(ROWS($B$9:B23),COPIA!$IH$3:$IH$18,0),6),IF(ROW()-8&gt;=COPIA!$IG$1+2,INDEX(COPIA!$IB$37:$IH$93,MATCH(ROW()-8-COPIA!$IH$1,COPIA!$IH$37:$IH$93,0),6),"")),"")</f>
        <v/>
      </c>
      <c r="D23" s="223" t="str">
        <f ca="1">IFERROR(SUBSTITUTE(INDEX(COPIA!$IB$19:$IH$34,MATCH(ROWS($D$9:D23),COPIA!$IH$19:$IH$34,0),1),"_"," "),"")</f>
        <v/>
      </c>
      <c r="E23" s="225" t="str">
        <f ca="1">IFERROR(INDEX(COPIA!$IB$19:$IH$34,MATCH(ROWS($D$9:E23),COPIA!$IH$19:$IH$34,0),6),"")</f>
        <v/>
      </c>
      <c r="F23" s="14"/>
    </row>
    <row r="24" spans="1:6" ht="20.100000000000001" customHeight="1">
      <c r="A24" s="14"/>
      <c r="B24" s="223" t="str">
        <f ca="1">IFERROR(IF(ROW()-8&lt;=COPIA!$IG$1,SUBSTITUTE(INDEX(COPIA!$IB$3:$IH$18,MATCH(ROWS($B$9:B24),COPIA!$IH$3:$IH$18,0),1),"_"," "),IF(ROW()-8&gt;=COPIA!$IG$1+COPIA!$IH$1,SUBSTITUTE(INDEX(COPIA!$IB$37:$IH$93,MATCH(ROW()-8-COPIA!$IH$1,COPIA!$IH$37:$IH$93,0),1),"_"," "),"")),"")</f>
        <v/>
      </c>
      <c r="C24" s="224" t="str">
        <f ca="1">IFERROR(IF(ROW()-8&lt;=COPIA!$IG$1,INDEX(COPIA!$IB$3:$IH$18,MATCH(ROWS($B$9:B24),COPIA!$IH$3:$IH$18,0),6),IF(ROW()-8&gt;=COPIA!$IG$1+2,INDEX(COPIA!$IB$37:$IH$93,MATCH(ROW()-8-COPIA!$IH$1,COPIA!$IH$37:$IH$93,0),6),"")),"")</f>
        <v/>
      </c>
      <c r="D24" s="223" t="str">
        <f ca="1">IFERROR(SUBSTITUTE(INDEX(COPIA!$IB$19:$IH$34,MATCH(ROWS($D$9:D24),COPIA!$IH$19:$IH$34,0),1),"_"," "),"")</f>
        <v/>
      </c>
      <c r="E24" s="225" t="str">
        <f ca="1">IFERROR(INDEX(COPIA!$IB$19:$IH$34,MATCH(ROWS($D$9:E24),COPIA!$IH$19:$IH$34,0),6),"")</f>
        <v/>
      </c>
      <c r="F24" s="14"/>
    </row>
    <row r="25" spans="1:6" ht="20.100000000000001" customHeight="1">
      <c r="A25" s="14"/>
      <c r="B25" s="223" t="str">
        <f ca="1">IFERROR(IF(ROW()-8&lt;=COPIA!$IG$1,SUBSTITUTE(INDEX(COPIA!$IB$3:$IH$18,MATCH(ROWS($B$9:B25),COPIA!$IH$3:$IH$18,0),1),"_"," "),IF(ROW()-8&gt;=COPIA!$IG$1+COPIA!$IH$1,SUBSTITUTE(INDEX(COPIA!$IB$37:$IH$93,MATCH(ROW()-8-COPIA!$IH$1,COPIA!$IH$37:$IH$93,0),1),"_"," "),"")),"")</f>
        <v/>
      </c>
      <c r="C25" s="224" t="str">
        <f ca="1">IFERROR(IF(ROW()-8&lt;=COPIA!$IG$1,INDEX(COPIA!$IB$3:$IH$18,MATCH(ROWS($B$9:B25),COPIA!$IH$3:$IH$18,0),6),IF(ROW()-8&gt;=COPIA!$IG$1+2,INDEX(COPIA!$IB$37:$IH$93,MATCH(ROW()-8-COPIA!$IH$1,COPIA!$IH$37:$IH$93,0),6),"")),"")</f>
        <v/>
      </c>
      <c r="D25" s="223" t="str">
        <f ca="1">IFERROR(SUBSTITUTE(INDEX(COPIA!$IB$19:$IH$34,MATCH(ROWS($D$9:D25),COPIA!$IH$19:$IH$34,0),1),"_"," "),"")</f>
        <v/>
      </c>
      <c r="E25" s="225" t="str">
        <f ca="1">IFERROR(INDEX(COPIA!$IB$19:$IH$34,MATCH(ROWS($D$9:E25),COPIA!$IH$19:$IH$34,0),6),"")</f>
        <v/>
      </c>
      <c r="F25" s="14"/>
    </row>
    <row r="26" spans="1:6" ht="20.100000000000001" customHeight="1">
      <c r="A26" s="14"/>
      <c r="B26" s="223" t="str">
        <f ca="1">IFERROR(IF(ROW()-8&lt;=COPIA!$IG$1,SUBSTITUTE(INDEX(COPIA!$IB$3:$IH$18,MATCH(ROWS($B$9:B26),COPIA!$IH$3:$IH$18,0),1),"_"," "),IF(ROW()-8&gt;=COPIA!$IG$1+COPIA!$IH$1,SUBSTITUTE(INDEX(COPIA!$IB$37:$IH$93,MATCH(ROW()-8-COPIA!$IH$1,COPIA!$IH$37:$IH$93,0),1),"_"," "),"")),"")</f>
        <v/>
      </c>
      <c r="C26" s="224" t="str">
        <f ca="1">IFERROR(IF(ROW()-8&lt;=COPIA!$IG$1,INDEX(COPIA!$IB$3:$IH$18,MATCH(ROWS($B$9:B26),COPIA!$IH$3:$IH$18,0),6),IF(ROW()-8&gt;=COPIA!$IG$1+2,INDEX(COPIA!$IB$37:$IH$93,MATCH(ROW()-8-COPIA!$IH$1,COPIA!$IH$37:$IH$93,0),6),"")),"")</f>
        <v/>
      </c>
      <c r="D26" s="223" t="str">
        <f ca="1">IFERROR(SUBSTITUTE(INDEX(COPIA!$IB$19:$IH$34,MATCH(ROWS($D$9:D26),COPIA!$IH$19:$IH$34,0),1),"_"," "),"")</f>
        <v/>
      </c>
      <c r="E26" s="225" t="str">
        <f ca="1">IFERROR(INDEX(COPIA!$IB$19:$IH$34,MATCH(ROWS($D$9:E26),COPIA!$IH$19:$IH$34,0),6),"")</f>
        <v/>
      </c>
      <c r="F26" s="14"/>
    </row>
    <row r="27" spans="1:6" ht="20.100000000000001" customHeight="1">
      <c r="A27" s="14"/>
      <c r="B27" s="223" t="str">
        <f ca="1">IFERROR(IF(ROW()-8&lt;=COPIA!$IG$1,SUBSTITUTE(INDEX(COPIA!$IB$3:$IH$18,MATCH(ROWS($B$9:B27),COPIA!$IH$3:$IH$18,0),1),"_"," "),IF(ROW()-8&gt;=COPIA!$IG$1+COPIA!$IH$1,SUBSTITUTE(INDEX(COPIA!$IB$37:$IH$93,MATCH(ROW()-8-COPIA!$IH$1,COPIA!$IH$37:$IH$93,0),1),"_"," "),"")),"")</f>
        <v/>
      </c>
      <c r="C27" s="224" t="str">
        <f ca="1">IFERROR(IF(ROW()-8&lt;=COPIA!$IG$1,INDEX(COPIA!$IB$3:$IH$18,MATCH(ROWS($B$9:B27),COPIA!$IH$3:$IH$18,0),6),IF(ROW()-8&gt;=COPIA!$IG$1+2,INDEX(COPIA!$IB$37:$IH$93,MATCH(ROW()-8-COPIA!$IH$1,COPIA!$IH$37:$IH$93,0),6),"")),"")</f>
        <v/>
      </c>
      <c r="D27" s="223" t="str">
        <f ca="1">IFERROR(SUBSTITUTE(INDEX(COPIA!$IB$19:$IH$34,MATCH(ROWS($D$9:D27),COPIA!$IH$19:$IH$34,0),1),"_"," "),"")</f>
        <v/>
      </c>
      <c r="E27" s="225" t="str">
        <f ca="1">IFERROR(INDEX(COPIA!$IB$19:$IH$34,MATCH(ROWS($D$9:E27),COPIA!$IH$19:$IH$34,0),6),"")</f>
        <v/>
      </c>
      <c r="F27" s="14"/>
    </row>
    <row r="28" spans="1:6" ht="20.100000000000001" customHeight="1">
      <c r="A28" s="14"/>
      <c r="B28" s="223" t="str">
        <f ca="1">IFERROR(IF(ROW()-8&lt;=COPIA!$IG$1,SUBSTITUTE(INDEX(COPIA!$IB$3:$IH$18,MATCH(ROWS($B$9:B28),COPIA!$IH$3:$IH$18,0),1),"_"," "),IF(ROW()-8&gt;=COPIA!$IG$1+COPIA!$IH$1,SUBSTITUTE(INDEX(COPIA!$IB$37:$IH$93,MATCH(ROW()-8-COPIA!$IH$1,COPIA!$IH$37:$IH$93,0),1),"_"," "),"")),"")</f>
        <v/>
      </c>
      <c r="C28" s="224" t="str">
        <f ca="1">IFERROR(IF(ROW()-8&lt;=COPIA!$IG$1,INDEX(COPIA!$IB$3:$IH$18,MATCH(ROWS($B$9:B28),COPIA!$IH$3:$IH$18,0),6),IF(ROW()-8&gt;=COPIA!$IG$1+2,INDEX(COPIA!$IB$37:$IH$93,MATCH(ROW()-8-COPIA!$IH$1,COPIA!$IH$37:$IH$93,0),6),"")),"")</f>
        <v/>
      </c>
      <c r="D28" s="223" t="str">
        <f ca="1">IFERROR(SUBSTITUTE(INDEX(COPIA!$IB$19:$IH$34,MATCH(ROWS($D$9:D28),COPIA!$IH$19:$IH$34,0),1),"_"," "),"")</f>
        <v/>
      </c>
      <c r="E28" s="225" t="str">
        <f ca="1">IFERROR(INDEX(COPIA!$IB$19:$IH$34,MATCH(ROWS($D$9:E28),COPIA!$IH$19:$IH$34,0),6),"")</f>
        <v/>
      </c>
      <c r="F28" s="14"/>
    </row>
    <row r="29" spans="1:6" ht="20.100000000000001" customHeight="1">
      <c r="A29" s="14"/>
      <c r="B29" s="223" t="str">
        <f ca="1">IFERROR(IF(ROW()-8&lt;=COPIA!$IG$1,SUBSTITUTE(INDEX(COPIA!$IB$3:$IH$18,MATCH(ROWS($B$9:B29),COPIA!$IH$3:$IH$18,0),1),"_"," "),IF(ROW()-8&gt;=COPIA!$IG$1+COPIA!$IH$1,SUBSTITUTE(INDEX(COPIA!$IB$37:$IH$93,MATCH(ROW()-8-COPIA!$IH$1,COPIA!$IH$37:$IH$93,0),1),"_"," "),"")),"")</f>
        <v/>
      </c>
      <c r="C29" s="224" t="str">
        <f ca="1">IFERROR(IF(ROW()-8&lt;=COPIA!$IG$1,INDEX(COPIA!$IB$3:$IH$18,MATCH(ROWS($B$9:B29),COPIA!$IH$3:$IH$18,0),6),IF(ROW()-8&gt;=COPIA!$IG$1+2,INDEX(COPIA!$IB$37:$IH$93,MATCH(ROW()-8-COPIA!$IH$1,COPIA!$IH$37:$IH$93,0),6),"")),"")</f>
        <v/>
      </c>
      <c r="D29" s="223" t="str">
        <f ca="1">IFERROR(SUBSTITUTE(INDEX(COPIA!$IB$19:$IH$34,MATCH(ROWS($D$9:D29),COPIA!$IH$19:$IH$34,0),1),"_"," "),"")</f>
        <v/>
      </c>
      <c r="E29" s="225" t="str">
        <f ca="1">IFERROR(INDEX(COPIA!$IB$19:$IH$34,MATCH(ROWS($D$9:E29),COPIA!$IH$19:$IH$34,0),6),"")</f>
        <v/>
      </c>
      <c r="F29" s="14"/>
    </row>
    <row r="30" spans="1:6" ht="20.100000000000001" customHeight="1">
      <c r="A30" s="14"/>
      <c r="B30" s="223" t="str">
        <f ca="1">IFERROR(IF(ROW()-8&lt;=COPIA!$IG$1,SUBSTITUTE(INDEX(COPIA!$IB$3:$IH$18,MATCH(ROWS($B$9:B30),COPIA!$IH$3:$IH$18,0),1),"_"," "),IF(ROW()-8&gt;=COPIA!$IG$1+COPIA!$IH$1,SUBSTITUTE(INDEX(COPIA!$IB$37:$IH$93,MATCH(ROW()-8-COPIA!$IH$1,COPIA!$IH$37:$IH$93,0),1),"_"," "),"")),"")</f>
        <v/>
      </c>
      <c r="C30" s="224" t="str">
        <f ca="1">IFERROR(IF(ROW()-8&lt;=COPIA!$IG$1,INDEX(COPIA!$IB$3:$IH$18,MATCH(ROWS($B$9:B30),COPIA!$IH$3:$IH$18,0),6),IF(ROW()-8&gt;=COPIA!$IG$1+2,INDEX(COPIA!$IB$37:$IH$93,MATCH(ROW()-8-COPIA!$IH$1,COPIA!$IH$37:$IH$93,0),6),"")),"")</f>
        <v/>
      </c>
      <c r="D30" s="223" t="str">
        <f ca="1">IFERROR(SUBSTITUTE(INDEX(COPIA!$IB$19:$IH$34,MATCH(ROWS($D$9:D30),COPIA!$IH$19:$IH$34,0),1),"_"," "),"")</f>
        <v/>
      </c>
      <c r="E30" s="225" t="str">
        <f ca="1">IFERROR(INDEX(COPIA!$IB$19:$IH$34,MATCH(ROWS($D$9:E30),COPIA!$IH$19:$IH$34,0),6),"")</f>
        <v/>
      </c>
      <c r="F30" s="14"/>
    </row>
    <row r="31" spans="1:6" ht="20.100000000000001" customHeight="1">
      <c r="A31" s="14"/>
      <c r="B31" s="223" t="str">
        <f ca="1">IFERROR(IF(ROW()-8&lt;=COPIA!$IG$1,SUBSTITUTE(INDEX(COPIA!$IB$3:$IH$18,MATCH(ROWS($B$9:B31),COPIA!$IH$3:$IH$18,0),1),"_"," "),IF(ROW()-8&gt;=COPIA!$IG$1+COPIA!$IH$1,SUBSTITUTE(INDEX(COPIA!$IB$37:$IH$93,MATCH(ROW()-8-COPIA!$IH$1,COPIA!$IH$37:$IH$93,0),1),"_"," "),"")),"")</f>
        <v/>
      </c>
      <c r="C31" s="224" t="str">
        <f ca="1">IFERROR(IF(ROW()-8&lt;=COPIA!$IG$1,INDEX(COPIA!$IB$3:$IH$18,MATCH(ROWS($B$9:B31),COPIA!$IH$3:$IH$18,0),6),IF(ROW()-8&gt;=COPIA!$IG$1+2,INDEX(COPIA!$IB$37:$IH$93,MATCH(ROW()-8-COPIA!$IH$1,COPIA!$IH$37:$IH$93,0),6),"")),"")</f>
        <v/>
      </c>
      <c r="D31" s="223" t="str">
        <f ca="1">IFERROR(SUBSTITUTE(INDEX(COPIA!$IB$19:$IH$34,MATCH(ROWS($D$9:D31),COPIA!$IH$19:$IH$34,0),1),"_"," "),"")</f>
        <v/>
      </c>
      <c r="E31" s="225" t="str">
        <f ca="1">IFERROR(INDEX(COPIA!$IB$19:$IH$34,MATCH(ROWS($D$9:E31),COPIA!$IH$19:$IH$34,0),6),"")</f>
        <v/>
      </c>
      <c r="F31" s="14"/>
    </row>
    <row r="32" spans="1:6" ht="20.100000000000001" customHeight="1">
      <c r="A32" s="14"/>
      <c r="B32" s="223" t="str">
        <f ca="1">IFERROR(IF(ROW()-8&lt;=COPIA!$IG$1,SUBSTITUTE(INDEX(COPIA!$IB$3:$IH$18,MATCH(ROWS($B$9:B32),COPIA!$IH$3:$IH$18,0),1),"_"," "),IF(ROW()-8&gt;=COPIA!$IG$1+COPIA!$IH$1,SUBSTITUTE(INDEX(COPIA!$IB$37:$IH$93,MATCH(ROW()-8-COPIA!$IH$1,COPIA!$IH$37:$IH$93,0),1),"_"," "),"")),"")</f>
        <v/>
      </c>
      <c r="C32" s="224" t="str">
        <f ca="1">IFERROR(IF(ROW()-8&lt;=COPIA!$IG$1,INDEX(COPIA!$IB$3:$IH$18,MATCH(ROWS($B$9:B32),COPIA!$IH$3:$IH$18,0),6),IF(ROW()-8&gt;=COPIA!$IG$1+2,INDEX(COPIA!$IB$37:$IH$93,MATCH(ROW()-8-COPIA!$IH$1,COPIA!$IH$37:$IH$93,0),6),"")),"")</f>
        <v/>
      </c>
      <c r="D32" s="223" t="str">
        <f ca="1">IFERROR(SUBSTITUTE(INDEX(COPIA!$IB$19:$IH$34,MATCH(ROWS($D$9:D32),COPIA!$IH$19:$IH$34,0),1),"_"," "),"")</f>
        <v/>
      </c>
      <c r="E32" s="225" t="str">
        <f ca="1">IFERROR(INDEX(COPIA!$IB$19:$IH$34,MATCH(ROWS($D$9:E32),COPIA!$IH$19:$IH$34,0),6),"")</f>
        <v/>
      </c>
      <c r="F32" s="14"/>
    </row>
    <row r="33" spans="1:6" ht="20.100000000000001" customHeight="1">
      <c r="A33" s="14"/>
      <c r="B33" s="223" t="str">
        <f ca="1">IFERROR(IF(ROW()-8&lt;=COPIA!$IG$1,SUBSTITUTE(INDEX(COPIA!$IB$3:$IH$18,MATCH(ROWS($B$9:B33),COPIA!$IH$3:$IH$18,0),1),"_"," "),IF(ROW()-8&gt;=COPIA!$IG$1+COPIA!$IH$1,SUBSTITUTE(INDEX(COPIA!$IB$37:$IH$93,MATCH(ROW()-8-COPIA!$IH$1,COPIA!$IH$37:$IH$93,0),1),"_"," "),"")),"")</f>
        <v/>
      </c>
      <c r="C33" s="224" t="str">
        <f ca="1">IFERROR(IF(ROW()-8&lt;=COPIA!$IG$1,INDEX(COPIA!$IB$3:$IH$18,MATCH(ROWS($B$9:B33),COPIA!$IH$3:$IH$18,0),6),IF(ROW()-8&gt;=COPIA!$IG$1+2,INDEX(COPIA!$IB$37:$IH$93,MATCH(ROW()-8-COPIA!$IH$1,COPIA!$IH$37:$IH$93,0),6),"")),"")</f>
        <v/>
      </c>
      <c r="D33" s="223" t="str">
        <f ca="1">IFERROR(SUBSTITUTE(INDEX(COPIA!$IB$19:$IH$34,MATCH(ROWS($D$9:D33),COPIA!$IH$19:$IH$34,0),1),"_"," "),"")</f>
        <v/>
      </c>
      <c r="E33" s="225" t="str">
        <f ca="1">IFERROR(INDEX(COPIA!$IB$19:$IH$34,MATCH(ROWS($D$9:E33),COPIA!$IH$19:$IH$34,0),6),"")</f>
        <v/>
      </c>
      <c r="F33" s="14"/>
    </row>
    <row r="34" spans="1:6" ht="20.100000000000001" customHeight="1">
      <c r="A34" s="14"/>
      <c r="B34" s="223" t="str">
        <f ca="1">IFERROR(IF(ROW()-8&lt;=COPIA!$IG$1,SUBSTITUTE(INDEX(COPIA!$IB$3:$IH$18,MATCH(ROWS($B$9:B34),COPIA!$IH$3:$IH$18,0),1),"_"," "),IF(ROW()-8&gt;=COPIA!$IG$1+COPIA!$IH$1,SUBSTITUTE(INDEX(COPIA!$IB$37:$IH$93,MATCH(ROW()-8-COPIA!$IH$1,COPIA!$IH$37:$IH$93,0),1),"_"," "),"")),"")</f>
        <v/>
      </c>
      <c r="C34" s="224" t="str">
        <f ca="1">IFERROR(IF(ROW()-8&lt;=COPIA!$IG$1,INDEX(COPIA!$IB$3:$IH$18,MATCH(ROWS($B$9:B34),COPIA!$IH$3:$IH$18,0),6),IF(ROW()-8&gt;=COPIA!$IG$1+2,INDEX(COPIA!$IB$37:$IH$93,MATCH(ROW()-8-COPIA!$IH$1,COPIA!$IH$37:$IH$93,0),6),"")),"")</f>
        <v/>
      </c>
      <c r="D34" s="223" t="str">
        <f ca="1">IFERROR(SUBSTITUTE(INDEX(COPIA!$IB$19:$IH$34,MATCH(ROWS($D$9:D34),COPIA!$IH$19:$IH$34,0),1),"_"," "),"")</f>
        <v/>
      </c>
      <c r="E34" s="225" t="str">
        <f ca="1">IFERROR(INDEX(COPIA!$IB$19:$IH$34,MATCH(ROWS($D$9:E34),COPIA!$IH$19:$IH$34,0),6),"")</f>
        <v/>
      </c>
      <c r="F34" s="14"/>
    </row>
    <row r="35" spans="1:6" ht="20.100000000000001" customHeight="1">
      <c r="A35" s="14"/>
      <c r="B35" s="223" t="str">
        <f ca="1">IFERROR(IF(ROW()-8&lt;=COPIA!$IG$1,SUBSTITUTE(INDEX(COPIA!$IB$3:$IH$18,MATCH(ROWS($B$9:B35),COPIA!$IH$3:$IH$18,0),1),"_"," "),IF(ROW()-8&gt;=COPIA!$IG$1+COPIA!$IH$1,SUBSTITUTE(INDEX(COPIA!$IB$37:$IH$93,MATCH(ROW()-8-COPIA!$IH$1,COPIA!$IH$37:$IH$93,0),1),"_"," "),"")),"")</f>
        <v/>
      </c>
      <c r="C35" s="224" t="str">
        <f ca="1">IFERROR(IF(ROW()-8&lt;=COPIA!$IG$1,INDEX(COPIA!$IB$3:$IH$18,MATCH(ROWS($B$9:B35),COPIA!$IH$3:$IH$18,0),6),IF(ROW()-8&gt;=COPIA!$IG$1+2,INDEX(COPIA!$IB$37:$IH$93,MATCH(ROW()-8-COPIA!$IH$1,COPIA!$IH$37:$IH$93,0),6),"")),"")</f>
        <v/>
      </c>
      <c r="D35" s="223" t="str">
        <f ca="1">IFERROR(SUBSTITUTE(INDEX(COPIA!$IB$19:$IH$34,MATCH(ROWS($D$9:D35),COPIA!$IH$19:$IH$34,0),1),"_"," "),"")</f>
        <v/>
      </c>
      <c r="E35" s="225" t="str">
        <f ca="1">IFERROR(INDEX(COPIA!$IB$19:$IH$34,MATCH(ROWS($D$9:E35),COPIA!$IH$19:$IH$34,0),6),"")</f>
        <v/>
      </c>
      <c r="F35" s="14"/>
    </row>
    <row r="36" spans="1:6" ht="20.100000000000001" customHeight="1">
      <c r="A36" s="14"/>
      <c r="B36" s="223" t="str">
        <f ca="1">IFERROR(IF(ROW()-8&lt;=COPIA!$IG$1,SUBSTITUTE(INDEX(COPIA!$IB$3:$IH$18,MATCH(ROWS($B$9:B36),COPIA!$IH$3:$IH$18,0),1),"_"," "),IF(ROW()-8&gt;=COPIA!$IG$1+COPIA!$IH$1,SUBSTITUTE(INDEX(COPIA!$IB$37:$IH$93,MATCH(ROW()-8-COPIA!$IH$1,COPIA!$IH$37:$IH$93,0),1),"_"," "),"")),"")</f>
        <v/>
      </c>
      <c r="C36" s="224" t="str">
        <f ca="1">IFERROR(IF(ROW()-8&lt;=COPIA!$IG$1,INDEX(COPIA!$IB$3:$IH$18,MATCH(ROWS($B$9:B36),COPIA!$IH$3:$IH$18,0),6),IF(ROW()-8&gt;=COPIA!$IG$1+2,INDEX(COPIA!$IB$37:$IH$93,MATCH(ROW()-8-COPIA!$IH$1,COPIA!$IH$37:$IH$93,0),6),"")),"")</f>
        <v/>
      </c>
      <c r="D36" s="223" t="str">
        <f ca="1">IFERROR(SUBSTITUTE(INDEX(COPIA!$IB$19:$IH$34,MATCH(ROWS($D$9:D36),COPIA!$IH$19:$IH$34,0),1),"_"," "),"")</f>
        <v/>
      </c>
      <c r="E36" s="225" t="str">
        <f ca="1">IFERROR(INDEX(COPIA!$IB$19:$IH$34,MATCH(ROWS($D$9:E36),COPIA!$IH$19:$IH$34,0),6),"")</f>
        <v/>
      </c>
      <c r="F36" s="14"/>
    </row>
    <row r="37" spans="1:6" ht="20.100000000000001" customHeight="1">
      <c r="A37" s="14"/>
      <c r="B37" s="223" t="str">
        <f ca="1">IFERROR(IF(ROW()-8&lt;=COPIA!$IG$1,SUBSTITUTE(INDEX(COPIA!$IB$3:$IH$18,MATCH(ROWS($B$9:B37),COPIA!$IH$3:$IH$18,0),1),"_"," "),IF(ROW()-8&gt;=COPIA!$IG$1+COPIA!$IH$1,SUBSTITUTE(INDEX(COPIA!$IB$37:$IH$93,MATCH(ROW()-8-COPIA!$IH$1,COPIA!$IH$37:$IH$93,0),1),"_"," "),"")),"")</f>
        <v/>
      </c>
      <c r="C37" s="224" t="str">
        <f ca="1">IFERROR(IF(ROW()-8&lt;=COPIA!$IG$1,INDEX(COPIA!$IB$3:$IH$18,MATCH(ROWS($B$9:B37),COPIA!$IH$3:$IH$18,0),6),IF(ROW()-8&gt;=COPIA!$IG$1+2,INDEX(COPIA!$IB$37:$IH$93,MATCH(ROW()-8-COPIA!$IH$1,COPIA!$IH$37:$IH$93,0),6),"")),"")</f>
        <v/>
      </c>
      <c r="D37" s="223" t="str">
        <f ca="1">IFERROR(SUBSTITUTE(INDEX(COPIA!$IB$19:$IH$34,MATCH(ROWS($D$9:D37),COPIA!$IH$19:$IH$34,0),1),"_"," "),"")</f>
        <v/>
      </c>
      <c r="E37" s="225" t="str">
        <f ca="1">IFERROR(INDEX(COPIA!$IB$19:$IH$34,MATCH(ROWS($D$9:E37),COPIA!$IH$19:$IH$34,0),6),"")</f>
        <v/>
      </c>
      <c r="F37" s="14"/>
    </row>
    <row r="38" spans="1:6" ht="20.100000000000001" customHeight="1">
      <c r="A38" s="14"/>
      <c r="B38" s="223" t="str">
        <f ca="1">IFERROR(IF(ROW()-8&lt;=COPIA!$IG$1,SUBSTITUTE(INDEX(COPIA!$IB$3:$IH$18,MATCH(ROWS($B$9:B38),COPIA!$IH$3:$IH$18,0),1),"_"," "),IF(ROW()-8&gt;=COPIA!$IG$1+COPIA!$IH$1,SUBSTITUTE(INDEX(COPIA!$IB$37:$IH$93,MATCH(ROW()-8-COPIA!$IH$1,COPIA!$IH$37:$IH$93,0),1),"_"," "),"")),"")</f>
        <v/>
      </c>
      <c r="C38" s="224" t="str">
        <f ca="1">IFERROR(IF(ROW()-8&lt;=COPIA!$IG$1,INDEX(COPIA!$IB$3:$IH$18,MATCH(ROWS($B$9:B38),COPIA!$IH$3:$IH$18,0),6),IF(ROW()-8&gt;=COPIA!$IG$1+2,INDEX(COPIA!$IB$37:$IH$93,MATCH(ROW()-8-COPIA!$IH$1,COPIA!$IH$37:$IH$93,0),6),"")),"")</f>
        <v/>
      </c>
      <c r="D38" s="223" t="str">
        <f ca="1">IFERROR(SUBSTITUTE(INDEX(COPIA!$IB$19:$IH$34,MATCH(ROWS($D$9:D38),COPIA!$IH$19:$IH$34,0),1),"_"," "),"")</f>
        <v/>
      </c>
      <c r="E38" s="225" t="str">
        <f ca="1">IFERROR(INDEX(COPIA!$IB$19:$IH$34,MATCH(ROWS($D$9:E38),COPIA!$IH$19:$IH$34,0),6),"")</f>
        <v/>
      </c>
      <c r="F38" s="14"/>
    </row>
    <row r="39" spans="1:6" ht="20.100000000000001" customHeight="1">
      <c r="A39" s="14"/>
      <c r="B39" s="223" t="str">
        <f ca="1">IFERROR(IF(ROW()-8&lt;=COPIA!$IG$1,SUBSTITUTE(INDEX(COPIA!$IB$3:$IH$18,MATCH(ROWS($B$9:B39),COPIA!$IH$3:$IH$18,0),1),"_"," "),IF(ROW()-8&gt;=COPIA!$IG$1+COPIA!$IH$1,SUBSTITUTE(INDEX(COPIA!$IB$37:$IH$93,MATCH(ROW()-8-COPIA!$IH$1,COPIA!$IH$37:$IH$93,0),1),"_"," "),"")),"")</f>
        <v/>
      </c>
      <c r="C39" s="224" t="str">
        <f ca="1">IFERROR(IF(ROW()-8&lt;=COPIA!$IG$1,INDEX(COPIA!$IB$3:$IH$18,MATCH(ROWS($B$9:B39),COPIA!$IH$3:$IH$18,0),6),IF(ROW()-8&gt;=COPIA!$IG$1+2,INDEX(COPIA!$IB$37:$IH$93,MATCH(ROW()-8-COPIA!$IH$1,COPIA!$IH$37:$IH$93,0),6),"")),"")</f>
        <v/>
      </c>
      <c r="D39" s="223" t="str">
        <f ca="1">IFERROR(SUBSTITUTE(INDEX(COPIA!$IB$19:$IH$34,MATCH(ROWS($D$9:D39),COPIA!$IH$19:$IH$34,0),1),"_"," "),"")</f>
        <v/>
      </c>
      <c r="E39" s="225" t="str">
        <f ca="1">IFERROR(INDEX(COPIA!$IB$19:$IH$34,MATCH(ROWS($D$9:E39),COPIA!$IH$19:$IH$34,0),6),"")</f>
        <v/>
      </c>
      <c r="F39" s="14"/>
    </row>
    <row r="40" spans="1:6" ht="20.100000000000001" customHeight="1">
      <c r="A40" s="14"/>
      <c r="B40" s="223" t="str">
        <f ca="1">IFERROR(IF(ROW()-8&lt;=COPIA!$IG$1,SUBSTITUTE(INDEX(COPIA!$IB$3:$IH$18,MATCH(ROWS($B$9:B40),COPIA!$IH$3:$IH$18,0),1),"_"," "),IF(ROW()-8&gt;=COPIA!$IG$1+COPIA!$IH$1,SUBSTITUTE(INDEX(COPIA!$IB$37:$IH$93,MATCH(ROW()-8-COPIA!$IH$1,COPIA!$IH$37:$IH$93,0),1),"_"," "),"")),"")</f>
        <v/>
      </c>
      <c r="C40" s="224" t="str">
        <f ca="1">IFERROR(IF(ROW()-8&lt;=COPIA!$IG$1,INDEX(COPIA!$IB$3:$IH$18,MATCH(ROWS($B$9:B40),COPIA!$IH$3:$IH$18,0),6),IF(ROW()-8&gt;=COPIA!$IG$1+2,INDEX(COPIA!$IB$37:$IH$93,MATCH(ROW()-8-COPIA!$IH$1,COPIA!$IH$37:$IH$93,0),6),"")),"")</f>
        <v/>
      </c>
      <c r="D40" s="223" t="str">
        <f ca="1">IFERROR(SUBSTITUTE(INDEX(COPIA!$IB$19:$IH$34,MATCH(ROWS($D$9:D40),COPIA!$IH$19:$IH$34,0),1),"_"," "),"")</f>
        <v/>
      </c>
      <c r="E40" s="225" t="str">
        <f ca="1">IFERROR(INDEX(COPIA!$IB$19:$IH$34,MATCH(ROWS($D$9:E40),COPIA!$IH$19:$IH$34,0),6),"")</f>
        <v/>
      </c>
      <c r="F40" s="14"/>
    </row>
    <row r="41" spans="1:6" ht="20.100000000000001" customHeight="1">
      <c r="A41" s="14"/>
      <c r="B41" s="223" t="str">
        <f ca="1">IFERROR(IF(ROW()-8&lt;=COPIA!$IG$1,SUBSTITUTE(INDEX(COPIA!$IB$3:$IH$18,MATCH(ROWS($B$9:B41),COPIA!$IH$3:$IH$18,0),1),"_"," "),IF(ROW()-8&gt;=COPIA!$IG$1+COPIA!$IH$1,SUBSTITUTE(INDEX(COPIA!$IB$37:$IH$93,MATCH(ROW()-8-COPIA!$IH$1,COPIA!$IH$37:$IH$93,0),1),"_"," "),"")),"")</f>
        <v/>
      </c>
      <c r="C41" s="224" t="str">
        <f ca="1">IFERROR(IF(ROW()-8&lt;=COPIA!$IG$1,INDEX(COPIA!$IB$3:$IH$18,MATCH(ROWS($B$9:B41),COPIA!$IH$3:$IH$18,0),6),IF(ROW()-8&gt;=COPIA!$IG$1+2,INDEX(COPIA!$IB$37:$IH$93,MATCH(ROW()-8-COPIA!$IH$1,COPIA!$IH$37:$IH$93,0),6),"")),"")</f>
        <v/>
      </c>
      <c r="D41" s="223" t="str">
        <f ca="1">IFERROR(SUBSTITUTE(INDEX(COPIA!$IB$19:$IH$34,MATCH(ROWS($D$9:D41),COPIA!$IH$19:$IH$34,0),1),"_"," "),"")</f>
        <v/>
      </c>
      <c r="E41" s="225" t="str">
        <f ca="1">IFERROR(INDEX(COPIA!$IB$19:$IH$34,MATCH(ROWS($D$9:E41),COPIA!$IH$19:$IH$34,0),6),"")</f>
        <v/>
      </c>
      <c r="F41" s="14"/>
    </row>
    <row r="42" spans="1:6" ht="20.100000000000001" customHeight="1">
      <c r="A42" s="14"/>
      <c r="B42" s="223" t="str">
        <f ca="1">IFERROR(IF(ROW()-8&lt;=COPIA!$IG$1,SUBSTITUTE(INDEX(COPIA!$IB$3:$IH$18,MATCH(ROWS($B$9:B42),COPIA!$IH$3:$IH$18,0),1),"_"," "),IF(ROW()-8&gt;=COPIA!$IG$1+COPIA!$IH$1,SUBSTITUTE(INDEX(COPIA!$IB$37:$IH$93,MATCH(ROW()-8-COPIA!$IH$1,COPIA!$IH$37:$IH$93,0),1),"_"," "),"")),"")</f>
        <v/>
      </c>
      <c r="C42" s="224" t="str">
        <f ca="1">IFERROR(IF(ROW()-8&lt;=COPIA!$IG$1,INDEX(COPIA!$IB$3:$IH$18,MATCH(ROWS($B$9:B42),COPIA!$IH$3:$IH$18,0),6),IF(ROW()-8&gt;=COPIA!$IG$1+2,INDEX(COPIA!$IB$37:$IH$93,MATCH(ROW()-8-COPIA!$IH$1,COPIA!$IH$37:$IH$93,0),6),"")),"")</f>
        <v/>
      </c>
      <c r="D42" s="223" t="str">
        <f ca="1">IFERROR(SUBSTITUTE(INDEX(COPIA!$IB$19:$IH$34,MATCH(ROWS($D$9:D42),COPIA!$IH$19:$IH$34,0),1),"_"," "),"")</f>
        <v/>
      </c>
      <c r="E42" s="225" t="str">
        <f ca="1">IFERROR(INDEX(COPIA!$IB$19:$IH$34,MATCH(ROWS($D$9:E42),COPIA!$IH$19:$IH$34,0),6),"")</f>
        <v/>
      </c>
      <c r="F42" s="14"/>
    </row>
    <row r="43" spans="1:6" ht="20.100000000000001" customHeight="1">
      <c r="A43" s="14"/>
      <c r="B43" s="223" t="str">
        <f ca="1">IFERROR(IF(ROW()-8&lt;=COPIA!$IG$1,SUBSTITUTE(INDEX(COPIA!$IB$3:$IH$18,MATCH(ROWS($B$9:B43),COPIA!$IH$3:$IH$18,0),1),"_"," "),IF(ROW()-8&gt;=COPIA!$IG$1+COPIA!$IH$1,SUBSTITUTE(INDEX(COPIA!$IB$37:$IH$93,MATCH(ROW()-8-COPIA!$IH$1,COPIA!$IH$37:$IH$93,0),1),"_"," "),"")),"")</f>
        <v/>
      </c>
      <c r="C43" s="224" t="str">
        <f ca="1">IFERROR(IF(ROW()-8&lt;=COPIA!$IG$1,INDEX(COPIA!$IB$3:$IH$18,MATCH(ROWS($B$9:B43),COPIA!$IH$3:$IH$18,0),6),IF(ROW()-8&gt;=COPIA!$IG$1+2,INDEX(COPIA!$IB$37:$IH$93,MATCH(ROW()-8-COPIA!$IH$1,COPIA!$IH$37:$IH$93,0),6),"")),"")</f>
        <v/>
      </c>
      <c r="D43" s="223" t="str">
        <f ca="1">IFERROR(SUBSTITUTE(INDEX(COPIA!$IB$19:$IH$34,MATCH(ROWS($D$9:D43),COPIA!$IH$19:$IH$34,0),1),"_"," "),"")</f>
        <v/>
      </c>
      <c r="E43" s="225" t="str">
        <f ca="1">IFERROR(INDEX(COPIA!$IB$19:$IH$34,MATCH(ROWS($D$9:E43),COPIA!$IH$19:$IH$34,0),6),"")</f>
        <v/>
      </c>
      <c r="F43" s="14"/>
    </row>
    <row r="44" spans="1:6" ht="20.100000000000001" customHeight="1">
      <c r="A44" s="14"/>
      <c r="B44" s="223" t="str">
        <f ca="1">IFERROR(IF(ROW()-8&lt;=COPIA!$IG$1,SUBSTITUTE(INDEX(COPIA!$IB$3:$IH$18,MATCH(ROWS($B$9:B44),COPIA!$IH$3:$IH$18,0),1),"_"," "),IF(ROW()-8&gt;=COPIA!$IG$1+COPIA!$IH$1,SUBSTITUTE(INDEX(COPIA!$IB$37:$IH$93,MATCH(ROW()-8-COPIA!$IH$1,COPIA!$IH$37:$IH$93,0),1),"_"," "),"")),"")</f>
        <v/>
      </c>
      <c r="C44" s="224" t="str">
        <f ca="1">IFERROR(IF(ROW()-8&lt;=COPIA!$IG$1,INDEX(COPIA!$IB$3:$IH$18,MATCH(ROWS($B$9:B44),COPIA!$IH$3:$IH$18,0),6),IF(ROW()-8&gt;=COPIA!$IG$1+2,INDEX(COPIA!$IB$37:$IH$93,MATCH(ROW()-8-COPIA!$IH$1,COPIA!$IH$37:$IH$93,0),6),"")),"")</f>
        <v/>
      </c>
      <c r="D44" s="223" t="str">
        <f ca="1">IFERROR(SUBSTITUTE(INDEX(COPIA!$IB$19:$IH$34,MATCH(ROWS($D$9:D44),COPIA!$IH$19:$IH$34,0),1),"_"," "),"")</f>
        <v/>
      </c>
      <c r="E44" s="225" t="str">
        <f ca="1">IFERROR(INDEX(COPIA!$IB$19:$IH$34,MATCH(ROWS($D$9:E44),COPIA!$IH$19:$IH$34,0),6),"")</f>
        <v/>
      </c>
      <c r="F44" s="14"/>
    </row>
    <row r="45" spans="1:6" ht="20.100000000000001" customHeight="1">
      <c r="A45" s="14"/>
      <c r="B45" s="223" t="str">
        <f ca="1">IFERROR(IF(ROW()-8&lt;=COPIA!$IG$1,SUBSTITUTE(INDEX(COPIA!$IB$3:$IH$18,MATCH(ROWS($B$9:B45),COPIA!$IH$3:$IH$18,0),1),"_"," "),IF(ROW()-8&gt;=COPIA!$IG$1+COPIA!$IH$1,SUBSTITUTE(INDEX(COPIA!$IB$37:$IH$93,MATCH(ROW()-8-COPIA!$IH$1,COPIA!$IH$37:$IH$93,0),1),"_"," "),"")),"")</f>
        <v/>
      </c>
      <c r="C45" s="224" t="str">
        <f ca="1">IFERROR(IF(ROW()-8&lt;=COPIA!$IG$1,INDEX(COPIA!$IB$3:$IH$18,MATCH(ROWS($B$9:B45),COPIA!$IH$3:$IH$18,0),6),IF(ROW()-8&gt;=COPIA!$IG$1+2,INDEX(COPIA!$IB$37:$IH$93,MATCH(ROW()-8-COPIA!$IH$1,COPIA!$IH$37:$IH$93,0),6),"")),"")</f>
        <v/>
      </c>
      <c r="D45" s="223" t="str">
        <f ca="1">IFERROR(SUBSTITUTE(INDEX(COPIA!$IB$19:$IH$34,MATCH(ROWS($D$9:D45),COPIA!$IH$19:$IH$34,0),1),"_"," "),"")</f>
        <v/>
      </c>
      <c r="E45" s="225" t="str">
        <f ca="1">IFERROR(INDEX(COPIA!$IB$19:$IH$34,MATCH(ROWS($D$9:E45),COPIA!$IH$19:$IH$34,0),6),"")</f>
        <v/>
      </c>
      <c r="F45" s="14"/>
    </row>
    <row r="46" spans="1:6" ht="20.100000000000001" customHeight="1">
      <c r="A46" s="14"/>
      <c r="B46" s="223" t="str">
        <f ca="1">IFERROR(IF(ROW()-8&lt;=COPIA!$IG$1,SUBSTITUTE(INDEX(COPIA!$IB$3:$IH$18,MATCH(ROWS($B$9:B46),COPIA!$IH$3:$IH$18,0),1),"_"," "),IF(ROW()-8&gt;=COPIA!$IG$1+COPIA!$IH$1,SUBSTITUTE(INDEX(COPIA!$IB$37:$IH$93,MATCH(ROW()-8-COPIA!$IH$1,COPIA!$IH$37:$IH$93,0),1),"_"," "),"")),"")</f>
        <v/>
      </c>
      <c r="C46" s="224" t="str">
        <f ca="1">IFERROR(IF(ROW()-8&lt;=COPIA!$IG$1,INDEX(COPIA!$IB$3:$IH$18,MATCH(ROWS($B$9:B46),COPIA!$IH$3:$IH$18,0),6),IF(ROW()-8&gt;=COPIA!$IG$1+2,INDEX(COPIA!$IB$37:$IH$93,MATCH(ROW()-8-COPIA!$IH$1,COPIA!$IH$37:$IH$93,0),6),"")),"")</f>
        <v/>
      </c>
      <c r="D46" s="223" t="str">
        <f ca="1">IFERROR(SUBSTITUTE(INDEX(COPIA!$IB$19:$IH$34,MATCH(ROWS($D$9:D46),COPIA!$IH$19:$IH$34,0),1),"_"," "),"")</f>
        <v/>
      </c>
      <c r="E46" s="225" t="str">
        <f ca="1">IFERROR(INDEX(COPIA!$IB$19:$IH$34,MATCH(ROWS($D$9:E46),COPIA!$IH$19:$IH$34,0),6),"")</f>
        <v/>
      </c>
      <c r="F46" s="14"/>
    </row>
    <row r="47" spans="1:6" ht="20.100000000000001" customHeight="1">
      <c r="A47" s="14"/>
      <c r="B47" s="223" t="str">
        <f ca="1">IFERROR(IF(ROW()-8&lt;=COPIA!$IG$1,SUBSTITUTE(INDEX(COPIA!$IB$3:$IH$18,MATCH(ROWS($B$9:B47),COPIA!$IH$3:$IH$18,0),1),"_"," "),IF(ROW()-8&gt;=COPIA!$IG$1+COPIA!$IH$1,SUBSTITUTE(INDEX(COPIA!$IB$37:$IH$93,MATCH(ROW()-8-COPIA!$IH$1,COPIA!$IH$37:$IH$93,0),1),"_"," "),"")),"")</f>
        <v/>
      </c>
      <c r="C47" s="224" t="str">
        <f ca="1">IFERROR(IF(ROW()-8&lt;=COPIA!$IG$1,INDEX(COPIA!$IB$3:$IH$18,MATCH(ROWS($B$9:B47),COPIA!$IH$3:$IH$18,0),6),IF(ROW()-8&gt;=COPIA!$IG$1+2,INDEX(COPIA!$IB$37:$IH$93,MATCH(ROW()-8-COPIA!$IH$1,COPIA!$IH$37:$IH$93,0),6),"")),"")</f>
        <v/>
      </c>
      <c r="D47" s="223" t="str">
        <f ca="1">IFERROR(SUBSTITUTE(INDEX(COPIA!$IB$19:$IH$34,MATCH(ROWS($D$9:D47),COPIA!$IH$19:$IH$34,0),1),"_"," "),"")</f>
        <v/>
      </c>
      <c r="E47" s="225" t="str">
        <f ca="1">IFERROR(INDEX(COPIA!$IB$19:$IH$34,MATCH(ROWS($D$9:E47),COPIA!$IH$19:$IH$34,0),6),"")</f>
        <v/>
      </c>
      <c r="F47" s="14"/>
    </row>
    <row r="48" spans="1:6" ht="20.100000000000001" customHeight="1">
      <c r="A48" s="14"/>
      <c r="B48" s="223" t="str">
        <f ca="1">IFERROR(IF(ROW()-8&lt;=COPIA!$IG$1,SUBSTITUTE(INDEX(COPIA!$IB$3:$IH$18,MATCH(ROWS($B$9:B48),COPIA!$IH$3:$IH$18,0),1),"_"," "),IF(ROW()-8&gt;=COPIA!$IG$1+COPIA!$IH$1,SUBSTITUTE(INDEX(COPIA!$IB$37:$IH$93,MATCH(ROW()-8-COPIA!$IH$1,COPIA!$IH$37:$IH$93,0),1),"_"," "),"")),"")</f>
        <v/>
      </c>
      <c r="C48" s="224" t="str">
        <f ca="1">IFERROR(IF(ROW()-8&lt;=COPIA!$IG$1,INDEX(COPIA!$IB$3:$IH$18,MATCH(ROWS($B$9:B48),COPIA!$IH$3:$IH$18,0),6),IF(ROW()-8&gt;=COPIA!$IG$1+2,INDEX(COPIA!$IB$37:$IH$93,MATCH(ROW()-8-COPIA!$IH$1,COPIA!$IH$37:$IH$93,0),6),"")),"")</f>
        <v/>
      </c>
      <c r="D48" s="223" t="str">
        <f ca="1">IFERROR(SUBSTITUTE(INDEX(COPIA!$IB$19:$IH$34,MATCH(ROWS($D$9:D48),COPIA!$IH$19:$IH$34,0),1),"_"," "),"")</f>
        <v/>
      </c>
      <c r="E48" s="225" t="str">
        <f ca="1">IFERROR(INDEX(COPIA!$IB$19:$IH$34,MATCH(ROWS($D$9:E48),COPIA!$IH$19:$IH$34,0),6),"")</f>
        <v/>
      </c>
      <c r="F48" s="14"/>
    </row>
    <row r="49" spans="1:6" ht="20.100000000000001" customHeight="1">
      <c r="A49" s="14"/>
      <c r="B49" s="223" t="str">
        <f ca="1">IFERROR(IF(ROW()-8&lt;=COPIA!$IG$1,SUBSTITUTE(INDEX(COPIA!$IB$3:$IH$18,MATCH(ROWS($B$9:B49),COPIA!$IH$3:$IH$18,0),1),"_"," "),IF(ROW()-8&gt;=COPIA!$IG$1+COPIA!$IH$1,SUBSTITUTE(INDEX(COPIA!$IB$37:$IH$93,MATCH(ROW()-8-COPIA!$IH$1,COPIA!$IH$37:$IH$93,0),1),"_"," "),"")),"")</f>
        <v/>
      </c>
      <c r="C49" s="224" t="str">
        <f ca="1">IFERROR(IF(ROW()-8&lt;=COPIA!$IG$1,INDEX(COPIA!$IB$3:$IH$18,MATCH(ROWS($B$9:B49),COPIA!$IH$3:$IH$18,0),6),IF(ROW()-8&gt;=COPIA!$IG$1+2,INDEX(COPIA!$IB$37:$IH$93,MATCH(ROW()-8-COPIA!$IH$1,COPIA!$IH$37:$IH$93,0),6),"")),"")</f>
        <v/>
      </c>
      <c r="D49" s="223" t="str">
        <f ca="1">IFERROR(SUBSTITUTE(INDEX(COPIA!$IB$19:$IH$34,MATCH(ROWS($D$9:D49),COPIA!$IH$19:$IH$34,0),1),"_"," "),"")</f>
        <v/>
      </c>
      <c r="E49" s="225" t="str">
        <f ca="1">IFERROR(INDEX(COPIA!$IB$19:$IH$34,MATCH(ROWS($D$9:E49),COPIA!$IH$19:$IH$34,0),6),"")</f>
        <v/>
      </c>
      <c r="F49" s="14"/>
    </row>
    <row r="50" spans="1:6" ht="20.100000000000001" customHeight="1">
      <c r="A50" s="14"/>
      <c r="B50" s="223" t="str">
        <f ca="1">IFERROR(IF(ROW()-8&lt;=COPIA!$IG$1,SUBSTITUTE(INDEX(COPIA!$IB$3:$IH$18,MATCH(ROWS($B$9:B50),COPIA!$IH$3:$IH$18,0),1),"_"," "),IF(ROW()-8&gt;=COPIA!$IG$1+COPIA!$IH$1,SUBSTITUTE(INDEX(COPIA!$IB$37:$IH$93,MATCH(ROW()-8-COPIA!$IH$1,COPIA!$IH$37:$IH$93,0),1),"_"," "),"")),"")</f>
        <v/>
      </c>
      <c r="C50" s="224" t="str">
        <f ca="1">IFERROR(IF(ROW()-8&lt;=COPIA!$IG$1,INDEX(COPIA!$IB$3:$IH$18,MATCH(ROWS($B$9:B50),COPIA!$IH$3:$IH$18,0),6),IF(ROW()-8&gt;=COPIA!$IG$1+2,INDEX(COPIA!$IB$37:$IH$93,MATCH(ROW()-8-COPIA!$IH$1,COPIA!$IH$37:$IH$93,0),6),"")),"")</f>
        <v/>
      </c>
      <c r="D50" s="223" t="str">
        <f ca="1">IFERROR(SUBSTITUTE(INDEX(COPIA!$IB$19:$IH$34,MATCH(ROWS($D$9:D50),COPIA!$IH$19:$IH$34,0),1),"_"," "),"")</f>
        <v/>
      </c>
      <c r="E50" s="225" t="str">
        <f ca="1">IFERROR(INDEX(COPIA!$IB$19:$IH$34,MATCH(ROWS($D$9:E50),COPIA!$IH$19:$IH$34,0),6),"")</f>
        <v/>
      </c>
      <c r="F50" s="14"/>
    </row>
    <row r="51" spans="1:6" ht="20.100000000000001" customHeight="1">
      <c r="A51" s="14"/>
      <c r="B51" s="223" t="str">
        <f ca="1">IFERROR(IF(ROW()-8&lt;=COPIA!$IG$1,SUBSTITUTE(INDEX(COPIA!$IB$3:$IH$18,MATCH(ROWS($B$9:B51),COPIA!$IH$3:$IH$18,0),1),"_"," "),IF(ROW()-8&gt;=COPIA!$IG$1+COPIA!$IH$1,SUBSTITUTE(INDEX(COPIA!$IB$37:$IH$93,MATCH(ROW()-8-COPIA!$IH$1,COPIA!$IH$37:$IH$93,0),1),"_"," "),"")),"")</f>
        <v/>
      </c>
      <c r="C51" s="224" t="str">
        <f ca="1">IFERROR(IF(ROW()-8&lt;=COPIA!$IG$1,INDEX(COPIA!$IB$3:$IH$18,MATCH(ROWS($B$9:B51),COPIA!$IH$3:$IH$18,0),6),IF(ROW()-8&gt;=COPIA!$IG$1+2,INDEX(COPIA!$IB$37:$IH$93,MATCH(ROW()-8-COPIA!$IH$1,COPIA!$IH$37:$IH$93,0),6),"")),"")</f>
        <v/>
      </c>
      <c r="D51" s="223" t="str">
        <f ca="1">IFERROR(SUBSTITUTE(INDEX(COPIA!$IB$19:$IH$34,MATCH(ROWS($D$9:D51),COPIA!$IH$19:$IH$34,0),1),"_"," "),"")</f>
        <v/>
      </c>
      <c r="E51" s="225" t="str">
        <f ca="1">IFERROR(INDEX(COPIA!$IB$19:$IH$34,MATCH(ROWS($D$9:E51),COPIA!$IH$19:$IH$34,0),6),"")</f>
        <v/>
      </c>
      <c r="F51" s="14"/>
    </row>
    <row r="52" spans="1:6" ht="20.100000000000001" customHeight="1">
      <c r="A52" s="14"/>
      <c r="B52" s="223" t="str">
        <f ca="1">IFERROR(IF(ROW()-8&lt;=COPIA!$IG$1,SUBSTITUTE(INDEX(COPIA!$IB$3:$IH$18,MATCH(ROWS($B$9:B52),COPIA!$IH$3:$IH$18,0),1),"_"," "),IF(ROW()-8&gt;=COPIA!$IG$1+COPIA!$IH$1,SUBSTITUTE(INDEX(COPIA!$IB$37:$IH$93,MATCH(ROW()-8-COPIA!$IH$1,COPIA!$IH$37:$IH$93,0),1),"_"," "),"")),"")</f>
        <v/>
      </c>
      <c r="C52" s="224" t="str">
        <f ca="1">IFERROR(IF(ROW()-8&lt;=COPIA!$IG$1,INDEX(COPIA!$IB$3:$IH$18,MATCH(ROWS($B$9:B52),COPIA!$IH$3:$IH$18,0),6),IF(ROW()-8&gt;=COPIA!$IG$1+2,INDEX(COPIA!$IB$37:$IH$93,MATCH(ROW()-8-COPIA!$IH$1,COPIA!$IH$37:$IH$93,0),6),"")),"")</f>
        <v/>
      </c>
      <c r="D52" s="223" t="str">
        <f ca="1">IFERROR(SUBSTITUTE(INDEX(COPIA!$IB$19:$IH$34,MATCH(ROWS($D$9:D52),COPIA!$IH$19:$IH$34,0),1),"_"," "),"")</f>
        <v/>
      </c>
      <c r="E52" s="225" t="str">
        <f ca="1">IFERROR(INDEX(COPIA!$IB$19:$IH$34,MATCH(ROWS($D$9:E52),COPIA!$IH$19:$IH$34,0),6),"")</f>
        <v/>
      </c>
      <c r="F52" s="14"/>
    </row>
    <row r="53" spans="1:6" ht="20.100000000000001" customHeight="1">
      <c r="A53" s="14"/>
      <c r="B53" s="223" t="str">
        <f ca="1">IFERROR(IF(ROW()-8&lt;=COPIA!$IG$1,SUBSTITUTE(INDEX(COPIA!$IB$3:$IH$18,MATCH(ROWS($B$9:B53),COPIA!$IH$3:$IH$18,0),1),"_"," "),IF(ROW()-8&gt;=COPIA!$IG$1+COPIA!$IH$1,SUBSTITUTE(INDEX(COPIA!$IB$37:$IH$93,MATCH(ROW()-8-COPIA!$IH$1,COPIA!$IH$37:$IH$93,0),1),"_"," "),"")),"")</f>
        <v/>
      </c>
      <c r="C53" s="224" t="str">
        <f ca="1">IFERROR(IF(ROW()-8&lt;=COPIA!$IG$1,INDEX(COPIA!$IB$3:$IH$18,MATCH(ROWS($B$9:B53),COPIA!$IH$3:$IH$18,0),6),IF(ROW()-8&gt;=COPIA!$IG$1+2,INDEX(COPIA!$IB$37:$IH$93,MATCH(ROW()-8-COPIA!$IH$1,COPIA!$IH$37:$IH$93,0),6),"")),"")</f>
        <v/>
      </c>
      <c r="D53" s="223" t="str">
        <f ca="1">IFERROR(SUBSTITUTE(INDEX(COPIA!$IB$19:$IH$34,MATCH(ROWS($D$9:D53),COPIA!$IH$19:$IH$34,0),1),"_"," "),"")</f>
        <v/>
      </c>
      <c r="E53" s="225" t="str">
        <f ca="1">IFERROR(INDEX(COPIA!$IB$19:$IH$34,MATCH(ROWS($D$9:E53),COPIA!$IH$19:$IH$34,0),6),"")</f>
        <v/>
      </c>
      <c r="F53" s="14"/>
    </row>
    <row r="54" spans="1:6" ht="20.100000000000001" customHeight="1">
      <c r="A54" s="14"/>
      <c r="B54" s="223" t="str">
        <f ca="1">IFERROR(IF(ROW()-8&lt;=COPIA!$IG$1,SUBSTITUTE(INDEX(COPIA!$IB$3:$IH$18,MATCH(ROWS($B$9:B54),COPIA!$IH$3:$IH$18,0),1),"_"," "),IF(ROW()-8&gt;=COPIA!$IG$1+COPIA!$IH$1,SUBSTITUTE(INDEX(COPIA!$IB$37:$IH$93,MATCH(ROW()-8-COPIA!$IH$1,COPIA!$IH$37:$IH$93,0),1),"_"," "),"")),"")</f>
        <v/>
      </c>
      <c r="C54" s="224" t="str">
        <f ca="1">IFERROR(IF(ROW()-8&lt;=COPIA!$IG$1,INDEX(COPIA!$IB$3:$IH$18,MATCH(ROWS($B$9:B54),COPIA!$IH$3:$IH$18,0),6),IF(ROW()-8&gt;=COPIA!$IG$1+2,INDEX(COPIA!$IB$37:$IH$93,MATCH(ROW()-8-COPIA!$IH$1,COPIA!$IH$37:$IH$93,0),6),"")),"")</f>
        <v/>
      </c>
      <c r="D54" s="223" t="str">
        <f ca="1">IFERROR(SUBSTITUTE(INDEX(COPIA!$IB$19:$IH$34,MATCH(ROWS($D$9:D54),COPIA!$IH$19:$IH$34,0),1),"_"," "),"")</f>
        <v/>
      </c>
      <c r="E54" s="225" t="str">
        <f ca="1">IFERROR(INDEX(COPIA!$IB$19:$IH$34,MATCH(ROWS($D$9:E54),COPIA!$IH$19:$IH$34,0),6),"")</f>
        <v/>
      </c>
      <c r="F54" s="14"/>
    </row>
    <row r="55" spans="1:6" ht="20.100000000000001" customHeight="1">
      <c r="A55" s="14"/>
      <c r="B55" s="223" t="str">
        <f ca="1">IFERROR(IF(ROW()-8&lt;=COPIA!$IG$1,SUBSTITUTE(INDEX(COPIA!$IB$3:$IH$18,MATCH(ROWS($B$9:B55),COPIA!$IH$3:$IH$18,0),1),"_"," "),IF(ROW()-8&gt;=COPIA!$IG$1+COPIA!$IH$1,SUBSTITUTE(INDEX(COPIA!$IB$37:$IH$93,MATCH(ROW()-8-COPIA!$IH$1,COPIA!$IH$37:$IH$93,0),1),"_"," "),"")),"")</f>
        <v/>
      </c>
      <c r="C55" s="224" t="str">
        <f ca="1">IFERROR(IF(ROW()-8&lt;=COPIA!$IG$1,INDEX(COPIA!$IB$3:$IH$18,MATCH(ROWS($B$9:B55),COPIA!$IH$3:$IH$18,0),6),IF(ROW()-8&gt;=COPIA!$IG$1+2,INDEX(COPIA!$IB$37:$IH$93,MATCH(ROW()-8-COPIA!$IH$1,COPIA!$IH$37:$IH$93,0),6),"")),"")</f>
        <v/>
      </c>
      <c r="D55" s="223" t="str">
        <f ca="1">IFERROR(SUBSTITUTE(INDEX(COPIA!$IB$19:$IH$34,MATCH(ROWS($D$9:D55),COPIA!$IH$19:$IH$34,0),1),"_"," "),"")</f>
        <v/>
      </c>
      <c r="E55" s="225" t="str">
        <f ca="1">IFERROR(INDEX(COPIA!$IB$19:$IH$34,MATCH(ROWS($D$9:E55),COPIA!$IH$19:$IH$34,0),6),"")</f>
        <v/>
      </c>
      <c r="F55" s="14"/>
    </row>
    <row r="56" spans="1:6" ht="20.100000000000001" customHeight="1">
      <c r="A56" s="14"/>
      <c r="B56" s="223" t="str">
        <f ca="1">IFERROR(IF(ROW()-8&lt;=COPIA!$IG$1,SUBSTITUTE(INDEX(COPIA!$IB$3:$IH$18,MATCH(ROWS($B$9:B56),COPIA!$IH$3:$IH$18,0),1),"_"," "),IF(ROW()-8&gt;=COPIA!$IG$1+COPIA!$IH$1,SUBSTITUTE(INDEX(COPIA!$IB$37:$IH$93,MATCH(ROW()-8-COPIA!$IH$1,COPIA!$IH$37:$IH$93,0),1),"_"," "),"")),"")</f>
        <v/>
      </c>
      <c r="C56" s="224" t="str">
        <f ca="1">IFERROR(IF(ROW()-8&lt;=COPIA!$IG$1,INDEX(COPIA!$IB$3:$IH$18,MATCH(ROWS($B$9:B56),COPIA!$IH$3:$IH$18,0),6),IF(ROW()-8&gt;=COPIA!$IG$1+2,INDEX(COPIA!$IB$37:$IH$93,MATCH(ROW()-8-COPIA!$IH$1,COPIA!$IH$37:$IH$93,0),6),"")),"")</f>
        <v/>
      </c>
      <c r="D56" s="223" t="str">
        <f ca="1">IFERROR(SUBSTITUTE(INDEX(COPIA!$IB$19:$IH$34,MATCH(ROWS($D$9:D56),COPIA!$IH$19:$IH$34,0),1),"_"," "),"")</f>
        <v/>
      </c>
      <c r="E56" s="225" t="str">
        <f ca="1">IFERROR(INDEX(COPIA!$IB$19:$IH$34,MATCH(ROWS($D$9:E56),COPIA!$IH$19:$IH$34,0),6),"")</f>
        <v/>
      </c>
      <c r="F56" s="14"/>
    </row>
    <row r="57" spans="1:6" ht="20.100000000000001" customHeight="1">
      <c r="A57" s="14"/>
      <c r="B57" s="223" t="str">
        <f ca="1">IFERROR(IF(ROW()-8&lt;=COPIA!$IG$1,SUBSTITUTE(INDEX(COPIA!$IB$3:$IH$18,MATCH(ROWS($B$9:B57),COPIA!$IH$3:$IH$18,0),1),"_"," "),IF(ROW()-8&gt;=COPIA!$IG$1+COPIA!$IH$1,SUBSTITUTE(INDEX(COPIA!$IB$37:$IH$93,MATCH(ROW()-8-COPIA!$IH$1,COPIA!$IH$37:$IH$93,0),1),"_"," "),"")),"")</f>
        <v/>
      </c>
      <c r="C57" s="224" t="str">
        <f ca="1">IFERROR(IF(ROW()-8&lt;=COPIA!$IG$1,INDEX(COPIA!$IB$3:$IH$18,MATCH(ROWS($B$9:B57),COPIA!$IH$3:$IH$18,0),6),IF(ROW()-8&gt;=COPIA!$IG$1+2,INDEX(COPIA!$IB$37:$IH$93,MATCH(ROW()-8-COPIA!$IH$1,COPIA!$IH$37:$IH$93,0),6),"")),"")</f>
        <v/>
      </c>
      <c r="D57" s="223" t="str">
        <f ca="1">IFERROR(SUBSTITUTE(INDEX(COPIA!$IB$19:$IH$34,MATCH(ROWS($D$9:D57),COPIA!$IH$19:$IH$34,0),1),"_"," "),"")</f>
        <v/>
      </c>
      <c r="E57" s="225" t="str">
        <f ca="1">IFERROR(INDEX(COPIA!$IB$19:$IH$34,MATCH(ROWS($D$9:E57),COPIA!$IH$19:$IH$34,0),6),"")</f>
        <v/>
      </c>
      <c r="F57" s="14"/>
    </row>
    <row r="58" spans="1:6" ht="20.100000000000001" customHeight="1">
      <c r="A58" s="14"/>
      <c r="B58" s="223" t="str">
        <f ca="1">IFERROR(IF(ROW()-8&lt;=COPIA!$IG$1,SUBSTITUTE(INDEX(COPIA!$IB$3:$IH$18,MATCH(ROWS($B$9:B58),COPIA!$IH$3:$IH$18,0),1),"_"," "),IF(ROW()-8&gt;=COPIA!$IG$1+COPIA!$IH$1,SUBSTITUTE(INDEX(COPIA!$IB$37:$IH$93,MATCH(ROW()-8-COPIA!$IH$1,COPIA!$IH$37:$IH$93,0),1),"_"," "),"")),"")</f>
        <v/>
      </c>
      <c r="C58" s="224" t="str">
        <f ca="1">IFERROR(IF(ROW()-8&lt;=COPIA!$IG$1,INDEX(COPIA!$IB$3:$IH$18,MATCH(ROWS($B$9:B58),COPIA!$IH$3:$IH$18,0),6),IF(ROW()-8&gt;=COPIA!$IG$1+2,INDEX(COPIA!$IB$37:$IH$93,MATCH(ROW()-8-COPIA!$IH$1,COPIA!$IH$37:$IH$93,0),6),"")),"")</f>
        <v/>
      </c>
      <c r="D58" s="223" t="str">
        <f ca="1">IFERROR(SUBSTITUTE(INDEX(COPIA!$IB$19:$IH$34,MATCH(ROWS($D$9:D58),COPIA!$IH$19:$IH$34,0),1),"_"," "),"")</f>
        <v/>
      </c>
      <c r="E58" s="225" t="str">
        <f ca="1">IFERROR(INDEX(COPIA!$IB$19:$IH$34,MATCH(ROWS($D$9:E58),COPIA!$IH$19:$IH$34,0),6),"")</f>
        <v/>
      </c>
      <c r="F58" s="14"/>
    </row>
    <row r="59" spans="1:6" ht="20.100000000000001" customHeight="1">
      <c r="A59" s="14"/>
      <c r="B59" s="223" t="str">
        <f ca="1">IFERROR(IF(ROW()-8&lt;=COPIA!$IG$1,SUBSTITUTE(INDEX(COPIA!$IB$3:$IH$18,MATCH(ROWS($B$9:B59),COPIA!$IH$3:$IH$18,0),1),"_"," "),IF(ROW()-8&gt;=COPIA!$IG$1+COPIA!$IH$1,SUBSTITUTE(INDEX(COPIA!$IB$37:$IH$93,MATCH(ROW()-8-COPIA!$IH$1,COPIA!$IH$37:$IH$93,0),1),"_"," "),"")),"")</f>
        <v/>
      </c>
      <c r="C59" s="224" t="str">
        <f ca="1">IFERROR(IF(ROW()-8&lt;=COPIA!$IG$1,INDEX(COPIA!$IB$3:$IH$18,MATCH(ROWS($B$9:B59),COPIA!$IH$3:$IH$18,0),6),IF(ROW()-8&gt;=COPIA!$IG$1+2,INDEX(COPIA!$IB$37:$IH$93,MATCH(ROW()-8-COPIA!$IH$1,COPIA!$IH$37:$IH$93,0),6),"")),"")</f>
        <v/>
      </c>
      <c r="D59" s="223" t="str">
        <f ca="1">IFERROR(SUBSTITUTE(INDEX(COPIA!$IB$19:$IH$34,MATCH(ROWS($D$9:D59),COPIA!$IH$19:$IH$34,0),1),"_"," "),"")</f>
        <v/>
      </c>
      <c r="E59" s="225" t="str">
        <f ca="1">IFERROR(INDEX(COPIA!$IB$19:$IH$34,MATCH(ROWS($D$9:E59),COPIA!$IH$19:$IH$34,0),6),"")</f>
        <v/>
      </c>
      <c r="F59" s="14"/>
    </row>
    <row r="60" spans="1:6" ht="20.100000000000001" customHeight="1">
      <c r="A60" s="14"/>
      <c r="B60" s="223" t="str">
        <f ca="1">IFERROR(IF(ROW()-8&lt;=COPIA!$IG$1,SUBSTITUTE(INDEX(COPIA!$IB$3:$IH$18,MATCH(ROWS($B$9:B60),COPIA!$IH$3:$IH$18,0),1),"_"," "),IF(ROW()-8&gt;=COPIA!$IG$1+COPIA!$IH$1,SUBSTITUTE(INDEX(COPIA!$IB$37:$IH$93,MATCH(ROW()-8-COPIA!$IH$1,COPIA!$IH$37:$IH$93,0),1),"_"," "),"")),"")</f>
        <v/>
      </c>
      <c r="C60" s="224" t="str">
        <f ca="1">IFERROR(IF(ROW()-8&lt;=COPIA!$IG$1,INDEX(COPIA!$IB$3:$IH$18,MATCH(ROWS($B$9:B60),COPIA!$IH$3:$IH$18,0),6),IF(ROW()-8&gt;=COPIA!$IG$1+2,INDEX(COPIA!$IB$37:$IH$93,MATCH(ROW()-8-COPIA!$IH$1,COPIA!$IH$37:$IH$93,0),6),"")),"")</f>
        <v/>
      </c>
      <c r="D60" s="223" t="str">
        <f ca="1">IFERROR(SUBSTITUTE(INDEX(COPIA!$IB$19:$IH$34,MATCH(ROWS($D$9:D60),COPIA!$IH$19:$IH$34,0),1),"_"," "),"")</f>
        <v/>
      </c>
      <c r="E60" s="225" t="str">
        <f ca="1">IFERROR(INDEX(COPIA!$IB$19:$IH$34,MATCH(ROWS($D$9:E60),COPIA!$IH$19:$IH$34,0),6),"")</f>
        <v/>
      </c>
      <c r="F60" s="14"/>
    </row>
    <row r="61" spans="1:6" ht="20.100000000000001" customHeight="1">
      <c r="A61" s="14"/>
      <c r="B61" s="223" t="str">
        <f ca="1">IFERROR(IF(ROW()-8&lt;=COPIA!$IG$1,SUBSTITUTE(INDEX(COPIA!$IB$3:$IH$18,MATCH(ROWS($B$9:B61),COPIA!$IH$3:$IH$18,0),1),"_"," "),IF(ROW()-8&gt;=COPIA!$IG$1+COPIA!$IH$1,SUBSTITUTE(INDEX(COPIA!$IB$37:$IH$93,MATCH(ROW()-8-COPIA!$IH$1,COPIA!$IH$37:$IH$93,0),1),"_"," "),"")),"")</f>
        <v/>
      </c>
      <c r="C61" s="224" t="str">
        <f ca="1">IFERROR(IF(ROW()-8&lt;=COPIA!$IG$1,INDEX(COPIA!$IB$3:$IH$18,MATCH(ROWS($B$9:B61),COPIA!$IH$3:$IH$18,0),6),IF(ROW()-8&gt;=COPIA!$IG$1+2,INDEX(COPIA!$IB$37:$IH$93,MATCH(ROW()-8-COPIA!$IH$1,COPIA!$IH$37:$IH$93,0),6),"")),"")</f>
        <v/>
      </c>
      <c r="D61" s="223" t="str">
        <f ca="1">IFERROR(SUBSTITUTE(INDEX(COPIA!$IB$19:$IH$34,MATCH(ROWS($D$9:D61),COPIA!$IH$19:$IH$34,0),1),"_"," "),"")</f>
        <v/>
      </c>
      <c r="E61" s="225" t="str">
        <f ca="1">IFERROR(INDEX(COPIA!$IB$19:$IH$34,MATCH(ROWS($D$9:E61),COPIA!$IH$19:$IH$34,0),6),"")</f>
        <v/>
      </c>
      <c r="F61" s="14"/>
    </row>
    <row r="62" spans="1:6" ht="20.100000000000001" customHeight="1">
      <c r="A62" s="14"/>
      <c r="B62" s="223" t="str">
        <f ca="1">IFERROR(IF(ROW()-8&lt;=COPIA!$IG$1,SUBSTITUTE(INDEX(COPIA!$IB$3:$IH$18,MATCH(ROWS($B$9:B62),COPIA!$IH$3:$IH$18,0),1),"_"," "),IF(ROW()-8&gt;=COPIA!$IG$1+COPIA!$IH$1,SUBSTITUTE(INDEX(COPIA!$IB$37:$IH$93,MATCH(ROW()-8-COPIA!$IH$1,COPIA!$IH$37:$IH$93,0),1),"_"," "),"")),"")</f>
        <v/>
      </c>
      <c r="C62" s="224" t="str">
        <f ca="1">IFERROR(IF(ROW()-8&lt;=COPIA!$IG$1,INDEX(COPIA!$IB$3:$IH$18,MATCH(ROWS($B$9:B62),COPIA!$IH$3:$IH$18,0),6),IF(ROW()-8&gt;=COPIA!$IG$1+2,INDEX(COPIA!$IB$37:$IH$93,MATCH(ROW()-8-COPIA!$IH$1,COPIA!$IH$37:$IH$93,0),6),"")),"")</f>
        <v/>
      </c>
      <c r="D62" s="223" t="str">
        <f ca="1">IFERROR(SUBSTITUTE(INDEX(COPIA!$IB$19:$IH$34,MATCH(ROWS($D$9:D62),COPIA!$IH$19:$IH$34,0),1),"_"," "),"")</f>
        <v/>
      </c>
      <c r="E62" s="225" t="str">
        <f ca="1">IFERROR(INDEX(COPIA!$IB$19:$IH$34,MATCH(ROWS($D$9:E62),COPIA!$IH$19:$IH$34,0),6),"")</f>
        <v/>
      </c>
      <c r="F62" s="14"/>
    </row>
    <row r="63" spans="1:6" ht="20.100000000000001" customHeight="1">
      <c r="A63" s="14"/>
      <c r="B63" s="223" t="str">
        <f ca="1">IFERROR(IF(ROW()-8&lt;=COPIA!$IG$1,SUBSTITUTE(INDEX(COPIA!$IB$3:$IH$18,MATCH(ROWS($B$9:B63),COPIA!$IH$3:$IH$18,0),1),"_"," "),IF(ROW()-8&gt;=COPIA!$IG$1+COPIA!$IH$1,SUBSTITUTE(INDEX(COPIA!$IB$37:$IH$93,MATCH(ROW()-8-COPIA!$IH$1,COPIA!$IH$37:$IH$93,0),1),"_"," "),"")),"")</f>
        <v/>
      </c>
      <c r="C63" s="224" t="str">
        <f ca="1">IFERROR(IF(ROW()-8&lt;=COPIA!$IG$1,INDEX(COPIA!$IB$3:$IH$18,MATCH(ROWS($B$9:B63),COPIA!$IH$3:$IH$18,0),6),IF(ROW()-8&gt;=COPIA!$IG$1+2,INDEX(COPIA!$IB$37:$IH$93,MATCH(ROW()-8-COPIA!$IH$1,COPIA!$IH$37:$IH$93,0),6),"")),"")</f>
        <v/>
      </c>
      <c r="D63" s="223" t="str">
        <f ca="1">IFERROR(SUBSTITUTE(INDEX(COPIA!$IB$19:$IH$34,MATCH(ROWS($D$9:D63),COPIA!$IH$19:$IH$34,0),1),"_"," "),"")</f>
        <v/>
      </c>
      <c r="E63" s="225" t="str">
        <f ca="1">IFERROR(INDEX(COPIA!$IB$19:$IH$34,MATCH(ROWS($D$9:E63),COPIA!$IH$19:$IH$34,0),6),"")</f>
        <v/>
      </c>
      <c r="F63" s="14"/>
    </row>
    <row r="64" spans="1:6" ht="20.100000000000001" customHeight="1">
      <c r="A64" s="14"/>
      <c r="B64" s="223" t="str">
        <f ca="1">IFERROR(IF(ROW()-8&lt;=COPIA!$IG$1,SUBSTITUTE(INDEX(COPIA!$IB$3:$IH$18,MATCH(ROWS($B$9:B64),COPIA!$IH$3:$IH$18,0),1),"_"," "),IF(ROW()-8&gt;=COPIA!$IG$1+COPIA!$IH$1,SUBSTITUTE(INDEX(COPIA!$IB$37:$IH$93,MATCH(ROW()-8-COPIA!$IH$1,COPIA!$IH$37:$IH$93,0),1),"_"," "),"")),"")</f>
        <v/>
      </c>
      <c r="C64" s="224" t="str">
        <f ca="1">IFERROR(IF(ROW()-8&lt;=COPIA!$IG$1,INDEX(COPIA!$IB$3:$IH$18,MATCH(ROWS($B$9:B64),COPIA!$IH$3:$IH$18,0),6),IF(ROW()-8&gt;=COPIA!$IG$1+2,INDEX(COPIA!$IB$37:$IH$93,MATCH(ROW()-8-COPIA!$IH$1,COPIA!$IH$37:$IH$93,0),6),"")),"")</f>
        <v/>
      </c>
      <c r="D64" s="223" t="str">
        <f ca="1">IFERROR(SUBSTITUTE(INDEX(COPIA!$IB$19:$IH$34,MATCH(ROWS($D$9:D64),COPIA!$IH$19:$IH$34,0),1),"_"," "),"")</f>
        <v/>
      </c>
      <c r="E64" s="225" t="str">
        <f ca="1">IFERROR(INDEX(COPIA!$IB$19:$IH$34,MATCH(ROWS($D$9:E64),COPIA!$IH$19:$IH$34,0),6),"")</f>
        <v/>
      </c>
      <c r="F64" s="14"/>
    </row>
    <row r="65" spans="1:6" ht="20.100000000000001" customHeight="1">
      <c r="A65" s="14"/>
      <c r="B65" s="223" t="str">
        <f ca="1">IFERROR(IF(ROW()-8&lt;=COPIA!$IG$1,SUBSTITUTE(INDEX(COPIA!$IB$3:$IH$18,MATCH(ROWS($B$9:B65),COPIA!$IH$3:$IH$18,0),1),"_"," "),IF(ROW()-8&gt;=COPIA!$IG$1+COPIA!$IH$1,SUBSTITUTE(INDEX(COPIA!$IB$37:$IH$93,MATCH(ROW()-8-COPIA!$IH$1,COPIA!$IH$37:$IH$93,0),1),"_"," "),"")),"")</f>
        <v/>
      </c>
      <c r="C65" s="224" t="str">
        <f ca="1">IFERROR(IF(ROW()-8&lt;=COPIA!$IG$1,INDEX(COPIA!$IB$3:$IH$18,MATCH(ROWS($B$9:B65),COPIA!$IH$3:$IH$18,0),6),IF(ROW()-8&gt;=COPIA!$IG$1+2,INDEX(COPIA!$IB$37:$IH$93,MATCH(ROW()-8-COPIA!$IH$1,COPIA!$IH$37:$IH$93,0),6),"")),"")</f>
        <v/>
      </c>
      <c r="D65" s="223" t="str">
        <f ca="1">IFERROR(SUBSTITUTE(INDEX(COPIA!$IB$19:$IH$34,MATCH(ROWS($D$9:D65),COPIA!$IH$19:$IH$34,0),1),"_"," "),"")</f>
        <v/>
      </c>
      <c r="E65" s="225" t="str">
        <f ca="1">IFERROR(INDEX(COPIA!$IB$19:$IH$34,MATCH(ROWS($D$9:E65),COPIA!$IH$19:$IH$34,0),6),"")</f>
        <v/>
      </c>
      <c r="F65" s="14"/>
    </row>
    <row r="66" spans="1:6" ht="20.100000000000001" customHeight="1">
      <c r="A66" s="14"/>
      <c r="B66" s="223" t="str">
        <f ca="1">IFERROR(IF(ROW()-8&lt;=COPIA!$IG$1,SUBSTITUTE(INDEX(COPIA!$IB$3:$IH$18,MATCH(ROWS($B$9:B66),COPIA!$IH$3:$IH$18,0),1),"_"," "),IF(ROW()-8&gt;=COPIA!$IG$1+COPIA!$IH$1,SUBSTITUTE(INDEX(COPIA!$IB$37:$IH$93,MATCH(ROW()-8-COPIA!$IH$1,COPIA!$IH$37:$IH$93,0),1),"_"," "),"")),"")</f>
        <v/>
      </c>
      <c r="C66" s="224" t="str">
        <f ca="1">IFERROR(IF(ROW()-8&lt;=COPIA!$IG$1,INDEX(COPIA!$IB$3:$IH$18,MATCH(ROWS($B$9:B66),COPIA!$IH$3:$IH$18,0),6),IF(ROW()-8&gt;=COPIA!$IG$1+2,INDEX(COPIA!$IB$37:$IH$93,MATCH(ROW()-8-COPIA!$IH$1,COPIA!$IH$37:$IH$93,0),6),"")),"")</f>
        <v/>
      </c>
      <c r="D66" s="223" t="str">
        <f ca="1">IFERROR(SUBSTITUTE(INDEX(COPIA!$IB$19:$IH$34,MATCH(ROWS($D$9:D66),COPIA!$IH$19:$IH$34,0),1),"_"," "),"")</f>
        <v/>
      </c>
      <c r="E66" s="225" t="str">
        <f ca="1">IFERROR(INDEX(COPIA!$IB$19:$IH$34,MATCH(ROWS($D$9:E66),COPIA!$IH$19:$IH$34,0),6),"")</f>
        <v/>
      </c>
      <c r="F66" s="14"/>
    </row>
    <row r="67" spans="1:6" ht="20.100000000000001" customHeight="1">
      <c r="A67" s="14"/>
      <c r="B67" s="223" t="str">
        <f ca="1">IFERROR(IF(ROW()-8&lt;=COPIA!$IG$1,SUBSTITUTE(INDEX(COPIA!$IB$3:$IH$18,MATCH(ROWS($B$9:B67),COPIA!$IH$3:$IH$18,0),1),"_"," "),IF(ROW()-8&gt;=COPIA!$IG$1+COPIA!$IH$1,SUBSTITUTE(INDEX(COPIA!$IB$37:$IH$93,MATCH(ROW()-8-COPIA!$IH$1,COPIA!$IH$37:$IH$93,0),1),"_"," "),"")),"")</f>
        <v/>
      </c>
      <c r="C67" s="224" t="str">
        <f ca="1">IFERROR(IF(ROW()-8&lt;=COPIA!$IG$1,INDEX(COPIA!$IB$3:$IH$18,MATCH(ROWS($B$9:B67),COPIA!$IH$3:$IH$18,0),6),IF(ROW()-8&gt;=COPIA!$IG$1+2,INDEX(COPIA!$IB$37:$IH$93,MATCH(ROW()-8-COPIA!$IH$1,COPIA!$IH$37:$IH$93,0),6),"")),"")</f>
        <v/>
      </c>
      <c r="D67" s="223" t="str">
        <f ca="1">IFERROR(SUBSTITUTE(INDEX(COPIA!$IB$19:$IH$34,MATCH(ROWS($D$9:D67),COPIA!$IH$19:$IH$34,0),1),"_"," "),"")</f>
        <v/>
      </c>
      <c r="E67" s="225" t="str">
        <f ca="1">IFERROR(INDEX(COPIA!$IB$19:$IH$34,MATCH(ROWS($D$9:E67),COPIA!$IH$19:$IH$34,0),6),"")</f>
        <v/>
      </c>
      <c r="F67" s="14"/>
    </row>
    <row r="68" spans="1:6" ht="20.100000000000001" customHeight="1">
      <c r="A68" s="14"/>
      <c r="B68" s="223" t="str">
        <f ca="1">IFERROR(IF(ROW()-8&lt;=COPIA!$IG$1,SUBSTITUTE(INDEX(COPIA!$IB$3:$IH$18,MATCH(ROWS($B$9:B68),COPIA!$IH$3:$IH$18,0),1),"_"," "),IF(ROW()-8&gt;=COPIA!$IG$1+COPIA!$IH$1,SUBSTITUTE(INDEX(COPIA!$IB$37:$IH$93,MATCH(ROW()-8-COPIA!$IH$1,COPIA!$IH$37:$IH$93,0),1),"_"," "),"")),"")</f>
        <v/>
      </c>
      <c r="C68" s="224" t="str">
        <f ca="1">IFERROR(IF(ROW()-8&lt;=COPIA!$IG$1,INDEX(COPIA!$IB$3:$IH$18,MATCH(ROWS($B$9:B68),COPIA!$IH$3:$IH$18,0),6),IF(ROW()-8&gt;=COPIA!$IG$1+2,INDEX(COPIA!$IB$37:$IH$93,MATCH(ROW()-8-COPIA!$IH$1,COPIA!$IH$37:$IH$93,0),6),"")),"")</f>
        <v/>
      </c>
      <c r="D68" s="223" t="str">
        <f ca="1">IFERROR(SUBSTITUTE(INDEX(COPIA!$IB$19:$IH$34,MATCH(ROWS($D$9:D68),COPIA!$IH$19:$IH$34,0),1),"_"," "),"")</f>
        <v/>
      </c>
      <c r="E68" s="225" t="str">
        <f ca="1">IFERROR(INDEX(COPIA!$IB$19:$IH$34,MATCH(ROWS($D$9:E68),COPIA!$IH$19:$IH$34,0),6),"")</f>
        <v/>
      </c>
      <c r="F68" s="14"/>
    </row>
    <row r="69" spans="1:6" ht="20.100000000000001" customHeight="1">
      <c r="A69" s="14"/>
      <c r="B69" s="223" t="str">
        <f ca="1">IFERROR(IF(ROW()-8&lt;=COPIA!$IG$1,SUBSTITUTE(INDEX(COPIA!$IB$3:$IH$18,MATCH(ROWS($B$9:B69),COPIA!$IH$3:$IH$18,0),1),"_"," "),IF(ROW()-8&gt;=COPIA!$IG$1+COPIA!$IH$1,SUBSTITUTE(INDEX(COPIA!$IB$37:$IH$93,MATCH(ROW()-8-COPIA!$IH$1,COPIA!$IH$37:$IH$93,0),1),"_"," "),"")),"")</f>
        <v/>
      </c>
      <c r="C69" s="224" t="str">
        <f ca="1">IFERROR(IF(ROW()-8&lt;=COPIA!$IG$1,INDEX(COPIA!$IB$3:$IH$18,MATCH(ROWS($B$9:B69),COPIA!$IH$3:$IH$18,0),6),IF(ROW()-8&gt;=COPIA!$IG$1+2,INDEX(COPIA!$IB$37:$IH$93,MATCH(ROW()-8-COPIA!$IH$1,COPIA!$IH$37:$IH$93,0),6),"")),"")</f>
        <v/>
      </c>
      <c r="D69" s="223" t="str">
        <f ca="1">IFERROR(SUBSTITUTE(INDEX(COPIA!$IB$19:$IH$34,MATCH(ROWS($D$9:D69),COPIA!$IH$19:$IH$34,0),1),"_"," "),"")</f>
        <v/>
      </c>
      <c r="E69" s="225" t="str">
        <f ca="1">IFERROR(INDEX(COPIA!$IB$19:$IH$34,MATCH(ROWS($D$9:E69),COPIA!$IH$19:$IH$34,0),6),"")</f>
        <v/>
      </c>
      <c r="F69" s="14"/>
    </row>
    <row r="70" spans="1:6" ht="20.100000000000001" customHeight="1">
      <c r="A70" s="14"/>
      <c r="B70" s="223" t="str">
        <f ca="1">IFERROR(IF(ROW()-8&lt;=COPIA!$IG$1,SUBSTITUTE(INDEX(COPIA!$IB$3:$IH$18,MATCH(ROWS($B$9:B70),COPIA!$IH$3:$IH$18,0),1),"_"," "),IF(ROW()-8&gt;=COPIA!$IG$1+COPIA!$IH$1,SUBSTITUTE(INDEX(COPIA!$IB$37:$IH$93,MATCH(ROW()-8-COPIA!$IH$1,COPIA!$IH$37:$IH$93,0),1),"_"," "),"")),"")</f>
        <v/>
      </c>
      <c r="C70" s="224" t="str">
        <f ca="1">IFERROR(IF(ROW()-8&lt;=COPIA!$IG$1,INDEX(COPIA!$IB$3:$IH$18,MATCH(ROWS($B$9:B70),COPIA!$IH$3:$IH$18,0),6),IF(ROW()-8&gt;=COPIA!$IG$1+2,INDEX(COPIA!$IB$37:$IH$93,MATCH(ROW()-8-COPIA!$IH$1,COPIA!$IH$37:$IH$93,0),6),"")),"")</f>
        <v/>
      </c>
      <c r="D70" s="223" t="str">
        <f ca="1">IFERROR(SUBSTITUTE(INDEX(COPIA!$IB$19:$IH$34,MATCH(ROWS($D$9:D70),COPIA!$IH$19:$IH$34,0),1),"_"," "),"")</f>
        <v/>
      </c>
      <c r="E70" s="225" t="str">
        <f ca="1">IFERROR(INDEX(COPIA!$IB$19:$IH$34,MATCH(ROWS($D$9:E70),COPIA!$IH$19:$IH$34,0),6),"")</f>
        <v/>
      </c>
      <c r="F70" s="14"/>
    </row>
    <row r="71" spans="1:6" ht="20.100000000000001" customHeight="1">
      <c r="A71" s="14"/>
      <c r="B71" s="223" t="str">
        <f ca="1">IFERROR(IF(ROW()-8&lt;=COPIA!$IG$1,SUBSTITUTE(INDEX(COPIA!$IB$3:$IH$18,MATCH(ROWS($B$9:B71),COPIA!$IH$3:$IH$18,0),1),"_"," "),IF(ROW()-8&gt;=COPIA!$IG$1+COPIA!$IH$1,SUBSTITUTE(INDEX(COPIA!$IB$37:$IH$93,MATCH(ROW()-8-COPIA!$IH$1,COPIA!$IH$37:$IH$93,0),1),"_"," "),"")),"")</f>
        <v/>
      </c>
      <c r="C71" s="224" t="str">
        <f ca="1">IFERROR(IF(ROW()-8&lt;=COPIA!$IG$1,INDEX(COPIA!$IB$3:$IH$18,MATCH(ROWS($B$9:B71),COPIA!$IH$3:$IH$18,0),6),IF(ROW()-8&gt;=COPIA!$IG$1+2,INDEX(COPIA!$IB$37:$IH$93,MATCH(ROW()-8-COPIA!$IH$1,COPIA!$IH$37:$IH$93,0),6),"")),"")</f>
        <v/>
      </c>
      <c r="D71" s="223" t="str">
        <f ca="1">IFERROR(SUBSTITUTE(INDEX(COPIA!$IB$19:$IH$34,MATCH(ROWS($D$9:D71),COPIA!$IH$19:$IH$34,0),1),"_"," "),"")</f>
        <v/>
      </c>
      <c r="E71" s="225" t="str">
        <f ca="1">IFERROR(INDEX(COPIA!$IB$19:$IH$34,MATCH(ROWS($D$9:E71),COPIA!$IH$19:$IH$34,0),6),"")</f>
        <v/>
      </c>
      <c r="F71" s="14"/>
    </row>
    <row r="72" spans="1:6" ht="20.100000000000001" customHeight="1">
      <c r="A72" s="14"/>
      <c r="B72" s="223" t="str">
        <f ca="1">IFERROR(IF(ROW()-8&lt;=COPIA!$IG$1,SUBSTITUTE(INDEX(COPIA!$IB$3:$IH$18,MATCH(ROWS($B$9:B72),COPIA!$IH$3:$IH$18,0),1),"_"," "),IF(ROW()-8&gt;=COPIA!$IG$1+COPIA!$IH$1,SUBSTITUTE(INDEX(COPIA!$IB$37:$IH$93,MATCH(ROW()-8-COPIA!$IH$1,COPIA!$IH$37:$IH$93,0),1),"_"," "),"")),"")</f>
        <v/>
      </c>
      <c r="C72" s="224" t="str">
        <f ca="1">IFERROR(IF(ROW()-8&lt;=COPIA!$IG$1,INDEX(COPIA!$IB$3:$IH$18,MATCH(ROWS($B$9:B72),COPIA!$IH$3:$IH$18,0),6),IF(ROW()-8&gt;=COPIA!$IG$1+2,INDEX(COPIA!$IB$37:$IH$93,MATCH(ROW()-8-COPIA!$IH$1,COPIA!$IH$37:$IH$93,0),6),"")),"")</f>
        <v/>
      </c>
      <c r="D72" s="223" t="str">
        <f ca="1">IFERROR(SUBSTITUTE(INDEX(COPIA!$IB$19:$IH$34,MATCH(ROWS($D$9:D72),COPIA!$IH$19:$IH$34,0),1),"_"," "),"")</f>
        <v/>
      </c>
      <c r="E72" s="225" t="str">
        <f ca="1">IFERROR(INDEX(COPIA!$IB$19:$IH$34,MATCH(ROWS($D$9:E72),COPIA!$IH$19:$IH$34,0),6),"")</f>
        <v/>
      </c>
      <c r="F72" s="14"/>
    </row>
    <row r="73" spans="1:6" ht="20.100000000000001" customHeight="1">
      <c r="A73" s="14"/>
      <c r="B73" s="223" t="str">
        <f ca="1">IFERROR(IF(ROW()-8&lt;=COPIA!$IG$1,SUBSTITUTE(INDEX(COPIA!$IB$3:$IH$18,MATCH(ROWS($B$9:B73),COPIA!$IH$3:$IH$18,0),1),"_"," "),IF(ROW()-8&gt;=COPIA!$IG$1+COPIA!$IH$1,SUBSTITUTE(INDEX(COPIA!$IB$37:$IH$93,MATCH(ROW()-8-COPIA!$IH$1,COPIA!$IH$37:$IH$93,0),1),"_"," "),"")),"")</f>
        <v/>
      </c>
      <c r="C73" s="224" t="str">
        <f ca="1">IFERROR(IF(ROW()-8&lt;=COPIA!$IG$1,INDEX(COPIA!$IB$3:$IH$18,MATCH(ROWS($B$9:B73),COPIA!$IH$3:$IH$18,0),6),IF(ROW()-8&gt;=COPIA!$IG$1+2,INDEX(COPIA!$IB$37:$IH$93,MATCH(ROW()-8-COPIA!$IH$1,COPIA!$IH$37:$IH$93,0),6),"")),"")</f>
        <v/>
      </c>
      <c r="D73" s="223" t="str">
        <f ca="1">IFERROR(SUBSTITUTE(INDEX(COPIA!$IB$19:$IH$34,MATCH(ROWS($D$9:D73),COPIA!$IH$19:$IH$34,0),1),"_"," "),"")</f>
        <v/>
      </c>
      <c r="E73" s="225" t="str">
        <f ca="1">IFERROR(INDEX(COPIA!$IB$19:$IH$34,MATCH(ROWS($D$9:E73),COPIA!$IH$19:$IH$34,0),6),"")</f>
        <v/>
      </c>
      <c r="F73" s="14"/>
    </row>
    <row r="74" spans="1:6" ht="20.100000000000001" customHeight="1">
      <c r="A74" s="14"/>
      <c r="B74" s="223" t="str">
        <f ca="1">IFERROR(IF(ROW()-8&lt;=COPIA!$IG$1,SUBSTITUTE(INDEX(COPIA!$IB$3:$IH$18,MATCH(ROWS($B$9:B74),COPIA!$IH$3:$IH$18,0),1),"_"," "),IF(ROW()-8&gt;=COPIA!$IG$1+COPIA!$IH$1,SUBSTITUTE(INDEX(COPIA!$IB$37:$IH$93,MATCH(ROW()-8-COPIA!$IH$1,COPIA!$IH$37:$IH$93,0),1),"_"," "),"")),"")</f>
        <v/>
      </c>
      <c r="C74" s="224" t="str">
        <f ca="1">IFERROR(IF(ROW()-8&lt;=COPIA!$IG$1,INDEX(COPIA!$IB$3:$IH$18,MATCH(ROWS($B$9:B74),COPIA!$IH$3:$IH$18,0),6),IF(ROW()-8&gt;=COPIA!$IG$1+2,INDEX(COPIA!$IB$37:$IH$93,MATCH(ROW()-8-COPIA!$IH$1,COPIA!$IH$37:$IH$93,0),6),"")),"")</f>
        <v/>
      </c>
      <c r="D74" s="223" t="str">
        <f ca="1">IFERROR(SUBSTITUTE(INDEX(COPIA!$IB$19:$IH$34,MATCH(ROWS($D$9:D74),COPIA!$IH$19:$IH$34,0),1),"_"," "),"")</f>
        <v/>
      </c>
      <c r="E74" s="225" t="str">
        <f ca="1">IFERROR(INDEX(COPIA!$IB$19:$IH$34,MATCH(ROWS($D$9:E74),COPIA!$IH$19:$IH$34,0),6),"")</f>
        <v/>
      </c>
      <c r="F74" s="14"/>
    </row>
    <row r="75" spans="1:6" ht="20.100000000000001" customHeight="1">
      <c r="A75" s="14"/>
      <c r="B75" s="223" t="str">
        <f ca="1">IFERROR(IF(ROW()-8&lt;=COPIA!$IG$1,SUBSTITUTE(INDEX(COPIA!$IB$3:$IH$18,MATCH(ROWS($B$9:B75),COPIA!$IH$3:$IH$18,0),1),"_"," "),IF(ROW()-8&gt;=COPIA!$IG$1+COPIA!$IH$1,SUBSTITUTE(INDEX(COPIA!$IB$37:$IH$93,MATCH(ROW()-8-COPIA!$IH$1,COPIA!$IH$37:$IH$93,0),1),"_"," "),"")),"")</f>
        <v/>
      </c>
      <c r="C75" s="224" t="str">
        <f ca="1">IFERROR(IF(ROW()-8&lt;=COPIA!$IG$1,INDEX(COPIA!$IB$3:$IH$18,MATCH(ROWS($B$9:B75),COPIA!$IH$3:$IH$18,0),6),IF(ROW()-8&gt;=COPIA!$IG$1+2,INDEX(COPIA!$IB$37:$IH$93,MATCH(ROW()-8-COPIA!$IH$1,COPIA!$IH$37:$IH$93,0),6),"")),"")</f>
        <v/>
      </c>
      <c r="D75" s="223" t="str">
        <f ca="1">IFERROR(SUBSTITUTE(INDEX(COPIA!$IB$19:$IH$34,MATCH(ROWS($D$9:D75),COPIA!$IH$19:$IH$34,0),1),"_"," "),"")</f>
        <v/>
      </c>
      <c r="E75" s="225" t="str">
        <f ca="1">IFERROR(INDEX(COPIA!$IB$19:$IH$34,MATCH(ROWS($D$9:E75),COPIA!$IH$19:$IH$34,0),6),"")</f>
        <v/>
      </c>
      <c r="F75" s="14"/>
    </row>
    <row r="76" spans="1:6" ht="20.100000000000001" customHeight="1">
      <c r="A76" s="14"/>
      <c r="B76" s="223" t="str">
        <f ca="1">IFERROR(IF(ROW()-8&lt;=COPIA!$IG$1,SUBSTITUTE(INDEX(COPIA!$IB$3:$IH$18,MATCH(ROWS($B$9:B76),COPIA!$IH$3:$IH$18,0),1),"_"," "),IF(ROW()-8&gt;=COPIA!$IG$1+COPIA!$IH$1,SUBSTITUTE(INDEX(COPIA!$IB$37:$IH$93,MATCH(ROW()-8-COPIA!$IH$1,COPIA!$IH$37:$IH$93,0),1),"_"," "),"")),"")</f>
        <v/>
      </c>
      <c r="C76" s="224" t="str">
        <f ca="1">IFERROR(IF(ROW()-8&lt;=COPIA!$IG$1,INDEX(COPIA!$IB$3:$IH$18,MATCH(ROWS($B$9:B76),COPIA!$IH$3:$IH$18,0),6),IF(ROW()-8&gt;=COPIA!$IG$1+2,INDEX(COPIA!$IB$37:$IH$93,MATCH(ROW()-8-COPIA!$IH$1,COPIA!$IH$37:$IH$93,0),6),"")),"")</f>
        <v/>
      </c>
      <c r="D76" s="223" t="str">
        <f ca="1">IFERROR(SUBSTITUTE(INDEX(COPIA!$IB$19:$IH$34,MATCH(ROWS($D$9:D76),COPIA!$IH$19:$IH$34,0),1),"_"," "),"")</f>
        <v/>
      </c>
      <c r="E76" s="225" t="str">
        <f ca="1">IFERROR(INDEX(COPIA!$IB$19:$IH$34,MATCH(ROWS($D$9:E76),COPIA!$IH$19:$IH$34,0),6),"")</f>
        <v/>
      </c>
      <c r="F76" s="14"/>
    </row>
    <row r="77" spans="1:6" ht="20.100000000000001" customHeight="1">
      <c r="A77" s="14"/>
      <c r="B77" s="223" t="str">
        <f ca="1">IFERROR(IF(ROW()-8&lt;=COPIA!$IG$1,SUBSTITUTE(INDEX(COPIA!$IB$3:$IH$18,MATCH(ROWS($B$9:B77),COPIA!$IH$3:$IH$18,0),1),"_"," "),IF(ROW()-8&gt;=COPIA!$IG$1+COPIA!$IH$1,SUBSTITUTE(INDEX(COPIA!$IB$37:$IH$93,MATCH(ROW()-8-COPIA!$IH$1,COPIA!$IH$37:$IH$93,0),1),"_"," "),"")),"")</f>
        <v/>
      </c>
      <c r="C77" s="224" t="str">
        <f ca="1">IFERROR(IF(ROW()-8&lt;=COPIA!$IG$1,INDEX(COPIA!$IB$3:$IH$18,MATCH(ROWS($B$9:B77),COPIA!$IH$3:$IH$18,0),6),IF(ROW()-8&gt;=COPIA!$IG$1+2,INDEX(COPIA!$IB$37:$IH$93,MATCH(ROW()-8-COPIA!$IH$1,COPIA!$IH$37:$IH$93,0),6),"")),"")</f>
        <v/>
      </c>
      <c r="D77" s="223" t="str">
        <f ca="1">IFERROR(SUBSTITUTE(INDEX(COPIA!$IB$19:$IH$34,MATCH(ROWS($D$9:D77),COPIA!$IH$19:$IH$34,0),1),"_"," "),"")</f>
        <v/>
      </c>
      <c r="E77" s="225" t="str">
        <f ca="1">IFERROR(INDEX(COPIA!$IB$19:$IH$34,MATCH(ROWS($D$9:E77),COPIA!$IH$19:$IH$34,0),6),"")</f>
        <v/>
      </c>
      <c r="F77" s="14"/>
    </row>
    <row r="78" spans="1:6" ht="20.100000000000001" customHeight="1">
      <c r="A78" s="14"/>
      <c r="B78" s="223" t="str">
        <f ca="1">IFERROR(IF(ROW()-8&lt;=COPIA!$IG$1,SUBSTITUTE(INDEX(COPIA!$IB$3:$IH$18,MATCH(ROWS($B$9:B78),COPIA!$IH$3:$IH$18,0),1),"_"," "),IF(ROW()-8&gt;=COPIA!$IG$1+COPIA!$IH$1,SUBSTITUTE(INDEX(COPIA!$IB$37:$IH$93,MATCH(ROW()-8-COPIA!$IH$1,COPIA!$IH$37:$IH$93,0),1),"_"," "),"")),"")</f>
        <v/>
      </c>
      <c r="C78" s="224" t="str">
        <f ca="1">IFERROR(IF(ROW()-8&lt;=COPIA!$IG$1,INDEX(COPIA!$IB$3:$IH$18,MATCH(ROWS($B$9:B78),COPIA!$IH$3:$IH$18,0),6),IF(ROW()-8&gt;=COPIA!$IG$1+2,INDEX(COPIA!$IB$37:$IH$93,MATCH(ROW()-8-COPIA!$IH$1,COPIA!$IH$37:$IH$93,0),6),"")),"")</f>
        <v/>
      </c>
      <c r="D78" s="223" t="str">
        <f ca="1">IFERROR(SUBSTITUTE(INDEX(COPIA!$IB$19:$IH$34,MATCH(ROWS($D$9:D78),COPIA!$IH$19:$IH$34,0),1),"_"," "),"")</f>
        <v/>
      </c>
      <c r="E78" s="225" t="str">
        <f ca="1">IFERROR(INDEX(COPIA!$IB$19:$IH$34,MATCH(ROWS($D$9:E78),COPIA!$IH$19:$IH$34,0),6),"")</f>
        <v/>
      </c>
      <c r="F78" s="14"/>
    </row>
    <row r="79" spans="1:6" ht="20.100000000000001" customHeight="1">
      <c r="A79" s="14"/>
      <c r="B79" s="223" t="str">
        <f ca="1">IFERROR(IF(ROW()-8&lt;=COPIA!$IG$1,SUBSTITUTE(INDEX(COPIA!$IB$3:$IH$18,MATCH(ROWS($B$9:B79),COPIA!$IH$3:$IH$18,0),1),"_"," "),IF(ROW()-8&gt;=COPIA!$IG$1+COPIA!$IH$1,SUBSTITUTE(INDEX(COPIA!$IB$37:$IH$93,MATCH(ROW()-8-COPIA!$IH$1,COPIA!$IH$37:$IH$93,0),1),"_"," "),"")),"")</f>
        <v/>
      </c>
      <c r="C79" s="224" t="str">
        <f ca="1">IFERROR(IF(ROW()-8&lt;=COPIA!$IG$1,INDEX(COPIA!$IB$3:$IH$18,MATCH(ROWS($B$9:B79),COPIA!$IH$3:$IH$18,0),6),IF(ROW()-8&gt;=COPIA!$IG$1+2,INDEX(COPIA!$IB$37:$IH$93,MATCH(ROW()-8-COPIA!$IH$1,COPIA!$IH$37:$IH$93,0),6),"")),"")</f>
        <v/>
      </c>
      <c r="D79" s="223" t="str">
        <f ca="1">IFERROR(SUBSTITUTE(INDEX(COPIA!$IB$19:$IH$34,MATCH(ROWS($D$9:D79),COPIA!$IH$19:$IH$34,0),1),"_"," "),"")</f>
        <v/>
      </c>
      <c r="E79" s="225" t="str">
        <f ca="1">IFERROR(INDEX(COPIA!$IB$19:$IH$34,MATCH(ROWS($D$9:E79),COPIA!$IH$19:$IH$34,0),6),"")</f>
        <v/>
      </c>
      <c r="F79" s="14"/>
    </row>
    <row r="80" spans="1:6" ht="20.100000000000001" customHeight="1">
      <c r="A80" s="14"/>
      <c r="B80" s="223" t="str">
        <f ca="1">IFERROR(IF(ROW()-8&lt;=COPIA!$IG$1,SUBSTITUTE(INDEX(COPIA!$IB$3:$IH$18,MATCH(ROWS($B$9:B80),COPIA!$IH$3:$IH$18,0),1),"_"," "),IF(ROW()-8&gt;=COPIA!$IG$1+COPIA!$IH$1,SUBSTITUTE(INDEX(COPIA!$IB$37:$IH$93,MATCH(ROW()-8-COPIA!$IH$1,COPIA!$IH$37:$IH$93,0),1),"_"," "),"")),"")</f>
        <v/>
      </c>
      <c r="C80" s="224" t="str">
        <f ca="1">IFERROR(IF(ROW()-8&lt;=COPIA!$IG$1,INDEX(COPIA!$IB$3:$IH$18,MATCH(ROWS($B$9:B80),COPIA!$IH$3:$IH$18,0),6),IF(ROW()-8&gt;=COPIA!$IG$1+2,INDEX(COPIA!$IB$37:$IH$93,MATCH(ROW()-8-COPIA!$IH$1,COPIA!$IH$37:$IH$93,0),6),"")),"")</f>
        <v/>
      </c>
      <c r="D80" s="223" t="str">
        <f ca="1">IFERROR(SUBSTITUTE(INDEX(COPIA!$IB$19:$IH$34,MATCH(ROWS($D$9:D80),COPIA!$IH$19:$IH$34,0),1),"_"," "),"")</f>
        <v/>
      </c>
      <c r="E80" s="225" t="str">
        <f ca="1">IFERROR(INDEX(COPIA!$IB$19:$IH$34,MATCH(ROWS($D$9:E80),COPIA!$IH$19:$IH$34,0),6),"")</f>
        <v/>
      </c>
      <c r="F80" s="14"/>
    </row>
    <row r="81" spans="1:6" ht="20.100000000000001" customHeight="1">
      <c r="A81" s="14"/>
      <c r="B81" s="223" t="str">
        <f ca="1">IFERROR(IF(ROW()-8&lt;=COPIA!$IG$1,SUBSTITUTE(INDEX(COPIA!$IB$3:$IH$18,MATCH(ROWS($B$9:B81),COPIA!$IH$3:$IH$18,0),1),"_"," "),IF(ROW()-8&gt;=COPIA!$IG$1+COPIA!$IH$1,SUBSTITUTE(INDEX(COPIA!$IB$37:$IH$93,MATCH(ROW()-8-COPIA!$IH$1,COPIA!$IH$37:$IH$93,0),1),"_"," "),"")),"")</f>
        <v/>
      </c>
      <c r="C81" s="224" t="str">
        <f ca="1">IFERROR(IF(ROW()-8&lt;=COPIA!$IG$1,INDEX(COPIA!$IB$3:$IH$18,MATCH(ROWS($B$9:B81),COPIA!$IH$3:$IH$18,0),6),IF(ROW()-8&gt;=COPIA!$IG$1+2,INDEX(COPIA!$IB$37:$IH$93,MATCH(ROW()-8-COPIA!$IH$1,COPIA!$IH$37:$IH$93,0),6),"")),"")</f>
        <v/>
      </c>
      <c r="D81" s="223" t="str">
        <f ca="1">IFERROR(SUBSTITUTE(INDEX(COPIA!$IB$19:$IH$34,MATCH(ROWS($D$9:D81),COPIA!$IH$19:$IH$34,0),1),"_"," "),"")</f>
        <v/>
      </c>
      <c r="E81" s="225" t="str">
        <f ca="1">IFERROR(INDEX(COPIA!$IB$19:$IH$34,MATCH(ROWS($D$9:E81),COPIA!$IH$19:$IH$34,0),6),"")</f>
        <v/>
      </c>
      <c r="F81" s="14"/>
    </row>
    <row r="82" spans="1:6" ht="20.100000000000001" customHeight="1">
      <c r="A82" s="14"/>
      <c r="B82" s="223" t="str">
        <f ca="1">IFERROR(IF(ROW()-8&lt;=COPIA!$IG$1,SUBSTITUTE(INDEX(COPIA!$IB$3:$IH$18,MATCH(ROWS($B$9:B82),COPIA!$IH$3:$IH$18,0),1),"_"," "),IF(ROW()-8&gt;=COPIA!$IG$1+COPIA!$IH$1,SUBSTITUTE(INDEX(COPIA!$IB$37:$IH$93,MATCH(ROW()-8-COPIA!$IH$1,COPIA!$IH$37:$IH$93,0),1),"_"," "),"")),"")</f>
        <v/>
      </c>
      <c r="C82" s="224" t="str">
        <f ca="1">IFERROR(IF(ROW()-8&lt;=COPIA!$IG$1,INDEX(COPIA!$IB$3:$IH$18,MATCH(ROWS($B$9:B82),COPIA!$IH$3:$IH$18,0),6),IF(ROW()-8&gt;=COPIA!$IG$1+2,INDEX(COPIA!$IB$37:$IH$93,MATCH(ROW()-8-COPIA!$IH$1,COPIA!$IH$37:$IH$93,0),6),"")),"")</f>
        <v/>
      </c>
      <c r="D82" s="223" t="str">
        <f ca="1">IFERROR(SUBSTITUTE(INDEX(COPIA!$IB$19:$IH$34,MATCH(ROWS($D$9:D82),COPIA!$IH$19:$IH$34,0),1),"_"," "),"")</f>
        <v/>
      </c>
      <c r="E82" s="225" t="str">
        <f ca="1">IFERROR(INDEX(COPIA!$IB$19:$IH$34,MATCH(ROWS($D$9:E82),COPIA!$IH$19:$IH$34,0),6),"")</f>
        <v/>
      </c>
      <c r="F82" s="14"/>
    </row>
    <row r="83" spans="1:6" ht="20.100000000000001" customHeight="1">
      <c r="A83" s="14"/>
      <c r="B83" s="223" t="str">
        <f ca="1">IFERROR(IF(ROW()-8&lt;=COPIA!$IG$1,SUBSTITUTE(INDEX(COPIA!$IB$3:$IH$18,MATCH(ROWS($B$9:B83),COPIA!$IH$3:$IH$18,0),1),"_"," "),IF(ROW()-8&gt;=COPIA!$IG$1+COPIA!$IH$1,SUBSTITUTE(INDEX(COPIA!$IB$37:$IH$93,MATCH(ROW()-8-COPIA!$IH$1,COPIA!$IH$37:$IH$93,0),1),"_"," "),"")),"")</f>
        <v/>
      </c>
      <c r="C83" s="224" t="str">
        <f ca="1">IFERROR(IF(ROW()-8&lt;=COPIA!$IG$1,INDEX(COPIA!$IB$3:$IH$18,MATCH(ROWS($B$9:B83),COPIA!$IH$3:$IH$18,0),6),IF(ROW()-8&gt;=COPIA!$IG$1+2,INDEX(COPIA!$IB$37:$IH$93,MATCH(ROW()-8-COPIA!$IH$1,COPIA!$IH$37:$IH$93,0),6),"")),"")</f>
        <v/>
      </c>
      <c r="D83" s="223" t="str">
        <f ca="1">IFERROR(SUBSTITUTE(INDEX(COPIA!$IB$19:$IH$34,MATCH(ROWS($D$9:D83),COPIA!$IH$19:$IH$34,0),1),"_"," "),"")</f>
        <v/>
      </c>
      <c r="E83" s="225" t="str">
        <f ca="1">IFERROR(INDEX(COPIA!$IB$19:$IH$34,MATCH(ROWS($D$9:E83),COPIA!$IH$19:$IH$34,0),6),"")</f>
        <v/>
      </c>
      <c r="F83" s="14"/>
    </row>
    <row r="84" spans="1:6" ht="20.100000000000001" customHeight="1">
      <c r="A84" s="14"/>
      <c r="B84" s="223" t="str">
        <f ca="1">IFERROR(IF(ROW()-8&lt;=COPIA!$IG$1,SUBSTITUTE(INDEX(COPIA!$IB$3:$IH$18,MATCH(ROWS($B$9:B84),COPIA!$IH$3:$IH$18,0),1),"_"," "),IF(ROW()-8&gt;=COPIA!$IG$1+COPIA!$IH$1,SUBSTITUTE(INDEX(COPIA!$IB$37:$IH$93,MATCH(ROW()-8-COPIA!$IH$1,COPIA!$IH$37:$IH$93,0),1),"_"," "),"")),"")</f>
        <v/>
      </c>
      <c r="C84" s="224" t="str">
        <f ca="1">IFERROR(IF(ROW()-8&lt;=COPIA!$IG$1,INDEX(COPIA!$IB$3:$IH$18,MATCH(ROWS($B$9:B84),COPIA!$IH$3:$IH$18,0),6),IF(ROW()-8&gt;=COPIA!$IG$1+2,INDEX(COPIA!$IB$37:$IH$93,MATCH(ROW()-8-COPIA!$IH$1,COPIA!$IH$37:$IH$93,0),6),"")),"")</f>
        <v/>
      </c>
      <c r="D84" s="223" t="str">
        <f ca="1">IFERROR(SUBSTITUTE(INDEX(COPIA!$IB$19:$IH$34,MATCH(ROWS($D$9:D84),COPIA!$IH$19:$IH$34,0),1),"_"," "),"")</f>
        <v/>
      </c>
      <c r="E84" s="225" t="str">
        <f ca="1">IFERROR(INDEX(COPIA!$IB$19:$IH$34,MATCH(ROWS($D$9:E84),COPIA!$IH$19:$IH$34,0),6),"")</f>
        <v/>
      </c>
      <c r="F84" s="14"/>
    </row>
    <row r="85" spans="1:6" ht="20.100000000000001" customHeight="1">
      <c r="A85" s="14"/>
      <c r="B85" s="223" t="str">
        <f ca="1">IFERROR(IF(ROW()-8&lt;=COPIA!$IG$1,SUBSTITUTE(INDEX(COPIA!$IB$3:$IH$18,MATCH(ROWS($B$9:B85),COPIA!$IH$3:$IH$18,0),1),"_"," "),IF(ROW()-8&gt;=COPIA!$IG$1+COPIA!$IH$1,SUBSTITUTE(INDEX(COPIA!$IB$37:$IH$93,MATCH(ROW()-8-COPIA!$IH$1,COPIA!$IH$37:$IH$93,0),1),"_"," "),"")),"")</f>
        <v/>
      </c>
      <c r="C85" s="224" t="str">
        <f ca="1">IFERROR(IF(ROW()-8&lt;=COPIA!$IG$1,INDEX(COPIA!$IB$3:$IH$18,MATCH(ROWS($B$9:B85),COPIA!$IH$3:$IH$18,0),6),IF(ROW()-8&gt;=COPIA!$IG$1+2,INDEX(COPIA!$IB$37:$IH$93,MATCH(ROW()-8-COPIA!$IH$1,COPIA!$IH$37:$IH$93,0),6),"")),"")</f>
        <v/>
      </c>
      <c r="D85" s="223" t="str">
        <f ca="1">IFERROR(SUBSTITUTE(INDEX(COPIA!$IB$19:$IH$34,MATCH(ROWS($D$9:D85),COPIA!$IH$19:$IH$34,0),1),"_"," "),"")</f>
        <v/>
      </c>
      <c r="E85" s="225" t="str">
        <f ca="1">IFERROR(INDEX(COPIA!$IB$19:$IH$34,MATCH(ROWS($D$9:E85),COPIA!$IH$19:$IH$34,0),6),"")</f>
        <v/>
      </c>
      <c r="F85" s="14"/>
    </row>
    <row r="86" spans="1:6" ht="20.100000000000001" customHeight="1">
      <c r="A86" s="14"/>
      <c r="B86" s="223" t="str">
        <f ca="1">IFERROR(IF(ROW()-8&lt;=COPIA!$IG$1,SUBSTITUTE(INDEX(COPIA!$IB$3:$IH$18,MATCH(ROWS($B$9:B86),COPIA!$IH$3:$IH$18,0),1),"_"," "),IF(ROW()-8&gt;=COPIA!$IG$1+COPIA!$IH$1,SUBSTITUTE(INDEX(COPIA!$IB$37:$IH$93,MATCH(ROW()-8-COPIA!$IH$1,COPIA!$IH$37:$IH$93,0),1),"_"," "),"")),"")</f>
        <v/>
      </c>
      <c r="C86" s="224" t="str">
        <f ca="1">IFERROR(IF(ROW()-8&lt;=COPIA!$IG$1,INDEX(COPIA!$IB$3:$IH$18,MATCH(ROWS($B$9:B86),COPIA!$IH$3:$IH$18,0),6),IF(ROW()-8&gt;=COPIA!$IG$1+2,INDEX(COPIA!$IB$37:$IH$93,MATCH(ROW()-8-COPIA!$IH$1,COPIA!$IH$37:$IH$93,0),6),"")),"")</f>
        <v/>
      </c>
      <c r="D86" s="223" t="str">
        <f ca="1">IFERROR(SUBSTITUTE(INDEX(COPIA!$IB$19:$IH$34,MATCH(ROWS($D$9:D86),COPIA!$IH$19:$IH$34,0),1),"_"," "),"")</f>
        <v/>
      </c>
      <c r="E86" s="225" t="str">
        <f ca="1">IFERROR(INDEX(COPIA!$IB$19:$IH$34,MATCH(ROWS($D$9:E86),COPIA!$IH$19:$IH$34,0),6),"")</f>
        <v/>
      </c>
      <c r="F86" s="14"/>
    </row>
    <row r="87" spans="1:6" ht="20.100000000000001" customHeight="1">
      <c r="A87" s="14"/>
      <c r="B87" s="223" t="str">
        <f ca="1">IFERROR(IF(ROW()-8&lt;=COPIA!$IG$1,SUBSTITUTE(INDEX(COPIA!$IB$3:$IH$18,MATCH(ROWS($B$9:B87),COPIA!$IH$3:$IH$18,0),1),"_"," "),IF(ROW()-8&gt;=COPIA!$IG$1+COPIA!$IH$1,SUBSTITUTE(INDEX(COPIA!$IB$37:$IH$93,MATCH(ROW()-8-COPIA!$IH$1,COPIA!$IH$37:$IH$93,0),1),"_"," "),"")),"")</f>
        <v/>
      </c>
      <c r="C87" s="224" t="str">
        <f ca="1">IFERROR(IF(ROW()-8&lt;=COPIA!$IG$1,INDEX(COPIA!$IB$3:$IH$18,MATCH(ROWS($B$9:B87),COPIA!$IH$3:$IH$18,0),6),IF(ROW()-8&gt;=COPIA!$IG$1+2,INDEX(COPIA!$IB$37:$IH$93,MATCH(ROW()-8-COPIA!$IH$1,COPIA!$IH$37:$IH$93,0),6),"")),"")</f>
        <v/>
      </c>
      <c r="D87" s="223" t="str">
        <f ca="1">IFERROR(SUBSTITUTE(INDEX(COPIA!$IB$19:$IH$34,MATCH(ROWS($D$9:D87),COPIA!$IH$19:$IH$34,0),1),"_"," "),"")</f>
        <v/>
      </c>
      <c r="E87" s="225" t="str">
        <f ca="1">IFERROR(INDEX(COPIA!$IB$19:$IH$34,MATCH(ROWS($D$9:E87),COPIA!$IH$19:$IH$34,0),6),"")</f>
        <v/>
      </c>
      <c r="F87" s="14"/>
    </row>
    <row r="88" spans="1:6" ht="20.100000000000001" customHeight="1">
      <c r="A88" s="14"/>
      <c r="B88" s="223" t="str">
        <f ca="1">IFERROR(IF(ROW()-8&lt;=COPIA!$IG$1,SUBSTITUTE(INDEX(COPIA!$IB$3:$IH$18,MATCH(ROWS($B$9:B88),COPIA!$IH$3:$IH$18,0),1),"_"," "),IF(ROW()-8&gt;=COPIA!$IG$1+COPIA!$IH$1,SUBSTITUTE(INDEX(COPIA!$IB$37:$IH$93,MATCH(ROW()-8-COPIA!$IH$1,COPIA!$IH$37:$IH$93,0),1),"_"," "),"")),"")</f>
        <v/>
      </c>
      <c r="C88" s="224" t="str">
        <f ca="1">IFERROR(IF(ROW()-8&lt;=COPIA!$IG$1,INDEX(COPIA!$IB$3:$IH$18,MATCH(ROWS($B$9:B88),COPIA!$IH$3:$IH$18,0),6),IF(ROW()-8&gt;=COPIA!$IG$1+2,INDEX(COPIA!$IB$37:$IH$93,MATCH(ROW()-8-COPIA!$IH$1,COPIA!$IH$37:$IH$93,0),6),"")),"")</f>
        <v/>
      </c>
      <c r="D88" s="223" t="str">
        <f ca="1">IFERROR(SUBSTITUTE(INDEX(COPIA!$IB$19:$IH$34,MATCH(ROWS($D$9:D88),COPIA!$IH$19:$IH$34,0),1),"_"," "),"")</f>
        <v/>
      </c>
      <c r="E88" s="225" t="str">
        <f ca="1">IFERROR(INDEX(COPIA!$IB$19:$IH$34,MATCH(ROWS($D$9:E88),COPIA!$IH$19:$IH$34,0),6),"")</f>
        <v/>
      </c>
      <c r="F88" s="14"/>
    </row>
    <row r="89" spans="1:6" ht="20.100000000000001" customHeight="1">
      <c r="A89" s="14"/>
      <c r="B89" s="223" t="str">
        <f ca="1">IFERROR(IF(ROW()-8&lt;=COPIA!$IG$1,SUBSTITUTE(INDEX(COPIA!$IB$3:$IH$18,MATCH(ROWS($B$9:B89),COPIA!$IH$3:$IH$18,0),1),"_"," "),IF(ROW()-8&gt;=COPIA!$IG$1+COPIA!$IH$1,SUBSTITUTE(INDEX(COPIA!$IB$37:$IH$93,MATCH(ROW()-8-COPIA!$IH$1,COPIA!$IH$37:$IH$93,0),1),"_"," "),"")),"")</f>
        <v/>
      </c>
      <c r="C89" s="224" t="str">
        <f ca="1">IFERROR(IF(ROW()-8&lt;=COPIA!$IG$1,INDEX(COPIA!$IB$3:$IH$18,MATCH(ROWS($B$9:B89),COPIA!$IH$3:$IH$18,0),6),IF(ROW()-8&gt;=COPIA!$IG$1+2,INDEX(COPIA!$IB$37:$IH$93,MATCH(ROW()-8-COPIA!$IH$1,COPIA!$IH$37:$IH$93,0),6),"")),"")</f>
        <v/>
      </c>
      <c r="D89" s="223" t="str">
        <f ca="1">IFERROR(SUBSTITUTE(INDEX(COPIA!$IB$19:$IH$34,MATCH(ROWS($D$9:D89),COPIA!$IH$19:$IH$34,0),1),"_"," "),"")</f>
        <v/>
      </c>
      <c r="E89" s="225" t="str">
        <f ca="1">IFERROR(INDEX(COPIA!$IB$19:$IH$34,MATCH(ROWS($D$9:E89),COPIA!$IH$19:$IH$34,0),6),"")</f>
        <v/>
      </c>
      <c r="F89" s="14"/>
    </row>
    <row r="90" spans="1:6" ht="20.100000000000001" customHeight="1">
      <c r="A90" s="14"/>
      <c r="B90" s="223" t="str">
        <f ca="1">IFERROR(IF(ROW()-8&lt;=COPIA!$IG$1,SUBSTITUTE(INDEX(COPIA!$IB$3:$IH$18,MATCH(ROWS($B$9:B90),COPIA!$IH$3:$IH$18,0),1),"_"," "),IF(ROW()-8&gt;=COPIA!$IG$1+COPIA!$IH$1,SUBSTITUTE(INDEX(COPIA!$IB$37:$IH$93,MATCH(ROW()-8-COPIA!$IH$1,COPIA!$IH$37:$IH$93,0),1),"_"," "),"")),"")</f>
        <v/>
      </c>
      <c r="C90" s="224" t="str">
        <f ca="1">IFERROR(IF(ROW()-8&lt;=COPIA!$IG$1,INDEX(COPIA!$IB$3:$IH$18,MATCH(ROWS($B$9:B90),COPIA!$IH$3:$IH$18,0),6),IF(ROW()-8&gt;=COPIA!$IG$1+2,INDEX(COPIA!$IB$37:$IH$93,MATCH(ROW()-8-COPIA!$IH$1,COPIA!$IH$37:$IH$93,0),6),"")),"")</f>
        <v/>
      </c>
      <c r="D90" s="223" t="str">
        <f ca="1">IFERROR(SUBSTITUTE(INDEX(COPIA!$IB$19:$IH$34,MATCH(ROWS($D$9:D90),COPIA!$IH$19:$IH$34,0),1),"_"," "),"")</f>
        <v/>
      </c>
      <c r="E90" s="225" t="str">
        <f ca="1">IFERROR(INDEX(COPIA!$IB$19:$IH$34,MATCH(ROWS($D$9:E90),COPIA!$IH$19:$IH$34,0),6),"")</f>
        <v/>
      </c>
      <c r="F90" s="14"/>
    </row>
    <row r="91" spans="1:6" ht="20.100000000000001" customHeight="1">
      <c r="A91" s="14"/>
      <c r="B91" s="223" t="str">
        <f ca="1">IFERROR(IF(ROW()-8&lt;=COPIA!$IG$1,SUBSTITUTE(INDEX(COPIA!$IB$3:$IH$18,MATCH(ROWS($B$9:B91),COPIA!$IH$3:$IH$18,0),1),"_"," "),IF(ROW()-8&gt;=COPIA!$IG$1+COPIA!$IH$1,SUBSTITUTE(INDEX(COPIA!$IB$37:$IH$93,MATCH(ROW()-8-COPIA!$IH$1,COPIA!$IH$37:$IH$93,0),1),"_"," "),"")),"")</f>
        <v/>
      </c>
      <c r="C91" s="224" t="str">
        <f ca="1">IFERROR(IF(ROW()-8&lt;=COPIA!$IG$1,INDEX(COPIA!$IB$3:$IH$18,MATCH(ROWS($B$9:B91),COPIA!$IH$3:$IH$18,0),6),IF(ROW()-8&gt;=COPIA!$IG$1+2,INDEX(COPIA!$IB$37:$IH$93,MATCH(ROW()-8-COPIA!$IH$1,COPIA!$IH$37:$IH$93,0),6),"")),"")</f>
        <v/>
      </c>
      <c r="D91" s="223" t="str">
        <f ca="1">IFERROR(SUBSTITUTE(INDEX(COPIA!$IB$19:$IH$34,MATCH(ROWS($D$9:D91),COPIA!$IH$19:$IH$34,0),1),"_"," "),"")</f>
        <v/>
      </c>
      <c r="E91" s="225" t="str">
        <f ca="1">IFERROR(INDEX(COPIA!$IB$19:$IH$34,MATCH(ROWS($D$9:E91),COPIA!$IH$19:$IH$34,0),6),"")</f>
        <v/>
      </c>
      <c r="F91" s="14"/>
    </row>
    <row r="92" spans="1:6" ht="20.100000000000001" customHeight="1">
      <c r="A92" s="14"/>
      <c r="B92" s="223" t="str">
        <f ca="1">IFERROR(IF(ROW()-8&lt;=COPIA!$IG$1,SUBSTITUTE(INDEX(COPIA!$IB$3:$IH$18,MATCH(ROWS($B$9:B92),COPIA!$IH$3:$IH$18,0),1),"_"," "),IF(ROW()-8&gt;=COPIA!$IG$1+COPIA!$IH$1,SUBSTITUTE(INDEX(COPIA!$IB$37:$IH$93,MATCH(ROW()-8-COPIA!$IH$1,COPIA!$IH$37:$IH$93,0),1),"_"," "),"")),"")</f>
        <v/>
      </c>
      <c r="C92" s="224" t="str">
        <f ca="1">IFERROR(IF(ROW()-8&lt;=COPIA!$IG$1,INDEX(COPIA!$IB$3:$IH$18,MATCH(ROWS($B$9:B92),COPIA!$IH$3:$IH$18,0),6),IF(ROW()-8&gt;=COPIA!$IG$1+2,INDEX(COPIA!$IB$37:$IH$93,MATCH(ROW()-8-COPIA!$IH$1,COPIA!$IH$37:$IH$93,0),6),"")),"")</f>
        <v/>
      </c>
      <c r="D92" s="223" t="str">
        <f ca="1">IFERROR(SUBSTITUTE(INDEX(COPIA!$IB$19:$IH$34,MATCH(ROWS($D$9:D92),COPIA!$IH$19:$IH$34,0),1),"_"," "),"")</f>
        <v/>
      </c>
      <c r="E92" s="225" t="str">
        <f ca="1">IFERROR(INDEX(COPIA!$IB$19:$IH$34,MATCH(ROWS($D$9:E92),COPIA!$IH$19:$IH$34,0),6),"")</f>
        <v/>
      </c>
      <c r="F92" s="14"/>
    </row>
    <row r="93" spans="1:6" ht="20.100000000000001" customHeight="1">
      <c r="A93" s="14"/>
      <c r="B93" s="223" t="str">
        <f ca="1">IFERROR(IF(ROW()-8&lt;=COPIA!$IG$1,SUBSTITUTE(INDEX(COPIA!$IB$3:$IH$18,MATCH(ROWS($B$9:B93),COPIA!$IH$3:$IH$18,0),1),"_"," "),IF(ROW()-8&gt;=COPIA!$IG$1+COPIA!$IH$1,SUBSTITUTE(INDEX(COPIA!$IB$37:$IH$93,MATCH(ROW()-8-COPIA!$IH$1,COPIA!$IH$37:$IH$93,0),1),"_"," "),"")),"")</f>
        <v/>
      </c>
      <c r="C93" s="224" t="str">
        <f ca="1">IFERROR(IF(ROW()-8&lt;=COPIA!$IG$1,INDEX(COPIA!$IB$3:$IH$18,MATCH(ROWS($B$9:B93),COPIA!$IH$3:$IH$18,0),6),IF(ROW()-8&gt;=COPIA!$IG$1+2,INDEX(COPIA!$IB$37:$IH$93,MATCH(ROW()-8-COPIA!$IH$1,COPIA!$IH$37:$IH$93,0),6),"")),"")</f>
        <v/>
      </c>
      <c r="D93" s="223" t="str">
        <f ca="1">IFERROR(SUBSTITUTE(INDEX(COPIA!$IB$19:$IH$34,MATCH(ROWS($D$9:D93),COPIA!$IH$19:$IH$34,0),1),"_"," "),"")</f>
        <v/>
      </c>
      <c r="E93" s="225" t="str">
        <f ca="1">IFERROR(INDEX(COPIA!$IB$19:$IH$34,MATCH(ROWS($D$9:E93),COPIA!$IH$19:$IH$34,0),6),"")</f>
        <v/>
      </c>
      <c r="F93" s="14"/>
    </row>
    <row r="94" spans="1:6" ht="20.100000000000001" customHeight="1">
      <c r="A94" s="14"/>
      <c r="B94" s="223" t="str">
        <f ca="1">IFERROR(IF(ROW()-8&lt;=COPIA!$IG$1,SUBSTITUTE(INDEX(COPIA!$IB$3:$IH$18,MATCH(ROWS($B$9:B94),COPIA!$IH$3:$IH$18,0),1),"_"," "),IF(ROW()-8&gt;=COPIA!$IG$1+COPIA!$IH$1,SUBSTITUTE(INDEX(COPIA!$IB$37:$IH$93,MATCH(ROW()-8-COPIA!$IH$1,COPIA!$IH$37:$IH$93,0),1),"_"," "),"")),"")</f>
        <v/>
      </c>
      <c r="C94" s="224" t="str">
        <f ca="1">IFERROR(IF(ROW()-8&lt;=COPIA!$IG$1,INDEX(COPIA!$IB$3:$IH$18,MATCH(ROWS($B$9:B94),COPIA!$IH$3:$IH$18,0),6),IF(ROW()-8&gt;=COPIA!$IG$1+2,INDEX(COPIA!$IB$37:$IH$93,MATCH(ROW()-8-COPIA!$IH$1,COPIA!$IH$37:$IH$93,0),6),"")),"")</f>
        <v/>
      </c>
      <c r="D94" s="223" t="str">
        <f ca="1">IFERROR(SUBSTITUTE(INDEX(COPIA!$IB$19:$IH$34,MATCH(ROWS($D$9:D94),COPIA!$IH$19:$IH$34,0),1),"_"," "),"")</f>
        <v/>
      </c>
      <c r="E94" s="225" t="str">
        <f ca="1">IFERROR(INDEX(COPIA!$IB$19:$IH$34,MATCH(ROWS($D$9:E94),COPIA!$IH$19:$IH$34,0),6),"")</f>
        <v/>
      </c>
      <c r="F94" s="14"/>
    </row>
    <row r="95" spans="1:6" ht="20.100000000000001" customHeight="1">
      <c r="A95" s="14"/>
      <c r="B95" s="223" t="str">
        <f ca="1">IFERROR(IF(ROW()-8&lt;=COPIA!$IG$1,SUBSTITUTE(INDEX(COPIA!$IB$3:$IH$18,MATCH(ROWS($B$9:B95),COPIA!$IH$3:$IH$18,0),1),"_"," "),IF(ROW()-8&gt;=COPIA!$IG$1+COPIA!$IH$1,SUBSTITUTE(INDEX(COPIA!$IB$37:$IH$93,MATCH(ROW()-8-COPIA!$IH$1,COPIA!$IH$37:$IH$93,0),1),"_"," "),"")),"")</f>
        <v/>
      </c>
      <c r="C95" s="224" t="str">
        <f ca="1">IFERROR(IF(ROW()-8&lt;=COPIA!$IG$1,INDEX(COPIA!$IB$3:$IH$18,MATCH(ROWS($B$9:B95),COPIA!$IH$3:$IH$18,0),6),IF(ROW()-8&gt;=COPIA!$IG$1+2,INDEX(COPIA!$IB$37:$IH$93,MATCH(ROW()-8-COPIA!$IH$1,COPIA!$IH$37:$IH$93,0),6),"")),"")</f>
        <v/>
      </c>
      <c r="D95" s="223" t="str">
        <f ca="1">IFERROR(SUBSTITUTE(INDEX(COPIA!$IB$19:$IH$34,MATCH(ROWS($D$9:D95),COPIA!$IH$19:$IH$34,0),1),"_"," "),"")</f>
        <v/>
      </c>
      <c r="E95" s="225" t="str">
        <f ca="1">IFERROR(INDEX(COPIA!$IB$19:$IH$34,MATCH(ROWS($D$9:E95),COPIA!$IH$19:$IH$34,0),6),"")</f>
        <v/>
      </c>
      <c r="F95" s="14"/>
    </row>
    <row r="96" spans="1:6" ht="20.100000000000001" customHeight="1">
      <c r="A96" s="14"/>
      <c r="B96" s="223" t="str">
        <f ca="1">IFERROR(IF(ROW()-8&lt;=COPIA!$IG$1,SUBSTITUTE(INDEX(COPIA!$IB$3:$IH$18,MATCH(ROWS($B$9:B96),COPIA!$IH$3:$IH$18,0),1),"_"," "),IF(ROW()-8&gt;=COPIA!$IG$1+COPIA!$IH$1,SUBSTITUTE(INDEX(COPIA!$IB$37:$IH$93,MATCH(ROW()-8-COPIA!$IH$1,COPIA!$IH$37:$IH$93,0),1),"_"," "),"")),"")</f>
        <v/>
      </c>
      <c r="C96" s="224" t="str">
        <f ca="1">IFERROR(IF(ROW()-8&lt;=COPIA!$IG$1,INDEX(COPIA!$IB$3:$IH$18,MATCH(ROWS($B$9:B96),COPIA!$IH$3:$IH$18,0),6),IF(ROW()-8&gt;=COPIA!$IG$1+2,INDEX(COPIA!$IB$37:$IH$93,MATCH(ROW()-8-COPIA!$IH$1,COPIA!$IH$37:$IH$93,0),6),"")),"")</f>
        <v/>
      </c>
      <c r="D96" s="223" t="str">
        <f ca="1">IFERROR(SUBSTITUTE(INDEX(COPIA!$IB$19:$IH$34,MATCH(ROWS($D$9:D96),COPIA!$IH$19:$IH$34,0),1),"_"," "),"")</f>
        <v/>
      </c>
      <c r="E96" s="225" t="str">
        <f ca="1">IFERROR(INDEX(COPIA!$IB$19:$IH$34,MATCH(ROWS($D$9:E96),COPIA!$IH$19:$IH$34,0),6),"")</f>
        <v/>
      </c>
      <c r="F96" s="14"/>
    </row>
    <row r="97" spans="1:6" ht="20.100000000000001" customHeight="1">
      <c r="A97" s="14"/>
      <c r="B97" s="223" t="str">
        <f ca="1">IFERROR(IF(ROW()-8&lt;=COPIA!$IG$1,SUBSTITUTE(INDEX(COPIA!$IB$3:$IH$18,MATCH(ROWS($B$9:B97),COPIA!$IH$3:$IH$18,0),1),"_"," "),IF(ROW()-8&gt;=COPIA!$IG$1+COPIA!$IH$1,SUBSTITUTE(INDEX(COPIA!$IB$37:$IH$93,MATCH(ROW()-8-COPIA!$IH$1,COPIA!$IH$37:$IH$93,0),1),"_"," "),"")),"")</f>
        <v/>
      </c>
      <c r="C97" s="224" t="str">
        <f ca="1">IFERROR(IF(ROW()-8&lt;=COPIA!$IG$1,INDEX(COPIA!$IB$3:$IH$18,MATCH(ROWS($B$9:B97),COPIA!$IH$3:$IH$18,0),6),IF(ROW()-8&gt;=COPIA!$IG$1+2,INDEX(COPIA!$IB$37:$IH$93,MATCH(ROW()-8-COPIA!$IH$1,COPIA!$IH$37:$IH$93,0),6),"")),"")</f>
        <v/>
      </c>
      <c r="D97" s="223" t="str">
        <f ca="1">IFERROR(SUBSTITUTE(INDEX(COPIA!$IB$19:$IH$34,MATCH(ROWS($D$9:D97),COPIA!$IH$19:$IH$34,0),1),"_"," "),"")</f>
        <v/>
      </c>
      <c r="E97" s="225" t="str">
        <f ca="1">IFERROR(INDEX(COPIA!$IB$19:$IH$34,MATCH(ROWS($D$9:E97),COPIA!$IH$19:$IH$34,0),6),"")</f>
        <v/>
      </c>
      <c r="F97" s="14"/>
    </row>
    <row r="98" spans="1:6" ht="20.100000000000001" customHeight="1">
      <c r="A98" s="14"/>
      <c r="B98" s="223" t="str">
        <f ca="1">IFERROR(IF(ROW()-8&lt;=COPIA!$IG$1,SUBSTITUTE(INDEX(COPIA!$IB$3:$IH$18,MATCH(ROWS($B$9:B98),COPIA!$IH$3:$IH$18,0),1),"_"," "),IF(ROW()-8&gt;=COPIA!$IG$1+COPIA!$IH$1,SUBSTITUTE(INDEX(COPIA!$IB$37:$IH$93,MATCH(ROW()-8-COPIA!$IH$1,COPIA!$IH$37:$IH$93,0),1),"_"," "),"")),"")</f>
        <v/>
      </c>
      <c r="C98" s="224" t="str">
        <f ca="1">IFERROR(IF(ROW()-8&lt;=COPIA!$IG$1,INDEX(COPIA!$IB$3:$IH$18,MATCH(ROWS($B$9:B98),COPIA!$IH$3:$IH$18,0),6),IF(ROW()-8&gt;=COPIA!$IG$1+2,INDEX(COPIA!$IB$37:$IH$93,MATCH(ROW()-8-COPIA!$IH$1,COPIA!$IH$37:$IH$93,0),6),"")),"")</f>
        <v/>
      </c>
      <c r="D98" s="223" t="str">
        <f ca="1">IFERROR(SUBSTITUTE(INDEX(COPIA!$IB$19:$IH$34,MATCH(ROWS($D$9:D98),COPIA!$IH$19:$IH$34,0),1),"_"," "),"")</f>
        <v/>
      </c>
      <c r="E98" s="225" t="str">
        <f ca="1">IFERROR(INDEX(COPIA!$IB$19:$IH$34,MATCH(ROWS($D$9:E98),COPIA!$IH$19:$IH$34,0),6),"")</f>
        <v/>
      </c>
      <c r="F98" s="14"/>
    </row>
    <row r="99" spans="1:6" ht="20.100000000000001" customHeight="1">
      <c r="A99" s="14"/>
      <c r="B99" s="223" t="str">
        <f ca="1">IFERROR(IF(ROW()-8&lt;=COPIA!$IG$1,SUBSTITUTE(INDEX(COPIA!$IB$3:$IH$18,MATCH(ROWS($B$9:B99),COPIA!$IH$3:$IH$18,0),1),"_"," "),IF(ROW()-8&gt;=COPIA!$IG$1+COPIA!$IH$1,SUBSTITUTE(INDEX(COPIA!$IB$37:$IH$93,MATCH(ROW()-8-COPIA!$IH$1,COPIA!$IH$37:$IH$93,0),1),"_"," "),"")),"")</f>
        <v/>
      </c>
      <c r="C99" s="224" t="str">
        <f ca="1">IFERROR(IF(ROW()-8&lt;=COPIA!$IG$1,INDEX(COPIA!$IB$3:$IH$18,MATCH(ROWS($B$9:B99),COPIA!$IH$3:$IH$18,0),6),IF(ROW()-8&gt;=COPIA!$IG$1+2,INDEX(COPIA!$IB$37:$IH$93,MATCH(ROW()-8-COPIA!$IH$1,COPIA!$IH$37:$IH$93,0),6),"")),"")</f>
        <v/>
      </c>
      <c r="D99" s="223" t="str">
        <f ca="1">IFERROR(SUBSTITUTE(INDEX(COPIA!$IB$19:$IH$34,MATCH(ROWS($D$9:D99),COPIA!$IH$19:$IH$34,0),1),"_"," "),"")</f>
        <v/>
      </c>
      <c r="E99" s="225" t="str">
        <f ca="1">IFERROR(INDEX(COPIA!$IB$19:$IH$34,MATCH(ROWS($D$9:E99),COPIA!$IH$19:$IH$34,0),6),"")</f>
        <v/>
      </c>
      <c r="F99" s="14"/>
    </row>
    <row r="100" spans="1:6" ht="20.100000000000001" customHeight="1">
      <c r="A100" s="14"/>
      <c r="B100" s="223" t="str">
        <f ca="1">IFERROR(IF(ROW()-8&lt;=COPIA!$IG$1,SUBSTITUTE(INDEX(COPIA!$IB$3:$IH$18,MATCH(ROWS($B$9:B100),COPIA!$IH$3:$IH$18,0),1),"_"," "),IF(ROW()-8&gt;=COPIA!$IG$1+COPIA!$IH$1,SUBSTITUTE(INDEX(COPIA!$IB$37:$IH$93,MATCH(ROW()-8-COPIA!$IH$1,COPIA!$IH$37:$IH$93,0),1),"_"," "),"")),"")</f>
        <v/>
      </c>
      <c r="C100" s="224" t="str">
        <f ca="1">IFERROR(IF(ROW()-8&lt;=COPIA!$IG$1,INDEX(COPIA!$IB$3:$IH$18,MATCH(ROWS($B$9:B100),COPIA!$IH$3:$IH$18,0),6),IF(ROW()-8&gt;=COPIA!$IG$1+2,INDEX(COPIA!$IB$37:$IH$93,MATCH(ROW()-8-COPIA!$IH$1,COPIA!$IH$37:$IH$93,0),6),"")),"")</f>
        <v/>
      </c>
      <c r="D100" s="223" t="str">
        <f ca="1">IFERROR(SUBSTITUTE(INDEX(COPIA!$IB$19:$IH$34,MATCH(ROWS($D$9:D100),COPIA!$IH$19:$IH$34,0),1),"_"," "),"")</f>
        <v/>
      </c>
      <c r="E100" s="225" t="str">
        <f ca="1">IFERROR(INDEX(COPIA!$IB$19:$IH$34,MATCH(ROWS($D$9:E100),COPIA!$IH$19:$IH$34,0),6),"")</f>
        <v/>
      </c>
      <c r="F100" s="14"/>
    </row>
    <row r="101" spans="1:6" ht="20.100000000000001" customHeight="1">
      <c r="A101" s="14"/>
      <c r="B101" s="223" t="str">
        <f ca="1">IFERROR(IF(ROW()-8&lt;=COPIA!$IG$1,SUBSTITUTE(INDEX(COPIA!$IB$3:$IH$18,MATCH(ROWS($B$9:B101),COPIA!$IH$3:$IH$18,0),1),"_"," "),IF(ROW()-8&gt;=COPIA!$IG$1+COPIA!$IH$1,SUBSTITUTE(INDEX(COPIA!$IB$37:$IH$93,MATCH(ROW()-8-COPIA!$IH$1,COPIA!$IH$37:$IH$93,0),1),"_"," "),"")),"")</f>
        <v/>
      </c>
      <c r="C101" s="224" t="str">
        <f ca="1">IFERROR(IF(ROW()-8&lt;=COPIA!$IG$1,INDEX(COPIA!$IB$3:$IH$18,MATCH(ROWS($B$9:B101),COPIA!$IH$3:$IH$18,0),6),IF(ROW()-8&gt;=COPIA!$IG$1+2,INDEX(COPIA!$IB$37:$IH$93,MATCH(ROW()-8-COPIA!$IH$1,COPIA!$IH$37:$IH$93,0),6),"")),"")</f>
        <v/>
      </c>
      <c r="D101" s="223" t="str">
        <f ca="1">IFERROR(SUBSTITUTE(INDEX(COPIA!$IB$19:$IH$34,MATCH(ROWS($D$9:D101),COPIA!$IH$19:$IH$34,0),1),"_"," "),"")</f>
        <v/>
      </c>
      <c r="E101" s="225" t="str">
        <f ca="1">IFERROR(INDEX(COPIA!$IB$19:$IH$34,MATCH(ROWS($D$9:E101),COPIA!$IH$19:$IH$34,0),6),"")</f>
        <v/>
      </c>
      <c r="F101" s="14"/>
    </row>
    <row r="102" spans="1:6" ht="20.100000000000001" customHeight="1">
      <c r="A102" s="14"/>
      <c r="B102" s="223" t="str">
        <f ca="1">IFERROR(IF(ROW()-8&lt;=COPIA!$IG$1,SUBSTITUTE(INDEX(COPIA!$IB$3:$IH$18,MATCH(ROWS($B$9:B102),COPIA!$IH$3:$IH$18,0),1),"_"," "),IF(ROW()-8&gt;=COPIA!$IG$1+COPIA!$IH$1,SUBSTITUTE(INDEX(COPIA!$IB$37:$IH$93,MATCH(ROW()-8-COPIA!$IH$1,COPIA!$IH$37:$IH$93,0),1),"_"," "),"")),"")</f>
        <v/>
      </c>
      <c r="C102" s="224" t="str">
        <f ca="1">IFERROR(IF(ROW()-8&lt;=COPIA!$IG$1,INDEX(COPIA!$IB$3:$IH$18,MATCH(ROWS($B$9:B102),COPIA!$IH$3:$IH$18,0),6),IF(ROW()-8&gt;=COPIA!$IG$1+2,INDEX(COPIA!$IB$37:$IH$93,MATCH(ROW()-8-COPIA!$IH$1,COPIA!$IH$37:$IH$93,0),6),"")),"")</f>
        <v/>
      </c>
      <c r="D102" s="223" t="str">
        <f ca="1">IFERROR(SUBSTITUTE(INDEX(COPIA!$IB$19:$IH$34,MATCH(ROWS($D$9:D102),COPIA!$IH$19:$IH$34,0),1),"_"," "),"")</f>
        <v/>
      </c>
      <c r="E102" s="225" t="str">
        <f ca="1">IFERROR(INDEX(COPIA!$IB$19:$IH$34,MATCH(ROWS($D$9:E102),COPIA!$IH$19:$IH$34,0),6),"")</f>
        <v/>
      </c>
      <c r="F102" s="14"/>
    </row>
    <row r="103" spans="1:6" ht="20.100000000000001" customHeight="1">
      <c r="A103" s="14"/>
      <c r="B103" s="223" t="str">
        <f ca="1">IFERROR(IF(ROW()-8&lt;=COPIA!$IG$1,SUBSTITUTE(INDEX(COPIA!$IB$3:$IH$18,MATCH(ROWS($B$9:B103),COPIA!$IH$3:$IH$18,0),1),"_"," "),IF(ROW()-8&gt;=COPIA!$IG$1+COPIA!$IH$1,SUBSTITUTE(INDEX(COPIA!$IB$37:$IH$93,MATCH(ROW()-8-COPIA!$IH$1,COPIA!$IH$37:$IH$93,0),1),"_"," "),"")),"")</f>
        <v/>
      </c>
      <c r="C103" s="224" t="str">
        <f ca="1">IFERROR(IF(ROW()-8&lt;=COPIA!$IG$1,INDEX(COPIA!$IB$3:$IH$18,MATCH(ROWS($B$9:B103),COPIA!$IH$3:$IH$18,0),6),IF(ROW()-8&gt;=COPIA!$IG$1+2,INDEX(COPIA!$IB$37:$IH$93,MATCH(ROW()-8-COPIA!$IH$1,COPIA!$IH$37:$IH$93,0),6),"")),"")</f>
        <v/>
      </c>
      <c r="D103" s="223" t="str">
        <f ca="1">IFERROR(SUBSTITUTE(INDEX(COPIA!$IB$19:$IH$34,MATCH(ROWS($D$9:D103),COPIA!$IH$19:$IH$34,0),1),"_"," "),"")</f>
        <v/>
      </c>
      <c r="E103" s="225" t="str">
        <f ca="1">IFERROR(INDEX(COPIA!$IB$19:$IH$34,MATCH(ROWS($D$9:E103),COPIA!$IH$19:$IH$34,0),6),"")</f>
        <v/>
      </c>
      <c r="F103" s="14"/>
    </row>
    <row r="104" spans="1:6" ht="20.100000000000001" customHeight="1">
      <c r="A104" s="14"/>
      <c r="B104" s="223" t="str">
        <f ca="1">IFERROR(IF(ROW()-8&lt;=COPIA!$IG$1,SUBSTITUTE(INDEX(COPIA!$IB$3:$IH$18,MATCH(ROWS($B$9:B104),COPIA!$IH$3:$IH$18,0),1),"_"," "),IF(ROW()-8&gt;=COPIA!$IG$1+COPIA!$IH$1,SUBSTITUTE(INDEX(COPIA!$IB$37:$IH$93,MATCH(ROW()-8-COPIA!$IH$1,COPIA!$IH$37:$IH$93,0),1),"_"," "),"")),"")</f>
        <v/>
      </c>
      <c r="C104" s="224" t="str">
        <f ca="1">IFERROR(IF(ROW()-8&lt;=COPIA!$IG$1,INDEX(COPIA!$IB$3:$IH$18,MATCH(ROWS($B$9:B104),COPIA!$IH$3:$IH$18,0),6),IF(ROW()-8&gt;=COPIA!$IG$1+2,INDEX(COPIA!$IB$37:$IH$93,MATCH(ROW()-8-COPIA!$IH$1,COPIA!$IH$37:$IH$93,0),6),"")),"")</f>
        <v/>
      </c>
      <c r="D104" s="223" t="str">
        <f ca="1">IFERROR(SUBSTITUTE(INDEX(COPIA!$IB$19:$IH$34,MATCH(ROWS($D$9:D104),COPIA!$IH$19:$IH$34,0),1),"_"," "),"")</f>
        <v/>
      </c>
      <c r="E104" s="225" t="str">
        <f ca="1">IFERROR(INDEX(COPIA!$IB$19:$IH$34,MATCH(ROWS($D$9:E104),COPIA!$IH$19:$IH$34,0),6),"")</f>
        <v/>
      </c>
      <c r="F104" s="14"/>
    </row>
    <row r="105" spans="1:6" ht="20.100000000000001" customHeight="1">
      <c r="A105" s="14"/>
      <c r="B105" s="223" t="str">
        <f ca="1">IFERROR(IF(ROW()-8&lt;=COPIA!$IG$1,SUBSTITUTE(INDEX(COPIA!$IB$3:$IH$18,MATCH(ROWS($B$9:B105),COPIA!$IH$3:$IH$18,0),1),"_"," "),IF(ROW()-8&gt;=COPIA!$IG$1+COPIA!$IH$1,SUBSTITUTE(INDEX(COPIA!$IB$37:$IH$93,MATCH(ROW()-8-COPIA!$IH$1,COPIA!$IH$37:$IH$93,0),1),"_"," "),"")),"")</f>
        <v/>
      </c>
      <c r="C105" s="224" t="str">
        <f ca="1">IFERROR(IF(ROW()-8&lt;=COPIA!$IG$1,INDEX(COPIA!$IB$3:$IH$18,MATCH(ROWS($B$9:B105),COPIA!$IH$3:$IH$18,0),6),IF(ROW()-8&gt;=COPIA!$IG$1+2,INDEX(COPIA!$IB$37:$IH$93,MATCH(ROW()-8-COPIA!$IH$1,COPIA!$IH$37:$IH$93,0),6),"")),"")</f>
        <v/>
      </c>
      <c r="D105" s="223" t="str">
        <f ca="1">IFERROR(SUBSTITUTE(INDEX(COPIA!$IB$19:$IH$34,MATCH(ROWS($D$9:D105),COPIA!$IH$19:$IH$34,0),1),"_"," "),"")</f>
        <v/>
      </c>
      <c r="E105" s="225" t="str">
        <f ca="1">IFERROR(INDEX(COPIA!$IB$19:$IH$34,MATCH(ROWS($D$9:E105),COPIA!$IH$19:$IH$34,0),6),"")</f>
        <v/>
      </c>
      <c r="F105" s="14"/>
    </row>
    <row r="106" spans="1:6" ht="20.100000000000001" customHeight="1">
      <c r="A106" s="14"/>
      <c r="B106" s="223" t="str">
        <f ca="1">IFERROR(IF(ROW()-8&lt;=COPIA!$IG$1,SUBSTITUTE(INDEX(COPIA!$IB$3:$IH$18,MATCH(ROWS($B$9:B106),COPIA!$IH$3:$IH$18,0),1),"_"," "),IF(ROW()-8&gt;=COPIA!$IG$1+COPIA!$IH$1,SUBSTITUTE(INDEX(COPIA!$IB$37:$IH$93,MATCH(ROW()-8-COPIA!$IH$1,COPIA!$IH$37:$IH$93,0),1),"_"," "),"")),"")</f>
        <v/>
      </c>
      <c r="C106" s="224" t="str">
        <f ca="1">IFERROR(IF(ROW()-8&lt;=COPIA!$IG$1,INDEX(COPIA!$IB$3:$IH$18,MATCH(ROWS($B$9:B106),COPIA!$IH$3:$IH$18,0),6),IF(ROW()-8&gt;=COPIA!$IG$1+2,INDEX(COPIA!$IB$37:$IH$93,MATCH(ROW()-8-COPIA!$IH$1,COPIA!$IH$37:$IH$93,0),6),"")),"")</f>
        <v/>
      </c>
      <c r="D106" s="223" t="str">
        <f ca="1">IFERROR(SUBSTITUTE(INDEX(COPIA!$IB$19:$IH$34,MATCH(ROWS($D$9:D106),COPIA!$IH$19:$IH$34,0),1),"_"," "),"")</f>
        <v/>
      </c>
      <c r="E106" s="225" t="str">
        <f ca="1">IFERROR(INDEX(COPIA!$IB$19:$IH$34,MATCH(ROWS($D$9:E106),COPIA!$IH$19:$IH$34,0),6),"")</f>
        <v/>
      </c>
      <c r="F106" s="14"/>
    </row>
    <row r="107" spans="1:6" ht="20.100000000000001" customHeight="1">
      <c r="A107" s="14"/>
      <c r="B107" s="223" t="str">
        <f ca="1">IFERROR(IF(ROW()-8&lt;=COPIA!$IG$1,SUBSTITUTE(INDEX(COPIA!$IB$3:$IH$18,MATCH(ROWS($B$9:B107),COPIA!$IH$3:$IH$18,0),1),"_"," "),IF(ROW()-8&gt;=COPIA!$IG$1+COPIA!$IH$1,SUBSTITUTE(INDEX(COPIA!$IB$37:$IH$93,MATCH(ROW()-8-COPIA!$IH$1,COPIA!$IH$37:$IH$93,0),1),"_"," "),"")),"")</f>
        <v/>
      </c>
      <c r="C107" s="224" t="str">
        <f ca="1">IFERROR(IF(ROW()-8&lt;=COPIA!$IG$1,INDEX(COPIA!$IB$3:$IH$18,MATCH(ROWS($B$9:B107),COPIA!$IH$3:$IH$18,0),6),IF(ROW()-8&gt;=COPIA!$IG$1+2,INDEX(COPIA!$IB$37:$IH$93,MATCH(ROW()-8-COPIA!$IH$1,COPIA!$IH$37:$IH$93,0),6),"")),"")</f>
        <v/>
      </c>
      <c r="D107" s="223" t="str">
        <f ca="1">IFERROR(SUBSTITUTE(INDEX(COPIA!$IB$19:$IH$34,MATCH(ROWS($D$9:D107),COPIA!$IH$19:$IH$34,0),1),"_"," "),"")</f>
        <v/>
      </c>
      <c r="E107" s="225" t="str">
        <f ca="1">IFERROR(INDEX(COPIA!$IB$19:$IH$34,MATCH(ROWS($D$9:E107),COPIA!$IH$19:$IH$34,0),6),"")</f>
        <v/>
      </c>
      <c r="F107" s="14"/>
    </row>
    <row r="108" spans="1:6" ht="20.100000000000001" customHeight="1">
      <c r="A108" s="14"/>
      <c r="B108" s="223" t="str">
        <f ca="1">IFERROR(IF(ROW()-8&lt;=COPIA!$IG$1,SUBSTITUTE(INDEX(COPIA!$IB$3:$IH$18,MATCH(ROWS($B$9:B108),COPIA!$IH$3:$IH$18,0),1),"_"," "),IF(ROW()-8&gt;=COPIA!$IG$1+COPIA!$IH$1,SUBSTITUTE(INDEX(COPIA!$IB$37:$IH$93,MATCH(ROW()-8-COPIA!$IH$1,COPIA!$IH$37:$IH$93,0),1),"_"," "),"")),"")</f>
        <v/>
      </c>
      <c r="C108" s="224" t="str">
        <f ca="1">IFERROR(IF(ROW()-8&lt;=COPIA!$IG$1,INDEX(COPIA!$IB$3:$IH$18,MATCH(ROWS($B$9:B108),COPIA!$IH$3:$IH$18,0),6),IF(ROW()-8&gt;=COPIA!$IG$1+2,INDEX(COPIA!$IB$37:$IH$93,MATCH(ROW()-8-COPIA!$IH$1,COPIA!$IH$37:$IH$93,0),6),"")),"")</f>
        <v/>
      </c>
      <c r="D108" s="223" t="str">
        <f ca="1">IFERROR(SUBSTITUTE(INDEX(COPIA!$IB$19:$IH$34,MATCH(ROWS($D$9:D108),COPIA!$IH$19:$IH$34,0),1),"_"," "),"")</f>
        <v/>
      </c>
      <c r="E108" s="225" t="str">
        <f ca="1">IFERROR(INDEX(COPIA!$IB$19:$IH$34,MATCH(ROWS($D$9:E108),COPIA!$IH$19:$IH$34,0),6),"")</f>
        <v/>
      </c>
      <c r="F108" s="14"/>
    </row>
    <row r="109" spans="1:6" ht="20.100000000000001" customHeight="1">
      <c r="A109" s="14"/>
      <c r="B109" s="223" t="str">
        <f ca="1">IFERROR(IF(ROW()-8&lt;=COPIA!$IG$1,SUBSTITUTE(INDEX(COPIA!$IB$3:$IH$18,MATCH(ROWS($B$9:B109),COPIA!$IH$3:$IH$18,0),1),"_"," "),IF(ROW()-8&gt;=COPIA!$IG$1+COPIA!$IH$1,SUBSTITUTE(INDEX(COPIA!$IB$37:$IH$93,MATCH(ROW()-8-COPIA!$IH$1,COPIA!$IH$37:$IH$93,0),1),"_"," "),"")),"")</f>
        <v/>
      </c>
      <c r="C109" s="224" t="str">
        <f ca="1">IFERROR(IF(ROW()-8&lt;=COPIA!$IG$1,INDEX(COPIA!$IB$3:$IH$18,MATCH(ROWS($B$9:B109),COPIA!$IH$3:$IH$18,0),6),IF(ROW()-8&gt;=COPIA!$IG$1+2,INDEX(COPIA!$IB$37:$IH$93,MATCH(ROW()-8-COPIA!$IH$1,COPIA!$IH$37:$IH$93,0),6),"")),"")</f>
        <v/>
      </c>
      <c r="D109" s="223" t="str">
        <f ca="1">IFERROR(SUBSTITUTE(INDEX(COPIA!$IB$19:$IH$34,MATCH(ROWS($D$9:D109),COPIA!$IH$19:$IH$34,0),1),"_"," "),"")</f>
        <v/>
      </c>
      <c r="E109" s="225" t="str">
        <f ca="1">IFERROR(INDEX(COPIA!$IB$19:$IH$34,MATCH(ROWS($D$9:E109),COPIA!$IH$19:$IH$34,0),6),"")</f>
        <v/>
      </c>
      <c r="F109" s="14"/>
    </row>
    <row r="110" spans="1:6" ht="20.100000000000001" customHeight="1">
      <c r="A110" s="14"/>
      <c r="B110" s="223" t="str">
        <f ca="1">IFERROR(IF(ROW()-8&lt;=COPIA!$IG$1,SUBSTITUTE(INDEX(COPIA!$IB$3:$IH$18,MATCH(ROWS($B$9:B110),COPIA!$IH$3:$IH$18,0),1),"_"," "),IF(ROW()-8&gt;=COPIA!$IG$1+COPIA!$IH$1,SUBSTITUTE(INDEX(COPIA!$IB$37:$IH$93,MATCH(ROW()-8-COPIA!$IH$1,COPIA!$IH$37:$IH$93,0),1),"_"," "),"")),"")</f>
        <v/>
      </c>
      <c r="C110" s="224" t="str">
        <f ca="1">IFERROR(IF(ROW()-8&lt;=COPIA!$IG$1,INDEX(COPIA!$IB$3:$IH$18,MATCH(ROWS($B$9:B110),COPIA!$IH$3:$IH$18,0),6),IF(ROW()-8&gt;=COPIA!$IG$1+2,INDEX(COPIA!$IB$37:$IH$93,MATCH(ROW()-8-COPIA!$IH$1,COPIA!$IH$37:$IH$93,0),6),"")),"")</f>
        <v/>
      </c>
      <c r="D110" s="223" t="str">
        <f ca="1">IFERROR(SUBSTITUTE(INDEX(COPIA!$IB$19:$IH$34,MATCH(ROWS($D$9:D110),COPIA!$IH$19:$IH$34,0),1),"_"," "),"")</f>
        <v/>
      </c>
      <c r="E110" s="225" t="str">
        <f ca="1">IFERROR(INDEX(COPIA!$IB$19:$IH$34,MATCH(ROWS($D$9:E110),COPIA!$IH$19:$IH$34,0),6),"")</f>
        <v/>
      </c>
      <c r="F110" s="14"/>
    </row>
    <row r="111" spans="1:6" ht="20.100000000000001" customHeight="1">
      <c r="A111" s="14"/>
      <c r="B111" s="223" t="str">
        <f ca="1">IFERROR(IF(ROW()-8&lt;=COPIA!$IG$1,SUBSTITUTE(INDEX(COPIA!$IB$3:$IH$18,MATCH(ROWS($B$9:B111),COPIA!$IH$3:$IH$18,0),1),"_"," "),IF(ROW()-8&gt;=COPIA!$IG$1+COPIA!$IH$1,SUBSTITUTE(INDEX(COPIA!$IB$37:$IH$93,MATCH(ROW()-8-COPIA!$IH$1,COPIA!$IH$37:$IH$93,0),1),"_"," "),"")),"")</f>
        <v/>
      </c>
      <c r="C111" s="224" t="str">
        <f ca="1">IFERROR(IF(ROW()-8&lt;=COPIA!$IG$1,INDEX(COPIA!$IB$3:$IH$18,MATCH(ROWS($B$9:B111),COPIA!$IH$3:$IH$18,0),6),IF(ROW()-8&gt;=COPIA!$IG$1+2,INDEX(COPIA!$IB$37:$IH$93,MATCH(ROW()-8-COPIA!$IH$1,COPIA!$IH$37:$IH$93,0),6),"")),"")</f>
        <v/>
      </c>
      <c r="D111" s="223" t="str">
        <f ca="1">IFERROR(SUBSTITUTE(INDEX(COPIA!$IB$19:$IH$34,MATCH(ROWS($D$9:D111),COPIA!$IH$19:$IH$34,0),1),"_"," "),"")</f>
        <v/>
      </c>
      <c r="E111" s="225" t="str">
        <f ca="1">IFERROR(INDEX(COPIA!$IB$19:$IH$34,MATCH(ROWS($D$9:E111),COPIA!$IH$19:$IH$34,0),6),"")</f>
        <v/>
      </c>
      <c r="F111" s="14"/>
    </row>
    <row r="112" spans="1:6" ht="20.100000000000001" customHeight="1">
      <c r="A112" s="14"/>
      <c r="B112" s="223" t="str">
        <f ca="1">IFERROR(IF(ROW()-8&lt;=COPIA!$IG$1,SUBSTITUTE(INDEX(COPIA!$IB$3:$IH$18,MATCH(ROWS($B$9:B112),COPIA!$IH$3:$IH$18,0),1),"_"," "),IF(ROW()-8&gt;=COPIA!$IG$1+COPIA!$IH$1,SUBSTITUTE(INDEX(COPIA!$IB$37:$IH$93,MATCH(ROW()-8-COPIA!$IH$1,COPIA!$IH$37:$IH$93,0),1),"_"," "),"")),"")</f>
        <v/>
      </c>
      <c r="C112" s="224" t="str">
        <f ca="1">IFERROR(IF(ROW()-8&lt;=COPIA!$IG$1,INDEX(COPIA!$IB$3:$IH$18,MATCH(ROWS($B$9:B112),COPIA!$IH$3:$IH$18,0),6),IF(ROW()-8&gt;=COPIA!$IG$1+2,INDEX(COPIA!$IB$37:$IH$93,MATCH(ROW()-8-COPIA!$IH$1,COPIA!$IH$37:$IH$93,0),6),"")),"")</f>
        <v/>
      </c>
      <c r="D112" s="223" t="str">
        <f ca="1">IFERROR(SUBSTITUTE(INDEX(COPIA!$IB$19:$IH$34,MATCH(ROWS($D$9:D112),COPIA!$IH$19:$IH$34,0),1),"_"," "),"")</f>
        <v/>
      </c>
      <c r="E112" s="225" t="str">
        <f ca="1">IFERROR(INDEX(COPIA!$IB$19:$IH$34,MATCH(ROWS($D$9:E112),COPIA!$IH$19:$IH$34,0),6),"")</f>
        <v/>
      </c>
      <c r="F112" s="14"/>
    </row>
    <row r="113" spans="1:6" ht="20.100000000000001" customHeight="1">
      <c r="A113" s="14"/>
      <c r="B113" s="223" t="str">
        <f ca="1">IFERROR(IF(ROW()-8&lt;=COPIA!$IG$1,SUBSTITUTE(INDEX(COPIA!$IB$3:$IH$18,MATCH(ROWS($B$9:B113),COPIA!$IH$3:$IH$18,0),1),"_"," "),IF(ROW()-8&gt;=COPIA!$IG$1+COPIA!$IH$1,SUBSTITUTE(INDEX(COPIA!$IB$37:$IH$93,MATCH(ROW()-8-COPIA!$IH$1,COPIA!$IH$37:$IH$93,0),1),"_"," "),"")),"")</f>
        <v/>
      </c>
      <c r="C113" s="224" t="str">
        <f ca="1">IFERROR(IF(ROW()-8&lt;=COPIA!$IG$1,INDEX(COPIA!$IB$3:$IH$18,MATCH(ROWS($B$9:B113),COPIA!$IH$3:$IH$18,0),6),IF(ROW()-8&gt;=COPIA!$IG$1+2,INDEX(COPIA!$IB$37:$IH$93,MATCH(ROW()-8-COPIA!$IH$1,COPIA!$IH$37:$IH$93,0),6),"")),"")</f>
        <v/>
      </c>
      <c r="D113" s="223" t="str">
        <f ca="1">IFERROR(SUBSTITUTE(INDEX(COPIA!$IB$19:$IH$34,MATCH(ROWS($D$9:D113),COPIA!$IH$19:$IH$34,0),1),"_"," "),"")</f>
        <v/>
      </c>
      <c r="E113" s="225" t="str">
        <f ca="1">IFERROR(INDEX(COPIA!$IB$19:$IH$34,MATCH(ROWS($D$9:E113),COPIA!$IH$19:$IH$34,0),6),"")</f>
        <v/>
      </c>
      <c r="F113" s="14"/>
    </row>
    <row r="114" spans="1:6" ht="20.100000000000001" customHeight="1">
      <c r="A114" s="14"/>
      <c r="B114" s="223" t="str">
        <f ca="1">IFERROR(IF(ROW()-8&lt;=COPIA!$IG$1,SUBSTITUTE(INDEX(COPIA!$IB$3:$IH$18,MATCH(ROWS($B$9:B114),COPIA!$IH$3:$IH$18,0),1),"_"," "),IF(ROW()-8&gt;=COPIA!$IG$1+COPIA!$IH$1,SUBSTITUTE(INDEX(COPIA!$IB$37:$IH$93,MATCH(ROW()-8-COPIA!$IH$1,COPIA!$IH$37:$IH$93,0),1),"_"," "),"")),"")</f>
        <v/>
      </c>
      <c r="C114" s="224" t="str">
        <f ca="1">IFERROR(IF(ROW()-8&lt;=COPIA!$IG$1,INDEX(COPIA!$IB$3:$IH$18,MATCH(ROWS($B$9:B114),COPIA!$IH$3:$IH$18,0),6),IF(ROW()-8&gt;=COPIA!$IG$1+2,INDEX(COPIA!$IB$37:$IH$93,MATCH(ROW()-8-COPIA!$IH$1,COPIA!$IH$37:$IH$93,0),6),"")),"")</f>
        <v/>
      </c>
      <c r="D114" s="223" t="str">
        <f ca="1">IFERROR(SUBSTITUTE(INDEX(COPIA!$IB$19:$IH$34,MATCH(ROWS($D$9:D114),COPIA!$IH$19:$IH$34,0),1),"_"," "),"")</f>
        <v/>
      </c>
      <c r="E114" s="225" t="str">
        <f ca="1">IFERROR(INDEX(COPIA!$IB$19:$IH$34,MATCH(ROWS($D$9:E114),COPIA!$IH$19:$IH$34,0),6),"")</f>
        <v/>
      </c>
      <c r="F114" s="14"/>
    </row>
    <row r="115" spans="1:6" ht="20.100000000000001" customHeight="1">
      <c r="A115" s="14"/>
      <c r="B115" s="223" t="str">
        <f ca="1">IFERROR(IF(ROW()-8&lt;=COPIA!$IG$1,SUBSTITUTE(INDEX(COPIA!$IB$3:$IH$18,MATCH(ROWS($B$9:B115),COPIA!$IH$3:$IH$18,0),1),"_"," "),IF(ROW()-8&gt;=COPIA!$IG$1+COPIA!$IH$1,SUBSTITUTE(INDEX(COPIA!$IB$37:$IH$93,MATCH(ROW()-8-COPIA!$IH$1,COPIA!$IH$37:$IH$93,0),1),"_"," "),"")),"")</f>
        <v/>
      </c>
      <c r="C115" s="224" t="str">
        <f ca="1">IFERROR(IF(ROW()-8&lt;=COPIA!$IG$1,INDEX(COPIA!$IB$3:$IH$18,MATCH(ROWS($B$9:B115),COPIA!$IH$3:$IH$18,0),6),IF(ROW()-8&gt;=COPIA!$IG$1+2,INDEX(COPIA!$IB$37:$IH$93,MATCH(ROW()-8-COPIA!$IH$1,COPIA!$IH$37:$IH$93,0),6),"")),"")</f>
        <v/>
      </c>
      <c r="D115" s="223" t="str">
        <f ca="1">IFERROR(SUBSTITUTE(INDEX(COPIA!$IB$19:$IH$34,MATCH(ROWS($D$9:D115),COPIA!$IH$19:$IH$34,0),1),"_"," "),"")</f>
        <v/>
      </c>
      <c r="E115" s="225" t="str">
        <f ca="1">IFERROR(INDEX(COPIA!$IB$19:$IH$34,MATCH(ROWS($D$9:E115),COPIA!$IH$19:$IH$34,0),6),"")</f>
        <v/>
      </c>
      <c r="F115" s="14"/>
    </row>
    <row r="116" spans="1:6" ht="20.100000000000001" customHeight="1">
      <c r="A116" s="14"/>
      <c r="B116" s="223" t="str">
        <f ca="1">IFERROR(IF(ROW()-8&lt;=COPIA!$IG$1,SUBSTITUTE(INDEX(COPIA!$IB$3:$IH$18,MATCH(ROWS($B$9:B116),COPIA!$IH$3:$IH$18,0),1),"_"," "),IF(ROW()-8&gt;=COPIA!$IG$1+COPIA!$IH$1,SUBSTITUTE(INDEX(COPIA!$IB$37:$IH$93,MATCH(ROW()-8-COPIA!$IH$1,COPIA!$IH$37:$IH$93,0),1),"_"," "),"")),"")</f>
        <v/>
      </c>
      <c r="C116" s="224" t="str">
        <f ca="1">IFERROR(IF(ROW()-8&lt;=COPIA!$IG$1,INDEX(COPIA!$IB$3:$IH$18,MATCH(ROWS($B$9:B116),COPIA!$IH$3:$IH$18,0),6),IF(ROW()-8&gt;=COPIA!$IG$1+2,INDEX(COPIA!$IB$37:$IH$93,MATCH(ROW()-8-COPIA!$IH$1,COPIA!$IH$37:$IH$93,0),6),"")),"")</f>
        <v/>
      </c>
      <c r="D116" s="223" t="str">
        <f ca="1">IFERROR(SUBSTITUTE(INDEX(COPIA!$IB$19:$IH$34,MATCH(ROWS($D$9:D116),COPIA!$IH$19:$IH$34,0),1),"_"," "),"")</f>
        <v/>
      </c>
      <c r="E116" s="225" t="str">
        <f ca="1">IFERROR(INDEX(COPIA!$IB$19:$IH$34,MATCH(ROWS($D$9:E116),COPIA!$IH$19:$IH$34,0),6),"")</f>
        <v/>
      </c>
      <c r="F116" s="14"/>
    </row>
    <row r="117" spans="1:6" ht="20.100000000000001" customHeight="1">
      <c r="A117" s="14"/>
      <c r="B117" s="223" t="str">
        <f ca="1">IFERROR(IF(ROW()-8&lt;=COPIA!$IG$1,SUBSTITUTE(INDEX(COPIA!$IB$3:$IH$18,MATCH(ROWS($B$9:B117),COPIA!$IH$3:$IH$18,0),1),"_"," "),IF(ROW()-8&gt;=COPIA!$IG$1+COPIA!$IH$1,SUBSTITUTE(INDEX(COPIA!$IB$37:$IH$93,MATCH(ROW()-8-COPIA!$IH$1,COPIA!$IH$37:$IH$93,0),1),"_"," "),"")),"")</f>
        <v/>
      </c>
      <c r="C117" s="224" t="str">
        <f ca="1">IFERROR(IF(ROW()-8&lt;=COPIA!$IG$1,INDEX(COPIA!$IB$3:$IH$18,MATCH(ROWS($B$9:B117),COPIA!$IH$3:$IH$18,0),6),IF(ROW()-8&gt;=COPIA!$IG$1+2,INDEX(COPIA!$IB$37:$IH$93,MATCH(ROW()-8-COPIA!$IH$1,COPIA!$IH$37:$IH$93,0),6),"")),"")</f>
        <v/>
      </c>
      <c r="D117" s="223" t="str">
        <f ca="1">IFERROR(SUBSTITUTE(INDEX(COPIA!$IB$19:$IH$34,MATCH(ROWS($D$9:D117),COPIA!$IH$19:$IH$34,0),1),"_"," "),"")</f>
        <v/>
      </c>
      <c r="E117" s="225" t="str">
        <f ca="1">IFERROR(INDEX(COPIA!$IB$19:$IH$34,MATCH(ROWS($D$9:E117),COPIA!$IH$19:$IH$34,0),6),"")</f>
        <v/>
      </c>
      <c r="F117" s="14"/>
    </row>
    <row r="118" spans="1:6" ht="20.100000000000001" customHeight="1">
      <c r="A118" s="14"/>
      <c r="B118" s="223" t="str">
        <f ca="1">IFERROR(IF(ROW()-8&lt;=COPIA!$IG$1,SUBSTITUTE(INDEX(COPIA!$IB$3:$IH$18,MATCH(ROWS($B$9:B118),COPIA!$IH$3:$IH$18,0),1),"_"," "),IF(ROW()-8&gt;=COPIA!$IG$1+COPIA!$IH$1,SUBSTITUTE(INDEX(COPIA!$IB$37:$IH$93,MATCH(ROW()-8-COPIA!$IH$1,COPIA!$IH$37:$IH$93,0),1),"_"," "),"")),"")</f>
        <v/>
      </c>
      <c r="C118" s="224" t="str">
        <f ca="1">IFERROR(IF(ROW()-8&lt;=COPIA!$IG$1,INDEX(COPIA!$IB$3:$IH$18,MATCH(ROWS($B$9:B118),COPIA!$IH$3:$IH$18,0),6),IF(ROW()-8&gt;=COPIA!$IG$1+2,INDEX(COPIA!$IB$37:$IH$93,MATCH(ROW()-8-COPIA!$IH$1,COPIA!$IH$37:$IH$93,0),6),"")),"")</f>
        <v/>
      </c>
      <c r="D118" s="223" t="str">
        <f ca="1">IFERROR(SUBSTITUTE(INDEX(COPIA!$IB$19:$IH$34,MATCH(ROWS($D$9:D118),COPIA!$IH$19:$IH$34,0),1),"_"," "),"")</f>
        <v/>
      </c>
      <c r="E118" s="225" t="str">
        <f ca="1">IFERROR(INDEX(COPIA!$IB$19:$IH$34,MATCH(ROWS($D$9:E118),COPIA!$IH$19:$IH$34,0),6),"")</f>
        <v/>
      </c>
      <c r="F118" s="14"/>
    </row>
    <row r="119" spans="1:6" ht="20.100000000000001" customHeight="1">
      <c r="A119" s="14"/>
      <c r="B119" s="223" t="str">
        <f ca="1">IFERROR(IF(ROW()-8&lt;=COPIA!$IG$1,SUBSTITUTE(INDEX(COPIA!$IB$3:$IH$18,MATCH(ROWS($B$9:B119),COPIA!$IH$3:$IH$18,0),1),"_"," "),IF(ROW()-8&gt;=COPIA!$IG$1+COPIA!$IH$1,SUBSTITUTE(INDEX(COPIA!$IB$37:$IH$93,MATCH(ROW()-8-COPIA!$IH$1,COPIA!$IH$37:$IH$93,0),1),"_"," "),"")),"")</f>
        <v/>
      </c>
      <c r="C119" s="224" t="str">
        <f ca="1">IFERROR(IF(ROW()-8&lt;=COPIA!$IG$1,INDEX(COPIA!$IB$3:$IH$18,MATCH(ROWS($B$9:B119),COPIA!$IH$3:$IH$18,0),6),IF(ROW()-8&gt;=COPIA!$IG$1+2,INDEX(COPIA!$IB$37:$IH$93,MATCH(ROW()-8-COPIA!$IH$1,COPIA!$IH$37:$IH$93,0),6),"")),"")</f>
        <v/>
      </c>
      <c r="D119" s="223" t="str">
        <f ca="1">IFERROR(SUBSTITUTE(INDEX(COPIA!$IB$19:$IH$34,MATCH(ROWS($D$9:D119),COPIA!$IH$19:$IH$34,0),1),"_"," "),"")</f>
        <v/>
      </c>
      <c r="E119" s="225" t="str">
        <f ca="1">IFERROR(INDEX(COPIA!$IB$19:$IH$34,MATCH(ROWS($D$9:E119),COPIA!$IH$19:$IH$34,0),6),"")</f>
        <v/>
      </c>
      <c r="F119" s="14"/>
    </row>
    <row r="120" spans="1:6" ht="20.100000000000001" customHeight="1">
      <c r="A120" s="14"/>
      <c r="B120" s="223" t="str">
        <f ca="1">IFERROR(IF(ROW()-8&lt;=COPIA!$IG$1,SUBSTITUTE(INDEX(COPIA!$IB$3:$IH$18,MATCH(ROWS($B$9:B120),COPIA!$IH$3:$IH$18,0),1),"_"," "),IF(ROW()-8&gt;=COPIA!$IG$1+COPIA!$IH$1,SUBSTITUTE(INDEX(COPIA!$IB$37:$IH$93,MATCH(ROW()-8-COPIA!$IH$1,COPIA!$IH$37:$IH$93,0),1),"_"," "),"")),"")</f>
        <v/>
      </c>
      <c r="C120" s="224" t="str">
        <f ca="1">IFERROR(IF(ROW()-8&lt;=COPIA!$IG$1,INDEX(COPIA!$IB$3:$IH$18,MATCH(ROWS($B$9:B120),COPIA!$IH$3:$IH$18,0),6),IF(ROW()-8&gt;=COPIA!$IG$1+2,INDEX(COPIA!$IB$37:$IH$93,MATCH(ROW()-8-COPIA!$IH$1,COPIA!$IH$37:$IH$93,0),6),"")),"")</f>
        <v/>
      </c>
      <c r="D120" s="223" t="str">
        <f ca="1">IFERROR(SUBSTITUTE(INDEX(COPIA!$IB$19:$IH$34,MATCH(ROWS($D$9:D120),COPIA!$IH$19:$IH$34,0),1),"_"," "),"")</f>
        <v/>
      </c>
      <c r="E120" s="225" t="str">
        <f ca="1">IFERROR(INDEX(COPIA!$IB$19:$IH$34,MATCH(ROWS($D$9:E120),COPIA!$IH$19:$IH$34,0),6),"")</f>
        <v/>
      </c>
      <c r="F120" s="14"/>
    </row>
    <row r="121" spans="1:6" ht="20.100000000000001" customHeight="1">
      <c r="A121" s="14"/>
      <c r="B121" s="223" t="str">
        <f ca="1">IFERROR(IF(ROW()-8&lt;=COPIA!$IG$1,SUBSTITUTE(INDEX(COPIA!$IB$3:$IH$18,MATCH(ROWS($B$9:B121),COPIA!$IH$3:$IH$18,0),1),"_"," "),IF(ROW()-8&gt;=COPIA!$IG$1+COPIA!$IH$1,SUBSTITUTE(INDEX(COPIA!$IB$37:$IH$93,MATCH(ROW()-8-COPIA!$IH$1,COPIA!$IH$37:$IH$93,0),1),"_"," "),"")),"")</f>
        <v/>
      </c>
      <c r="C121" s="224" t="str">
        <f ca="1">IFERROR(IF(ROW()-8&lt;=COPIA!$IG$1,INDEX(COPIA!$IB$3:$IH$18,MATCH(ROWS($B$9:B121),COPIA!$IH$3:$IH$18,0),6),IF(ROW()-8&gt;=COPIA!$IG$1+2,INDEX(COPIA!$IB$37:$IH$93,MATCH(ROW()-8-COPIA!$IH$1,COPIA!$IH$37:$IH$93,0),6),"")),"")</f>
        <v/>
      </c>
      <c r="D121" s="223" t="str">
        <f ca="1">IFERROR(SUBSTITUTE(INDEX(COPIA!$IB$19:$IH$34,MATCH(ROWS($D$9:D121),COPIA!$IH$19:$IH$34,0),1),"_"," "),"")</f>
        <v/>
      </c>
      <c r="E121" s="225" t="str">
        <f ca="1">IFERROR(INDEX(COPIA!$IB$19:$IH$34,MATCH(ROWS($D$9:E121),COPIA!$IH$19:$IH$34,0),6),"")</f>
        <v/>
      </c>
      <c r="F121" s="14"/>
    </row>
    <row r="122" spans="1:6" ht="20.100000000000001" customHeight="1">
      <c r="A122" s="14"/>
      <c r="B122" s="223" t="str">
        <f ca="1">IFERROR(IF(ROW()-8&lt;=COPIA!$IG$1,SUBSTITUTE(INDEX(COPIA!$IB$3:$IH$18,MATCH(ROWS($B$9:B122),COPIA!$IH$3:$IH$18,0),1),"_"," "),IF(ROW()-8&gt;=COPIA!$IG$1+COPIA!$IH$1,SUBSTITUTE(INDEX(COPIA!$IB$37:$IH$93,MATCH(ROW()-8-COPIA!$IH$1,COPIA!$IH$37:$IH$93,0),1),"_"," "),"")),"")</f>
        <v/>
      </c>
      <c r="C122" s="224" t="str">
        <f ca="1">IFERROR(IF(ROW()-8&lt;=COPIA!$IG$1,INDEX(COPIA!$IB$3:$IH$18,MATCH(ROWS($B$9:B122),COPIA!$IH$3:$IH$18,0),6),IF(ROW()-8&gt;=COPIA!$IG$1+2,INDEX(COPIA!$IB$37:$IH$93,MATCH(ROW()-8-COPIA!$IH$1,COPIA!$IH$37:$IH$93,0),6),"")),"")</f>
        <v/>
      </c>
      <c r="D122" s="223" t="str">
        <f ca="1">IFERROR(SUBSTITUTE(INDEX(COPIA!$IB$19:$IH$34,MATCH(ROWS($D$9:D122),COPIA!$IH$19:$IH$34,0),1),"_"," "),"")</f>
        <v/>
      </c>
      <c r="E122" s="225" t="str">
        <f ca="1">IFERROR(INDEX(COPIA!$IB$19:$IH$34,MATCH(ROWS($D$9:E122),COPIA!$IH$19:$IH$34,0),6),"")</f>
        <v/>
      </c>
      <c r="F122" s="14"/>
    </row>
  </sheetData>
  <sheetProtection algorithmName="SHA-512" hashValue="3SBqimxGwxbJAemYrzkavu+7a8VJWTIsbttqNY9fi+8GJ60E950qNA1LMvjExRE8xC848c/7snKVUSqvOa3uoQ==" saltValue="hERMs6feGRWma5jnP43paw==" spinCount="100000" sheet="1" objects="1" scenarios="1"/>
  <mergeCells count="4">
    <mergeCell ref="B7:E7"/>
    <mergeCell ref="A1:D1"/>
    <mergeCell ref="E2:F2"/>
    <mergeCell ref="B4:C4"/>
  </mergeCells>
  <conditionalFormatting sqref="B9:B122 D9:E122">
    <cfRule type="expression" dxfId="36" priority="21">
      <formula>AND($A$7&gt;1,ROW()-8&lt;$A$7)</formula>
    </cfRule>
  </conditionalFormatting>
  <conditionalFormatting sqref="B9:B122">
    <cfRule type="expression" dxfId="35" priority="22">
      <formula>AND(ROW()-8&gt;($A$7+$A$6),$B9&lt;&gt;"",LEFT($B9,5)&lt;&gt;"CONTO")</formula>
    </cfRule>
  </conditionalFormatting>
  <conditionalFormatting sqref="B9:C122">
    <cfRule type="expression" dxfId="34" priority="10">
      <formula>MID($B9,1,4)=" 21)"</formula>
    </cfRule>
    <cfRule type="expression" dxfId="33" priority="11">
      <formula>MID($B9,1,15)="CONTO ECONOMICO"</formula>
    </cfRule>
    <cfRule type="expression" dxfId="32" priority="17">
      <formula>OR($B9="D) Ratei e risconti",$B9="C) Attivo circolante",$B9="B) Immobilizzazioni",$B9=" 21) utile dell'esercizio",$B9=" 21) perdita dell'esercizio",$B9="A) Valore della produzione",$B9="B) Costi della produzione",$B9="C) Proventi e oneri finanziari")</formula>
    </cfRule>
  </conditionalFormatting>
  <conditionalFormatting sqref="B8:E8">
    <cfRule type="expression" dxfId="31" priority="9">
      <formula>$B$8="ATTIVO"</formula>
    </cfRule>
  </conditionalFormatting>
  <conditionalFormatting sqref="B9:E122">
    <cfRule type="expression" dxfId="30" priority="6">
      <formula>$B9="TOTALE ATTIVO"</formula>
    </cfRule>
  </conditionalFormatting>
  <conditionalFormatting sqref="C1:C1048576">
    <cfRule type="cellIs" dxfId="29" priority="1" operator="equal">
      <formula>0</formula>
    </cfRule>
  </conditionalFormatting>
  <conditionalFormatting sqref="C9:C122">
    <cfRule type="expression" dxfId="28" priority="7">
      <formula>$B9="Risultato prima delle imposte (A - B +/- C)"</formula>
    </cfRule>
    <cfRule type="expression" dxfId="27" priority="8">
      <formula>MID($B9,1,4)=" 21)"</formula>
    </cfRule>
    <cfRule type="expression" dxfId="26" priority="12">
      <formula>OR($B9="     Totale immobilizzazioni",$B9="     Totale attivo circolante")</formula>
    </cfRule>
    <cfRule type="expression" dxfId="25" priority="16">
      <formula>OR($B9="  Totale A",$B9="  Totale B",$B9="  Totale C",$B9="  Differenza tra valore e costi della produzione (A-B)",$B9="Risultato prima delle imposte (A - B +/- C)",LEFT($B9,4)=" 21)")</formula>
    </cfRule>
  </conditionalFormatting>
  <conditionalFormatting sqref="D9:D122">
    <cfRule type="expression" dxfId="24" priority="2">
      <formula>AND($B9&lt;&gt;"",LEFT($B9,5)&lt;&gt;"CONTO")</formula>
    </cfRule>
  </conditionalFormatting>
  <conditionalFormatting sqref="D9:E122">
    <cfRule type="expression" dxfId="23" priority="14">
      <formula>OR($D9="A) Patrimonio netto",$D9="C) Trattamento di fine rapporto di lavoro subordinato",$D9="B) Fondi per rischi e oneri",$D9="D) Debiti",$D9="E) Ratei e risconti")</formula>
    </cfRule>
  </conditionalFormatting>
  <conditionalFormatting sqref="E9:E122">
    <cfRule type="expression" dxfId="22" priority="13">
      <formula>$D9="Totale patrimonio netto"</formula>
    </cfRule>
  </conditionalFormatting>
  <dataValidations count="2">
    <dataValidation type="list" allowBlank="1" showInputMessage="1" showErrorMessage="1" sqref="C3" xr:uid="{00000000-0002-0000-0500-000000000000}">
      <formula1>RIGHE_PROSPETTI</formula1>
    </dataValidation>
    <dataValidation type="list" allowBlank="1" showInputMessage="1" showErrorMessage="1" sqref="B3" xr:uid="{00000000-0002-0000-0500-000001000000}">
      <formula1>"BILANCIO DELLE MICRO IMPRESE, BILANCIO DELLE MICRO IMPRESE CON SEMPLIFICAZIONI"</formula1>
    </dataValidation>
  </dataValidations>
  <printOptions horizontalCentered="1"/>
  <pageMargins left="0.11811023622047245" right="0.11811023622047245" top="0.74803149606299213" bottom="0.74803149606299213" header="0.31496062992125984" footer="0.31496062992125984"/>
  <pageSetup orientation="landscape" r:id="rId1"/>
  <headerFooter>
    <oddHeader>&amp;L&amp;"Arial Narrow,Grassetto"&amp;11&amp;K08-020&amp;A&amp;R&amp;G</oddHeader>
    <oddFooter>&amp;L&amp;"Arial Narrow,Grassetto"&amp;9&amp;K08-021FUTURO IMPRESA 3 - T-SMART - AUTORE: Biagio PALACINO&amp;C&amp;"Arial Narrow,Grassetto"&amp;9&amp;K08-023&amp;D&amp;R&amp;"Arial Narrow,Grassetto"&amp;10&amp;K08-022pag. &amp;P di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9900"/>
  </sheetPr>
  <dimension ref="A1:J228"/>
  <sheetViews>
    <sheetView showGridLines="0" showRowColHeaders="0" zoomScale="110" zoomScaleNormal="110" workbookViewId="0">
      <pane ySplit="8" topLeftCell="A9" activePane="bottomLeft" state="frozen"/>
      <selection pane="bottomLeft" activeCell="E12" sqref="E12"/>
    </sheetView>
  </sheetViews>
  <sheetFormatPr defaultRowHeight="15.6"/>
  <cols>
    <col min="1" max="1" width="4.8984375" style="95" customWidth="1"/>
    <col min="2" max="2" width="8.09765625" style="1" customWidth="1"/>
    <col min="3" max="3" width="7.59765625" customWidth="1"/>
    <col min="4" max="4" width="8.3984375" bestFit="1" customWidth="1"/>
    <col min="5" max="5" width="43" style="2" customWidth="1"/>
    <col min="6" max="6" width="30.8984375" customWidth="1"/>
    <col min="7" max="8" width="12.59765625" customWidth="1"/>
    <col min="9" max="9" width="10.8984375" customWidth="1"/>
  </cols>
  <sheetData>
    <row r="1" spans="1:10" ht="28.5" customHeight="1">
      <c r="B1" s="373" t="s">
        <v>704</v>
      </c>
      <c r="C1" s="374"/>
      <c r="D1" s="374"/>
      <c r="E1" s="374"/>
      <c r="F1" s="374"/>
      <c r="G1" s="2"/>
      <c r="H1" s="2"/>
      <c r="I1" s="2"/>
    </row>
    <row r="2" spans="1:10" ht="14.25" customHeight="1">
      <c r="B2" s="390" t="s">
        <v>445</v>
      </c>
      <c r="C2" s="390"/>
      <c r="D2" s="390"/>
      <c r="E2" s="391" t="str">
        <f ca="1">IF(COPIA!CH1=0,"",COPIA!ES1)</f>
        <v/>
      </c>
      <c r="F2" s="176" t="s">
        <v>428</v>
      </c>
      <c r="G2" s="376" t="s">
        <v>429</v>
      </c>
      <c r="H2" s="377"/>
      <c r="I2" s="378"/>
    </row>
    <row r="3" spans="1:10" ht="15" customHeight="1">
      <c r="B3" s="390"/>
      <c r="C3" s="390"/>
      <c r="D3" s="390"/>
      <c r="E3" s="392"/>
      <c r="F3" s="379" t="str">
        <f ca="1">COPIA!GZ1</f>
        <v/>
      </c>
      <c r="G3" s="359" t="str">
        <f ca="1">COPIA!GW2</f>
        <v/>
      </c>
      <c r="H3" s="360"/>
      <c r="I3" s="361"/>
    </row>
    <row r="4" spans="1:10" ht="15" customHeight="1">
      <c r="B4" s="384" t="s">
        <v>278</v>
      </c>
      <c r="C4" s="385"/>
      <c r="D4" s="386"/>
      <c r="E4" s="392"/>
      <c r="F4" s="380"/>
      <c r="G4" s="362"/>
      <c r="H4" s="382"/>
      <c r="I4" s="383"/>
    </row>
    <row r="5" spans="1:10" ht="15" customHeight="1">
      <c r="B5" s="387"/>
      <c r="C5" s="388"/>
      <c r="D5" s="389"/>
      <c r="E5" s="393"/>
      <c r="F5" s="381"/>
      <c r="G5" s="370"/>
      <c r="H5" s="363"/>
      <c r="I5" s="364"/>
    </row>
    <row r="6" spans="1:10" ht="15.75" customHeight="1">
      <c r="B6" s="394"/>
      <c r="C6" s="394"/>
      <c r="D6" s="394"/>
      <c r="E6" s="163"/>
      <c r="F6" s="126"/>
      <c r="G6" s="126"/>
      <c r="H6" s="126"/>
      <c r="I6" s="126"/>
    </row>
    <row r="7" spans="1:10" ht="27" hidden="1" customHeight="1">
      <c r="B7" s="125"/>
      <c r="C7" s="125"/>
      <c r="D7" s="125"/>
      <c r="E7" s="375"/>
      <c r="F7" s="375"/>
      <c r="G7" s="375"/>
      <c r="H7" s="375"/>
      <c r="I7" s="375"/>
    </row>
    <row r="8" spans="1:10" ht="11.25" hidden="1" customHeight="1">
      <c r="F8" s="124"/>
    </row>
    <row r="9" spans="1:10">
      <c r="A9" s="6">
        <f ca="1">MAX(C12:C228)+3</f>
        <v>3</v>
      </c>
      <c r="B9" s="371" t="str">
        <f ca="1">IF(INDIRECT(ADDRESS(8,6,,,"LIBRO_GIORNALE"))="","",INDIRECT(ADDRESS(8,6,,,"LIBRO_GIORNALE")))</f>
        <v/>
      </c>
      <c r="C9" s="371"/>
      <c r="D9" s="371"/>
      <c r="E9" s="371"/>
      <c r="F9" s="372" t="str">
        <f ca="1">IF(INDIRECT(ADDRESS(8,7,,,"LIBRO_GIORNALE"))="","",INDIRECT(ADDRESS(8,7,,,"LIBRO_GIORNALE")))</f>
        <v/>
      </c>
      <c r="G9" s="372"/>
      <c r="H9" s="372"/>
      <c r="I9" s="14"/>
      <c r="J9" s="14"/>
    </row>
    <row r="10" spans="1:10" ht="25.2">
      <c r="A10" s="48"/>
      <c r="B10" s="185" t="str">
        <f ca="1">IF(COPIA!CH1=0,"",IF(COPIA!GP1=2,CONCATENATE("Scritture di apertura al 01/01/",COPIA!EW1),CONCATENATE("Scritture di epilogo e di chiusura al 31/12/",COPIA!EW1)))</f>
        <v/>
      </c>
      <c r="C10" s="185"/>
      <c r="D10" s="185"/>
      <c r="E10" s="185"/>
      <c r="F10" s="185"/>
      <c r="G10" s="185"/>
      <c r="H10" s="185"/>
      <c r="I10" s="14"/>
      <c r="J10" s="14"/>
    </row>
    <row r="11" spans="1:10" ht="19.5" customHeight="1">
      <c r="A11" s="48"/>
      <c r="B11" s="186" t="str">
        <f ca="1">IF(COPIA!CH1=0,"","Codice")</f>
        <v/>
      </c>
      <c r="C11" s="186" t="str">
        <f ca="1">IF(COPIA!CH1=0,"","Nr. Riga")</f>
        <v/>
      </c>
      <c r="D11" s="186" t="str">
        <f ca="1">IF(COPIA!CH1=0,"","DATA")</f>
        <v/>
      </c>
      <c r="E11" s="186" t="str">
        <f ca="1">IF(COPIA!CH1=0,"","   DENOMINAZIONE DEI CONTI")</f>
        <v/>
      </c>
      <c r="F11" s="186" t="str">
        <f ca="1">IF(COPIA!CH1=0,"","DESCRIZIONE")</f>
        <v/>
      </c>
      <c r="G11" s="186" t="str">
        <f ca="1">IF(COPIA!CH1=0,"","DARE")</f>
        <v/>
      </c>
      <c r="H11" s="186" t="str">
        <f ca="1">IF(COPIA!CH1=0,"","AVERE")</f>
        <v/>
      </c>
      <c r="I11" s="14"/>
      <c r="J11" s="6"/>
    </row>
    <row r="12" spans="1:10" ht="20.100000000000001" customHeight="1">
      <c r="A12" s="48"/>
      <c r="B12" s="31" t="str">
        <f t="shared" ref="B12:B75" ca="1" si="0">IFERROR(INDEX(PIANO_DEI_CONTI,MATCH(E12,DENOMINAZIONE,0),1),"")</f>
        <v/>
      </c>
      <c r="C12" s="31" t="str">
        <f ca="1">IF(B12&lt;&gt;"",ROW()-11,"")</f>
        <v/>
      </c>
      <c r="D12" s="20" t="str">
        <f ca="1">IF(AND(COPIA!$EV$1=0,B12&lt;&gt;"",COPIA!$GP$1=1),CONCATENATE("31/12/",COPIA!$EW$1),IF(AND(COPIA!$EV$1=0,B12&lt;&gt;"",COPIA!$GP$1=2),CONCATENATE("01/01/",COPIA!$EW$1),""))</f>
        <v/>
      </c>
      <c r="E12" s="178" t="str">
        <f ca="1">IF(COPIA!$EV$1&gt;0,"",IF(COPIA!$GP$1=1,COPIA!GN3,COPIA!HV3))</f>
        <v/>
      </c>
      <c r="F12" s="178" t="str">
        <f ca="1">IF(COPIA!$EV$1&gt;0,"",IF(COPIA!$GP$1=1,COPIA!GT3,COPIA!IZ3))</f>
        <v/>
      </c>
      <c r="G12" s="179" t="str">
        <f ca="1">IF(COPIA!$EV$1&gt;0,"",IF(COPIA!$GP$1=1,COPIA!GO3,COPIA!IX3))</f>
        <v/>
      </c>
      <c r="H12" s="179" t="str">
        <f ca="1">IF(COPIA!$EV$1&gt;0,"",IF(COPIA!$GP$1=1,COPIA!GP3,COPIA!IY3))</f>
        <v/>
      </c>
      <c r="I12" s="14"/>
      <c r="J12" s="6" t="str">
        <f ca="1">IF(AND(G12="",H12=""),"",ROUND(SUM(G$12:G12),2)-ROUND(SUM(H$12:H12),2))</f>
        <v/>
      </c>
    </row>
    <row r="13" spans="1:10" ht="20.100000000000001" customHeight="1">
      <c r="A13" s="48"/>
      <c r="B13" s="31" t="str">
        <f t="shared" ca="1" si="0"/>
        <v/>
      </c>
      <c r="C13" s="31" t="str">
        <f t="shared" ref="C13:C76" ca="1" si="1">IF(B13&lt;&gt;"",ROW()-11,"")</f>
        <v/>
      </c>
      <c r="D13" s="20" t="str">
        <f ca="1">IF(AND(COPIA!$EV$1=0,B13&lt;&gt;"",COPIA!$GP$1=1),CONCATENATE("31/12/",COPIA!$EW$1),IF(AND(COPIA!$EV$1=0,B13&lt;&gt;"",COPIA!$GP$1=2),CONCATENATE("01/01/",COPIA!$EW$1),""))</f>
        <v/>
      </c>
      <c r="E13" s="178" t="str">
        <f ca="1">IF(COPIA!$EV$1&gt;0,"",IF(COPIA!$GP$1=1,COPIA!GN4,COPIA!HV4))</f>
        <v/>
      </c>
      <c r="F13" s="178" t="str">
        <f ca="1">IF(COPIA!$EV$1&gt;0,"",IF(COPIA!$GP$1=1,COPIA!GT4,COPIA!IZ4))</f>
        <v/>
      </c>
      <c r="G13" s="179" t="str">
        <f ca="1">IF(COPIA!$EV$1&gt;0,"",IF(COPIA!$GP$1=1,COPIA!GO4,COPIA!IX4))</f>
        <v/>
      </c>
      <c r="H13" s="179" t="str">
        <f ca="1">IF(COPIA!$EV$1&gt;0,"",IF(COPIA!$GP$1=1,COPIA!GP4,COPIA!IY4))</f>
        <v/>
      </c>
      <c r="I13" s="14"/>
      <c r="J13" s="6" t="str">
        <f ca="1">IF(AND(G13="",H13=""),"",ROUND(SUM(G$12:G13),2)-ROUND(SUM(H$12:H13),2))</f>
        <v/>
      </c>
    </row>
    <row r="14" spans="1:10" ht="20.100000000000001" customHeight="1">
      <c r="A14" s="48"/>
      <c r="B14" s="31" t="str">
        <f t="shared" ca="1" si="0"/>
        <v/>
      </c>
      <c r="C14" s="31" t="str">
        <f t="shared" ca="1" si="1"/>
        <v/>
      </c>
      <c r="D14" s="20" t="str">
        <f ca="1">IF(AND(COPIA!$EV$1=0,B14&lt;&gt;"",COPIA!$GP$1=1),CONCATENATE("31/12/",COPIA!$EW$1),IF(AND(COPIA!$EV$1=0,B14&lt;&gt;"",COPIA!$GP$1=2),CONCATENATE("01/01/",COPIA!$EW$1),""))</f>
        <v/>
      </c>
      <c r="E14" s="178" t="str">
        <f ca="1">IF(COPIA!$EV$1&gt;0,"",IF(COPIA!$GP$1=1,COPIA!GN5,COPIA!HV5))</f>
        <v/>
      </c>
      <c r="F14" s="178" t="str">
        <f ca="1">IF(COPIA!$EV$1&gt;0,"",IF(COPIA!$GP$1=1,COPIA!GT5,COPIA!IZ5))</f>
        <v/>
      </c>
      <c r="G14" s="179" t="str">
        <f ca="1">IF(COPIA!$EV$1&gt;0,"",IF(COPIA!$GP$1=1,COPIA!GO5,COPIA!IX5))</f>
        <v/>
      </c>
      <c r="H14" s="179" t="str">
        <f ca="1">IF(COPIA!$EV$1&gt;0,"",IF(COPIA!$GP$1=1,COPIA!GP5,COPIA!IY5))</f>
        <v/>
      </c>
      <c r="I14" s="14"/>
      <c r="J14" s="6" t="str">
        <f ca="1">IF(AND(G14="",H14=""),"",ROUND(SUM(G$12:G14),2)-ROUND(SUM(H$12:H14),2))</f>
        <v/>
      </c>
    </row>
    <row r="15" spans="1:10" ht="20.100000000000001" customHeight="1">
      <c r="A15" s="48"/>
      <c r="B15" s="31" t="str">
        <f t="shared" ca="1" si="0"/>
        <v/>
      </c>
      <c r="C15" s="31" t="str">
        <f t="shared" ca="1" si="1"/>
        <v/>
      </c>
      <c r="D15" s="20" t="str">
        <f ca="1">IF(AND(COPIA!$EV$1=0,B15&lt;&gt;"",COPIA!$GP$1=1),CONCATENATE("31/12/",COPIA!$EW$1),IF(AND(COPIA!$EV$1=0,B15&lt;&gt;"",COPIA!$GP$1=2),CONCATENATE("01/01/",COPIA!$EW$1),""))</f>
        <v/>
      </c>
      <c r="E15" s="178" t="str">
        <f ca="1">IF(COPIA!$EV$1&gt;0,"",IF(COPIA!$GP$1=1,COPIA!GN6,COPIA!HV6))</f>
        <v/>
      </c>
      <c r="F15" s="178" t="str">
        <f ca="1">IF(COPIA!$EV$1&gt;0,"",IF(COPIA!$GP$1=1,COPIA!GT6,COPIA!IZ6))</f>
        <v/>
      </c>
      <c r="G15" s="179" t="str">
        <f ca="1">IF(COPIA!$EV$1&gt;0,"",IF(COPIA!$GP$1=1,COPIA!GO6,COPIA!IX6))</f>
        <v/>
      </c>
      <c r="H15" s="179" t="str">
        <f ca="1">IF(COPIA!$EV$1&gt;0,"",IF(COPIA!$GP$1=1,COPIA!GP6,COPIA!IY6))</f>
        <v/>
      </c>
      <c r="I15" s="14"/>
      <c r="J15" s="6" t="str">
        <f ca="1">IF(AND(G15="",H15=""),"",ROUND(SUM(G$12:G15),2)-ROUND(SUM(H$12:H15),2))</f>
        <v/>
      </c>
    </row>
    <row r="16" spans="1:10" ht="20.100000000000001" customHeight="1">
      <c r="A16" s="48"/>
      <c r="B16" s="31" t="str">
        <f t="shared" ca="1" si="0"/>
        <v/>
      </c>
      <c r="C16" s="31" t="str">
        <f t="shared" ca="1" si="1"/>
        <v/>
      </c>
      <c r="D16" s="20" t="str">
        <f ca="1">IF(AND(COPIA!$EV$1=0,B16&lt;&gt;"",COPIA!$GP$1=1),CONCATENATE("31/12/",COPIA!$EW$1),IF(AND(COPIA!$EV$1=0,B16&lt;&gt;"",COPIA!$GP$1=2),CONCATENATE("01/01/",COPIA!$EW$1),""))</f>
        <v/>
      </c>
      <c r="E16" s="178" t="str">
        <f ca="1">IF(COPIA!$EV$1&gt;0,"",IF(COPIA!$GP$1=1,COPIA!GN7,COPIA!HV7))</f>
        <v/>
      </c>
      <c r="F16" s="178" t="str">
        <f ca="1">IF(COPIA!$EV$1&gt;0,"",IF(COPIA!$GP$1=1,COPIA!GT7,COPIA!IZ7))</f>
        <v/>
      </c>
      <c r="G16" s="179" t="str">
        <f ca="1">IF(COPIA!$EV$1&gt;0,"",IF(COPIA!$GP$1=1,COPIA!GO7,COPIA!IX7))</f>
        <v/>
      </c>
      <c r="H16" s="179" t="str">
        <f ca="1">IF(COPIA!$EV$1&gt;0,"",IF(COPIA!$GP$1=1,COPIA!GP7,COPIA!IY7))</f>
        <v/>
      </c>
      <c r="I16" s="14"/>
      <c r="J16" s="6" t="str">
        <f ca="1">IF(AND(G16="",H16=""),"",ROUND(SUM(G$12:G16),2)-ROUND(SUM(H$12:H16),2))</f>
        <v/>
      </c>
    </row>
    <row r="17" spans="1:10" ht="20.100000000000001" customHeight="1">
      <c r="A17" s="48"/>
      <c r="B17" s="31" t="str">
        <f t="shared" ca="1" si="0"/>
        <v/>
      </c>
      <c r="C17" s="31" t="str">
        <f t="shared" ca="1" si="1"/>
        <v/>
      </c>
      <c r="D17" s="20" t="str">
        <f ca="1">IF(AND(COPIA!$EV$1=0,B17&lt;&gt;"",COPIA!$GP$1=1),CONCATENATE("31/12/",COPIA!$EW$1),IF(AND(COPIA!$EV$1=0,B17&lt;&gt;"",COPIA!$GP$1=2),CONCATENATE("01/01/",COPIA!$EW$1),""))</f>
        <v/>
      </c>
      <c r="E17" s="178" t="str">
        <f ca="1">IF(COPIA!$EV$1&gt;0,"",IF(COPIA!$GP$1=1,COPIA!GN8,COPIA!HV8))</f>
        <v/>
      </c>
      <c r="F17" s="178" t="str">
        <f ca="1">IF(COPIA!$EV$1&gt;0,"",IF(COPIA!$GP$1=1,COPIA!GT8,COPIA!IZ8))</f>
        <v/>
      </c>
      <c r="G17" s="179" t="str">
        <f ca="1">IF(COPIA!$EV$1&gt;0,"",IF(COPIA!$GP$1=1,COPIA!GO8,COPIA!IX8))</f>
        <v/>
      </c>
      <c r="H17" s="179" t="str">
        <f ca="1">IF(COPIA!$EV$1&gt;0,"",IF(COPIA!$GP$1=1,COPIA!GP8,COPIA!IY8))</f>
        <v/>
      </c>
      <c r="I17" s="14"/>
      <c r="J17" s="6" t="str">
        <f ca="1">IF(AND(G17="",H17=""),"",ROUND(SUM(G$12:G17),2)-ROUND(SUM(H$12:H17),2))</f>
        <v/>
      </c>
    </row>
    <row r="18" spans="1:10" ht="20.100000000000001" customHeight="1">
      <c r="A18" s="48"/>
      <c r="B18" s="31" t="str">
        <f t="shared" ca="1" si="0"/>
        <v/>
      </c>
      <c r="C18" s="31" t="str">
        <f t="shared" ca="1" si="1"/>
        <v/>
      </c>
      <c r="D18" s="20" t="str">
        <f ca="1">IF(AND(COPIA!$EV$1=0,B18&lt;&gt;"",COPIA!$GP$1=1),CONCATENATE("31/12/",COPIA!$EW$1),IF(AND(COPIA!$EV$1=0,B18&lt;&gt;"",COPIA!$GP$1=2),CONCATENATE("01/01/",COPIA!$EW$1),""))</f>
        <v/>
      </c>
      <c r="E18" s="178" t="str">
        <f ca="1">IF(COPIA!$EV$1&gt;0,"",IF(COPIA!$GP$1=1,COPIA!GN9,COPIA!HV9))</f>
        <v/>
      </c>
      <c r="F18" s="178" t="str">
        <f ca="1">IF(COPIA!$EV$1&gt;0,"",IF(COPIA!$GP$1=1,COPIA!GT9,COPIA!IZ9))</f>
        <v/>
      </c>
      <c r="G18" s="179" t="str">
        <f ca="1">IF(COPIA!$EV$1&gt;0,"",IF(COPIA!$GP$1=1,COPIA!GO9,COPIA!IX9))</f>
        <v/>
      </c>
      <c r="H18" s="179" t="str">
        <f ca="1">IF(COPIA!$EV$1&gt;0,"",IF(COPIA!$GP$1=1,COPIA!GP9,COPIA!IY9))</f>
        <v/>
      </c>
      <c r="I18" s="14"/>
      <c r="J18" s="6" t="str">
        <f ca="1">IF(AND(G18="",H18=""),"",ROUND(SUM(G$12:G18),2)-ROUND(SUM(H$12:H18),2))</f>
        <v/>
      </c>
    </row>
    <row r="19" spans="1:10" ht="20.100000000000001" customHeight="1">
      <c r="A19" s="48"/>
      <c r="B19" s="31" t="str">
        <f t="shared" ca="1" si="0"/>
        <v/>
      </c>
      <c r="C19" s="31" t="str">
        <f t="shared" ca="1" si="1"/>
        <v/>
      </c>
      <c r="D19" s="20" t="str">
        <f ca="1">IF(AND(COPIA!$EV$1=0,B19&lt;&gt;"",COPIA!$GP$1=1),CONCATENATE("31/12/",COPIA!$EW$1),IF(AND(COPIA!$EV$1=0,B19&lt;&gt;"",COPIA!$GP$1=2),CONCATENATE("01/01/",COPIA!$EW$1),""))</f>
        <v/>
      </c>
      <c r="E19" s="178" t="str">
        <f ca="1">IF(COPIA!$EV$1&gt;0,"",IF(COPIA!$GP$1=1,COPIA!GN10,COPIA!HV10))</f>
        <v/>
      </c>
      <c r="F19" s="178" t="str">
        <f ca="1">IF(COPIA!$EV$1&gt;0,"",IF(COPIA!$GP$1=1,COPIA!GT10,COPIA!IZ10))</f>
        <v/>
      </c>
      <c r="G19" s="179" t="str">
        <f ca="1">IF(COPIA!$EV$1&gt;0,"",IF(COPIA!$GP$1=1,COPIA!GO10,COPIA!IX10))</f>
        <v/>
      </c>
      <c r="H19" s="179" t="str">
        <f ca="1">IF(COPIA!$EV$1&gt;0,"",IF(COPIA!$GP$1=1,COPIA!GP10,COPIA!IY10))</f>
        <v/>
      </c>
      <c r="I19" s="14"/>
      <c r="J19" s="6" t="str">
        <f ca="1">IF(AND(G19="",H19=""),"",ROUND(SUM(G$12:G19),2)-ROUND(SUM(H$12:H19),2))</f>
        <v/>
      </c>
    </row>
    <row r="20" spans="1:10" ht="20.100000000000001" customHeight="1">
      <c r="A20" s="48"/>
      <c r="B20" s="31" t="str">
        <f t="shared" ca="1" si="0"/>
        <v/>
      </c>
      <c r="C20" s="31" t="str">
        <f t="shared" ca="1" si="1"/>
        <v/>
      </c>
      <c r="D20" s="20" t="str">
        <f ca="1">IF(AND(COPIA!$EV$1=0,B20&lt;&gt;"",COPIA!$GP$1=1),CONCATENATE("31/12/",COPIA!$EW$1),IF(AND(COPIA!$EV$1=0,B20&lt;&gt;"",COPIA!$GP$1=2),CONCATENATE("01/01/",COPIA!$EW$1),""))</f>
        <v/>
      </c>
      <c r="E20" s="178" t="str">
        <f ca="1">IF(COPIA!$EV$1&gt;0,"",IF(COPIA!$GP$1=1,COPIA!GN11,COPIA!HV11))</f>
        <v/>
      </c>
      <c r="F20" s="178" t="str">
        <f ca="1">IF(COPIA!$EV$1&gt;0,"",IF(COPIA!$GP$1=1,COPIA!GT11,COPIA!IZ11))</f>
        <v/>
      </c>
      <c r="G20" s="179" t="str">
        <f ca="1">IF(COPIA!$EV$1&gt;0,"",IF(COPIA!$GP$1=1,COPIA!GO11,COPIA!IX11))</f>
        <v/>
      </c>
      <c r="H20" s="179" t="str">
        <f ca="1">IF(COPIA!$EV$1&gt;0,"",IF(COPIA!$GP$1=1,COPIA!GP11,COPIA!IY11))</f>
        <v/>
      </c>
      <c r="I20" s="14"/>
      <c r="J20" s="6" t="str">
        <f ca="1">IF(AND(G20="",H20=""),"",ROUND(SUM(G$12:G20),2)-ROUND(SUM(H$12:H20),2))</f>
        <v/>
      </c>
    </row>
    <row r="21" spans="1:10" ht="20.100000000000001" customHeight="1">
      <c r="A21" s="48"/>
      <c r="B21" s="31" t="str">
        <f t="shared" ca="1" si="0"/>
        <v/>
      </c>
      <c r="C21" s="31" t="str">
        <f t="shared" ca="1" si="1"/>
        <v/>
      </c>
      <c r="D21" s="20" t="str">
        <f ca="1">IF(AND(COPIA!$EV$1=0,B21&lt;&gt;"",COPIA!$GP$1=1),CONCATENATE("31/12/",COPIA!$EW$1),IF(AND(COPIA!$EV$1=0,B21&lt;&gt;"",COPIA!$GP$1=2),CONCATENATE("01/01/",COPIA!$EW$1),""))</f>
        <v/>
      </c>
      <c r="E21" s="178" t="str">
        <f ca="1">IF(COPIA!$EV$1&gt;0,"",IF(COPIA!$GP$1=1,COPIA!GN12,COPIA!HV12))</f>
        <v/>
      </c>
      <c r="F21" s="178" t="str">
        <f ca="1">IF(COPIA!$EV$1&gt;0,"",IF(COPIA!$GP$1=1,COPIA!GT12,COPIA!IZ12))</f>
        <v/>
      </c>
      <c r="G21" s="179" t="str">
        <f ca="1">IF(COPIA!$EV$1&gt;0,"",IF(COPIA!$GP$1=1,COPIA!GO12,COPIA!IX12))</f>
        <v/>
      </c>
      <c r="H21" s="179" t="str">
        <f ca="1">IF(COPIA!$EV$1&gt;0,"",IF(COPIA!$GP$1=1,COPIA!GP12,COPIA!IY12))</f>
        <v/>
      </c>
      <c r="I21" s="14"/>
      <c r="J21" s="6" t="str">
        <f ca="1">IF(AND(G21="",H21=""),"",ROUND(SUM(G$12:G21),2)-ROUND(SUM(H$12:H21),2))</f>
        <v/>
      </c>
    </row>
    <row r="22" spans="1:10" ht="20.100000000000001" customHeight="1">
      <c r="A22" s="48"/>
      <c r="B22" s="31" t="str">
        <f t="shared" ca="1" si="0"/>
        <v/>
      </c>
      <c r="C22" s="31" t="str">
        <f t="shared" ca="1" si="1"/>
        <v/>
      </c>
      <c r="D22" s="20" t="str">
        <f ca="1">IF(AND(COPIA!$EV$1=0,B22&lt;&gt;"",COPIA!$GP$1=1),CONCATENATE("31/12/",COPIA!$EW$1),IF(AND(COPIA!$EV$1=0,B22&lt;&gt;"",COPIA!$GP$1=2),CONCATENATE("01/01/",COPIA!$EW$1),""))</f>
        <v/>
      </c>
      <c r="E22" s="178" t="str">
        <f ca="1">IF(COPIA!$EV$1&gt;0,"",IF(COPIA!$GP$1=1,COPIA!GN13,COPIA!HV13))</f>
        <v/>
      </c>
      <c r="F22" s="178" t="str">
        <f ca="1">IF(COPIA!$EV$1&gt;0,"",IF(COPIA!$GP$1=1,COPIA!GT13,COPIA!IZ13))</f>
        <v/>
      </c>
      <c r="G22" s="179" t="str">
        <f ca="1">IF(COPIA!$EV$1&gt;0,"",IF(COPIA!$GP$1=1,COPIA!GO13,COPIA!IX13))</f>
        <v/>
      </c>
      <c r="H22" s="179" t="str">
        <f ca="1">IF(COPIA!$EV$1&gt;0,"",IF(COPIA!$GP$1=1,COPIA!GP13,COPIA!IY13))</f>
        <v/>
      </c>
      <c r="I22" s="14"/>
      <c r="J22" s="6" t="str">
        <f ca="1">IF(AND(G22="",H22=""),"",ROUND(SUM(G$12:G22),2)-ROUND(SUM(H$12:H22),2))</f>
        <v/>
      </c>
    </row>
    <row r="23" spans="1:10" ht="20.100000000000001" customHeight="1">
      <c r="A23" s="48"/>
      <c r="B23" s="31" t="str">
        <f t="shared" ca="1" si="0"/>
        <v/>
      </c>
      <c r="C23" s="31" t="str">
        <f t="shared" ca="1" si="1"/>
        <v/>
      </c>
      <c r="D23" s="20" t="str">
        <f ca="1">IF(AND(COPIA!$EV$1=0,B23&lt;&gt;"",COPIA!$GP$1=1),CONCATENATE("31/12/",COPIA!$EW$1),IF(AND(COPIA!$EV$1=0,B23&lt;&gt;"",COPIA!$GP$1=2),CONCATENATE("01/01/",COPIA!$EW$1),""))</f>
        <v/>
      </c>
      <c r="E23" s="178" t="str">
        <f ca="1">IF(COPIA!$EV$1&gt;0,"",IF(COPIA!$GP$1=1,COPIA!GN14,COPIA!HV14))</f>
        <v/>
      </c>
      <c r="F23" s="178" t="str">
        <f ca="1">IF(COPIA!$EV$1&gt;0,"",IF(COPIA!$GP$1=1,COPIA!GT14,COPIA!IZ14))</f>
        <v/>
      </c>
      <c r="G23" s="179" t="str">
        <f ca="1">IF(COPIA!$EV$1&gt;0,"",IF(COPIA!$GP$1=1,COPIA!GO14,COPIA!IX14))</f>
        <v/>
      </c>
      <c r="H23" s="179" t="str">
        <f ca="1">IF(COPIA!$EV$1&gt;0,"",IF(COPIA!$GP$1=1,COPIA!GP14,COPIA!IY14))</f>
        <v/>
      </c>
      <c r="I23" s="14"/>
      <c r="J23" s="6" t="str">
        <f ca="1">IF(AND(G23="",H23=""),"",ROUND(SUM(G$12:G23),2)-ROUND(SUM(H$12:H23),2))</f>
        <v/>
      </c>
    </row>
    <row r="24" spans="1:10" ht="20.100000000000001" customHeight="1">
      <c r="A24" s="48"/>
      <c r="B24" s="31" t="str">
        <f t="shared" ca="1" si="0"/>
        <v/>
      </c>
      <c r="C24" s="31" t="str">
        <f t="shared" ca="1" si="1"/>
        <v/>
      </c>
      <c r="D24" s="20" t="str">
        <f ca="1">IF(AND(COPIA!$EV$1=0,B24&lt;&gt;"",COPIA!$GP$1=1),CONCATENATE("31/12/",COPIA!$EW$1),IF(AND(COPIA!$EV$1=0,B24&lt;&gt;"",COPIA!$GP$1=2),CONCATENATE("01/01/",COPIA!$EW$1),""))</f>
        <v/>
      </c>
      <c r="E24" s="178" t="str">
        <f ca="1">IF(COPIA!$EV$1&gt;0,"",IF(COPIA!$GP$1=1,COPIA!GN15,COPIA!HV15))</f>
        <v/>
      </c>
      <c r="F24" s="178" t="str">
        <f ca="1">IF(COPIA!$EV$1&gt;0,"",IF(COPIA!$GP$1=1,COPIA!GT15,COPIA!IZ15))</f>
        <v/>
      </c>
      <c r="G24" s="179" t="str">
        <f ca="1">IF(COPIA!$EV$1&gt;0,"",IF(COPIA!$GP$1=1,COPIA!GO15,COPIA!IX15))</f>
        <v/>
      </c>
      <c r="H24" s="179" t="str">
        <f ca="1">IF(COPIA!$EV$1&gt;0,"",IF(COPIA!$GP$1=1,COPIA!GP15,COPIA!IY15))</f>
        <v/>
      </c>
      <c r="I24" s="14"/>
      <c r="J24" s="6" t="str">
        <f ca="1">IF(AND(G24="",H24=""),"",ROUND(SUM(G$12:G24),2)-ROUND(SUM(H$12:H24),2))</f>
        <v/>
      </c>
    </row>
    <row r="25" spans="1:10" ht="20.100000000000001" customHeight="1">
      <c r="A25" s="48"/>
      <c r="B25" s="31" t="str">
        <f t="shared" ca="1" si="0"/>
        <v/>
      </c>
      <c r="C25" s="31" t="str">
        <f t="shared" ca="1" si="1"/>
        <v/>
      </c>
      <c r="D25" s="20" t="str">
        <f ca="1">IF(AND(COPIA!$EV$1=0,B25&lt;&gt;"",COPIA!$GP$1=1),CONCATENATE("31/12/",COPIA!$EW$1),IF(AND(COPIA!$EV$1=0,B25&lt;&gt;"",COPIA!$GP$1=2),CONCATENATE("01/01/",COPIA!$EW$1),""))</f>
        <v/>
      </c>
      <c r="E25" s="178" t="str">
        <f ca="1">IF(COPIA!$EV$1&gt;0,"",IF(COPIA!$GP$1=1,COPIA!GN16,COPIA!HV16))</f>
        <v/>
      </c>
      <c r="F25" s="178" t="str">
        <f ca="1">IF(COPIA!$EV$1&gt;0,"",IF(COPIA!$GP$1=1,COPIA!GT16,COPIA!IZ16))</f>
        <v/>
      </c>
      <c r="G25" s="179" t="str">
        <f ca="1">IF(COPIA!$EV$1&gt;0,"",IF(COPIA!$GP$1=1,COPIA!GO16,COPIA!IX16))</f>
        <v/>
      </c>
      <c r="H25" s="179" t="str">
        <f ca="1">IF(COPIA!$EV$1&gt;0,"",IF(COPIA!$GP$1=1,COPIA!GP16,COPIA!IY16))</f>
        <v/>
      </c>
      <c r="I25" s="14"/>
      <c r="J25" s="6" t="str">
        <f ca="1">IF(AND(G25="",H25=""),"",ROUND(SUM(G$12:G25),2)-ROUND(SUM(H$12:H25),2))</f>
        <v/>
      </c>
    </row>
    <row r="26" spans="1:10" ht="20.100000000000001" customHeight="1">
      <c r="A26" s="48"/>
      <c r="B26" s="31" t="str">
        <f t="shared" ca="1" si="0"/>
        <v/>
      </c>
      <c r="C26" s="31" t="str">
        <f t="shared" ca="1" si="1"/>
        <v/>
      </c>
      <c r="D26" s="20" t="str">
        <f ca="1">IF(AND(COPIA!$EV$1=0,B26&lt;&gt;"",COPIA!$GP$1=1),CONCATENATE("31/12/",COPIA!$EW$1),IF(AND(COPIA!$EV$1=0,B26&lt;&gt;"",COPIA!$GP$1=2),CONCATENATE("01/01/",COPIA!$EW$1),""))</f>
        <v/>
      </c>
      <c r="E26" s="178" t="str">
        <f ca="1">IF(COPIA!$EV$1&gt;0,"",IF(COPIA!$GP$1=1,COPIA!GN17,COPIA!HV17))</f>
        <v/>
      </c>
      <c r="F26" s="178" t="str">
        <f ca="1">IF(COPIA!$EV$1&gt;0,"",IF(COPIA!$GP$1=1,COPIA!GT17,COPIA!IZ17))</f>
        <v/>
      </c>
      <c r="G26" s="179" t="str">
        <f ca="1">IF(COPIA!$EV$1&gt;0,"",IF(COPIA!$GP$1=1,COPIA!GO17,COPIA!IX17))</f>
        <v/>
      </c>
      <c r="H26" s="179" t="str">
        <f ca="1">IF(COPIA!$EV$1&gt;0,"",IF(COPIA!$GP$1=1,COPIA!GP17,COPIA!IY17))</f>
        <v/>
      </c>
      <c r="I26" s="14"/>
      <c r="J26" s="6" t="str">
        <f ca="1">IF(AND(G26="",H26=""),"",ROUND(SUM(G$12:G26),2)-ROUND(SUM(H$12:H26),2))</f>
        <v/>
      </c>
    </row>
    <row r="27" spans="1:10" ht="20.100000000000001" customHeight="1">
      <c r="A27" s="48"/>
      <c r="B27" s="31" t="str">
        <f t="shared" ca="1" si="0"/>
        <v/>
      </c>
      <c r="C27" s="31" t="str">
        <f t="shared" ca="1" si="1"/>
        <v/>
      </c>
      <c r="D27" s="20" t="str">
        <f ca="1">IF(AND(COPIA!$EV$1=0,B27&lt;&gt;"",COPIA!$GP$1=1),CONCATENATE("31/12/",COPIA!$EW$1),IF(AND(COPIA!$EV$1=0,B27&lt;&gt;"",COPIA!$GP$1=2),CONCATENATE("01/01/",COPIA!$EW$1),""))</f>
        <v/>
      </c>
      <c r="E27" s="178" t="str">
        <f ca="1">IF(COPIA!$EV$1&gt;0,"",IF(COPIA!$GP$1=1,COPIA!GN18,COPIA!HV18))</f>
        <v/>
      </c>
      <c r="F27" s="178" t="str">
        <f ca="1">IF(COPIA!$EV$1&gt;0,"",IF(COPIA!$GP$1=1,COPIA!GT18,COPIA!IZ18))</f>
        <v/>
      </c>
      <c r="G27" s="179" t="str">
        <f ca="1">IF(COPIA!$EV$1&gt;0,"",IF(COPIA!$GP$1=1,COPIA!GO18,COPIA!IX18))</f>
        <v/>
      </c>
      <c r="H27" s="179" t="str">
        <f ca="1">IF(COPIA!$EV$1&gt;0,"",IF(COPIA!$GP$1=1,COPIA!GP18,COPIA!IY18))</f>
        <v/>
      </c>
      <c r="I27" s="14"/>
      <c r="J27" s="6" t="str">
        <f ca="1">IF(AND(G27="",H27=""),"",ROUND(SUM(G$12:G27),2)-ROUND(SUM(H$12:H27),2))</f>
        <v/>
      </c>
    </row>
    <row r="28" spans="1:10" ht="20.100000000000001" customHeight="1">
      <c r="A28" s="48"/>
      <c r="B28" s="31" t="str">
        <f t="shared" ca="1" si="0"/>
        <v/>
      </c>
      <c r="C28" s="31" t="str">
        <f t="shared" ca="1" si="1"/>
        <v/>
      </c>
      <c r="D28" s="20" t="str">
        <f ca="1">IF(AND(COPIA!$EV$1=0,B28&lt;&gt;"",COPIA!$GP$1=1),CONCATENATE("31/12/",COPIA!$EW$1),IF(AND(COPIA!$EV$1=0,B28&lt;&gt;"",COPIA!$GP$1=2),CONCATENATE("01/01/",COPIA!$EW$1),""))</f>
        <v/>
      </c>
      <c r="E28" s="178" t="str">
        <f ca="1">IF(COPIA!$EV$1&gt;0,"",IF(COPIA!$GP$1=1,COPIA!GN19,COPIA!HV19))</f>
        <v/>
      </c>
      <c r="F28" s="178" t="str">
        <f ca="1">IF(COPIA!$EV$1&gt;0,"",IF(COPIA!$GP$1=1,COPIA!GT19,COPIA!IZ19))</f>
        <v/>
      </c>
      <c r="G28" s="179" t="str">
        <f ca="1">IF(COPIA!$EV$1&gt;0,"",IF(COPIA!$GP$1=1,COPIA!GO19,COPIA!IX19))</f>
        <v/>
      </c>
      <c r="H28" s="179" t="str">
        <f ca="1">IF(COPIA!$EV$1&gt;0,"",IF(COPIA!$GP$1=1,COPIA!GP19,COPIA!IY19))</f>
        <v/>
      </c>
      <c r="I28" s="14"/>
      <c r="J28" s="6" t="str">
        <f ca="1">IF(AND(G28="",H28=""),"",ROUND(SUM(G$12:G28),2)-ROUND(SUM(H$12:H28),2))</f>
        <v/>
      </c>
    </row>
    <row r="29" spans="1:10" ht="20.100000000000001" customHeight="1">
      <c r="A29" s="48"/>
      <c r="B29" s="31" t="str">
        <f t="shared" ca="1" si="0"/>
        <v/>
      </c>
      <c r="C29" s="31" t="str">
        <f t="shared" ca="1" si="1"/>
        <v/>
      </c>
      <c r="D29" s="20" t="str">
        <f ca="1">IF(AND(COPIA!$EV$1=0,B29&lt;&gt;"",COPIA!$GP$1=1),CONCATENATE("31/12/",COPIA!$EW$1),IF(AND(COPIA!$EV$1=0,B29&lt;&gt;"",COPIA!$GP$1=2),CONCATENATE("01/01/",COPIA!$EW$1),""))</f>
        <v/>
      </c>
      <c r="E29" s="178" t="str">
        <f ca="1">IF(COPIA!$EV$1&gt;0,"",IF(COPIA!$GP$1=1,COPIA!GN20,COPIA!HV20))</f>
        <v/>
      </c>
      <c r="F29" s="178" t="str">
        <f ca="1">IF(COPIA!$EV$1&gt;0,"",IF(COPIA!$GP$1=1,COPIA!GT20,COPIA!IZ20))</f>
        <v/>
      </c>
      <c r="G29" s="179" t="str">
        <f ca="1">IF(COPIA!$EV$1&gt;0,"",IF(COPIA!$GP$1=1,COPIA!GO20,COPIA!IX20))</f>
        <v/>
      </c>
      <c r="H29" s="179" t="str">
        <f ca="1">IF(COPIA!$EV$1&gt;0,"",IF(COPIA!$GP$1=1,COPIA!GP20,COPIA!IY20))</f>
        <v/>
      </c>
      <c r="I29" s="14"/>
      <c r="J29" s="6" t="str">
        <f ca="1">IF(AND(G29="",H29=""),"",ROUND(SUM(G$12:G29),2)-ROUND(SUM(H$12:H29),2))</f>
        <v/>
      </c>
    </row>
    <row r="30" spans="1:10" ht="20.100000000000001" customHeight="1">
      <c r="A30" s="48"/>
      <c r="B30" s="31" t="str">
        <f t="shared" ca="1" si="0"/>
        <v/>
      </c>
      <c r="C30" s="31" t="str">
        <f t="shared" ca="1" si="1"/>
        <v/>
      </c>
      <c r="D30" s="20" t="str">
        <f ca="1">IF(AND(COPIA!$EV$1=0,B30&lt;&gt;"",COPIA!$GP$1=1),CONCATENATE("31/12/",COPIA!$EW$1),IF(AND(COPIA!$EV$1=0,B30&lt;&gt;"",COPIA!$GP$1=2),CONCATENATE("01/01/",COPIA!$EW$1),""))</f>
        <v/>
      </c>
      <c r="E30" s="178" t="str">
        <f ca="1">IF(COPIA!$EV$1&gt;0,"",IF(COPIA!$GP$1=1,COPIA!GN21,COPIA!HV21))</f>
        <v/>
      </c>
      <c r="F30" s="178" t="str">
        <f ca="1">IF(COPIA!$EV$1&gt;0,"",IF(COPIA!$GP$1=1,COPIA!GT21,COPIA!IZ21))</f>
        <v/>
      </c>
      <c r="G30" s="179" t="str">
        <f ca="1">IF(COPIA!$EV$1&gt;0,"",IF(COPIA!$GP$1=1,COPIA!GO21,COPIA!IX21))</f>
        <v/>
      </c>
      <c r="H30" s="179" t="str">
        <f ca="1">IF(COPIA!$EV$1&gt;0,"",IF(COPIA!$GP$1=1,COPIA!GP21,COPIA!IY21))</f>
        <v/>
      </c>
      <c r="I30" s="14"/>
      <c r="J30" s="6" t="str">
        <f ca="1">IF(AND(G30="",H30=""),"",ROUND(SUM(G$12:G30),2)-ROUND(SUM(H$12:H30),2))</f>
        <v/>
      </c>
    </row>
    <row r="31" spans="1:10" ht="20.100000000000001" customHeight="1">
      <c r="A31" s="48"/>
      <c r="B31" s="31" t="str">
        <f t="shared" ca="1" si="0"/>
        <v/>
      </c>
      <c r="C31" s="31" t="str">
        <f t="shared" ca="1" si="1"/>
        <v/>
      </c>
      <c r="D31" s="20" t="str">
        <f ca="1">IF(AND(COPIA!$EV$1=0,B31&lt;&gt;"",COPIA!$GP$1=1),CONCATENATE("31/12/",COPIA!$EW$1),IF(AND(COPIA!$EV$1=0,B31&lt;&gt;"",COPIA!$GP$1=2),CONCATENATE("01/01/",COPIA!$EW$1),""))</f>
        <v/>
      </c>
      <c r="E31" s="178" t="str">
        <f ca="1">IF(COPIA!$EV$1&gt;0,"",IF(COPIA!$GP$1=1,COPIA!GN22,COPIA!HV22))</f>
        <v/>
      </c>
      <c r="F31" s="178" t="str">
        <f ca="1">IF(COPIA!$EV$1&gt;0,"",IF(COPIA!$GP$1=1,COPIA!GT22,COPIA!IZ22))</f>
        <v/>
      </c>
      <c r="G31" s="179" t="str">
        <f ca="1">IF(COPIA!$EV$1&gt;0,"",IF(COPIA!$GP$1=1,COPIA!GO22,COPIA!IX22))</f>
        <v/>
      </c>
      <c r="H31" s="179" t="str">
        <f ca="1">IF(COPIA!$EV$1&gt;0,"",IF(COPIA!$GP$1=1,COPIA!GP22,COPIA!IY22))</f>
        <v/>
      </c>
      <c r="I31" s="14"/>
      <c r="J31" s="6" t="str">
        <f ca="1">IF(AND(G31="",H31=""),"",ROUND(SUM(G$12:G31),2)-ROUND(SUM(H$12:H31),2))</f>
        <v/>
      </c>
    </row>
    <row r="32" spans="1:10" ht="20.100000000000001" customHeight="1">
      <c r="A32" s="48"/>
      <c r="B32" s="31" t="str">
        <f t="shared" ca="1" si="0"/>
        <v/>
      </c>
      <c r="C32" s="31" t="str">
        <f t="shared" ca="1" si="1"/>
        <v/>
      </c>
      <c r="D32" s="20" t="str">
        <f ca="1">IF(AND(COPIA!$EV$1=0,B32&lt;&gt;"",COPIA!$GP$1=1),CONCATENATE("31/12/",COPIA!$EW$1),IF(AND(COPIA!$EV$1=0,B32&lt;&gt;"",COPIA!$GP$1=2),CONCATENATE("01/01/",COPIA!$EW$1),""))</f>
        <v/>
      </c>
      <c r="E32" s="178" t="str">
        <f ca="1">IF(COPIA!$EV$1&gt;0,"",IF(COPIA!$GP$1=1,COPIA!GN23,COPIA!HV23))</f>
        <v/>
      </c>
      <c r="F32" s="178" t="str">
        <f ca="1">IF(COPIA!$EV$1&gt;0,"",IF(COPIA!$GP$1=1,COPIA!GT23,COPIA!IZ23))</f>
        <v/>
      </c>
      <c r="G32" s="179" t="str">
        <f ca="1">IF(COPIA!$EV$1&gt;0,"",IF(COPIA!$GP$1=1,COPIA!GO23,COPIA!IX23))</f>
        <v/>
      </c>
      <c r="H32" s="179" t="str">
        <f ca="1">IF(COPIA!$EV$1&gt;0,"",IF(COPIA!$GP$1=1,COPIA!GP23,COPIA!IY23))</f>
        <v/>
      </c>
      <c r="I32" s="14"/>
      <c r="J32" s="6" t="str">
        <f ca="1">IF(AND(G32="",H32=""),"",ROUND(SUM(G$12:G32),2)-ROUND(SUM(H$12:H32),2))</f>
        <v/>
      </c>
    </row>
    <row r="33" spans="1:10" ht="20.100000000000001" customHeight="1">
      <c r="A33" s="48"/>
      <c r="B33" s="31" t="str">
        <f t="shared" ca="1" si="0"/>
        <v/>
      </c>
      <c r="C33" s="31" t="str">
        <f t="shared" ca="1" si="1"/>
        <v/>
      </c>
      <c r="D33" s="20" t="str">
        <f ca="1">IF(AND(COPIA!$EV$1=0,B33&lt;&gt;"",COPIA!$GP$1=1),CONCATENATE("31/12/",COPIA!$EW$1),IF(AND(COPIA!$EV$1=0,B33&lt;&gt;"",COPIA!$GP$1=2),CONCATENATE("01/01/",COPIA!$EW$1),""))</f>
        <v/>
      </c>
      <c r="E33" s="178" t="str">
        <f ca="1">IF(COPIA!$EV$1&gt;0,"",IF(COPIA!$GP$1=1,COPIA!GN24,COPIA!HV24))</f>
        <v/>
      </c>
      <c r="F33" s="178" t="str">
        <f ca="1">IF(COPIA!$EV$1&gt;0,"",IF(COPIA!$GP$1=1,COPIA!GT24,COPIA!IZ24))</f>
        <v/>
      </c>
      <c r="G33" s="179" t="str">
        <f ca="1">IF(COPIA!$EV$1&gt;0,"",IF(COPIA!$GP$1=1,COPIA!GO24,COPIA!IX24))</f>
        <v/>
      </c>
      <c r="H33" s="179" t="str">
        <f ca="1">IF(COPIA!$EV$1&gt;0,"",IF(COPIA!$GP$1=1,COPIA!GP24,COPIA!IY24))</f>
        <v/>
      </c>
      <c r="I33" s="14"/>
      <c r="J33" s="6" t="str">
        <f ca="1">IF(AND(G33="",H33=""),"",ROUND(SUM(G$12:G33),2)-ROUND(SUM(H$12:H33),2))</f>
        <v/>
      </c>
    </row>
    <row r="34" spans="1:10" ht="20.100000000000001" customHeight="1">
      <c r="A34" s="48"/>
      <c r="B34" s="31" t="str">
        <f t="shared" ca="1" si="0"/>
        <v/>
      </c>
      <c r="C34" s="31" t="str">
        <f t="shared" ca="1" si="1"/>
        <v/>
      </c>
      <c r="D34" s="20" t="str">
        <f ca="1">IF(AND(COPIA!$EV$1=0,B34&lt;&gt;"",COPIA!$GP$1=1),CONCATENATE("31/12/",COPIA!$EW$1),IF(AND(COPIA!$EV$1=0,B34&lt;&gt;"",COPIA!$GP$1=2),CONCATENATE("01/01/",COPIA!$EW$1),""))</f>
        <v/>
      </c>
      <c r="E34" s="178" t="str">
        <f ca="1">IF(COPIA!$EV$1&gt;0,"",IF(COPIA!$GP$1=1,COPIA!GN25,COPIA!HV25))</f>
        <v/>
      </c>
      <c r="F34" s="178" t="str">
        <f ca="1">IF(COPIA!$EV$1&gt;0,"",IF(COPIA!$GP$1=1,COPIA!GT25,COPIA!IZ25))</f>
        <v/>
      </c>
      <c r="G34" s="179" t="str">
        <f ca="1">IF(COPIA!$EV$1&gt;0,"",IF(COPIA!$GP$1=1,COPIA!GO25,COPIA!IX25))</f>
        <v/>
      </c>
      <c r="H34" s="179" t="str">
        <f ca="1">IF(COPIA!$EV$1&gt;0,"",IF(COPIA!$GP$1=1,COPIA!GP25,COPIA!IY25))</f>
        <v/>
      </c>
      <c r="I34" s="14"/>
      <c r="J34" s="6" t="str">
        <f ca="1">IF(AND(G34="",H34=""),"",ROUND(SUM(G$12:G34),2)-ROUND(SUM(H$12:H34),2))</f>
        <v/>
      </c>
    </row>
    <row r="35" spans="1:10" ht="20.100000000000001" customHeight="1">
      <c r="A35" s="48"/>
      <c r="B35" s="31" t="str">
        <f t="shared" ca="1" si="0"/>
        <v/>
      </c>
      <c r="C35" s="31" t="str">
        <f t="shared" ca="1" si="1"/>
        <v/>
      </c>
      <c r="D35" s="20" t="str">
        <f ca="1">IF(AND(COPIA!$EV$1=0,B35&lt;&gt;"",COPIA!$GP$1=1),CONCATENATE("31/12/",COPIA!$EW$1),IF(AND(COPIA!$EV$1=0,B35&lt;&gt;"",COPIA!$GP$1=2),CONCATENATE("01/01/",COPIA!$EW$1),""))</f>
        <v/>
      </c>
      <c r="E35" s="178" t="str">
        <f ca="1">IF(COPIA!$EV$1&gt;0,"",IF(COPIA!$GP$1=1,COPIA!GN26,COPIA!HV26))</f>
        <v/>
      </c>
      <c r="F35" s="178" t="str">
        <f ca="1">IF(COPIA!$EV$1&gt;0,"",IF(COPIA!$GP$1=1,COPIA!GT26,COPIA!IZ26))</f>
        <v/>
      </c>
      <c r="G35" s="179" t="str">
        <f ca="1">IF(COPIA!$EV$1&gt;0,"",IF(COPIA!$GP$1=1,COPIA!GO26,COPIA!IX26))</f>
        <v/>
      </c>
      <c r="H35" s="179" t="str">
        <f ca="1">IF(COPIA!$EV$1&gt;0,"",IF(COPIA!$GP$1=1,COPIA!GP26,COPIA!IY26))</f>
        <v/>
      </c>
      <c r="I35" s="14"/>
      <c r="J35" s="6" t="str">
        <f ca="1">IF(AND(G35="",H35=""),"",ROUND(SUM(G$12:G35),2)-ROUND(SUM(H$12:H35),2))</f>
        <v/>
      </c>
    </row>
    <row r="36" spans="1:10" ht="20.100000000000001" customHeight="1">
      <c r="A36" s="48"/>
      <c r="B36" s="31" t="str">
        <f t="shared" ca="1" si="0"/>
        <v/>
      </c>
      <c r="C36" s="31" t="str">
        <f t="shared" ca="1" si="1"/>
        <v/>
      </c>
      <c r="D36" s="20" t="str">
        <f ca="1">IF(AND(COPIA!$EV$1=0,B36&lt;&gt;"",COPIA!$GP$1=1),CONCATENATE("31/12/",COPIA!$EW$1),IF(AND(COPIA!$EV$1=0,B36&lt;&gt;"",COPIA!$GP$1=2),CONCATENATE("01/01/",COPIA!$EW$1),""))</f>
        <v/>
      </c>
      <c r="E36" s="178" t="str">
        <f ca="1">IF(COPIA!$EV$1&gt;0,"",IF(COPIA!$GP$1=1,COPIA!GN27,COPIA!HV27))</f>
        <v/>
      </c>
      <c r="F36" s="178" t="str">
        <f ca="1">IF(COPIA!$EV$1&gt;0,"",IF(COPIA!$GP$1=1,COPIA!GT27,COPIA!IZ27))</f>
        <v/>
      </c>
      <c r="G36" s="179" t="str">
        <f ca="1">IF(COPIA!$EV$1&gt;0,"",IF(COPIA!$GP$1=1,COPIA!GO27,COPIA!IX27))</f>
        <v/>
      </c>
      <c r="H36" s="179" t="str">
        <f ca="1">IF(COPIA!$EV$1&gt;0,"",IF(COPIA!$GP$1=1,COPIA!GP27,COPIA!IY27))</f>
        <v/>
      </c>
      <c r="I36" s="14"/>
      <c r="J36" s="6" t="str">
        <f ca="1">IF(AND(G36="",H36=""),"",ROUND(SUM(G$12:G36),2)-ROUND(SUM(H$12:H36),2))</f>
        <v/>
      </c>
    </row>
    <row r="37" spans="1:10" ht="20.100000000000001" customHeight="1">
      <c r="A37" s="48"/>
      <c r="B37" s="31" t="str">
        <f t="shared" ca="1" si="0"/>
        <v/>
      </c>
      <c r="C37" s="31" t="str">
        <f t="shared" ca="1" si="1"/>
        <v/>
      </c>
      <c r="D37" s="20" t="str">
        <f ca="1">IF(AND(COPIA!$EV$1=0,B37&lt;&gt;"",COPIA!$GP$1=1),CONCATENATE("31/12/",COPIA!$EW$1),IF(AND(COPIA!$EV$1=0,B37&lt;&gt;"",COPIA!$GP$1=2),CONCATENATE("01/01/",COPIA!$EW$1),""))</f>
        <v/>
      </c>
      <c r="E37" s="178" t="str">
        <f ca="1">IF(COPIA!$EV$1&gt;0,"",IF(COPIA!$GP$1=1,COPIA!GN28,COPIA!HV28))</f>
        <v/>
      </c>
      <c r="F37" s="178" t="str">
        <f ca="1">IF(COPIA!$EV$1&gt;0,"",IF(COPIA!$GP$1=1,COPIA!GT28,COPIA!IZ28))</f>
        <v/>
      </c>
      <c r="G37" s="179" t="str">
        <f ca="1">IF(COPIA!$EV$1&gt;0,"",IF(COPIA!$GP$1=1,COPIA!GO28,COPIA!IX28))</f>
        <v/>
      </c>
      <c r="H37" s="179" t="str">
        <f ca="1">IF(COPIA!$EV$1&gt;0,"",IF(COPIA!$GP$1=1,COPIA!GP28,COPIA!IY28))</f>
        <v/>
      </c>
      <c r="I37" s="14"/>
      <c r="J37" s="6" t="str">
        <f ca="1">IF(AND(G37="",H37=""),"",ROUND(SUM(G$12:G37),2)-ROUND(SUM(H$12:H37),2))</f>
        <v/>
      </c>
    </row>
    <row r="38" spans="1:10" ht="20.100000000000001" customHeight="1">
      <c r="A38" s="48"/>
      <c r="B38" s="31" t="str">
        <f t="shared" ca="1" si="0"/>
        <v/>
      </c>
      <c r="C38" s="31" t="str">
        <f t="shared" ca="1" si="1"/>
        <v/>
      </c>
      <c r="D38" s="20" t="str">
        <f ca="1">IF(AND(COPIA!$EV$1=0,B38&lt;&gt;"",COPIA!$GP$1=1),CONCATENATE("31/12/",COPIA!$EW$1),IF(AND(COPIA!$EV$1=0,B38&lt;&gt;"",COPIA!$GP$1=2),CONCATENATE("01/01/",COPIA!$EW$1),""))</f>
        <v/>
      </c>
      <c r="E38" s="178" t="str">
        <f ca="1">IF(COPIA!$EV$1&gt;0,"",IF(COPIA!$GP$1=1,COPIA!GN29,COPIA!HV29))</f>
        <v/>
      </c>
      <c r="F38" s="178" t="str">
        <f ca="1">IF(COPIA!$EV$1&gt;0,"",IF(COPIA!$GP$1=1,COPIA!GT29,COPIA!IZ29))</f>
        <v/>
      </c>
      <c r="G38" s="179" t="str">
        <f ca="1">IF(COPIA!$EV$1&gt;0,"",IF(COPIA!$GP$1=1,COPIA!GO29,COPIA!IX29))</f>
        <v/>
      </c>
      <c r="H38" s="179" t="str">
        <f ca="1">IF(COPIA!$EV$1&gt;0,"",IF(COPIA!$GP$1=1,COPIA!GP29,COPIA!IY29))</f>
        <v/>
      </c>
      <c r="I38" s="14"/>
      <c r="J38" s="6" t="str">
        <f ca="1">IF(AND(G38="",H38=""),"",ROUND(SUM(G$12:G38),2)-ROUND(SUM(H$12:H38),2))</f>
        <v/>
      </c>
    </row>
    <row r="39" spans="1:10" ht="20.100000000000001" customHeight="1">
      <c r="A39" s="48"/>
      <c r="B39" s="31" t="str">
        <f t="shared" ca="1" si="0"/>
        <v/>
      </c>
      <c r="C39" s="31" t="str">
        <f t="shared" ca="1" si="1"/>
        <v/>
      </c>
      <c r="D39" s="20" t="str">
        <f ca="1">IF(AND(COPIA!$EV$1=0,B39&lt;&gt;"",COPIA!$GP$1=1),CONCATENATE("31/12/",COPIA!$EW$1),IF(AND(COPIA!$EV$1=0,B39&lt;&gt;"",COPIA!$GP$1=2),CONCATENATE("01/01/",COPIA!$EW$1),""))</f>
        <v/>
      </c>
      <c r="E39" s="178" t="str">
        <f ca="1">IF(COPIA!$EV$1&gt;0,"",IF(COPIA!$GP$1=1,COPIA!GN30,COPIA!HV30))</f>
        <v/>
      </c>
      <c r="F39" s="178" t="str">
        <f ca="1">IF(COPIA!$EV$1&gt;0,"",IF(COPIA!$GP$1=1,COPIA!GT30,COPIA!IZ30))</f>
        <v/>
      </c>
      <c r="G39" s="179" t="str">
        <f ca="1">IF(COPIA!$EV$1&gt;0,"",IF(COPIA!$GP$1=1,COPIA!GO30,COPIA!IX30))</f>
        <v/>
      </c>
      <c r="H39" s="179" t="str">
        <f ca="1">IF(COPIA!$EV$1&gt;0,"",IF(COPIA!$GP$1=1,COPIA!GP30,COPIA!IY30))</f>
        <v/>
      </c>
      <c r="I39" s="14"/>
      <c r="J39" s="6" t="str">
        <f ca="1">IF(AND(G39="",H39=""),"",ROUND(SUM(G$12:G39),2)-ROUND(SUM(H$12:H39),2))</f>
        <v/>
      </c>
    </row>
    <row r="40" spans="1:10" ht="20.100000000000001" customHeight="1">
      <c r="A40" s="48"/>
      <c r="B40" s="31" t="str">
        <f t="shared" ca="1" si="0"/>
        <v/>
      </c>
      <c r="C40" s="31" t="str">
        <f t="shared" ca="1" si="1"/>
        <v/>
      </c>
      <c r="D40" s="20" t="str">
        <f ca="1">IF(AND(COPIA!$EV$1=0,B40&lt;&gt;"",COPIA!$GP$1=1),CONCATENATE("31/12/",COPIA!$EW$1),IF(AND(COPIA!$EV$1=0,B40&lt;&gt;"",COPIA!$GP$1=2),CONCATENATE("01/01/",COPIA!$EW$1),""))</f>
        <v/>
      </c>
      <c r="E40" s="178" t="str">
        <f ca="1">IF(COPIA!$EV$1&gt;0,"",IF(COPIA!$GP$1=1,COPIA!GN31,COPIA!HV31))</f>
        <v/>
      </c>
      <c r="F40" s="178" t="str">
        <f ca="1">IF(COPIA!$EV$1&gt;0,"",IF(COPIA!$GP$1=1,COPIA!GT31,COPIA!IZ31))</f>
        <v/>
      </c>
      <c r="G40" s="179" t="str">
        <f ca="1">IF(COPIA!$EV$1&gt;0,"",IF(COPIA!$GP$1=1,COPIA!GO31,COPIA!IX31))</f>
        <v/>
      </c>
      <c r="H40" s="179" t="str">
        <f ca="1">IF(COPIA!$EV$1&gt;0,"",IF(COPIA!$GP$1=1,COPIA!GP31,COPIA!IY31))</f>
        <v/>
      </c>
      <c r="I40" s="14"/>
      <c r="J40" s="6" t="str">
        <f ca="1">IF(AND(G40="",H40=""),"",ROUND(SUM(G$12:G40),2)-ROUND(SUM(H$12:H40),2))</f>
        <v/>
      </c>
    </row>
    <row r="41" spans="1:10" ht="20.100000000000001" customHeight="1">
      <c r="A41" s="48"/>
      <c r="B41" s="31" t="str">
        <f t="shared" ca="1" si="0"/>
        <v/>
      </c>
      <c r="C41" s="31" t="str">
        <f t="shared" ca="1" si="1"/>
        <v/>
      </c>
      <c r="D41" s="20" t="str">
        <f ca="1">IF(AND(COPIA!$EV$1=0,B41&lt;&gt;"",COPIA!$GP$1=1),CONCATENATE("31/12/",COPIA!$EW$1),IF(AND(COPIA!$EV$1=0,B41&lt;&gt;"",COPIA!$GP$1=2),CONCATENATE("01/01/",COPIA!$EW$1),""))</f>
        <v/>
      </c>
      <c r="E41" s="178" t="str">
        <f ca="1">IF(COPIA!$EV$1&gt;0,"",IF(COPIA!$GP$1=1,COPIA!GN32,COPIA!HV32))</f>
        <v/>
      </c>
      <c r="F41" s="178" t="str">
        <f ca="1">IF(COPIA!$EV$1&gt;0,"",IF(COPIA!$GP$1=1,COPIA!GT32,COPIA!IZ32))</f>
        <v/>
      </c>
      <c r="G41" s="179" t="str">
        <f ca="1">IF(COPIA!$EV$1&gt;0,"",IF(COPIA!$GP$1=1,COPIA!GO32,COPIA!IX32))</f>
        <v/>
      </c>
      <c r="H41" s="179" t="str">
        <f ca="1">IF(COPIA!$EV$1&gt;0,"",IF(COPIA!$GP$1=1,COPIA!GP32,COPIA!IY32))</f>
        <v/>
      </c>
      <c r="I41" s="14"/>
      <c r="J41" s="6" t="str">
        <f ca="1">IF(AND(G41="",H41=""),"",ROUND(SUM(G$12:G41),2)-ROUND(SUM(H$12:H41),2))</f>
        <v/>
      </c>
    </row>
    <row r="42" spans="1:10" ht="20.100000000000001" customHeight="1">
      <c r="A42" s="48"/>
      <c r="B42" s="31" t="str">
        <f t="shared" ca="1" si="0"/>
        <v/>
      </c>
      <c r="C42" s="31" t="str">
        <f t="shared" ca="1" si="1"/>
        <v/>
      </c>
      <c r="D42" s="20" t="str">
        <f ca="1">IF(AND(COPIA!$EV$1=0,B42&lt;&gt;"",COPIA!$GP$1=1),CONCATENATE("31/12/",COPIA!$EW$1),IF(AND(COPIA!$EV$1=0,B42&lt;&gt;"",COPIA!$GP$1=2),CONCATENATE("01/01/",COPIA!$EW$1),""))</f>
        <v/>
      </c>
      <c r="E42" s="178" t="str">
        <f ca="1">IF(COPIA!$EV$1&gt;0,"",IF(COPIA!$GP$1=1,COPIA!GN33,COPIA!HV33))</f>
        <v/>
      </c>
      <c r="F42" s="178" t="str">
        <f ca="1">IF(COPIA!$EV$1&gt;0,"",IF(COPIA!$GP$1=1,COPIA!GT33,COPIA!IZ33))</f>
        <v/>
      </c>
      <c r="G42" s="179" t="str">
        <f ca="1">IF(COPIA!$EV$1&gt;0,"",IF(COPIA!$GP$1=1,COPIA!GO33,COPIA!IX33))</f>
        <v/>
      </c>
      <c r="H42" s="179" t="str">
        <f ca="1">IF(COPIA!$EV$1&gt;0,"",IF(COPIA!$GP$1=1,COPIA!GP33,COPIA!IY33))</f>
        <v/>
      </c>
      <c r="I42" s="14"/>
      <c r="J42" s="6" t="str">
        <f ca="1">IF(AND(G42="",H42=""),"",ROUND(SUM(G$12:G42),2)-ROUND(SUM(H$12:H42),2))</f>
        <v/>
      </c>
    </row>
    <row r="43" spans="1:10" ht="20.100000000000001" customHeight="1">
      <c r="A43" s="48"/>
      <c r="B43" s="31" t="str">
        <f t="shared" ca="1" si="0"/>
        <v/>
      </c>
      <c r="C43" s="31" t="str">
        <f t="shared" ca="1" si="1"/>
        <v/>
      </c>
      <c r="D43" s="20" t="str">
        <f ca="1">IF(AND(COPIA!$EV$1=0,B43&lt;&gt;"",COPIA!$GP$1=1),CONCATENATE("31/12/",COPIA!$EW$1),IF(AND(COPIA!$EV$1=0,B43&lt;&gt;"",COPIA!$GP$1=2),CONCATENATE("01/01/",COPIA!$EW$1),""))</f>
        <v/>
      </c>
      <c r="E43" s="178" t="str">
        <f ca="1">IF(COPIA!$EV$1&gt;0,"",IF(COPIA!$GP$1=1,COPIA!GN34,COPIA!HV34))</f>
        <v/>
      </c>
      <c r="F43" s="178" t="str">
        <f ca="1">IF(COPIA!$EV$1&gt;0,"",IF(COPIA!$GP$1=1,COPIA!GT34,COPIA!IZ34))</f>
        <v/>
      </c>
      <c r="G43" s="179" t="str">
        <f ca="1">IF(COPIA!$EV$1&gt;0,"",IF(COPIA!$GP$1=1,COPIA!GO34,COPIA!IX34))</f>
        <v/>
      </c>
      <c r="H43" s="179" t="str">
        <f ca="1">IF(COPIA!$EV$1&gt;0,"",IF(COPIA!$GP$1=1,COPIA!GP34,COPIA!IY34))</f>
        <v/>
      </c>
      <c r="I43" s="14"/>
      <c r="J43" s="6" t="str">
        <f ca="1">IF(AND(G43="",H43=""),"",ROUND(SUM(G$12:G43),2)-ROUND(SUM(H$12:H43),2))</f>
        <v/>
      </c>
    </row>
    <row r="44" spans="1:10" ht="20.100000000000001" customHeight="1">
      <c r="A44" s="48"/>
      <c r="B44" s="31" t="str">
        <f t="shared" ca="1" si="0"/>
        <v/>
      </c>
      <c r="C44" s="31" t="str">
        <f t="shared" ca="1" si="1"/>
        <v/>
      </c>
      <c r="D44" s="20" t="str">
        <f ca="1">IF(AND(COPIA!$EV$1=0,B44&lt;&gt;"",COPIA!$GP$1=1),CONCATENATE("31/12/",COPIA!$EW$1),IF(AND(COPIA!$EV$1=0,B44&lt;&gt;"",COPIA!$GP$1=2),CONCATENATE("01/01/",COPIA!$EW$1),""))</f>
        <v/>
      </c>
      <c r="E44" s="178" t="str">
        <f ca="1">IF(COPIA!$EV$1&gt;0,"",IF(COPIA!$GP$1=1,COPIA!GN35,COPIA!HV35))</f>
        <v/>
      </c>
      <c r="F44" s="178" t="str">
        <f ca="1">IF(COPIA!$EV$1&gt;0,"",IF(COPIA!$GP$1=1,COPIA!GT35,COPIA!IZ35))</f>
        <v/>
      </c>
      <c r="G44" s="179" t="str">
        <f ca="1">IF(COPIA!$EV$1&gt;0,"",IF(COPIA!$GP$1=1,COPIA!GO35,COPIA!IX35))</f>
        <v/>
      </c>
      <c r="H44" s="179" t="str">
        <f ca="1">IF(COPIA!$EV$1&gt;0,"",IF(COPIA!$GP$1=1,COPIA!GP35,COPIA!IY35))</f>
        <v/>
      </c>
      <c r="I44" s="14"/>
      <c r="J44" s="6" t="str">
        <f ca="1">IF(AND(G44="",H44=""),"",ROUND(SUM(G$12:G44),2)-ROUND(SUM(H$12:H44),2))</f>
        <v/>
      </c>
    </row>
    <row r="45" spans="1:10" ht="20.100000000000001" customHeight="1">
      <c r="A45" s="48"/>
      <c r="B45" s="31" t="str">
        <f t="shared" ca="1" si="0"/>
        <v/>
      </c>
      <c r="C45" s="31" t="str">
        <f t="shared" ca="1" si="1"/>
        <v/>
      </c>
      <c r="D45" s="20" t="str">
        <f ca="1">IF(AND(COPIA!$EV$1=0,B45&lt;&gt;"",COPIA!$GP$1=1),CONCATENATE("31/12/",COPIA!$EW$1),IF(AND(COPIA!$EV$1=0,B45&lt;&gt;"",COPIA!$GP$1=2),CONCATENATE("01/01/",COPIA!$EW$1),""))</f>
        <v/>
      </c>
      <c r="E45" s="178" t="str">
        <f ca="1">IF(COPIA!$EV$1&gt;0,"",IF(COPIA!$GP$1=1,COPIA!GN36,COPIA!HV36))</f>
        <v/>
      </c>
      <c r="F45" s="178" t="str">
        <f ca="1">IF(COPIA!$EV$1&gt;0,"",IF(COPIA!$GP$1=1,COPIA!GT36,COPIA!IZ36))</f>
        <v/>
      </c>
      <c r="G45" s="179" t="str">
        <f ca="1">IF(COPIA!$EV$1&gt;0,"",IF(COPIA!$GP$1=1,COPIA!GO36,COPIA!IX36))</f>
        <v/>
      </c>
      <c r="H45" s="179" t="str">
        <f ca="1">IF(COPIA!$EV$1&gt;0,"",IF(COPIA!$GP$1=1,COPIA!GP36,COPIA!IY36))</f>
        <v/>
      </c>
      <c r="I45" s="14"/>
      <c r="J45" s="6" t="str">
        <f ca="1">IF(AND(G45="",H45=""),"",ROUND(SUM(G$12:G45),2)-ROUND(SUM(H$12:H45),2))</f>
        <v/>
      </c>
    </row>
    <row r="46" spans="1:10" ht="20.100000000000001" customHeight="1">
      <c r="A46" s="48"/>
      <c r="B46" s="31" t="str">
        <f t="shared" ca="1" si="0"/>
        <v/>
      </c>
      <c r="C46" s="31" t="str">
        <f t="shared" ca="1" si="1"/>
        <v/>
      </c>
      <c r="D46" s="20" t="str">
        <f ca="1">IF(AND(COPIA!$EV$1=0,B46&lt;&gt;"",COPIA!$GP$1=1),CONCATENATE("31/12/",COPIA!$EW$1),IF(AND(COPIA!$EV$1=0,B46&lt;&gt;"",COPIA!$GP$1=2),CONCATENATE("01/01/",COPIA!$EW$1),""))</f>
        <v/>
      </c>
      <c r="E46" s="178" t="str">
        <f ca="1">IF(COPIA!$EV$1&gt;0,"",IF(COPIA!$GP$1=1,COPIA!GN37,COPIA!HV37))</f>
        <v/>
      </c>
      <c r="F46" s="178" t="str">
        <f ca="1">IF(COPIA!$EV$1&gt;0,"",IF(COPIA!$GP$1=1,COPIA!GT37,COPIA!IZ37))</f>
        <v/>
      </c>
      <c r="G46" s="179" t="str">
        <f ca="1">IF(COPIA!$EV$1&gt;0,"",IF(COPIA!$GP$1=1,COPIA!GO37,COPIA!IX37))</f>
        <v/>
      </c>
      <c r="H46" s="179" t="str">
        <f ca="1">IF(COPIA!$EV$1&gt;0,"",IF(COPIA!$GP$1=1,COPIA!GP37,COPIA!IY37))</f>
        <v/>
      </c>
      <c r="I46" s="14"/>
      <c r="J46" s="6" t="str">
        <f ca="1">IF(AND(G46="",H46=""),"",ROUND(SUM(G$12:G46),2)-ROUND(SUM(H$12:H46),2))</f>
        <v/>
      </c>
    </row>
    <row r="47" spans="1:10" ht="20.100000000000001" customHeight="1">
      <c r="A47" s="48"/>
      <c r="B47" s="31" t="str">
        <f t="shared" ca="1" si="0"/>
        <v/>
      </c>
      <c r="C47" s="31" t="str">
        <f t="shared" ca="1" si="1"/>
        <v/>
      </c>
      <c r="D47" s="20" t="str">
        <f ca="1">IF(AND(COPIA!$EV$1=0,B47&lt;&gt;"",COPIA!$GP$1=1),CONCATENATE("31/12/",COPIA!$EW$1),IF(AND(COPIA!$EV$1=0,B47&lt;&gt;"",COPIA!$GP$1=2),CONCATENATE("01/01/",COPIA!$EW$1),""))</f>
        <v/>
      </c>
      <c r="E47" s="178" t="str">
        <f ca="1">IF(COPIA!$EV$1&gt;0,"",IF(COPIA!$GP$1=1,COPIA!GN38,COPIA!HV38))</f>
        <v/>
      </c>
      <c r="F47" s="178" t="str">
        <f ca="1">IF(COPIA!$EV$1&gt;0,"",IF(COPIA!$GP$1=1,COPIA!GT38,COPIA!IZ38))</f>
        <v/>
      </c>
      <c r="G47" s="179" t="str">
        <f ca="1">IF(COPIA!$EV$1&gt;0,"",IF(COPIA!$GP$1=1,COPIA!GO38,COPIA!IX38))</f>
        <v/>
      </c>
      <c r="H47" s="179" t="str">
        <f ca="1">IF(COPIA!$EV$1&gt;0,"",IF(COPIA!$GP$1=1,COPIA!GP38,COPIA!IY38))</f>
        <v/>
      </c>
      <c r="I47" s="14"/>
      <c r="J47" s="6" t="str">
        <f ca="1">IF(AND(G47="",H47=""),"",ROUND(SUM(G$12:G47),2)-ROUND(SUM(H$12:H47),2))</f>
        <v/>
      </c>
    </row>
    <row r="48" spans="1:10" ht="20.100000000000001" customHeight="1">
      <c r="A48" s="48"/>
      <c r="B48" s="31" t="str">
        <f t="shared" ca="1" si="0"/>
        <v/>
      </c>
      <c r="C48" s="31" t="str">
        <f t="shared" ca="1" si="1"/>
        <v/>
      </c>
      <c r="D48" s="20" t="str">
        <f ca="1">IF(AND(COPIA!$EV$1=0,B48&lt;&gt;"",COPIA!$GP$1=1),CONCATENATE("31/12/",COPIA!$EW$1),IF(AND(COPIA!$EV$1=0,B48&lt;&gt;"",COPIA!$GP$1=2),CONCATENATE("01/01/",COPIA!$EW$1),""))</f>
        <v/>
      </c>
      <c r="E48" s="178" t="str">
        <f ca="1">IF(COPIA!$EV$1&gt;0,"",IF(COPIA!$GP$1=1,COPIA!GN39,COPIA!HV39))</f>
        <v/>
      </c>
      <c r="F48" s="178" t="str">
        <f ca="1">IF(COPIA!$EV$1&gt;0,"",IF(COPIA!$GP$1=1,COPIA!GT39,COPIA!IZ39))</f>
        <v/>
      </c>
      <c r="G48" s="179" t="str">
        <f ca="1">IF(COPIA!$EV$1&gt;0,"",IF(COPIA!$GP$1=1,COPIA!GO39,COPIA!IX39))</f>
        <v/>
      </c>
      <c r="H48" s="179" t="str">
        <f ca="1">IF(COPIA!$EV$1&gt;0,"",IF(COPIA!$GP$1=1,COPIA!GP39,COPIA!IY39))</f>
        <v/>
      </c>
      <c r="I48" s="14"/>
      <c r="J48" s="6" t="str">
        <f ca="1">IF(AND(G48="",H48=""),"",ROUND(SUM(G$12:G48),2)-ROUND(SUM(H$12:H48),2))</f>
        <v/>
      </c>
    </row>
    <row r="49" spans="1:10" ht="20.100000000000001" customHeight="1">
      <c r="A49" s="48"/>
      <c r="B49" s="31" t="str">
        <f t="shared" ca="1" si="0"/>
        <v/>
      </c>
      <c r="C49" s="31" t="str">
        <f t="shared" ca="1" si="1"/>
        <v/>
      </c>
      <c r="D49" s="20" t="str">
        <f ca="1">IF(AND(COPIA!$EV$1=0,B49&lt;&gt;"",COPIA!$GP$1=1),CONCATENATE("31/12/",COPIA!$EW$1),IF(AND(COPIA!$EV$1=0,B49&lt;&gt;"",COPIA!$GP$1=2),CONCATENATE("01/01/",COPIA!$EW$1),""))</f>
        <v/>
      </c>
      <c r="E49" s="178" t="str">
        <f ca="1">IF(COPIA!$EV$1&gt;0,"",IF(COPIA!$GP$1=1,COPIA!GN40,COPIA!HV40))</f>
        <v/>
      </c>
      <c r="F49" s="178" t="str">
        <f ca="1">IF(COPIA!$EV$1&gt;0,"",IF(COPIA!$GP$1=1,COPIA!GT40,COPIA!IZ40))</f>
        <v/>
      </c>
      <c r="G49" s="179" t="str">
        <f ca="1">IF(COPIA!$EV$1&gt;0,"",IF(COPIA!$GP$1=1,COPIA!GO40,COPIA!IX40))</f>
        <v/>
      </c>
      <c r="H49" s="179" t="str">
        <f ca="1">IF(COPIA!$EV$1&gt;0,"",IF(COPIA!$GP$1=1,COPIA!GP40,COPIA!IY40))</f>
        <v/>
      </c>
      <c r="I49" s="14"/>
      <c r="J49" s="6" t="str">
        <f ca="1">IF(AND(G49="",H49=""),"",ROUND(SUM(G$12:G49),2)-ROUND(SUM(H$12:H49),2))</f>
        <v/>
      </c>
    </row>
    <row r="50" spans="1:10" ht="20.100000000000001" customHeight="1">
      <c r="A50" s="48"/>
      <c r="B50" s="31" t="str">
        <f t="shared" ca="1" si="0"/>
        <v/>
      </c>
      <c r="C50" s="31" t="str">
        <f t="shared" ca="1" si="1"/>
        <v/>
      </c>
      <c r="D50" s="20" t="str">
        <f ca="1">IF(AND(COPIA!$EV$1=0,B50&lt;&gt;"",COPIA!$GP$1=1),CONCATENATE("31/12/",COPIA!$EW$1),IF(AND(COPIA!$EV$1=0,B50&lt;&gt;"",COPIA!$GP$1=2),CONCATENATE("01/01/",COPIA!$EW$1),""))</f>
        <v/>
      </c>
      <c r="E50" s="178" t="str">
        <f ca="1">IF(COPIA!$EV$1&gt;0,"",IF(COPIA!$GP$1=1,COPIA!GN41,COPIA!HV41))</f>
        <v/>
      </c>
      <c r="F50" s="178" t="str">
        <f ca="1">IF(COPIA!$EV$1&gt;0,"",IF(COPIA!$GP$1=1,COPIA!GT41,COPIA!IZ41))</f>
        <v/>
      </c>
      <c r="G50" s="179" t="str">
        <f ca="1">IF(COPIA!$EV$1&gt;0,"",IF(COPIA!$GP$1=1,COPIA!GO41,COPIA!IX41))</f>
        <v/>
      </c>
      <c r="H50" s="179" t="str">
        <f ca="1">IF(COPIA!$EV$1&gt;0,"",IF(COPIA!$GP$1=1,COPIA!GP41,COPIA!IY41))</f>
        <v/>
      </c>
      <c r="I50" s="14"/>
      <c r="J50" s="6" t="str">
        <f ca="1">IF(AND(G50="",H50=""),"",ROUND(SUM(G$12:G50),2)-ROUND(SUM(H$12:H50),2))</f>
        <v/>
      </c>
    </row>
    <row r="51" spans="1:10" ht="20.100000000000001" customHeight="1">
      <c r="A51" s="48"/>
      <c r="B51" s="31" t="str">
        <f t="shared" ca="1" si="0"/>
        <v/>
      </c>
      <c r="C51" s="31" t="str">
        <f t="shared" ca="1" si="1"/>
        <v/>
      </c>
      <c r="D51" s="20" t="str">
        <f ca="1">IF(AND(COPIA!$EV$1=0,B51&lt;&gt;"",COPIA!$GP$1=1),CONCATENATE("31/12/",COPIA!$EW$1),IF(AND(COPIA!$EV$1=0,B51&lt;&gt;"",COPIA!$GP$1=2),CONCATENATE("01/01/",COPIA!$EW$1),""))</f>
        <v/>
      </c>
      <c r="E51" s="178" t="str">
        <f ca="1">IF(COPIA!$EV$1&gt;0,"",IF(COPIA!$GP$1=1,COPIA!GN42,COPIA!HV42))</f>
        <v/>
      </c>
      <c r="F51" s="178" t="str">
        <f ca="1">IF(COPIA!$EV$1&gt;0,"",IF(COPIA!$GP$1=1,COPIA!GT42,COPIA!IZ42))</f>
        <v/>
      </c>
      <c r="G51" s="179" t="str">
        <f ca="1">IF(COPIA!$EV$1&gt;0,"",IF(COPIA!$GP$1=1,COPIA!GO42,COPIA!IX42))</f>
        <v/>
      </c>
      <c r="H51" s="179" t="str">
        <f ca="1">IF(COPIA!$EV$1&gt;0,"",IF(COPIA!$GP$1=1,COPIA!GP42,COPIA!IY42))</f>
        <v/>
      </c>
      <c r="I51" s="14"/>
      <c r="J51" s="6" t="str">
        <f ca="1">IF(AND(G51="",H51=""),"",ROUND(SUM(G$12:G51),2)-ROUND(SUM(H$12:H51),2))</f>
        <v/>
      </c>
    </row>
    <row r="52" spans="1:10" ht="20.100000000000001" customHeight="1">
      <c r="A52" s="48"/>
      <c r="B52" s="31" t="str">
        <f t="shared" ca="1" si="0"/>
        <v/>
      </c>
      <c r="C52" s="31" t="str">
        <f t="shared" ca="1" si="1"/>
        <v/>
      </c>
      <c r="D52" s="20" t="str">
        <f ca="1">IF(AND(COPIA!$EV$1=0,B52&lt;&gt;"",COPIA!$GP$1=1),CONCATENATE("31/12/",COPIA!$EW$1),IF(AND(COPIA!$EV$1=0,B52&lt;&gt;"",COPIA!$GP$1=2),CONCATENATE("01/01/",COPIA!$EW$1),""))</f>
        <v/>
      </c>
      <c r="E52" s="178" t="str">
        <f ca="1">IF(COPIA!$EV$1&gt;0,"",IF(COPIA!$GP$1=1,COPIA!GN43,COPIA!HV43))</f>
        <v/>
      </c>
      <c r="F52" s="178" t="str">
        <f ca="1">IF(COPIA!$EV$1&gt;0,"",IF(COPIA!$GP$1=1,COPIA!GT43,COPIA!IZ43))</f>
        <v/>
      </c>
      <c r="G52" s="179" t="str">
        <f ca="1">IF(COPIA!$EV$1&gt;0,"",IF(COPIA!$GP$1=1,COPIA!GO43,COPIA!IX43))</f>
        <v/>
      </c>
      <c r="H52" s="179" t="str">
        <f ca="1">IF(COPIA!$EV$1&gt;0,"",IF(COPIA!$GP$1=1,COPIA!GP43,COPIA!IY43))</f>
        <v/>
      </c>
      <c r="I52" s="14"/>
      <c r="J52" s="6" t="str">
        <f ca="1">IF(AND(G52="",H52=""),"",ROUND(SUM(G$12:G52),2)-ROUND(SUM(H$12:H52),2))</f>
        <v/>
      </c>
    </row>
    <row r="53" spans="1:10" ht="20.100000000000001" customHeight="1">
      <c r="A53" s="48"/>
      <c r="B53" s="31" t="str">
        <f t="shared" ca="1" si="0"/>
        <v/>
      </c>
      <c r="C53" s="31" t="str">
        <f t="shared" ca="1" si="1"/>
        <v/>
      </c>
      <c r="D53" s="20" t="str">
        <f ca="1">IF(AND(COPIA!$EV$1=0,B53&lt;&gt;"",COPIA!$GP$1=1),CONCATENATE("31/12/",COPIA!$EW$1),IF(AND(COPIA!$EV$1=0,B53&lt;&gt;"",COPIA!$GP$1=2),CONCATENATE("01/01/",COPIA!$EW$1),""))</f>
        <v/>
      </c>
      <c r="E53" s="178" t="str">
        <f ca="1">IF(COPIA!$EV$1&gt;0,"",IF(COPIA!$GP$1=1,COPIA!GN44,COPIA!HV44))</f>
        <v/>
      </c>
      <c r="F53" s="178" t="str">
        <f ca="1">IF(COPIA!$EV$1&gt;0,"",IF(COPIA!$GP$1=1,COPIA!GT44,COPIA!IZ44))</f>
        <v/>
      </c>
      <c r="G53" s="179" t="str">
        <f ca="1">IF(COPIA!$EV$1&gt;0,"",IF(COPIA!$GP$1=1,COPIA!GO44,COPIA!IX44))</f>
        <v/>
      </c>
      <c r="H53" s="179" t="str">
        <f ca="1">IF(COPIA!$EV$1&gt;0,"",IF(COPIA!$GP$1=1,COPIA!GP44,COPIA!IY44))</f>
        <v/>
      </c>
      <c r="I53" s="14"/>
      <c r="J53" s="6" t="str">
        <f ca="1">IF(AND(G53="",H53=""),"",ROUND(SUM(G$12:G53),2)-ROUND(SUM(H$12:H53),2))</f>
        <v/>
      </c>
    </row>
    <row r="54" spans="1:10" ht="20.100000000000001" customHeight="1">
      <c r="A54" s="48"/>
      <c r="B54" s="31" t="str">
        <f t="shared" ca="1" si="0"/>
        <v/>
      </c>
      <c r="C54" s="31" t="str">
        <f t="shared" ca="1" si="1"/>
        <v/>
      </c>
      <c r="D54" s="20" t="str">
        <f ca="1">IF(AND(COPIA!$EV$1=0,B54&lt;&gt;"",COPIA!$GP$1=1),CONCATENATE("31/12/",COPIA!$EW$1),IF(AND(COPIA!$EV$1=0,B54&lt;&gt;"",COPIA!$GP$1=2),CONCATENATE("01/01/",COPIA!$EW$1),""))</f>
        <v/>
      </c>
      <c r="E54" s="178" t="str">
        <f ca="1">IF(COPIA!$EV$1&gt;0,"",IF(COPIA!$GP$1=1,COPIA!GN45,COPIA!HV45))</f>
        <v/>
      </c>
      <c r="F54" s="178" t="str">
        <f ca="1">IF(COPIA!$EV$1&gt;0,"",IF(COPIA!$GP$1=1,COPIA!GT45,COPIA!IZ45))</f>
        <v/>
      </c>
      <c r="G54" s="179" t="str">
        <f ca="1">IF(COPIA!$EV$1&gt;0,"",IF(COPIA!$GP$1=1,COPIA!GO45,COPIA!IX45))</f>
        <v/>
      </c>
      <c r="H54" s="179" t="str">
        <f ca="1">IF(COPIA!$EV$1&gt;0,"",IF(COPIA!$GP$1=1,COPIA!GP45,COPIA!IY45))</f>
        <v/>
      </c>
      <c r="I54" s="14"/>
      <c r="J54" s="6" t="str">
        <f ca="1">IF(AND(G54="",H54=""),"",ROUND(SUM(G$12:G54),2)-ROUND(SUM(H$12:H54),2))</f>
        <v/>
      </c>
    </row>
    <row r="55" spans="1:10" ht="20.100000000000001" customHeight="1">
      <c r="A55" s="48"/>
      <c r="B55" s="31" t="str">
        <f t="shared" ca="1" si="0"/>
        <v/>
      </c>
      <c r="C55" s="31" t="str">
        <f t="shared" ca="1" si="1"/>
        <v/>
      </c>
      <c r="D55" s="20" t="str">
        <f ca="1">IF(AND(COPIA!$EV$1=0,B55&lt;&gt;"",COPIA!$GP$1=1),CONCATENATE("31/12/",COPIA!$EW$1),IF(AND(COPIA!$EV$1=0,B55&lt;&gt;"",COPIA!$GP$1=2),CONCATENATE("01/01/",COPIA!$EW$1),""))</f>
        <v/>
      </c>
      <c r="E55" s="178" t="str">
        <f ca="1">IF(COPIA!$EV$1&gt;0,"",IF(COPIA!$GP$1=1,COPIA!GN46,COPIA!HV46))</f>
        <v/>
      </c>
      <c r="F55" s="178" t="str">
        <f ca="1">IF(COPIA!$EV$1&gt;0,"",IF(COPIA!$GP$1=1,COPIA!GT46,COPIA!IZ46))</f>
        <v/>
      </c>
      <c r="G55" s="179" t="str">
        <f ca="1">IF(COPIA!$EV$1&gt;0,"",IF(COPIA!$GP$1=1,COPIA!GO46,COPIA!IX46))</f>
        <v/>
      </c>
      <c r="H55" s="179" t="str">
        <f ca="1">IF(COPIA!$EV$1&gt;0,"",IF(COPIA!$GP$1=1,COPIA!GP46,COPIA!IY46))</f>
        <v/>
      </c>
      <c r="I55" s="14"/>
      <c r="J55" s="6" t="str">
        <f ca="1">IF(AND(G55="",H55=""),"",ROUND(SUM(G$12:G55),2)-ROUND(SUM(H$12:H55),2))</f>
        <v/>
      </c>
    </row>
    <row r="56" spans="1:10" ht="20.100000000000001" customHeight="1">
      <c r="A56" s="48"/>
      <c r="B56" s="31" t="str">
        <f t="shared" ca="1" si="0"/>
        <v/>
      </c>
      <c r="C56" s="31" t="str">
        <f t="shared" ca="1" si="1"/>
        <v/>
      </c>
      <c r="D56" s="20" t="str">
        <f ca="1">IF(AND(COPIA!$EV$1=0,B56&lt;&gt;"",COPIA!$GP$1=1),CONCATENATE("31/12/",COPIA!$EW$1),IF(AND(COPIA!$EV$1=0,B56&lt;&gt;"",COPIA!$GP$1=2),CONCATENATE("01/01/",COPIA!$EW$1),""))</f>
        <v/>
      </c>
      <c r="E56" s="178" t="str">
        <f ca="1">IF(COPIA!$EV$1&gt;0,"",IF(COPIA!$GP$1=1,COPIA!GN47,COPIA!HV47))</f>
        <v/>
      </c>
      <c r="F56" s="178" t="str">
        <f ca="1">IF(COPIA!$EV$1&gt;0,"",IF(COPIA!$GP$1=1,COPIA!GT47,COPIA!IZ47))</f>
        <v/>
      </c>
      <c r="G56" s="179" t="str">
        <f ca="1">IF(COPIA!$EV$1&gt;0,"",IF(COPIA!$GP$1=1,COPIA!GO47,COPIA!IX47))</f>
        <v/>
      </c>
      <c r="H56" s="179" t="str">
        <f ca="1">IF(COPIA!$EV$1&gt;0,"",IF(COPIA!$GP$1=1,COPIA!GP47,COPIA!IY47))</f>
        <v/>
      </c>
      <c r="I56" s="14"/>
      <c r="J56" s="6" t="str">
        <f ca="1">IF(AND(G56="",H56=""),"",ROUND(SUM(G$12:G56),2)-ROUND(SUM(H$12:H56),2))</f>
        <v/>
      </c>
    </row>
    <row r="57" spans="1:10" ht="20.100000000000001" customHeight="1">
      <c r="A57" s="48"/>
      <c r="B57" s="31" t="str">
        <f t="shared" ca="1" si="0"/>
        <v/>
      </c>
      <c r="C57" s="31" t="str">
        <f t="shared" ca="1" si="1"/>
        <v/>
      </c>
      <c r="D57" s="20" t="str">
        <f ca="1">IF(AND(COPIA!$EV$1=0,B57&lt;&gt;"",COPIA!$GP$1=1),CONCATENATE("31/12/",COPIA!$EW$1),IF(AND(COPIA!$EV$1=0,B57&lt;&gt;"",COPIA!$GP$1=2),CONCATENATE("01/01/",COPIA!$EW$1),""))</f>
        <v/>
      </c>
      <c r="E57" s="178" t="str">
        <f ca="1">IF(COPIA!$EV$1&gt;0,"",IF(COPIA!$GP$1=1,COPIA!GN48,COPIA!HV48))</f>
        <v/>
      </c>
      <c r="F57" s="178" t="str">
        <f ca="1">IF(COPIA!$EV$1&gt;0,"",IF(COPIA!$GP$1=1,COPIA!GT48,COPIA!IZ48))</f>
        <v/>
      </c>
      <c r="G57" s="179" t="str">
        <f ca="1">IF(COPIA!$EV$1&gt;0,"",IF(COPIA!$GP$1=1,COPIA!GO48,COPIA!IX48))</f>
        <v/>
      </c>
      <c r="H57" s="179" t="str">
        <f ca="1">IF(COPIA!$EV$1&gt;0,"",IF(COPIA!$GP$1=1,COPIA!GP48,COPIA!IY48))</f>
        <v/>
      </c>
      <c r="I57" s="14"/>
      <c r="J57" s="6" t="str">
        <f ca="1">IF(AND(G57="",H57=""),"",ROUND(SUM(G$12:G57),2)-ROUND(SUM(H$12:H57),2))</f>
        <v/>
      </c>
    </row>
    <row r="58" spans="1:10" ht="20.100000000000001" customHeight="1">
      <c r="A58" s="48"/>
      <c r="B58" s="31" t="str">
        <f t="shared" ca="1" si="0"/>
        <v/>
      </c>
      <c r="C58" s="31" t="str">
        <f t="shared" ca="1" si="1"/>
        <v/>
      </c>
      <c r="D58" s="20" t="str">
        <f ca="1">IF(AND(COPIA!$EV$1=0,B58&lt;&gt;"",COPIA!$GP$1=1),CONCATENATE("31/12/",COPIA!$EW$1),IF(AND(COPIA!$EV$1=0,B58&lt;&gt;"",COPIA!$GP$1=2),CONCATENATE("01/01/",COPIA!$EW$1),""))</f>
        <v/>
      </c>
      <c r="E58" s="178" t="str">
        <f ca="1">IF(COPIA!$EV$1&gt;0,"",IF(COPIA!$GP$1=1,COPIA!GN49,COPIA!HV49))</f>
        <v/>
      </c>
      <c r="F58" s="178" t="str">
        <f ca="1">IF(COPIA!$EV$1&gt;0,"",IF(COPIA!$GP$1=1,COPIA!GT49,COPIA!IZ49))</f>
        <v/>
      </c>
      <c r="G58" s="179" t="str">
        <f ca="1">IF(COPIA!$EV$1&gt;0,"",IF(COPIA!$GP$1=1,COPIA!GO49,COPIA!IX49))</f>
        <v/>
      </c>
      <c r="H58" s="179" t="str">
        <f ca="1">IF(COPIA!$EV$1&gt;0,"",IF(COPIA!$GP$1=1,COPIA!GP49,COPIA!IY49))</f>
        <v/>
      </c>
      <c r="I58" s="14"/>
      <c r="J58" s="6" t="str">
        <f ca="1">IF(AND(G58="",H58=""),"",ROUND(SUM(G$12:G58),2)-ROUND(SUM(H$12:H58),2))</f>
        <v/>
      </c>
    </row>
    <row r="59" spans="1:10" ht="20.100000000000001" customHeight="1">
      <c r="A59" s="48"/>
      <c r="B59" s="31" t="str">
        <f t="shared" ca="1" si="0"/>
        <v/>
      </c>
      <c r="C59" s="31" t="str">
        <f t="shared" ca="1" si="1"/>
        <v/>
      </c>
      <c r="D59" s="20" t="str">
        <f ca="1">IF(AND(COPIA!$EV$1=0,B59&lt;&gt;"",COPIA!$GP$1=1),CONCATENATE("31/12/",COPIA!$EW$1),IF(AND(COPIA!$EV$1=0,B59&lt;&gt;"",COPIA!$GP$1=2),CONCATENATE("01/01/",COPIA!$EW$1),""))</f>
        <v/>
      </c>
      <c r="E59" s="178" t="str">
        <f ca="1">IF(COPIA!$EV$1&gt;0,"",IF(COPIA!$GP$1=1,COPIA!GN50,COPIA!HV50))</f>
        <v/>
      </c>
      <c r="F59" s="178" t="str">
        <f ca="1">IF(COPIA!$EV$1&gt;0,"",IF(COPIA!$GP$1=1,COPIA!GT50,COPIA!IZ50))</f>
        <v/>
      </c>
      <c r="G59" s="179" t="str">
        <f ca="1">IF(COPIA!$EV$1&gt;0,"",IF(COPIA!$GP$1=1,COPIA!GO50,COPIA!IX50))</f>
        <v/>
      </c>
      <c r="H59" s="179" t="str">
        <f ca="1">IF(COPIA!$EV$1&gt;0,"",IF(COPIA!$GP$1=1,COPIA!GP50,COPIA!IY50))</f>
        <v/>
      </c>
      <c r="I59" s="14"/>
      <c r="J59" s="6" t="str">
        <f ca="1">IF(AND(G59="",H59=""),"",ROUND(SUM(G$12:G59),2)-ROUND(SUM(H$12:H59),2))</f>
        <v/>
      </c>
    </row>
    <row r="60" spans="1:10" ht="20.100000000000001" customHeight="1">
      <c r="A60" s="48"/>
      <c r="B60" s="31" t="str">
        <f t="shared" ca="1" si="0"/>
        <v/>
      </c>
      <c r="C60" s="31" t="str">
        <f t="shared" ca="1" si="1"/>
        <v/>
      </c>
      <c r="D60" s="20" t="str">
        <f ca="1">IF(AND(COPIA!$EV$1=0,B60&lt;&gt;"",COPIA!$GP$1=1),CONCATENATE("31/12/",COPIA!$EW$1),IF(AND(COPIA!$EV$1=0,B60&lt;&gt;"",COPIA!$GP$1=2),CONCATENATE("01/01/",COPIA!$EW$1),""))</f>
        <v/>
      </c>
      <c r="E60" s="178" t="str">
        <f ca="1">IF(COPIA!$EV$1&gt;0,"",IF(COPIA!$GP$1=1,COPIA!GN51,COPIA!HV51))</f>
        <v/>
      </c>
      <c r="F60" s="178" t="str">
        <f ca="1">IF(COPIA!$EV$1&gt;0,"",IF(COPIA!$GP$1=1,COPIA!GT51,COPIA!IZ51))</f>
        <v/>
      </c>
      <c r="G60" s="179" t="str">
        <f ca="1">IF(COPIA!$EV$1&gt;0,"",IF(COPIA!$GP$1=1,COPIA!GO51,COPIA!IX51))</f>
        <v/>
      </c>
      <c r="H60" s="179" t="str">
        <f ca="1">IF(COPIA!$EV$1&gt;0,"",IF(COPIA!$GP$1=1,COPIA!GP51,COPIA!IY51))</f>
        <v/>
      </c>
      <c r="I60" s="14"/>
      <c r="J60" s="6" t="str">
        <f ca="1">IF(AND(G60="",H60=""),"",ROUND(SUM(G$12:G60),2)-ROUND(SUM(H$12:H60),2))</f>
        <v/>
      </c>
    </row>
    <row r="61" spans="1:10" ht="20.100000000000001" customHeight="1">
      <c r="A61" s="48"/>
      <c r="B61" s="31" t="str">
        <f t="shared" ca="1" si="0"/>
        <v/>
      </c>
      <c r="C61" s="31" t="str">
        <f t="shared" ca="1" si="1"/>
        <v/>
      </c>
      <c r="D61" s="20" t="str">
        <f ca="1">IF(AND(COPIA!$EV$1=0,B61&lt;&gt;"",COPIA!$GP$1=1),CONCATENATE("31/12/",COPIA!$EW$1),IF(AND(COPIA!$EV$1=0,B61&lt;&gt;"",COPIA!$GP$1=2),CONCATENATE("01/01/",COPIA!$EW$1),""))</f>
        <v/>
      </c>
      <c r="E61" s="178" t="str">
        <f ca="1">IF(COPIA!$EV$1&gt;0,"",IF(COPIA!$GP$1=1,COPIA!GN52,COPIA!HV52))</f>
        <v/>
      </c>
      <c r="F61" s="178" t="str">
        <f ca="1">IF(COPIA!$EV$1&gt;0,"",IF(COPIA!$GP$1=1,COPIA!GT52,COPIA!IZ52))</f>
        <v/>
      </c>
      <c r="G61" s="179" t="str">
        <f ca="1">IF(COPIA!$EV$1&gt;0,"",IF(COPIA!$GP$1=1,COPIA!GO52,COPIA!IX52))</f>
        <v/>
      </c>
      <c r="H61" s="179" t="str">
        <f ca="1">IF(COPIA!$EV$1&gt;0,"",IF(COPIA!$GP$1=1,COPIA!GP52,COPIA!IY52))</f>
        <v/>
      </c>
      <c r="I61" s="14"/>
      <c r="J61" s="6" t="str">
        <f ca="1">IF(AND(G61="",H61=""),"",ROUND(SUM(G$12:G61),2)-ROUND(SUM(H$12:H61),2))</f>
        <v/>
      </c>
    </row>
    <row r="62" spans="1:10" ht="20.100000000000001" customHeight="1">
      <c r="A62" s="48"/>
      <c r="B62" s="31" t="str">
        <f t="shared" ca="1" si="0"/>
        <v/>
      </c>
      <c r="C62" s="31" t="str">
        <f t="shared" ca="1" si="1"/>
        <v/>
      </c>
      <c r="D62" s="20" t="str">
        <f ca="1">IF(AND(COPIA!$EV$1=0,B62&lt;&gt;"",COPIA!$GP$1=1),CONCATENATE("31/12/",COPIA!$EW$1),IF(AND(COPIA!$EV$1=0,B62&lt;&gt;"",COPIA!$GP$1=2),CONCATENATE("01/01/",COPIA!$EW$1),""))</f>
        <v/>
      </c>
      <c r="E62" s="178" t="str">
        <f ca="1">IF(COPIA!$EV$1&gt;0,"",IF(COPIA!$GP$1=1,COPIA!GN53,COPIA!HV53))</f>
        <v/>
      </c>
      <c r="F62" s="178" t="str">
        <f ca="1">IF(COPIA!$EV$1&gt;0,"",IF(COPIA!$GP$1=1,COPIA!GT53,COPIA!IZ53))</f>
        <v/>
      </c>
      <c r="G62" s="179" t="str">
        <f ca="1">IF(COPIA!$EV$1&gt;0,"",IF(COPIA!$GP$1=1,COPIA!GO53,COPIA!IX53))</f>
        <v/>
      </c>
      <c r="H62" s="179" t="str">
        <f ca="1">IF(COPIA!$EV$1&gt;0,"",IF(COPIA!$GP$1=1,COPIA!GP53,COPIA!IY53))</f>
        <v/>
      </c>
      <c r="I62" s="14"/>
      <c r="J62" s="6" t="str">
        <f ca="1">IF(AND(G62="",H62=""),"",ROUND(SUM(G$12:G62),2)-ROUND(SUM(H$12:H62),2))</f>
        <v/>
      </c>
    </row>
    <row r="63" spans="1:10" ht="20.100000000000001" customHeight="1">
      <c r="A63" s="48"/>
      <c r="B63" s="31" t="str">
        <f t="shared" ca="1" si="0"/>
        <v/>
      </c>
      <c r="C63" s="31" t="str">
        <f t="shared" ca="1" si="1"/>
        <v/>
      </c>
      <c r="D63" s="20" t="str">
        <f ca="1">IF(AND(COPIA!$EV$1=0,B63&lt;&gt;"",COPIA!$GP$1=1),CONCATENATE("31/12/",COPIA!$EW$1),IF(AND(COPIA!$EV$1=0,B63&lt;&gt;"",COPIA!$GP$1=2),CONCATENATE("01/01/",COPIA!$EW$1),""))</f>
        <v/>
      </c>
      <c r="E63" s="178" t="str">
        <f ca="1">IF(COPIA!$EV$1&gt;0,"",IF(COPIA!$GP$1=1,COPIA!GN54,COPIA!HV54))</f>
        <v/>
      </c>
      <c r="F63" s="178" t="str">
        <f ca="1">IF(COPIA!$EV$1&gt;0,"",IF(COPIA!$GP$1=1,COPIA!GT54,COPIA!IZ54))</f>
        <v/>
      </c>
      <c r="G63" s="179" t="str">
        <f ca="1">IF(COPIA!$EV$1&gt;0,"",IF(COPIA!$GP$1=1,COPIA!GO54,COPIA!IX54))</f>
        <v/>
      </c>
      <c r="H63" s="179" t="str">
        <f ca="1">IF(COPIA!$EV$1&gt;0,"",IF(COPIA!$GP$1=1,COPIA!GP54,COPIA!IY54))</f>
        <v/>
      </c>
      <c r="I63" s="14"/>
      <c r="J63" s="6" t="str">
        <f ca="1">IF(AND(G63="",H63=""),"",ROUND(SUM(G$12:G63),2)-ROUND(SUM(H$12:H63),2))</f>
        <v/>
      </c>
    </row>
    <row r="64" spans="1:10" ht="20.100000000000001" customHeight="1">
      <c r="A64" s="48"/>
      <c r="B64" s="31" t="str">
        <f t="shared" ca="1" si="0"/>
        <v/>
      </c>
      <c r="C64" s="31" t="str">
        <f t="shared" ca="1" si="1"/>
        <v/>
      </c>
      <c r="D64" s="20" t="str">
        <f ca="1">IF(AND(COPIA!$EV$1=0,B64&lt;&gt;"",COPIA!$GP$1=1),CONCATENATE("31/12/",COPIA!$EW$1),IF(AND(COPIA!$EV$1=0,B64&lt;&gt;"",COPIA!$GP$1=2),CONCATENATE("01/01/",COPIA!$EW$1),""))</f>
        <v/>
      </c>
      <c r="E64" s="178" t="str">
        <f ca="1">IF(COPIA!$EV$1&gt;0,"",IF(COPIA!$GP$1=1,COPIA!GN55,COPIA!HV55))</f>
        <v/>
      </c>
      <c r="F64" s="178" t="str">
        <f ca="1">IF(COPIA!$EV$1&gt;0,"",IF(COPIA!$GP$1=1,COPIA!GT55,COPIA!IZ55))</f>
        <v/>
      </c>
      <c r="G64" s="179" t="str">
        <f ca="1">IF(COPIA!$EV$1&gt;0,"",IF(COPIA!$GP$1=1,COPIA!GO55,COPIA!IX55))</f>
        <v/>
      </c>
      <c r="H64" s="179" t="str">
        <f ca="1">IF(COPIA!$EV$1&gt;0,"",IF(COPIA!$GP$1=1,COPIA!GP55,COPIA!IY55))</f>
        <v/>
      </c>
      <c r="I64" s="14"/>
      <c r="J64" s="6" t="str">
        <f ca="1">IF(AND(G64="",H64=""),"",ROUND(SUM(G$12:G64),2)-ROUND(SUM(H$12:H64),2))</f>
        <v/>
      </c>
    </row>
    <row r="65" spans="1:10" ht="20.100000000000001" customHeight="1">
      <c r="A65" s="48"/>
      <c r="B65" s="31" t="str">
        <f t="shared" ca="1" si="0"/>
        <v/>
      </c>
      <c r="C65" s="31" t="str">
        <f t="shared" ca="1" si="1"/>
        <v/>
      </c>
      <c r="D65" s="20" t="str">
        <f ca="1">IF(AND(COPIA!$EV$1=0,B65&lt;&gt;"",COPIA!$GP$1=1),CONCATENATE("31/12/",COPIA!$EW$1),IF(AND(COPIA!$EV$1=0,B65&lt;&gt;"",COPIA!$GP$1=2),CONCATENATE("01/01/",COPIA!$EW$1),""))</f>
        <v/>
      </c>
      <c r="E65" s="178" t="str">
        <f ca="1">IF(COPIA!$EV$1&gt;0,"",IF(COPIA!$GP$1=1,COPIA!GN56,COPIA!HV56))</f>
        <v/>
      </c>
      <c r="F65" s="178" t="str">
        <f ca="1">IF(COPIA!$EV$1&gt;0,"",IF(COPIA!$GP$1=1,COPIA!GT56,COPIA!IZ56))</f>
        <v/>
      </c>
      <c r="G65" s="179" t="str">
        <f ca="1">IF(COPIA!$EV$1&gt;0,"",IF(COPIA!$GP$1=1,COPIA!GO56,COPIA!IX56))</f>
        <v/>
      </c>
      <c r="H65" s="179" t="str">
        <f ca="1">IF(COPIA!$EV$1&gt;0,"",IF(COPIA!$GP$1=1,COPIA!GP56,COPIA!IY56))</f>
        <v/>
      </c>
      <c r="I65" s="14"/>
      <c r="J65" s="6" t="str">
        <f ca="1">IF(AND(G65="",H65=""),"",ROUND(SUM(G$12:G65),2)-ROUND(SUM(H$12:H65),2))</f>
        <v/>
      </c>
    </row>
    <row r="66" spans="1:10" ht="20.100000000000001" customHeight="1">
      <c r="A66" s="48"/>
      <c r="B66" s="31" t="str">
        <f t="shared" ca="1" si="0"/>
        <v/>
      </c>
      <c r="C66" s="31" t="str">
        <f t="shared" ca="1" si="1"/>
        <v/>
      </c>
      <c r="D66" s="20" t="str">
        <f ca="1">IF(AND(COPIA!$EV$1=0,B66&lt;&gt;"",COPIA!$GP$1=1),CONCATENATE("31/12/",COPIA!$EW$1),IF(AND(COPIA!$EV$1=0,B66&lt;&gt;"",COPIA!$GP$1=2),CONCATENATE("01/01/",COPIA!$EW$1),""))</f>
        <v/>
      </c>
      <c r="E66" s="178" t="str">
        <f ca="1">IF(COPIA!$EV$1&gt;0,"",IF(COPIA!$GP$1=1,COPIA!GN57,COPIA!HV57))</f>
        <v/>
      </c>
      <c r="F66" s="178" t="str">
        <f ca="1">IF(COPIA!$EV$1&gt;0,"",IF(COPIA!$GP$1=1,COPIA!GT57,COPIA!IZ57))</f>
        <v/>
      </c>
      <c r="G66" s="179" t="str">
        <f ca="1">IF(COPIA!$EV$1&gt;0,"",IF(COPIA!$GP$1=1,COPIA!GO57,COPIA!IX57))</f>
        <v/>
      </c>
      <c r="H66" s="179" t="str">
        <f ca="1">IF(COPIA!$EV$1&gt;0,"",IF(COPIA!$GP$1=1,COPIA!GP57,COPIA!IY57))</f>
        <v/>
      </c>
      <c r="I66" s="14"/>
      <c r="J66" s="6" t="str">
        <f ca="1">IF(AND(G66="",H66=""),"",ROUND(SUM(G$12:G66),2)-ROUND(SUM(H$12:H66),2))</f>
        <v/>
      </c>
    </row>
    <row r="67" spans="1:10" ht="20.100000000000001" customHeight="1">
      <c r="A67" s="48"/>
      <c r="B67" s="31" t="str">
        <f t="shared" ca="1" si="0"/>
        <v/>
      </c>
      <c r="C67" s="31" t="str">
        <f t="shared" ca="1" si="1"/>
        <v/>
      </c>
      <c r="D67" s="20" t="str">
        <f ca="1">IF(AND(COPIA!$EV$1=0,B67&lt;&gt;"",COPIA!$GP$1=1),CONCATENATE("31/12/",COPIA!$EW$1),IF(AND(COPIA!$EV$1=0,B67&lt;&gt;"",COPIA!$GP$1=2),CONCATENATE("01/01/",COPIA!$EW$1),""))</f>
        <v/>
      </c>
      <c r="E67" s="178" t="str">
        <f ca="1">IF(COPIA!$EV$1&gt;0,"",IF(COPIA!$GP$1=1,COPIA!GN58,COPIA!HV58))</f>
        <v/>
      </c>
      <c r="F67" s="178" t="str">
        <f ca="1">IF(COPIA!$EV$1&gt;0,"",IF(COPIA!$GP$1=1,COPIA!GT58,COPIA!IZ58))</f>
        <v/>
      </c>
      <c r="G67" s="179" t="str">
        <f ca="1">IF(COPIA!$EV$1&gt;0,"",IF(COPIA!$GP$1=1,COPIA!GO58,COPIA!IX58))</f>
        <v/>
      </c>
      <c r="H67" s="179" t="str">
        <f ca="1">IF(COPIA!$EV$1&gt;0,"",IF(COPIA!$GP$1=1,COPIA!GP58,COPIA!IY58))</f>
        <v/>
      </c>
      <c r="I67" s="14"/>
      <c r="J67" s="6" t="str">
        <f ca="1">IF(AND(G67="",H67=""),"",ROUND(SUM(G$12:G67),2)-ROUND(SUM(H$12:H67),2))</f>
        <v/>
      </c>
    </row>
    <row r="68" spans="1:10" ht="20.100000000000001" customHeight="1">
      <c r="A68" s="48"/>
      <c r="B68" s="31" t="str">
        <f t="shared" ca="1" si="0"/>
        <v/>
      </c>
      <c r="C68" s="31" t="str">
        <f t="shared" ca="1" si="1"/>
        <v/>
      </c>
      <c r="D68" s="20" t="str">
        <f ca="1">IF(AND(COPIA!$EV$1=0,B68&lt;&gt;"",COPIA!$GP$1=1),CONCATENATE("31/12/",COPIA!$EW$1),IF(AND(COPIA!$EV$1=0,B68&lt;&gt;"",COPIA!$GP$1=2),CONCATENATE("01/01/",COPIA!$EW$1),""))</f>
        <v/>
      </c>
      <c r="E68" s="178" t="str">
        <f ca="1">IF(COPIA!$EV$1&gt;0,"",IF(COPIA!$GP$1=1,COPIA!GN59,COPIA!HV59))</f>
        <v/>
      </c>
      <c r="F68" s="178" t="str">
        <f ca="1">IF(COPIA!$EV$1&gt;0,"",IF(COPIA!$GP$1=1,COPIA!GT59,COPIA!IZ59))</f>
        <v/>
      </c>
      <c r="G68" s="179" t="str">
        <f ca="1">IF(COPIA!$EV$1&gt;0,"",IF(COPIA!$GP$1=1,COPIA!GO59,COPIA!IX59))</f>
        <v/>
      </c>
      <c r="H68" s="179" t="str">
        <f ca="1">IF(COPIA!$EV$1&gt;0,"",IF(COPIA!$GP$1=1,COPIA!GP59,COPIA!IY59))</f>
        <v/>
      </c>
      <c r="I68" s="14"/>
      <c r="J68" s="6" t="str">
        <f ca="1">IF(AND(G68="",H68=""),"",ROUND(SUM(G$12:G68),2)-ROUND(SUM(H$12:H68),2))</f>
        <v/>
      </c>
    </row>
    <row r="69" spans="1:10" ht="20.100000000000001" customHeight="1">
      <c r="A69" s="48"/>
      <c r="B69" s="31" t="str">
        <f t="shared" ca="1" si="0"/>
        <v/>
      </c>
      <c r="C69" s="31" t="str">
        <f t="shared" ca="1" si="1"/>
        <v/>
      </c>
      <c r="D69" s="20" t="str">
        <f ca="1">IF(AND(COPIA!$EV$1=0,B69&lt;&gt;"",COPIA!$GP$1=1),CONCATENATE("31/12/",COPIA!$EW$1),IF(AND(COPIA!$EV$1=0,B69&lt;&gt;"",COPIA!$GP$1=2),CONCATENATE("01/01/",COPIA!$EW$1),""))</f>
        <v/>
      </c>
      <c r="E69" s="178" t="str">
        <f ca="1">IF(COPIA!$EV$1&gt;0,"",IF(COPIA!$GP$1=1,COPIA!GN60,COPIA!HV60))</f>
        <v/>
      </c>
      <c r="F69" s="178" t="str">
        <f ca="1">IF(COPIA!$EV$1&gt;0,"",IF(COPIA!$GP$1=1,COPIA!GT60,COPIA!IZ60))</f>
        <v/>
      </c>
      <c r="G69" s="179" t="str">
        <f ca="1">IF(COPIA!$EV$1&gt;0,"",IF(COPIA!$GP$1=1,COPIA!GO60,COPIA!IX60))</f>
        <v/>
      </c>
      <c r="H69" s="179" t="str">
        <f ca="1">IF(COPIA!$EV$1&gt;0,"",IF(COPIA!$GP$1=1,COPIA!GP60,COPIA!IY60))</f>
        <v/>
      </c>
      <c r="I69" s="14"/>
      <c r="J69" s="6" t="str">
        <f ca="1">IF(AND(G69="",H69=""),"",ROUND(SUM(G$12:G69),2)-ROUND(SUM(H$12:H69),2))</f>
        <v/>
      </c>
    </row>
    <row r="70" spans="1:10" ht="20.100000000000001" customHeight="1">
      <c r="A70" s="48"/>
      <c r="B70" s="31" t="str">
        <f t="shared" ca="1" si="0"/>
        <v/>
      </c>
      <c r="C70" s="31" t="str">
        <f t="shared" ca="1" si="1"/>
        <v/>
      </c>
      <c r="D70" s="20" t="str">
        <f ca="1">IF(AND(COPIA!$EV$1=0,B70&lt;&gt;"",COPIA!$GP$1=1),CONCATENATE("31/12/",COPIA!$EW$1),IF(AND(COPIA!$EV$1=0,B70&lt;&gt;"",COPIA!$GP$1=2),CONCATENATE("01/01/",COPIA!$EW$1),""))</f>
        <v/>
      </c>
      <c r="E70" s="178" t="str">
        <f ca="1">IF(COPIA!$EV$1&gt;0,"",IF(COPIA!$GP$1=1,COPIA!GN61,COPIA!HV61))</f>
        <v/>
      </c>
      <c r="F70" s="178" t="str">
        <f ca="1">IF(COPIA!$EV$1&gt;0,"",IF(COPIA!$GP$1=1,COPIA!GT61,COPIA!IZ61))</f>
        <v/>
      </c>
      <c r="G70" s="179" t="str">
        <f ca="1">IF(COPIA!$EV$1&gt;0,"",IF(COPIA!$GP$1=1,COPIA!GO61,COPIA!IX61))</f>
        <v/>
      </c>
      <c r="H70" s="179" t="str">
        <f ca="1">IF(COPIA!$EV$1&gt;0,"",IF(COPIA!$GP$1=1,COPIA!GP61,COPIA!IY61))</f>
        <v/>
      </c>
      <c r="I70" s="14"/>
      <c r="J70" s="6" t="str">
        <f ca="1">IF(AND(G70="",H70=""),"",ROUND(SUM(G$12:G70),2)-ROUND(SUM(H$12:H70),2))</f>
        <v/>
      </c>
    </row>
    <row r="71" spans="1:10" ht="20.100000000000001" customHeight="1">
      <c r="A71" s="48"/>
      <c r="B71" s="31" t="str">
        <f t="shared" ca="1" si="0"/>
        <v/>
      </c>
      <c r="C71" s="31" t="str">
        <f t="shared" ca="1" si="1"/>
        <v/>
      </c>
      <c r="D71" s="20" t="str">
        <f ca="1">IF(AND(COPIA!$EV$1=0,B71&lt;&gt;"",COPIA!$GP$1=1),CONCATENATE("31/12/",COPIA!$EW$1),IF(AND(COPIA!$EV$1=0,B71&lt;&gt;"",COPIA!$GP$1=2),CONCATENATE("01/01/",COPIA!$EW$1),""))</f>
        <v/>
      </c>
      <c r="E71" s="178" t="str">
        <f ca="1">IF(COPIA!$EV$1&gt;0,"",IF(COPIA!$GP$1=1,COPIA!GN62,COPIA!HV62))</f>
        <v/>
      </c>
      <c r="F71" s="178" t="str">
        <f ca="1">IF(COPIA!$EV$1&gt;0,"",IF(COPIA!$GP$1=1,COPIA!GT62,COPIA!IZ62))</f>
        <v/>
      </c>
      <c r="G71" s="179" t="str">
        <f ca="1">IF(COPIA!$EV$1&gt;0,"",IF(COPIA!$GP$1=1,COPIA!GO62,COPIA!IX62))</f>
        <v/>
      </c>
      <c r="H71" s="179" t="str">
        <f ca="1">IF(COPIA!$EV$1&gt;0,"",IF(COPIA!$GP$1=1,COPIA!GP62,COPIA!IY62))</f>
        <v/>
      </c>
      <c r="I71" s="14"/>
      <c r="J71" s="6" t="str">
        <f ca="1">IF(AND(G71="",H71=""),"",ROUND(SUM(G$12:G71),2)-ROUND(SUM(H$12:H71),2))</f>
        <v/>
      </c>
    </row>
    <row r="72" spans="1:10" ht="20.100000000000001" customHeight="1">
      <c r="A72" s="48"/>
      <c r="B72" s="31" t="str">
        <f t="shared" ca="1" si="0"/>
        <v/>
      </c>
      <c r="C72" s="31" t="str">
        <f t="shared" ca="1" si="1"/>
        <v/>
      </c>
      <c r="D72" s="20" t="str">
        <f ca="1">IF(AND(COPIA!$EV$1=0,B72&lt;&gt;"",COPIA!$GP$1=1),CONCATENATE("31/12/",COPIA!$EW$1),IF(AND(COPIA!$EV$1=0,B72&lt;&gt;"",COPIA!$GP$1=2),CONCATENATE("01/01/",COPIA!$EW$1),""))</f>
        <v/>
      </c>
      <c r="E72" s="178" t="str">
        <f ca="1">IF(COPIA!$EV$1&gt;0,"",IF(COPIA!$GP$1=1,COPIA!GN63,COPIA!HV63))</f>
        <v/>
      </c>
      <c r="F72" s="178" t="str">
        <f ca="1">IF(COPIA!$EV$1&gt;0,"",IF(COPIA!$GP$1=1,COPIA!GT63,COPIA!IZ63))</f>
        <v/>
      </c>
      <c r="G72" s="179" t="str">
        <f ca="1">IF(COPIA!$EV$1&gt;0,"",IF(COPIA!$GP$1=1,COPIA!GO63,COPIA!IX63))</f>
        <v/>
      </c>
      <c r="H72" s="179" t="str">
        <f ca="1">IF(COPIA!$EV$1&gt;0,"",IF(COPIA!$GP$1=1,COPIA!GP63,COPIA!IY63))</f>
        <v/>
      </c>
      <c r="I72" s="14"/>
      <c r="J72" s="6" t="str">
        <f ca="1">IF(AND(G72="",H72=""),"",ROUND(SUM(G$12:G72),2)-ROUND(SUM(H$12:H72),2))</f>
        <v/>
      </c>
    </row>
    <row r="73" spans="1:10" ht="20.100000000000001" customHeight="1">
      <c r="A73" s="48"/>
      <c r="B73" s="31" t="str">
        <f t="shared" ca="1" si="0"/>
        <v/>
      </c>
      <c r="C73" s="31" t="str">
        <f t="shared" ca="1" si="1"/>
        <v/>
      </c>
      <c r="D73" s="20" t="str">
        <f ca="1">IF(AND(COPIA!$EV$1=0,B73&lt;&gt;"",COPIA!$GP$1=1),CONCATENATE("31/12/",COPIA!$EW$1),IF(AND(COPIA!$EV$1=0,B73&lt;&gt;"",COPIA!$GP$1=2),CONCATENATE("01/01/",COPIA!$EW$1),""))</f>
        <v/>
      </c>
      <c r="E73" s="178" t="str">
        <f ca="1">IF(COPIA!$EV$1&gt;0,"",IF(COPIA!$GP$1=1,COPIA!GN64,COPIA!HV64))</f>
        <v/>
      </c>
      <c r="F73" s="178" t="str">
        <f ca="1">IF(COPIA!$EV$1&gt;0,"",IF(COPIA!$GP$1=1,COPIA!GT64,COPIA!IZ64))</f>
        <v/>
      </c>
      <c r="G73" s="179" t="str">
        <f ca="1">IF(COPIA!$EV$1&gt;0,"",IF(COPIA!$GP$1=1,COPIA!GO64,COPIA!IX64))</f>
        <v/>
      </c>
      <c r="H73" s="179" t="str">
        <f ca="1">IF(COPIA!$EV$1&gt;0,"",IF(COPIA!$GP$1=1,COPIA!GP64,COPIA!IY64))</f>
        <v/>
      </c>
      <c r="I73" s="14"/>
      <c r="J73" s="6" t="str">
        <f ca="1">IF(AND(G73="",H73=""),"",ROUND(SUM(G$12:G73),2)-ROUND(SUM(H$12:H73),2))</f>
        <v/>
      </c>
    </row>
    <row r="74" spans="1:10" ht="20.100000000000001" customHeight="1">
      <c r="A74" s="48"/>
      <c r="B74" s="31" t="str">
        <f t="shared" ca="1" si="0"/>
        <v/>
      </c>
      <c r="C74" s="31" t="str">
        <f t="shared" ca="1" si="1"/>
        <v/>
      </c>
      <c r="D74" s="20" t="str">
        <f ca="1">IF(AND(COPIA!$EV$1=0,B74&lt;&gt;"",COPIA!$GP$1=1),CONCATENATE("31/12/",COPIA!$EW$1),IF(AND(COPIA!$EV$1=0,B74&lt;&gt;"",COPIA!$GP$1=2),CONCATENATE("01/01/",COPIA!$EW$1),""))</f>
        <v/>
      </c>
      <c r="E74" s="178" t="str">
        <f ca="1">IF(COPIA!$EV$1&gt;0,"",IF(COPIA!$GP$1=1,COPIA!GN65,COPIA!HV65))</f>
        <v/>
      </c>
      <c r="F74" s="178" t="str">
        <f ca="1">IF(COPIA!$EV$1&gt;0,"",IF(COPIA!$GP$1=1,COPIA!GT65,COPIA!IZ65))</f>
        <v/>
      </c>
      <c r="G74" s="179" t="str">
        <f ca="1">IF(COPIA!$EV$1&gt;0,"",IF(COPIA!$GP$1=1,COPIA!GO65,COPIA!IX65))</f>
        <v/>
      </c>
      <c r="H74" s="179" t="str">
        <f ca="1">IF(COPIA!$EV$1&gt;0,"",IF(COPIA!$GP$1=1,COPIA!GP65,COPIA!IY65))</f>
        <v/>
      </c>
      <c r="I74" s="14"/>
      <c r="J74" s="6" t="str">
        <f ca="1">IF(AND(G74="",H74=""),"",ROUND(SUM(G$12:G74),2)-ROUND(SUM(H$12:H74),2))</f>
        <v/>
      </c>
    </row>
    <row r="75" spans="1:10" ht="20.100000000000001" customHeight="1">
      <c r="A75" s="48"/>
      <c r="B75" s="31" t="str">
        <f t="shared" ca="1" si="0"/>
        <v/>
      </c>
      <c r="C75" s="31" t="str">
        <f t="shared" ca="1" si="1"/>
        <v/>
      </c>
      <c r="D75" s="20" t="str">
        <f ca="1">IF(AND(COPIA!$EV$1=0,B75&lt;&gt;"",COPIA!$GP$1=1),CONCATENATE("31/12/",COPIA!$EW$1),IF(AND(COPIA!$EV$1=0,B75&lt;&gt;"",COPIA!$GP$1=2),CONCATENATE("01/01/",COPIA!$EW$1),""))</f>
        <v/>
      </c>
      <c r="E75" s="178" t="str">
        <f ca="1">IF(COPIA!$EV$1&gt;0,"",IF(COPIA!$GP$1=1,COPIA!GN66,COPIA!HV66))</f>
        <v/>
      </c>
      <c r="F75" s="178" t="str">
        <f ca="1">IF(COPIA!$EV$1&gt;0,"",IF(COPIA!$GP$1=1,COPIA!GT66,COPIA!IZ66))</f>
        <v/>
      </c>
      <c r="G75" s="179" t="str">
        <f ca="1">IF(COPIA!$EV$1&gt;0,"",IF(COPIA!$GP$1=1,COPIA!GO66,COPIA!IX66))</f>
        <v/>
      </c>
      <c r="H75" s="179" t="str">
        <f ca="1">IF(COPIA!$EV$1&gt;0,"",IF(COPIA!$GP$1=1,COPIA!GP66,COPIA!IY66))</f>
        <v/>
      </c>
      <c r="I75" s="14"/>
      <c r="J75" s="6" t="str">
        <f ca="1">IF(AND(G75="",H75=""),"",ROUND(SUM(G$12:G75),2)-ROUND(SUM(H$12:H75),2))</f>
        <v/>
      </c>
    </row>
    <row r="76" spans="1:10" ht="20.100000000000001" customHeight="1">
      <c r="A76" s="48"/>
      <c r="B76" s="31" t="str">
        <f t="shared" ref="B76:B139" ca="1" si="2">IFERROR(INDEX(PIANO_DEI_CONTI,MATCH(E76,DENOMINAZIONE,0),1),"")</f>
        <v/>
      </c>
      <c r="C76" s="31" t="str">
        <f t="shared" ca="1" si="1"/>
        <v/>
      </c>
      <c r="D76" s="20" t="str">
        <f ca="1">IF(AND(COPIA!$EV$1=0,B76&lt;&gt;"",COPIA!$GP$1=1),CONCATENATE("31/12/",COPIA!$EW$1),IF(AND(COPIA!$EV$1=0,B76&lt;&gt;"",COPIA!$GP$1=2),CONCATENATE("01/01/",COPIA!$EW$1),""))</f>
        <v/>
      </c>
      <c r="E76" s="178" t="str">
        <f ca="1">IF(COPIA!$EV$1&gt;0,"",IF(COPIA!$GP$1=1,COPIA!GN67,COPIA!HV67))</f>
        <v/>
      </c>
      <c r="F76" s="178" t="str">
        <f ca="1">IF(COPIA!$EV$1&gt;0,"",IF(COPIA!$GP$1=1,COPIA!GT67,COPIA!IZ67))</f>
        <v/>
      </c>
      <c r="G76" s="179" t="str">
        <f ca="1">IF(COPIA!$EV$1&gt;0,"",IF(COPIA!$GP$1=1,COPIA!GO67,COPIA!IX67))</f>
        <v/>
      </c>
      <c r="H76" s="179" t="str">
        <f ca="1">IF(COPIA!$EV$1&gt;0,"",IF(COPIA!$GP$1=1,COPIA!GP67,COPIA!IY67))</f>
        <v/>
      </c>
      <c r="I76" s="14"/>
      <c r="J76" s="6" t="str">
        <f ca="1">IF(AND(G76="",H76=""),"",ROUND(SUM(G$12:G76),2)-ROUND(SUM(H$12:H76),2))</f>
        <v/>
      </c>
    </row>
    <row r="77" spans="1:10" ht="20.100000000000001" customHeight="1">
      <c r="A77" s="48"/>
      <c r="B77" s="31" t="str">
        <f t="shared" ca="1" si="2"/>
        <v/>
      </c>
      <c r="C77" s="31" t="str">
        <f t="shared" ref="C77:C140" ca="1" si="3">IF(B77&lt;&gt;"",ROW()-11,"")</f>
        <v/>
      </c>
      <c r="D77" s="20" t="str">
        <f ca="1">IF(AND(COPIA!$EV$1=0,B77&lt;&gt;"",COPIA!$GP$1=1),CONCATENATE("31/12/",COPIA!$EW$1),IF(AND(COPIA!$EV$1=0,B77&lt;&gt;"",COPIA!$GP$1=2),CONCATENATE("01/01/",COPIA!$EW$1),""))</f>
        <v/>
      </c>
      <c r="E77" s="178" t="str">
        <f ca="1">IF(COPIA!$EV$1&gt;0,"",IF(COPIA!$GP$1=1,COPIA!GN68,COPIA!HV68))</f>
        <v/>
      </c>
      <c r="F77" s="178" t="str">
        <f ca="1">IF(COPIA!$EV$1&gt;0,"",IF(COPIA!$GP$1=1,COPIA!GT68,COPIA!IZ68))</f>
        <v/>
      </c>
      <c r="G77" s="179" t="str">
        <f ca="1">IF(COPIA!$EV$1&gt;0,"",IF(COPIA!$GP$1=1,COPIA!GO68,COPIA!IX68))</f>
        <v/>
      </c>
      <c r="H77" s="179" t="str">
        <f ca="1">IF(COPIA!$EV$1&gt;0,"",IF(COPIA!$GP$1=1,COPIA!GP68,COPIA!IY68))</f>
        <v/>
      </c>
      <c r="I77" s="14"/>
      <c r="J77" s="6" t="str">
        <f ca="1">IF(AND(G77="",H77=""),"",ROUND(SUM(G$12:G77),2)-ROUND(SUM(H$12:H77),2))</f>
        <v/>
      </c>
    </row>
    <row r="78" spans="1:10" ht="20.100000000000001" customHeight="1">
      <c r="A78" s="48"/>
      <c r="B78" s="31" t="str">
        <f t="shared" ca="1" si="2"/>
        <v/>
      </c>
      <c r="C78" s="31" t="str">
        <f t="shared" ca="1" si="3"/>
        <v/>
      </c>
      <c r="D78" s="20" t="str">
        <f ca="1">IF(AND(COPIA!$EV$1=0,B78&lt;&gt;"",COPIA!$GP$1=1),CONCATENATE("31/12/",COPIA!$EW$1),IF(AND(COPIA!$EV$1=0,B78&lt;&gt;"",COPIA!$GP$1=2),CONCATENATE("01/01/",COPIA!$EW$1),""))</f>
        <v/>
      </c>
      <c r="E78" s="178" t="str">
        <f ca="1">IF(COPIA!$EV$1&gt;0,"",IF(COPIA!$GP$1=1,COPIA!GN69,COPIA!HV69))</f>
        <v/>
      </c>
      <c r="F78" s="178" t="str">
        <f ca="1">IF(COPIA!$EV$1&gt;0,"",IF(COPIA!$GP$1=1,COPIA!GT69,COPIA!IZ69))</f>
        <v/>
      </c>
      <c r="G78" s="179" t="str">
        <f ca="1">IF(COPIA!$EV$1&gt;0,"",IF(COPIA!$GP$1=1,COPIA!GO69,COPIA!IX69))</f>
        <v/>
      </c>
      <c r="H78" s="179" t="str">
        <f ca="1">IF(COPIA!$EV$1&gt;0,"",IF(COPIA!$GP$1=1,COPIA!GP69,COPIA!IY69))</f>
        <v/>
      </c>
      <c r="I78" s="14"/>
      <c r="J78" s="6" t="str">
        <f ca="1">IF(AND(G78="",H78=""),"",ROUND(SUM(G$12:G78),2)-ROUND(SUM(H$12:H78),2))</f>
        <v/>
      </c>
    </row>
    <row r="79" spans="1:10" ht="20.100000000000001" customHeight="1">
      <c r="A79" s="48"/>
      <c r="B79" s="31" t="str">
        <f t="shared" ca="1" si="2"/>
        <v/>
      </c>
      <c r="C79" s="31" t="str">
        <f t="shared" ca="1" si="3"/>
        <v/>
      </c>
      <c r="D79" s="20" t="str">
        <f ca="1">IF(AND(COPIA!$EV$1=0,B79&lt;&gt;"",COPIA!$GP$1=1),CONCATENATE("31/12/",COPIA!$EW$1),IF(AND(COPIA!$EV$1=0,B79&lt;&gt;"",COPIA!$GP$1=2),CONCATENATE("01/01/",COPIA!$EW$1),""))</f>
        <v/>
      </c>
      <c r="E79" s="178" t="str">
        <f ca="1">IF(COPIA!$EV$1&gt;0,"",IF(COPIA!$GP$1=1,COPIA!GN70,COPIA!HV70))</f>
        <v/>
      </c>
      <c r="F79" s="178" t="str">
        <f ca="1">IF(COPIA!$EV$1&gt;0,"",IF(COPIA!$GP$1=1,COPIA!GT70,COPIA!IZ70))</f>
        <v/>
      </c>
      <c r="G79" s="179" t="str">
        <f ca="1">IF(COPIA!$EV$1&gt;0,"",IF(COPIA!$GP$1=1,COPIA!GO70,COPIA!IX70))</f>
        <v/>
      </c>
      <c r="H79" s="179" t="str">
        <f ca="1">IF(COPIA!$EV$1&gt;0,"",IF(COPIA!$GP$1=1,COPIA!GP70,COPIA!IY70))</f>
        <v/>
      </c>
      <c r="I79" s="14"/>
      <c r="J79" s="6" t="str">
        <f ca="1">IF(AND(G79="",H79=""),"",ROUND(SUM(G$12:G79),2)-ROUND(SUM(H$12:H79),2))</f>
        <v/>
      </c>
    </row>
    <row r="80" spans="1:10" ht="20.100000000000001" customHeight="1">
      <c r="A80" s="48"/>
      <c r="B80" s="31" t="str">
        <f t="shared" ca="1" si="2"/>
        <v/>
      </c>
      <c r="C80" s="31" t="str">
        <f t="shared" ca="1" si="3"/>
        <v/>
      </c>
      <c r="D80" s="20" t="str">
        <f ca="1">IF(AND(COPIA!$EV$1=0,B80&lt;&gt;"",COPIA!$GP$1=1),CONCATENATE("31/12/",COPIA!$EW$1),IF(AND(COPIA!$EV$1=0,B80&lt;&gt;"",COPIA!$GP$1=2),CONCATENATE("01/01/",COPIA!$EW$1),""))</f>
        <v/>
      </c>
      <c r="E80" s="178" t="str">
        <f ca="1">IF(COPIA!$EV$1&gt;0,"",IF(COPIA!$GP$1=1,COPIA!GN71,COPIA!HV71))</f>
        <v/>
      </c>
      <c r="F80" s="178" t="str">
        <f ca="1">IF(COPIA!$EV$1&gt;0,"",IF(COPIA!$GP$1=1,COPIA!GT71,COPIA!IZ71))</f>
        <v/>
      </c>
      <c r="G80" s="179" t="str">
        <f ca="1">IF(COPIA!$EV$1&gt;0,"",IF(COPIA!$GP$1=1,COPIA!GO71,COPIA!IX71))</f>
        <v/>
      </c>
      <c r="H80" s="179" t="str">
        <f ca="1">IF(COPIA!$EV$1&gt;0,"",IF(COPIA!$GP$1=1,COPIA!GP71,COPIA!IY71))</f>
        <v/>
      </c>
      <c r="I80" s="14"/>
      <c r="J80" s="6" t="str">
        <f ca="1">IF(AND(G80="",H80=""),"",ROUND(SUM(G$12:G80),2)-ROUND(SUM(H$12:H80),2))</f>
        <v/>
      </c>
    </row>
    <row r="81" spans="1:10" ht="20.100000000000001" customHeight="1">
      <c r="A81" s="48"/>
      <c r="B81" s="31" t="str">
        <f t="shared" ca="1" si="2"/>
        <v/>
      </c>
      <c r="C81" s="31" t="str">
        <f t="shared" ca="1" si="3"/>
        <v/>
      </c>
      <c r="D81" s="20" t="str">
        <f ca="1">IF(AND(COPIA!$EV$1=0,B81&lt;&gt;"",COPIA!$GP$1=1),CONCATENATE("31/12/",COPIA!$EW$1),IF(AND(COPIA!$EV$1=0,B81&lt;&gt;"",COPIA!$GP$1=2),CONCATENATE("01/01/",COPIA!$EW$1),""))</f>
        <v/>
      </c>
      <c r="E81" s="178" t="str">
        <f ca="1">IF(COPIA!$EV$1&gt;0,"",IF(COPIA!$GP$1=1,COPIA!GN72,COPIA!HV72))</f>
        <v/>
      </c>
      <c r="F81" s="178" t="str">
        <f ca="1">IF(COPIA!$EV$1&gt;0,"",IF(COPIA!$GP$1=1,COPIA!GT72,COPIA!IZ72))</f>
        <v/>
      </c>
      <c r="G81" s="179" t="str">
        <f ca="1">IF(COPIA!$EV$1&gt;0,"",IF(COPIA!$GP$1=1,COPIA!GO72,COPIA!IX72))</f>
        <v/>
      </c>
      <c r="H81" s="179" t="str">
        <f ca="1">IF(COPIA!$EV$1&gt;0,"",IF(COPIA!$GP$1=1,COPIA!GP72,COPIA!IY72))</f>
        <v/>
      </c>
      <c r="I81" s="14"/>
      <c r="J81" s="6" t="str">
        <f ca="1">IF(AND(G81="",H81=""),"",ROUND(SUM(G$12:G81),2)-ROUND(SUM(H$12:H81),2))</f>
        <v/>
      </c>
    </row>
    <row r="82" spans="1:10" ht="20.100000000000001" customHeight="1">
      <c r="A82" s="48"/>
      <c r="B82" s="31" t="str">
        <f t="shared" ca="1" si="2"/>
        <v/>
      </c>
      <c r="C82" s="31" t="str">
        <f t="shared" ca="1" si="3"/>
        <v/>
      </c>
      <c r="D82" s="20" t="str">
        <f ca="1">IF(AND(COPIA!$EV$1=0,B82&lt;&gt;"",COPIA!$GP$1=1),CONCATENATE("31/12/",COPIA!$EW$1),IF(AND(COPIA!$EV$1=0,B82&lt;&gt;"",COPIA!$GP$1=2),CONCATENATE("01/01/",COPIA!$EW$1),""))</f>
        <v/>
      </c>
      <c r="E82" s="178" t="str">
        <f ca="1">IF(COPIA!$EV$1&gt;0,"",IF(COPIA!$GP$1=1,COPIA!GN73,COPIA!HV73))</f>
        <v/>
      </c>
      <c r="F82" s="178" t="str">
        <f ca="1">IF(COPIA!$EV$1&gt;0,"",IF(COPIA!$GP$1=1,COPIA!GT73,COPIA!IZ73))</f>
        <v/>
      </c>
      <c r="G82" s="179" t="str">
        <f ca="1">IF(COPIA!$EV$1&gt;0,"",IF(COPIA!$GP$1=1,COPIA!GO73,COPIA!IX73))</f>
        <v/>
      </c>
      <c r="H82" s="179" t="str">
        <f ca="1">IF(COPIA!$EV$1&gt;0,"",IF(COPIA!$GP$1=1,COPIA!GP73,COPIA!IY73))</f>
        <v/>
      </c>
      <c r="I82" s="14"/>
      <c r="J82" s="6" t="str">
        <f ca="1">IF(AND(G82="",H82=""),"",ROUND(SUM(G$12:G82),2)-ROUND(SUM(H$12:H82),2))</f>
        <v/>
      </c>
    </row>
    <row r="83" spans="1:10" ht="20.100000000000001" customHeight="1">
      <c r="A83" s="48"/>
      <c r="B83" s="31" t="str">
        <f t="shared" ca="1" si="2"/>
        <v/>
      </c>
      <c r="C83" s="31" t="str">
        <f t="shared" ca="1" si="3"/>
        <v/>
      </c>
      <c r="D83" s="20" t="str">
        <f ca="1">IF(AND(COPIA!$EV$1=0,B83&lt;&gt;"",COPIA!$GP$1=1),CONCATENATE("31/12/",COPIA!$EW$1),IF(AND(COPIA!$EV$1=0,B83&lt;&gt;"",COPIA!$GP$1=2),CONCATENATE("01/01/",COPIA!$EW$1),""))</f>
        <v/>
      </c>
      <c r="E83" s="178" t="str">
        <f ca="1">IF(COPIA!$EV$1&gt;0,"",IF(COPIA!$GP$1=1,COPIA!GN74,COPIA!HV74))</f>
        <v/>
      </c>
      <c r="F83" s="178" t="str">
        <f ca="1">IF(COPIA!$EV$1&gt;0,"",IF(COPIA!$GP$1=1,COPIA!GT74,COPIA!IZ74))</f>
        <v/>
      </c>
      <c r="G83" s="179" t="str">
        <f ca="1">IF(COPIA!$EV$1&gt;0,"",IF(COPIA!$GP$1=1,COPIA!GO74,COPIA!IX74))</f>
        <v/>
      </c>
      <c r="H83" s="179" t="str">
        <f ca="1">IF(COPIA!$EV$1&gt;0,"",IF(COPIA!$GP$1=1,COPIA!GP74,COPIA!IY74))</f>
        <v/>
      </c>
      <c r="I83" s="14"/>
      <c r="J83" s="6" t="str">
        <f ca="1">IF(AND(G83="",H83=""),"",ROUND(SUM(G$12:G83),2)-ROUND(SUM(H$12:H83),2))</f>
        <v/>
      </c>
    </row>
    <row r="84" spans="1:10" ht="20.100000000000001" customHeight="1">
      <c r="A84" s="48"/>
      <c r="B84" s="31" t="str">
        <f t="shared" ca="1" si="2"/>
        <v/>
      </c>
      <c r="C84" s="31" t="str">
        <f t="shared" ca="1" si="3"/>
        <v/>
      </c>
      <c r="D84" s="20" t="str">
        <f ca="1">IF(AND(COPIA!$EV$1=0,B84&lt;&gt;"",COPIA!$GP$1=1),CONCATENATE("31/12/",COPIA!$EW$1),IF(AND(COPIA!$EV$1=0,B84&lt;&gt;"",COPIA!$GP$1=2),CONCATENATE("01/01/",COPIA!$EW$1),""))</f>
        <v/>
      </c>
      <c r="E84" s="178" t="str">
        <f ca="1">IF(COPIA!$EV$1&gt;0,"",IF(COPIA!$GP$1=1,COPIA!GN75,COPIA!HV75))</f>
        <v/>
      </c>
      <c r="F84" s="178" t="str">
        <f ca="1">IF(COPIA!$EV$1&gt;0,"",IF(COPIA!$GP$1=1,COPIA!GT75,COPIA!IZ75))</f>
        <v/>
      </c>
      <c r="G84" s="179" t="str">
        <f ca="1">IF(COPIA!$EV$1&gt;0,"",IF(COPIA!$GP$1=1,COPIA!GO75,COPIA!IX75))</f>
        <v/>
      </c>
      <c r="H84" s="179" t="str">
        <f ca="1">IF(COPIA!$EV$1&gt;0,"",IF(COPIA!$GP$1=1,COPIA!GP75,COPIA!IY75))</f>
        <v/>
      </c>
      <c r="I84" s="14"/>
      <c r="J84" s="6" t="str">
        <f ca="1">IF(AND(G84="",H84=""),"",ROUND(SUM(G$12:G84),2)-ROUND(SUM(H$12:H84),2))</f>
        <v/>
      </c>
    </row>
    <row r="85" spans="1:10" ht="20.100000000000001" customHeight="1">
      <c r="A85" s="48"/>
      <c r="B85" s="31" t="str">
        <f t="shared" ca="1" si="2"/>
        <v/>
      </c>
      <c r="C85" s="31" t="str">
        <f t="shared" ca="1" si="3"/>
        <v/>
      </c>
      <c r="D85" s="20" t="str">
        <f ca="1">IF(AND(COPIA!$EV$1=0,B85&lt;&gt;"",COPIA!$GP$1=1),CONCATENATE("31/12/",COPIA!$EW$1),IF(AND(COPIA!$EV$1=0,B85&lt;&gt;"",COPIA!$GP$1=2),CONCATENATE("01/01/",COPIA!$EW$1),""))</f>
        <v/>
      </c>
      <c r="E85" s="178" t="str">
        <f ca="1">IF(COPIA!$EV$1&gt;0,"",IF(COPIA!$GP$1=1,COPIA!GN76,COPIA!HV76))</f>
        <v/>
      </c>
      <c r="F85" s="178" t="str">
        <f ca="1">IF(COPIA!$EV$1&gt;0,"",IF(COPIA!$GP$1=1,COPIA!GT76,COPIA!IZ76))</f>
        <v/>
      </c>
      <c r="G85" s="179" t="str">
        <f ca="1">IF(COPIA!$EV$1&gt;0,"",IF(COPIA!$GP$1=1,COPIA!GO76,COPIA!IX76))</f>
        <v/>
      </c>
      <c r="H85" s="179" t="str">
        <f ca="1">IF(COPIA!$EV$1&gt;0,"",IF(COPIA!$GP$1=1,COPIA!GP76,COPIA!IY76))</f>
        <v/>
      </c>
      <c r="I85" s="14"/>
      <c r="J85" s="6" t="str">
        <f ca="1">IF(AND(G85="",H85=""),"",ROUND(SUM(G$12:G85),2)-ROUND(SUM(H$12:H85),2))</f>
        <v/>
      </c>
    </row>
    <row r="86" spans="1:10" ht="20.100000000000001" customHeight="1">
      <c r="A86" s="48"/>
      <c r="B86" s="31" t="str">
        <f t="shared" ca="1" si="2"/>
        <v/>
      </c>
      <c r="C86" s="31" t="str">
        <f t="shared" ca="1" si="3"/>
        <v/>
      </c>
      <c r="D86" s="20" t="str">
        <f ca="1">IF(AND(COPIA!$EV$1=0,B86&lt;&gt;"",COPIA!$GP$1=1),CONCATENATE("31/12/",COPIA!$EW$1),IF(AND(COPIA!$EV$1=0,B86&lt;&gt;"",COPIA!$GP$1=2),CONCATENATE("01/01/",COPIA!$EW$1),""))</f>
        <v/>
      </c>
      <c r="E86" s="178" t="str">
        <f ca="1">IF(COPIA!$EV$1&gt;0,"",IF(COPIA!$GP$1=1,COPIA!GN77,COPIA!HV77))</f>
        <v/>
      </c>
      <c r="F86" s="178" t="str">
        <f ca="1">IF(COPIA!$EV$1&gt;0,"",IF(COPIA!$GP$1=1,COPIA!GT77,COPIA!IZ77))</f>
        <v/>
      </c>
      <c r="G86" s="179" t="str">
        <f ca="1">IF(COPIA!$EV$1&gt;0,"",IF(COPIA!$GP$1=1,COPIA!GO77,COPIA!IX77))</f>
        <v/>
      </c>
      <c r="H86" s="179" t="str">
        <f ca="1">IF(COPIA!$EV$1&gt;0,"",IF(COPIA!$GP$1=1,COPIA!GP77,COPIA!IY77))</f>
        <v/>
      </c>
      <c r="I86" s="14"/>
      <c r="J86" s="6" t="str">
        <f ca="1">IF(AND(G86="",H86=""),"",ROUND(SUM(G$12:G86),2)-ROUND(SUM(H$12:H86),2))</f>
        <v/>
      </c>
    </row>
    <row r="87" spans="1:10" ht="20.100000000000001" customHeight="1">
      <c r="A87" s="48"/>
      <c r="B87" s="31" t="str">
        <f t="shared" ca="1" si="2"/>
        <v/>
      </c>
      <c r="C87" s="31" t="str">
        <f t="shared" ca="1" si="3"/>
        <v/>
      </c>
      <c r="D87" s="20" t="str">
        <f ca="1">IF(AND(COPIA!$EV$1=0,B87&lt;&gt;"",COPIA!$GP$1=1),CONCATENATE("31/12/",COPIA!$EW$1),IF(AND(COPIA!$EV$1=0,B87&lt;&gt;"",COPIA!$GP$1=2),CONCATENATE("01/01/",COPIA!$EW$1),""))</f>
        <v/>
      </c>
      <c r="E87" s="178" t="str">
        <f ca="1">IF(COPIA!$EV$1&gt;0,"",IF(COPIA!$GP$1=1,COPIA!GN78,COPIA!HV78))</f>
        <v/>
      </c>
      <c r="F87" s="178" t="str">
        <f ca="1">IF(COPIA!$EV$1&gt;0,"",IF(COPIA!$GP$1=1,COPIA!GT78,COPIA!IZ78))</f>
        <v/>
      </c>
      <c r="G87" s="179" t="str">
        <f ca="1">IF(COPIA!$EV$1&gt;0,"",IF(COPIA!$GP$1=1,COPIA!GO78,COPIA!IX78))</f>
        <v/>
      </c>
      <c r="H87" s="179" t="str">
        <f ca="1">IF(COPIA!$EV$1&gt;0,"",IF(COPIA!$GP$1=1,COPIA!GP78,COPIA!IY78))</f>
        <v/>
      </c>
      <c r="I87" s="14"/>
      <c r="J87" s="6" t="str">
        <f ca="1">IF(AND(G87="",H87=""),"",ROUND(SUM(G$12:G87),2)-ROUND(SUM(H$12:H87),2))</f>
        <v/>
      </c>
    </row>
    <row r="88" spans="1:10" ht="20.100000000000001" customHeight="1">
      <c r="A88" s="48"/>
      <c r="B88" s="31" t="str">
        <f t="shared" ca="1" si="2"/>
        <v/>
      </c>
      <c r="C88" s="31" t="str">
        <f t="shared" ca="1" si="3"/>
        <v/>
      </c>
      <c r="D88" s="20" t="str">
        <f ca="1">IF(AND(COPIA!$EV$1=0,B88&lt;&gt;"",COPIA!$GP$1=1),CONCATENATE("31/12/",COPIA!$EW$1),IF(AND(COPIA!$EV$1=0,B88&lt;&gt;"",COPIA!$GP$1=2),CONCATENATE("01/01/",COPIA!$EW$1),""))</f>
        <v/>
      </c>
      <c r="E88" s="178" t="str">
        <f ca="1">IF(COPIA!$EV$1&gt;0,"",IF(COPIA!$GP$1=1,COPIA!GN79,COPIA!HV79))</f>
        <v/>
      </c>
      <c r="F88" s="178" t="str">
        <f ca="1">IF(COPIA!$EV$1&gt;0,"",IF(COPIA!$GP$1=1,COPIA!GT79,COPIA!IZ79))</f>
        <v/>
      </c>
      <c r="G88" s="179" t="str">
        <f ca="1">IF(COPIA!$EV$1&gt;0,"",IF(COPIA!$GP$1=1,COPIA!GO79,COPIA!IX79))</f>
        <v/>
      </c>
      <c r="H88" s="179" t="str">
        <f ca="1">IF(COPIA!$EV$1&gt;0,"",IF(COPIA!$GP$1=1,COPIA!GP79,COPIA!IY79))</f>
        <v/>
      </c>
      <c r="I88" s="14"/>
      <c r="J88" s="6" t="str">
        <f ca="1">IF(AND(G88="",H88=""),"",ROUND(SUM(G$12:G88),2)-ROUND(SUM(H$12:H88),2))</f>
        <v/>
      </c>
    </row>
    <row r="89" spans="1:10" ht="20.100000000000001" customHeight="1">
      <c r="A89" s="48"/>
      <c r="B89" s="31" t="str">
        <f t="shared" ca="1" si="2"/>
        <v/>
      </c>
      <c r="C89" s="31" t="str">
        <f t="shared" ca="1" si="3"/>
        <v/>
      </c>
      <c r="D89" s="20" t="str">
        <f ca="1">IF(AND(COPIA!$EV$1=0,B89&lt;&gt;"",COPIA!$GP$1=1),CONCATENATE("31/12/",COPIA!$EW$1),IF(AND(COPIA!$EV$1=0,B89&lt;&gt;"",COPIA!$GP$1=2),CONCATENATE("01/01/",COPIA!$EW$1),""))</f>
        <v/>
      </c>
      <c r="E89" s="178" t="str">
        <f ca="1">IF(COPIA!$EV$1&gt;0,"",IF(COPIA!$GP$1=1,COPIA!GN80,COPIA!HV80))</f>
        <v/>
      </c>
      <c r="F89" s="178" t="str">
        <f ca="1">IF(COPIA!$EV$1&gt;0,"",IF(COPIA!$GP$1=1,COPIA!GT80,COPIA!IZ80))</f>
        <v/>
      </c>
      <c r="G89" s="179" t="str">
        <f ca="1">IF(COPIA!$EV$1&gt;0,"",IF(COPIA!$GP$1=1,COPIA!GO80,COPIA!IX80))</f>
        <v/>
      </c>
      <c r="H89" s="179" t="str">
        <f ca="1">IF(COPIA!$EV$1&gt;0,"",IF(COPIA!$GP$1=1,COPIA!GP80,COPIA!IY80))</f>
        <v/>
      </c>
      <c r="I89" s="14"/>
      <c r="J89" s="6" t="str">
        <f ca="1">IF(AND(G89="",H89=""),"",ROUND(SUM(G$12:G89),2)-ROUND(SUM(H$12:H89),2))</f>
        <v/>
      </c>
    </row>
    <row r="90" spans="1:10" ht="20.100000000000001" customHeight="1">
      <c r="A90" s="48"/>
      <c r="B90" s="31" t="str">
        <f t="shared" ca="1" si="2"/>
        <v/>
      </c>
      <c r="C90" s="31" t="str">
        <f t="shared" ca="1" si="3"/>
        <v/>
      </c>
      <c r="D90" s="20" t="str">
        <f ca="1">IF(AND(COPIA!$EV$1=0,B90&lt;&gt;"",COPIA!$GP$1=1),CONCATENATE("31/12/",COPIA!$EW$1),IF(AND(COPIA!$EV$1=0,B90&lt;&gt;"",COPIA!$GP$1=2),CONCATENATE("01/01/",COPIA!$EW$1),""))</f>
        <v/>
      </c>
      <c r="E90" s="178" t="str">
        <f ca="1">IF(COPIA!$EV$1&gt;0,"",IF(COPIA!$GP$1=1,COPIA!GN81,COPIA!HV81))</f>
        <v/>
      </c>
      <c r="F90" s="178" t="str">
        <f ca="1">IF(COPIA!$EV$1&gt;0,"",IF(COPIA!$GP$1=1,COPIA!GT81,COPIA!IZ81))</f>
        <v/>
      </c>
      <c r="G90" s="179" t="str">
        <f ca="1">IF(COPIA!$EV$1&gt;0,"",IF(COPIA!$GP$1=1,COPIA!GO81,COPIA!IX81))</f>
        <v/>
      </c>
      <c r="H90" s="179" t="str">
        <f ca="1">IF(COPIA!$EV$1&gt;0,"",IF(COPIA!$GP$1=1,COPIA!GP81,COPIA!IY81))</f>
        <v/>
      </c>
      <c r="I90" s="14"/>
      <c r="J90" s="6" t="str">
        <f ca="1">IF(AND(G90="",H90=""),"",ROUND(SUM(G$12:G90),2)-ROUND(SUM(H$12:H90),2))</f>
        <v/>
      </c>
    </row>
    <row r="91" spans="1:10" ht="20.100000000000001" customHeight="1">
      <c r="A91" s="48"/>
      <c r="B91" s="31" t="str">
        <f t="shared" ca="1" si="2"/>
        <v/>
      </c>
      <c r="C91" s="31" t="str">
        <f t="shared" ca="1" si="3"/>
        <v/>
      </c>
      <c r="D91" s="20" t="str">
        <f ca="1">IF(AND(COPIA!$EV$1=0,B91&lt;&gt;"",COPIA!$GP$1=1),CONCATENATE("31/12/",COPIA!$EW$1),IF(AND(COPIA!$EV$1=0,B91&lt;&gt;"",COPIA!$GP$1=2),CONCATENATE("01/01/",COPIA!$EW$1),""))</f>
        <v/>
      </c>
      <c r="E91" s="178" t="str">
        <f ca="1">IF(COPIA!$EV$1&gt;0,"",IF(COPIA!$GP$1=1,COPIA!GN82,COPIA!HV82))</f>
        <v/>
      </c>
      <c r="F91" s="178" t="str">
        <f ca="1">IF(COPIA!$EV$1&gt;0,"",IF(COPIA!$GP$1=1,COPIA!GT82,COPIA!IZ82))</f>
        <v/>
      </c>
      <c r="G91" s="179" t="str">
        <f ca="1">IF(COPIA!$EV$1&gt;0,"",IF(COPIA!$GP$1=1,COPIA!GO82,COPIA!IX82))</f>
        <v/>
      </c>
      <c r="H91" s="179" t="str">
        <f ca="1">IF(COPIA!$EV$1&gt;0,"",IF(COPIA!$GP$1=1,COPIA!GP82,COPIA!IY82))</f>
        <v/>
      </c>
      <c r="I91" s="14"/>
      <c r="J91" s="6" t="str">
        <f ca="1">IF(AND(G91="",H91=""),"",ROUND(SUM(G$12:G91),2)-ROUND(SUM(H$12:H91),2))</f>
        <v/>
      </c>
    </row>
    <row r="92" spans="1:10" ht="20.100000000000001" customHeight="1">
      <c r="A92" s="48"/>
      <c r="B92" s="31" t="str">
        <f t="shared" ca="1" si="2"/>
        <v/>
      </c>
      <c r="C92" s="31" t="str">
        <f t="shared" ca="1" si="3"/>
        <v/>
      </c>
      <c r="D92" s="20" t="str">
        <f ca="1">IF(AND(COPIA!$EV$1=0,B92&lt;&gt;"",COPIA!$GP$1=1),CONCATENATE("31/12/",COPIA!$EW$1),IF(AND(COPIA!$EV$1=0,B92&lt;&gt;"",COPIA!$GP$1=2),CONCATENATE("01/01/",COPIA!$EW$1),""))</f>
        <v/>
      </c>
      <c r="E92" s="178" t="str">
        <f ca="1">IF(COPIA!$EV$1&gt;0,"",IF(COPIA!$GP$1=1,COPIA!GN83,COPIA!HV83))</f>
        <v/>
      </c>
      <c r="F92" s="178" t="str">
        <f ca="1">IF(COPIA!$EV$1&gt;0,"",IF(COPIA!$GP$1=1,COPIA!GT83,COPIA!IZ83))</f>
        <v/>
      </c>
      <c r="G92" s="179" t="str">
        <f ca="1">IF(COPIA!$EV$1&gt;0,"",IF(COPIA!$GP$1=1,COPIA!GO83,COPIA!IX83))</f>
        <v/>
      </c>
      <c r="H92" s="179" t="str">
        <f ca="1">IF(COPIA!$EV$1&gt;0,"",IF(COPIA!$GP$1=1,COPIA!GP83,COPIA!IY83))</f>
        <v/>
      </c>
      <c r="I92" s="14"/>
      <c r="J92" s="6" t="str">
        <f ca="1">IF(AND(G92="",H92=""),"",ROUND(SUM(G$12:G92),2)-ROUND(SUM(H$12:H92),2))</f>
        <v/>
      </c>
    </row>
    <row r="93" spans="1:10" ht="20.100000000000001" customHeight="1">
      <c r="A93" s="48"/>
      <c r="B93" s="31" t="str">
        <f t="shared" ca="1" si="2"/>
        <v/>
      </c>
      <c r="C93" s="31" t="str">
        <f t="shared" ca="1" si="3"/>
        <v/>
      </c>
      <c r="D93" s="20" t="str">
        <f ca="1">IF(AND(COPIA!$EV$1=0,B93&lt;&gt;"",COPIA!$GP$1=1),CONCATENATE("31/12/",COPIA!$EW$1),IF(AND(COPIA!$EV$1=0,B93&lt;&gt;"",COPIA!$GP$1=2),CONCATENATE("01/01/",COPIA!$EW$1),""))</f>
        <v/>
      </c>
      <c r="E93" s="178" t="str">
        <f ca="1">IF(COPIA!$EV$1&gt;0,"",IF(COPIA!$GP$1=1,COPIA!GN84,COPIA!HV84))</f>
        <v/>
      </c>
      <c r="F93" s="178" t="str">
        <f ca="1">IF(COPIA!$EV$1&gt;0,"",IF(COPIA!$GP$1=1,COPIA!GT84,COPIA!IZ84))</f>
        <v/>
      </c>
      <c r="G93" s="179" t="str">
        <f ca="1">IF(COPIA!$EV$1&gt;0,"",IF(COPIA!$GP$1=1,COPIA!GO84,COPIA!IX84))</f>
        <v/>
      </c>
      <c r="H93" s="179" t="str">
        <f ca="1">IF(COPIA!$EV$1&gt;0,"",IF(COPIA!$GP$1=1,COPIA!GP84,COPIA!IY84))</f>
        <v/>
      </c>
      <c r="I93" s="14"/>
      <c r="J93" s="6" t="str">
        <f ca="1">IF(AND(G93="",H93=""),"",ROUND(SUM(G$12:G93),2)-ROUND(SUM(H$12:H93),2))</f>
        <v/>
      </c>
    </row>
    <row r="94" spans="1:10" ht="20.100000000000001" customHeight="1">
      <c r="A94" s="48"/>
      <c r="B94" s="31" t="str">
        <f t="shared" ca="1" si="2"/>
        <v/>
      </c>
      <c r="C94" s="31" t="str">
        <f t="shared" ca="1" si="3"/>
        <v/>
      </c>
      <c r="D94" s="20" t="str">
        <f ca="1">IF(AND(COPIA!$EV$1=0,B94&lt;&gt;"",COPIA!$GP$1=1),CONCATENATE("31/12/",COPIA!$EW$1),IF(AND(COPIA!$EV$1=0,B94&lt;&gt;"",COPIA!$GP$1=2),CONCATENATE("01/01/",COPIA!$EW$1),""))</f>
        <v/>
      </c>
      <c r="E94" s="178" t="str">
        <f ca="1">IF(COPIA!$EV$1&gt;0,"",IF(COPIA!$GP$1=1,COPIA!GN85,COPIA!HV85))</f>
        <v/>
      </c>
      <c r="F94" s="178" t="str">
        <f ca="1">IF(COPIA!$EV$1&gt;0,"",IF(COPIA!$GP$1=1,COPIA!GT85,COPIA!IZ85))</f>
        <v/>
      </c>
      <c r="G94" s="179" t="str">
        <f ca="1">IF(COPIA!$EV$1&gt;0,"",IF(COPIA!$GP$1=1,COPIA!GO85,COPIA!IX85))</f>
        <v/>
      </c>
      <c r="H94" s="179" t="str">
        <f ca="1">IF(COPIA!$EV$1&gt;0,"",IF(COPIA!$GP$1=1,COPIA!GP85,COPIA!IY85))</f>
        <v/>
      </c>
      <c r="I94" s="14"/>
      <c r="J94" s="6" t="str">
        <f ca="1">IF(AND(G94="",H94=""),"",ROUND(SUM(G$12:G94),2)-ROUND(SUM(H$12:H94),2))</f>
        <v/>
      </c>
    </row>
    <row r="95" spans="1:10" ht="20.100000000000001" customHeight="1">
      <c r="A95" s="48"/>
      <c r="B95" s="31" t="str">
        <f t="shared" ca="1" si="2"/>
        <v/>
      </c>
      <c r="C95" s="31" t="str">
        <f t="shared" ca="1" si="3"/>
        <v/>
      </c>
      <c r="D95" s="20" t="str">
        <f ca="1">IF(AND(COPIA!$EV$1=0,B95&lt;&gt;"",COPIA!$GP$1=1),CONCATENATE("31/12/",COPIA!$EW$1),IF(AND(COPIA!$EV$1=0,B95&lt;&gt;"",COPIA!$GP$1=2),CONCATENATE("01/01/",COPIA!$EW$1),""))</f>
        <v/>
      </c>
      <c r="E95" s="178" t="str">
        <f ca="1">IF(COPIA!$EV$1&gt;0,"",IF(COPIA!$GP$1=1,COPIA!GN86,COPIA!HV86))</f>
        <v/>
      </c>
      <c r="F95" s="178" t="str">
        <f ca="1">IF(COPIA!$EV$1&gt;0,"",IF(COPIA!$GP$1=1,COPIA!GT86,COPIA!IZ86))</f>
        <v/>
      </c>
      <c r="G95" s="179" t="str">
        <f ca="1">IF(COPIA!$EV$1&gt;0,"",IF(COPIA!$GP$1=1,COPIA!GO86,COPIA!IX86))</f>
        <v/>
      </c>
      <c r="H95" s="179" t="str">
        <f ca="1">IF(COPIA!$EV$1&gt;0,"",IF(COPIA!$GP$1=1,COPIA!GP86,COPIA!IY86))</f>
        <v/>
      </c>
      <c r="I95" s="14"/>
      <c r="J95" s="6" t="str">
        <f ca="1">IF(AND(G95="",H95=""),"",ROUND(SUM(G$12:G95),2)-ROUND(SUM(H$12:H95),2))</f>
        <v/>
      </c>
    </row>
    <row r="96" spans="1:10" ht="20.100000000000001" customHeight="1">
      <c r="A96" s="48"/>
      <c r="B96" s="31" t="str">
        <f t="shared" ca="1" si="2"/>
        <v/>
      </c>
      <c r="C96" s="31" t="str">
        <f t="shared" ca="1" si="3"/>
        <v/>
      </c>
      <c r="D96" s="20" t="str">
        <f ca="1">IF(AND(COPIA!$EV$1=0,B96&lt;&gt;"",COPIA!$GP$1=1),CONCATENATE("31/12/",COPIA!$EW$1),IF(AND(COPIA!$EV$1=0,B96&lt;&gt;"",COPIA!$GP$1=2),CONCATENATE("01/01/",COPIA!$EW$1),""))</f>
        <v/>
      </c>
      <c r="E96" s="178" t="str">
        <f ca="1">IF(COPIA!$EV$1&gt;0,"",IF(COPIA!$GP$1=1,COPIA!GN87,COPIA!HV87))</f>
        <v/>
      </c>
      <c r="F96" s="178" t="str">
        <f ca="1">IF(COPIA!$EV$1&gt;0,"",IF(COPIA!$GP$1=1,COPIA!GT87,COPIA!IZ87))</f>
        <v/>
      </c>
      <c r="G96" s="179" t="str">
        <f ca="1">IF(COPIA!$EV$1&gt;0,"",IF(COPIA!$GP$1=1,COPIA!GO87,COPIA!IX87))</f>
        <v/>
      </c>
      <c r="H96" s="179" t="str">
        <f ca="1">IF(COPIA!$EV$1&gt;0,"",IF(COPIA!$GP$1=1,COPIA!GP87,COPIA!IY87))</f>
        <v/>
      </c>
      <c r="I96" s="14"/>
      <c r="J96" s="6" t="str">
        <f ca="1">IF(AND(G96="",H96=""),"",ROUND(SUM(G$12:G96),2)-ROUND(SUM(H$12:H96),2))</f>
        <v/>
      </c>
    </row>
    <row r="97" spans="1:10" ht="20.100000000000001" customHeight="1">
      <c r="A97" s="48"/>
      <c r="B97" s="31" t="str">
        <f t="shared" ca="1" si="2"/>
        <v/>
      </c>
      <c r="C97" s="31" t="str">
        <f t="shared" ca="1" si="3"/>
        <v/>
      </c>
      <c r="D97" s="20" t="str">
        <f ca="1">IF(AND(COPIA!$EV$1=0,B97&lt;&gt;"",COPIA!$GP$1=1),CONCATENATE("31/12/",COPIA!$EW$1),IF(AND(COPIA!$EV$1=0,B97&lt;&gt;"",COPIA!$GP$1=2),CONCATENATE("01/01/",COPIA!$EW$1),""))</f>
        <v/>
      </c>
      <c r="E97" s="178" t="str">
        <f ca="1">IF(COPIA!$EV$1&gt;0,"",IF(COPIA!$GP$1=1,COPIA!GN88,COPIA!HV88))</f>
        <v/>
      </c>
      <c r="F97" s="178" t="str">
        <f ca="1">IF(COPIA!$EV$1&gt;0,"",IF(COPIA!$GP$1=1,COPIA!GT88,COPIA!IZ88))</f>
        <v/>
      </c>
      <c r="G97" s="179" t="str">
        <f ca="1">IF(COPIA!$EV$1&gt;0,"",IF(COPIA!$GP$1=1,COPIA!GO88,COPIA!IX88))</f>
        <v/>
      </c>
      <c r="H97" s="179" t="str">
        <f ca="1">IF(COPIA!$EV$1&gt;0,"",IF(COPIA!$GP$1=1,COPIA!GP88,COPIA!IY88))</f>
        <v/>
      </c>
      <c r="I97" s="14"/>
      <c r="J97" s="6" t="str">
        <f ca="1">IF(AND(G97="",H97=""),"",ROUND(SUM(G$12:G97),2)-ROUND(SUM(H$12:H97),2))</f>
        <v/>
      </c>
    </row>
    <row r="98" spans="1:10" ht="20.100000000000001" customHeight="1">
      <c r="A98" s="48"/>
      <c r="B98" s="31" t="str">
        <f t="shared" ca="1" si="2"/>
        <v/>
      </c>
      <c r="C98" s="31" t="str">
        <f t="shared" ca="1" si="3"/>
        <v/>
      </c>
      <c r="D98" s="20" t="str">
        <f ca="1">IF(AND(COPIA!$EV$1=0,B98&lt;&gt;"",COPIA!$GP$1=1),CONCATENATE("31/12/",COPIA!$EW$1),IF(AND(COPIA!$EV$1=0,B98&lt;&gt;"",COPIA!$GP$1=2),CONCATENATE("01/01/",COPIA!$EW$1),""))</f>
        <v/>
      </c>
      <c r="E98" s="178" t="str">
        <f ca="1">IF(COPIA!$EV$1&gt;0,"",IF(COPIA!$GP$1=1,COPIA!GN89,COPIA!HV89))</f>
        <v/>
      </c>
      <c r="F98" s="178" t="str">
        <f ca="1">IF(COPIA!$EV$1&gt;0,"",IF(COPIA!$GP$1=1,COPIA!GT89,COPIA!IZ89))</f>
        <v/>
      </c>
      <c r="G98" s="179" t="str">
        <f ca="1">IF(COPIA!$EV$1&gt;0,"",IF(COPIA!$GP$1=1,COPIA!GO89,COPIA!IX89))</f>
        <v/>
      </c>
      <c r="H98" s="179" t="str">
        <f ca="1">IF(COPIA!$EV$1&gt;0,"",IF(COPIA!$GP$1=1,COPIA!GP89,COPIA!IY89))</f>
        <v/>
      </c>
      <c r="I98" s="14"/>
      <c r="J98" s="6" t="str">
        <f ca="1">IF(AND(G98="",H98=""),"",ROUND(SUM(G$12:G98),2)-ROUND(SUM(H$12:H98),2))</f>
        <v/>
      </c>
    </row>
    <row r="99" spans="1:10" ht="20.100000000000001" customHeight="1">
      <c r="A99" s="48"/>
      <c r="B99" s="31" t="str">
        <f t="shared" ca="1" si="2"/>
        <v/>
      </c>
      <c r="C99" s="31" t="str">
        <f t="shared" ca="1" si="3"/>
        <v/>
      </c>
      <c r="D99" s="20" t="str">
        <f ca="1">IF(AND(COPIA!$EV$1=0,B99&lt;&gt;"",COPIA!$GP$1=1),CONCATENATE("31/12/",COPIA!$EW$1),IF(AND(COPIA!$EV$1=0,B99&lt;&gt;"",COPIA!$GP$1=2),CONCATENATE("01/01/",COPIA!$EW$1),""))</f>
        <v/>
      </c>
      <c r="E99" s="178" t="str">
        <f ca="1">IF(COPIA!$EV$1&gt;0,"",IF(COPIA!$GP$1=1,COPIA!GN90,COPIA!HV90))</f>
        <v/>
      </c>
      <c r="F99" s="178" t="str">
        <f ca="1">IF(COPIA!$EV$1&gt;0,"",IF(COPIA!$GP$1=1,COPIA!GT90,COPIA!IZ90))</f>
        <v/>
      </c>
      <c r="G99" s="179" t="str">
        <f ca="1">IF(COPIA!$EV$1&gt;0,"",IF(COPIA!$GP$1=1,COPIA!GO90,COPIA!IX90))</f>
        <v/>
      </c>
      <c r="H99" s="179" t="str">
        <f ca="1">IF(COPIA!$EV$1&gt;0,"",IF(COPIA!$GP$1=1,COPIA!GP90,COPIA!IY90))</f>
        <v/>
      </c>
      <c r="I99" s="14"/>
      <c r="J99" s="6" t="str">
        <f ca="1">IF(AND(G99="",H99=""),"",ROUND(SUM(G$12:G99),2)-ROUND(SUM(H$12:H99),2))</f>
        <v/>
      </c>
    </row>
    <row r="100" spans="1:10" ht="20.100000000000001" customHeight="1">
      <c r="A100" s="48"/>
      <c r="B100" s="31" t="str">
        <f t="shared" ca="1" si="2"/>
        <v/>
      </c>
      <c r="C100" s="31" t="str">
        <f t="shared" ca="1" si="3"/>
        <v/>
      </c>
      <c r="D100" s="20" t="str">
        <f ca="1">IF(AND(COPIA!$EV$1=0,B100&lt;&gt;"",COPIA!$GP$1=1),CONCATENATE("31/12/",COPIA!$EW$1),IF(AND(COPIA!$EV$1=0,B100&lt;&gt;"",COPIA!$GP$1=2),CONCATENATE("01/01/",COPIA!$EW$1),""))</f>
        <v/>
      </c>
      <c r="E100" s="178" t="str">
        <f ca="1">IF(COPIA!$EV$1&gt;0,"",IF(COPIA!$GP$1=1,COPIA!GN91,COPIA!HV91))</f>
        <v/>
      </c>
      <c r="F100" s="178" t="str">
        <f ca="1">IF(COPIA!$EV$1&gt;0,"",IF(COPIA!$GP$1=1,COPIA!GT91,COPIA!IZ91))</f>
        <v/>
      </c>
      <c r="G100" s="179" t="str">
        <f ca="1">IF(COPIA!$EV$1&gt;0,"",IF(COPIA!$GP$1=1,COPIA!GO91,COPIA!IX91))</f>
        <v/>
      </c>
      <c r="H100" s="179" t="str">
        <f ca="1">IF(COPIA!$EV$1&gt;0,"",IF(COPIA!$GP$1=1,COPIA!GP91,COPIA!IY91))</f>
        <v/>
      </c>
      <c r="I100" s="14"/>
      <c r="J100" s="6" t="str">
        <f ca="1">IF(AND(G100="",H100=""),"",ROUND(SUM(G$12:G100),2)-ROUND(SUM(H$12:H100),2))</f>
        <v/>
      </c>
    </row>
    <row r="101" spans="1:10" ht="20.100000000000001" customHeight="1">
      <c r="A101" s="48"/>
      <c r="B101" s="31" t="str">
        <f t="shared" ca="1" si="2"/>
        <v/>
      </c>
      <c r="C101" s="31" t="str">
        <f t="shared" ca="1" si="3"/>
        <v/>
      </c>
      <c r="D101" s="20" t="str">
        <f ca="1">IF(AND(COPIA!$EV$1=0,B101&lt;&gt;"",COPIA!$GP$1=1),CONCATENATE("31/12/",COPIA!$EW$1),IF(AND(COPIA!$EV$1=0,B101&lt;&gt;"",COPIA!$GP$1=2),CONCATENATE("01/01/",COPIA!$EW$1),""))</f>
        <v/>
      </c>
      <c r="E101" s="178" t="str">
        <f ca="1">IF(COPIA!$EV$1&gt;0,"",IF(COPIA!$GP$1=1,COPIA!GN92,COPIA!HV92))</f>
        <v/>
      </c>
      <c r="F101" s="178" t="str">
        <f ca="1">IF(COPIA!$EV$1&gt;0,"",IF(COPIA!$GP$1=1,COPIA!GT92,COPIA!IZ92))</f>
        <v/>
      </c>
      <c r="G101" s="179" t="str">
        <f ca="1">IF(COPIA!$EV$1&gt;0,"",IF(COPIA!$GP$1=1,COPIA!GO92,COPIA!IX92))</f>
        <v/>
      </c>
      <c r="H101" s="179" t="str">
        <f ca="1">IF(COPIA!$EV$1&gt;0,"",IF(COPIA!$GP$1=1,COPIA!GP92,COPIA!IY92))</f>
        <v/>
      </c>
      <c r="I101" s="14"/>
      <c r="J101" s="6" t="str">
        <f ca="1">IF(AND(G101="",H101=""),"",ROUND(SUM(G$12:G101),2)-ROUND(SUM(H$12:H101),2))</f>
        <v/>
      </c>
    </row>
    <row r="102" spans="1:10" ht="20.100000000000001" customHeight="1">
      <c r="A102" s="48"/>
      <c r="B102" s="31" t="str">
        <f t="shared" ca="1" si="2"/>
        <v/>
      </c>
      <c r="C102" s="31" t="str">
        <f t="shared" ca="1" si="3"/>
        <v/>
      </c>
      <c r="D102" s="20" t="str">
        <f ca="1">IF(AND(COPIA!$EV$1=0,B102&lt;&gt;"",COPIA!$GP$1=1),CONCATENATE("31/12/",COPIA!$EW$1),IF(AND(COPIA!$EV$1=0,B102&lt;&gt;"",COPIA!$GP$1=2),CONCATENATE("01/01/",COPIA!$EW$1),""))</f>
        <v/>
      </c>
      <c r="E102" s="178" t="str">
        <f ca="1">IF(COPIA!$EV$1&gt;0,"",IF(COPIA!$GP$1=1,COPIA!GN93,COPIA!HV93))</f>
        <v/>
      </c>
      <c r="F102" s="178" t="str">
        <f ca="1">IF(COPIA!$EV$1&gt;0,"",IF(COPIA!$GP$1=1,COPIA!GT93,COPIA!IZ93))</f>
        <v/>
      </c>
      <c r="G102" s="179" t="str">
        <f ca="1">IF(COPIA!$EV$1&gt;0,"",IF(COPIA!$GP$1=1,COPIA!GO93,COPIA!IX93))</f>
        <v/>
      </c>
      <c r="H102" s="179" t="str">
        <f ca="1">IF(COPIA!$EV$1&gt;0,"",IF(COPIA!$GP$1=1,COPIA!GP93,COPIA!IY93))</f>
        <v/>
      </c>
      <c r="I102" s="14"/>
      <c r="J102" s="6" t="str">
        <f ca="1">IF(AND(G102="",H102=""),"",ROUND(SUM(G$12:G102),2)-ROUND(SUM(H$12:H102),2))</f>
        <v/>
      </c>
    </row>
    <row r="103" spans="1:10" ht="20.100000000000001" customHeight="1">
      <c r="A103" s="48"/>
      <c r="B103" s="31" t="str">
        <f t="shared" ca="1" si="2"/>
        <v/>
      </c>
      <c r="C103" s="31" t="str">
        <f t="shared" ca="1" si="3"/>
        <v/>
      </c>
      <c r="D103" s="20" t="str">
        <f ca="1">IF(AND(COPIA!$EV$1=0,B103&lt;&gt;"",COPIA!$GP$1=1),CONCATENATE("31/12/",COPIA!$EW$1),IF(AND(COPIA!$EV$1=0,B103&lt;&gt;"",COPIA!$GP$1=2),CONCATENATE("01/01/",COPIA!$EW$1),""))</f>
        <v/>
      </c>
      <c r="E103" s="178" t="str">
        <f ca="1">IF(COPIA!$EV$1&gt;0,"",IF(COPIA!$GP$1=1,COPIA!GN94,COPIA!HV94))</f>
        <v/>
      </c>
      <c r="F103" s="178" t="str">
        <f ca="1">IF(COPIA!$EV$1&gt;0,"",IF(COPIA!$GP$1=1,COPIA!GT94,COPIA!IZ94))</f>
        <v/>
      </c>
      <c r="G103" s="179" t="str">
        <f ca="1">IF(COPIA!$EV$1&gt;0,"",IF(COPIA!$GP$1=1,COPIA!GO94,COPIA!IX94))</f>
        <v/>
      </c>
      <c r="H103" s="179" t="str">
        <f ca="1">IF(COPIA!$EV$1&gt;0,"",IF(COPIA!$GP$1=1,COPIA!GP94,COPIA!IY94))</f>
        <v/>
      </c>
      <c r="I103" s="14"/>
      <c r="J103" s="6" t="str">
        <f ca="1">IF(AND(G103="",H103=""),"",ROUND(SUM(G$12:G103),2)-ROUND(SUM(H$12:H103),2))</f>
        <v/>
      </c>
    </row>
    <row r="104" spans="1:10" ht="20.100000000000001" customHeight="1">
      <c r="A104" s="48"/>
      <c r="B104" s="31" t="str">
        <f t="shared" ca="1" si="2"/>
        <v/>
      </c>
      <c r="C104" s="31" t="str">
        <f t="shared" ca="1" si="3"/>
        <v/>
      </c>
      <c r="D104" s="20" t="str">
        <f ca="1">IF(AND(COPIA!$EV$1=0,B104&lt;&gt;"",COPIA!$GP$1=1),CONCATENATE("31/12/",COPIA!$EW$1),IF(AND(COPIA!$EV$1=0,B104&lt;&gt;"",COPIA!$GP$1=2),CONCATENATE("01/01/",COPIA!$EW$1),""))</f>
        <v/>
      </c>
      <c r="E104" s="178" t="str">
        <f ca="1">IF(COPIA!$EV$1&gt;0,"",IF(COPIA!$GP$1=1,COPIA!GN95,COPIA!HV95))</f>
        <v/>
      </c>
      <c r="F104" s="178" t="str">
        <f ca="1">IF(COPIA!$EV$1&gt;0,"",IF(COPIA!$GP$1=1,COPIA!GT95,COPIA!IZ95))</f>
        <v/>
      </c>
      <c r="G104" s="179" t="str">
        <f ca="1">IF(COPIA!$EV$1&gt;0,"",IF(COPIA!$GP$1=1,COPIA!GO95,COPIA!IX95))</f>
        <v/>
      </c>
      <c r="H104" s="179" t="str">
        <f ca="1">IF(COPIA!$EV$1&gt;0,"",IF(COPIA!$GP$1=1,COPIA!GP95,COPIA!IY95))</f>
        <v/>
      </c>
      <c r="I104" s="14"/>
      <c r="J104" s="6" t="str">
        <f ca="1">IF(AND(G104="",H104=""),"",ROUND(SUM(G$12:G104),2)-ROUND(SUM(H$12:H104),2))</f>
        <v/>
      </c>
    </row>
    <row r="105" spans="1:10" ht="20.100000000000001" customHeight="1">
      <c r="A105" s="48"/>
      <c r="B105" s="31" t="str">
        <f t="shared" ca="1" si="2"/>
        <v/>
      </c>
      <c r="C105" s="31" t="str">
        <f t="shared" ca="1" si="3"/>
        <v/>
      </c>
      <c r="D105" s="20" t="str">
        <f ca="1">IF(AND(COPIA!$EV$1=0,B105&lt;&gt;"",COPIA!$GP$1=1),CONCATENATE("31/12/",COPIA!$EW$1),IF(AND(COPIA!$EV$1=0,B105&lt;&gt;"",COPIA!$GP$1=2),CONCATENATE("01/01/",COPIA!$EW$1),""))</f>
        <v/>
      </c>
      <c r="E105" s="178" t="str">
        <f ca="1">IF(COPIA!$EV$1&gt;0,"",IF(COPIA!$GP$1=1,COPIA!GN96,COPIA!HV96))</f>
        <v/>
      </c>
      <c r="F105" s="178" t="str">
        <f ca="1">IF(COPIA!$EV$1&gt;0,"",IF(COPIA!$GP$1=1,COPIA!GT96,COPIA!IZ96))</f>
        <v/>
      </c>
      <c r="G105" s="179" t="str">
        <f ca="1">IF(COPIA!$EV$1&gt;0,"",IF(COPIA!$GP$1=1,COPIA!GO96,COPIA!IX96))</f>
        <v/>
      </c>
      <c r="H105" s="179" t="str">
        <f ca="1">IF(COPIA!$EV$1&gt;0,"",IF(COPIA!$GP$1=1,COPIA!GP96,COPIA!IY96))</f>
        <v/>
      </c>
      <c r="I105" s="14"/>
      <c r="J105" s="6" t="str">
        <f ca="1">IF(AND(G105="",H105=""),"",ROUND(SUM(G$12:G105),2)-ROUND(SUM(H$12:H105),2))</f>
        <v/>
      </c>
    </row>
    <row r="106" spans="1:10" ht="20.100000000000001" customHeight="1">
      <c r="A106" s="48"/>
      <c r="B106" s="31" t="str">
        <f t="shared" ca="1" si="2"/>
        <v/>
      </c>
      <c r="C106" s="31" t="str">
        <f t="shared" ca="1" si="3"/>
        <v/>
      </c>
      <c r="D106" s="20" t="str">
        <f ca="1">IF(AND(COPIA!$EV$1=0,B106&lt;&gt;"",COPIA!$GP$1=1),CONCATENATE("31/12/",COPIA!$EW$1),IF(AND(COPIA!$EV$1=0,B106&lt;&gt;"",COPIA!$GP$1=2),CONCATENATE("01/01/",COPIA!$EW$1),""))</f>
        <v/>
      </c>
      <c r="E106" s="178" t="str">
        <f ca="1">IF(COPIA!$EV$1&gt;0,"",IF(COPIA!$GP$1=1,COPIA!GN97,COPIA!HV97))</f>
        <v/>
      </c>
      <c r="F106" s="178" t="str">
        <f ca="1">IF(COPIA!$EV$1&gt;0,"",IF(COPIA!$GP$1=1,COPIA!GT97,COPIA!IZ97))</f>
        <v/>
      </c>
      <c r="G106" s="179" t="str">
        <f ca="1">IF(COPIA!$EV$1&gt;0,"",IF(COPIA!$GP$1=1,COPIA!GO97,COPIA!IX97))</f>
        <v/>
      </c>
      <c r="H106" s="179" t="str">
        <f ca="1">IF(COPIA!$EV$1&gt;0,"",IF(COPIA!$GP$1=1,COPIA!GP97,COPIA!IY97))</f>
        <v/>
      </c>
      <c r="I106" s="14"/>
      <c r="J106" s="6" t="str">
        <f ca="1">IF(AND(G106="",H106=""),"",ROUND(SUM(G$12:G106),2)-ROUND(SUM(H$12:H106),2))</f>
        <v/>
      </c>
    </row>
    <row r="107" spans="1:10" ht="20.100000000000001" customHeight="1">
      <c r="A107" s="48"/>
      <c r="B107" s="31" t="str">
        <f t="shared" ca="1" si="2"/>
        <v/>
      </c>
      <c r="C107" s="31" t="str">
        <f t="shared" ca="1" si="3"/>
        <v/>
      </c>
      <c r="D107" s="20" t="str">
        <f ca="1">IF(AND(COPIA!$EV$1=0,B107&lt;&gt;"",COPIA!$GP$1=1),CONCATENATE("31/12/",COPIA!$EW$1),IF(AND(COPIA!$EV$1=0,B107&lt;&gt;"",COPIA!$GP$1=2),CONCATENATE("01/01/",COPIA!$EW$1),""))</f>
        <v/>
      </c>
      <c r="E107" s="178" t="str">
        <f ca="1">IF(COPIA!$EV$1&gt;0,"",IF(COPIA!$GP$1=1,COPIA!GN98,COPIA!HV98))</f>
        <v/>
      </c>
      <c r="F107" s="178" t="str">
        <f ca="1">IF(COPIA!$EV$1&gt;0,"",IF(COPIA!$GP$1=1,COPIA!GT98,COPIA!IZ98))</f>
        <v/>
      </c>
      <c r="G107" s="179" t="str">
        <f ca="1">IF(COPIA!$EV$1&gt;0,"",IF(COPIA!$GP$1=1,COPIA!GO98,COPIA!IX98))</f>
        <v/>
      </c>
      <c r="H107" s="179" t="str">
        <f ca="1">IF(COPIA!$EV$1&gt;0,"",IF(COPIA!$GP$1=1,COPIA!GP98,COPIA!IY98))</f>
        <v/>
      </c>
      <c r="I107" s="14"/>
      <c r="J107" s="6" t="str">
        <f ca="1">IF(AND(G107="",H107=""),"",ROUND(SUM(G$12:G107),2)-ROUND(SUM(H$12:H107),2))</f>
        <v/>
      </c>
    </row>
    <row r="108" spans="1:10" ht="20.100000000000001" customHeight="1">
      <c r="A108" s="48"/>
      <c r="B108" s="31" t="str">
        <f t="shared" ca="1" si="2"/>
        <v/>
      </c>
      <c r="C108" s="31" t="str">
        <f t="shared" ca="1" si="3"/>
        <v/>
      </c>
      <c r="D108" s="20" t="str">
        <f ca="1">IF(AND(COPIA!$EV$1=0,B108&lt;&gt;"",COPIA!$GP$1=1),CONCATENATE("31/12/",COPIA!$EW$1),IF(AND(COPIA!$EV$1=0,B108&lt;&gt;"",COPIA!$GP$1=2),CONCATENATE("01/01/",COPIA!$EW$1),""))</f>
        <v/>
      </c>
      <c r="E108" s="178" t="str">
        <f ca="1">IF(COPIA!$EV$1&gt;0,"",IF(COPIA!$GP$1=1,COPIA!GN99,COPIA!HV99))</f>
        <v/>
      </c>
      <c r="F108" s="178" t="str">
        <f ca="1">IF(COPIA!$EV$1&gt;0,"",IF(COPIA!$GP$1=1,COPIA!GT99,COPIA!IZ99))</f>
        <v/>
      </c>
      <c r="G108" s="179" t="str">
        <f ca="1">IF(COPIA!$EV$1&gt;0,"",IF(COPIA!$GP$1=1,COPIA!GO99,COPIA!IX99))</f>
        <v/>
      </c>
      <c r="H108" s="179" t="str">
        <f ca="1">IF(COPIA!$EV$1&gt;0,"",IF(COPIA!$GP$1=1,COPIA!GP99,COPIA!IY99))</f>
        <v/>
      </c>
      <c r="I108" s="14"/>
      <c r="J108" s="6" t="str">
        <f ca="1">IF(AND(G108="",H108=""),"",ROUND(SUM(G$12:G108),2)-ROUND(SUM(H$12:H108),2))</f>
        <v/>
      </c>
    </row>
    <row r="109" spans="1:10" ht="20.100000000000001" customHeight="1">
      <c r="A109" s="48"/>
      <c r="B109" s="31" t="str">
        <f t="shared" ca="1" si="2"/>
        <v/>
      </c>
      <c r="C109" s="31" t="str">
        <f t="shared" ca="1" si="3"/>
        <v/>
      </c>
      <c r="D109" s="20" t="str">
        <f ca="1">IF(AND(COPIA!$EV$1=0,B109&lt;&gt;"",COPIA!$GP$1=1),CONCATENATE("31/12/",COPIA!$EW$1),IF(AND(COPIA!$EV$1=0,B109&lt;&gt;"",COPIA!$GP$1=2),CONCATENATE("01/01/",COPIA!$EW$1),""))</f>
        <v/>
      </c>
      <c r="E109" s="178" t="str">
        <f ca="1">IF(COPIA!$EV$1&gt;0,"",IF(COPIA!$GP$1=1,COPIA!GN100,COPIA!HV100))</f>
        <v/>
      </c>
      <c r="F109" s="178" t="str">
        <f ca="1">IF(COPIA!$EV$1&gt;0,"",IF(COPIA!$GP$1=1,COPIA!GT100,COPIA!IZ100))</f>
        <v/>
      </c>
      <c r="G109" s="179" t="str">
        <f ca="1">IF(COPIA!$EV$1&gt;0,"",IF(COPIA!$GP$1=1,COPIA!GO100,COPIA!IX100))</f>
        <v/>
      </c>
      <c r="H109" s="179" t="str">
        <f ca="1">IF(COPIA!$EV$1&gt;0,"",IF(COPIA!$GP$1=1,COPIA!GP100,COPIA!IY100))</f>
        <v/>
      </c>
      <c r="I109" s="14"/>
      <c r="J109" s="6" t="str">
        <f ca="1">IF(AND(G109="",H109=""),"",ROUND(SUM(G$12:G109),2)-ROUND(SUM(H$12:H109),2))</f>
        <v/>
      </c>
    </row>
    <row r="110" spans="1:10" ht="20.100000000000001" customHeight="1">
      <c r="A110" s="48"/>
      <c r="B110" s="31" t="str">
        <f t="shared" ca="1" si="2"/>
        <v/>
      </c>
      <c r="C110" s="31" t="str">
        <f t="shared" ca="1" si="3"/>
        <v/>
      </c>
      <c r="D110" s="20" t="str">
        <f ca="1">IF(AND(COPIA!$EV$1=0,B110&lt;&gt;"",COPIA!$GP$1=1),CONCATENATE("31/12/",COPIA!$EW$1),IF(AND(COPIA!$EV$1=0,B110&lt;&gt;"",COPIA!$GP$1=2),CONCATENATE("01/01/",COPIA!$EW$1),""))</f>
        <v/>
      </c>
      <c r="E110" s="178" t="str">
        <f ca="1">IF(COPIA!$EV$1&gt;0,"",IF(COPIA!$GP$1=1,COPIA!GN101,COPIA!HV101))</f>
        <v/>
      </c>
      <c r="F110" s="178" t="str">
        <f ca="1">IF(COPIA!$EV$1&gt;0,"",IF(COPIA!$GP$1=1,COPIA!GT101,COPIA!IZ101))</f>
        <v/>
      </c>
      <c r="G110" s="179" t="str">
        <f ca="1">IF(COPIA!$EV$1&gt;0,"",IF(COPIA!$GP$1=1,COPIA!GO101,COPIA!IX101))</f>
        <v/>
      </c>
      <c r="H110" s="179" t="str">
        <f ca="1">IF(COPIA!$EV$1&gt;0,"",IF(COPIA!$GP$1=1,COPIA!GP101,COPIA!IY101))</f>
        <v/>
      </c>
      <c r="I110" s="14"/>
      <c r="J110" s="6" t="str">
        <f ca="1">IF(AND(G110="",H110=""),"",ROUND(SUM(G$12:G110),2)-ROUND(SUM(H$12:H110),2))</f>
        <v/>
      </c>
    </row>
    <row r="111" spans="1:10" ht="20.100000000000001" customHeight="1">
      <c r="A111" s="48"/>
      <c r="B111" s="31" t="str">
        <f t="shared" ca="1" si="2"/>
        <v/>
      </c>
      <c r="C111" s="31" t="str">
        <f t="shared" ca="1" si="3"/>
        <v/>
      </c>
      <c r="D111" s="20" t="str">
        <f ca="1">IF(AND(COPIA!$EV$1=0,B111&lt;&gt;"",COPIA!$GP$1=1),CONCATENATE("31/12/",COPIA!$EW$1),IF(AND(COPIA!$EV$1=0,B111&lt;&gt;"",COPIA!$GP$1=2),CONCATENATE("01/01/",COPIA!$EW$1),""))</f>
        <v/>
      </c>
      <c r="E111" s="178" t="str">
        <f ca="1">IF(COPIA!$EV$1&gt;0,"",IF(COPIA!$GP$1=1,COPIA!GN102,COPIA!HV102))</f>
        <v/>
      </c>
      <c r="F111" s="178" t="str">
        <f ca="1">IF(COPIA!$EV$1&gt;0,"",IF(COPIA!$GP$1=1,COPIA!GT102,COPIA!IZ102))</f>
        <v/>
      </c>
      <c r="G111" s="179" t="str">
        <f ca="1">IF(COPIA!$EV$1&gt;0,"",IF(COPIA!$GP$1=1,COPIA!GO102,COPIA!IX102))</f>
        <v/>
      </c>
      <c r="H111" s="179" t="str">
        <f ca="1">IF(COPIA!$EV$1&gt;0,"",IF(COPIA!$GP$1=1,COPIA!GP102,COPIA!IY102))</f>
        <v/>
      </c>
      <c r="I111" s="14"/>
      <c r="J111" s="6" t="str">
        <f ca="1">IF(AND(G111="",H111=""),"",ROUND(SUM(G$12:G111),2)-ROUND(SUM(H$12:H111),2))</f>
        <v/>
      </c>
    </row>
    <row r="112" spans="1:10" ht="20.100000000000001" customHeight="1">
      <c r="A112" s="48"/>
      <c r="B112" s="31" t="str">
        <f t="shared" ca="1" si="2"/>
        <v/>
      </c>
      <c r="C112" s="31" t="str">
        <f t="shared" ca="1" si="3"/>
        <v/>
      </c>
      <c r="D112" s="20" t="str">
        <f ca="1">IF(AND(COPIA!$EV$1=0,B112&lt;&gt;"",COPIA!$GP$1=1),CONCATENATE("31/12/",COPIA!$EW$1),IF(AND(COPIA!$EV$1=0,B112&lt;&gt;"",COPIA!$GP$1=2),CONCATENATE("01/01/",COPIA!$EW$1),""))</f>
        <v/>
      </c>
      <c r="E112" s="178" t="str">
        <f ca="1">IF(COPIA!$EV$1&gt;0,"",IF(COPIA!$GP$1=1,COPIA!GN103,COPIA!HV103))</f>
        <v/>
      </c>
      <c r="F112" s="178" t="str">
        <f ca="1">IF(COPIA!$EV$1&gt;0,"",IF(COPIA!$GP$1=1,COPIA!GT103,COPIA!IZ103))</f>
        <v/>
      </c>
      <c r="G112" s="179" t="str">
        <f ca="1">IF(COPIA!$EV$1&gt;0,"",IF(COPIA!$GP$1=1,COPIA!GO103,COPIA!IX103))</f>
        <v/>
      </c>
      <c r="H112" s="179" t="str">
        <f ca="1">IF(COPIA!$EV$1&gt;0,"",IF(COPIA!$GP$1=1,COPIA!GP103,COPIA!IY103))</f>
        <v/>
      </c>
      <c r="I112" s="14"/>
      <c r="J112" s="6" t="str">
        <f ca="1">IF(AND(G112="",H112=""),"",ROUND(SUM(G$12:G112),2)-ROUND(SUM(H$12:H112),2))</f>
        <v/>
      </c>
    </row>
    <row r="113" spans="1:10" ht="20.100000000000001" customHeight="1">
      <c r="A113" s="48"/>
      <c r="B113" s="31" t="str">
        <f t="shared" ca="1" si="2"/>
        <v/>
      </c>
      <c r="C113" s="31" t="str">
        <f t="shared" ca="1" si="3"/>
        <v/>
      </c>
      <c r="D113" s="20" t="str">
        <f ca="1">IF(AND(COPIA!$EV$1=0,B113&lt;&gt;"",COPIA!$GP$1=1),CONCATENATE("31/12/",COPIA!$EW$1),IF(AND(COPIA!$EV$1=0,B113&lt;&gt;"",COPIA!$GP$1=2),CONCATENATE("01/01/",COPIA!$EW$1),""))</f>
        <v/>
      </c>
      <c r="E113" s="178" t="str">
        <f ca="1">IF(COPIA!$EV$1&gt;0,"",IF(COPIA!$GP$1=1,COPIA!GN104,COPIA!HV104))</f>
        <v/>
      </c>
      <c r="F113" s="178" t="str">
        <f ca="1">IF(COPIA!$EV$1&gt;0,"",IF(COPIA!$GP$1=1,COPIA!GT104,COPIA!IZ104))</f>
        <v/>
      </c>
      <c r="G113" s="179" t="str">
        <f ca="1">IF(COPIA!$EV$1&gt;0,"",IF(COPIA!$GP$1=1,COPIA!GO104,COPIA!IX104))</f>
        <v/>
      </c>
      <c r="H113" s="179" t="str">
        <f ca="1">IF(COPIA!$EV$1&gt;0,"",IF(COPIA!$GP$1=1,COPIA!GP104,COPIA!IY104))</f>
        <v/>
      </c>
      <c r="I113" s="14"/>
      <c r="J113" s="6" t="str">
        <f ca="1">IF(AND(G113="",H113=""),"",ROUND(SUM(G$12:G113),2)-ROUND(SUM(H$12:H113),2))</f>
        <v/>
      </c>
    </row>
    <row r="114" spans="1:10" ht="20.100000000000001" customHeight="1">
      <c r="A114" s="48"/>
      <c r="B114" s="31" t="str">
        <f t="shared" ca="1" si="2"/>
        <v/>
      </c>
      <c r="C114" s="31" t="str">
        <f t="shared" ca="1" si="3"/>
        <v/>
      </c>
      <c r="D114" s="20" t="str">
        <f ca="1">IF(AND(COPIA!$EV$1=0,B114&lt;&gt;"",COPIA!$GP$1=1),CONCATENATE("31/12/",COPIA!$EW$1),IF(AND(COPIA!$EV$1=0,B114&lt;&gt;"",COPIA!$GP$1=2),CONCATENATE("01/01/",COPIA!$EW$1),""))</f>
        <v/>
      </c>
      <c r="E114" s="178" t="str">
        <f ca="1">IF(COPIA!$EV$1&gt;0,"",IF(COPIA!$GP$1=1,COPIA!GN105,COPIA!HV105))</f>
        <v/>
      </c>
      <c r="F114" s="178" t="str">
        <f ca="1">IF(COPIA!$EV$1&gt;0,"",IF(COPIA!$GP$1=1,COPIA!GT105,COPIA!IZ105))</f>
        <v/>
      </c>
      <c r="G114" s="179" t="str">
        <f ca="1">IF(COPIA!$EV$1&gt;0,"",IF(COPIA!$GP$1=1,COPIA!GO105,COPIA!IX105))</f>
        <v/>
      </c>
      <c r="H114" s="179" t="str">
        <f ca="1">IF(COPIA!$EV$1&gt;0,"",IF(COPIA!$GP$1=1,COPIA!GP105,COPIA!IY105))</f>
        <v/>
      </c>
      <c r="I114" s="14"/>
      <c r="J114" s="6" t="str">
        <f ca="1">IF(AND(G114="",H114=""),"",ROUND(SUM(G$12:G114),2)-ROUND(SUM(H$12:H114),2))</f>
        <v/>
      </c>
    </row>
    <row r="115" spans="1:10" ht="20.100000000000001" customHeight="1">
      <c r="A115" s="48"/>
      <c r="B115" s="31" t="str">
        <f t="shared" ca="1" si="2"/>
        <v/>
      </c>
      <c r="C115" s="31" t="str">
        <f t="shared" ca="1" si="3"/>
        <v/>
      </c>
      <c r="D115" s="20" t="str">
        <f ca="1">IF(AND(COPIA!$EV$1=0,B115&lt;&gt;"",COPIA!$GP$1=1),CONCATENATE("31/12/",COPIA!$EW$1),IF(AND(COPIA!$EV$1=0,B115&lt;&gt;"",COPIA!$GP$1=2),CONCATENATE("01/01/",COPIA!$EW$1),""))</f>
        <v/>
      </c>
      <c r="E115" s="178" t="str">
        <f ca="1">IF(COPIA!$EV$1&gt;0,"",IF(COPIA!$GP$1=1,COPIA!GN106,COPIA!HV106))</f>
        <v/>
      </c>
      <c r="F115" s="178" t="str">
        <f ca="1">IF(COPIA!$EV$1&gt;0,"",IF(COPIA!$GP$1=1,COPIA!GT106,COPIA!IZ106))</f>
        <v/>
      </c>
      <c r="G115" s="179" t="str">
        <f ca="1">IF(COPIA!$EV$1&gt;0,"",IF(COPIA!$GP$1=1,COPIA!GO106,COPIA!IX106))</f>
        <v/>
      </c>
      <c r="H115" s="179" t="str">
        <f ca="1">IF(COPIA!$EV$1&gt;0,"",IF(COPIA!$GP$1=1,COPIA!GP106,COPIA!IY106))</f>
        <v/>
      </c>
      <c r="I115" s="14"/>
      <c r="J115" s="6" t="str">
        <f ca="1">IF(AND(G115="",H115=""),"",ROUND(SUM(G$12:G115),2)-ROUND(SUM(H$12:H115),2))</f>
        <v/>
      </c>
    </row>
    <row r="116" spans="1:10" ht="20.100000000000001" customHeight="1">
      <c r="A116" s="48"/>
      <c r="B116" s="31" t="str">
        <f t="shared" ca="1" si="2"/>
        <v/>
      </c>
      <c r="C116" s="31" t="str">
        <f t="shared" ca="1" si="3"/>
        <v/>
      </c>
      <c r="D116" s="20" t="str">
        <f ca="1">IF(AND(COPIA!$EV$1=0,B116&lt;&gt;"",COPIA!$GP$1=1),CONCATENATE("31/12/",COPIA!$EW$1),IF(AND(COPIA!$EV$1=0,B116&lt;&gt;"",COPIA!$GP$1=2),CONCATENATE("01/01/",COPIA!$EW$1),""))</f>
        <v/>
      </c>
      <c r="E116" s="178" t="str">
        <f ca="1">IF(COPIA!$EV$1&gt;0,"",IF(COPIA!$GP$1=1,COPIA!GN107,COPIA!HV107))</f>
        <v/>
      </c>
      <c r="F116" s="178" t="str">
        <f ca="1">IF(COPIA!$EV$1&gt;0,"",IF(COPIA!$GP$1=1,COPIA!GT107,COPIA!IZ107))</f>
        <v/>
      </c>
      <c r="G116" s="179" t="str">
        <f ca="1">IF(COPIA!$EV$1&gt;0,"",IF(COPIA!$GP$1=1,COPIA!GO107,COPIA!IX107))</f>
        <v/>
      </c>
      <c r="H116" s="179" t="str">
        <f ca="1">IF(COPIA!$EV$1&gt;0,"",IF(COPIA!$GP$1=1,COPIA!GP107,COPIA!IY107))</f>
        <v/>
      </c>
      <c r="I116" s="14"/>
      <c r="J116" s="6" t="str">
        <f ca="1">IF(AND(G116="",H116=""),"",ROUND(SUM(G$12:G116),2)-ROUND(SUM(H$12:H116),2))</f>
        <v/>
      </c>
    </row>
    <row r="117" spans="1:10" ht="20.100000000000001" customHeight="1">
      <c r="A117" s="48"/>
      <c r="B117" s="31" t="str">
        <f t="shared" ca="1" si="2"/>
        <v/>
      </c>
      <c r="C117" s="31" t="str">
        <f t="shared" ca="1" si="3"/>
        <v/>
      </c>
      <c r="D117" s="20" t="str">
        <f ca="1">IF(AND(COPIA!$EV$1=0,B117&lt;&gt;"",COPIA!$GP$1=1),CONCATENATE("31/12/",COPIA!$EW$1),IF(AND(COPIA!$EV$1=0,B117&lt;&gt;"",COPIA!$GP$1=2),CONCATENATE("01/01/",COPIA!$EW$1),""))</f>
        <v/>
      </c>
      <c r="E117" s="178" t="str">
        <f ca="1">IF(COPIA!$EV$1&gt;0,"",IF(COPIA!$GP$1=1,COPIA!GN108,COPIA!HV108))</f>
        <v/>
      </c>
      <c r="F117" s="178" t="str">
        <f ca="1">IF(COPIA!$EV$1&gt;0,"",IF(COPIA!$GP$1=1,COPIA!GT108,COPIA!IZ108))</f>
        <v/>
      </c>
      <c r="G117" s="179" t="str">
        <f ca="1">IF(COPIA!$EV$1&gt;0,"",IF(COPIA!$GP$1=1,COPIA!GO108,COPIA!IX108))</f>
        <v/>
      </c>
      <c r="H117" s="179" t="str">
        <f ca="1">IF(COPIA!$EV$1&gt;0,"",IF(COPIA!$GP$1=1,COPIA!GP108,COPIA!IY108))</f>
        <v/>
      </c>
      <c r="I117" s="14"/>
      <c r="J117" s="6" t="str">
        <f ca="1">IF(AND(G117="",H117=""),"",ROUND(SUM(G$12:G117),2)-ROUND(SUM(H$12:H117),2))</f>
        <v/>
      </c>
    </row>
    <row r="118" spans="1:10" ht="20.100000000000001" customHeight="1">
      <c r="A118" s="48"/>
      <c r="B118" s="31" t="str">
        <f t="shared" ca="1" si="2"/>
        <v/>
      </c>
      <c r="C118" s="31" t="str">
        <f t="shared" ca="1" si="3"/>
        <v/>
      </c>
      <c r="D118" s="20" t="str">
        <f ca="1">IF(AND(COPIA!$EV$1=0,B118&lt;&gt;"",COPIA!$GP$1=1),CONCATENATE("31/12/",COPIA!$EW$1),IF(AND(COPIA!$EV$1=0,B118&lt;&gt;"",COPIA!$GP$1=2),CONCATENATE("01/01/",COPIA!$EW$1),""))</f>
        <v/>
      </c>
      <c r="E118" s="178" t="str">
        <f ca="1">IF(COPIA!$EV$1&gt;0,"",IF(COPIA!$GP$1=1,COPIA!GN109,COPIA!HV109))</f>
        <v/>
      </c>
      <c r="F118" s="178" t="str">
        <f ca="1">IF(COPIA!$EV$1&gt;0,"",IF(COPIA!$GP$1=1,COPIA!GT109,COPIA!IZ109))</f>
        <v/>
      </c>
      <c r="G118" s="179" t="str">
        <f ca="1">IF(COPIA!$EV$1&gt;0,"",IF(COPIA!$GP$1=1,COPIA!GO109,COPIA!IX109))</f>
        <v/>
      </c>
      <c r="H118" s="179" t="str">
        <f ca="1">IF(COPIA!$EV$1&gt;0,"",IF(COPIA!$GP$1=1,COPIA!GP109,COPIA!IY109))</f>
        <v/>
      </c>
      <c r="I118" s="14"/>
      <c r="J118" s="6" t="str">
        <f ca="1">IF(AND(G118="",H118=""),"",ROUND(SUM(G$12:G118),2)-ROUND(SUM(H$12:H118),2))</f>
        <v/>
      </c>
    </row>
    <row r="119" spans="1:10" ht="20.100000000000001" customHeight="1">
      <c r="A119" s="48"/>
      <c r="B119" s="31" t="str">
        <f t="shared" ca="1" si="2"/>
        <v/>
      </c>
      <c r="C119" s="31" t="str">
        <f t="shared" ca="1" si="3"/>
        <v/>
      </c>
      <c r="D119" s="20" t="str">
        <f ca="1">IF(AND(COPIA!$EV$1=0,B119&lt;&gt;"",COPIA!$GP$1=1),CONCATENATE("31/12/",COPIA!$EW$1),IF(AND(COPIA!$EV$1=0,B119&lt;&gt;"",COPIA!$GP$1=2),CONCATENATE("01/01/",COPIA!$EW$1),""))</f>
        <v/>
      </c>
      <c r="E119" s="178" t="str">
        <f ca="1">IF(COPIA!$EV$1&gt;0,"",IF(COPIA!$GP$1=1,COPIA!GN110,COPIA!HV110))</f>
        <v/>
      </c>
      <c r="F119" s="178" t="str">
        <f ca="1">IF(COPIA!$EV$1&gt;0,"",IF(COPIA!$GP$1=1,COPIA!GT110,COPIA!IZ110))</f>
        <v/>
      </c>
      <c r="G119" s="179" t="str">
        <f ca="1">IF(COPIA!$EV$1&gt;0,"",IF(COPIA!$GP$1=1,COPIA!GO110,COPIA!IX110))</f>
        <v/>
      </c>
      <c r="H119" s="179" t="str">
        <f ca="1">IF(COPIA!$EV$1&gt;0,"",IF(COPIA!$GP$1=1,COPIA!GP110,COPIA!IY110))</f>
        <v/>
      </c>
      <c r="I119" s="14"/>
      <c r="J119" s="6" t="str">
        <f ca="1">IF(AND(G119="",H119=""),"",ROUND(SUM(G$12:G119),2)-ROUND(SUM(H$12:H119),2))</f>
        <v/>
      </c>
    </row>
    <row r="120" spans="1:10" ht="20.100000000000001" customHeight="1">
      <c r="A120" s="48"/>
      <c r="B120" s="31" t="str">
        <f t="shared" ca="1" si="2"/>
        <v/>
      </c>
      <c r="C120" s="31" t="str">
        <f t="shared" ca="1" si="3"/>
        <v/>
      </c>
      <c r="D120" s="20" t="str">
        <f ca="1">IF(AND(COPIA!$EV$1=0,B120&lt;&gt;"",COPIA!$GP$1=1),CONCATENATE("31/12/",COPIA!$EW$1),IF(AND(COPIA!$EV$1=0,B120&lt;&gt;"",COPIA!$GP$1=2),CONCATENATE("01/01/",COPIA!$EW$1),""))</f>
        <v/>
      </c>
      <c r="E120" s="178" t="str">
        <f ca="1">IF(COPIA!$EV$1&gt;0,"",IF(COPIA!$GP$1=1,COPIA!GN111,COPIA!HV111))</f>
        <v/>
      </c>
      <c r="F120" s="178" t="str">
        <f ca="1">IF(COPIA!$EV$1&gt;0,"",IF(COPIA!$GP$1=1,COPIA!GT111,COPIA!IZ111))</f>
        <v/>
      </c>
      <c r="G120" s="179" t="str">
        <f ca="1">IF(COPIA!$EV$1&gt;0,"",IF(COPIA!$GP$1=1,COPIA!GO111,COPIA!IX111))</f>
        <v/>
      </c>
      <c r="H120" s="179" t="str">
        <f ca="1">IF(COPIA!$EV$1&gt;0,"",IF(COPIA!$GP$1=1,COPIA!GP111,COPIA!IY111))</f>
        <v/>
      </c>
      <c r="I120" s="14"/>
      <c r="J120" s="6" t="str">
        <f ca="1">IF(AND(G120="",H120=""),"",ROUND(SUM(G$12:G120),2)-ROUND(SUM(H$12:H120),2))</f>
        <v/>
      </c>
    </row>
    <row r="121" spans="1:10" ht="20.100000000000001" customHeight="1">
      <c r="A121" s="48"/>
      <c r="B121" s="31" t="str">
        <f t="shared" ca="1" si="2"/>
        <v/>
      </c>
      <c r="C121" s="31" t="str">
        <f t="shared" ca="1" si="3"/>
        <v/>
      </c>
      <c r="D121" s="20" t="str">
        <f ca="1">IF(AND(COPIA!$EV$1=0,B121&lt;&gt;"",COPIA!$GP$1=1),CONCATENATE("31/12/",COPIA!$EW$1),IF(AND(COPIA!$EV$1=0,B121&lt;&gt;"",COPIA!$GP$1=2),CONCATENATE("01/01/",COPIA!$EW$1),""))</f>
        <v/>
      </c>
      <c r="E121" s="178" t="str">
        <f ca="1">IF(COPIA!$EV$1&gt;0,"",IF(COPIA!$GP$1=1,COPIA!GN112,COPIA!HV112))</f>
        <v/>
      </c>
      <c r="F121" s="178" t="str">
        <f ca="1">IF(COPIA!$EV$1&gt;0,"",IF(COPIA!$GP$1=1,COPIA!GT112,COPIA!IZ112))</f>
        <v/>
      </c>
      <c r="G121" s="179" t="str">
        <f ca="1">IF(COPIA!$EV$1&gt;0,"",IF(COPIA!$GP$1=1,COPIA!GO112,COPIA!IX112))</f>
        <v/>
      </c>
      <c r="H121" s="179" t="str">
        <f ca="1">IF(COPIA!$EV$1&gt;0,"",IF(COPIA!$GP$1=1,COPIA!GP112,COPIA!IY112))</f>
        <v/>
      </c>
      <c r="I121" s="14"/>
      <c r="J121" s="6" t="str">
        <f ca="1">IF(AND(G121="",H121=""),"",ROUND(SUM(G$12:G121),2)-ROUND(SUM(H$12:H121),2))</f>
        <v/>
      </c>
    </row>
    <row r="122" spans="1:10" ht="20.100000000000001" customHeight="1">
      <c r="A122" s="48"/>
      <c r="B122" s="31" t="str">
        <f t="shared" ca="1" si="2"/>
        <v/>
      </c>
      <c r="C122" s="31" t="str">
        <f t="shared" ca="1" si="3"/>
        <v/>
      </c>
      <c r="D122" s="20" t="str">
        <f ca="1">IF(AND(COPIA!$EV$1=0,B122&lt;&gt;"",COPIA!$GP$1=1),CONCATENATE("31/12/",COPIA!$EW$1),IF(AND(COPIA!$EV$1=0,B122&lt;&gt;"",COPIA!$GP$1=2),CONCATENATE("01/01/",COPIA!$EW$1),""))</f>
        <v/>
      </c>
      <c r="E122" s="178" t="str">
        <f ca="1">IF(COPIA!$EV$1&gt;0,"",IF(COPIA!$GP$1=1,COPIA!GN113,COPIA!HV113))</f>
        <v/>
      </c>
      <c r="F122" s="178" t="str">
        <f ca="1">IF(COPIA!$EV$1&gt;0,"",IF(COPIA!$GP$1=1,COPIA!GT113,COPIA!IZ113))</f>
        <v/>
      </c>
      <c r="G122" s="179" t="str">
        <f ca="1">IF(COPIA!$EV$1&gt;0,"",IF(COPIA!$GP$1=1,COPIA!GO113,COPIA!IX113))</f>
        <v/>
      </c>
      <c r="H122" s="179" t="str">
        <f ca="1">IF(COPIA!$EV$1&gt;0,"",IF(COPIA!$GP$1=1,COPIA!GP113,COPIA!IY113))</f>
        <v/>
      </c>
      <c r="I122" s="14"/>
      <c r="J122" s="6" t="str">
        <f ca="1">IF(AND(G122="",H122=""),"",ROUND(SUM(G$12:G122),2)-ROUND(SUM(H$12:H122),2))</f>
        <v/>
      </c>
    </row>
    <row r="123" spans="1:10" ht="20.100000000000001" customHeight="1">
      <c r="A123" s="48"/>
      <c r="B123" s="31" t="str">
        <f t="shared" ca="1" si="2"/>
        <v/>
      </c>
      <c r="C123" s="31" t="str">
        <f t="shared" ca="1" si="3"/>
        <v/>
      </c>
      <c r="D123" s="20" t="str">
        <f ca="1">IF(AND(COPIA!$EV$1=0,B123&lt;&gt;"",COPIA!$GP$1=1),CONCATENATE("31/12/",COPIA!$EW$1),IF(AND(COPIA!$EV$1=0,B123&lt;&gt;"",COPIA!$GP$1=2),CONCATENATE("01/01/",COPIA!$EW$1),""))</f>
        <v/>
      </c>
      <c r="E123" s="178" t="str">
        <f ca="1">IF(COPIA!$EV$1&gt;0,"",IF(COPIA!$GP$1=1,COPIA!GN114,COPIA!HV114))</f>
        <v/>
      </c>
      <c r="F123" s="178" t="str">
        <f ca="1">IF(COPIA!$EV$1&gt;0,"",IF(COPIA!$GP$1=1,COPIA!GT114,COPIA!IZ114))</f>
        <v/>
      </c>
      <c r="G123" s="179" t="str">
        <f ca="1">IF(COPIA!$EV$1&gt;0,"",IF(COPIA!$GP$1=1,COPIA!GO114,COPIA!IX114))</f>
        <v/>
      </c>
      <c r="H123" s="179" t="str">
        <f ca="1">IF(COPIA!$EV$1&gt;0,"",IF(COPIA!$GP$1=1,COPIA!GP114,COPIA!IY114))</f>
        <v/>
      </c>
      <c r="I123" s="14"/>
      <c r="J123" s="6" t="str">
        <f ca="1">IF(AND(G123="",H123=""),"",ROUND(SUM(G$12:G123),2)-ROUND(SUM(H$12:H123),2))</f>
        <v/>
      </c>
    </row>
    <row r="124" spans="1:10" ht="20.100000000000001" customHeight="1">
      <c r="A124" s="48"/>
      <c r="B124" s="31" t="str">
        <f t="shared" ca="1" si="2"/>
        <v/>
      </c>
      <c r="C124" s="31" t="str">
        <f t="shared" ca="1" si="3"/>
        <v/>
      </c>
      <c r="D124" s="20" t="str">
        <f ca="1">IF(AND(COPIA!$EV$1=0,B124&lt;&gt;"",COPIA!$GP$1=1),CONCATENATE("31/12/",COPIA!$EW$1),IF(AND(COPIA!$EV$1=0,B124&lt;&gt;"",COPIA!$GP$1=2),CONCATENATE("01/01/",COPIA!$EW$1),""))</f>
        <v/>
      </c>
      <c r="E124" s="178" t="str">
        <f ca="1">IF(COPIA!$EV$1&gt;0,"",IF(COPIA!$GP$1=1,COPIA!GN115,COPIA!HV115))</f>
        <v/>
      </c>
      <c r="F124" s="178" t="str">
        <f ca="1">IF(COPIA!$EV$1&gt;0,"",IF(COPIA!$GP$1=1,COPIA!GT115,COPIA!IZ115))</f>
        <v/>
      </c>
      <c r="G124" s="179" t="str">
        <f ca="1">IF(COPIA!$EV$1&gt;0,"",IF(COPIA!$GP$1=1,COPIA!GO115,COPIA!IX115))</f>
        <v/>
      </c>
      <c r="H124" s="179" t="str">
        <f ca="1">IF(COPIA!$EV$1&gt;0,"",IF(COPIA!$GP$1=1,COPIA!GP115,COPIA!IY115))</f>
        <v/>
      </c>
      <c r="I124" s="14"/>
      <c r="J124" s="6" t="str">
        <f ca="1">IF(AND(G124="",H124=""),"",ROUND(SUM(G$12:G124),2)-ROUND(SUM(H$12:H124),2))</f>
        <v/>
      </c>
    </row>
    <row r="125" spans="1:10" ht="20.100000000000001" customHeight="1">
      <c r="A125" s="48"/>
      <c r="B125" s="31" t="str">
        <f t="shared" ca="1" si="2"/>
        <v/>
      </c>
      <c r="C125" s="31" t="str">
        <f t="shared" ca="1" si="3"/>
        <v/>
      </c>
      <c r="D125" s="20" t="str">
        <f ca="1">IF(AND(COPIA!$EV$1=0,B125&lt;&gt;"",COPIA!$GP$1=1),CONCATENATE("31/12/",COPIA!$EW$1),IF(AND(COPIA!$EV$1=0,B125&lt;&gt;"",COPIA!$GP$1=2),CONCATENATE("01/01/",COPIA!$EW$1),""))</f>
        <v/>
      </c>
      <c r="E125" s="178" t="str">
        <f ca="1">IF(COPIA!$EV$1&gt;0,"",IF(COPIA!$GP$1=1,COPIA!GN116,COPIA!HV116))</f>
        <v/>
      </c>
      <c r="F125" s="178" t="str">
        <f ca="1">IF(COPIA!$EV$1&gt;0,"",IF(COPIA!$GP$1=1,COPIA!GT116,COPIA!IZ116))</f>
        <v/>
      </c>
      <c r="G125" s="179" t="str">
        <f ca="1">IF(COPIA!$EV$1&gt;0,"",IF(COPIA!$GP$1=1,COPIA!GO116,COPIA!IX116))</f>
        <v/>
      </c>
      <c r="H125" s="179" t="str">
        <f ca="1">IF(COPIA!$EV$1&gt;0,"",IF(COPIA!$GP$1=1,COPIA!GP116,COPIA!IY116))</f>
        <v/>
      </c>
      <c r="I125" s="14"/>
      <c r="J125" s="6" t="str">
        <f ca="1">IF(AND(G125="",H125=""),"",ROUND(SUM(G$12:G125),2)-ROUND(SUM(H$12:H125),2))</f>
        <v/>
      </c>
    </row>
    <row r="126" spans="1:10" ht="20.100000000000001" customHeight="1">
      <c r="A126" s="48"/>
      <c r="B126" s="31" t="str">
        <f t="shared" ca="1" si="2"/>
        <v/>
      </c>
      <c r="C126" s="31" t="str">
        <f t="shared" ca="1" si="3"/>
        <v/>
      </c>
      <c r="D126" s="20" t="str">
        <f ca="1">IF(AND(COPIA!$EV$1=0,B126&lt;&gt;"",COPIA!$GP$1=1),CONCATENATE("31/12/",COPIA!$EW$1),IF(AND(COPIA!$EV$1=0,B126&lt;&gt;"",COPIA!$GP$1=2),CONCATENATE("01/01/",COPIA!$EW$1),""))</f>
        <v/>
      </c>
      <c r="E126" s="178" t="str">
        <f ca="1">IF(COPIA!$EV$1&gt;0,"",IF(COPIA!$GP$1=1,COPIA!GN117,COPIA!HV117))</f>
        <v/>
      </c>
      <c r="F126" s="178" t="str">
        <f ca="1">IF(COPIA!$EV$1&gt;0,"",IF(COPIA!$GP$1=1,COPIA!GT117,COPIA!IZ117))</f>
        <v/>
      </c>
      <c r="G126" s="179" t="str">
        <f ca="1">IF(COPIA!$EV$1&gt;0,"",IF(COPIA!$GP$1=1,COPIA!GO117,COPIA!IX117))</f>
        <v/>
      </c>
      <c r="H126" s="179" t="str">
        <f ca="1">IF(COPIA!$EV$1&gt;0,"",IF(COPIA!$GP$1=1,COPIA!GP117,COPIA!IY117))</f>
        <v/>
      </c>
      <c r="I126" s="14"/>
      <c r="J126" s="6" t="str">
        <f ca="1">IF(AND(G126="",H126=""),"",ROUND(SUM(G$12:G126),2)-ROUND(SUM(H$12:H126),2))</f>
        <v/>
      </c>
    </row>
    <row r="127" spans="1:10" ht="20.100000000000001" customHeight="1">
      <c r="A127" s="48"/>
      <c r="B127" s="31" t="str">
        <f t="shared" ca="1" si="2"/>
        <v/>
      </c>
      <c r="C127" s="31" t="str">
        <f t="shared" ca="1" si="3"/>
        <v/>
      </c>
      <c r="D127" s="20" t="str">
        <f ca="1">IF(AND(COPIA!$EV$1=0,B127&lt;&gt;"",COPIA!$GP$1=1),CONCATENATE("31/12/",COPIA!$EW$1),IF(AND(COPIA!$EV$1=0,B127&lt;&gt;"",COPIA!$GP$1=2),CONCATENATE("01/01/",COPIA!$EW$1),""))</f>
        <v/>
      </c>
      <c r="E127" s="178" t="str">
        <f ca="1">IF(COPIA!$EV$1&gt;0,"",IF(COPIA!$GP$1=1,COPIA!GN118,COPIA!HV118))</f>
        <v/>
      </c>
      <c r="F127" s="178" t="str">
        <f ca="1">IF(COPIA!$EV$1&gt;0,"",IF(COPIA!$GP$1=1,COPIA!GT118,COPIA!IZ118))</f>
        <v/>
      </c>
      <c r="G127" s="179" t="str">
        <f ca="1">IF(COPIA!$EV$1&gt;0,"",IF(COPIA!$GP$1=1,COPIA!GO118,COPIA!IX118))</f>
        <v/>
      </c>
      <c r="H127" s="179" t="str">
        <f ca="1">IF(COPIA!$EV$1&gt;0,"",IF(COPIA!$GP$1=1,COPIA!GP118,COPIA!IY118))</f>
        <v/>
      </c>
      <c r="I127" s="14"/>
      <c r="J127" s="6" t="str">
        <f ca="1">IF(AND(G127="",H127=""),"",ROUND(SUM(G$12:G127),2)-ROUND(SUM(H$12:H127),2))</f>
        <v/>
      </c>
    </row>
    <row r="128" spans="1:10" ht="20.100000000000001" customHeight="1">
      <c r="A128" s="48"/>
      <c r="B128" s="31" t="str">
        <f t="shared" ca="1" si="2"/>
        <v/>
      </c>
      <c r="C128" s="31" t="str">
        <f t="shared" ca="1" si="3"/>
        <v/>
      </c>
      <c r="D128" s="20" t="str">
        <f ca="1">IF(AND(COPIA!$EV$1=0,B128&lt;&gt;"",COPIA!$GP$1=1),CONCATENATE("31/12/",COPIA!$EW$1),IF(AND(COPIA!$EV$1=0,B128&lt;&gt;"",COPIA!$GP$1=2),CONCATENATE("01/01/",COPIA!$EW$1),""))</f>
        <v/>
      </c>
      <c r="E128" s="178" t="str">
        <f ca="1">IF(COPIA!$EV$1&gt;0,"",IF(COPIA!$GP$1=1,COPIA!GN119,COPIA!HV119))</f>
        <v/>
      </c>
      <c r="F128" s="178" t="str">
        <f ca="1">IF(COPIA!$EV$1&gt;0,"",IF(COPIA!$GP$1=1,COPIA!GT119,COPIA!IZ119))</f>
        <v/>
      </c>
      <c r="G128" s="179" t="str">
        <f ca="1">IF(COPIA!$EV$1&gt;0,"",IF(COPIA!$GP$1=1,COPIA!GO119,COPIA!IX119))</f>
        <v/>
      </c>
      <c r="H128" s="179" t="str">
        <f ca="1">IF(COPIA!$EV$1&gt;0,"",IF(COPIA!$GP$1=1,COPIA!GP119,COPIA!IY119))</f>
        <v/>
      </c>
      <c r="I128" s="14"/>
      <c r="J128" s="6" t="str">
        <f ca="1">IF(AND(G128="",H128=""),"",ROUND(SUM(G$12:G128),2)-ROUND(SUM(H$12:H128),2))</f>
        <v/>
      </c>
    </row>
    <row r="129" spans="1:10" ht="20.100000000000001" customHeight="1">
      <c r="A129" s="48"/>
      <c r="B129" s="31" t="str">
        <f t="shared" ca="1" si="2"/>
        <v/>
      </c>
      <c r="C129" s="31" t="str">
        <f t="shared" ca="1" si="3"/>
        <v/>
      </c>
      <c r="D129" s="20" t="str">
        <f ca="1">IF(AND(COPIA!$EV$1=0,B129&lt;&gt;"",COPIA!$GP$1=1),CONCATENATE("31/12/",COPIA!$EW$1),IF(AND(COPIA!$EV$1=0,B129&lt;&gt;"",COPIA!$GP$1=2),CONCATENATE("01/01/",COPIA!$EW$1),""))</f>
        <v/>
      </c>
      <c r="E129" s="178" t="str">
        <f ca="1">IF(COPIA!$EV$1&gt;0,"",IF(COPIA!$GP$1=1,COPIA!GN120,COPIA!HV120))</f>
        <v/>
      </c>
      <c r="F129" s="178" t="str">
        <f ca="1">IF(COPIA!$EV$1&gt;0,"",IF(COPIA!$GP$1=1,COPIA!GT120,COPIA!IZ120))</f>
        <v/>
      </c>
      <c r="G129" s="179" t="str">
        <f ca="1">IF(COPIA!$EV$1&gt;0,"",IF(COPIA!$GP$1=1,COPIA!GO120,COPIA!IX120))</f>
        <v/>
      </c>
      <c r="H129" s="179" t="str">
        <f ca="1">IF(COPIA!$EV$1&gt;0,"",IF(COPIA!$GP$1=1,COPIA!GP120,COPIA!IY120))</f>
        <v/>
      </c>
      <c r="I129" s="14"/>
      <c r="J129" s="6" t="str">
        <f ca="1">IF(AND(G129="",H129=""),"",ROUND(SUM(G$12:G129),2)-ROUND(SUM(H$12:H129),2))</f>
        <v/>
      </c>
    </row>
    <row r="130" spans="1:10" ht="20.100000000000001" customHeight="1">
      <c r="A130" s="48"/>
      <c r="B130" s="31" t="str">
        <f t="shared" ca="1" si="2"/>
        <v/>
      </c>
      <c r="C130" s="31" t="str">
        <f t="shared" ca="1" si="3"/>
        <v/>
      </c>
      <c r="D130" s="20" t="str">
        <f ca="1">IF(AND(COPIA!$EV$1=0,B130&lt;&gt;"",COPIA!$GP$1=1),CONCATENATE("31/12/",COPIA!$EW$1),IF(AND(COPIA!$EV$1=0,B130&lt;&gt;"",COPIA!$GP$1=2),CONCATENATE("01/01/",COPIA!$EW$1),""))</f>
        <v/>
      </c>
      <c r="E130" s="178" t="str">
        <f ca="1">IF(COPIA!$EV$1&gt;0,"",IF(COPIA!$GP$1=1,COPIA!GN121,COPIA!HV121))</f>
        <v/>
      </c>
      <c r="F130" s="178" t="str">
        <f ca="1">IF(COPIA!$EV$1&gt;0,"",IF(COPIA!$GP$1=1,COPIA!GT121,COPIA!IZ121))</f>
        <v/>
      </c>
      <c r="G130" s="179" t="str">
        <f ca="1">IF(COPIA!$EV$1&gt;0,"",IF(COPIA!$GP$1=1,COPIA!GO121,COPIA!IX121))</f>
        <v/>
      </c>
      <c r="H130" s="179" t="str">
        <f ca="1">IF(COPIA!$EV$1&gt;0,"",IF(COPIA!$GP$1=1,COPIA!GP121,COPIA!IY121))</f>
        <v/>
      </c>
      <c r="I130" s="14"/>
      <c r="J130" s="6" t="str">
        <f ca="1">IF(AND(G130="",H130=""),"",ROUND(SUM(G$12:G130),2)-ROUND(SUM(H$12:H130),2))</f>
        <v/>
      </c>
    </row>
    <row r="131" spans="1:10" ht="20.100000000000001" customHeight="1">
      <c r="A131" s="48"/>
      <c r="B131" s="31" t="str">
        <f t="shared" ca="1" si="2"/>
        <v/>
      </c>
      <c r="C131" s="31" t="str">
        <f t="shared" ca="1" si="3"/>
        <v/>
      </c>
      <c r="D131" s="20" t="str">
        <f ca="1">IF(AND(COPIA!$EV$1=0,B131&lt;&gt;"",COPIA!$GP$1=1),CONCATENATE("31/12/",COPIA!$EW$1),IF(AND(COPIA!$EV$1=0,B131&lt;&gt;"",COPIA!$GP$1=2),CONCATENATE("01/01/",COPIA!$EW$1),""))</f>
        <v/>
      </c>
      <c r="E131" s="178" t="str">
        <f ca="1">IF(COPIA!$EV$1&gt;0,"",IF(COPIA!$GP$1=1,COPIA!GN122,COPIA!HV122))</f>
        <v/>
      </c>
      <c r="F131" s="178" t="str">
        <f ca="1">IF(COPIA!$EV$1&gt;0,"",IF(COPIA!$GP$1=1,COPIA!GT122,COPIA!IZ122))</f>
        <v/>
      </c>
      <c r="G131" s="179" t="str">
        <f ca="1">IF(COPIA!$EV$1&gt;0,"",IF(COPIA!$GP$1=1,COPIA!GO122,COPIA!IX122))</f>
        <v/>
      </c>
      <c r="H131" s="179" t="str">
        <f ca="1">IF(COPIA!$EV$1&gt;0,"",IF(COPIA!$GP$1=1,COPIA!GP122,COPIA!IY122))</f>
        <v/>
      </c>
      <c r="I131" s="14"/>
      <c r="J131" s="6" t="str">
        <f ca="1">IF(AND(G131="",H131=""),"",ROUND(SUM(G$12:G131),2)-ROUND(SUM(H$12:H131),2))</f>
        <v/>
      </c>
    </row>
    <row r="132" spans="1:10" ht="20.100000000000001" customHeight="1">
      <c r="A132" s="48"/>
      <c r="B132" s="31" t="str">
        <f t="shared" ca="1" si="2"/>
        <v/>
      </c>
      <c r="C132" s="31" t="str">
        <f t="shared" ca="1" si="3"/>
        <v/>
      </c>
      <c r="D132" s="20" t="str">
        <f ca="1">IF(AND(COPIA!$EV$1=0,B132&lt;&gt;"",COPIA!$GP$1=1),CONCATENATE("31/12/",COPIA!$EW$1),IF(AND(COPIA!$EV$1=0,B132&lt;&gt;"",COPIA!$GP$1=2),CONCATENATE("01/01/",COPIA!$EW$1),""))</f>
        <v/>
      </c>
      <c r="E132" s="178" t="str">
        <f ca="1">IF(COPIA!$EV$1&gt;0,"",IF(COPIA!$GP$1=1,COPIA!GN123,COPIA!HV123))</f>
        <v/>
      </c>
      <c r="F132" s="178" t="str">
        <f ca="1">IF(COPIA!$EV$1&gt;0,"",IF(COPIA!$GP$1=1,COPIA!GT123,COPIA!IZ123))</f>
        <v/>
      </c>
      <c r="G132" s="179" t="str">
        <f ca="1">IF(COPIA!$EV$1&gt;0,"",IF(COPIA!$GP$1=1,COPIA!GO123,COPIA!IX123))</f>
        <v/>
      </c>
      <c r="H132" s="179" t="str">
        <f ca="1">IF(COPIA!$EV$1&gt;0,"",IF(COPIA!$GP$1=1,COPIA!GP123,COPIA!IY123))</f>
        <v/>
      </c>
      <c r="I132" s="14"/>
      <c r="J132" s="6" t="str">
        <f ca="1">IF(AND(G132="",H132=""),"",ROUND(SUM(G$12:G132),2)-ROUND(SUM(H$12:H132),2))</f>
        <v/>
      </c>
    </row>
    <row r="133" spans="1:10" ht="20.100000000000001" customHeight="1">
      <c r="A133" s="48"/>
      <c r="B133" s="31" t="str">
        <f t="shared" ca="1" si="2"/>
        <v/>
      </c>
      <c r="C133" s="31" t="str">
        <f t="shared" ca="1" si="3"/>
        <v/>
      </c>
      <c r="D133" s="20" t="str">
        <f ca="1">IF(AND(COPIA!$EV$1=0,B133&lt;&gt;"",COPIA!$GP$1=1),CONCATENATE("31/12/",COPIA!$EW$1),IF(AND(COPIA!$EV$1=0,B133&lt;&gt;"",COPIA!$GP$1=2),CONCATENATE("01/01/",COPIA!$EW$1),""))</f>
        <v/>
      </c>
      <c r="E133" s="178" t="str">
        <f ca="1">IF(COPIA!$EV$1&gt;0,"",IF(COPIA!$GP$1=1,COPIA!GN124,COPIA!HV124))</f>
        <v/>
      </c>
      <c r="F133" s="178" t="str">
        <f ca="1">IF(COPIA!$EV$1&gt;0,"",IF(COPIA!$GP$1=1,COPIA!GT124,COPIA!IZ124))</f>
        <v/>
      </c>
      <c r="G133" s="179" t="str">
        <f ca="1">IF(COPIA!$EV$1&gt;0,"",IF(COPIA!$GP$1=1,COPIA!GO124,COPIA!IX124))</f>
        <v/>
      </c>
      <c r="H133" s="179" t="str">
        <f ca="1">IF(COPIA!$EV$1&gt;0,"",IF(COPIA!$GP$1=1,COPIA!GP124,COPIA!IY124))</f>
        <v/>
      </c>
      <c r="I133" s="14"/>
      <c r="J133" s="6" t="str">
        <f ca="1">IF(AND(G133="",H133=""),"",ROUND(SUM(G$12:G133),2)-ROUND(SUM(H$12:H133),2))</f>
        <v/>
      </c>
    </row>
    <row r="134" spans="1:10" ht="20.100000000000001" customHeight="1">
      <c r="A134" s="48"/>
      <c r="B134" s="31" t="str">
        <f t="shared" ca="1" si="2"/>
        <v/>
      </c>
      <c r="C134" s="31" t="str">
        <f t="shared" ca="1" si="3"/>
        <v/>
      </c>
      <c r="D134" s="20" t="str">
        <f ca="1">IF(AND(COPIA!$EV$1=0,B134&lt;&gt;"",COPIA!$GP$1=1),CONCATENATE("31/12/",COPIA!$EW$1),IF(AND(COPIA!$EV$1=0,B134&lt;&gt;"",COPIA!$GP$1=2),CONCATENATE("01/01/",COPIA!$EW$1),""))</f>
        <v/>
      </c>
      <c r="E134" s="178" t="str">
        <f ca="1">IF(COPIA!$EV$1&gt;0,"",IF(COPIA!$GP$1=1,COPIA!GN125,COPIA!HV125))</f>
        <v/>
      </c>
      <c r="F134" s="178" t="str">
        <f ca="1">IF(COPIA!$EV$1&gt;0,"",IF(COPIA!$GP$1=1,COPIA!GT125,COPIA!IZ125))</f>
        <v/>
      </c>
      <c r="G134" s="179" t="str">
        <f ca="1">IF(COPIA!$EV$1&gt;0,"",IF(COPIA!$GP$1=1,COPIA!GO125,COPIA!IX125))</f>
        <v/>
      </c>
      <c r="H134" s="179" t="str">
        <f ca="1">IF(COPIA!$EV$1&gt;0,"",IF(COPIA!$GP$1=1,COPIA!GP125,COPIA!IY125))</f>
        <v/>
      </c>
      <c r="I134" s="14"/>
      <c r="J134" s="6" t="str">
        <f ca="1">IF(AND(G134="",H134=""),"",ROUND(SUM(G$12:G134),2)-ROUND(SUM(H$12:H134),2))</f>
        <v/>
      </c>
    </row>
    <row r="135" spans="1:10" ht="20.100000000000001" customHeight="1">
      <c r="A135" s="48"/>
      <c r="B135" s="31" t="str">
        <f t="shared" ca="1" si="2"/>
        <v/>
      </c>
      <c r="C135" s="31" t="str">
        <f t="shared" ca="1" si="3"/>
        <v/>
      </c>
      <c r="D135" s="20" t="str">
        <f ca="1">IF(AND(COPIA!$EV$1=0,B135&lt;&gt;"",COPIA!$GP$1=1),CONCATENATE("31/12/",COPIA!$EW$1),IF(AND(COPIA!$EV$1=0,B135&lt;&gt;"",COPIA!$GP$1=2),CONCATENATE("01/01/",COPIA!$EW$1),""))</f>
        <v/>
      </c>
      <c r="E135" s="178" t="str">
        <f ca="1">IF(COPIA!$EV$1&gt;0,"",IF(COPIA!$GP$1=1,COPIA!GN126,COPIA!HV126))</f>
        <v/>
      </c>
      <c r="F135" s="178" t="str">
        <f ca="1">IF(COPIA!$EV$1&gt;0,"",IF(COPIA!$GP$1=1,COPIA!GT126,COPIA!IZ126))</f>
        <v/>
      </c>
      <c r="G135" s="179" t="str">
        <f ca="1">IF(COPIA!$EV$1&gt;0,"",IF(COPIA!$GP$1=1,COPIA!GO126,COPIA!IX126))</f>
        <v/>
      </c>
      <c r="H135" s="179" t="str">
        <f ca="1">IF(COPIA!$EV$1&gt;0,"",IF(COPIA!$GP$1=1,COPIA!GP126,COPIA!IY126))</f>
        <v/>
      </c>
      <c r="I135" s="14"/>
      <c r="J135" s="6" t="str">
        <f ca="1">IF(AND(G135="",H135=""),"",ROUND(SUM(G$12:G135),2)-ROUND(SUM(H$12:H135),2))</f>
        <v/>
      </c>
    </row>
    <row r="136" spans="1:10" ht="20.100000000000001" customHeight="1">
      <c r="A136" s="48"/>
      <c r="B136" s="31" t="str">
        <f t="shared" ca="1" si="2"/>
        <v/>
      </c>
      <c r="C136" s="31" t="str">
        <f t="shared" ca="1" si="3"/>
        <v/>
      </c>
      <c r="D136" s="20" t="str">
        <f ca="1">IF(AND(COPIA!$EV$1=0,B136&lt;&gt;"",COPIA!$GP$1=1),CONCATENATE("31/12/",COPIA!$EW$1),IF(AND(COPIA!$EV$1=0,B136&lt;&gt;"",COPIA!$GP$1=2),CONCATENATE("01/01/",COPIA!$EW$1),""))</f>
        <v/>
      </c>
      <c r="E136" s="178" t="str">
        <f ca="1">IF(COPIA!$EV$1&gt;0,"",IF(COPIA!$GP$1=1,COPIA!GN127,COPIA!HV127))</f>
        <v/>
      </c>
      <c r="F136" s="178" t="str">
        <f ca="1">IF(COPIA!$EV$1&gt;0,"",IF(COPIA!$GP$1=1,COPIA!GT127,COPIA!IZ127))</f>
        <v/>
      </c>
      <c r="G136" s="179" t="str">
        <f ca="1">IF(COPIA!$EV$1&gt;0,"",IF(COPIA!$GP$1=1,COPIA!GO127,COPIA!IX127))</f>
        <v/>
      </c>
      <c r="H136" s="179" t="str">
        <f ca="1">IF(COPIA!$EV$1&gt;0,"",IF(COPIA!$GP$1=1,COPIA!GP127,COPIA!IY127))</f>
        <v/>
      </c>
      <c r="I136" s="14"/>
      <c r="J136" s="6" t="str">
        <f ca="1">IF(AND(G136="",H136=""),"",ROUND(SUM(G$12:G136),2)-ROUND(SUM(H$12:H136),2))</f>
        <v/>
      </c>
    </row>
    <row r="137" spans="1:10" ht="20.100000000000001" customHeight="1">
      <c r="A137" s="48"/>
      <c r="B137" s="31" t="str">
        <f t="shared" ca="1" si="2"/>
        <v/>
      </c>
      <c r="C137" s="31" t="str">
        <f t="shared" ca="1" si="3"/>
        <v/>
      </c>
      <c r="D137" s="20" t="str">
        <f ca="1">IF(AND(COPIA!$EV$1=0,B137&lt;&gt;"",COPIA!$GP$1=1),CONCATENATE("31/12/",COPIA!$EW$1),IF(AND(COPIA!$EV$1=0,B137&lt;&gt;"",COPIA!$GP$1=2),CONCATENATE("01/01/",COPIA!$EW$1),""))</f>
        <v/>
      </c>
      <c r="E137" s="178" t="str">
        <f ca="1">IF(COPIA!$EV$1&gt;0,"",IF(COPIA!$GP$1=1,COPIA!GN128,COPIA!HV128))</f>
        <v/>
      </c>
      <c r="F137" s="178" t="str">
        <f ca="1">IF(COPIA!$EV$1&gt;0,"",IF(COPIA!$GP$1=1,COPIA!GT128,COPIA!IZ128))</f>
        <v/>
      </c>
      <c r="G137" s="179" t="str">
        <f ca="1">IF(COPIA!$EV$1&gt;0,"",IF(COPIA!$GP$1=1,COPIA!GO128,COPIA!IX128))</f>
        <v/>
      </c>
      <c r="H137" s="179" t="str">
        <f ca="1">IF(COPIA!$EV$1&gt;0,"",IF(COPIA!$GP$1=1,COPIA!GP128,COPIA!IY128))</f>
        <v/>
      </c>
      <c r="I137" s="14"/>
      <c r="J137" s="6" t="str">
        <f ca="1">IF(AND(G137="",H137=""),"",ROUND(SUM(G$12:G137),2)-ROUND(SUM(H$12:H137),2))</f>
        <v/>
      </c>
    </row>
    <row r="138" spans="1:10" ht="20.100000000000001" customHeight="1">
      <c r="A138" s="48"/>
      <c r="B138" s="31" t="str">
        <f t="shared" ca="1" si="2"/>
        <v/>
      </c>
      <c r="C138" s="31" t="str">
        <f t="shared" ca="1" si="3"/>
        <v/>
      </c>
      <c r="D138" s="20" t="str">
        <f ca="1">IF(AND(COPIA!$EV$1=0,B138&lt;&gt;"",COPIA!$GP$1=1),CONCATENATE("31/12/",COPIA!$EW$1),IF(AND(COPIA!$EV$1=0,B138&lt;&gt;"",COPIA!$GP$1=2),CONCATENATE("01/01/",COPIA!$EW$1),""))</f>
        <v/>
      </c>
      <c r="E138" s="178" t="str">
        <f ca="1">IF(COPIA!$EV$1&gt;0,"",IF(COPIA!$GP$1=1,COPIA!GN129,COPIA!HV129))</f>
        <v/>
      </c>
      <c r="F138" s="178" t="str">
        <f ca="1">IF(COPIA!$EV$1&gt;0,"",IF(COPIA!$GP$1=1,COPIA!GT129,COPIA!IZ129))</f>
        <v/>
      </c>
      <c r="G138" s="179" t="str">
        <f ca="1">IF(COPIA!$EV$1&gt;0,"",IF(COPIA!$GP$1=1,COPIA!GO129,COPIA!IX129))</f>
        <v/>
      </c>
      <c r="H138" s="179" t="str">
        <f ca="1">IF(COPIA!$EV$1&gt;0,"",IF(COPIA!$GP$1=1,COPIA!GP129,COPIA!IY129))</f>
        <v/>
      </c>
      <c r="I138" s="14"/>
      <c r="J138" s="6" t="str">
        <f ca="1">IF(AND(G138="",H138=""),"",ROUND(SUM(G$12:G138),2)-ROUND(SUM(H$12:H138),2))</f>
        <v/>
      </c>
    </row>
    <row r="139" spans="1:10" ht="20.100000000000001" customHeight="1">
      <c r="A139" s="48"/>
      <c r="B139" s="31" t="str">
        <f t="shared" ca="1" si="2"/>
        <v/>
      </c>
      <c r="C139" s="31" t="str">
        <f t="shared" ca="1" si="3"/>
        <v/>
      </c>
      <c r="D139" s="20" t="str">
        <f ca="1">IF(AND(COPIA!$EV$1=0,B139&lt;&gt;"",COPIA!$GP$1=1),CONCATENATE("31/12/",COPIA!$EW$1),IF(AND(COPIA!$EV$1=0,B139&lt;&gt;"",COPIA!$GP$1=2),CONCATENATE("01/01/",COPIA!$EW$1),""))</f>
        <v/>
      </c>
      <c r="E139" s="178" t="str">
        <f ca="1">IF(COPIA!$EV$1&gt;0,"",IF(COPIA!$GP$1=1,COPIA!GN130,COPIA!HV130))</f>
        <v/>
      </c>
      <c r="F139" s="178" t="str">
        <f ca="1">IF(COPIA!$EV$1&gt;0,"",IF(COPIA!$GP$1=1,COPIA!GT130,COPIA!IZ130))</f>
        <v/>
      </c>
      <c r="G139" s="179" t="str">
        <f ca="1">IF(COPIA!$EV$1&gt;0,"",IF(COPIA!$GP$1=1,COPIA!GO130,COPIA!IX130))</f>
        <v/>
      </c>
      <c r="H139" s="179" t="str">
        <f ca="1">IF(COPIA!$EV$1&gt;0,"",IF(COPIA!$GP$1=1,COPIA!GP130,COPIA!IY130))</f>
        <v/>
      </c>
      <c r="I139" s="14"/>
      <c r="J139" s="6" t="str">
        <f ca="1">IF(AND(G139="",H139=""),"",ROUND(SUM(G$12:G139),2)-ROUND(SUM(H$12:H139),2))</f>
        <v/>
      </c>
    </row>
    <row r="140" spans="1:10" ht="20.100000000000001" customHeight="1">
      <c r="A140" s="48"/>
      <c r="B140" s="31" t="str">
        <f t="shared" ref="B140:B203" ca="1" si="4">IFERROR(INDEX(PIANO_DEI_CONTI,MATCH(E140,DENOMINAZIONE,0),1),"")</f>
        <v/>
      </c>
      <c r="C140" s="31" t="str">
        <f t="shared" ca="1" si="3"/>
        <v/>
      </c>
      <c r="D140" s="20" t="str">
        <f ca="1">IF(AND(COPIA!$EV$1=0,B140&lt;&gt;"",COPIA!$GP$1=1),CONCATENATE("31/12/",COPIA!$EW$1),IF(AND(COPIA!$EV$1=0,B140&lt;&gt;"",COPIA!$GP$1=2),CONCATENATE("01/01/",COPIA!$EW$1),""))</f>
        <v/>
      </c>
      <c r="E140" s="178" t="str">
        <f ca="1">IF(COPIA!$EV$1&gt;0,"",IF(COPIA!$GP$1=1,COPIA!GN131,COPIA!HV131))</f>
        <v/>
      </c>
      <c r="F140" s="178" t="str">
        <f ca="1">IF(COPIA!$EV$1&gt;0,"",IF(COPIA!$GP$1=1,COPIA!GT131,COPIA!IZ131))</f>
        <v/>
      </c>
      <c r="G140" s="179" t="str">
        <f ca="1">IF(COPIA!$EV$1&gt;0,"",IF(COPIA!$GP$1=1,COPIA!GO131,COPIA!IX131))</f>
        <v/>
      </c>
      <c r="H140" s="179" t="str">
        <f ca="1">IF(COPIA!$EV$1&gt;0,"",IF(COPIA!$GP$1=1,COPIA!GP131,COPIA!IY131))</f>
        <v/>
      </c>
      <c r="I140" s="14"/>
      <c r="J140" s="6" t="str">
        <f ca="1">IF(AND(G140="",H140=""),"",ROUND(SUM(G$12:G140),2)-ROUND(SUM(H$12:H140),2))</f>
        <v/>
      </c>
    </row>
    <row r="141" spans="1:10" ht="20.100000000000001" customHeight="1">
      <c r="A141" s="48"/>
      <c r="B141" s="31" t="str">
        <f t="shared" ca="1" si="4"/>
        <v/>
      </c>
      <c r="C141" s="31" t="str">
        <f t="shared" ref="C141:C204" ca="1" si="5">IF(B141&lt;&gt;"",ROW()-11,"")</f>
        <v/>
      </c>
      <c r="D141" s="20" t="str">
        <f ca="1">IF(AND(COPIA!$EV$1=0,B141&lt;&gt;"",COPIA!$GP$1=1),CONCATENATE("31/12/",COPIA!$EW$1),IF(AND(COPIA!$EV$1=0,B141&lt;&gt;"",COPIA!$GP$1=2),CONCATENATE("01/01/",COPIA!$EW$1),""))</f>
        <v/>
      </c>
      <c r="E141" s="178" t="str">
        <f ca="1">IF(COPIA!$EV$1&gt;0,"",IF(COPIA!$GP$1=1,COPIA!GN132,COPIA!HV132))</f>
        <v/>
      </c>
      <c r="F141" s="178" t="str">
        <f ca="1">IF(COPIA!$EV$1&gt;0,"",IF(COPIA!$GP$1=1,COPIA!GT132,COPIA!IZ132))</f>
        <v/>
      </c>
      <c r="G141" s="179" t="str">
        <f ca="1">IF(COPIA!$EV$1&gt;0,"",IF(COPIA!$GP$1=1,COPIA!GO132,COPIA!IX132))</f>
        <v/>
      </c>
      <c r="H141" s="179" t="str">
        <f ca="1">IF(COPIA!$EV$1&gt;0,"",IF(COPIA!$GP$1=1,COPIA!GP132,COPIA!IY132))</f>
        <v/>
      </c>
      <c r="I141" s="14"/>
      <c r="J141" s="6" t="str">
        <f ca="1">IF(AND(G141="",H141=""),"",ROUND(SUM(G$12:G141),2)-ROUND(SUM(H$12:H141),2))</f>
        <v/>
      </c>
    </row>
    <row r="142" spans="1:10" ht="20.100000000000001" customHeight="1">
      <c r="A142" s="48"/>
      <c r="B142" s="31" t="str">
        <f t="shared" ca="1" si="4"/>
        <v/>
      </c>
      <c r="C142" s="31" t="str">
        <f t="shared" ca="1" si="5"/>
        <v/>
      </c>
      <c r="D142" s="20" t="str">
        <f ca="1">IF(AND(COPIA!$EV$1=0,B142&lt;&gt;"",COPIA!$GP$1=1),CONCATENATE("31/12/",COPIA!$EW$1),IF(AND(COPIA!$EV$1=0,B142&lt;&gt;"",COPIA!$GP$1=2),CONCATENATE("01/01/",COPIA!$EW$1),""))</f>
        <v/>
      </c>
      <c r="E142" s="178" t="str">
        <f ca="1">IF(COPIA!$EV$1&gt;0,"",IF(COPIA!$GP$1=1,COPIA!GN133,COPIA!HV133))</f>
        <v/>
      </c>
      <c r="F142" s="178" t="str">
        <f ca="1">IF(COPIA!$EV$1&gt;0,"",IF(COPIA!$GP$1=1,COPIA!GT133,COPIA!IZ133))</f>
        <v/>
      </c>
      <c r="G142" s="179" t="str">
        <f ca="1">IF(COPIA!$EV$1&gt;0,"",IF(COPIA!$GP$1=1,COPIA!GO133,COPIA!IX133))</f>
        <v/>
      </c>
      <c r="H142" s="179" t="str">
        <f ca="1">IF(COPIA!$EV$1&gt;0,"",IF(COPIA!$GP$1=1,COPIA!GP133,COPIA!IY133))</f>
        <v/>
      </c>
      <c r="I142" s="14"/>
      <c r="J142" s="6" t="str">
        <f ca="1">IF(AND(G142="",H142=""),"",ROUND(SUM(G$12:G142),2)-ROUND(SUM(H$12:H142),2))</f>
        <v/>
      </c>
    </row>
    <row r="143" spans="1:10" ht="20.100000000000001" customHeight="1">
      <c r="A143" s="48"/>
      <c r="B143" s="31" t="str">
        <f t="shared" ca="1" si="4"/>
        <v/>
      </c>
      <c r="C143" s="31" t="str">
        <f t="shared" ca="1" si="5"/>
        <v/>
      </c>
      <c r="D143" s="20" t="str">
        <f ca="1">IF(AND(COPIA!$EV$1=0,B143&lt;&gt;"",COPIA!$GP$1=1),CONCATENATE("31/12/",COPIA!$EW$1),IF(AND(COPIA!$EV$1=0,B143&lt;&gt;"",COPIA!$GP$1=2),CONCATENATE("01/01/",COPIA!$EW$1),""))</f>
        <v/>
      </c>
      <c r="E143" s="178" t="str">
        <f ca="1">IF(COPIA!$EV$1&gt;0,"",IF(COPIA!$GP$1=1,COPIA!GN134,COPIA!HV134))</f>
        <v/>
      </c>
      <c r="F143" s="178" t="str">
        <f ca="1">IF(COPIA!$EV$1&gt;0,"",IF(COPIA!$GP$1=1,COPIA!GT134,COPIA!IZ134))</f>
        <v/>
      </c>
      <c r="G143" s="179" t="str">
        <f ca="1">IF(COPIA!$EV$1&gt;0,"",IF(COPIA!$GP$1=1,COPIA!GO134,COPIA!IX134))</f>
        <v/>
      </c>
      <c r="H143" s="179" t="str">
        <f ca="1">IF(COPIA!$EV$1&gt;0,"",IF(COPIA!$GP$1=1,COPIA!GP134,COPIA!IY134))</f>
        <v/>
      </c>
      <c r="I143" s="14"/>
      <c r="J143" s="6" t="str">
        <f ca="1">IF(AND(G143="",H143=""),"",ROUND(SUM(G$12:G143),2)-ROUND(SUM(H$12:H143),2))</f>
        <v/>
      </c>
    </row>
    <row r="144" spans="1:10" ht="20.100000000000001" customHeight="1">
      <c r="A144" s="48"/>
      <c r="B144" s="31" t="str">
        <f t="shared" ca="1" si="4"/>
        <v/>
      </c>
      <c r="C144" s="31" t="str">
        <f t="shared" ca="1" si="5"/>
        <v/>
      </c>
      <c r="D144" s="20" t="str">
        <f ca="1">IF(AND(COPIA!$EV$1=0,B144&lt;&gt;"",COPIA!$GP$1=1),CONCATENATE("31/12/",COPIA!$EW$1),IF(AND(COPIA!$EV$1=0,B144&lt;&gt;"",COPIA!$GP$1=2),CONCATENATE("01/01/",COPIA!$EW$1),""))</f>
        <v/>
      </c>
      <c r="E144" s="178" t="str">
        <f ca="1">IF(COPIA!$EV$1&gt;0,"",IF(COPIA!$GP$1=1,COPIA!GN135,COPIA!HV135))</f>
        <v/>
      </c>
      <c r="F144" s="178" t="str">
        <f ca="1">IF(COPIA!$EV$1&gt;0,"",IF(COPIA!$GP$1=1,COPIA!GT135,COPIA!IZ135))</f>
        <v/>
      </c>
      <c r="G144" s="179" t="str">
        <f ca="1">IF(COPIA!$EV$1&gt;0,"",IF(COPIA!$GP$1=1,COPIA!GO135,COPIA!IX135))</f>
        <v/>
      </c>
      <c r="H144" s="179" t="str">
        <f ca="1">IF(COPIA!$EV$1&gt;0,"",IF(COPIA!$GP$1=1,COPIA!GP135,COPIA!IY135))</f>
        <v/>
      </c>
      <c r="I144" s="14"/>
      <c r="J144" s="6" t="str">
        <f ca="1">IF(AND(G144="",H144=""),"",ROUND(SUM(G$12:G144),2)-ROUND(SUM(H$12:H144),2))</f>
        <v/>
      </c>
    </row>
    <row r="145" spans="1:10" ht="20.100000000000001" customHeight="1">
      <c r="A145" s="48"/>
      <c r="B145" s="31" t="str">
        <f t="shared" ca="1" si="4"/>
        <v/>
      </c>
      <c r="C145" s="31" t="str">
        <f t="shared" ca="1" si="5"/>
        <v/>
      </c>
      <c r="D145" s="20" t="str">
        <f ca="1">IF(AND(COPIA!$EV$1=0,B145&lt;&gt;"",COPIA!$GP$1=1),CONCATENATE("31/12/",COPIA!$EW$1),IF(AND(COPIA!$EV$1=0,B145&lt;&gt;"",COPIA!$GP$1=2),CONCATENATE("01/01/",COPIA!$EW$1),""))</f>
        <v/>
      </c>
      <c r="E145" s="178" t="str">
        <f ca="1">IF(COPIA!$EV$1&gt;0,"",IF(COPIA!$GP$1=1,COPIA!GN136,COPIA!HV136))</f>
        <v/>
      </c>
      <c r="F145" s="178" t="str">
        <f ca="1">IF(COPIA!$EV$1&gt;0,"",IF(COPIA!$GP$1=1,COPIA!GT136,COPIA!IZ136))</f>
        <v/>
      </c>
      <c r="G145" s="179" t="str">
        <f ca="1">IF(COPIA!$EV$1&gt;0,"",IF(COPIA!$GP$1=1,COPIA!GO136,COPIA!IX136))</f>
        <v/>
      </c>
      <c r="H145" s="179" t="str">
        <f ca="1">IF(COPIA!$EV$1&gt;0,"",IF(COPIA!$GP$1=1,COPIA!GP136,COPIA!IY136))</f>
        <v/>
      </c>
      <c r="I145" s="14"/>
      <c r="J145" s="6" t="str">
        <f ca="1">IF(AND(G145="",H145=""),"",ROUND(SUM(G$12:G145),2)-ROUND(SUM(H$12:H145),2))</f>
        <v/>
      </c>
    </row>
    <row r="146" spans="1:10" ht="20.100000000000001" customHeight="1">
      <c r="A146" s="48"/>
      <c r="B146" s="31" t="str">
        <f t="shared" ca="1" si="4"/>
        <v/>
      </c>
      <c r="C146" s="31" t="str">
        <f t="shared" ca="1" si="5"/>
        <v/>
      </c>
      <c r="D146" s="20" t="str">
        <f ca="1">IF(AND(COPIA!$EV$1=0,B146&lt;&gt;"",COPIA!$GP$1=1),CONCATENATE("31/12/",COPIA!$EW$1),IF(AND(COPIA!$EV$1=0,B146&lt;&gt;"",COPIA!$GP$1=2),CONCATENATE("01/01/",COPIA!$EW$1),""))</f>
        <v/>
      </c>
      <c r="E146" s="178" t="str">
        <f ca="1">IF(COPIA!$EV$1&gt;0,"",IF(COPIA!$GP$1=1,COPIA!GN137,COPIA!HV137))</f>
        <v/>
      </c>
      <c r="F146" s="178" t="str">
        <f ca="1">IF(COPIA!$EV$1&gt;0,"",IF(COPIA!$GP$1=1,COPIA!GT137,COPIA!IZ137))</f>
        <v/>
      </c>
      <c r="G146" s="179" t="str">
        <f ca="1">IF(COPIA!$EV$1&gt;0,"",IF(COPIA!$GP$1=1,COPIA!GO137,COPIA!IX137))</f>
        <v/>
      </c>
      <c r="H146" s="179" t="str">
        <f ca="1">IF(COPIA!$EV$1&gt;0,"",IF(COPIA!$GP$1=1,COPIA!GP137,COPIA!IY137))</f>
        <v/>
      </c>
      <c r="I146" s="14"/>
      <c r="J146" s="6" t="str">
        <f ca="1">IF(AND(G146="",H146=""),"",ROUND(SUM(G$12:G146),2)-ROUND(SUM(H$12:H146),2))</f>
        <v/>
      </c>
    </row>
    <row r="147" spans="1:10" ht="20.100000000000001" customHeight="1">
      <c r="A147" s="48"/>
      <c r="B147" s="31" t="str">
        <f t="shared" ca="1" si="4"/>
        <v/>
      </c>
      <c r="C147" s="31" t="str">
        <f t="shared" ca="1" si="5"/>
        <v/>
      </c>
      <c r="D147" s="20" t="str">
        <f ca="1">IF(AND(COPIA!$EV$1=0,B147&lt;&gt;"",COPIA!$GP$1=1),CONCATENATE("31/12/",COPIA!$EW$1),IF(AND(COPIA!$EV$1=0,B147&lt;&gt;"",COPIA!$GP$1=2),CONCATENATE("01/01/",COPIA!$EW$1),""))</f>
        <v/>
      </c>
      <c r="E147" s="178" t="str">
        <f ca="1">IF(COPIA!$EV$1&gt;0,"",IF(COPIA!$GP$1=1,COPIA!GN138,COPIA!HV138))</f>
        <v/>
      </c>
      <c r="F147" s="178" t="str">
        <f ca="1">IF(COPIA!$EV$1&gt;0,"",IF(COPIA!$GP$1=1,COPIA!GT138,COPIA!IZ138))</f>
        <v/>
      </c>
      <c r="G147" s="179" t="str">
        <f ca="1">IF(COPIA!$EV$1&gt;0,"",IF(COPIA!$GP$1=1,COPIA!GO138,COPIA!IX138))</f>
        <v/>
      </c>
      <c r="H147" s="179" t="str">
        <f ca="1">IF(COPIA!$EV$1&gt;0,"",IF(COPIA!$GP$1=1,COPIA!GP138,COPIA!IY138))</f>
        <v/>
      </c>
      <c r="I147" s="14"/>
      <c r="J147" s="6" t="str">
        <f ca="1">IF(AND(G147="",H147=""),"",ROUND(SUM(G$12:G147),2)-ROUND(SUM(H$12:H147),2))</f>
        <v/>
      </c>
    </row>
    <row r="148" spans="1:10" ht="20.100000000000001" customHeight="1">
      <c r="A148" s="48"/>
      <c r="B148" s="31" t="str">
        <f t="shared" ca="1" si="4"/>
        <v/>
      </c>
      <c r="C148" s="31" t="str">
        <f t="shared" ca="1" si="5"/>
        <v/>
      </c>
      <c r="D148" s="20" t="str">
        <f ca="1">IF(AND(COPIA!$EV$1=0,B148&lt;&gt;"",COPIA!$GP$1=1),CONCATENATE("31/12/",COPIA!$EW$1),IF(AND(COPIA!$EV$1=0,B148&lt;&gt;"",COPIA!$GP$1=2),CONCATENATE("01/01/",COPIA!$EW$1),""))</f>
        <v/>
      </c>
      <c r="E148" s="178" t="str">
        <f ca="1">IF(COPIA!$EV$1&gt;0,"",IF(COPIA!$GP$1=1,COPIA!GN139,COPIA!HV139))</f>
        <v/>
      </c>
      <c r="F148" s="178" t="str">
        <f ca="1">IF(COPIA!$EV$1&gt;0,"",IF(COPIA!$GP$1=1,COPIA!GT139,COPIA!IZ139))</f>
        <v/>
      </c>
      <c r="G148" s="179" t="str">
        <f ca="1">IF(COPIA!$EV$1&gt;0,"",IF(COPIA!$GP$1=1,COPIA!GO139,COPIA!IX139))</f>
        <v/>
      </c>
      <c r="H148" s="179" t="str">
        <f ca="1">IF(COPIA!$EV$1&gt;0,"",IF(COPIA!$GP$1=1,COPIA!GP139,COPIA!IY139))</f>
        <v/>
      </c>
      <c r="I148" s="14"/>
      <c r="J148" s="6" t="str">
        <f ca="1">IF(AND(G148="",H148=""),"",ROUND(SUM(G$12:G148),2)-ROUND(SUM(H$12:H148),2))</f>
        <v/>
      </c>
    </row>
    <row r="149" spans="1:10" ht="20.100000000000001" customHeight="1">
      <c r="A149" s="48"/>
      <c r="B149" s="31" t="str">
        <f t="shared" ca="1" si="4"/>
        <v/>
      </c>
      <c r="C149" s="31" t="str">
        <f t="shared" ca="1" si="5"/>
        <v/>
      </c>
      <c r="D149" s="20" t="str">
        <f ca="1">IF(AND(COPIA!$EV$1=0,B149&lt;&gt;"",COPIA!$GP$1=1),CONCATENATE("31/12/",COPIA!$EW$1),IF(AND(COPIA!$EV$1=0,B149&lt;&gt;"",COPIA!$GP$1=2),CONCATENATE("01/01/",COPIA!$EW$1),""))</f>
        <v/>
      </c>
      <c r="E149" s="178" t="str">
        <f ca="1">IF(COPIA!$EV$1&gt;0,"",IF(COPIA!$GP$1=1,COPIA!GN140,COPIA!HV140))</f>
        <v/>
      </c>
      <c r="F149" s="178" t="str">
        <f ca="1">IF(COPIA!$EV$1&gt;0,"",IF(COPIA!$GP$1=1,COPIA!GT140,COPIA!IZ140))</f>
        <v/>
      </c>
      <c r="G149" s="179" t="str">
        <f ca="1">IF(COPIA!$EV$1&gt;0,"",IF(COPIA!$GP$1=1,COPIA!GO140,COPIA!IX140))</f>
        <v/>
      </c>
      <c r="H149" s="179" t="str">
        <f ca="1">IF(COPIA!$EV$1&gt;0,"",IF(COPIA!$GP$1=1,COPIA!GP140,COPIA!IY140))</f>
        <v/>
      </c>
      <c r="I149" s="14"/>
      <c r="J149" s="6" t="str">
        <f ca="1">IF(AND(G149="",H149=""),"",ROUND(SUM(G$12:G149),2)-ROUND(SUM(H$12:H149),2))</f>
        <v/>
      </c>
    </row>
    <row r="150" spans="1:10" ht="20.100000000000001" customHeight="1">
      <c r="A150" s="48"/>
      <c r="B150" s="31" t="str">
        <f t="shared" ca="1" si="4"/>
        <v/>
      </c>
      <c r="C150" s="31" t="str">
        <f t="shared" ca="1" si="5"/>
        <v/>
      </c>
      <c r="D150" s="20" t="str">
        <f ca="1">IF(AND(COPIA!$EV$1=0,B150&lt;&gt;"",COPIA!$GP$1=1),CONCATENATE("31/12/",COPIA!$EW$1),IF(AND(COPIA!$EV$1=0,B150&lt;&gt;"",COPIA!$GP$1=2),CONCATENATE("01/01/",COPIA!$EW$1),""))</f>
        <v/>
      </c>
      <c r="E150" s="178" t="str">
        <f ca="1">IF(COPIA!$EV$1&gt;0,"",IF(COPIA!$GP$1=1,COPIA!GN141,COPIA!HV141))</f>
        <v/>
      </c>
      <c r="F150" s="178" t="str">
        <f ca="1">IF(COPIA!$EV$1&gt;0,"",IF(COPIA!$GP$1=1,COPIA!GT141,COPIA!IZ141))</f>
        <v/>
      </c>
      <c r="G150" s="179" t="str">
        <f ca="1">IF(COPIA!$EV$1&gt;0,"",IF(COPIA!$GP$1=1,COPIA!GO141,COPIA!IX141))</f>
        <v/>
      </c>
      <c r="H150" s="179" t="str">
        <f ca="1">IF(COPIA!$EV$1&gt;0,"",IF(COPIA!$GP$1=1,COPIA!GP141,COPIA!IY141))</f>
        <v/>
      </c>
      <c r="I150" s="14"/>
      <c r="J150" s="6" t="str">
        <f ca="1">IF(AND(G150="",H150=""),"",ROUND(SUM(G$12:G150),2)-ROUND(SUM(H$12:H150),2))</f>
        <v/>
      </c>
    </row>
    <row r="151" spans="1:10" ht="20.100000000000001" customHeight="1">
      <c r="A151" s="48"/>
      <c r="B151" s="31" t="str">
        <f t="shared" ca="1" si="4"/>
        <v/>
      </c>
      <c r="C151" s="31" t="str">
        <f t="shared" ca="1" si="5"/>
        <v/>
      </c>
      <c r="D151" s="20" t="str">
        <f ca="1">IF(AND(COPIA!$EV$1=0,B151&lt;&gt;"",COPIA!$GP$1=1),CONCATENATE("31/12/",COPIA!$EW$1),IF(AND(COPIA!$EV$1=0,B151&lt;&gt;"",COPIA!$GP$1=2),CONCATENATE("01/01/",COPIA!$EW$1),""))</f>
        <v/>
      </c>
      <c r="E151" s="178" t="str">
        <f ca="1">IF(COPIA!$EV$1&gt;0,"",IF(COPIA!$GP$1=1,COPIA!GN142,COPIA!HV142))</f>
        <v/>
      </c>
      <c r="F151" s="178" t="str">
        <f ca="1">IF(COPIA!$EV$1&gt;0,"",IF(COPIA!$GP$1=1,COPIA!GT142,COPIA!IZ142))</f>
        <v/>
      </c>
      <c r="G151" s="179" t="str">
        <f ca="1">IF(COPIA!$EV$1&gt;0,"",IF(COPIA!$GP$1=1,COPIA!GO142,COPIA!IX142))</f>
        <v/>
      </c>
      <c r="H151" s="179" t="str">
        <f ca="1">IF(COPIA!$EV$1&gt;0,"",IF(COPIA!$GP$1=1,COPIA!GP142,COPIA!IY142))</f>
        <v/>
      </c>
      <c r="I151" s="14"/>
      <c r="J151" s="6" t="str">
        <f ca="1">IF(AND(G151="",H151=""),"",ROUND(SUM(G$12:G151),2)-ROUND(SUM(H$12:H151),2))</f>
        <v/>
      </c>
    </row>
    <row r="152" spans="1:10" ht="20.100000000000001" customHeight="1">
      <c r="A152" s="48"/>
      <c r="B152" s="31" t="str">
        <f t="shared" ca="1" si="4"/>
        <v/>
      </c>
      <c r="C152" s="31" t="str">
        <f t="shared" ca="1" si="5"/>
        <v/>
      </c>
      <c r="D152" s="20" t="str">
        <f ca="1">IF(AND(COPIA!$EV$1=0,B152&lt;&gt;"",COPIA!$GP$1=1),CONCATENATE("31/12/",COPIA!$EW$1),IF(AND(COPIA!$EV$1=0,B152&lt;&gt;"",COPIA!$GP$1=2),CONCATENATE("01/01/",COPIA!$EW$1),""))</f>
        <v/>
      </c>
      <c r="E152" s="178" t="str">
        <f ca="1">IF(COPIA!$EV$1&gt;0,"",IF(COPIA!$GP$1=1,COPIA!GN143,COPIA!HV143))</f>
        <v/>
      </c>
      <c r="F152" s="178" t="str">
        <f ca="1">IF(COPIA!$EV$1&gt;0,"",IF(COPIA!$GP$1=1,COPIA!GT143,COPIA!IZ143))</f>
        <v/>
      </c>
      <c r="G152" s="179" t="str">
        <f ca="1">IF(COPIA!$EV$1&gt;0,"",IF(COPIA!$GP$1=1,COPIA!GO143,COPIA!IX143))</f>
        <v/>
      </c>
      <c r="H152" s="179" t="str">
        <f ca="1">IF(COPIA!$EV$1&gt;0,"",IF(COPIA!$GP$1=1,COPIA!GP143,COPIA!IY143))</f>
        <v/>
      </c>
      <c r="I152" s="14"/>
      <c r="J152" s="6" t="str">
        <f ca="1">IF(AND(G152="",H152=""),"",ROUND(SUM(G$12:G152),2)-ROUND(SUM(H$12:H152),2))</f>
        <v/>
      </c>
    </row>
    <row r="153" spans="1:10" ht="20.100000000000001" customHeight="1">
      <c r="A153" s="48"/>
      <c r="B153" s="31" t="str">
        <f t="shared" ca="1" si="4"/>
        <v/>
      </c>
      <c r="C153" s="31" t="str">
        <f t="shared" ca="1" si="5"/>
        <v/>
      </c>
      <c r="D153" s="20" t="str">
        <f ca="1">IF(AND(COPIA!$EV$1=0,B153&lt;&gt;"",COPIA!$GP$1=1),CONCATENATE("31/12/",COPIA!$EW$1),IF(AND(COPIA!$EV$1=0,B153&lt;&gt;"",COPIA!$GP$1=2),CONCATENATE("01/01/",COPIA!$EW$1),""))</f>
        <v/>
      </c>
      <c r="E153" s="178" t="str">
        <f ca="1">IF(COPIA!$EV$1&gt;0,"",IF(COPIA!$GP$1=1,COPIA!GN144,COPIA!HV144))</f>
        <v/>
      </c>
      <c r="F153" s="178" t="str">
        <f ca="1">IF(COPIA!$EV$1&gt;0,"",IF(COPIA!$GP$1=1,COPIA!GT144,COPIA!IZ144))</f>
        <v/>
      </c>
      <c r="G153" s="179" t="str">
        <f ca="1">IF(COPIA!$EV$1&gt;0,"",IF(COPIA!$GP$1=1,COPIA!GO144,COPIA!IX144))</f>
        <v/>
      </c>
      <c r="H153" s="179" t="str">
        <f ca="1">IF(COPIA!$EV$1&gt;0,"",IF(COPIA!$GP$1=1,COPIA!GP144,COPIA!IY144))</f>
        <v/>
      </c>
      <c r="I153" s="14"/>
      <c r="J153" s="6" t="str">
        <f ca="1">IF(AND(G153="",H153=""),"",ROUND(SUM(G$12:G153),2)-ROUND(SUM(H$12:H153),2))</f>
        <v/>
      </c>
    </row>
    <row r="154" spans="1:10" ht="20.100000000000001" customHeight="1">
      <c r="A154" s="48"/>
      <c r="B154" s="31" t="str">
        <f t="shared" ca="1" si="4"/>
        <v/>
      </c>
      <c r="C154" s="31" t="str">
        <f t="shared" ca="1" si="5"/>
        <v/>
      </c>
      <c r="D154" s="20" t="str">
        <f ca="1">IF(AND(COPIA!$EV$1=0,B154&lt;&gt;"",COPIA!$GP$1=1),CONCATENATE("31/12/",COPIA!$EW$1),IF(AND(COPIA!$EV$1=0,B154&lt;&gt;"",COPIA!$GP$1=2),CONCATENATE("01/01/",COPIA!$EW$1),""))</f>
        <v/>
      </c>
      <c r="E154" s="178" t="str">
        <f ca="1">IF(COPIA!$EV$1&gt;0,"",IF(COPIA!$GP$1=1,COPIA!GN145,COPIA!HV145))</f>
        <v/>
      </c>
      <c r="F154" s="178" t="str">
        <f ca="1">IF(COPIA!$EV$1&gt;0,"",IF(COPIA!$GP$1=1,COPIA!GT145,COPIA!IZ145))</f>
        <v/>
      </c>
      <c r="G154" s="179" t="str">
        <f ca="1">IF(COPIA!$EV$1&gt;0,"",IF(COPIA!$GP$1=1,COPIA!GO145,COPIA!IX145))</f>
        <v/>
      </c>
      <c r="H154" s="179" t="str">
        <f ca="1">IF(COPIA!$EV$1&gt;0,"",IF(COPIA!$GP$1=1,COPIA!GP145,COPIA!IY145))</f>
        <v/>
      </c>
      <c r="I154" s="14"/>
      <c r="J154" s="6" t="str">
        <f ca="1">IF(AND(G154="",H154=""),"",ROUND(SUM(G$12:G154),2)-ROUND(SUM(H$12:H154),2))</f>
        <v/>
      </c>
    </row>
    <row r="155" spans="1:10" ht="20.100000000000001" customHeight="1">
      <c r="A155" s="48"/>
      <c r="B155" s="31" t="str">
        <f t="shared" ca="1" si="4"/>
        <v/>
      </c>
      <c r="C155" s="31" t="str">
        <f t="shared" ca="1" si="5"/>
        <v/>
      </c>
      <c r="D155" s="20" t="str">
        <f ca="1">IF(AND(COPIA!$EV$1=0,B155&lt;&gt;"",COPIA!$GP$1=1),CONCATENATE("31/12/",COPIA!$EW$1),IF(AND(COPIA!$EV$1=0,B155&lt;&gt;"",COPIA!$GP$1=2),CONCATENATE("01/01/",COPIA!$EW$1),""))</f>
        <v/>
      </c>
      <c r="E155" s="178" t="str">
        <f ca="1">IF(COPIA!$EV$1&gt;0,"",IF(COPIA!$GP$1=1,COPIA!GN146,COPIA!HV146))</f>
        <v/>
      </c>
      <c r="F155" s="178" t="str">
        <f ca="1">IF(COPIA!$EV$1&gt;0,"",IF(COPIA!$GP$1=1,COPIA!GT146,COPIA!IZ146))</f>
        <v/>
      </c>
      <c r="G155" s="179" t="str">
        <f ca="1">IF(COPIA!$EV$1&gt;0,"",IF(COPIA!$GP$1=1,COPIA!GO146,COPIA!IX146))</f>
        <v/>
      </c>
      <c r="H155" s="179" t="str">
        <f ca="1">IF(COPIA!$EV$1&gt;0,"",IF(COPIA!$GP$1=1,COPIA!GP146,COPIA!IY146))</f>
        <v/>
      </c>
      <c r="I155" s="14"/>
      <c r="J155" s="6" t="str">
        <f ca="1">IF(AND(G155="",H155=""),"",ROUND(SUM(G$12:G155),2)-ROUND(SUM(H$12:H155),2))</f>
        <v/>
      </c>
    </row>
    <row r="156" spans="1:10" ht="20.100000000000001" customHeight="1">
      <c r="A156" s="48"/>
      <c r="B156" s="31" t="str">
        <f t="shared" ca="1" si="4"/>
        <v/>
      </c>
      <c r="C156" s="31" t="str">
        <f t="shared" ca="1" si="5"/>
        <v/>
      </c>
      <c r="D156" s="20" t="str">
        <f ca="1">IF(AND(COPIA!$EV$1=0,B156&lt;&gt;"",COPIA!$GP$1=1),CONCATENATE("31/12/",COPIA!$EW$1),IF(AND(COPIA!$EV$1=0,B156&lt;&gt;"",COPIA!$GP$1=2),CONCATENATE("01/01/",COPIA!$EW$1),""))</f>
        <v/>
      </c>
      <c r="E156" s="178" t="str">
        <f ca="1">IF(COPIA!$EV$1&gt;0,"",IF(COPIA!$GP$1=1,COPIA!GN147,COPIA!HV147))</f>
        <v/>
      </c>
      <c r="F156" s="178" t="str">
        <f ca="1">IF(COPIA!$EV$1&gt;0,"",IF(COPIA!$GP$1=1,COPIA!GT147,COPIA!IZ147))</f>
        <v/>
      </c>
      <c r="G156" s="179" t="str">
        <f ca="1">IF(COPIA!$EV$1&gt;0,"",IF(COPIA!$GP$1=1,COPIA!GO147,COPIA!IX147))</f>
        <v/>
      </c>
      <c r="H156" s="179" t="str">
        <f ca="1">IF(COPIA!$EV$1&gt;0,"",IF(COPIA!$GP$1=1,COPIA!GP147,COPIA!IY147))</f>
        <v/>
      </c>
      <c r="I156" s="14"/>
      <c r="J156" s="6" t="str">
        <f ca="1">IF(AND(G156="",H156=""),"",ROUND(SUM(G$12:G156),2)-ROUND(SUM(H$12:H156),2))</f>
        <v/>
      </c>
    </row>
    <row r="157" spans="1:10" ht="20.100000000000001" customHeight="1">
      <c r="A157" s="48"/>
      <c r="B157" s="31" t="str">
        <f t="shared" ca="1" si="4"/>
        <v/>
      </c>
      <c r="C157" s="31" t="str">
        <f t="shared" ca="1" si="5"/>
        <v/>
      </c>
      <c r="D157" s="20" t="str">
        <f ca="1">IF(AND(COPIA!$EV$1=0,B157&lt;&gt;"",COPIA!$GP$1=1),CONCATENATE("31/12/",COPIA!$EW$1),IF(AND(COPIA!$EV$1=0,B157&lt;&gt;"",COPIA!$GP$1=2),CONCATENATE("01/01/",COPIA!$EW$1),""))</f>
        <v/>
      </c>
      <c r="E157" s="178" t="str">
        <f ca="1">IF(COPIA!$EV$1&gt;0,"",IF(COPIA!$GP$1=1,COPIA!GN148,COPIA!HV148))</f>
        <v/>
      </c>
      <c r="F157" s="178" t="str">
        <f ca="1">IF(COPIA!$EV$1&gt;0,"",IF(COPIA!$GP$1=1,COPIA!GT148,COPIA!IZ148))</f>
        <v/>
      </c>
      <c r="G157" s="179" t="str">
        <f ca="1">IF(COPIA!$EV$1&gt;0,"",IF(COPIA!$GP$1=1,COPIA!GO148,COPIA!IX148))</f>
        <v/>
      </c>
      <c r="H157" s="179" t="str">
        <f ca="1">IF(COPIA!$EV$1&gt;0,"",IF(COPIA!$GP$1=1,COPIA!GP148,COPIA!IY148))</f>
        <v/>
      </c>
      <c r="I157" s="14"/>
      <c r="J157" s="6" t="str">
        <f ca="1">IF(AND(G157="",H157=""),"",ROUND(SUM(G$12:G157),2)-ROUND(SUM(H$12:H157),2))</f>
        <v/>
      </c>
    </row>
    <row r="158" spans="1:10" ht="20.100000000000001" customHeight="1">
      <c r="A158" s="48"/>
      <c r="B158" s="31" t="str">
        <f t="shared" ca="1" si="4"/>
        <v/>
      </c>
      <c r="C158" s="31" t="str">
        <f t="shared" ca="1" si="5"/>
        <v/>
      </c>
      <c r="D158" s="20" t="str">
        <f ca="1">IF(AND(COPIA!$EV$1=0,B158&lt;&gt;"",COPIA!$GP$1=1),CONCATENATE("31/12/",COPIA!$EW$1),IF(AND(COPIA!$EV$1=0,B158&lt;&gt;"",COPIA!$GP$1=2),CONCATENATE("01/01/",COPIA!$EW$1),""))</f>
        <v/>
      </c>
      <c r="E158" s="178" t="str">
        <f ca="1">IF(COPIA!$EV$1&gt;0,"",IF(COPIA!$GP$1=1,COPIA!GN149,COPIA!HV149))</f>
        <v/>
      </c>
      <c r="F158" s="178" t="str">
        <f ca="1">IF(COPIA!$EV$1&gt;0,"",IF(COPIA!$GP$1=1,COPIA!GT149,COPIA!IZ149))</f>
        <v/>
      </c>
      <c r="G158" s="179" t="str">
        <f ca="1">IF(COPIA!$EV$1&gt;0,"",IF(COPIA!$GP$1=1,COPIA!GO149,COPIA!IX149))</f>
        <v/>
      </c>
      <c r="H158" s="179" t="str">
        <f ca="1">IF(COPIA!$EV$1&gt;0,"",IF(COPIA!$GP$1=1,COPIA!GP149,COPIA!IY149))</f>
        <v/>
      </c>
      <c r="I158" s="14"/>
      <c r="J158" s="6" t="str">
        <f ca="1">IF(AND(G158="",H158=""),"",ROUND(SUM(G$12:G158),2)-ROUND(SUM(H$12:H158),2))</f>
        <v/>
      </c>
    </row>
    <row r="159" spans="1:10" ht="20.100000000000001" customHeight="1">
      <c r="A159" s="48"/>
      <c r="B159" s="31" t="str">
        <f t="shared" ca="1" si="4"/>
        <v/>
      </c>
      <c r="C159" s="31" t="str">
        <f t="shared" ca="1" si="5"/>
        <v/>
      </c>
      <c r="D159" s="20" t="str">
        <f ca="1">IF(AND(COPIA!$EV$1=0,B159&lt;&gt;"",COPIA!$GP$1=1),CONCATENATE("31/12/",COPIA!$EW$1),IF(AND(COPIA!$EV$1=0,B159&lt;&gt;"",COPIA!$GP$1=2),CONCATENATE("01/01/",COPIA!$EW$1),""))</f>
        <v/>
      </c>
      <c r="E159" s="178" t="str">
        <f ca="1">IF(COPIA!$EV$1&gt;0,"",IF(COPIA!$GP$1=1,COPIA!GN150,COPIA!HV150))</f>
        <v/>
      </c>
      <c r="F159" s="178" t="str">
        <f ca="1">IF(COPIA!$EV$1&gt;0,"",IF(COPIA!$GP$1=1,COPIA!GT150,COPIA!IZ150))</f>
        <v/>
      </c>
      <c r="G159" s="179" t="str">
        <f ca="1">IF(COPIA!$EV$1&gt;0,"",IF(COPIA!$GP$1=1,COPIA!GO150,COPIA!IX150))</f>
        <v/>
      </c>
      <c r="H159" s="179" t="str">
        <f ca="1">IF(COPIA!$EV$1&gt;0,"",IF(COPIA!$GP$1=1,COPIA!GP150,COPIA!IY150))</f>
        <v/>
      </c>
      <c r="I159" s="14"/>
      <c r="J159" s="6" t="str">
        <f ca="1">IF(AND(G159="",H159=""),"",ROUND(SUM(G$12:G159),2)-ROUND(SUM(H$12:H159),2))</f>
        <v/>
      </c>
    </row>
    <row r="160" spans="1:10" ht="20.100000000000001" customHeight="1">
      <c r="A160" s="48"/>
      <c r="B160" s="31" t="str">
        <f t="shared" ca="1" si="4"/>
        <v/>
      </c>
      <c r="C160" s="31" t="str">
        <f t="shared" ca="1" si="5"/>
        <v/>
      </c>
      <c r="D160" s="20" t="str">
        <f ca="1">IF(AND(COPIA!$EV$1=0,B160&lt;&gt;"",COPIA!$GP$1=1),CONCATENATE("31/12/",COPIA!$EW$1),IF(AND(COPIA!$EV$1=0,B160&lt;&gt;"",COPIA!$GP$1=2),CONCATENATE("01/01/",COPIA!$EW$1),""))</f>
        <v/>
      </c>
      <c r="E160" s="178" t="str">
        <f ca="1">IF(COPIA!$EV$1&gt;0,"",IF(COPIA!$GP$1=1,COPIA!GN151,COPIA!HV151))</f>
        <v/>
      </c>
      <c r="F160" s="178" t="str">
        <f ca="1">IF(COPIA!$EV$1&gt;0,"",IF(COPIA!$GP$1=1,COPIA!GT151,COPIA!IZ151))</f>
        <v/>
      </c>
      <c r="G160" s="179" t="str">
        <f ca="1">IF(COPIA!$EV$1&gt;0,"",IF(COPIA!$GP$1=1,COPIA!GO151,COPIA!IX151))</f>
        <v/>
      </c>
      <c r="H160" s="179" t="str">
        <f ca="1">IF(COPIA!$EV$1&gt;0,"",IF(COPIA!$GP$1=1,COPIA!GP151,COPIA!IY151))</f>
        <v/>
      </c>
      <c r="I160" s="14"/>
      <c r="J160" s="6" t="str">
        <f ca="1">IF(AND(G160="",H160=""),"",ROUND(SUM(G$12:G160),2)-ROUND(SUM(H$12:H160),2))</f>
        <v/>
      </c>
    </row>
    <row r="161" spans="1:10" ht="20.100000000000001" customHeight="1">
      <c r="A161" s="48"/>
      <c r="B161" s="31" t="str">
        <f t="shared" ca="1" si="4"/>
        <v/>
      </c>
      <c r="C161" s="31" t="str">
        <f t="shared" ca="1" si="5"/>
        <v/>
      </c>
      <c r="D161" s="20" t="str">
        <f ca="1">IF(AND(COPIA!$EV$1=0,B161&lt;&gt;"",COPIA!$GP$1=1),CONCATENATE("31/12/",COPIA!$EW$1),IF(AND(COPIA!$EV$1=0,B161&lt;&gt;"",COPIA!$GP$1=2),CONCATENATE("01/01/",COPIA!$EW$1),""))</f>
        <v/>
      </c>
      <c r="E161" s="178" t="str">
        <f ca="1">IF(COPIA!$EV$1&gt;0,"",IF(COPIA!$GP$1=1,COPIA!GN152,COPIA!HV152))</f>
        <v/>
      </c>
      <c r="F161" s="178" t="str">
        <f ca="1">IF(COPIA!$EV$1&gt;0,"",IF(COPIA!$GP$1=1,COPIA!GT152,COPIA!IZ152))</f>
        <v/>
      </c>
      <c r="G161" s="179" t="str">
        <f ca="1">IF(COPIA!$EV$1&gt;0,"",IF(COPIA!$GP$1=1,COPIA!GO152,COPIA!IX152))</f>
        <v/>
      </c>
      <c r="H161" s="179" t="str">
        <f ca="1">IF(COPIA!$EV$1&gt;0,"",IF(COPIA!$GP$1=1,COPIA!GP152,COPIA!IY152))</f>
        <v/>
      </c>
      <c r="I161" s="14"/>
      <c r="J161" s="6" t="str">
        <f ca="1">IF(AND(G161="",H161=""),"",ROUND(SUM(G$12:G161),2)-ROUND(SUM(H$12:H161),2))</f>
        <v/>
      </c>
    </row>
    <row r="162" spans="1:10" ht="20.100000000000001" customHeight="1">
      <c r="A162" s="48"/>
      <c r="B162" s="31" t="str">
        <f t="shared" ca="1" si="4"/>
        <v/>
      </c>
      <c r="C162" s="31" t="str">
        <f t="shared" ca="1" si="5"/>
        <v/>
      </c>
      <c r="D162" s="20" t="str">
        <f ca="1">IF(AND(COPIA!$EV$1=0,B162&lt;&gt;"",COPIA!$GP$1=1),CONCATENATE("31/12/",COPIA!$EW$1),IF(AND(COPIA!$EV$1=0,B162&lt;&gt;"",COPIA!$GP$1=2),CONCATENATE("01/01/",COPIA!$EW$1),""))</f>
        <v/>
      </c>
      <c r="E162" s="178" t="str">
        <f ca="1">IF(COPIA!$EV$1&gt;0,"",IF(COPIA!$GP$1=1,COPIA!GN153,COPIA!HV153))</f>
        <v/>
      </c>
      <c r="F162" s="178" t="str">
        <f ca="1">IF(COPIA!$EV$1&gt;0,"",IF(COPIA!$GP$1=1,COPIA!GT153,COPIA!IZ153))</f>
        <v/>
      </c>
      <c r="G162" s="179" t="str">
        <f ca="1">IF(COPIA!$EV$1&gt;0,"",IF(COPIA!$GP$1=1,COPIA!GO153,COPIA!IX153))</f>
        <v/>
      </c>
      <c r="H162" s="179" t="str">
        <f ca="1">IF(COPIA!$EV$1&gt;0,"",IF(COPIA!$GP$1=1,COPIA!GP153,COPIA!IY153))</f>
        <v/>
      </c>
      <c r="I162" s="14"/>
      <c r="J162" s="6" t="str">
        <f ca="1">IF(AND(G162="",H162=""),"",ROUND(SUM(G$12:G162),2)-ROUND(SUM(H$12:H162),2))</f>
        <v/>
      </c>
    </row>
    <row r="163" spans="1:10" ht="20.100000000000001" customHeight="1">
      <c r="A163" s="48"/>
      <c r="B163" s="31" t="str">
        <f t="shared" ca="1" si="4"/>
        <v/>
      </c>
      <c r="C163" s="31" t="str">
        <f t="shared" ca="1" si="5"/>
        <v/>
      </c>
      <c r="D163" s="20" t="str">
        <f ca="1">IF(AND(COPIA!$EV$1=0,B163&lt;&gt;"",COPIA!$GP$1=1),CONCATENATE("31/12/",COPIA!$EW$1),IF(AND(COPIA!$EV$1=0,B163&lt;&gt;"",COPIA!$GP$1=2),CONCATENATE("01/01/",COPIA!$EW$1),""))</f>
        <v/>
      </c>
      <c r="E163" s="178" t="str">
        <f ca="1">IF(COPIA!$EV$1&gt;0,"",IF(COPIA!$GP$1=1,COPIA!GN154,COPIA!HV154))</f>
        <v/>
      </c>
      <c r="F163" s="178" t="str">
        <f ca="1">IF(COPIA!$EV$1&gt;0,"",IF(COPIA!$GP$1=1,COPIA!GT154,COPIA!IZ154))</f>
        <v/>
      </c>
      <c r="G163" s="179" t="str">
        <f ca="1">IF(COPIA!$EV$1&gt;0,"",IF(COPIA!$GP$1=1,COPIA!GO154,COPIA!IX154))</f>
        <v/>
      </c>
      <c r="H163" s="179" t="str">
        <f ca="1">IF(COPIA!$EV$1&gt;0,"",IF(COPIA!$GP$1=1,COPIA!GP154,COPIA!IY154))</f>
        <v/>
      </c>
      <c r="I163" s="14"/>
      <c r="J163" s="6" t="str">
        <f ca="1">IF(AND(G163="",H163=""),"",ROUND(SUM(G$12:G163),2)-ROUND(SUM(H$12:H163),2))</f>
        <v/>
      </c>
    </row>
    <row r="164" spans="1:10" ht="20.100000000000001" customHeight="1">
      <c r="A164" s="48"/>
      <c r="B164" s="31" t="str">
        <f t="shared" ca="1" si="4"/>
        <v/>
      </c>
      <c r="C164" s="31" t="str">
        <f t="shared" ca="1" si="5"/>
        <v/>
      </c>
      <c r="D164" s="20" t="str">
        <f ca="1">IF(AND(COPIA!$EV$1=0,B164&lt;&gt;"",COPIA!$GP$1=1),CONCATENATE("31/12/",COPIA!$EW$1),IF(AND(COPIA!$EV$1=0,B164&lt;&gt;"",COPIA!$GP$1=2),CONCATENATE("01/01/",COPIA!$EW$1),""))</f>
        <v/>
      </c>
      <c r="E164" s="178" t="str">
        <f ca="1">IF(COPIA!$EV$1&gt;0,"",IF(COPIA!$GP$1=1,COPIA!GN155,COPIA!HV155))</f>
        <v/>
      </c>
      <c r="F164" s="178" t="str">
        <f ca="1">IF(COPIA!$EV$1&gt;0,"",IF(COPIA!$GP$1=1,COPIA!GT155,COPIA!IZ155))</f>
        <v/>
      </c>
      <c r="G164" s="179" t="str">
        <f ca="1">IF(COPIA!$EV$1&gt;0,"",IF(COPIA!$GP$1=1,COPIA!GO155,COPIA!IX155))</f>
        <v/>
      </c>
      <c r="H164" s="179" t="str">
        <f ca="1">IF(COPIA!$EV$1&gt;0,"",IF(COPIA!$GP$1=1,COPIA!GP155,COPIA!IY155))</f>
        <v/>
      </c>
      <c r="I164" s="14"/>
      <c r="J164" s="6" t="str">
        <f ca="1">IF(AND(G164="",H164=""),"",ROUND(SUM(G$12:G164),2)-ROUND(SUM(H$12:H164),2))</f>
        <v/>
      </c>
    </row>
    <row r="165" spans="1:10" ht="20.100000000000001" customHeight="1">
      <c r="A165" s="48"/>
      <c r="B165" s="31" t="str">
        <f t="shared" ca="1" si="4"/>
        <v/>
      </c>
      <c r="C165" s="31" t="str">
        <f t="shared" ca="1" si="5"/>
        <v/>
      </c>
      <c r="D165" s="20" t="str">
        <f ca="1">IF(AND(COPIA!$EV$1=0,B165&lt;&gt;"",COPIA!$GP$1=1),CONCATENATE("31/12/",COPIA!$EW$1),IF(AND(COPIA!$EV$1=0,B165&lt;&gt;"",COPIA!$GP$1=2),CONCATENATE("01/01/",COPIA!$EW$1),""))</f>
        <v/>
      </c>
      <c r="E165" s="178" t="str">
        <f ca="1">IF(COPIA!$EV$1&gt;0,"",IF(COPIA!$GP$1=1,COPIA!GN156,COPIA!HV156))</f>
        <v/>
      </c>
      <c r="F165" s="178" t="str">
        <f ca="1">IF(COPIA!$EV$1&gt;0,"",IF(COPIA!$GP$1=1,COPIA!GT156,COPIA!IZ156))</f>
        <v/>
      </c>
      <c r="G165" s="179" t="str">
        <f ca="1">IF(COPIA!$EV$1&gt;0,"",IF(COPIA!$GP$1=1,COPIA!GO156,COPIA!IX156))</f>
        <v/>
      </c>
      <c r="H165" s="179" t="str">
        <f ca="1">IF(COPIA!$EV$1&gt;0,"",IF(COPIA!$GP$1=1,COPIA!GP156,COPIA!IY156))</f>
        <v/>
      </c>
      <c r="I165" s="14"/>
      <c r="J165" s="6" t="str">
        <f ca="1">IF(AND(G165="",H165=""),"",ROUND(SUM(G$12:G165),2)-ROUND(SUM(H$12:H165),2))</f>
        <v/>
      </c>
    </row>
    <row r="166" spans="1:10" ht="20.100000000000001" customHeight="1">
      <c r="A166" s="48"/>
      <c r="B166" s="31" t="str">
        <f t="shared" ca="1" si="4"/>
        <v/>
      </c>
      <c r="C166" s="31" t="str">
        <f t="shared" ca="1" si="5"/>
        <v/>
      </c>
      <c r="D166" s="20" t="str">
        <f ca="1">IF(AND(COPIA!$EV$1=0,B166&lt;&gt;"",COPIA!$GP$1=1),CONCATENATE("31/12/",COPIA!$EW$1),IF(AND(COPIA!$EV$1=0,B166&lt;&gt;"",COPIA!$GP$1=2),CONCATENATE("01/01/",COPIA!$EW$1),""))</f>
        <v/>
      </c>
      <c r="E166" s="178" t="str">
        <f ca="1">IF(COPIA!$EV$1&gt;0,"",IF(COPIA!$GP$1=1,COPIA!GN157,COPIA!HV157))</f>
        <v/>
      </c>
      <c r="F166" s="178" t="str">
        <f ca="1">IF(COPIA!$EV$1&gt;0,"",IF(COPIA!$GP$1=1,COPIA!GT157,COPIA!IZ157))</f>
        <v/>
      </c>
      <c r="G166" s="179" t="str">
        <f ca="1">IF(COPIA!$EV$1&gt;0,"",IF(COPIA!$GP$1=1,COPIA!GO157,COPIA!IX157))</f>
        <v/>
      </c>
      <c r="H166" s="179" t="str">
        <f ca="1">IF(COPIA!$EV$1&gt;0,"",IF(COPIA!$GP$1=1,COPIA!GP157,COPIA!IY157))</f>
        <v/>
      </c>
      <c r="I166" s="14"/>
      <c r="J166" s="6" t="str">
        <f ca="1">IF(AND(G166="",H166=""),"",ROUND(SUM(G$12:G166),2)-ROUND(SUM(H$12:H166),2))</f>
        <v/>
      </c>
    </row>
    <row r="167" spans="1:10" ht="20.100000000000001" customHeight="1">
      <c r="A167" s="48"/>
      <c r="B167" s="31" t="str">
        <f t="shared" ca="1" si="4"/>
        <v/>
      </c>
      <c r="C167" s="31" t="str">
        <f t="shared" ca="1" si="5"/>
        <v/>
      </c>
      <c r="D167" s="20" t="str">
        <f ca="1">IF(AND(COPIA!$EV$1=0,B167&lt;&gt;"",COPIA!$GP$1=1),CONCATENATE("31/12/",COPIA!$EW$1),IF(AND(COPIA!$EV$1=0,B167&lt;&gt;"",COPIA!$GP$1=2),CONCATENATE("01/01/",COPIA!$EW$1),""))</f>
        <v/>
      </c>
      <c r="E167" s="178" t="str">
        <f ca="1">IF(COPIA!$EV$1&gt;0,"",IF(COPIA!$GP$1=1,COPIA!GN158,COPIA!HV158))</f>
        <v/>
      </c>
      <c r="F167" s="178" t="str">
        <f ca="1">IF(COPIA!$EV$1&gt;0,"",IF(COPIA!$GP$1=1,COPIA!GT158,COPIA!IZ158))</f>
        <v/>
      </c>
      <c r="G167" s="179" t="str">
        <f ca="1">IF(COPIA!$EV$1&gt;0,"",IF(COPIA!$GP$1=1,COPIA!GO158,COPIA!IX158))</f>
        <v/>
      </c>
      <c r="H167" s="179" t="str">
        <f ca="1">IF(COPIA!$EV$1&gt;0,"",IF(COPIA!$GP$1=1,COPIA!GP158,COPIA!IY158))</f>
        <v/>
      </c>
      <c r="I167" s="14"/>
      <c r="J167" s="6" t="str">
        <f ca="1">IF(AND(G167="",H167=""),"",ROUND(SUM(G$12:G167),2)-ROUND(SUM(H$12:H167),2))</f>
        <v/>
      </c>
    </row>
    <row r="168" spans="1:10" ht="20.100000000000001" customHeight="1">
      <c r="A168" s="48"/>
      <c r="B168" s="31" t="str">
        <f t="shared" ca="1" si="4"/>
        <v/>
      </c>
      <c r="C168" s="31" t="str">
        <f t="shared" ca="1" si="5"/>
        <v/>
      </c>
      <c r="D168" s="20" t="str">
        <f ca="1">IF(AND(COPIA!$EV$1=0,B168&lt;&gt;"",COPIA!$GP$1=1),CONCATENATE("31/12/",COPIA!$EW$1),IF(AND(COPIA!$EV$1=0,B168&lt;&gt;"",COPIA!$GP$1=2),CONCATENATE("01/01/",COPIA!$EW$1),""))</f>
        <v/>
      </c>
      <c r="E168" s="178" t="str">
        <f ca="1">IF(COPIA!$EV$1&gt;0,"",IF(COPIA!$GP$1=1,COPIA!GN159,COPIA!HV159))</f>
        <v/>
      </c>
      <c r="F168" s="178" t="str">
        <f ca="1">IF(COPIA!$EV$1&gt;0,"",IF(COPIA!$GP$1=1,COPIA!GT159,COPIA!IZ159))</f>
        <v/>
      </c>
      <c r="G168" s="179" t="str">
        <f ca="1">IF(COPIA!$EV$1&gt;0,"",IF(COPIA!$GP$1=1,COPIA!GO159,COPIA!IX159))</f>
        <v/>
      </c>
      <c r="H168" s="179" t="str">
        <f ca="1">IF(COPIA!$EV$1&gt;0,"",IF(COPIA!$GP$1=1,COPIA!GP159,COPIA!IY159))</f>
        <v/>
      </c>
      <c r="I168" s="14"/>
      <c r="J168" s="6" t="str">
        <f ca="1">IF(AND(G168="",H168=""),"",ROUND(SUM(G$12:G168),2)-ROUND(SUM(H$12:H168),2))</f>
        <v/>
      </c>
    </row>
    <row r="169" spans="1:10" ht="20.100000000000001" customHeight="1">
      <c r="A169" s="48"/>
      <c r="B169" s="31" t="str">
        <f t="shared" ca="1" si="4"/>
        <v/>
      </c>
      <c r="C169" s="31" t="str">
        <f t="shared" ca="1" si="5"/>
        <v/>
      </c>
      <c r="D169" s="20" t="str">
        <f ca="1">IF(AND(COPIA!$EV$1=0,B169&lt;&gt;"",COPIA!$GP$1=1),CONCATENATE("31/12/",COPIA!$EW$1),IF(AND(COPIA!$EV$1=0,B169&lt;&gt;"",COPIA!$GP$1=2),CONCATENATE("01/01/",COPIA!$EW$1),""))</f>
        <v/>
      </c>
      <c r="E169" s="178" t="str">
        <f ca="1">IF(COPIA!$EV$1&gt;0,"",IF(COPIA!$GP$1=1,COPIA!GN160,COPIA!HV160))</f>
        <v/>
      </c>
      <c r="F169" s="178" t="str">
        <f ca="1">IF(COPIA!$EV$1&gt;0,"",IF(COPIA!$GP$1=1,COPIA!GT160,COPIA!IZ160))</f>
        <v/>
      </c>
      <c r="G169" s="179" t="str">
        <f ca="1">IF(COPIA!$EV$1&gt;0,"",IF(COPIA!$GP$1=1,COPIA!GO160,COPIA!IX160))</f>
        <v/>
      </c>
      <c r="H169" s="179" t="str">
        <f ca="1">IF(COPIA!$EV$1&gt;0,"",IF(COPIA!$GP$1=1,COPIA!GP160,COPIA!IY160))</f>
        <v/>
      </c>
      <c r="I169" s="14"/>
      <c r="J169" s="6" t="str">
        <f ca="1">IF(AND(G169="",H169=""),"",ROUND(SUM(G$12:G169),2)-ROUND(SUM(H$12:H169),2))</f>
        <v/>
      </c>
    </row>
    <row r="170" spans="1:10" ht="20.100000000000001" customHeight="1">
      <c r="A170" s="48"/>
      <c r="B170" s="31" t="str">
        <f t="shared" ca="1" si="4"/>
        <v/>
      </c>
      <c r="C170" s="31" t="str">
        <f t="shared" ca="1" si="5"/>
        <v/>
      </c>
      <c r="D170" s="20" t="str">
        <f ca="1">IF(AND(COPIA!$EV$1=0,B170&lt;&gt;"",COPIA!$GP$1=1),CONCATENATE("31/12/",COPIA!$EW$1),IF(AND(COPIA!$EV$1=0,B170&lt;&gt;"",COPIA!$GP$1=2),CONCATENATE("01/01/",COPIA!$EW$1),""))</f>
        <v/>
      </c>
      <c r="E170" s="178" t="str">
        <f ca="1">IF(COPIA!$EV$1&gt;0,"",IF(COPIA!$GP$1=1,COPIA!GN161,COPIA!HV161))</f>
        <v/>
      </c>
      <c r="F170" s="178" t="str">
        <f ca="1">IF(COPIA!$EV$1&gt;0,"",IF(COPIA!$GP$1=1,COPIA!GT161,COPIA!IZ161))</f>
        <v/>
      </c>
      <c r="G170" s="179" t="str">
        <f ca="1">IF(COPIA!$EV$1&gt;0,"",IF(COPIA!$GP$1=1,COPIA!GO161,COPIA!IX161))</f>
        <v/>
      </c>
      <c r="H170" s="179" t="str">
        <f ca="1">IF(COPIA!$EV$1&gt;0,"",IF(COPIA!$GP$1=1,COPIA!GP161,COPIA!IY161))</f>
        <v/>
      </c>
      <c r="I170" s="14"/>
      <c r="J170" s="6" t="str">
        <f ca="1">IF(AND(G170="",H170=""),"",ROUND(SUM(G$12:G170),2)-ROUND(SUM(H$12:H170),2))</f>
        <v/>
      </c>
    </row>
    <row r="171" spans="1:10" ht="20.100000000000001" customHeight="1">
      <c r="A171" s="48"/>
      <c r="B171" s="31" t="str">
        <f t="shared" ca="1" si="4"/>
        <v/>
      </c>
      <c r="C171" s="31" t="str">
        <f t="shared" ca="1" si="5"/>
        <v/>
      </c>
      <c r="D171" s="20" t="str">
        <f ca="1">IF(AND(COPIA!$EV$1=0,B171&lt;&gt;"",COPIA!$GP$1=1),CONCATENATE("31/12/",COPIA!$EW$1),IF(AND(COPIA!$EV$1=0,B171&lt;&gt;"",COPIA!$GP$1=2),CONCATENATE("01/01/",COPIA!$EW$1),""))</f>
        <v/>
      </c>
      <c r="E171" s="178" t="str">
        <f ca="1">IF(COPIA!$EV$1&gt;0,"",IF(COPIA!$GP$1=1,COPIA!GN162,COPIA!HV162))</f>
        <v/>
      </c>
      <c r="F171" s="178" t="str">
        <f ca="1">IF(COPIA!$EV$1&gt;0,"",IF(COPIA!$GP$1=1,COPIA!GT162,COPIA!IZ162))</f>
        <v/>
      </c>
      <c r="G171" s="179" t="str">
        <f ca="1">IF(COPIA!$EV$1&gt;0,"",IF(COPIA!$GP$1=1,COPIA!GO162,COPIA!IX162))</f>
        <v/>
      </c>
      <c r="H171" s="179" t="str">
        <f ca="1">IF(COPIA!$EV$1&gt;0,"",IF(COPIA!$GP$1=1,COPIA!GP162,COPIA!IY162))</f>
        <v/>
      </c>
      <c r="I171" s="14"/>
      <c r="J171" s="6" t="str">
        <f ca="1">IF(AND(G171="",H171=""),"",ROUND(SUM(G$12:G171),2)-ROUND(SUM(H$12:H171),2))</f>
        <v/>
      </c>
    </row>
    <row r="172" spans="1:10" ht="20.100000000000001" customHeight="1">
      <c r="A172" s="48"/>
      <c r="B172" s="31" t="str">
        <f t="shared" ca="1" si="4"/>
        <v/>
      </c>
      <c r="C172" s="31" t="str">
        <f t="shared" ca="1" si="5"/>
        <v/>
      </c>
      <c r="D172" s="20" t="str">
        <f ca="1">IF(AND(COPIA!$EV$1=0,B172&lt;&gt;"",COPIA!$GP$1=1),CONCATENATE("31/12/",COPIA!$EW$1),IF(AND(COPIA!$EV$1=0,B172&lt;&gt;"",COPIA!$GP$1=2),CONCATENATE("01/01/",COPIA!$EW$1),""))</f>
        <v/>
      </c>
      <c r="E172" s="178" t="str">
        <f ca="1">IF(COPIA!$EV$1&gt;0,"",IF(COPIA!$GP$1=1,COPIA!GN163,COPIA!HV163))</f>
        <v/>
      </c>
      <c r="F172" s="178" t="str">
        <f ca="1">IF(COPIA!$EV$1&gt;0,"",IF(COPIA!$GP$1=1,COPIA!GT163,COPIA!IZ163))</f>
        <v/>
      </c>
      <c r="G172" s="179" t="str">
        <f ca="1">IF(COPIA!$EV$1&gt;0,"",IF(COPIA!$GP$1=1,COPIA!GO163,COPIA!IX163))</f>
        <v/>
      </c>
      <c r="H172" s="179" t="str">
        <f ca="1">IF(COPIA!$EV$1&gt;0,"",IF(COPIA!$GP$1=1,COPIA!GP163,COPIA!IY163))</f>
        <v/>
      </c>
      <c r="I172" s="14"/>
      <c r="J172" s="6" t="str">
        <f ca="1">IF(AND(G172="",H172=""),"",ROUND(SUM(G$12:G172),2)-ROUND(SUM(H$12:H172),2))</f>
        <v/>
      </c>
    </row>
    <row r="173" spans="1:10" ht="20.100000000000001" customHeight="1">
      <c r="A173" s="48"/>
      <c r="B173" s="31" t="str">
        <f t="shared" ca="1" si="4"/>
        <v/>
      </c>
      <c r="C173" s="31" t="str">
        <f t="shared" ca="1" si="5"/>
        <v/>
      </c>
      <c r="D173" s="20" t="str">
        <f ca="1">IF(AND(COPIA!$EV$1=0,B173&lt;&gt;"",COPIA!$GP$1=1),CONCATENATE("31/12/",COPIA!$EW$1),IF(AND(COPIA!$EV$1=0,B173&lt;&gt;"",COPIA!$GP$1=2),CONCATENATE("01/01/",COPIA!$EW$1),""))</f>
        <v/>
      </c>
      <c r="E173" s="178" t="str">
        <f ca="1">IF(COPIA!$EV$1&gt;0,"",IF(COPIA!$GP$1=1,COPIA!GN164,COPIA!HV164))</f>
        <v/>
      </c>
      <c r="F173" s="178" t="str">
        <f ca="1">IF(COPIA!$EV$1&gt;0,"",IF(COPIA!$GP$1=1,COPIA!GT164,COPIA!IZ164))</f>
        <v/>
      </c>
      <c r="G173" s="179" t="str">
        <f ca="1">IF(COPIA!$EV$1&gt;0,"",IF(COPIA!$GP$1=1,COPIA!GO164,COPIA!IX164))</f>
        <v/>
      </c>
      <c r="H173" s="179" t="str">
        <f ca="1">IF(COPIA!$EV$1&gt;0,"",IF(COPIA!$GP$1=1,COPIA!GP164,COPIA!IY164))</f>
        <v/>
      </c>
      <c r="I173" s="14"/>
      <c r="J173" s="6" t="str">
        <f ca="1">IF(AND(G173="",H173=""),"",ROUND(SUM(G$12:G173),2)-ROUND(SUM(H$12:H173),2))</f>
        <v/>
      </c>
    </row>
    <row r="174" spans="1:10" ht="20.100000000000001" customHeight="1">
      <c r="A174" s="48"/>
      <c r="B174" s="31" t="str">
        <f t="shared" ca="1" si="4"/>
        <v/>
      </c>
      <c r="C174" s="31" t="str">
        <f t="shared" ca="1" si="5"/>
        <v/>
      </c>
      <c r="D174" s="20" t="str">
        <f ca="1">IF(AND(COPIA!$EV$1=0,B174&lt;&gt;"",COPIA!$GP$1=1),CONCATENATE("31/12/",COPIA!$EW$1),IF(AND(COPIA!$EV$1=0,B174&lt;&gt;"",COPIA!$GP$1=2),CONCATENATE("01/01/",COPIA!$EW$1),""))</f>
        <v/>
      </c>
      <c r="E174" s="178" t="str">
        <f ca="1">IF(COPIA!$EV$1&gt;0,"",IF(COPIA!$GP$1=1,COPIA!GN165,COPIA!HV165))</f>
        <v/>
      </c>
      <c r="F174" s="178" t="str">
        <f ca="1">IF(COPIA!$EV$1&gt;0,"",IF(COPIA!$GP$1=1,COPIA!GT165,COPIA!IZ165))</f>
        <v/>
      </c>
      <c r="G174" s="179" t="str">
        <f ca="1">IF(COPIA!$EV$1&gt;0,"",IF(COPIA!$GP$1=1,COPIA!GO165,COPIA!IX165))</f>
        <v/>
      </c>
      <c r="H174" s="179" t="str">
        <f ca="1">IF(COPIA!$EV$1&gt;0,"",IF(COPIA!$GP$1=1,COPIA!GP165,COPIA!IY165))</f>
        <v/>
      </c>
      <c r="I174" s="14"/>
      <c r="J174" s="6" t="str">
        <f ca="1">IF(AND(G174="",H174=""),"",ROUND(SUM(G$12:G174),2)-ROUND(SUM(H$12:H174),2))</f>
        <v/>
      </c>
    </row>
    <row r="175" spans="1:10" ht="20.100000000000001" customHeight="1">
      <c r="A175" s="48"/>
      <c r="B175" s="31" t="str">
        <f t="shared" ca="1" si="4"/>
        <v/>
      </c>
      <c r="C175" s="31" t="str">
        <f t="shared" ca="1" si="5"/>
        <v/>
      </c>
      <c r="D175" s="20" t="str">
        <f ca="1">IF(AND(COPIA!$EV$1=0,B175&lt;&gt;"",COPIA!$GP$1=1),CONCATENATE("31/12/",COPIA!$EW$1),IF(AND(COPIA!$EV$1=0,B175&lt;&gt;"",COPIA!$GP$1=2),CONCATENATE("01/01/",COPIA!$EW$1),""))</f>
        <v/>
      </c>
      <c r="E175" s="178" t="str">
        <f ca="1">IF(COPIA!$EV$1&gt;0,"",IF(COPIA!$GP$1=1,COPIA!GN166,COPIA!HV166))</f>
        <v/>
      </c>
      <c r="F175" s="178" t="str">
        <f ca="1">IF(COPIA!$EV$1&gt;0,"",IF(COPIA!$GP$1=1,COPIA!GT166,COPIA!IZ166))</f>
        <v/>
      </c>
      <c r="G175" s="179" t="str">
        <f ca="1">IF(COPIA!$EV$1&gt;0,"",IF(COPIA!$GP$1=1,COPIA!GO166,COPIA!IX166))</f>
        <v/>
      </c>
      <c r="H175" s="179" t="str">
        <f ca="1">IF(COPIA!$EV$1&gt;0,"",IF(COPIA!$GP$1=1,COPIA!GP166,COPIA!IY166))</f>
        <v/>
      </c>
      <c r="I175" s="14"/>
      <c r="J175" s="6" t="str">
        <f ca="1">IF(AND(G175="",H175=""),"",ROUND(SUM(G$12:G175),2)-ROUND(SUM(H$12:H175),2))</f>
        <v/>
      </c>
    </row>
    <row r="176" spans="1:10" ht="20.100000000000001" customHeight="1">
      <c r="A176" s="48"/>
      <c r="B176" s="31" t="str">
        <f t="shared" ca="1" si="4"/>
        <v/>
      </c>
      <c r="C176" s="31" t="str">
        <f t="shared" ca="1" si="5"/>
        <v/>
      </c>
      <c r="D176" s="20" t="str">
        <f ca="1">IF(AND(COPIA!$EV$1=0,B176&lt;&gt;"",COPIA!$GP$1=1),CONCATENATE("31/12/",COPIA!$EW$1),IF(AND(COPIA!$EV$1=0,B176&lt;&gt;"",COPIA!$GP$1=2),CONCATENATE("01/01/",COPIA!$EW$1),""))</f>
        <v/>
      </c>
      <c r="E176" s="178" t="str">
        <f ca="1">IF(COPIA!$EV$1&gt;0,"",IF(COPIA!$GP$1=1,COPIA!GN167,COPIA!HV167))</f>
        <v/>
      </c>
      <c r="F176" s="178" t="str">
        <f ca="1">IF(COPIA!$EV$1&gt;0,"",IF(COPIA!$GP$1=1,COPIA!GT167,COPIA!IZ167))</f>
        <v/>
      </c>
      <c r="G176" s="179" t="str">
        <f ca="1">IF(COPIA!$EV$1&gt;0,"",IF(COPIA!$GP$1=1,COPIA!GO167,COPIA!IX167))</f>
        <v/>
      </c>
      <c r="H176" s="179" t="str">
        <f ca="1">IF(COPIA!$EV$1&gt;0,"",IF(COPIA!$GP$1=1,COPIA!GP167,COPIA!IY167))</f>
        <v/>
      </c>
      <c r="I176" s="14"/>
      <c r="J176" s="6" t="str">
        <f ca="1">IF(AND(G176="",H176=""),"",ROUND(SUM(G$12:G176),2)-ROUND(SUM(H$12:H176),2))</f>
        <v/>
      </c>
    </row>
    <row r="177" spans="1:10" ht="20.100000000000001" customHeight="1">
      <c r="A177" s="48"/>
      <c r="B177" s="31" t="str">
        <f t="shared" ca="1" si="4"/>
        <v/>
      </c>
      <c r="C177" s="31" t="str">
        <f t="shared" ca="1" si="5"/>
        <v/>
      </c>
      <c r="D177" s="20" t="str">
        <f ca="1">IF(AND(COPIA!$EV$1=0,B177&lt;&gt;"",COPIA!$GP$1=1),CONCATENATE("31/12/",COPIA!$EW$1),IF(AND(COPIA!$EV$1=0,B177&lt;&gt;"",COPIA!$GP$1=2),CONCATENATE("01/01/",COPIA!$EW$1),""))</f>
        <v/>
      </c>
      <c r="E177" s="178" t="str">
        <f ca="1">IF(COPIA!$EV$1&gt;0,"",IF(COPIA!$GP$1=1,COPIA!GN168,COPIA!HV168))</f>
        <v/>
      </c>
      <c r="F177" s="178" t="str">
        <f ca="1">IF(COPIA!$EV$1&gt;0,"",IF(COPIA!$GP$1=1,COPIA!GT168,COPIA!IZ168))</f>
        <v/>
      </c>
      <c r="G177" s="179" t="str">
        <f ca="1">IF(COPIA!$EV$1&gt;0,"",IF(COPIA!$GP$1=1,COPIA!GO168,COPIA!IX168))</f>
        <v/>
      </c>
      <c r="H177" s="179" t="str">
        <f ca="1">IF(COPIA!$EV$1&gt;0,"",IF(COPIA!$GP$1=1,COPIA!GP168,COPIA!IY168))</f>
        <v/>
      </c>
      <c r="I177" s="14"/>
      <c r="J177" s="6" t="str">
        <f ca="1">IF(AND(G177="",H177=""),"",ROUND(SUM(G$12:G177),2)-ROUND(SUM(H$12:H177),2))</f>
        <v/>
      </c>
    </row>
    <row r="178" spans="1:10" ht="20.100000000000001" customHeight="1">
      <c r="A178" s="48"/>
      <c r="B178" s="31" t="str">
        <f t="shared" ca="1" si="4"/>
        <v/>
      </c>
      <c r="C178" s="31" t="str">
        <f t="shared" ca="1" si="5"/>
        <v/>
      </c>
      <c r="D178" s="20" t="str">
        <f ca="1">IF(AND(COPIA!$EV$1=0,B178&lt;&gt;"",COPIA!$GP$1=1),CONCATENATE("31/12/",COPIA!$EW$1),IF(AND(COPIA!$EV$1=0,B178&lt;&gt;"",COPIA!$GP$1=2),CONCATENATE("01/01/",COPIA!$EW$1),""))</f>
        <v/>
      </c>
      <c r="E178" s="178" t="str">
        <f ca="1">IF(COPIA!$EV$1&gt;0,"",IF(COPIA!$GP$1=1,COPIA!GN169,COPIA!HV169))</f>
        <v/>
      </c>
      <c r="F178" s="178" t="str">
        <f ca="1">IF(COPIA!$EV$1&gt;0,"",IF(COPIA!$GP$1=1,COPIA!GT169,COPIA!IZ169))</f>
        <v/>
      </c>
      <c r="G178" s="179" t="str">
        <f ca="1">IF(COPIA!$EV$1&gt;0,"",IF(COPIA!$GP$1=1,COPIA!GO169,COPIA!IX169))</f>
        <v/>
      </c>
      <c r="H178" s="179" t="str">
        <f ca="1">IF(COPIA!$EV$1&gt;0,"",IF(COPIA!$GP$1=1,COPIA!GP169,COPIA!IY169))</f>
        <v/>
      </c>
      <c r="I178" s="14"/>
      <c r="J178" s="6" t="str">
        <f ca="1">IF(AND(G178="",H178=""),"",ROUND(SUM(G$12:G178),2)-ROUND(SUM(H$12:H178),2))</f>
        <v/>
      </c>
    </row>
    <row r="179" spans="1:10" ht="20.100000000000001" customHeight="1">
      <c r="A179" s="48"/>
      <c r="B179" s="31" t="str">
        <f t="shared" ca="1" si="4"/>
        <v/>
      </c>
      <c r="C179" s="31" t="str">
        <f t="shared" ca="1" si="5"/>
        <v/>
      </c>
      <c r="D179" s="20" t="str">
        <f ca="1">IF(AND(COPIA!$EV$1=0,B179&lt;&gt;"",COPIA!$GP$1=1),CONCATENATE("31/12/",COPIA!$EW$1),IF(AND(COPIA!$EV$1=0,B179&lt;&gt;"",COPIA!$GP$1=2),CONCATENATE("01/01/",COPIA!$EW$1),""))</f>
        <v/>
      </c>
      <c r="E179" s="178" t="str">
        <f ca="1">IF(COPIA!$EV$1&gt;0,"",IF(COPIA!$GP$1=1,COPIA!GN170,COPIA!HV170))</f>
        <v/>
      </c>
      <c r="F179" s="178" t="str">
        <f ca="1">IF(COPIA!$EV$1&gt;0,"",IF(COPIA!$GP$1=1,COPIA!GT170,COPIA!IZ170))</f>
        <v/>
      </c>
      <c r="G179" s="179" t="str">
        <f ca="1">IF(COPIA!$EV$1&gt;0,"",IF(COPIA!$GP$1=1,COPIA!GO170,COPIA!IX170))</f>
        <v/>
      </c>
      <c r="H179" s="179" t="str">
        <f ca="1">IF(COPIA!$EV$1&gt;0,"",IF(COPIA!$GP$1=1,COPIA!GP170,COPIA!IY170))</f>
        <v/>
      </c>
      <c r="I179" s="14"/>
      <c r="J179" s="6" t="str">
        <f ca="1">IF(AND(G179="",H179=""),"",ROUND(SUM(G$12:G179),2)-ROUND(SUM(H$12:H179),2))</f>
        <v/>
      </c>
    </row>
    <row r="180" spans="1:10" ht="20.100000000000001" customHeight="1">
      <c r="A180" s="48"/>
      <c r="B180" s="31" t="str">
        <f t="shared" ca="1" si="4"/>
        <v/>
      </c>
      <c r="C180" s="31" t="str">
        <f t="shared" ca="1" si="5"/>
        <v/>
      </c>
      <c r="D180" s="20" t="str">
        <f ca="1">IF(AND(COPIA!$EV$1=0,B180&lt;&gt;"",COPIA!$GP$1=1),CONCATENATE("31/12/",COPIA!$EW$1),IF(AND(COPIA!$EV$1=0,B180&lt;&gt;"",COPIA!$GP$1=2),CONCATENATE("01/01/",COPIA!$EW$1),""))</f>
        <v/>
      </c>
      <c r="E180" s="178" t="str">
        <f ca="1">IF(COPIA!$EV$1&gt;0,"",IF(COPIA!$GP$1=1,COPIA!GN171,COPIA!HV171))</f>
        <v/>
      </c>
      <c r="F180" s="178" t="str">
        <f ca="1">IF(COPIA!$EV$1&gt;0,"",IF(COPIA!$GP$1=1,COPIA!GT171,COPIA!IZ171))</f>
        <v/>
      </c>
      <c r="G180" s="179" t="str">
        <f ca="1">IF(COPIA!$EV$1&gt;0,"",IF(COPIA!$GP$1=1,COPIA!GO171,COPIA!IX171))</f>
        <v/>
      </c>
      <c r="H180" s="179" t="str">
        <f ca="1">IF(COPIA!$EV$1&gt;0,"",IF(COPIA!$GP$1=1,COPIA!GP171,COPIA!IY171))</f>
        <v/>
      </c>
      <c r="I180" s="14"/>
      <c r="J180" s="6" t="str">
        <f ca="1">IF(AND(G180="",H180=""),"",ROUND(SUM(G$12:G180),2)-ROUND(SUM(H$12:H180),2))</f>
        <v/>
      </c>
    </row>
    <row r="181" spans="1:10" ht="20.100000000000001" customHeight="1">
      <c r="A181" s="48"/>
      <c r="B181" s="31" t="str">
        <f t="shared" ca="1" si="4"/>
        <v/>
      </c>
      <c r="C181" s="31" t="str">
        <f t="shared" ca="1" si="5"/>
        <v/>
      </c>
      <c r="D181" s="20" t="str">
        <f ca="1">IF(AND(COPIA!$EV$1=0,B181&lt;&gt;"",COPIA!$GP$1=1),CONCATENATE("31/12/",COPIA!$EW$1),IF(AND(COPIA!$EV$1=0,B181&lt;&gt;"",COPIA!$GP$1=2),CONCATENATE("01/01/",COPIA!$EW$1),""))</f>
        <v/>
      </c>
      <c r="E181" s="178" t="str">
        <f ca="1">IF(COPIA!$EV$1&gt;0,"",IF(COPIA!$GP$1=1,COPIA!GN172,COPIA!HV172))</f>
        <v/>
      </c>
      <c r="F181" s="178" t="str">
        <f ca="1">IF(COPIA!$EV$1&gt;0,"",IF(COPIA!$GP$1=1,COPIA!GT172,COPIA!IZ172))</f>
        <v/>
      </c>
      <c r="G181" s="179" t="str">
        <f ca="1">IF(COPIA!$EV$1&gt;0,"",IF(COPIA!$GP$1=1,COPIA!GO172,COPIA!IX172))</f>
        <v/>
      </c>
      <c r="H181" s="179" t="str">
        <f ca="1">IF(COPIA!$EV$1&gt;0,"",IF(COPIA!$GP$1=1,COPIA!GP172,COPIA!IY172))</f>
        <v/>
      </c>
      <c r="I181" s="14"/>
      <c r="J181" s="6" t="str">
        <f ca="1">IF(AND(G181="",H181=""),"",ROUND(SUM(G$12:G181),2)-ROUND(SUM(H$12:H181),2))</f>
        <v/>
      </c>
    </row>
    <row r="182" spans="1:10" ht="20.100000000000001" customHeight="1">
      <c r="A182" s="48"/>
      <c r="B182" s="31" t="str">
        <f t="shared" ca="1" si="4"/>
        <v/>
      </c>
      <c r="C182" s="31" t="str">
        <f t="shared" ca="1" si="5"/>
        <v/>
      </c>
      <c r="D182" s="20" t="str">
        <f ca="1">IF(AND(COPIA!$EV$1=0,B182&lt;&gt;"",COPIA!$GP$1=1),CONCATENATE("31/12/",COPIA!$EW$1),IF(AND(COPIA!$EV$1=0,B182&lt;&gt;"",COPIA!$GP$1=2),CONCATENATE("01/01/",COPIA!$EW$1),""))</f>
        <v/>
      </c>
      <c r="E182" s="178" t="str">
        <f ca="1">IF(COPIA!$EV$1&gt;0,"",IF(COPIA!$GP$1=1,COPIA!GN173,COPIA!HV173))</f>
        <v/>
      </c>
      <c r="F182" s="178" t="str">
        <f ca="1">IF(COPIA!$EV$1&gt;0,"",IF(COPIA!$GP$1=1,COPIA!GT173,COPIA!IZ173))</f>
        <v/>
      </c>
      <c r="G182" s="179" t="str">
        <f ca="1">IF(COPIA!$EV$1&gt;0,"",IF(COPIA!$GP$1=1,COPIA!GO173,COPIA!IX173))</f>
        <v/>
      </c>
      <c r="H182" s="179" t="str">
        <f ca="1">IF(COPIA!$EV$1&gt;0,"",IF(COPIA!$GP$1=1,COPIA!GP173,COPIA!IY173))</f>
        <v/>
      </c>
      <c r="I182" s="14"/>
      <c r="J182" s="6" t="str">
        <f ca="1">IF(AND(G182="",H182=""),"",ROUND(SUM(G$12:G182),2)-ROUND(SUM(H$12:H182),2))</f>
        <v/>
      </c>
    </row>
    <row r="183" spans="1:10" ht="20.100000000000001" customHeight="1">
      <c r="A183" s="48"/>
      <c r="B183" s="31" t="str">
        <f t="shared" ca="1" si="4"/>
        <v/>
      </c>
      <c r="C183" s="31" t="str">
        <f t="shared" ca="1" si="5"/>
        <v/>
      </c>
      <c r="D183" s="20" t="str">
        <f ca="1">IF(AND(COPIA!$EV$1=0,B183&lt;&gt;"",COPIA!$GP$1=1),CONCATENATE("31/12/",COPIA!$EW$1),IF(AND(COPIA!$EV$1=0,B183&lt;&gt;"",COPIA!$GP$1=2),CONCATENATE("01/01/",COPIA!$EW$1),""))</f>
        <v/>
      </c>
      <c r="E183" s="178" t="str">
        <f ca="1">IF(COPIA!$EV$1&gt;0,"",IF(COPIA!$GP$1=1,COPIA!GN174,COPIA!HV174))</f>
        <v/>
      </c>
      <c r="F183" s="178" t="str">
        <f ca="1">IF(COPIA!$EV$1&gt;0,"",IF(COPIA!$GP$1=1,COPIA!GT174,COPIA!IZ174))</f>
        <v/>
      </c>
      <c r="G183" s="179" t="str">
        <f ca="1">IF(COPIA!$EV$1&gt;0,"",IF(COPIA!$GP$1=1,COPIA!GO174,COPIA!IX174))</f>
        <v/>
      </c>
      <c r="H183" s="179" t="str">
        <f ca="1">IF(COPIA!$EV$1&gt;0,"",IF(COPIA!$GP$1=1,COPIA!GP174,COPIA!IY174))</f>
        <v/>
      </c>
      <c r="I183" s="14"/>
      <c r="J183" s="6" t="str">
        <f ca="1">IF(AND(G183="",H183=""),"",ROUND(SUM(G$12:G183),2)-ROUND(SUM(H$12:H183),2))</f>
        <v/>
      </c>
    </row>
    <row r="184" spans="1:10" ht="20.100000000000001" customHeight="1">
      <c r="A184" s="48"/>
      <c r="B184" s="31" t="str">
        <f t="shared" ca="1" si="4"/>
        <v/>
      </c>
      <c r="C184" s="31" t="str">
        <f t="shared" ca="1" si="5"/>
        <v/>
      </c>
      <c r="D184" s="20" t="str">
        <f ca="1">IF(AND(COPIA!$EV$1=0,B184&lt;&gt;"",COPIA!$GP$1=1),CONCATENATE("31/12/",COPIA!$EW$1),IF(AND(COPIA!$EV$1=0,B184&lt;&gt;"",COPIA!$GP$1=2),CONCATENATE("01/01/",COPIA!$EW$1),""))</f>
        <v/>
      </c>
      <c r="E184" s="178" t="str">
        <f ca="1">IF(COPIA!$EV$1&gt;0,"",IF(COPIA!$GP$1=1,COPIA!GN175,COPIA!HV175))</f>
        <v/>
      </c>
      <c r="F184" s="178" t="str">
        <f ca="1">IF(COPIA!$EV$1&gt;0,"",IF(COPIA!$GP$1=1,COPIA!GT175,COPIA!IZ175))</f>
        <v/>
      </c>
      <c r="G184" s="179" t="str">
        <f ca="1">IF(COPIA!$EV$1&gt;0,"",IF(COPIA!$GP$1=1,COPIA!GO175,COPIA!IX175))</f>
        <v/>
      </c>
      <c r="H184" s="179" t="str">
        <f ca="1">IF(COPIA!$EV$1&gt;0,"",IF(COPIA!$GP$1=1,COPIA!GP175,COPIA!IY175))</f>
        <v/>
      </c>
      <c r="I184" s="14"/>
      <c r="J184" s="6" t="str">
        <f ca="1">IF(AND(G184="",H184=""),"",ROUND(SUM(G$12:G184),2)-ROUND(SUM(H$12:H184),2))</f>
        <v/>
      </c>
    </row>
    <row r="185" spans="1:10" ht="20.100000000000001" customHeight="1">
      <c r="A185" s="48"/>
      <c r="B185" s="31" t="str">
        <f t="shared" ca="1" si="4"/>
        <v/>
      </c>
      <c r="C185" s="31" t="str">
        <f t="shared" ca="1" si="5"/>
        <v/>
      </c>
      <c r="D185" s="20" t="str">
        <f ca="1">IF(AND(COPIA!$EV$1=0,B185&lt;&gt;"",COPIA!$GP$1=1),CONCATENATE("31/12/",COPIA!$EW$1),IF(AND(COPIA!$EV$1=0,B185&lt;&gt;"",COPIA!$GP$1=2),CONCATENATE("01/01/",COPIA!$EW$1),""))</f>
        <v/>
      </c>
      <c r="E185" s="178" t="str">
        <f ca="1">IF(COPIA!$EV$1&gt;0,"",IF(COPIA!$GP$1=1,COPIA!GN176,COPIA!HV176))</f>
        <v/>
      </c>
      <c r="F185" s="178" t="str">
        <f ca="1">IF(COPIA!$EV$1&gt;0,"",IF(COPIA!$GP$1=1,COPIA!GT176,COPIA!IZ176))</f>
        <v/>
      </c>
      <c r="G185" s="179" t="str">
        <f ca="1">IF(COPIA!$EV$1&gt;0,"",IF(COPIA!$GP$1=1,COPIA!GO176,COPIA!IX176))</f>
        <v/>
      </c>
      <c r="H185" s="179" t="str">
        <f ca="1">IF(COPIA!$EV$1&gt;0,"",IF(COPIA!$GP$1=1,COPIA!GP176,COPIA!IY176))</f>
        <v/>
      </c>
      <c r="I185" s="14"/>
      <c r="J185" s="6" t="str">
        <f ca="1">IF(AND(G185="",H185=""),"",ROUND(SUM(G$12:G185),2)-ROUND(SUM(H$12:H185),2))</f>
        <v/>
      </c>
    </row>
    <row r="186" spans="1:10" ht="20.100000000000001" customHeight="1">
      <c r="A186" s="48"/>
      <c r="B186" s="31" t="str">
        <f t="shared" ca="1" si="4"/>
        <v/>
      </c>
      <c r="C186" s="31" t="str">
        <f t="shared" ca="1" si="5"/>
        <v/>
      </c>
      <c r="D186" s="20" t="str">
        <f ca="1">IF(AND(COPIA!$EV$1=0,B186&lt;&gt;"",COPIA!$GP$1=1),CONCATENATE("31/12/",COPIA!$EW$1),IF(AND(COPIA!$EV$1=0,B186&lt;&gt;"",COPIA!$GP$1=2),CONCATENATE("01/01/",COPIA!$EW$1),""))</f>
        <v/>
      </c>
      <c r="E186" s="178" t="str">
        <f ca="1">IF(COPIA!$EV$1&gt;0,"",IF(COPIA!$GP$1=1,COPIA!GN177,COPIA!HV177))</f>
        <v/>
      </c>
      <c r="F186" s="178" t="str">
        <f ca="1">IF(COPIA!$EV$1&gt;0,"",IF(COPIA!$GP$1=1,COPIA!GT177,COPIA!IZ177))</f>
        <v/>
      </c>
      <c r="G186" s="179" t="str">
        <f ca="1">IF(COPIA!$EV$1&gt;0,"",IF(COPIA!$GP$1=1,COPIA!GO177,COPIA!IX177))</f>
        <v/>
      </c>
      <c r="H186" s="179" t="str">
        <f ca="1">IF(COPIA!$EV$1&gt;0,"",IF(COPIA!$GP$1=1,COPIA!GP177,COPIA!IY177))</f>
        <v/>
      </c>
      <c r="I186" s="14"/>
      <c r="J186" s="6" t="str">
        <f ca="1">IF(AND(G186="",H186=""),"",ROUND(SUM(G$12:G186),2)-ROUND(SUM(H$12:H186),2))</f>
        <v/>
      </c>
    </row>
    <row r="187" spans="1:10" ht="20.100000000000001" customHeight="1">
      <c r="A187" s="48"/>
      <c r="B187" s="31" t="str">
        <f t="shared" ca="1" si="4"/>
        <v/>
      </c>
      <c r="C187" s="31" t="str">
        <f t="shared" ca="1" si="5"/>
        <v/>
      </c>
      <c r="D187" s="20" t="str">
        <f ca="1">IF(AND(COPIA!$EV$1=0,B187&lt;&gt;"",COPIA!$GP$1=1),CONCATENATE("31/12/",COPIA!$EW$1),IF(AND(COPIA!$EV$1=0,B187&lt;&gt;"",COPIA!$GP$1=2),CONCATENATE("01/01/",COPIA!$EW$1),""))</f>
        <v/>
      </c>
      <c r="E187" s="178" t="str">
        <f ca="1">IF(COPIA!$EV$1&gt;0,"",IF(COPIA!$GP$1=1,COPIA!GN178,COPIA!HV178))</f>
        <v/>
      </c>
      <c r="F187" s="178" t="str">
        <f ca="1">IF(COPIA!$EV$1&gt;0,"",IF(COPIA!$GP$1=1,COPIA!GT178,COPIA!IZ178))</f>
        <v/>
      </c>
      <c r="G187" s="179" t="str">
        <f ca="1">IF(COPIA!$EV$1&gt;0,"",IF(COPIA!$GP$1=1,COPIA!GO178,COPIA!IX178))</f>
        <v/>
      </c>
      <c r="H187" s="179" t="str">
        <f ca="1">IF(COPIA!$EV$1&gt;0,"",IF(COPIA!$GP$1=1,COPIA!GP178,COPIA!IY178))</f>
        <v/>
      </c>
      <c r="I187" s="14"/>
      <c r="J187" s="6" t="str">
        <f ca="1">IF(AND(G187="",H187=""),"",ROUND(SUM(G$12:G187),2)-ROUND(SUM(H$12:H187),2))</f>
        <v/>
      </c>
    </row>
    <row r="188" spans="1:10" ht="20.100000000000001" customHeight="1">
      <c r="A188" s="48"/>
      <c r="B188" s="31" t="str">
        <f t="shared" ca="1" si="4"/>
        <v/>
      </c>
      <c r="C188" s="31" t="str">
        <f t="shared" ca="1" si="5"/>
        <v/>
      </c>
      <c r="D188" s="20" t="str">
        <f ca="1">IF(AND(COPIA!$EV$1=0,B188&lt;&gt;"",COPIA!$GP$1=1),CONCATENATE("31/12/",COPIA!$EW$1),IF(AND(COPIA!$EV$1=0,B188&lt;&gt;"",COPIA!$GP$1=2),CONCATENATE("01/01/",COPIA!$EW$1),""))</f>
        <v/>
      </c>
      <c r="E188" s="178" t="str">
        <f ca="1">IF(COPIA!$EV$1&gt;0,"",IF(COPIA!$GP$1=1,COPIA!GN179,COPIA!HV179))</f>
        <v/>
      </c>
      <c r="F188" s="178" t="str">
        <f ca="1">IF(COPIA!$EV$1&gt;0,"",IF(COPIA!$GP$1=1,COPIA!GT179,COPIA!IZ179))</f>
        <v/>
      </c>
      <c r="G188" s="179" t="str">
        <f ca="1">IF(COPIA!$EV$1&gt;0,"",IF(COPIA!$GP$1=1,COPIA!GO179,COPIA!IX179))</f>
        <v/>
      </c>
      <c r="H188" s="179" t="str">
        <f ca="1">IF(COPIA!$EV$1&gt;0,"",IF(COPIA!$GP$1=1,COPIA!GP179,COPIA!IY179))</f>
        <v/>
      </c>
      <c r="I188" s="14"/>
      <c r="J188" s="6" t="str">
        <f ca="1">IF(AND(G188="",H188=""),"",ROUND(SUM(G$12:G188),2)-ROUND(SUM(H$12:H188),2))</f>
        <v/>
      </c>
    </row>
    <row r="189" spans="1:10" ht="20.100000000000001" customHeight="1">
      <c r="A189" s="48"/>
      <c r="B189" s="31" t="str">
        <f t="shared" ca="1" si="4"/>
        <v/>
      </c>
      <c r="C189" s="31" t="str">
        <f t="shared" ca="1" si="5"/>
        <v/>
      </c>
      <c r="D189" s="20" t="str">
        <f ca="1">IF(AND(COPIA!$EV$1=0,B189&lt;&gt;"",COPIA!$GP$1=1),CONCATENATE("31/12/",COPIA!$EW$1),IF(AND(COPIA!$EV$1=0,B189&lt;&gt;"",COPIA!$GP$1=2),CONCATENATE("01/01/",COPIA!$EW$1),""))</f>
        <v/>
      </c>
      <c r="E189" s="178" t="str">
        <f ca="1">IF(COPIA!$EV$1&gt;0,"",IF(COPIA!$GP$1=1,COPIA!GN180,COPIA!HV180))</f>
        <v/>
      </c>
      <c r="F189" s="178" t="str">
        <f ca="1">IF(COPIA!$EV$1&gt;0,"",IF(COPIA!$GP$1=1,COPIA!GT180,COPIA!IZ180))</f>
        <v/>
      </c>
      <c r="G189" s="179" t="str">
        <f ca="1">IF(COPIA!$EV$1&gt;0,"",IF(COPIA!$GP$1=1,COPIA!GO180,COPIA!IX180))</f>
        <v/>
      </c>
      <c r="H189" s="179" t="str">
        <f ca="1">IF(COPIA!$EV$1&gt;0,"",IF(COPIA!$GP$1=1,COPIA!GP180,COPIA!IY180))</f>
        <v/>
      </c>
      <c r="I189" s="14"/>
      <c r="J189" s="6" t="str">
        <f ca="1">IF(AND(G189="",H189=""),"",ROUND(SUM(G$12:G189),2)-ROUND(SUM(H$12:H189),2))</f>
        <v/>
      </c>
    </row>
    <row r="190" spans="1:10" ht="20.100000000000001" customHeight="1">
      <c r="A190" s="48"/>
      <c r="B190" s="31" t="str">
        <f t="shared" ca="1" si="4"/>
        <v/>
      </c>
      <c r="C190" s="31" t="str">
        <f t="shared" ca="1" si="5"/>
        <v/>
      </c>
      <c r="D190" s="20" t="str">
        <f ca="1">IF(AND(COPIA!$EV$1=0,B190&lt;&gt;"",COPIA!$GP$1=1),CONCATENATE("31/12/",COPIA!$EW$1),IF(AND(COPIA!$EV$1=0,B190&lt;&gt;"",COPIA!$GP$1=2),CONCATENATE("01/01/",COPIA!$EW$1),""))</f>
        <v/>
      </c>
      <c r="E190" s="178" t="str">
        <f ca="1">IF(COPIA!$EV$1&gt;0,"",IF(COPIA!$GP$1=1,COPIA!GN181,COPIA!HV181))</f>
        <v/>
      </c>
      <c r="F190" s="178" t="str">
        <f ca="1">IF(COPIA!$EV$1&gt;0,"",IF(COPIA!$GP$1=1,COPIA!GT181,COPIA!IZ181))</f>
        <v/>
      </c>
      <c r="G190" s="179" t="str">
        <f ca="1">IF(COPIA!$EV$1&gt;0,"",IF(COPIA!$GP$1=1,COPIA!GO181,COPIA!IX181))</f>
        <v/>
      </c>
      <c r="H190" s="179" t="str">
        <f ca="1">IF(COPIA!$EV$1&gt;0,"",IF(COPIA!$GP$1=1,COPIA!GP181,COPIA!IY181))</f>
        <v/>
      </c>
      <c r="I190" s="14"/>
      <c r="J190" s="6" t="str">
        <f ca="1">IF(AND(G190="",H190=""),"",ROUND(SUM(G$12:G190),2)-ROUND(SUM(H$12:H190),2))</f>
        <v/>
      </c>
    </row>
    <row r="191" spans="1:10" ht="20.100000000000001" customHeight="1">
      <c r="A191" s="48"/>
      <c r="B191" s="31" t="str">
        <f t="shared" ca="1" si="4"/>
        <v/>
      </c>
      <c r="C191" s="31" t="str">
        <f t="shared" ca="1" si="5"/>
        <v/>
      </c>
      <c r="D191" s="20" t="str">
        <f ca="1">IF(AND(COPIA!$EV$1=0,B191&lt;&gt;"",COPIA!$GP$1=1),CONCATENATE("31/12/",COPIA!$EW$1),IF(AND(COPIA!$EV$1=0,B191&lt;&gt;"",COPIA!$GP$1=2),CONCATENATE("01/01/",COPIA!$EW$1),""))</f>
        <v/>
      </c>
      <c r="E191" s="178" t="str">
        <f ca="1">IF(COPIA!$EV$1&gt;0,"",IF(COPIA!$GP$1=1,COPIA!GN182,COPIA!HV182))</f>
        <v/>
      </c>
      <c r="F191" s="178" t="str">
        <f ca="1">IF(COPIA!$EV$1&gt;0,"",IF(COPIA!$GP$1=1,COPIA!GT182,COPIA!IZ182))</f>
        <v/>
      </c>
      <c r="G191" s="179" t="str">
        <f ca="1">IF(COPIA!$EV$1&gt;0,"",IF(COPIA!$GP$1=1,COPIA!GO182,COPIA!IX182))</f>
        <v/>
      </c>
      <c r="H191" s="179" t="str">
        <f ca="1">IF(COPIA!$EV$1&gt;0,"",IF(COPIA!$GP$1=1,COPIA!GP182,COPIA!IY182))</f>
        <v/>
      </c>
      <c r="I191" s="14"/>
      <c r="J191" s="6" t="str">
        <f ca="1">IF(AND(G191="",H191=""),"",ROUND(SUM(G$12:G191),2)-ROUND(SUM(H$12:H191),2))</f>
        <v/>
      </c>
    </row>
    <row r="192" spans="1:10" ht="20.100000000000001" customHeight="1">
      <c r="A192" s="48"/>
      <c r="B192" s="31" t="str">
        <f t="shared" ca="1" si="4"/>
        <v/>
      </c>
      <c r="C192" s="31" t="str">
        <f t="shared" ca="1" si="5"/>
        <v/>
      </c>
      <c r="D192" s="20" t="str">
        <f ca="1">IF(AND(COPIA!$EV$1=0,B192&lt;&gt;"",COPIA!$GP$1=1),CONCATENATE("31/12/",COPIA!$EW$1),IF(AND(COPIA!$EV$1=0,B192&lt;&gt;"",COPIA!$GP$1=2),CONCATENATE("01/01/",COPIA!$EW$1),""))</f>
        <v/>
      </c>
      <c r="E192" s="178" t="str">
        <f ca="1">IF(COPIA!$EV$1&gt;0,"",IF(COPIA!$GP$1=1,COPIA!GN183,COPIA!HV183))</f>
        <v/>
      </c>
      <c r="F192" s="178" t="str">
        <f ca="1">IF(COPIA!$EV$1&gt;0,"",IF(COPIA!$GP$1=1,COPIA!GT183,COPIA!IZ183))</f>
        <v/>
      </c>
      <c r="G192" s="179" t="str">
        <f ca="1">IF(COPIA!$EV$1&gt;0,"",IF(COPIA!$GP$1=1,COPIA!GO183,COPIA!IX183))</f>
        <v/>
      </c>
      <c r="H192" s="179" t="str">
        <f ca="1">IF(COPIA!$EV$1&gt;0,"",IF(COPIA!$GP$1=1,COPIA!GP183,COPIA!IY183))</f>
        <v/>
      </c>
      <c r="I192" s="14"/>
      <c r="J192" s="6" t="str">
        <f ca="1">IF(AND(G192="",H192=""),"",ROUND(SUM(G$12:G192),2)-ROUND(SUM(H$12:H192),2))</f>
        <v/>
      </c>
    </row>
    <row r="193" spans="1:10" ht="20.100000000000001" customHeight="1">
      <c r="A193" s="48"/>
      <c r="B193" s="31" t="str">
        <f t="shared" ca="1" si="4"/>
        <v/>
      </c>
      <c r="C193" s="31" t="str">
        <f t="shared" ca="1" si="5"/>
        <v/>
      </c>
      <c r="D193" s="20" t="str">
        <f ca="1">IF(AND(COPIA!$EV$1=0,B193&lt;&gt;"",COPIA!$GP$1=1),CONCATENATE("31/12/",COPIA!$EW$1),IF(AND(COPIA!$EV$1=0,B193&lt;&gt;"",COPIA!$GP$1=2),CONCATENATE("01/01/",COPIA!$EW$1),""))</f>
        <v/>
      </c>
      <c r="E193" s="178" t="str">
        <f ca="1">IF(COPIA!$EV$1&gt;0,"",IF(COPIA!$GP$1=1,COPIA!GN184,COPIA!HV184))</f>
        <v/>
      </c>
      <c r="F193" s="178" t="str">
        <f ca="1">IF(COPIA!$EV$1&gt;0,"",IF(COPIA!$GP$1=1,COPIA!GT184,COPIA!IZ184))</f>
        <v/>
      </c>
      <c r="G193" s="179" t="str">
        <f ca="1">IF(COPIA!$EV$1&gt;0,"",IF(COPIA!$GP$1=1,COPIA!GO184,COPIA!IX184))</f>
        <v/>
      </c>
      <c r="H193" s="179" t="str">
        <f ca="1">IF(COPIA!$EV$1&gt;0,"",IF(COPIA!$GP$1=1,COPIA!GP184,COPIA!IY184))</f>
        <v/>
      </c>
      <c r="I193" s="14"/>
      <c r="J193" s="6" t="str">
        <f ca="1">IF(AND(G193="",H193=""),"",ROUND(SUM(G$12:G193),2)-ROUND(SUM(H$12:H193),2))</f>
        <v/>
      </c>
    </row>
    <row r="194" spans="1:10" ht="20.100000000000001" customHeight="1">
      <c r="A194" s="48"/>
      <c r="B194" s="31" t="str">
        <f t="shared" ca="1" si="4"/>
        <v/>
      </c>
      <c r="C194" s="31" t="str">
        <f t="shared" ca="1" si="5"/>
        <v/>
      </c>
      <c r="D194" s="20" t="str">
        <f ca="1">IF(AND(COPIA!$EV$1=0,B194&lt;&gt;"",COPIA!$GP$1=1),CONCATENATE("31/12/",COPIA!$EW$1),IF(AND(COPIA!$EV$1=0,B194&lt;&gt;"",COPIA!$GP$1=2),CONCATENATE("01/01/",COPIA!$EW$1),""))</f>
        <v/>
      </c>
      <c r="E194" s="178" t="str">
        <f ca="1">IF(COPIA!$EV$1&gt;0,"",IF(COPIA!$GP$1=1,COPIA!GN185,COPIA!HV185))</f>
        <v/>
      </c>
      <c r="F194" s="178" t="str">
        <f ca="1">IF(COPIA!$EV$1&gt;0,"",IF(COPIA!$GP$1=1,COPIA!GT185,COPIA!IZ185))</f>
        <v/>
      </c>
      <c r="G194" s="179" t="str">
        <f ca="1">IF(COPIA!$EV$1&gt;0,"",IF(COPIA!$GP$1=1,COPIA!GO185,COPIA!IX185))</f>
        <v/>
      </c>
      <c r="H194" s="179" t="str">
        <f ca="1">IF(COPIA!$EV$1&gt;0,"",IF(COPIA!$GP$1=1,COPIA!GP185,COPIA!IY185))</f>
        <v/>
      </c>
      <c r="I194" s="14"/>
      <c r="J194" s="6" t="str">
        <f ca="1">IF(AND(G194="",H194=""),"",ROUND(SUM(G$12:G194),2)-ROUND(SUM(H$12:H194),2))</f>
        <v/>
      </c>
    </row>
    <row r="195" spans="1:10" ht="20.100000000000001" customHeight="1">
      <c r="A195" s="48"/>
      <c r="B195" s="31" t="str">
        <f t="shared" ca="1" si="4"/>
        <v/>
      </c>
      <c r="C195" s="31" t="str">
        <f t="shared" ca="1" si="5"/>
        <v/>
      </c>
      <c r="D195" s="20" t="str">
        <f ca="1">IF(AND(COPIA!$EV$1=0,B195&lt;&gt;"",COPIA!$GP$1=1),CONCATENATE("31/12/",COPIA!$EW$1),IF(AND(COPIA!$EV$1=0,B195&lt;&gt;"",COPIA!$GP$1=2),CONCATENATE("01/01/",COPIA!$EW$1),""))</f>
        <v/>
      </c>
      <c r="E195" s="178" t="str">
        <f ca="1">IF(COPIA!$EV$1&gt;0,"",IF(COPIA!$GP$1=1,COPIA!GN186,COPIA!HV186))</f>
        <v/>
      </c>
      <c r="F195" s="178" t="str">
        <f ca="1">IF(COPIA!$EV$1&gt;0,"",IF(COPIA!$GP$1=1,COPIA!GT186,COPIA!IZ186))</f>
        <v/>
      </c>
      <c r="G195" s="179" t="str">
        <f ca="1">IF(COPIA!$EV$1&gt;0,"",IF(COPIA!$GP$1=1,COPIA!GO186,COPIA!IX186))</f>
        <v/>
      </c>
      <c r="H195" s="179" t="str">
        <f ca="1">IF(COPIA!$EV$1&gt;0,"",IF(COPIA!$GP$1=1,COPIA!GP186,COPIA!IY186))</f>
        <v/>
      </c>
      <c r="I195" s="14"/>
      <c r="J195" s="6" t="str">
        <f ca="1">IF(AND(G195="",H195=""),"",ROUND(SUM(G$12:G195),2)-ROUND(SUM(H$12:H195),2))</f>
        <v/>
      </c>
    </row>
    <row r="196" spans="1:10" ht="20.100000000000001" customHeight="1">
      <c r="A196" s="48"/>
      <c r="B196" s="31" t="str">
        <f t="shared" ca="1" si="4"/>
        <v/>
      </c>
      <c r="C196" s="31" t="str">
        <f t="shared" ca="1" si="5"/>
        <v/>
      </c>
      <c r="D196" s="20" t="str">
        <f ca="1">IF(AND(COPIA!$EV$1=0,B196&lt;&gt;"",COPIA!$GP$1=1),CONCATENATE("31/12/",COPIA!$EW$1),IF(AND(COPIA!$EV$1=0,B196&lt;&gt;"",COPIA!$GP$1=2),CONCATENATE("01/01/",COPIA!$EW$1),""))</f>
        <v/>
      </c>
      <c r="E196" s="178" t="str">
        <f ca="1">IF(COPIA!$EV$1&gt;0,"",IF(COPIA!$GP$1=1,COPIA!GN187,COPIA!HV187))</f>
        <v/>
      </c>
      <c r="F196" s="178" t="str">
        <f ca="1">IF(COPIA!$EV$1&gt;0,"",IF(COPIA!$GP$1=1,COPIA!GT187,COPIA!IZ187))</f>
        <v/>
      </c>
      <c r="G196" s="179" t="str">
        <f ca="1">IF(COPIA!$EV$1&gt;0,"",IF(COPIA!$GP$1=1,COPIA!GO187,COPIA!IX187))</f>
        <v/>
      </c>
      <c r="H196" s="179" t="str">
        <f ca="1">IF(COPIA!$EV$1&gt;0,"",IF(COPIA!$GP$1=1,COPIA!GP187,COPIA!IY187))</f>
        <v/>
      </c>
      <c r="I196" s="14"/>
      <c r="J196" s="6" t="str">
        <f ca="1">IF(AND(G196="",H196=""),"",ROUND(SUM(G$12:G196),2)-ROUND(SUM(H$12:H196),2))</f>
        <v/>
      </c>
    </row>
    <row r="197" spans="1:10" ht="20.100000000000001" customHeight="1">
      <c r="A197" s="48"/>
      <c r="B197" s="31" t="str">
        <f t="shared" ca="1" si="4"/>
        <v/>
      </c>
      <c r="C197" s="31" t="str">
        <f t="shared" ca="1" si="5"/>
        <v/>
      </c>
      <c r="D197" s="20" t="str">
        <f ca="1">IF(AND(COPIA!$EV$1=0,B197&lt;&gt;"",COPIA!$GP$1=1),CONCATENATE("31/12/",COPIA!$EW$1),IF(AND(COPIA!$EV$1=0,B197&lt;&gt;"",COPIA!$GP$1=2),CONCATENATE("01/01/",COPIA!$EW$1),""))</f>
        <v/>
      </c>
      <c r="E197" s="178" t="str">
        <f ca="1">IF(COPIA!$EV$1&gt;0,"",IF(COPIA!$GP$1=1,COPIA!GN188,COPIA!HV188))</f>
        <v/>
      </c>
      <c r="F197" s="178" t="str">
        <f ca="1">IF(COPIA!$EV$1&gt;0,"",IF(COPIA!$GP$1=1,COPIA!GT188,COPIA!IZ188))</f>
        <v/>
      </c>
      <c r="G197" s="179" t="str">
        <f ca="1">IF(COPIA!$EV$1&gt;0,"",IF(COPIA!$GP$1=1,COPIA!GO188,COPIA!IX188))</f>
        <v/>
      </c>
      <c r="H197" s="179" t="str">
        <f ca="1">IF(COPIA!$EV$1&gt;0,"",IF(COPIA!$GP$1=1,COPIA!GP188,COPIA!IY188))</f>
        <v/>
      </c>
      <c r="I197" s="14"/>
      <c r="J197" s="6" t="str">
        <f ca="1">IF(AND(G197="",H197=""),"",ROUND(SUM(G$12:G197),2)-ROUND(SUM(H$12:H197),2))</f>
        <v/>
      </c>
    </row>
    <row r="198" spans="1:10" ht="20.100000000000001" customHeight="1">
      <c r="A198" s="48"/>
      <c r="B198" s="31" t="str">
        <f t="shared" ca="1" si="4"/>
        <v/>
      </c>
      <c r="C198" s="31" t="str">
        <f t="shared" ca="1" si="5"/>
        <v/>
      </c>
      <c r="D198" s="20" t="str">
        <f ca="1">IF(AND(COPIA!$EV$1=0,B198&lt;&gt;"",COPIA!$GP$1=1),CONCATENATE("31/12/",COPIA!$EW$1),IF(AND(COPIA!$EV$1=0,B198&lt;&gt;"",COPIA!$GP$1=2),CONCATENATE("01/01/",COPIA!$EW$1),""))</f>
        <v/>
      </c>
      <c r="E198" s="178" t="str">
        <f ca="1">IF(COPIA!$EV$1&gt;0,"",IF(COPIA!$GP$1=1,COPIA!GN189,COPIA!HV189))</f>
        <v/>
      </c>
      <c r="F198" s="178" t="str">
        <f ca="1">IF(COPIA!$EV$1&gt;0,"",IF(COPIA!$GP$1=1,COPIA!GT189,COPIA!IZ189))</f>
        <v/>
      </c>
      <c r="G198" s="179" t="str">
        <f ca="1">IF(COPIA!$EV$1&gt;0,"",IF(COPIA!$GP$1=1,COPIA!GO189,COPIA!IX189))</f>
        <v/>
      </c>
      <c r="H198" s="179" t="str">
        <f ca="1">IF(COPIA!$EV$1&gt;0,"",IF(COPIA!$GP$1=1,COPIA!GP189,COPIA!IY189))</f>
        <v/>
      </c>
      <c r="I198" s="14"/>
      <c r="J198" s="6" t="str">
        <f ca="1">IF(AND(G198="",H198=""),"",ROUND(SUM(G$12:G198),2)-ROUND(SUM(H$12:H198),2))</f>
        <v/>
      </c>
    </row>
    <row r="199" spans="1:10" ht="20.100000000000001" customHeight="1">
      <c r="A199" s="48"/>
      <c r="B199" s="31" t="str">
        <f t="shared" ca="1" si="4"/>
        <v/>
      </c>
      <c r="C199" s="31" t="str">
        <f t="shared" ca="1" si="5"/>
        <v/>
      </c>
      <c r="D199" s="20" t="str">
        <f ca="1">IF(AND(COPIA!$EV$1=0,B199&lt;&gt;"",COPIA!$GP$1=1),CONCATENATE("31/12/",COPIA!$EW$1),IF(AND(COPIA!$EV$1=0,B199&lt;&gt;"",COPIA!$GP$1=2),CONCATENATE("01/01/",COPIA!$EW$1),""))</f>
        <v/>
      </c>
      <c r="E199" s="178" t="str">
        <f ca="1">IF(COPIA!$EV$1&gt;0,"",IF(COPIA!$GP$1=1,COPIA!GN190,COPIA!HV190))</f>
        <v/>
      </c>
      <c r="F199" s="178" t="str">
        <f ca="1">IF(COPIA!$EV$1&gt;0,"",IF(COPIA!$GP$1=1,COPIA!GT190,COPIA!IZ190))</f>
        <v/>
      </c>
      <c r="G199" s="179" t="str">
        <f ca="1">IF(COPIA!$EV$1&gt;0,"",IF(COPIA!$GP$1=1,COPIA!GO190,COPIA!IX190))</f>
        <v/>
      </c>
      <c r="H199" s="179" t="str">
        <f ca="1">IF(COPIA!$EV$1&gt;0,"",IF(COPIA!$GP$1=1,COPIA!GP190,COPIA!IY190))</f>
        <v/>
      </c>
      <c r="I199" s="14"/>
      <c r="J199" s="6" t="str">
        <f ca="1">IF(AND(G199="",H199=""),"",ROUND(SUM(G$12:G199),2)-ROUND(SUM(H$12:H199),2))</f>
        <v/>
      </c>
    </row>
    <row r="200" spans="1:10" ht="20.100000000000001" customHeight="1">
      <c r="A200" s="48"/>
      <c r="B200" s="31" t="str">
        <f t="shared" ca="1" si="4"/>
        <v/>
      </c>
      <c r="C200" s="31" t="str">
        <f t="shared" ca="1" si="5"/>
        <v/>
      </c>
      <c r="D200" s="20" t="str">
        <f ca="1">IF(AND(COPIA!$EV$1=0,B200&lt;&gt;"",COPIA!$GP$1=1),CONCATENATE("31/12/",COPIA!$EW$1),IF(AND(COPIA!$EV$1=0,B200&lt;&gt;"",COPIA!$GP$1=2),CONCATENATE("01/01/",COPIA!$EW$1),""))</f>
        <v/>
      </c>
      <c r="E200" s="178" t="str">
        <f ca="1">IF(COPIA!$EV$1&gt;0,"",IF(COPIA!$GP$1=1,COPIA!GN191,COPIA!HV191))</f>
        <v/>
      </c>
      <c r="F200" s="178" t="str">
        <f ca="1">IF(COPIA!$EV$1&gt;0,"",IF(COPIA!$GP$1=1,COPIA!GT191,COPIA!IZ191))</f>
        <v/>
      </c>
      <c r="G200" s="179" t="str">
        <f ca="1">IF(COPIA!$EV$1&gt;0,"",IF(COPIA!$GP$1=1,COPIA!GO191,COPIA!IX191))</f>
        <v/>
      </c>
      <c r="H200" s="179" t="str">
        <f ca="1">IF(COPIA!$EV$1&gt;0,"",IF(COPIA!$GP$1=1,COPIA!GP191,COPIA!IY191))</f>
        <v/>
      </c>
      <c r="I200" s="14"/>
      <c r="J200" s="6" t="str">
        <f ca="1">IF(AND(G200="",H200=""),"",ROUND(SUM(G$12:G200),2)-ROUND(SUM(H$12:H200),2))</f>
        <v/>
      </c>
    </row>
    <row r="201" spans="1:10" ht="20.100000000000001" customHeight="1">
      <c r="A201" s="48"/>
      <c r="B201" s="31" t="str">
        <f t="shared" ca="1" si="4"/>
        <v/>
      </c>
      <c r="C201" s="31" t="str">
        <f t="shared" ca="1" si="5"/>
        <v/>
      </c>
      <c r="D201" s="20" t="str">
        <f ca="1">IF(AND(COPIA!$EV$1=0,B201&lt;&gt;"",COPIA!$GP$1=1),CONCATENATE("31/12/",COPIA!$EW$1),IF(AND(COPIA!$EV$1=0,B201&lt;&gt;"",COPIA!$GP$1=2),CONCATENATE("01/01/",COPIA!$EW$1),""))</f>
        <v/>
      </c>
      <c r="E201" s="178" t="str">
        <f ca="1">IF(COPIA!$EV$1&gt;0,"",IF(COPIA!$GP$1=1,COPIA!GN192,COPIA!HV192))</f>
        <v/>
      </c>
      <c r="F201" s="178" t="str">
        <f ca="1">IF(COPIA!$EV$1&gt;0,"",IF(COPIA!$GP$1=1,COPIA!GT192,COPIA!IZ192))</f>
        <v/>
      </c>
      <c r="G201" s="179" t="str">
        <f ca="1">IF(COPIA!$EV$1&gt;0,"",IF(COPIA!$GP$1=1,COPIA!GO192,COPIA!IX192))</f>
        <v/>
      </c>
      <c r="H201" s="179" t="str">
        <f ca="1">IF(COPIA!$EV$1&gt;0,"",IF(COPIA!$GP$1=1,COPIA!GP192,COPIA!IY192))</f>
        <v/>
      </c>
      <c r="I201" s="14"/>
      <c r="J201" s="6" t="str">
        <f ca="1">IF(AND(G201="",H201=""),"",ROUND(SUM(G$12:G201),2)-ROUND(SUM(H$12:H201),2))</f>
        <v/>
      </c>
    </row>
    <row r="202" spans="1:10" ht="20.100000000000001" customHeight="1">
      <c r="A202" s="48"/>
      <c r="B202" s="31" t="str">
        <f t="shared" ca="1" si="4"/>
        <v/>
      </c>
      <c r="C202" s="31" t="str">
        <f t="shared" ca="1" si="5"/>
        <v/>
      </c>
      <c r="D202" s="20" t="str">
        <f ca="1">IF(AND(COPIA!$EV$1=0,B202&lt;&gt;"",COPIA!$GP$1=1),CONCATENATE("31/12/",COPIA!$EW$1),IF(AND(COPIA!$EV$1=0,B202&lt;&gt;"",COPIA!$GP$1=2),CONCATENATE("01/01/",COPIA!$EW$1),""))</f>
        <v/>
      </c>
      <c r="E202" s="178" t="str">
        <f ca="1">IF(COPIA!$EV$1&gt;0,"",IF(COPIA!$GP$1=1,COPIA!GN193,COPIA!HV193))</f>
        <v/>
      </c>
      <c r="F202" s="178" t="str">
        <f ca="1">IF(COPIA!$EV$1&gt;0,"",IF(COPIA!$GP$1=1,COPIA!GT193,COPIA!IZ193))</f>
        <v/>
      </c>
      <c r="G202" s="179" t="str">
        <f ca="1">IF(COPIA!$EV$1&gt;0,"",IF(COPIA!$GP$1=1,COPIA!GO193,COPIA!IX193))</f>
        <v/>
      </c>
      <c r="H202" s="179" t="str">
        <f ca="1">IF(COPIA!$EV$1&gt;0,"",IF(COPIA!$GP$1=1,COPIA!GP193,COPIA!IY193))</f>
        <v/>
      </c>
      <c r="I202" s="14"/>
      <c r="J202" s="6" t="str">
        <f ca="1">IF(AND(G202="",H202=""),"",ROUND(SUM(G$12:G202),2)-ROUND(SUM(H$12:H202),2))</f>
        <v/>
      </c>
    </row>
    <row r="203" spans="1:10" ht="20.100000000000001" customHeight="1">
      <c r="A203" s="48"/>
      <c r="B203" s="31" t="str">
        <f t="shared" ca="1" si="4"/>
        <v/>
      </c>
      <c r="C203" s="31" t="str">
        <f t="shared" ca="1" si="5"/>
        <v/>
      </c>
      <c r="D203" s="20" t="str">
        <f ca="1">IF(AND(COPIA!$EV$1=0,B203&lt;&gt;"",COPIA!$GP$1=1),CONCATENATE("31/12/",COPIA!$EW$1),IF(AND(COPIA!$EV$1=0,B203&lt;&gt;"",COPIA!$GP$1=2),CONCATENATE("01/01/",COPIA!$EW$1),""))</f>
        <v/>
      </c>
      <c r="E203" s="178" t="str">
        <f ca="1">IF(COPIA!$EV$1&gt;0,"",IF(COPIA!$GP$1=1,COPIA!GN194,COPIA!HV194))</f>
        <v/>
      </c>
      <c r="F203" s="178" t="str">
        <f ca="1">IF(COPIA!$EV$1&gt;0,"",IF(COPIA!$GP$1=1,COPIA!GT194,COPIA!IZ194))</f>
        <v/>
      </c>
      <c r="G203" s="179" t="str">
        <f ca="1">IF(COPIA!$EV$1&gt;0,"",IF(COPIA!$GP$1=1,COPIA!GO194,COPIA!IX194))</f>
        <v/>
      </c>
      <c r="H203" s="179" t="str">
        <f ca="1">IF(COPIA!$EV$1&gt;0,"",IF(COPIA!$GP$1=1,COPIA!GP194,COPIA!IY194))</f>
        <v/>
      </c>
      <c r="I203" s="14"/>
      <c r="J203" s="6" t="str">
        <f ca="1">IF(AND(G203="",H203=""),"",ROUND(SUM(G$12:G203),2)-ROUND(SUM(H$12:H203),2))</f>
        <v/>
      </c>
    </row>
    <row r="204" spans="1:10" ht="20.100000000000001" customHeight="1">
      <c r="A204" s="48"/>
      <c r="B204" s="31" t="str">
        <f t="shared" ref="B204:B227" ca="1" si="6">IFERROR(INDEX(PIANO_DEI_CONTI,MATCH(E204,DENOMINAZIONE,0),1),"")</f>
        <v/>
      </c>
      <c r="C204" s="31" t="str">
        <f t="shared" ca="1" si="5"/>
        <v/>
      </c>
      <c r="D204" s="20" t="str">
        <f ca="1">IF(AND(COPIA!$EV$1=0,B204&lt;&gt;"",COPIA!$GP$1=1),CONCATENATE("31/12/",COPIA!$EW$1),IF(AND(COPIA!$EV$1=0,B204&lt;&gt;"",COPIA!$GP$1=2),CONCATENATE("01/01/",COPIA!$EW$1),""))</f>
        <v/>
      </c>
      <c r="E204" s="178" t="str">
        <f ca="1">IF(COPIA!$EV$1&gt;0,"",IF(COPIA!$GP$1=1,COPIA!GN195,COPIA!HV195))</f>
        <v/>
      </c>
      <c r="F204" s="178" t="str">
        <f ca="1">IF(COPIA!$EV$1&gt;0,"",IF(COPIA!$GP$1=1,COPIA!GT195,COPIA!IZ195))</f>
        <v/>
      </c>
      <c r="G204" s="179" t="str">
        <f ca="1">IF(COPIA!$EV$1&gt;0,"",IF(COPIA!$GP$1=1,COPIA!GO195,COPIA!IX195))</f>
        <v/>
      </c>
      <c r="H204" s="179" t="str">
        <f ca="1">IF(COPIA!$EV$1&gt;0,"",IF(COPIA!$GP$1=1,COPIA!GP195,COPIA!IY195))</f>
        <v/>
      </c>
      <c r="I204" s="14"/>
      <c r="J204" s="6" t="str">
        <f ca="1">IF(AND(G204="",H204=""),"",ROUND(SUM(G$12:G204),2)-ROUND(SUM(H$12:H204),2))</f>
        <v/>
      </c>
    </row>
    <row r="205" spans="1:10" ht="20.100000000000001" customHeight="1">
      <c r="A205" s="48"/>
      <c r="B205" s="31" t="str">
        <f t="shared" ca="1" si="6"/>
        <v/>
      </c>
      <c r="C205" s="31" t="str">
        <f t="shared" ref="C205:C227" ca="1" si="7">IF(B205&lt;&gt;"",ROW()-11,"")</f>
        <v/>
      </c>
      <c r="D205" s="20" t="str">
        <f ca="1">IF(AND(COPIA!$EV$1=0,B205&lt;&gt;"",COPIA!$GP$1=1),CONCATENATE("31/12/",COPIA!$EW$1),IF(AND(COPIA!$EV$1=0,B205&lt;&gt;"",COPIA!$GP$1=2),CONCATENATE("01/01/",COPIA!$EW$1),""))</f>
        <v/>
      </c>
      <c r="E205" s="178" t="str">
        <f ca="1">IF(COPIA!$EV$1&gt;0,"",IF(COPIA!$GP$1=1,COPIA!GN196,COPIA!HV196))</f>
        <v/>
      </c>
      <c r="F205" s="178" t="str">
        <f ca="1">IF(COPIA!$EV$1&gt;0,"",IF(COPIA!$GP$1=1,COPIA!GT196,COPIA!IZ196))</f>
        <v/>
      </c>
      <c r="G205" s="179" t="str">
        <f ca="1">IF(COPIA!$EV$1&gt;0,"",IF(COPIA!$GP$1=1,COPIA!GO196,COPIA!IX196))</f>
        <v/>
      </c>
      <c r="H205" s="179" t="str">
        <f ca="1">IF(COPIA!$EV$1&gt;0,"",IF(COPIA!$GP$1=1,COPIA!GP196,COPIA!IY196))</f>
        <v/>
      </c>
      <c r="I205" s="14"/>
      <c r="J205" s="6" t="str">
        <f ca="1">IF(AND(G205="",H205=""),"",ROUND(SUM(G$12:G205),2)-ROUND(SUM(H$12:H205),2))</f>
        <v/>
      </c>
    </row>
    <row r="206" spans="1:10" ht="20.100000000000001" customHeight="1">
      <c r="A206" s="48"/>
      <c r="B206" s="31" t="str">
        <f t="shared" ca="1" si="6"/>
        <v/>
      </c>
      <c r="C206" s="31" t="str">
        <f t="shared" ca="1" si="7"/>
        <v/>
      </c>
      <c r="D206" s="20" t="str">
        <f ca="1">IF(AND(COPIA!$EV$1=0,B206&lt;&gt;"",COPIA!$GP$1=1),CONCATENATE("31/12/",COPIA!$EW$1),IF(AND(COPIA!$EV$1=0,B206&lt;&gt;"",COPIA!$GP$1=2),CONCATENATE("01/01/",COPIA!$EW$1),""))</f>
        <v/>
      </c>
      <c r="E206" s="178" t="str">
        <f ca="1">IF(COPIA!$EV$1&gt;0,"",IF(COPIA!$GP$1=1,COPIA!GN197,COPIA!HV197))</f>
        <v/>
      </c>
      <c r="F206" s="178" t="str">
        <f ca="1">IF(COPIA!$EV$1&gt;0,"",IF(COPIA!$GP$1=1,COPIA!GT197,COPIA!IZ197))</f>
        <v/>
      </c>
      <c r="G206" s="179" t="str">
        <f ca="1">IF(COPIA!$EV$1&gt;0,"",IF(COPIA!$GP$1=1,COPIA!GO197,COPIA!IX197))</f>
        <v/>
      </c>
      <c r="H206" s="179" t="str">
        <f ca="1">IF(COPIA!$EV$1&gt;0,"",IF(COPIA!$GP$1=1,COPIA!GP197,COPIA!IY197))</f>
        <v/>
      </c>
      <c r="I206" s="14"/>
      <c r="J206" s="6" t="str">
        <f ca="1">IF(AND(G206="",H206=""),"",ROUND(SUM(G$12:G206),2)-ROUND(SUM(H$12:H206),2))</f>
        <v/>
      </c>
    </row>
    <row r="207" spans="1:10" ht="20.100000000000001" customHeight="1">
      <c r="A207" s="48"/>
      <c r="B207" s="31" t="str">
        <f t="shared" ca="1" si="6"/>
        <v/>
      </c>
      <c r="C207" s="31" t="str">
        <f t="shared" ca="1" si="7"/>
        <v/>
      </c>
      <c r="D207" s="20" t="str">
        <f ca="1">IF(AND(COPIA!$EV$1=0,B207&lt;&gt;"",COPIA!$GP$1=1),CONCATENATE("31/12/",COPIA!$EW$1),IF(AND(COPIA!$EV$1=0,B207&lt;&gt;"",COPIA!$GP$1=2),CONCATENATE("01/01/",COPIA!$EW$1),""))</f>
        <v/>
      </c>
      <c r="E207" s="178" t="str">
        <f ca="1">IF(COPIA!$EV$1&gt;0,"",IF(COPIA!$GP$1=1,COPIA!GN198,COPIA!HV198))</f>
        <v/>
      </c>
      <c r="F207" s="178" t="str">
        <f ca="1">IF(COPIA!$EV$1&gt;0,"",IF(COPIA!$GP$1=1,COPIA!GT198,COPIA!IZ198))</f>
        <v/>
      </c>
      <c r="G207" s="179" t="str">
        <f ca="1">IF(COPIA!$EV$1&gt;0,"",IF(COPIA!$GP$1=1,COPIA!GO198,COPIA!IX198))</f>
        <v/>
      </c>
      <c r="H207" s="179" t="str">
        <f ca="1">IF(COPIA!$EV$1&gt;0,"",IF(COPIA!$GP$1=1,COPIA!GP198,COPIA!IY198))</f>
        <v/>
      </c>
      <c r="I207" s="14"/>
      <c r="J207" s="6" t="str">
        <f ca="1">IF(AND(G207="",H207=""),"",ROUND(SUM(G$12:G207),2)-ROUND(SUM(H$12:H207),2))</f>
        <v/>
      </c>
    </row>
    <row r="208" spans="1:10" ht="20.100000000000001" customHeight="1">
      <c r="A208" s="48"/>
      <c r="B208" s="31" t="str">
        <f t="shared" ca="1" si="6"/>
        <v/>
      </c>
      <c r="C208" s="31" t="str">
        <f t="shared" ca="1" si="7"/>
        <v/>
      </c>
      <c r="D208" s="20" t="str">
        <f ca="1">IF(AND(COPIA!$EV$1=0,B208&lt;&gt;"",COPIA!$GP$1=1),CONCATENATE("31/12/",COPIA!$EW$1),IF(AND(COPIA!$EV$1=0,B208&lt;&gt;"",COPIA!$GP$1=2),CONCATENATE("01/01/",COPIA!$EW$1),""))</f>
        <v/>
      </c>
      <c r="E208" s="178" t="str">
        <f ca="1">IF(COPIA!$EV$1&gt;0,"",IF(COPIA!$GP$1=1,COPIA!GN199,COPIA!HV199))</f>
        <v/>
      </c>
      <c r="F208" s="178" t="str">
        <f ca="1">IF(COPIA!$EV$1&gt;0,"",IF(COPIA!$GP$1=1,COPIA!GT199,COPIA!IZ199))</f>
        <v/>
      </c>
      <c r="G208" s="179" t="str">
        <f ca="1">IF(COPIA!$EV$1&gt;0,"",IF(COPIA!$GP$1=1,COPIA!GO199,COPIA!IX199))</f>
        <v/>
      </c>
      <c r="H208" s="179" t="str">
        <f ca="1">IF(COPIA!$EV$1&gt;0,"",IF(COPIA!$GP$1=1,COPIA!GP199,COPIA!IY199))</f>
        <v/>
      </c>
      <c r="I208" s="14"/>
      <c r="J208" s="6" t="str">
        <f ca="1">IF(AND(G208="",H208=""),"",ROUND(SUM(G$12:G208),2)-ROUND(SUM(H$12:H208),2))</f>
        <v/>
      </c>
    </row>
    <row r="209" spans="1:10" ht="20.100000000000001" customHeight="1">
      <c r="A209" s="48"/>
      <c r="B209" s="31" t="str">
        <f t="shared" ca="1" si="6"/>
        <v/>
      </c>
      <c r="C209" s="31" t="str">
        <f t="shared" ca="1" si="7"/>
        <v/>
      </c>
      <c r="D209" s="20" t="str">
        <f ca="1">IF(AND(COPIA!$EV$1=0,B209&lt;&gt;"",COPIA!$GP$1=1),CONCATENATE("31/12/",COPIA!$EW$1),IF(AND(COPIA!$EV$1=0,B209&lt;&gt;"",COPIA!$GP$1=2),CONCATENATE("01/01/",COPIA!$EW$1),""))</f>
        <v/>
      </c>
      <c r="E209" s="178" t="str">
        <f ca="1">IF(COPIA!$EV$1&gt;0,"",IF(COPIA!$GP$1=1,COPIA!GN200,COPIA!HV200))</f>
        <v/>
      </c>
      <c r="F209" s="178" t="str">
        <f ca="1">IF(COPIA!$EV$1&gt;0,"",IF(COPIA!$GP$1=1,COPIA!GT200,COPIA!IZ200))</f>
        <v/>
      </c>
      <c r="G209" s="179" t="str">
        <f ca="1">IF(COPIA!$EV$1&gt;0,"",IF(COPIA!$GP$1=1,COPIA!GO200,COPIA!IX200))</f>
        <v/>
      </c>
      <c r="H209" s="179" t="str">
        <f ca="1">IF(COPIA!$EV$1&gt;0,"",IF(COPIA!$GP$1=1,COPIA!GP200,COPIA!IY200))</f>
        <v/>
      </c>
      <c r="I209" s="14"/>
      <c r="J209" s="6" t="str">
        <f ca="1">IF(AND(G209="",H209=""),"",ROUND(SUM(G$12:G209),2)-ROUND(SUM(H$12:H209),2))</f>
        <v/>
      </c>
    </row>
    <row r="210" spans="1:10" ht="20.100000000000001" customHeight="1">
      <c r="A210" s="48"/>
      <c r="B210" s="31" t="str">
        <f t="shared" ca="1" si="6"/>
        <v/>
      </c>
      <c r="C210" s="31" t="str">
        <f t="shared" ca="1" si="7"/>
        <v/>
      </c>
      <c r="D210" s="20" t="str">
        <f ca="1">IF(AND(COPIA!$EV$1=0,B210&lt;&gt;"",COPIA!$GP$1=1),CONCATENATE("31/12/",COPIA!$EW$1),IF(AND(COPIA!$EV$1=0,B210&lt;&gt;"",COPIA!$GP$1=2),CONCATENATE("01/01/",COPIA!$EW$1),""))</f>
        <v/>
      </c>
      <c r="E210" s="178" t="str">
        <f ca="1">IF(COPIA!$EV$1&gt;0,"",IF(COPIA!$GP$1=1,COPIA!GN201,COPIA!HV201))</f>
        <v/>
      </c>
      <c r="F210" s="178" t="str">
        <f ca="1">IF(COPIA!$EV$1&gt;0,"",IF(COPIA!$GP$1=1,COPIA!GT201,COPIA!IZ201))</f>
        <v/>
      </c>
      <c r="G210" s="179" t="str">
        <f ca="1">IF(COPIA!$EV$1&gt;0,"",IF(COPIA!$GP$1=1,COPIA!GO201,COPIA!IX201))</f>
        <v/>
      </c>
      <c r="H210" s="179" t="str">
        <f ca="1">IF(COPIA!$EV$1&gt;0,"",IF(COPIA!$GP$1=1,COPIA!GP201,COPIA!IY201))</f>
        <v/>
      </c>
      <c r="I210" s="14"/>
      <c r="J210" s="6" t="str">
        <f ca="1">IF(AND(G210="",H210=""),"",ROUND(SUM(G$12:G210),2)-ROUND(SUM(H$12:H210),2))</f>
        <v/>
      </c>
    </row>
    <row r="211" spans="1:10" ht="20.100000000000001" customHeight="1">
      <c r="A211" s="48"/>
      <c r="B211" s="31" t="str">
        <f t="shared" ca="1" si="6"/>
        <v/>
      </c>
      <c r="C211" s="31" t="str">
        <f t="shared" ca="1" si="7"/>
        <v/>
      </c>
      <c r="D211" s="20" t="str">
        <f ca="1">IF(AND(COPIA!$EV$1=0,B211&lt;&gt;"",COPIA!$GP$1=1),CONCATENATE("31/12/",COPIA!$EW$1),IF(AND(COPIA!$EV$1=0,B211&lt;&gt;"",COPIA!$GP$1=2),CONCATENATE("01/01/",COPIA!$EW$1),""))</f>
        <v/>
      </c>
      <c r="E211" s="178" t="str">
        <f ca="1">IF(COPIA!$EV$1&gt;0,"",IF(COPIA!$GP$1=1,COPIA!GN202,COPIA!HV202))</f>
        <v/>
      </c>
      <c r="F211" s="178" t="str">
        <f ca="1">IF(COPIA!$EV$1&gt;0,"",IF(COPIA!$GP$1=1,COPIA!GT202,COPIA!IZ202))</f>
        <v/>
      </c>
      <c r="G211" s="179" t="str">
        <f ca="1">IF(COPIA!$EV$1&gt;0,"",IF(COPIA!$GP$1=1,COPIA!GO202,COPIA!IX202))</f>
        <v/>
      </c>
      <c r="H211" s="179" t="str">
        <f ca="1">IF(COPIA!$EV$1&gt;0,"",IF(COPIA!$GP$1=1,COPIA!GP202,COPIA!IY202))</f>
        <v/>
      </c>
      <c r="I211" s="14"/>
      <c r="J211" s="6" t="str">
        <f ca="1">IF(AND(G211="",H211=""),"",ROUND(SUM(G$12:G211),2)-ROUND(SUM(H$12:H211),2))</f>
        <v/>
      </c>
    </row>
    <row r="212" spans="1:10" ht="20.100000000000001" customHeight="1">
      <c r="A212" s="48"/>
      <c r="B212" s="31" t="str">
        <f t="shared" ca="1" si="6"/>
        <v/>
      </c>
      <c r="C212" s="31" t="str">
        <f t="shared" ca="1" si="7"/>
        <v/>
      </c>
      <c r="D212" s="20" t="str">
        <f ca="1">IF(AND(COPIA!$EV$1=0,B212&lt;&gt;"",COPIA!$GP$1=1),CONCATENATE("31/12/",COPIA!$EW$1),IF(AND(COPIA!$EV$1=0,B212&lt;&gt;"",COPIA!$GP$1=2),CONCATENATE("01/01/",COPIA!$EW$1),""))</f>
        <v/>
      </c>
      <c r="E212" s="178" t="str">
        <f ca="1">IF(COPIA!$EV$1&gt;0,"",IF(COPIA!$GP$1=1,COPIA!GN203,COPIA!HV203))</f>
        <v/>
      </c>
      <c r="F212" s="178" t="str">
        <f ca="1">IF(COPIA!$EV$1&gt;0,"",IF(COPIA!$GP$1=1,COPIA!GT203,COPIA!IZ203))</f>
        <v/>
      </c>
      <c r="G212" s="179" t="str">
        <f ca="1">IF(COPIA!$EV$1&gt;0,"",IF(COPIA!$GP$1=1,COPIA!GO203,COPIA!IX203))</f>
        <v/>
      </c>
      <c r="H212" s="179" t="str">
        <f ca="1">IF(COPIA!$EV$1&gt;0,"",IF(COPIA!$GP$1=1,COPIA!GP203,COPIA!IY203))</f>
        <v/>
      </c>
      <c r="I212" s="14"/>
      <c r="J212" s="6" t="str">
        <f ca="1">IF(AND(G212="",H212=""),"",ROUND(SUM(G$12:G212),2)-ROUND(SUM(H$12:H212),2))</f>
        <v/>
      </c>
    </row>
    <row r="213" spans="1:10" ht="20.100000000000001" customHeight="1">
      <c r="A213" s="48"/>
      <c r="B213" s="31" t="str">
        <f t="shared" ca="1" si="6"/>
        <v/>
      </c>
      <c r="C213" s="31" t="str">
        <f t="shared" ca="1" si="7"/>
        <v/>
      </c>
      <c r="D213" s="20" t="str">
        <f ca="1">IF(AND(COPIA!$EV$1=0,B213&lt;&gt;"",COPIA!$GP$1=1),CONCATENATE("31/12/",COPIA!$EW$1),IF(AND(COPIA!$EV$1=0,B213&lt;&gt;"",COPIA!$GP$1=2),CONCATENATE("01/01/",COPIA!$EW$1),""))</f>
        <v/>
      </c>
      <c r="E213" s="178" t="str">
        <f ca="1">IF(COPIA!$EV$1&gt;0,"",IF(COPIA!$GP$1=1,COPIA!GN204,COPIA!HV204))</f>
        <v/>
      </c>
      <c r="F213" s="178" t="str">
        <f ca="1">IF(COPIA!$EV$1&gt;0,"",IF(COPIA!$GP$1=1,COPIA!GT204,COPIA!IZ204))</f>
        <v/>
      </c>
      <c r="G213" s="179" t="str">
        <f ca="1">IF(COPIA!$EV$1&gt;0,"",IF(COPIA!$GP$1=1,COPIA!GO204,COPIA!IX204))</f>
        <v/>
      </c>
      <c r="H213" s="179" t="str">
        <f ca="1">IF(COPIA!$EV$1&gt;0,"",IF(COPIA!$GP$1=1,COPIA!GP204,COPIA!IY204))</f>
        <v/>
      </c>
      <c r="I213" s="14"/>
      <c r="J213" s="6" t="str">
        <f ca="1">IF(AND(G213="",H213=""),"",ROUND(SUM(G$12:G213),2)-ROUND(SUM(H$12:H213),2))</f>
        <v/>
      </c>
    </row>
    <row r="214" spans="1:10" ht="20.100000000000001" customHeight="1">
      <c r="A214" s="48"/>
      <c r="B214" s="31" t="str">
        <f t="shared" ca="1" si="6"/>
        <v/>
      </c>
      <c r="C214" s="31" t="str">
        <f t="shared" ca="1" si="7"/>
        <v/>
      </c>
      <c r="D214" s="20" t="str">
        <f ca="1">IF(AND(COPIA!$EV$1=0,B214&lt;&gt;"",COPIA!$GP$1=1),CONCATENATE("31/12/",COPIA!$EW$1),IF(AND(COPIA!$EV$1=0,B214&lt;&gt;"",COPIA!$GP$1=2),CONCATENATE("01/01/",COPIA!$EW$1),""))</f>
        <v/>
      </c>
      <c r="E214" s="178" t="str">
        <f ca="1">IF(COPIA!$EV$1&gt;0,"",IF(COPIA!$GP$1=1,COPIA!GN205,COPIA!HV205))</f>
        <v/>
      </c>
      <c r="F214" s="178" t="str">
        <f ca="1">IF(COPIA!$EV$1&gt;0,"",IF(COPIA!$GP$1=1,COPIA!GT205,COPIA!IZ205))</f>
        <v/>
      </c>
      <c r="G214" s="179" t="str">
        <f ca="1">IF(COPIA!$EV$1&gt;0,"",IF(COPIA!$GP$1=1,COPIA!GO205,COPIA!IX205))</f>
        <v/>
      </c>
      <c r="H214" s="179" t="str">
        <f ca="1">IF(COPIA!$EV$1&gt;0,"",IF(COPIA!$GP$1=1,COPIA!GP205,COPIA!IY205))</f>
        <v/>
      </c>
      <c r="I214" s="14"/>
      <c r="J214" s="6" t="str">
        <f ca="1">IF(AND(G214="",H214=""),"",ROUND(SUM(G$12:G214),2)-ROUND(SUM(H$12:H214),2))</f>
        <v/>
      </c>
    </row>
    <row r="215" spans="1:10" ht="20.100000000000001" customHeight="1">
      <c r="A215" s="48"/>
      <c r="B215" s="31" t="str">
        <f t="shared" ca="1" si="6"/>
        <v/>
      </c>
      <c r="C215" s="31" t="str">
        <f t="shared" ca="1" si="7"/>
        <v/>
      </c>
      <c r="D215" s="20" t="str">
        <f ca="1">IF(AND(COPIA!$EV$1=0,B215&lt;&gt;"",COPIA!$GP$1=1),CONCATENATE("31/12/",COPIA!$EW$1),IF(AND(COPIA!$EV$1=0,B215&lt;&gt;"",COPIA!$GP$1=2),CONCATENATE("01/01/",COPIA!$EW$1),""))</f>
        <v/>
      </c>
      <c r="E215" s="178" t="str">
        <f ca="1">IF(COPIA!$EV$1&gt;0,"",IF(COPIA!$GP$1=1,COPIA!GN206,COPIA!HV206))</f>
        <v/>
      </c>
      <c r="F215" s="178" t="str">
        <f ca="1">IF(COPIA!$EV$1&gt;0,"",IF(COPIA!$GP$1=1,COPIA!GT206,COPIA!IZ206))</f>
        <v/>
      </c>
      <c r="G215" s="179" t="str">
        <f ca="1">IF(COPIA!$EV$1&gt;0,"",IF(COPIA!$GP$1=1,COPIA!GO206,COPIA!IX206))</f>
        <v/>
      </c>
      <c r="H215" s="179" t="str">
        <f ca="1">IF(COPIA!$EV$1&gt;0,"",IF(COPIA!$GP$1=1,COPIA!GP206,COPIA!IY206))</f>
        <v/>
      </c>
      <c r="I215" s="14"/>
      <c r="J215" s="6" t="str">
        <f ca="1">IF(AND(G215="",H215=""),"",ROUND(SUM(G$12:G215),2)-ROUND(SUM(H$12:H215),2))</f>
        <v/>
      </c>
    </row>
    <row r="216" spans="1:10" ht="20.100000000000001" customHeight="1">
      <c r="A216" s="48"/>
      <c r="B216" s="31" t="str">
        <f t="shared" ca="1" si="6"/>
        <v/>
      </c>
      <c r="C216" s="31" t="str">
        <f t="shared" ca="1" si="7"/>
        <v/>
      </c>
      <c r="D216" s="20" t="str">
        <f ca="1">IF(AND(COPIA!$EV$1=0,B216&lt;&gt;"",COPIA!$GP$1=1),CONCATENATE("31/12/",COPIA!$EW$1),IF(AND(COPIA!$EV$1=0,B216&lt;&gt;"",COPIA!$GP$1=2),CONCATENATE("01/01/",COPIA!$EW$1),""))</f>
        <v/>
      </c>
      <c r="E216" s="178" t="str">
        <f ca="1">IF(COPIA!$EV$1&gt;0,"",IF(COPIA!$GP$1=1,COPIA!GN207,COPIA!HV207))</f>
        <v/>
      </c>
      <c r="F216" s="178" t="str">
        <f ca="1">IF(COPIA!$EV$1&gt;0,"",IF(COPIA!$GP$1=1,COPIA!GT207,COPIA!IZ207))</f>
        <v/>
      </c>
      <c r="G216" s="179" t="str">
        <f ca="1">IF(COPIA!$EV$1&gt;0,"",IF(COPIA!$GP$1=1,COPIA!GO207,COPIA!IX207))</f>
        <v/>
      </c>
      <c r="H216" s="179" t="str">
        <f ca="1">IF(COPIA!$EV$1&gt;0,"",IF(COPIA!$GP$1=1,COPIA!GP207,COPIA!IY207))</f>
        <v/>
      </c>
      <c r="I216" s="14"/>
      <c r="J216" s="6" t="str">
        <f ca="1">IF(AND(G216="",H216=""),"",ROUND(SUM(G$12:G216),2)-ROUND(SUM(H$12:H216),2))</f>
        <v/>
      </c>
    </row>
    <row r="217" spans="1:10" ht="20.100000000000001" customHeight="1">
      <c r="A217" s="48"/>
      <c r="B217" s="31" t="str">
        <f t="shared" ca="1" si="6"/>
        <v/>
      </c>
      <c r="C217" s="31" t="str">
        <f t="shared" ca="1" si="7"/>
        <v/>
      </c>
      <c r="D217" s="20" t="str">
        <f ca="1">IF(AND(COPIA!$EV$1=0,B217&lt;&gt;"",COPIA!$GP$1=1),CONCATENATE("31/12/",COPIA!$EW$1),IF(AND(COPIA!$EV$1=0,B217&lt;&gt;"",COPIA!$GP$1=2),CONCATENATE("01/01/",COPIA!$EW$1),""))</f>
        <v/>
      </c>
      <c r="E217" s="178" t="str">
        <f ca="1">IF(COPIA!$EV$1&gt;0,"",IF(COPIA!$GP$1=1,COPIA!GN208,COPIA!HV208))</f>
        <v/>
      </c>
      <c r="F217" s="178" t="str">
        <f ca="1">IF(COPIA!$EV$1&gt;0,"",IF(COPIA!$GP$1=1,COPIA!GT208,COPIA!IZ208))</f>
        <v/>
      </c>
      <c r="G217" s="179" t="str">
        <f ca="1">IF(COPIA!$EV$1&gt;0,"",IF(COPIA!$GP$1=1,COPIA!GO208,COPIA!IX208))</f>
        <v/>
      </c>
      <c r="H217" s="179" t="str">
        <f ca="1">IF(COPIA!$EV$1&gt;0,"",IF(COPIA!$GP$1=1,COPIA!GP208,COPIA!IY208))</f>
        <v/>
      </c>
      <c r="I217" s="14"/>
      <c r="J217" s="6" t="str">
        <f ca="1">IF(AND(G217="",H217=""),"",ROUND(SUM(G$12:G217),2)-ROUND(SUM(H$12:H217),2))</f>
        <v/>
      </c>
    </row>
    <row r="218" spans="1:10" ht="20.100000000000001" customHeight="1">
      <c r="A218" s="48"/>
      <c r="B218" s="31" t="str">
        <f t="shared" ca="1" si="6"/>
        <v/>
      </c>
      <c r="C218" s="31" t="str">
        <f t="shared" ca="1" si="7"/>
        <v/>
      </c>
      <c r="D218" s="20" t="str">
        <f ca="1">IF(AND(COPIA!$EV$1=0,B218&lt;&gt;"",COPIA!$GP$1=1),CONCATENATE("31/12/",COPIA!$EW$1),IF(AND(COPIA!$EV$1=0,B218&lt;&gt;"",COPIA!$GP$1=2),CONCATENATE("01/01/",COPIA!$EW$1),""))</f>
        <v/>
      </c>
      <c r="E218" s="178" t="str">
        <f ca="1">IF(COPIA!$EV$1&gt;0,"",IF(COPIA!$GP$1=1,COPIA!GN209,COPIA!HV209))</f>
        <v/>
      </c>
      <c r="F218" s="178" t="str">
        <f ca="1">IF(COPIA!$EV$1&gt;0,"",IF(COPIA!$GP$1=1,COPIA!GT209,COPIA!IZ209))</f>
        <v/>
      </c>
      <c r="G218" s="179" t="str">
        <f ca="1">IF(COPIA!$EV$1&gt;0,"",IF(COPIA!$GP$1=1,COPIA!GO209,COPIA!IX209))</f>
        <v/>
      </c>
      <c r="H218" s="179" t="str">
        <f ca="1">IF(COPIA!$EV$1&gt;0,"",IF(COPIA!$GP$1=1,COPIA!GP209,COPIA!IY209))</f>
        <v/>
      </c>
      <c r="I218" s="14"/>
      <c r="J218" s="6" t="str">
        <f ca="1">IF(AND(G218="",H218=""),"",ROUND(SUM(G$12:G218),2)-ROUND(SUM(H$12:H218),2))</f>
        <v/>
      </c>
    </row>
    <row r="219" spans="1:10" ht="20.100000000000001" customHeight="1">
      <c r="A219" s="48"/>
      <c r="B219" s="31" t="str">
        <f t="shared" ca="1" si="6"/>
        <v/>
      </c>
      <c r="C219" s="31" t="str">
        <f t="shared" ca="1" si="7"/>
        <v/>
      </c>
      <c r="D219" s="20" t="str">
        <f ca="1">IF(AND(COPIA!$EV$1=0,B219&lt;&gt;"",COPIA!$GP$1=1),CONCATENATE("31/12/",COPIA!$EW$1),IF(AND(COPIA!$EV$1=0,B219&lt;&gt;"",COPIA!$GP$1=2),CONCATENATE("01/01/",COPIA!$EW$1),""))</f>
        <v/>
      </c>
      <c r="E219" s="178" t="str">
        <f ca="1">IF(COPIA!$EV$1&gt;0,"",IF(COPIA!$GP$1=1,COPIA!GN210,COPIA!HV210))</f>
        <v/>
      </c>
      <c r="F219" s="178" t="str">
        <f ca="1">IF(COPIA!$EV$1&gt;0,"",IF(COPIA!$GP$1=1,COPIA!GT210,COPIA!IZ210))</f>
        <v/>
      </c>
      <c r="G219" s="179" t="str">
        <f ca="1">IF(COPIA!$EV$1&gt;0,"",IF(COPIA!$GP$1=1,COPIA!GO210,COPIA!IX210))</f>
        <v/>
      </c>
      <c r="H219" s="179" t="str">
        <f ca="1">IF(COPIA!$EV$1&gt;0,"",IF(COPIA!$GP$1=1,COPIA!GP210,COPIA!IY210))</f>
        <v/>
      </c>
      <c r="I219" s="14"/>
      <c r="J219" s="6" t="str">
        <f ca="1">IF(AND(G219="",H219=""),"",ROUND(SUM(G$12:G219),2)-ROUND(SUM(H$12:H219),2))</f>
        <v/>
      </c>
    </row>
    <row r="220" spans="1:10" ht="20.100000000000001" customHeight="1">
      <c r="A220" s="48"/>
      <c r="B220" s="31" t="str">
        <f t="shared" ca="1" si="6"/>
        <v/>
      </c>
      <c r="C220" s="31" t="str">
        <f t="shared" ca="1" si="7"/>
        <v/>
      </c>
      <c r="D220" s="20" t="str">
        <f ca="1">IF(AND(COPIA!$EV$1=0,B220&lt;&gt;"",COPIA!$GP$1=1),CONCATENATE("31/12/",COPIA!$EW$1),IF(AND(COPIA!$EV$1=0,B220&lt;&gt;"",COPIA!$GP$1=2),CONCATENATE("01/01/",COPIA!$EW$1),""))</f>
        <v/>
      </c>
      <c r="E220" s="178" t="str">
        <f ca="1">IF(COPIA!$EV$1&gt;0,"",IF(COPIA!$GP$1=1,COPIA!GN211,COPIA!HV211))</f>
        <v/>
      </c>
      <c r="F220" s="178" t="str">
        <f ca="1">IF(COPIA!$EV$1&gt;0,"",IF(COPIA!$GP$1=1,COPIA!GT211,COPIA!IZ211))</f>
        <v/>
      </c>
      <c r="G220" s="179" t="str">
        <f ca="1">IF(COPIA!$EV$1&gt;0,"",IF(COPIA!$GP$1=1,COPIA!GO211,COPIA!IX211))</f>
        <v/>
      </c>
      <c r="H220" s="179" t="str">
        <f ca="1">IF(COPIA!$EV$1&gt;0,"",IF(COPIA!$GP$1=1,COPIA!GP211,COPIA!IY211))</f>
        <v/>
      </c>
      <c r="I220" s="14"/>
      <c r="J220" s="6" t="str">
        <f ca="1">IF(AND(G220="",H220=""),"",ROUND(SUM(G$12:G220),2)-ROUND(SUM(H$12:H220),2))</f>
        <v/>
      </c>
    </row>
    <row r="221" spans="1:10" ht="20.100000000000001" customHeight="1">
      <c r="A221" s="48"/>
      <c r="B221" s="31" t="str">
        <f t="shared" ca="1" si="6"/>
        <v/>
      </c>
      <c r="C221" s="31" t="str">
        <f t="shared" ca="1" si="7"/>
        <v/>
      </c>
      <c r="D221" s="20" t="str">
        <f ca="1">IF(AND(COPIA!$EV$1=0,B221&lt;&gt;"",COPIA!$GP$1=1),CONCATENATE("31/12/",COPIA!$EW$1),IF(AND(COPIA!$EV$1=0,B221&lt;&gt;"",COPIA!$GP$1=2),CONCATENATE("01/01/",COPIA!$EW$1),""))</f>
        <v/>
      </c>
      <c r="E221" s="178" t="str">
        <f ca="1">IF(COPIA!$EV$1&gt;0,"",IF(COPIA!$GP$1=1,COPIA!GN212,COPIA!HV212))</f>
        <v/>
      </c>
      <c r="F221" s="178" t="str">
        <f ca="1">IF(COPIA!$EV$1&gt;0,"",IF(COPIA!$GP$1=1,COPIA!GT212,COPIA!IZ212))</f>
        <v/>
      </c>
      <c r="G221" s="179" t="str">
        <f ca="1">IF(COPIA!$EV$1&gt;0,"",IF(COPIA!$GP$1=1,COPIA!GO212,COPIA!IX212))</f>
        <v/>
      </c>
      <c r="H221" s="179" t="str">
        <f ca="1">IF(COPIA!$EV$1&gt;0,"",IF(COPIA!$GP$1=1,COPIA!GP212,COPIA!IY212))</f>
        <v/>
      </c>
      <c r="I221" s="14"/>
      <c r="J221" s="6" t="str">
        <f ca="1">IF(AND(G221="",H221=""),"",ROUND(SUM(G$12:G221),2)-ROUND(SUM(H$12:H221),2))</f>
        <v/>
      </c>
    </row>
    <row r="222" spans="1:10" ht="20.100000000000001" customHeight="1">
      <c r="A222" s="48"/>
      <c r="B222" s="31" t="str">
        <f t="shared" ca="1" si="6"/>
        <v/>
      </c>
      <c r="C222" s="31" t="str">
        <f t="shared" ca="1" si="7"/>
        <v/>
      </c>
      <c r="D222" s="20" t="str">
        <f ca="1">IF(AND(COPIA!$EV$1=0,B222&lt;&gt;"",COPIA!$GP$1=1),CONCATENATE("31/12/",COPIA!$EW$1),IF(AND(COPIA!$EV$1=0,B222&lt;&gt;"",COPIA!$GP$1=2),CONCATENATE("01/01/",COPIA!$EW$1),""))</f>
        <v/>
      </c>
      <c r="E222" s="178" t="str">
        <f ca="1">IF(COPIA!$EV$1&gt;0,"",IF(COPIA!$GP$1=1,COPIA!GN213,COPIA!HV213))</f>
        <v/>
      </c>
      <c r="F222" s="178" t="str">
        <f ca="1">IF(COPIA!$EV$1&gt;0,"",IF(COPIA!$GP$1=1,COPIA!GT213,COPIA!IZ213))</f>
        <v/>
      </c>
      <c r="G222" s="179" t="str">
        <f ca="1">IF(COPIA!$EV$1&gt;0,"",IF(COPIA!$GP$1=1,COPIA!GO213,COPIA!IX213))</f>
        <v/>
      </c>
      <c r="H222" s="179" t="str">
        <f ca="1">IF(COPIA!$EV$1&gt;0,"",IF(COPIA!$GP$1=1,COPIA!GP213,COPIA!IY213))</f>
        <v/>
      </c>
      <c r="I222" s="14"/>
      <c r="J222" s="6" t="str">
        <f ca="1">IF(AND(G222="",H222=""),"",ROUND(SUM(G$12:G222),2)-ROUND(SUM(H$12:H222),2))</f>
        <v/>
      </c>
    </row>
    <row r="223" spans="1:10" ht="20.100000000000001" customHeight="1">
      <c r="A223" s="48"/>
      <c r="B223" s="31" t="str">
        <f t="shared" ca="1" si="6"/>
        <v/>
      </c>
      <c r="C223" s="31" t="str">
        <f t="shared" ca="1" si="7"/>
        <v/>
      </c>
      <c r="D223" s="20" t="str">
        <f ca="1">IF(AND(COPIA!$EV$1=0,B223&lt;&gt;"",COPIA!$GP$1=1),CONCATENATE("31/12/",COPIA!$EW$1),IF(AND(COPIA!$EV$1=0,B223&lt;&gt;"",COPIA!$GP$1=2),CONCATENATE("01/01/",COPIA!$EW$1),""))</f>
        <v/>
      </c>
      <c r="E223" s="178" t="str">
        <f ca="1">IF(COPIA!$EV$1&gt;0,"",IF(COPIA!$GP$1=1,COPIA!GN214,COPIA!HV214))</f>
        <v/>
      </c>
      <c r="F223" s="178" t="str">
        <f ca="1">IF(COPIA!$EV$1&gt;0,"",IF(COPIA!$GP$1=1,COPIA!GT214,COPIA!IZ214))</f>
        <v/>
      </c>
      <c r="G223" s="179" t="str">
        <f ca="1">IF(COPIA!$EV$1&gt;0,"",IF(COPIA!$GP$1=1,COPIA!GO214,COPIA!IX214))</f>
        <v/>
      </c>
      <c r="H223" s="179" t="str">
        <f ca="1">IF(COPIA!$EV$1&gt;0,"",IF(COPIA!$GP$1=1,COPIA!GP214,COPIA!IY214))</f>
        <v/>
      </c>
      <c r="I223" s="14"/>
      <c r="J223" s="6" t="str">
        <f ca="1">IF(AND(G223="",H223=""),"",ROUND(SUM(G$12:G223),2)-ROUND(SUM(H$12:H223),2))</f>
        <v/>
      </c>
    </row>
    <row r="224" spans="1:10" ht="20.100000000000001" customHeight="1">
      <c r="A224" s="48"/>
      <c r="B224" s="31" t="str">
        <f t="shared" ca="1" si="6"/>
        <v/>
      </c>
      <c r="C224" s="31" t="str">
        <f t="shared" ca="1" si="7"/>
        <v/>
      </c>
      <c r="D224" s="20" t="str">
        <f ca="1">IF(AND(COPIA!$EV$1=0,B224&lt;&gt;"",COPIA!$GP$1=1),CONCATENATE("31/12/",COPIA!$EW$1),IF(AND(COPIA!$EV$1=0,B224&lt;&gt;"",COPIA!$GP$1=2),CONCATENATE("01/01/",COPIA!$EW$1),""))</f>
        <v/>
      </c>
      <c r="E224" s="178" t="str">
        <f ca="1">IF(COPIA!$EV$1&gt;0,"",IF(COPIA!$GP$1=1,COPIA!GN215,COPIA!HV215))</f>
        <v/>
      </c>
      <c r="F224" s="178" t="str">
        <f ca="1">IF(COPIA!$EV$1&gt;0,"",IF(COPIA!$GP$1=1,COPIA!GT215,COPIA!IZ215))</f>
        <v/>
      </c>
      <c r="G224" s="179" t="str">
        <f ca="1">IF(COPIA!$EV$1&gt;0,"",IF(COPIA!$GP$1=1,COPIA!GO215,COPIA!IX215))</f>
        <v/>
      </c>
      <c r="H224" s="179" t="str">
        <f ca="1">IF(COPIA!$EV$1&gt;0,"",IF(COPIA!$GP$1=1,COPIA!GP215,COPIA!IY215))</f>
        <v/>
      </c>
      <c r="I224" s="14"/>
      <c r="J224" s="6" t="str">
        <f ca="1">IF(AND(G224="",H224=""),"",ROUND(SUM(G$12:G224),2)-ROUND(SUM(H$12:H224),2))</f>
        <v/>
      </c>
    </row>
    <row r="225" spans="1:10" ht="20.100000000000001" customHeight="1">
      <c r="A225" s="48"/>
      <c r="B225" s="31" t="str">
        <f t="shared" ca="1" si="6"/>
        <v/>
      </c>
      <c r="C225" s="31" t="str">
        <f t="shared" ca="1" si="7"/>
        <v/>
      </c>
      <c r="D225" s="20" t="str">
        <f ca="1">IF(AND(COPIA!$EV$1=0,B225&lt;&gt;"",COPIA!$GP$1=1),CONCATENATE("31/12/",COPIA!$EW$1),IF(AND(COPIA!$EV$1=0,B225&lt;&gt;"",COPIA!$GP$1=2),CONCATENATE("01/01/",COPIA!$EW$1),""))</f>
        <v/>
      </c>
      <c r="E225" s="178" t="str">
        <f ca="1">IF(COPIA!$EV$1&gt;0,"",IF(COPIA!$GP$1=1,COPIA!GN216,COPIA!HV216))</f>
        <v/>
      </c>
      <c r="F225" s="178" t="str">
        <f ca="1">IF(COPIA!$EV$1&gt;0,"",IF(COPIA!$GP$1=1,COPIA!GT216,COPIA!IZ216))</f>
        <v/>
      </c>
      <c r="G225" s="179" t="str">
        <f ca="1">IF(COPIA!$EV$1&gt;0,"",IF(COPIA!$GP$1=1,COPIA!GO216,COPIA!IX216))</f>
        <v/>
      </c>
      <c r="H225" s="179" t="str">
        <f ca="1">IF(COPIA!$EV$1&gt;0,"",IF(COPIA!$GP$1=1,COPIA!GP216,COPIA!IY216))</f>
        <v/>
      </c>
      <c r="I225" s="14"/>
      <c r="J225" s="6" t="str">
        <f ca="1">IF(AND(G225="",H225=""),"",ROUND(SUM(G$12:G225),2)-ROUND(SUM(H$12:H225),2))</f>
        <v/>
      </c>
    </row>
    <row r="226" spans="1:10" ht="20.100000000000001" customHeight="1">
      <c r="A226" s="48"/>
      <c r="B226" s="31" t="str">
        <f t="shared" ca="1" si="6"/>
        <v/>
      </c>
      <c r="C226" s="31" t="str">
        <f t="shared" ca="1" si="7"/>
        <v/>
      </c>
      <c r="D226" s="20" t="str">
        <f ca="1">IF(AND(COPIA!$EV$1=0,B226&lt;&gt;"",COPIA!$GP$1=1),CONCATENATE("31/12/",COPIA!$EW$1),IF(AND(COPIA!$EV$1=0,B226&lt;&gt;"",COPIA!$GP$1=2),CONCATENATE("01/01/",COPIA!$EW$1),""))</f>
        <v/>
      </c>
      <c r="E226" s="178" t="str">
        <f ca="1">IF(COPIA!$EV$1&gt;0,"",IF(COPIA!$GP$1=1,COPIA!GN217,COPIA!HV217))</f>
        <v/>
      </c>
      <c r="F226" s="178" t="str">
        <f ca="1">IF(COPIA!$EV$1&gt;0,"",IF(COPIA!$GP$1=1,COPIA!GT217,COPIA!IZ217))</f>
        <v/>
      </c>
      <c r="G226" s="179" t="str">
        <f ca="1">IF(COPIA!$EV$1&gt;0,"",IF(COPIA!$GP$1=1,COPIA!GO217,COPIA!IX217))</f>
        <v/>
      </c>
      <c r="H226" s="179" t="str">
        <f ca="1">IF(COPIA!$EV$1&gt;0,"",IF(COPIA!$GP$1=1,COPIA!GP217,COPIA!IY217))</f>
        <v/>
      </c>
      <c r="I226" s="14"/>
      <c r="J226" s="6" t="str">
        <f ca="1">IF(AND(G226="",H226=""),"",ROUND(SUM(G$12:G226),2)-ROUND(SUM(H$12:H226),2))</f>
        <v/>
      </c>
    </row>
    <row r="227" spans="1:10" ht="20.100000000000001" customHeight="1">
      <c r="A227" s="48"/>
      <c r="B227" s="31" t="str">
        <f t="shared" ca="1" si="6"/>
        <v/>
      </c>
      <c r="C227" s="31" t="str">
        <f t="shared" ca="1" si="7"/>
        <v/>
      </c>
      <c r="D227" s="20" t="str">
        <f ca="1">IF(AND(COPIA!$EV$1=0,B227&lt;&gt;"",COPIA!$GP$1=1),CONCATENATE("31/12/",COPIA!$EW$1),IF(AND(COPIA!$EV$1=0,B227&lt;&gt;"",COPIA!$GP$1=2),CONCATENATE("01/01/",COPIA!$EW$1),""))</f>
        <v/>
      </c>
      <c r="E227" s="178" t="str">
        <f ca="1">IF(COPIA!$EV$1&gt;0,"",IF(COPIA!$GP$1=1,COPIA!GN218,COPIA!HV218))</f>
        <v/>
      </c>
      <c r="F227" s="178" t="str">
        <f ca="1">IF(COPIA!$EV$1&gt;0,"",IF(COPIA!$GP$1=1,COPIA!GT218,COPIA!IZ218))</f>
        <v/>
      </c>
      <c r="G227" s="179" t="str">
        <f ca="1">IF(COPIA!$EV$1&gt;0,"",IF(COPIA!$GP$1=1,COPIA!GO218,COPIA!IX218))</f>
        <v/>
      </c>
      <c r="H227" s="179" t="str">
        <f ca="1">IF(COPIA!$EV$1&gt;0,"",IF(COPIA!$GP$1=1,COPIA!GP218,COPIA!IY218))</f>
        <v/>
      </c>
      <c r="I227" s="14"/>
      <c r="J227" s="6" t="str">
        <f ca="1">IF(AND(G227="",H227=""),"",ROUND(SUM(G$12:G227),2)-ROUND(SUM(H$12:H227),2))</f>
        <v/>
      </c>
    </row>
    <row r="228" spans="1:10">
      <c r="A228" s="180"/>
      <c r="B228" s="181"/>
      <c r="C228" s="182"/>
      <c r="D228" s="182"/>
      <c r="E228" s="183"/>
      <c r="F228" s="182"/>
      <c r="G228" s="182"/>
      <c r="H228" s="182"/>
      <c r="I228" s="182"/>
    </row>
  </sheetData>
  <sheetProtection algorithmName="SHA-512" hashValue="lhmu31h4dm56oZ05WU4Fxb/m4uakefL+CGOTDgrhBkYKxT9KHDkGyPTtpHRdH7lfw4nHE0pxvhC4limyngXiKw==" saltValue="no7ZdgXuFBlaIKxHpDDWAg==" spinCount="100000" sheet="1" objects="1" scenarios="1"/>
  <mergeCells count="11">
    <mergeCell ref="B9:E9"/>
    <mergeCell ref="F9:H9"/>
    <mergeCell ref="B1:F1"/>
    <mergeCell ref="E7:I7"/>
    <mergeCell ref="G2:I2"/>
    <mergeCell ref="F3:F5"/>
    <mergeCell ref="G3:I5"/>
    <mergeCell ref="B4:D5"/>
    <mergeCell ref="B2:D3"/>
    <mergeCell ref="E2:E5"/>
    <mergeCell ref="B6:D6"/>
  </mergeCells>
  <conditionalFormatting sqref="B12:B227">
    <cfRule type="expression" dxfId="21" priority="13">
      <formula>$B12&lt;&gt;""</formula>
    </cfRule>
  </conditionalFormatting>
  <conditionalFormatting sqref="B11:H11">
    <cfRule type="expression" dxfId="20" priority="1">
      <formula>$B$11&lt;&gt;""</formula>
    </cfRule>
  </conditionalFormatting>
  <conditionalFormatting sqref="C12:C227">
    <cfRule type="expression" dxfId="19" priority="12">
      <formula>$C12&lt;&gt;""</formula>
    </cfRule>
  </conditionalFormatting>
  <conditionalFormatting sqref="D12:D227">
    <cfRule type="expression" dxfId="18" priority="11">
      <formula>$D12&lt;&gt;""</formula>
    </cfRule>
  </conditionalFormatting>
  <conditionalFormatting sqref="E12:E227">
    <cfRule type="expression" dxfId="17" priority="10">
      <formula>$E12&lt;&gt;""</formula>
    </cfRule>
  </conditionalFormatting>
  <conditionalFormatting sqref="E12:F227">
    <cfRule type="expression" dxfId="16" priority="7">
      <formula>$J12=0</formula>
    </cfRule>
  </conditionalFormatting>
  <conditionalFormatting sqref="F12:F227">
    <cfRule type="expression" dxfId="15" priority="8">
      <formula>$F12&lt;&gt;""</formula>
    </cfRule>
  </conditionalFormatting>
  <conditionalFormatting sqref="G12:G227">
    <cfRule type="expression" dxfId="14" priority="4">
      <formula>AND($G12=0,J$12&lt;&gt;"")</formula>
    </cfRule>
    <cfRule type="expression" dxfId="13" priority="6">
      <formula>AND($G12&gt;0,$J12&lt;&gt;"")</formula>
    </cfRule>
  </conditionalFormatting>
  <conditionalFormatting sqref="H12:H227">
    <cfRule type="expression" dxfId="12" priority="2">
      <formula>AND($H12=0,$J12&lt;&gt;"")</formula>
    </cfRule>
    <cfRule type="expression" dxfId="11" priority="3">
      <formula>AND($H12&gt;0,$J12&lt;&gt;"")</formula>
    </cfRule>
  </conditionalFormatting>
  <dataValidations count="1">
    <dataValidation type="list" allowBlank="1" showInputMessage="1" showErrorMessage="1" sqref="B4:D5" xr:uid="{00000000-0002-0000-0600-000000000000}">
      <formula1>"SCRITTURE DI CHIUSURA,SCRITTURE DI APERTURA"</formula1>
    </dataValidation>
  </dataValidations>
  <printOptions horizontalCentered="1"/>
  <pageMargins left="0.11811023622047245" right="0.11811023622047245" top="0.59055118110236227" bottom="0.59055118110236227" header="0.19685039370078741" footer="0.19685039370078741"/>
  <pageSetup orientation="landscape" r:id="rId1"/>
  <headerFooter>
    <oddHeader>&amp;L&amp;"Arial Narrow,Grassetto"&amp;K08-020&amp;A&amp;R&amp;G</oddHeader>
    <oddFooter>&amp;L&amp;"Arial Narrow,Grassetto"&amp;10&amp;K08-021FUTURO IMPRESA 3 - T-SMART - AUTORE: Biagio PALACINO&amp;C&amp;"Arial Narrow,Grassetto"&amp;10&amp;K08-022&amp;D&amp;R&amp;"Arial Narrow,Grassetto"&amp;11&amp;K08-021pag. &amp;P di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M2300"/>
  <sheetViews>
    <sheetView zoomScale="110" zoomScaleNormal="110" workbookViewId="0">
      <selection activeCell="L1" sqref="L1"/>
    </sheetView>
  </sheetViews>
  <sheetFormatPr defaultColWidth="2.59765625" defaultRowHeight="15.6"/>
  <cols>
    <col min="1" max="209" width="2.59765625" style="259" customWidth="1"/>
    <col min="210" max="214" width="2.59765625" style="269" customWidth="1"/>
    <col min="215" max="215" width="2.59765625" style="259" customWidth="1"/>
    <col min="216" max="219" width="2.59765625" style="269" customWidth="1"/>
    <col min="220" max="299" width="2.59765625" style="259" customWidth="1"/>
    <col min="300" max="16384" width="2.59765625" style="258"/>
  </cols>
  <sheetData>
    <row r="1" spans="1:273" ht="60" customHeight="1">
      <c r="A1" s="259">
        <f ca="1">INDIRECT(ADDRESS(ROW(),COLUMN()+3,,,"PIANO_DEI_CONTI"))</f>
        <v>0</v>
      </c>
      <c r="B1" s="259">
        <v>1</v>
      </c>
      <c r="D1" s="260" t="b">
        <v>1</v>
      </c>
      <c r="E1" s="260" t="b">
        <v>1</v>
      </c>
      <c r="F1" s="260"/>
      <c r="I1" s="261">
        <f ca="1">IF(INDIRECT(ADDRESS(3,6,,,"PIANO_DEI_CONTI"))="A - COSTITUZIONE - ACQUISTI - VENDITE",1,IF(INDIRECT(ADDRESS(3,6,,,"PIANO_DEI_CONTI"))="B - ALTRE OPERAZIONI DI GESTIONE",2,3))</f>
        <v>3</v>
      </c>
      <c r="J1" s="261">
        <f ca="1">IF(INDIRECT(ADDRESS(2,5,,,"LIBRO_GIORNALE"))="CONTI SUDDIVISI PER RAGGRUPPAMENTO",2,1)</f>
        <v>2</v>
      </c>
      <c r="K1" s="261"/>
      <c r="L1" s="261" t="str">
        <f ca="1">IF(INDIRECT(ADDRESS(3,2,,,"LIBRO_GIORNALE"))="DESKTOP: Office",IF(ISNUMBER(M1),INDEX($O$3:$P$48,MATCH($M$1,$P$3:$P$48,0),1),M1),N2)</f>
        <v>VISUALIZZA TUTTI I CONTI</v>
      </c>
      <c r="M1" s="261">
        <v>1</v>
      </c>
      <c r="N1" s="261"/>
      <c r="O1" s="261">
        <f ca="1">MAX($L$3:L$220)</f>
        <v>171</v>
      </c>
      <c r="P1" s="261">
        <f ca="1">MAX($L$3:$L$220)</f>
        <v>171</v>
      </c>
      <c r="Q1" s="261"/>
      <c r="R1" s="261"/>
      <c r="S1" s="261"/>
      <c r="T1" s="260"/>
      <c r="U1" s="260"/>
      <c r="V1" s="261"/>
      <c r="W1" s="261"/>
      <c r="X1" s="261"/>
      <c r="Y1" s="261"/>
      <c r="Z1" s="261">
        <v>1</v>
      </c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2" t="s">
        <v>274</v>
      </c>
      <c r="AO1" s="261"/>
      <c r="AP1" s="261"/>
      <c r="AQ1" s="263" t="s">
        <v>211</v>
      </c>
      <c r="AR1" s="263" t="s">
        <v>215</v>
      </c>
      <c r="AS1" s="263" t="s">
        <v>216</v>
      </c>
      <c r="AT1" s="263" t="s">
        <v>211</v>
      </c>
      <c r="AU1" s="263" t="s">
        <v>215</v>
      </c>
      <c r="AV1" s="263" t="s">
        <v>216</v>
      </c>
      <c r="AW1" s="263" t="s">
        <v>211</v>
      </c>
      <c r="AX1" s="263" t="s">
        <v>215</v>
      </c>
      <c r="AY1" s="263" t="s">
        <v>216</v>
      </c>
      <c r="AZ1" s="264"/>
      <c r="BA1" s="261"/>
      <c r="BB1" s="261"/>
      <c r="BC1" s="261"/>
      <c r="BD1" s="261"/>
      <c r="BE1" s="261"/>
      <c r="BF1" s="261"/>
      <c r="BG1" s="261"/>
      <c r="BH1" s="261"/>
      <c r="BI1" s="261"/>
      <c r="BJ1" s="261"/>
      <c r="BK1" s="261"/>
      <c r="BL1" s="261"/>
      <c r="BM1" s="261"/>
      <c r="BN1" s="261"/>
      <c r="BO1" s="261"/>
      <c r="BP1" s="261" t="s">
        <v>4</v>
      </c>
      <c r="BQ1" s="261"/>
      <c r="BR1" s="261"/>
      <c r="BS1" s="261" t="s">
        <v>86</v>
      </c>
      <c r="BT1" s="261"/>
      <c r="BU1" s="261"/>
      <c r="BV1" s="261"/>
      <c r="BW1" s="261"/>
      <c r="BX1" s="261">
        <f ca="1">IFERROR(IF(INDEX($BI$3:$BJ$220,MATCH($BP$1,$BI$3:$BI$220,0),2)="",0,INDEX($BI$3:$BJ$220,MATCH($BP$1,$BI$3:$BI$220,0),2)),0)</f>
        <v>0</v>
      </c>
      <c r="BY1" s="261">
        <f ca="1">IFERROR(MATCH($BS$1,$BL$3:BL220,0),0)</f>
        <v>0</v>
      </c>
      <c r="BZ1" s="261">
        <f ca="1">IFERROR(MATCH($BS$2,$BL$3:$BL$220,0),0)</f>
        <v>0</v>
      </c>
      <c r="CA1" s="261">
        <f ca="1">BR221</f>
        <v>0</v>
      </c>
      <c r="CB1" s="261">
        <f ca="1">BW221</f>
        <v>0</v>
      </c>
      <c r="CC1" s="261"/>
      <c r="CD1" s="261" t="s">
        <v>217</v>
      </c>
      <c r="CE1" s="261" t="s">
        <v>217</v>
      </c>
      <c r="CF1" s="261" t="s">
        <v>222</v>
      </c>
      <c r="CG1" s="261" t="s">
        <v>217</v>
      </c>
      <c r="CH1" s="261">
        <f ca="1">IF(AND(CM1=0,CP1=0,CB1=0,CA1=0,LIBRO_GIORNALE!G4=0,LIBRO_GIORNALE!H4=0,VALORI_INIZIALI!H3=0,VALORI_INIZIALI!I3=0),0,1)</f>
        <v>0</v>
      </c>
      <c r="CI1" s="261"/>
      <c r="CJ1" s="261"/>
      <c r="CK1" s="261" t="s">
        <v>218</v>
      </c>
      <c r="CL1" s="261" t="s">
        <v>253</v>
      </c>
      <c r="CM1" s="261">
        <f ca="1">IF(DU231&lt;&gt;$DV$231,0,SUM($CQ$3:$CQ$230))</f>
        <v>0</v>
      </c>
      <c r="CN1" s="261"/>
      <c r="CO1" s="261" t="s">
        <v>255</v>
      </c>
      <c r="CP1" s="261">
        <f ca="1">IF($DU$231&lt;&gt;$DV$231,0,SUM($CJ$3:$CJ$230))</f>
        <v>0</v>
      </c>
      <c r="CQ1" s="261" t="s">
        <v>254</v>
      </c>
      <c r="CR1" s="261" t="str">
        <f ca="1">IF(MAX($CM$2,$CP$2)=0,"","SITUAZIONE ECONOMICA")</f>
        <v/>
      </c>
      <c r="CS1" s="261" t="s">
        <v>234</v>
      </c>
      <c r="CT1" s="261"/>
      <c r="CU1" s="265">
        <f ca="1">TODAY()</f>
        <v>46107</v>
      </c>
      <c r="CV1" s="261">
        <v>1</v>
      </c>
      <c r="CW1" s="261">
        <f ca="1">YEAR(CU1)</f>
        <v>2026</v>
      </c>
      <c r="CX1" s="265">
        <f ca="1">DATE(CW1,CV1,CV1)</f>
        <v>46023</v>
      </c>
      <c r="CY1" s="261">
        <f ca="1">FB1</f>
        <v>31</v>
      </c>
      <c r="CZ1" s="261">
        <f ca="1">FA1</f>
        <v>12</v>
      </c>
      <c r="DA1" s="265">
        <f ca="1">DATE(CW1,CZ1,CY1)</f>
        <v>46387</v>
      </c>
      <c r="DB1" s="261" t="s">
        <v>238</v>
      </c>
      <c r="DC1" s="261">
        <v>15</v>
      </c>
      <c r="DD1" s="261">
        <v>1</v>
      </c>
      <c r="DE1" s="261">
        <v>1</v>
      </c>
      <c r="DF1" s="261" t="str">
        <f>IF(ISNUMBER(DE1),INDEX($O$3:$P$48,MATCH($DE$1,$P$3:$P$48,0),1),DE1)</f>
        <v>VISUALIZZA TUTTI I CONTI</v>
      </c>
      <c r="DG1" s="261">
        <f ca="1">SUM(MAX(DF3:DF2300),1)</f>
        <v>1</v>
      </c>
      <c r="DH1" s="261">
        <f ca="1">MAX($DH$3:$DH$220)</f>
        <v>0</v>
      </c>
      <c r="DI1" s="261">
        <f ca="1">CX2-SUM(COUNTIFS($DE$3:$DE$2300,"="&amp;"s*"),COUNTIFS($DD$3:$DD$2300,"="&amp;"s*"))</f>
        <v>0</v>
      </c>
      <c r="DJ1" s="261" t="s">
        <v>239</v>
      </c>
      <c r="DK1" s="261"/>
      <c r="DL1" s="261"/>
      <c r="DM1" s="261" t="s">
        <v>240</v>
      </c>
      <c r="DN1" s="261" t="s">
        <v>241</v>
      </c>
      <c r="DO1" s="261" t="s">
        <v>242</v>
      </c>
      <c r="DP1" s="261" t="s">
        <v>243</v>
      </c>
      <c r="DQ1" s="266" t="str">
        <f ca="1">IF($DU$1=1,"TOTALI",IF($DU$1=2,"ECCEDENZE",IF($DU$1=3,"TOTALI ED ECCEDENZE","")))</f>
        <v>TOTALI ED ECCEDENZE</v>
      </c>
      <c r="DR1" s="261"/>
      <c r="DS1" s="261" t="s">
        <v>235</v>
      </c>
      <c r="DT1" s="261" t="s">
        <v>236</v>
      </c>
      <c r="DU1" s="261">
        <f ca="1">IF(INDIRECT(ADDRESS(3,2,,,"SIT._CONTABILE"))="PER TOTALI",1,IF(INDIRECT(ADDRESS(3,2,,,"SIT._CONTABILE"))="PER ECCEDENZE",2,3))</f>
        <v>3</v>
      </c>
      <c r="DV1" s="261" t="s">
        <v>249</v>
      </c>
      <c r="DW1" s="261">
        <f ca="1">MAX($DQ$3:$DQ$230)</f>
        <v>0</v>
      </c>
      <c r="DX1" s="261" t="s">
        <v>248</v>
      </c>
      <c r="DY1" s="261" t="s">
        <v>250</v>
      </c>
      <c r="DZ1" s="261"/>
      <c r="EA1" s="261"/>
      <c r="EB1" s="261"/>
      <c r="EC1" s="261"/>
      <c r="ED1" s="261"/>
      <c r="EE1" s="261"/>
      <c r="EF1" s="261"/>
      <c r="EG1" s="261"/>
      <c r="EH1" s="261"/>
      <c r="EI1" s="261"/>
      <c r="EJ1" s="261">
        <f ca="1">IFERROR(IF((INDEX($EM$3:$EN$500,MATCH($EL$1,$EM$3:$EM$500,0),2)-1)=0,2,INDEX($EM$3:$EN$500,MATCH($EL$1,$EM$3:$EM$500,0),2)-1),0)</f>
        <v>2</v>
      </c>
      <c r="EK1" s="261"/>
      <c r="EL1" s="261">
        <f ca="1">MAX($EM$3:EM500)</f>
        <v>0</v>
      </c>
      <c r="EM1" s="265">
        <f ca="1">$DD$2</f>
        <v>46037</v>
      </c>
      <c r="EN1" s="260" t="b">
        <f ca="1">IF(INDIRECT(ADDRESS(5,7,,,"VALORI_INIZIALI"))="Riporta la descrizione valore iniziale",TRUE,FALSE)</f>
        <v>1</v>
      </c>
      <c r="EO1" s="260" t="b">
        <f ca="1">IF(INDIRECT(ADDRESS(2,2,,,"SIT.PATR._SIT.ECON."))="VISUALIZZA IL RISULTATO ECONOMICO",TRUE,FALSE)</f>
        <v>1</v>
      </c>
      <c r="EP1" s="259" t="s">
        <v>281</v>
      </c>
      <c r="ES1" s="259" t="str">
        <f ca="1">IF(EV1&gt;0,CONCATENATE("Verifica che: ",EW3,EW4,EW5,EW6),"")</f>
        <v>Verifica che: Il conto PATRIMONIO NETTO sia acceso</v>
      </c>
      <c r="ET1" s="259" t="str">
        <f ca="1">CONCATENATE(ET3," ",ET4," ",ET5)</f>
        <v xml:space="preserve">  </v>
      </c>
      <c r="EU1" s="259">
        <f ca="1">IF(EV1&gt;0,EV1,1)</f>
        <v>1</v>
      </c>
      <c r="EV1" s="259">
        <f ca="1">COUNTIFS($EV$3:$EV$30,"&gt;"&amp;0)</f>
        <v>1</v>
      </c>
      <c r="EW1" s="259" t="str">
        <f ca="1">IF(EY1=1,"n","n+1")</f>
        <v>n</v>
      </c>
      <c r="EX1" s="259">
        <f ca="1">IF(INDIRECT(ADDRESS(6,8,,,"LIBRO_GIORNALE"))="ATTIVA",1,INDIRECT(ADDRESS(6,8,,,"LIBRO_GIORNALE"))+1)</f>
        <v>1</v>
      </c>
      <c r="EY1" s="259">
        <f ca="1">IF(INDIRECT(ADDRESS(6,4,,,"LIBRO_GIORNALE"))="N+1",2,1)</f>
        <v>1</v>
      </c>
      <c r="EZ1" s="259">
        <f ca="1">CW1+EY1-1</f>
        <v>2026</v>
      </c>
      <c r="FA1" s="259">
        <f ca="1">IF(INDIRECT(ADDRESS(6,3,,,"LIBRO_GIORNALE"))=0,12,INDIRECT(ADDRESS(6,3,,,"LIBRO_GIORNALE")))</f>
        <v>12</v>
      </c>
      <c r="FB1" s="259">
        <f ca="1">IF(INDIRECT(ADDRESS(6,2,,,"LIBRO_GIORNALE"))=0,31,INDIRECT(ADDRESS(6,2,,,"LIBRO_GIORNALE")))</f>
        <v>31</v>
      </c>
      <c r="FC1" s="267">
        <f ca="1">DATE(EZ1,FA1,FB1)</f>
        <v>46387</v>
      </c>
      <c r="FD1" s="259">
        <f ca="1">ROUND(SUMIFS(dare_grezzo,$FD$3:$FD$400,"="&amp;"SE DARE",data_grezzo,"&gt;="&amp;INIZIO_A_PC,data_grezzo,"&lt;="&amp;FINE_A_PC),2)</f>
        <v>0</v>
      </c>
      <c r="FE1" s="259">
        <f ca="1">ROUND(SUMIFS(avere_grezzo,$FD$3:$FD$400,"="&amp;"SE AVERE",data_grezzo,"&gt;="&amp;INIZIO_A_PC,data_grezzo,"&lt;="&amp;FINE_A_PC),2)</f>
        <v>0</v>
      </c>
      <c r="FF1" s="259">
        <f ca="1">IF(EY1=2,IF(AND(FD1&gt;=FD2,FE1&gt;=FE2),FE1+FD2-FD1-FE2,0),0)</f>
        <v>0</v>
      </c>
      <c r="FI1" s="268"/>
      <c r="FJ1" s="268"/>
      <c r="FK1" s="268"/>
      <c r="FM1" s="259">
        <f ca="1">MAX(FN3:FN400)</f>
        <v>0</v>
      </c>
      <c r="FQ1" s="259" t="s">
        <v>272</v>
      </c>
      <c r="FR1" s="259" t="s">
        <v>273</v>
      </c>
      <c r="FS1" s="259" t="s">
        <v>86</v>
      </c>
      <c r="FT1" s="259" t="s">
        <v>87</v>
      </c>
      <c r="FU1" s="259" t="s">
        <v>4</v>
      </c>
      <c r="FX1" s="259">
        <f ca="1">MAX(FX3:FX400)+5</f>
        <v>178</v>
      </c>
      <c r="GB1" s="259" t="str">
        <f ca="1">BR222</f>
        <v/>
      </c>
      <c r="GC1" s="259">
        <f>MIN(FQ$3:FQ$400)</f>
        <v>1</v>
      </c>
      <c r="GD1" s="259">
        <f>MIN(FR$3:FR$400)</f>
        <v>22</v>
      </c>
      <c r="GE1" s="259">
        <f ca="1">MIN(FS$3:FS$400)</f>
        <v>90</v>
      </c>
      <c r="GF1" s="259">
        <f ca="1">MIN(FT$3:FT$400)</f>
        <v>132</v>
      </c>
      <c r="GK1" s="259">
        <f>MAX(FQ$3:FQ$400)</f>
        <v>19</v>
      </c>
      <c r="GL1" s="259">
        <f>MAX(FR$3:FR$400)</f>
        <v>76</v>
      </c>
      <c r="GM1" s="259">
        <f ca="1">MAX(FS$3:FS$400)</f>
        <v>131</v>
      </c>
      <c r="GN1" s="259">
        <f ca="1">MAX(FT$3:FT$400)</f>
        <v>173</v>
      </c>
      <c r="GO1" s="259" t="s">
        <v>278</v>
      </c>
      <c r="GP1" s="259">
        <f ca="1">IF(INDIRECT(ADDRESS(4,2,,,"CHIUS.-APERT."))="SCRITTURE DI CHIUSURA",1,2)</f>
        <v>1</v>
      </c>
      <c r="GT1" s="259" t="str">
        <f ca="1">IF(AND(GP1=1,GT2=0),"",IF(AND(GP1=2,IW1=0),"",CONCATENATE("Si segnala uno sbilancio pari a  ",FIXED(IF(GP1=1,GT2,IW1),2,1)," euro")))</f>
        <v/>
      </c>
      <c r="GW1" s="259">
        <f ca="1">MAX(GU3:GU400)</f>
        <v>0</v>
      </c>
      <c r="GX1" s="259" t="s">
        <v>610</v>
      </c>
      <c r="GZ1" s="259" t="str">
        <f ca="1">IF(GY2&gt;0,CONCATENATE("Non sono stati girati i seguenti conti: ",GY3,GY4,GY5,GY6,GY7,GY8),"")</f>
        <v/>
      </c>
      <c r="HL1" s="270" t="s">
        <v>280</v>
      </c>
      <c r="HW1" s="259">
        <f ca="1">SUMIFS(COPIA!$FB$103:$FB$400,COPIA!$EW$103:$EW$400,"&amp;"=1,COPIA!$EY$103:$EY$400,"&amp;"&gt;=INIZIO_AC,COPIA!$EY$103:$EY$400,"&amp;"&lt;=FINE_AC)</f>
        <v>0</v>
      </c>
      <c r="HY1" s="259">
        <f ca="1">SUM(IG39:IG43,IG78,IG90,IG92)-SUM(IG48:IG65)</f>
        <v>0</v>
      </c>
      <c r="IB1" s="259">
        <f ca="1">IG21+IG23+IG26+IG28+IG30+IG33</f>
        <v>0</v>
      </c>
      <c r="ID1" s="259">
        <f ca="1">IFERROR(IF(INDIRECT(ADDRESS(3,2,,,"BILANCIO"))="BILANCIO DELLE MICRO IMPRESE",1,2),2)</f>
        <v>1</v>
      </c>
      <c r="IE1" s="259">
        <f ca="1">MAX(IH3:IH17)</f>
        <v>0</v>
      </c>
      <c r="IF1" s="259">
        <f ca="1">MAX(IH20:IH33)</f>
        <v>0</v>
      </c>
      <c r="IG1" s="259">
        <f ca="1">MAX(IE1,IF1)+1</f>
        <v>1</v>
      </c>
      <c r="IH1" s="259">
        <f ca="1">-1+IJ1</f>
        <v>0</v>
      </c>
      <c r="IJ1" s="259">
        <f ca="1">IF(INDIRECT(ADDRESS(3,3,,,"BILANCIO"))="RIGHE TRA I PROSPETTI",1,INDIRECT(ADDRESS(3,3,,,"BILANCIO"))+1)</f>
        <v>1</v>
      </c>
      <c r="IK1" s="259">
        <f ca="1">SUM(MAX(IH3:IH34),MAX(IH35:IH93),IH1)</f>
        <v>5</v>
      </c>
      <c r="IQ1" s="259">
        <f ca="1">MAX(IQ3:IQ200)</f>
        <v>0</v>
      </c>
      <c r="IW1" s="259">
        <f ca="1">ABS(IX1-IY1)</f>
        <v>0</v>
      </c>
      <c r="IX1" s="259">
        <f ca="1">SUM(IX3:IX200)</f>
        <v>0</v>
      </c>
      <c r="IY1" s="259">
        <f ca="1">SUM(IY3:IY200)</f>
        <v>0</v>
      </c>
      <c r="JA1" s="259" t="s">
        <v>410</v>
      </c>
      <c r="JG1" s="259">
        <f ca="1">IF(INDIRECT(ADDRESS(5,5,,,"CONTI_DI_MASTRO"))="VISUALIZZA PRIMA I CONTI DELL'ULTIMO ARTICOLO",1,0)</f>
        <v>0</v>
      </c>
      <c r="JL1" s="259" t="str">
        <f ca="1">IF(CX2&gt;0,CONCATENATE("Numero dei conti visualizzati: ",CX2),"Nessun conto visualizzato")</f>
        <v>Nessun conto visualizzato</v>
      </c>
      <c r="JM1" s="259" t="str">
        <f ca="1">IF(JM2&gt;0,"I movimenti non sono in ordine cronologico","")</f>
        <v/>
      </c>
    </row>
    <row r="2" spans="1:273" ht="37.5" customHeight="1">
      <c r="G2" s="269"/>
      <c r="H2" s="269"/>
      <c r="I2" s="269"/>
      <c r="N2" s="259" t="str">
        <f ca="1">INDIRECT(ADDRESS(3,5,,,"LIBRO_GIORNALE"))</f>
        <v/>
      </c>
      <c r="R2" s="259">
        <f ca="1">MAX(P3:P150)</f>
        <v>31</v>
      </c>
      <c r="Z2" s="259" t="s">
        <v>224</v>
      </c>
      <c r="AA2" s="259" t="s">
        <v>225</v>
      </c>
      <c r="AB2" s="259" t="s">
        <v>226</v>
      </c>
      <c r="AC2" s="259" t="s">
        <v>227</v>
      </c>
      <c r="AD2" s="259" t="s">
        <v>228</v>
      </c>
      <c r="AE2" s="259" t="s">
        <v>229</v>
      </c>
      <c r="AF2" s="259" t="s">
        <v>233</v>
      </c>
      <c r="AG2" s="259" t="s">
        <v>230</v>
      </c>
      <c r="AH2" s="259" t="s">
        <v>231</v>
      </c>
      <c r="AI2" s="259" t="s">
        <v>232</v>
      </c>
      <c r="AN2" s="271" t="s">
        <v>275</v>
      </c>
      <c r="BS2" s="259" t="s">
        <v>87</v>
      </c>
      <c r="BV2" s="259">
        <f ca="1">IF(AND($BY$1&gt;0,$BZ$1&gt;0),(MAX($V$3:$V$220))-2,IF(AND($BY$1=0,$BZ$1=0),MAX($V$3:$V$220),IF(AND($BY$1=0,$BZ$1&gt;0),MAX($V$3:$V$220)-1,IF(AND($BZ$1=0,$BY$1&gt;0),MAX($V$3:$V$220)-1,0))))</f>
        <v>0</v>
      </c>
      <c r="BW2" s="259">
        <f ca="1">MAX($BK$3:$BK$220)-1</f>
        <v>-1</v>
      </c>
      <c r="BX2" s="259" t="str">
        <f ca="1">IF(BX1&gt;=0,BP1,"")</f>
        <v>PATRIMONIO NETTO</v>
      </c>
      <c r="BY2" s="259" t="str">
        <f ca="1">IF(BY1&gt;0,BS1,"")</f>
        <v/>
      </c>
      <c r="BZ2" s="259">
        <f ca="1">IF(INDIRECT(ADDRESS(3,8,,,"SIT.PATR._SIT.ECON."))="RIGHE TRA I PROSPETTI",1,INDIRECT(ADDRESS(3,8,,,"SIT.PATR._SIT.ECON."))+1)</f>
        <v>1</v>
      </c>
      <c r="CA2" s="259">
        <v>13</v>
      </c>
      <c r="CB2" s="259">
        <f ca="1">BZ2-1+CA2</f>
        <v>13</v>
      </c>
      <c r="CC2" s="259">
        <f ca="1">CB2-1</f>
        <v>12</v>
      </c>
      <c r="CM2" s="259">
        <f ca="1">MAX($CO$3:$CO$230)</f>
        <v>0</v>
      </c>
      <c r="CP2" s="259">
        <f ca="1">MAX($CH$3:$CH$230)</f>
        <v>0</v>
      </c>
      <c r="CR2" s="259" t="str">
        <f ca="1">IF(MAX($CM$2,$CP$2)=0,"","COSTI")</f>
        <v/>
      </c>
      <c r="CS2" s="259" t="s">
        <v>235</v>
      </c>
      <c r="CT2" s="259" t="s">
        <v>236</v>
      </c>
      <c r="CV2" s="259" t="s">
        <v>411</v>
      </c>
      <c r="CW2" s="259">
        <v>0</v>
      </c>
      <c r="CX2" s="259">
        <f ca="1">MAX(CW3:CW220)</f>
        <v>0</v>
      </c>
      <c r="CY2" s="259" t="s">
        <v>237</v>
      </c>
      <c r="CZ2" s="259" t="str">
        <f>CONTI_DI_MASTRO!D5</f>
        <v>VISUALIZZA UN CONTO IN EVIDENZA</v>
      </c>
      <c r="DA2" s="260" t="b">
        <f ca="1">IF(INDIRECT(ADDRESS(5,9,,,"CONTI_DI_MASTRO"))="VISUALIZZA I MOVIMENTI DEI CONTI E IL SALDO",TRUE,FALSE)</f>
        <v>1</v>
      </c>
      <c r="DB2" s="259">
        <f ca="1">IF(OR($DC$1=0,$DD$1=0),$CW$1-1,$CW$1)</f>
        <v>2026</v>
      </c>
      <c r="DC2" s="259" t="s">
        <v>258</v>
      </c>
      <c r="DD2" s="267">
        <f ca="1">DATE($DB$2,$DD$1,$DC$1)</f>
        <v>46037</v>
      </c>
      <c r="DE2" s="259">
        <f>IFERROR(INDEX($CV$2:$CW$220,MATCH($CZ$2,$CV$2:$CV$220,0),2),0)</f>
        <v>0</v>
      </c>
      <c r="DF2" s="259">
        <f>IF(DE2&gt;0,MAX(DF2163:DF2300)+1,0)</f>
        <v>0</v>
      </c>
      <c r="DM2" s="259">
        <f ca="1">FB1</f>
        <v>31</v>
      </c>
      <c r="DN2" s="259">
        <f ca="1">FA1</f>
        <v>12</v>
      </c>
      <c r="DO2" s="259">
        <f ca="1">IF(OR($DM$2=0,$DN$2=0),$CW$1-1,$CW$1)</f>
        <v>2026</v>
      </c>
      <c r="DP2" s="267"/>
      <c r="DS2" s="272">
        <f ca="1">IF(FB1&lt;10,CONCATENATE(0,FB1),FB1)</f>
        <v>31</v>
      </c>
      <c r="DT2" s="272">
        <f ca="1">IF(FA1&lt;10,CONCATENATE(0,FA1),FA1)</f>
        <v>12</v>
      </c>
      <c r="DU2" s="272" t="str">
        <f ca="1">EW1</f>
        <v>n</v>
      </c>
      <c r="DW2" s="259" t="s">
        <v>246</v>
      </c>
      <c r="DY2" s="259" t="s">
        <v>251</v>
      </c>
      <c r="DZ2" s="259" t="s">
        <v>252</v>
      </c>
      <c r="EA2" s="259" t="s">
        <v>414</v>
      </c>
      <c r="EC2" s="273"/>
      <c r="EE2" s="259" t="str">
        <f ca="1">IF(MAX($CM$2,$CP$2)&gt;0,"RICAVI","")</f>
        <v/>
      </c>
      <c r="EJ2" s="267"/>
      <c r="EO2" s="267">
        <f ca="1">DATE(CW1,12,31)</f>
        <v>46387</v>
      </c>
      <c r="EP2" s="259" t="s">
        <v>282</v>
      </c>
      <c r="EQ2" s="259">
        <f ca="1">MAX(ER3:ER500)</f>
        <v>0</v>
      </c>
      <c r="EU2" s="259" t="s">
        <v>409</v>
      </c>
      <c r="EV2" s="259">
        <f ca="1">IF(EV1=0,1,0)</f>
        <v>0</v>
      </c>
      <c r="EW2" s="259" t="s">
        <v>271</v>
      </c>
      <c r="EX2" s="267">
        <f ca="1">DATE(CW1,12,31)</f>
        <v>46387</v>
      </c>
      <c r="EY2" s="267">
        <f ca="1">DATE(CW1,1,1)</f>
        <v>46023</v>
      </c>
      <c r="EZ2" s="259">
        <f ca="1">EZ1</f>
        <v>2026</v>
      </c>
      <c r="FA2" s="259">
        <v>1</v>
      </c>
      <c r="FB2" s="259">
        <v>1</v>
      </c>
      <c r="FC2" s="267">
        <f ca="1">DATE(EZ2,FA2,FB2)</f>
        <v>46023</v>
      </c>
      <c r="FD2" s="259">
        <f ca="1">ROUND(SUMIFS(avere_grezzo,$FD$3:$FD$400,"="&amp;"SE DARE",data_grezzo,"&gt;="&amp;INIZIO_A_PC,data_grezzo,"&lt;="&amp;FINE_A_PC),2)</f>
        <v>0</v>
      </c>
      <c r="FE2" s="259">
        <f ca="1">ROUND(SUMIFS(dare_grezzo,$FD$3:$FD$400,"="&amp;"SE AVERE",data_grezzo,"&gt;="&amp;INIZIO_A_PC,data_grezzo,"&lt;="&amp;FINE_A_PC),2)</f>
        <v>0</v>
      </c>
      <c r="FH2" s="274"/>
      <c r="FI2" s="274"/>
      <c r="FJ2" s="274"/>
      <c r="FK2" s="274"/>
      <c r="FL2" s="274"/>
      <c r="FR2" s="259">
        <f>MAX(FQ3:FQ400)+2</f>
        <v>21</v>
      </c>
      <c r="FS2" s="259">
        <f>MAX(FR2:FR400)+13</f>
        <v>89</v>
      </c>
      <c r="FT2" s="259">
        <f ca="1">MAX(FS2:FS400)</f>
        <v>131</v>
      </c>
      <c r="GG2" s="259" t="s">
        <v>235</v>
      </c>
      <c r="GH2" s="259" t="s">
        <v>236</v>
      </c>
      <c r="GI2" s="259" t="s">
        <v>235</v>
      </c>
      <c r="GJ2" s="259" t="s">
        <v>236</v>
      </c>
      <c r="GO2" s="259" t="s">
        <v>279</v>
      </c>
      <c r="GR2" s="259">
        <f ca="1">SUM($GO$3:$GO$200)</f>
        <v>0</v>
      </c>
      <c r="GS2" s="259">
        <f ca="1">SUM($GP$3:$GP$200)</f>
        <v>0</v>
      </c>
      <c r="GT2" s="259">
        <f ca="1">ABS(GR2-GS2)</f>
        <v>0</v>
      </c>
      <c r="GW2" s="259" t="str">
        <f ca="1">IF(GW1&gt;0,CONCATENATE("Non sono stati girati i seguenti conti: ",GW3,GW4,GW5,GW6,GW7,GW8),"")</f>
        <v/>
      </c>
      <c r="GX2" s="270"/>
      <c r="GY2" s="270">
        <f ca="1">MAX(GX3:GX400)</f>
        <v>0</v>
      </c>
      <c r="HL2" s="259">
        <f ca="1">COUNTA(HL3:HL102)-COUNTBLANK(HL3:HL102)</f>
        <v>0</v>
      </c>
      <c r="HM2" s="259">
        <f ca="1">COUNTA(HM3:HM102)-COUNTBLANK(HM3:HM102)</f>
        <v>0</v>
      </c>
      <c r="HN2" s="259">
        <f ca="1">COUNTA(HN3:HN102)-COUNTBLANK(HN3:HN102)</f>
        <v>0</v>
      </c>
      <c r="HP2" s="259">
        <f ca="1">IF(HM2=0,HL2+1,HL2+2)</f>
        <v>1</v>
      </c>
      <c r="HQ2" s="259">
        <f ca="1">HP2+HM2+HN2</f>
        <v>1</v>
      </c>
      <c r="IB2" s="259" t="str">
        <f ca="1">IG18</f>
        <v/>
      </c>
      <c r="IX2" s="259" t="s">
        <v>2</v>
      </c>
      <c r="IY2" s="259" t="s">
        <v>3</v>
      </c>
      <c r="IZ2" s="259" t="s">
        <v>1</v>
      </c>
      <c r="JM2" s="259">
        <f ca="1">SUM(JM103:JM400)</f>
        <v>0</v>
      </c>
    </row>
    <row r="3" spans="1:273">
      <c r="A3" s="259" t="str">
        <f t="shared" ref="A3:F3" si="0">GZ3</f>
        <v>01.00</v>
      </c>
      <c r="B3" s="259" t="str">
        <f t="shared" si="0"/>
        <v>IMMOBILIZZAZIONI IMMATERIALI</v>
      </c>
      <c r="C3" s="259">
        <f t="shared" si="0"/>
        <v>0</v>
      </c>
      <c r="D3" s="259">
        <f t="shared" si="0"/>
        <v>0</v>
      </c>
      <c r="E3" s="259">
        <f t="shared" si="0"/>
        <v>0</v>
      </c>
      <c r="F3" s="259">
        <f t="shared" si="0"/>
        <v>0</v>
      </c>
      <c r="G3" s="259">
        <f>IF(EI3=TRUE,1,0)</f>
        <v>0</v>
      </c>
      <c r="H3" s="259">
        <f>IF(EJ3=TRUE,1,0)</f>
        <v>0</v>
      </c>
      <c r="I3" s="259">
        <f>IF(EK3=TRUE,1,0)</f>
        <v>0</v>
      </c>
      <c r="J3" s="260" t="b">
        <f ca="1">IF(INDIRECT(ADDRESS(6,6,,,"LIBRO_GIORNALE"))="DELIMITAZIONE ARTICOLO ATTIVATA",TRUE,FALSE)</f>
        <v>1</v>
      </c>
      <c r="K3" s="259" t="str">
        <f ca="1">IFERROR(IF($I$1=1,INDEX($AA$3:$AS$220,MATCH(ROWS($K$3:K3),$AQ$3:$AQ$220,0),1),IF($I$1=2,INDEX($AA$3:$AS$220,MATCH(ROWS($K$3:K3),$AR$3:$AR$220,0),1),IF($I$1=3,INDEX($AA$3:$AS$220,MATCH(ROWS($K$3:K3),$AS$3:$AS$220,0),1),""))),"")</f>
        <v>COSTI DI IMPIANTO</v>
      </c>
      <c r="L3" s="259">
        <f ca="1">IF(AND($L$1="VISUALIZZA TUTTI I CONTI",K3&lt;&gt;""),MAX(L2:L2)+1,IFERROR(IF($J$1=1,IF(INDEX(PIANO_DEI_CONTI,MATCH($K3,DENOMINAZIONE,0),5)=$L$1,MAX($L$2:L2)+1,0),IF($J$1=2,IF(INDEX(PIANO_DEI_CONTI,MATCH($K3,DENOMINAZIONE,0),7)=$L$1,MAX($L$2:L2)+1,0))),0))</f>
        <v>1</v>
      </c>
      <c r="M3" s="259" t="str">
        <f ca="1">IFERROR(INDEX($K$3:$K$220,MATCH(ROWS($M$3:M3),$L$3:$L$220,0),1),"")</f>
        <v>COSTI DI IMPIANTO</v>
      </c>
      <c r="N3" s="259" t="s">
        <v>438</v>
      </c>
      <c r="O3" s="259" t="s">
        <v>438</v>
      </c>
      <c r="P3" s="259">
        <f>IF(AND(N3=O3,O3&lt;&gt;""),MAX(P$2:P2)+1,0)</f>
        <v>1</v>
      </c>
      <c r="Q3" s="275" t="str">
        <f>IF(IFERROR(INDEX($O$3:$P$220,MATCH(ROWS(Q$3:Q3),$P$3:$P$220,0),1),"")=0,"",IFERROR(INDEX($O$3:$P$220,MATCH(ROWS(Q$3:Q3),$P$3:$P$220,0),1),""))</f>
        <v>VISUALIZZA TUTTI I CONTI</v>
      </c>
      <c r="R3" s="259" t="str">
        <f t="shared" ref="R3:R66" si="1">IF(OR(INDEX(PIANO_DEI_CONTI,MATCH(AA3,DENOMINAZIONE,0),6)="SP DARE",INDEX(PIANO_DEI_CONTI,MATCH(AA3,DENOMINAZIONE,0),6)="SP DARE/AVERE"),AA3,"")</f>
        <v>COSTI DI IMPIANTO</v>
      </c>
      <c r="S3" s="259">
        <f ca="1">IF(IFERROR(MATCH(R3,DENOMINAZIONE_GIORNALE,0),0)&gt;0,MAX(S$2:S2)+1,0)</f>
        <v>0</v>
      </c>
      <c r="T3" s="259" t="str">
        <f ca="1">IFERROR(INDEX($R$3:$S$220,MATCH(ROWS($T$3:T3),$S$3:$S$220,0),1),"")</f>
        <v/>
      </c>
      <c r="U3" s="259">
        <f t="shared" ref="U3:U66" ca="1" si="2">IFERROR(IF(IF(AND(OR(INDEX(PIANO_DEI_CONTI,MATCH(T3,DENOMINAZIONE,0),6)="SP DARE",INDEX(PIANO_DEI_CONTI,MATCH(T3,DENOMINAZIONE,0),6)="SP DARE/AVERE"),SUMIFS(DARE,DENOMINAZIONE_GIORNALE,T3,DARE,"&gt;"&amp;0)&gt;SUMIFS(AVERE,DENOMINAZIONE_GIORNALE,T3,AVERE,"&gt;"&amp;0)),SUMIFS(DARE,DENOMINAZIONE_GIORNALE,T3,DARE,"&gt;"&amp;0)-SUMIFS(AVERE,DENOMINAZIONE_GIORNALE,T3,AVERE,"&gt;"&amp;0),0)&lt;&gt;0,IF(AND(OR(INDEX(PIANO_DEI_CONTI,MATCH(T3,DENOMINAZIONE,0),6)="SP DARE",INDEX(PIANO_DEI_CONTI,MATCH(T3,DENOMINAZIONE,0),6)="SP DARE/AVERE"),SUMIFS(DARE,DENOMINAZIONE_GIORNALE,T3,DARE,"&gt;"&amp;0)&gt;SUMIFS(AVERE,DENOMINAZIONE_GIORNALE,T3,AVERE,"&gt;"&amp;0)),SUMIFS(DARE,DENOMINAZIONE_GIORNALE,T3,DARE,"&gt;"&amp;0)-SUMIFS(AVERE,DENOMINAZIONE_GIORNALE,T3,AVERE,"&gt;"&amp;0),0),0),0)</f>
        <v>0</v>
      </c>
      <c r="V3" s="259">
        <f ca="1">IF(IF(U3&lt;&gt;0,MAX($V$2:V2)+1,0)=0,0,IF(U3&lt;&gt;0,MAX($V$2:V2)+1,0))</f>
        <v>0</v>
      </c>
      <c r="W3" s="259" t="str">
        <f>IF(MID(A3,3,3)=".00","",A3)</f>
        <v/>
      </c>
      <c r="X3" s="259" t="str">
        <f>IFERROR(INDEX($A$3:$B$220,MATCH(W3,$A$3:$A$220,0),2),"")</f>
        <v/>
      </c>
      <c r="Y3" s="259">
        <f>IF(W3="",0,MAX($Y$2:Y2)+1)</f>
        <v>0</v>
      </c>
      <c r="Z3" s="259" t="str">
        <f>IFERROR(INDEX($W$3:$Y$220,MATCH(ROWS($Z$2:Z2),$Y$3:$Y$220,0),1),"")</f>
        <v>01.01</v>
      </c>
      <c r="AA3" s="259" t="str">
        <f>IFERROR(INDEX($A$3:$I$220,MATCH($Z3,$A$3:$A$220,0),2),"")</f>
        <v>COSTI DI IMPIANTO</v>
      </c>
      <c r="AB3" s="259" t="str">
        <f>IFERROR(INDEX($A$3:$I$220,MATCH($Z3,$A$3:$A$220,0),3),"")</f>
        <v>E</v>
      </c>
      <c r="AC3" s="259" t="str">
        <f>IFERROR(INDEX($A$3:$I$220,MATCH($Z3,$A$3:$A$220,0),4),"")</f>
        <v>D</v>
      </c>
      <c r="AD3" s="259" t="str">
        <f>IFERROR(INDEX($A$3:$I$220,MATCH($Z3,$A$3:$A$220,0),5),"")</f>
        <v>COSTI PLURIENNALI</v>
      </c>
      <c r="AE3" s="259" t="str">
        <f>IFERROR(INDEX($A$3:$I$220,MATCH($Z3,$A$3:$A$220,0),6),"")</f>
        <v>SP DARE</v>
      </c>
      <c r="AF3" s="259" t="str">
        <f>AP3</f>
        <v>IMMOBILIZZAZIONI IMMATERIALI</v>
      </c>
      <c r="AG3" s="259">
        <f ca="1">IFERROR(INDEX($A$3:$I$220,MATCH($Z3,$A$3:$A$220,0),7),"")</f>
        <v>1</v>
      </c>
      <c r="AH3" s="259">
        <f ca="1">IFERROR(INDEX($A$3:$I$220,MATCH($Z3,$A$3:$A$220,0),8),"")</f>
        <v>1</v>
      </c>
      <c r="AI3" s="259">
        <f ca="1">IFERROR(INDEX($A$3:$I$220,MATCH($Z3,$A$3:$A$220,0),9),"")</f>
        <v>1</v>
      </c>
      <c r="AJ3" s="259" t="str">
        <f>MID(Z3,1,2)</f>
        <v>01</v>
      </c>
      <c r="AK3" s="259" t="str">
        <f>IF(MID($A3,3,3)=".00",MID(A3,1,2),"")</f>
        <v>01</v>
      </c>
      <c r="AL3" s="259">
        <f>IF(AK3&lt;&gt;"",MAX($AL$2:AL2)+1,0)</f>
        <v>1</v>
      </c>
      <c r="AM3" s="259" t="str">
        <f>IFERROR(INDEX($AK$3:$AL$220,MATCH(ROWS($AM$3:AM3),$AL$3:$AL$220,0),1),"")</f>
        <v>01</v>
      </c>
      <c r="AN3" s="259" t="str">
        <f>IF(AM3&lt;&gt;"",CONCATENATE(AM3,".00"),"")</f>
        <v>01.00</v>
      </c>
      <c r="AO3" s="259" t="str">
        <f>IFERROR(INDEX($A$3:$B$220,MATCH(AN3,$A$3:$A$220,0),2),"")</f>
        <v>IMMOBILIZZAZIONI IMMATERIALI</v>
      </c>
      <c r="AP3" s="259" t="str">
        <f>IFERROR(INDEX($AJ$3:$AP$220,MATCH(AJ3,$AM$3:$AM$220,0),6),"")</f>
        <v>IMMOBILIZZAZIONI IMMATERIALI</v>
      </c>
      <c r="AQ3" s="259">
        <f ca="1">IF(OR(AG3=0,AG3=""),0,MAX(AQ$2:AQ2)+1)</f>
        <v>1</v>
      </c>
      <c r="AR3" s="259">
        <f ca="1">IF(OR(AH3=0,AH3=""),0,MAX(AR$2:AR2)+1)</f>
        <v>1</v>
      </c>
      <c r="AS3" s="259">
        <f ca="1">IF(OR(AI3=0,AI3=""),0,MAX(AS$2:AS2)+1)</f>
        <v>1</v>
      </c>
      <c r="AT3" s="259" t="str">
        <f ca="1">IFERROR(INDEX($AD$3:$AS$220,MATCH(ROWS(AT$3:AT3),AQ$3:AQ$220,0),1),"")</f>
        <v>COSTI PLURIENNALI</v>
      </c>
      <c r="AU3" s="259" t="str">
        <f ca="1">IFERROR(INDEX($AD$3:$AS$220,MATCH(ROWS(AU$3:AU3),AR$3:AR$220,0),1),"")</f>
        <v>COSTI PLURIENNALI</v>
      </c>
      <c r="AV3" s="259" t="str">
        <f ca="1">IFERROR(INDEX($AD$3:$AS$220,MATCH(ROWS(AV$3:AV3),AS$3:AS$220,0),1),"")</f>
        <v>COSTI PLURIENNALI</v>
      </c>
      <c r="AW3" s="259" t="str">
        <f ca="1">IFERROR(INDEX($AP$3:$AS$220,MATCH(ROWS(AW$3:AW3),AQ$3:AQ$220,0),1),"")</f>
        <v>IMMOBILIZZAZIONI IMMATERIALI</v>
      </c>
      <c r="AX3" s="259" t="str">
        <f ca="1">IFERROR(INDEX($AP$3:$AS$220,MATCH(ROWS(AX$3:AX3),AR$3:AR$220,0),1),"")</f>
        <v>IMMOBILIZZAZIONI IMMATERIALI</v>
      </c>
      <c r="AY3" s="259" t="str">
        <f ca="1">IFERROR(INDEX($AP$3:$AS$220,MATCH(ROWS(AY$3:AY3),AS$3:AS$220,0),1),"")</f>
        <v>IMMOBILIZZAZIONI IMMATERIALI</v>
      </c>
      <c r="AZ3" s="276" t="str">
        <f ca="1">IF(BA3=0,"",CONCATENATE(ROW()-2," A."))</f>
        <v/>
      </c>
      <c r="BA3" s="259">
        <f t="shared" ref="BA3:BA34" ca="1" si="3">IF(BB3&lt;&gt;0,INIZIO_AC,0)</f>
        <v>0</v>
      </c>
      <c r="BB3" s="259">
        <f ca="1">IFERROR(INDEX($FG$3:$FL$400,MATCH(ROWS($BB$3:BB3),$FL$3:$FL$400,0),1),0)</f>
        <v>0</v>
      </c>
      <c r="BC3" s="259" t="str">
        <f ca="1">IF(BB3&lt;&gt;0,"apertura del conto","")</f>
        <v/>
      </c>
      <c r="BD3" s="259">
        <f ca="1">IFERROR(INDEX($FG$3:$FL$400,MATCH(ROWS($BD$3:BD3),$FL$3:$FL$400,0),4),0)</f>
        <v>0</v>
      </c>
      <c r="BE3" s="259">
        <f ca="1">IFERROR(INDEX($FG$3:$FL$400,MATCH(ROWS($BE$3:BE3),$FL$3:$FL$400,0),5),0)</f>
        <v>0</v>
      </c>
      <c r="BF3" s="259" t="s">
        <v>244</v>
      </c>
      <c r="BG3" s="259" t="str">
        <f t="shared" ref="BG3:BG66" si="4">IFERROR(IF(OR(INDEX(PIANO_DEI_CONTI,MATCH(AA3,DENOMINAZIONE,0),6)="SP AVERE",INDEX(PIANO_DEI_CONTI,MATCH(AA3,DENOMINAZIONE,0),6)="SP DARE/AVERE"),AA3,""),0)</f>
        <v/>
      </c>
      <c r="BH3" s="259">
        <f ca="1">IF(IFERROR(MATCH(BG3,DENOMINAZIONE_GIORNALE,0),0)&gt;0,MAX(BH$2:BH2)+1,0)</f>
        <v>0</v>
      </c>
      <c r="BI3" s="259" t="str">
        <f ca="1">IFERROR(INDEX($BG$3:$BH$220,MATCH(ROWS($BI$3:BI3),$BH$3:$BH$220,0),1),"")</f>
        <v/>
      </c>
      <c r="BJ3" s="259" t="str">
        <f t="shared" ref="BJ3:BJ66" ca="1" si="5">IF(IF(AND(OR(INDEX(PIANO_DEI_CONTI,MATCH(BI3,DENOMINAZIONE,0),6)="SP AVERE",INDEX(PIANO_DEI_CONTI,MATCH(BI3,DENOMINAZIONE,0),6)="SP DARE/AVERE"),SUMIFS(AVERE,DENOMINAZIONE_GIORNALE,BI3,AVERE,"&gt;"&amp;0)&gt;SUMIFS(DARE,DENOMINAZIONE_GIORNALE,BI3,DARE,"&gt;"&amp;0)),SUMIFS(AVERE,DENOMINAZIONE_GIORNALE,BI3,AVERE,"&gt;"&amp;0)-SUMIFS(DARE,DENOMINAZIONE_GIORNALE,BI3,DARE,"&gt;"&amp;0),0)&lt;&gt;0,IF(AND(OR(INDEX(PIANO_DEI_CONTI,MATCH(BI3,DENOMINAZIONE,0),6)="SP AVERE",INDEX(PIANO_DEI_CONTI,MATCH(BI3,DENOMINAZIONE,0),6)="SP DARE/AVERE"),SUMIFS(AVERE,DENOMINAZIONE_GIORNALE,BI3,AVERE,"&gt;"&amp;0)&gt;SUMIFS(DARE,DENOMINAZIONE_GIORNALE,BI3,DARE,"&gt;"&amp;0)),SUMIFS(AVERE,DENOMINAZIONE_GIORNALE,BI3,AVERE,"&gt;"&amp;0)-SUMIFS(DARE,DENOMINAZIONE_GIORNALE,BI3,DARE,"&gt;"&amp;0),0),"")</f>
        <v/>
      </c>
      <c r="BK3" s="259" t="str">
        <f ca="1">IF(IF(BJ3&lt;&gt;"",MAX($BK$2:BK2)+1,0)=0,"",IF(BJ3&lt;&gt;"",MAX($BK$2:BK2)+1,0))</f>
        <v/>
      </c>
      <c r="BL3" s="259" t="str">
        <f ca="1">IFERROR(INDEX($T$3:$U$220, MATCH(ROWS(BL$3:BL3),$V$3:$V$220,0),1),"")</f>
        <v/>
      </c>
      <c r="BM3" s="259" t="str">
        <f ca="1">IFERROR(INDEX($T$3:$U$220, MATCH(ROWS(BM$3:BM3),$V$3:$V$220,0),2),"")</f>
        <v/>
      </c>
      <c r="BN3" s="259" t="str">
        <f ca="1">IF(IFERROR(INDEX($BI$3:$BJ$220,MATCH(ROWS(BN$3:BN3),$BK$3:$BK$220,0),1),"")="PATRIMONIO NETTO","",IFERROR(INDEX($BI$3:$BJ$220,MATCH(ROWS(BN$3:BN3),$BK$3:$BK$220,0),1),""))</f>
        <v/>
      </c>
      <c r="BO3" s="259" t="str">
        <f ca="1">IFERROR(INDEX($BI$3:$BJ$220,MATCH(ROWS(BO$3:BO3),$BK$3:$BK$220,0),2),"")</f>
        <v/>
      </c>
      <c r="BP3" s="259">
        <f ca="1">IF(BN3&lt;&gt;"",MAX(BP$2:$BP2)+1,0)</f>
        <v>0</v>
      </c>
      <c r="BQ3" s="259" t="str">
        <f ca="1">IFERROR(INDEX($BN$3:$BO$200,MATCH(ROWS(BQ$3:BQ3),$BP$3:$BP$220,0),1),"")</f>
        <v/>
      </c>
      <c r="BR3" s="259" t="str">
        <f ca="1">IFERROR(INDEX($BN$3:$BO$220,MATCH(ROWS(BR$3:BR3),$BP$3:$BP$220,0),2),"")</f>
        <v/>
      </c>
      <c r="BS3" s="259" t="str">
        <f ca="1">IFERROR(IF(OR(INDEX($T$3:$U$220,MATCH(ROWS(BL$3:BL3),$V$3:$V$220,0),1)="PRELEVAMENTI EXTRAGESTIONE",INDEX($T$3:$U$220,MATCH(ROWS(BL$3:BL3),$V$3:$V$220,0),1)="TITOLARE C/RITENUTE SUBITE"),"",INDEX($T$3:$U$220,MATCH(ROWS(BL$3:BL3),$V$3:$V$220,0),1)),"")</f>
        <v/>
      </c>
      <c r="BT3" s="259">
        <f ca="1">INDEX($T$3:$U$220,MATCH(BS3,$T$3:$T$220,0),2)</f>
        <v>0</v>
      </c>
      <c r="BU3" s="259">
        <f ca="1">IF(BS3&lt;&gt;"",MAX(BU$2:BU2)+1,0)</f>
        <v>0</v>
      </c>
      <c r="BV3" s="259" t="str">
        <f ca="1">IFERROR(INDEX($BS$3:$BT$223,MATCH(ROWS(BV$3:BV3),$BU$3:$BU$223,0),1),"")</f>
        <v/>
      </c>
      <c r="BW3" s="259">
        <f ca="1">INDEX($BS$3:$BT$220,MATCH(BV3,$BS$3:$BS$223,0),2)</f>
        <v>0</v>
      </c>
      <c r="BX3" s="259" t="str">
        <f ca="1">IF($EV$1&gt;0,"",IF($EO$1=TRUE,SUBSTITUTE(IF(OR($DS$231&lt;&gt;$DT$231,$DS$232&lt;&gt;$DT$232,$DU$231&lt;&gt;$DV$231),"",IF($BX$1=0,"",IF((ROW()-2)=MAX($BV$2:$BW$2)+1,"TOTALE PASSIVITÀ",IF((ROW()-2)=MAX($BV$2:$BW$2)+2,"PATRIMONIO NETTO",IF(AND((ROW()-2)=MAX($BV$2,$BW$2)+3,$CM$1&gt;$CP$1,$DU$231=$DV$231),"SALDO ECONOMICO POSITIVO",IF(AND((ROW()-2)=MAX($BV$2,$BW$2)+4,$CM$1&gt;$CP$1,$DU$231=$DV$231),"TOTALE",IF(AND((ROW()-2)=MAX($BV$2,$BW$2)+4,$CM$1&lt;$CP$1,$DU$231=$DV$231,$BY$1=0,$BZ$1&gt;0,$BX$1&gt;0),"TOTALE",IF(AND((ROW()-2)=MAX($BV$2,$BW$2)+3,$CM$1=$CP$1,$DU$231=$DV$231,$BY$1&gt;0,$BZ$1=0,$BX$1&gt;0),"TOTALE",IF(AND((ROW()-2)=MAX($BV$2,$BW$2)+3,$CM$1=$CP$1,$DU$231=$DV$231,$BY$1=0,$BZ$1&gt;0,$BX$1&gt;0),"TOTALE",IF(AND((ROW()-2)=MAX($BV$2,$BW$2)+3,$CM$1=$CP$1,$DU$231=$DV$231,$BY$1=0,$BZ$1=0,$BX$1&gt;0),"TOTALE A PAREGGIO",IF(AND((ROW()-2)=MAX($BV$2,$BW$2)+4,$CM$1=$CP$1,$DU$231=$DV$231,$BY$1&gt;0,$BZ$1&gt;0,$BX$1&gt;0),"TOTALE",IF(AND((ROW()-2)=MAX($BV$2,$BW$2)+3,$CM$1=$CP$1,$DU$231=$DV$231,$BY$1=0,$BY$1&gt;0,$BZ$1=0,$BX$1&gt;0),"TOTALE",IF(AND((ROW()-2)=MAX($BV$2,$BW$2)+4,$CM$1&lt;$CP$1,$DU$231=$DV$231,$BY$1&gt;0,$BZ$1=0),"TOTALE",IF(AND((ROW()-2)=MAX($BV$2,$BW$2)+5,$CM$1&lt;$CP$1,$DU$231=$DV$231,$BY$1&gt;0,$BZ$1&gt;0),"TOTALE",IF(AND((ROW()-2)=MAX($BV$2,$BW$2)+3,$CM$1&lt;$CP$1,$DU$231=$DV$231,$BY$1=0,$BZ$1=0),"TOTALE",IF(AND((ROW()-2)=MAX($BV$2,$BW$2)+3,$CM$1=0,$CP$1=0,$DU$231=$DV$231,$BY$1=0,$BZ$1=0),"TOTALE",IF(AND((ROW()-2)=MAX($BV$2,$BW$2)+4,$CM$1=$CP$1,$DU$231=$DV$231,$BY$1&gt;0,$BZ$1&gt;0),"TOTALE",""))))))))))))))))),"SALDO ECONOMICO POSITIVO","UTILE D'ESERCIZIO"),IF(OR($DS$231&lt;&gt;$DT$231,$DS$232&lt;&gt;$DT$232,$DU$231&lt;&gt;$DV$231),"",IF($BX$1=0,"",IF((ROW()-2)=MAX($BV$2:$BW$2)+1,"TOTALE PASSIVITÀ",IF((ROW()-2)=MAX($BV$2:$BW$2)+2,"PATRIMONIO NETTO",IF(AND((ROW()-2)=MAX($BV$2,$BW$2)+3,$CM$1&gt;$CP$1,$DU$231=$DV$231),"SALDO ECONOMICO POSITIVO",IF(AND((ROW()-2)=MAX($BV$2,$BW$2)+4,$CM$1&gt;$CP$1,$DU$231=$DV$231),"TOTALE",IF(AND((ROW()-2)=MAX($BV$2,$BW$2)+4,$CM$1&lt;$CP$1,$DU$231=$DV$231,$BY$1=0,$BZ$1&gt;0,$BX$1&gt;0),"TOTALE",IF(AND((ROW()-2)=MAX($BV$2,$BW$2)+3,$CM$1=$CP$1,$DU$231=$DV$231,$BY$1&gt;0,$BZ$1=0,$BX$1&gt;0),"TOTALE",IF(AND((ROW()-2)=MAX($BV$2,$BW$2)+3,$CM$1=$CP$1,$DU$231=$DV$231,$BY$1=0,$BZ$1&gt;0,$BX$1&gt;0),"TOTALE",IF(AND((ROW()-2)=MAX($BV$2,$BW$2)+3,$CM$1=$CP$1,$DU$231=$DV$231,$BY$1=0,$BZ$1=0,$BX$1&gt;0),"TOTALE A PAREGGIO",IF(AND((ROW()-2)=MAX($BV$2,$BW$2)+4,$CM$1=$CP$1,$DU$231=$DV$231,$BY$1&gt;0,$BZ$1&gt;0,$BX$1&gt;0),"TOTALE",IF(AND((ROW()-2)=MAX($BV$2,$BW$2)+3,$CM$1=$CP$1,$DU$231=$DV$231,$BY$1=0,$BY$1&gt;0,$BZ$1=0,$BX$1&gt;0),"TOTALE",IF(AND((ROW()-2)=MAX($BV$2,$BW$2)+4,$CM$1&lt;$CP$1,$DU$231=$DV$231,$BY$1&gt;0,$BZ$1=0),"TOTALE",IF(AND((ROW()-2)=MAX($BV$2,$BW$2)+5,$CM$1&lt;$CP$1,$DU$231=$DV$231,$BY$1&gt;0,$BZ$1&gt;0),"TOTALE",IF(AND((ROW()-2)=MAX($BV$2,$BW$2)+3,$CM$1&lt;$CP$1,$DU$231=$DV$231,$BY$1=0,$BZ$1=0),"TOTALE",IF(AND((ROW()-2)=MAX($BV$2,$BW$2)+3,$CM$1=0,$CP$1=0,$DU$231=$DV$231,$BY$1=0,$BZ$1=0),"TOTALE",IF(AND((ROW()-2)=MAX($BV$2,$BW$2)+4,$CM$1=$CP$1,$DU$231=$DV$231,$BY$1&gt;0,$BZ$1&gt;0),"TOTALE","")))))))))))))))))))</f>
        <v/>
      </c>
      <c r="BY3" s="259" t="str">
        <f ca="1">IF($EV$1&gt;0,"",IF($EO$1=TRUE,SUBSTITUTE(IF(OR($BB$1&lt;&gt;$BD$1,$BC$1&lt;&gt;$BE$1,$DS$231&lt;&gt;$DT$231,$DS$232&lt;&gt;$DT$232,$DU$231&lt;&gt;$DV$231),"",IF($BX$1=0,"",IF(AND((ROW()-2)=MAX($BV$2:$BW$2)+1,OR($BY$1&gt;0,$BZ$1&gt;0,$CP$1&gt;$CM$1)),"TOTALE ATTIVITÀ",IF(AND((ROW()-2)=MAX($BV$2:$BW$2)+2,$BY$1&gt;0),"PRELEVAMENTI EXTRAGESTIONE",IF(AND((ROW()-2)=MAX($BV$2:$BW$2)+2,$BY$1=0,$BZ$1&gt;0),"TITOLARE C/RITENUTE SUBITE",IF(AND((ROW()-2)=MAX($BV$2:$BW$2)+3,$BY$1&gt;0,$BZ$1&gt;0),"TITOLARE C/RITENUTE SUBITE",IF(AND((ROW()-2)=MAX($BV$2:$BW$2)+2,$BY$1=0,$BZ$1=0,$CP$1&gt;$CM$1),"SALDO ECONOMICO NEGATIVO",IF(AND((ROW()-2)=MAX($BV$2:$BW$2)+3,$BY$1&gt;0,$BZ$1=0,$CP$1&gt;$CM$1),"SALDO ECONOMICO NEGATIVO",IF(AND((ROW()-2)=MAX($BV$2:$BW$2)+3,$BY$1=0,$BZ$1&gt;0,$CP$1&gt;$CM$1),"SALDO ECONOMICO NEGATIVO",IF(AND((ROW()-2)=MAX($BV$2:$BW$2)+4,$BY$1&gt;0,$BZ$1&gt;0,$CP$1&gt;$CM$1),"SALDO ECONOMICO NEGATIVO",IF(AND((ROW()-2)=MAX($BV$2:$BW$2)+3,$BY$1=0,$BZ$1=0,$CP$1&gt;$CM$1),"TOTALE",IF(AND((ROW()-2)=MAX($BV$2:$BW$2)+4,$BY$1&gt;0,$BZ$1=0,$CP$1&lt;$CM$1),"TOTALE",IF(AND((ROW()-2)=MAX($BV$2:$BW$2)+4,$BY$1=0,$BZ$1&gt;0,$CP$1&lt;$CM$1),"TOTALE",IF(AND((ROW()-2)=MAX($BV$2:$BW$2)+4,$BY$1&gt;0,$BZ$1=0,$CP$1&gt;$CM$1),"TOTALE",IF(AND((ROW()-2)=MAX($BV$2:$BW$2)+4,BX1&gt;0,BY$1=0,$BZ$1&gt;0,$CP$1&gt;$CM$1),"TOTALE",IF(AND((ROW()-2)=MAX($BV$2:$BW$2)+3,BX1&gt;0,BY$1=0,$BZ$1=0,$CP$1=$CM$1),"TOTALE ATTIVITÀ",IF(AND((ROW()-2)=MAX($BV$2:$BW$2)+4,$BX$1&gt;0,$BY$1&gt;0,$BZ$1&gt;0,$CP$1=$CM$1),"TOTALE",IF(AND((ROW()-2)=MAX($BV$2:$BW$2)+3,$BX$1&gt;0,$BY$1=0,$BZ$1&gt;0,$CP$1=$CM$1),"TOTALE",IF(AND((ROW()-2)=MAX($BV$2:$BW$2)+3,$BX$1&gt;0,$BY$1&gt;0,$BZ$1=0,$CP$1=$CM$1),"TOTALE",IF(AND((ROW()-2)=MAX($BV$2:$BW$2)+4,$BX$1&gt;0,$BY$1&gt;0,$BZ$1&gt;0,$CP$1&lt;$CM$1),"TOTALE",IF(AND((ROW()-2)=MAX($BV$2:$BW$2)+4,$BY$1=0,$BZ$1=0,$CP$1&lt;$CM$1),"TOTALE",IF(AND((ROW()-2)=MAX($BV$2:$BW$2)+5,$BY$1&gt;0,$BZ$1&gt;0,$CP$1&gt;$CM$1),"TOTALE",IF(AND((ROW()-2)=MAX($BV$2:$BW$2)+3,$BY$1=0,$BZ$1=0,$CP$1=0,$CM$1=0),"TOTALE",IF(AND((ROW()-2)=MAX($BV$2:$BW$2)+4,$BY$1&gt;0,$BZ$1&gt;0,$CP$1&gt;0,$CM$1&gt;0,$CP$1=$CM$1),"TOTALE","")))))))))))))))))))))))),"SALDO ECONOMICO NEGATIVO","PERDITA D'ESERCIZIO"),IF(OR($BB$1&lt;&gt;$BD$1,$BC$1&lt;&gt;$BE$1,$DS$231&lt;&gt;$DT$231,$DS$232&lt;&gt;$DT$232,$DU$231&lt;&gt;$DV$231),"",IF($BX$1=0,"",IF(AND((ROW()-2)=MAX($BV$2:$BW$2)+1,OR($BY$1&gt;0,$BZ$1&gt;0,$CP$1&gt;$CM$1)),"TOTALE ATTIVITÀ",IF(AND((ROW()-2)=MAX($BV$2:$BW$2)+2,$BY$1&gt;0),"PRELEVAMENTI EXTRAGESTIONE",IF(AND((ROW()-2)=MAX($BV$2:$BW$2)+2,$BY$1=0,$BZ$1&gt;0),"TITOLARE C/RITENUTE SUBITE",IF(AND((ROW()-2)=MAX($BV$2:$BW$2)+3,$BY$1&gt;0,$BZ$1&gt;0),"TITOLARE C/RITENUTE SUBITE",IF(AND((ROW()-2)=MAX($BV$2:$BW$2)+2,$BY$1=0,$BZ$1=0,$CP$1&gt;$CM$1),"SALDO ECONOMICO NEGATIVO",IF(AND((ROW()-2)=MAX($BV$2:$BW$2)+3,$BY$1&gt;0,$BZ$1=0,$CP$1&gt;$CM$1),"SALDO ECONOMICO NEGATIVO",IF(AND((ROW()-2)=MAX($BV$2:$BW$2)+3,$BY$1=0,$BZ$1&gt;0,$CP$1&gt;$CM$1),"SALDO ECONOMICO NEGATIVO",IF(AND((ROW()-2)=MAX($BV$2:$BW$2)+4,$BY$1&gt;0,$BZ$1&gt;0,$CP$1&gt;$CM$1),"SALDO ECONOMICO NEGATIVO",IF(AND((ROW()-2)=MAX($BV$2:$BW$2)+3,$BY$1=0,$BZ$1=0,$CP$1&gt;$CM$1),"TOTALE",IF(AND((ROW()-2)=MAX($BV$2:$BW$2)+4,$BY$1&gt;0,$BZ$1=0,$CP$1&lt;$CM$1),"TOTALE",IF(AND((ROW()-2)=MAX($BV$2:$BW$2)+4,$BY$1=0,$BZ$1&gt;0,$CP$1&lt;$CM$1),"TOTALE",IF(AND((ROW()-2)=MAX($BV$2:$BW$2)+4,$BY$1&gt;0,$BZ$1=0,$CP$1&gt;$CM$1),"TOTALE",IF(AND((ROW()-2)=MAX($BV$2:$BW$2)+4,BX1&gt;0,BY$1=0,$BZ$1&gt;0,$CP$1&gt;$CM$1),"TOTALE",IF(AND((ROW()-2)=MAX($BV$2:$BW$2)+3,BX1&gt;0,BY$1=0,$BZ$1=0,$CP$1=$CM$1),"TOTALE ATTIVITÀ",IF(AND((ROW()-2)=MAX($BV$2:$BW$2)+4,$BX$1&gt;0,$BY$1&gt;0,$BZ$1&gt;0,$CP$1=$CM$1),"TOTALE",IF(AND((ROW()-2)=MAX($BV$2:$BW$2)+3,$BX$1&gt;0,$BY$1=0,$BZ$1&gt;0,$CP$1=$CM$1),"TOTALE",IF(AND((ROW()-2)=MAX($BV$2:$BW$2)+3,$BX$1&gt;0,$BY$1&gt;0,$BZ$1=0,$CP$1=$CM$1),"TOTALE",IF(AND((ROW()-2)=MAX($BV$2:$BW$2)+4,$BX$1&gt;0,$BY$1&gt;0,$BZ$1&gt;0,$CP$1&lt;$CM$1),"TOTALE",IF(AND((ROW()-2)=MAX($BV$2:$BW$2)+4,$BY$1=0,$BZ$1=0,$CP$1&lt;$CM$1),"TOTALE",IF(AND((ROW()-2)=MAX($BV$2:$BW$2)+5,$BY$1&gt;0,$BZ$1&gt;0,$CP$1&gt;$CM$1),"TOTALE",IF(AND((ROW()-2)=MAX($BV$2:$BW$2)+3,$BY$1=0,$BZ$1=0,$CP$1=0,$CM$1=0),"TOTALE",IF(AND((ROW()-2)=MAX($BV$2:$BW$2)+4,$BY$1&gt;0,$BZ$1&gt;0,$CP$1&gt;0,$CM$1&gt;0,$CP$1=$CM$1),"TOTALE",""))))))))))))))))))))))))))</f>
        <v/>
      </c>
      <c r="BZ3" s="259" t="str">
        <f ca="1">IFERROR(IF(OR($DS$231&lt;&gt;$DT$231,$DU$231&lt;&gt;$DV$231,$EO$25&lt;&gt;0,$EO$26&lt;&gt;0),INDEX($T$3:$V$220,MATCH(ROWS($BV$3:BV3),$V$3:$V$220,0),1),CONCATENATE(BV3,BY3)),"")</f>
        <v/>
      </c>
      <c r="CA3" s="259">
        <f ca="1">IFERROR(INDEX($BV$3:$BW$225,MATCH(BZ3,$BV$3:$BV$225,0),2),INDEX($BL$3:$BW$225,MATCH(BZ3,$BL$3:$BL$225,0),2))</f>
        <v>0</v>
      </c>
      <c r="CB3" s="259" t="str">
        <f ca="1">IFERROR(IF(OR($BB$1&lt;&gt;$BD$1,$BC$1&lt;&gt;$BE$1,$DS$231&lt;&gt;$DT$231,$DU$231&lt;&gt;$DV$231,$EO$25&lt;&gt;0,$EO$26&lt;&gt;0),INDEX($BI$3:$BK$220,MATCH(ROWS($CB$3:CB3),$BK$3:$BK$220,0),1),CONCATENATE(BQ3,BX3)),"")</f>
        <v/>
      </c>
      <c r="CC3" s="259" t="str">
        <f ca="1">INDEX($BQ$3:$BR$225,MATCH(CB3,$BQ$3:$BQ$225,0),2)</f>
        <v/>
      </c>
      <c r="CD3" s="259" t="str">
        <f t="shared" ref="CD3:CD66" si="6">IF(INDEX(PIANO_DEI_CONTI,MATCH(AA3,DENOMINAZIONE,0),6)="SE DARE",AA3,"")</f>
        <v/>
      </c>
      <c r="CE3" s="259">
        <f ca="1">IF(IFERROR(MATCH(CD3,DENOMINAZIONE_GIORNALE,0),0)&gt;0,MAX(CE$2:CE2)+1,0)</f>
        <v>0</v>
      </c>
      <c r="CF3" s="259" t="str">
        <f ca="1">IFERROR(INDEX($CD$3:$CE$220,MATCH(ROWS($CF$3:CF3),$CE$3:$CE$220,0),1),"")</f>
        <v/>
      </c>
      <c r="CG3" s="259">
        <f t="shared" ref="CG3:CG66" ca="1" si="7">IF(AND(INDEX(PIANO_DEI_CONTI,MATCH(CF3,DENOMINAZIONE,0),6)="SE DARE",SUMIFS(DARE,DENOMINAZIONE_GIORNALE,CF3)&gt;SUMIFS(AVERE,DENOMINAZIONE_GIORNALE,CF3)),SUMIFS(DARE,DENOMINAZIONE_GIORNALE,CF3)-SUMIFS(AVERE,DENOMINAZIONE_GIORNALE,CF3),0)</f>
        <v>0</v>
      </c>
      <c r="CH3" s="259" t="str">
        <f ca="1">IF(IF(CG3&lt;&gt;0,MAX($CH$2:CH2)+1,0)=0,"",IF(CG3&lt;&gt;"",MAX($CH$2:CH2)+1,0))</f>
        <v/>
      </c>
      <c r="CI3" s="259" t="str">
        <f ca="1">IFERROR(INDEX($CF$3:$CG$220,MATCH(ROWS($CI$3:CI3),$CH$3:$CH$220,0),1),"")</f>
        <v/>
      </c>
      <c r="CJ3" s="259" t="str">
        <f ca="1">IFERROR(IF(INDEX($CF$3:$CG$220,MATCH(CI3,$CF$3:$CF$220,0),2)=0,"",INDEX($CF$3:$CG$220,MATCH(CI3,$CF$3:$CF$220,0),2)),"")</f>
        <v/>
      </c>
      <c r="CK3" s="259" t="str">
        <f t="shared" ref="CK3:CK66" si="8">IF(INDEX(PIANO_DEI_CONTI,MATCH(AA3,DENOMINAZIONE,0),6)="SE AVERE",AA3,"")</f>
        <v/>
      </c>
      <c r="CL3" s="259">
        <f ca="1">IF(IFERROR(MATCH(CK3,DENOMINAZIONE_GIORNALE,0),0)&gt;0,MAX(CL$2:CL2)+1,0)</f>
        <v>0</v>
      </c>
      <c r="CM3" s="259" t="str">
        <f ca="1">IFERROR(INDEX($CK$3:$CL$220,MATCH(ROWS($CM$3:CM3),$CL$3:$CL$220,0),1),"")</f>
        <v/>
      </c>
      <c r="CN3" s="259" t="str">
        <f t="shared" ref="CN3:CN66" ca="1" si="9">IF(AND(INDEX(PIANO_DEI_CONTI,MATCH(CM3,DENOMINAZIONE,0),6)="SE AVERE",SUMIFS(AVERE,DENOMINAZIONE_GIORNALE,CM3,DATA,"&gt;="&amp;$CX$1)&gt;SUMIFS(DARE,DENOMINAZIONE_GIORNALE,CM3)),SUMIFS(AVERE,DENOMINAZIONE_GIORNALE,CM3)-SUMIFS(DARE,DENOMINAZIONE_GIORNALE,CM3),"")</f>
        <v/>
      </c>
      <c r="CO3" s="259">
        <f ca="1">IF(IF(CN3&lt;&gt;0,MAX($CO$2:CO2)+1,0)=0,"",IF(CN3&lt;&gt;"",MAX($CO$2:CO2)+1,0))</f>
        <v>0</v>
      </c>
      <c r="CP3" s="259" t="str">
        <f ca="1">IFERROR(INDEX($CM$3:$CN$220,MATCH(ROWS(CP$3:CP3),$CO$3:$CO$220,0),1),"")</f>
        <v/>
      </c>
      <c r="CQ3" s="259" t="str">
        <f ca="1">IFERROR(INDEX($CM$3:$CN$220,MATCH(ROWS(CQ$3:CQ3),$CO$3:$CO$220,0),2),"")</f>
        <v/>
      </c>
      <c r="CR3" s="259" t="str">
        <f t="shared" ref="CR3:CR34" ca="1" si="10">IF($EV$1&gt;0,"",IF($EO$1=TRUE,SUBSTITUTE(IF(OR($BX$1=0,$BB$1&lt;&gt;$BD$1,$BC$1&lt;&gt;$BE$1,$DS$232&lt;&gt;$DT$232,$EO$25&lt;&gt;0,$EO$26&lt;&gt;0),"",IFERROR(IF(AND(MATCH($BP$1,DENOMINAZIONE_GIORNALE,0)&gt;0,$DU$231=$DV$231,$DS$231=$DT$231),IF(AND($CP$1&gt;$CM$1,$CP$2&gt;$CM$2,(ROW()-2)=$CP$2+3),"TOTALE COSTI",IF(AND($CP$1&gt;$CM$1,$CM$2&gt;=$CP$2,(ROW()-2)=$CM$2+3),"TOTALE COSTI",IF(AND($CP$1&lt;$CM$1,$CP$2&gt;=$CM$2,(ROW()-2)=$CP$2+1),"TOTALE COSTI",IF(AND($CP$1&lt;$CM$1,$CP$2&lt;$CM$2,ROW()-2=$CM$2+1),"TOTALE COSTI",IF(AND($CP$1=$CM$1,$DU$231=$DV$231,OR($CM$2&gt;0,$CP$2&gt;0),(ROW()-2)=MAX($CP$2,$CM$2)+1),"TOTALE COSTI",IF(AND($CM$1&gt;$CP$1,$CP$2&gt;$CM$2,(ROW()-2)=$CP$2+2),"SALDO ECONOMICO POSITIVO",IF(AND($CM$1&gt;$CP$1,$CM$2&gt;=$CP$2,(ROW()-2)=$CM$2+2),"SALDO ECONOMICO POSITIVO",IF(AND($CM$1&gt;$CP$1,$CP$2&gt;$CM$2,(ROW()-2)=$CP$2+3),"TOTALE A PAREGGIO",IF(AND($CM$1&gt;$CP$1,$CM$2&gt;=$CP$2,(ROW()-2)=$CM$2+3),"TOTALE A PAREGGIO",""))))))))),""),"")),"SALDO ECONOMICO POSITIVO","UTILE D'ESERCIZIO"),IF(OR($BX$1=0,$BB$1&lt;&gt;$BD$1,$BC$1&lt;&gt;$BE$1,$DS$232&lt;&gt;$DT$232,$EO$25&lt;&gt;0,$EO$26&lt;&gt;0),"",IFERROR(IF(AND(MATCH($BP$1,DENOMINAZIONE_GIORNALE,0)&gt;0,$DU$231=$DV$231,$DS$231=$DT$231),IF(AND($CP$1&gt;$CM$1,$CP$2&gt;$CM$2,(ROW()-2)=$CP$2+3),"TOTALE COSTI",IF(AND($CP$1&gt;$CM$1,$CM$2&gt;=$CP$2,(ROW()-2)=$CM$2+3),"TOTALE COSTI",IF(AND($CP$1&lt;$CM$1,$CP$2&gt;=$CM$2,(ROW()-2)=$CP$2+1),"TOTALE COSTI",IF(AND($CP$1&lt;$CM$1,$CP$2&lt;$CM$2,ROW()-2=$CM$2+1),"TOTALE COSTI",IF(AND($CP$1=$CM$1,$DU$231=$DV$231,OR($CM$2&gt;0,$CP$2&gt;0),(ROW()-2)=MAX($CP$2,$CM$2)+1),"TOTALE COSTI",IF(AND($CM$1&gt;$CP$1,$CP$2&gt;$CM$2,(ROW()-2)=$CP$2+2),"SALDO ECONOMICO POSITIVO",IF(AND($CM$1&gt;$CP$1,$CM$2&gt;=$CP$2,(ROW()-2)=$CM$2+2),"SALDO ECONOMICO POSITIVO",IF(AND($CM$1&gt;$CP$1,$CP$2&gt;$CM$2,(ROW()-2)=$CP$2+3),"TOTALE A PAREGGIO",IF(AND($CM$1&gt;$CP$1,$CM$2&gt;=$CP$2,(ROW()-2)=$CM$2+3),"TOTALE A PAREGGIO",""))))))))),""),""))))</f>
        <v/>
      </c>
      <c r="CS3" s="259">
        <f t="shared" ref="CS3:CS66" ca="1" si="11">SUMIFS(DARE,DENOMINAZIONE_GIORNALE,AA3,DARE,"&gt;"&amp;0)</f>
        <v>0</v>
      </c>
      <c r="CT3" s="259">
        <f t="shared" ref="CT3:CT66" ca="1" si="12">SUMIFS(AVERE,DENOMINAZIONE_GIORNALE,AA3,AVERE,"&gt;"&amp;0)</f>
        <v>0</v>
      </c>
      <c r="CU3" s="259">
        <f ca="1">IF(OR(CS3&gt;0,CT3&gt;0),MAX($CU$2:CU2)+1,0)</f>
        <v>0</v>
      </c>
      <c r="CV3" s="259" t="str">
        <f ca="1">IFERROR(INDEX(PIANO_DEI_CONTI,MATCH(ROWS($CV$3:CV3),$CU$3:$CU$200,0),2),"")</f>
        <v/>
      </c>
      <c r="CW3" s="259">
        <f ca="1">IFERROR(IF(CV3&lt;&gt;"",MAX($CW$2:CW2)+1,0),0)</f>
        <v>0</v>
      </c>
      <c r="CX3" s="259">
        <f ca="1">$EA$3</f>
        <v>1</v>
      </c>
      <c r="CY3" s="259" t="str">
        <f t="shared" ref="CY3:CY19" ca="1" si="13">IF(ISERROR(INDEX($CV$3:$CX$2300,MATCH(CX3,$CW$3:$CW$2300,0),1)),"MASTRO",INDEX($CV$3:$CX$2300,MATCH(CX3,$CW$3:$CW$2300,0),1))</f>
        <v>MASTRO</v>
      </c>
      <c r="DA3" s="259" t="str">
        <f>IF(CY2="MASTRO","Conto n.","")</f>
        <v>Conto n.</v>
      </c>
      <c r="DB3" s="259" t="str">
        <f ca="1">IF(CY3=0,"",INDEX(PIANO_DEI_CONTI,MATCH(DC3,DENOMINAZIONE,0),1))</f>
        <v/>
      </c>
      <c r="DC3" s="259" t="str">
        <f ca="1">IF(OR(CY3=0,CY3="mastro"),"",CY3)</f>
        <v/>
      </c>
      <c r="DD3" s="259" t="str">
        <f ca="1">IF(AND($DA$2=TRUE,OR(INDEX(PIANO_DEI_CONTI,MATCH($DC3,DENOMINAZIONE,0),4)="A",INDEX(PIANO_DEI_CONTI,MATCH($DC3,DENOMINAZIONE,0),4)="D/A"),SUMIFS(AVERE,DENOMINAZIONE_GIORNALE,"="&amp;$DC3)&gt;SUMIFS(DARE,DENOMINAZIONE_GIORNALE,"="&amp;$DC3)),CONCATENATE("s ",FIXED(ABS(SUMIFS(AVERE,DENOMINAZIONE_GIORNALE,"="&amp;$DC3)-SUMIFS(DARE,DENOMINAZIONE_GIORNALE,"="&amp;$DC3)),2)),"")</f>
        <v/>
      </c>
      <c r="DE3" s="259" t="str">
        <f ca="1">IF(AND($DA$2=TRUE,OR(INDEX(PIANO_DEI_CONTI,MATCH($DC3,DENOMINAZIONE,0),4)="D",INDEX(PIANO_DEI_CONTI,MATCH($DC3,DENOMINAZIONE,0),4)="D/A"),SUMIFS(DARE,DENOMINAZIONE_GIORNALE,"="&amp;$DC3)&gt;SUMIFS(AVERE,DENOMINAZIONE_GIORNALE,"="&amp;$DC3)),CONCATENATE("s ",FIXED(ABS(SUMIFS(DARE,DENOMINAZIONE_GIORNALE,"="&amp;$DC3)-SUMIFS(AVERE,DENOMINAZIONE_GIORNALE,"="&amp;$DC3)),2)),"")</f>
        <v/>
      </c>
      <c r="DF3" s="259">
        <f ca="1">IF(AND(CX3=$DE$2,$DF$2&lt;&gt;0),0,IF(AND(DB3&lt;&gt;"",OR(DB2&lt;&gt;"",DB4&lt;&gt;"")),MAX($DF$2:DF2)+1,0))</f>
        <v>0</v>
      </c>
      <c r="DG3" s="259" t="str">
        <f>IF(OR(VALORI_INIZIALI!E8="",AND(VALORI_INIZIALI!E8&lt;&gt;"",VALORI_INIZIALI!H8=0,VALORI_INIZIALI!I8=0)),"",IFERROR(INDEX(PIANO_DEI_CONTI,MATCH(BB3,DENOMINAZIONE,0),1),0))</f>
        <v/>
      </c>
      <c r="DH3" s="259">
        <f ca="1">IFERROR(IF($J$1=1,IF(INDEX(PIANO_DEI_CONTI,MATCH($K3,DENOMINAZIONE,0),5)=$DF$1,MAX($DH$2:DH2)+1,0),IF($J$1=2,IF(INDEX(PIANO_DEI_CONTI,MATCH($K3,DENOMINAZIONE,0),7)=$DF$1,MAX($DH$2:DH2)+1,0))),0)</f>
        <v>0</v>
      </c>
      <c r="DI3" s="259">
        <f ca="1">IFERROR(INDEX($K$3:$K$220,MATCH(ROWS($DI$3:DI3),$DH$3:$DH$220,0),1),0)</f>
        <v>0</v>
      </c>
      <c r="DJ3" s="259">
        <f t="shared" ref="DJ3:DJ66" ca="1" si="14">IF(IFERROR(MATCH(AA3,DENOMINAZIONE_GIORNALE,0),0)&lt;&gt;0,ROW()-2,0)</f>
        <v>0</v>
      </c>
      <c r="DK3" s="259">
        <f ca="1">IF(DJ3=0,0,MAX(DK$2:DK2)+1)</f>
        <v>0</v>
      </c>
      <c r="DL3" s="259">
        <f ca="1">IFERROR(INDEX(PIANO_DEI_CONTI,MATCH(ROWS(DL$3:DL3),$DK$3:DK230,0),2),0)</f>
        <v>0</v>
      </c>
      <c r="DM3" s="259">
        <f t="shared" ref="DM3:DM66" ca="1" si="15">IFERROR(IF(AND(INDEX(PIANO_DEI_CONTI,MATCH($DL3,DENOMINAZIONE,0),4)="D",SUMIFS(DARE,DENOMINAZIONE_GIORNALE,$DL3)&gt;=SUMIFS(AVERE,DENOMINAZIONE_GIORNALE,$DL3)),SUMIFS(DARE,DENOMINAZIONE_GIORNALE,$DL3),IF(AND(INDEX(PIANO_DEI_CONTI,MATCH($DL3,DENOMINAZIONE,0),4)="A",SUMIFS(AVERE,DENOMINAZIONE_GIORNALE,$DL3)&gt;=SUMIFS(DARE,DENOMINAZIONE_GIORNALE,$DL3)),SUMIFS(DARE,DENOMINAZIONE_GIORNALE,$DL3),IF(INDEX(PIANO_DEI_CONTI,MATCH($DL3,DENOMINAZIONE,0),4)="D/A",SUMIFS(DARE,DENOMINAZIONE_GIORNALE,$DL3),0))),0)</f>
        <v>0</v>
      </c>
      <c r="DN3" s="259">
        <f t="shared" ref="DN3:DN66" ca="1" si="16">IFERROR(IF(AND(INDEX(PIANO_DEI_CONTI,MATCH($DL3,DENOMINAZIONE,0),4)="D",SUMIFS(DARE,DENOMINAZIONE_GIORNALE,$DL3)&gt;=SUMIFS(AVERE,DENOMINAZIONE_GIORNALE,$DL3)),SUMIFS(AVERE,DENOMINAZIONE_GIORNALE,$DL3),IF(AND(INDEX(PIANO_DEI_CONTI,MATCH($DL3,DENOMINAZIONE,0),4)="A",SUMIFS(AVERE,DENOMINAZIONE_GIORNALE,$DL3)&gt;=SUMIFS(DARE,DENOMINAZIONE_GIORNALE,$DL3)),SUMIFS(AVERE,DENOMINAZIONE_GIORNALE,$DL3),IF(INDEX(PIANO_DEI_CONTI,MATCH($DL3,DENOMINAZIONE,0),4)="D/A",SUMIFS(AVERE,DENOMINAZIONE_GIORNALE,$DL3),0))),0)</f>
        <v>0</v>
      </c>
      <c r="DO3" s="259">
        <f ca="1">IF(AND(DL3&lt;&gt;"",$DM3&gt;$DN3,OR($DM3&gt;0,$DN3&gt;0)),$DM3-$DN3,0)</f>
        <v>0</v>
      </c>
      <c r="DP3" s="259">
        <f ca="1">IF(AND(DL3&lt;&gt;"",$DM3&lt;$DN3,OR($DM3&gt;0,$DN3&gt;0)),$DN3-$DM3,0)</f>
        <v>0</v>
      </c>
      <c r="DQ3" s="259">
        <f ca="1">IF(OR($DQ$1="TOTALI",$DQ$1="TOTALI ED ECCEDENZE"),IF(OR(DM3&gt;0,DN3&gt;0),MAX(DQ$2:DQ2)+1,0),IF($DQ$1="ECCEDENZE",IF(OR(DO3&gt;0,DP3&gt;0),MAX(DQ$2:DQ2)+1,0),""))</f>
        <v>0</v>
      </c>
      <c r="DR3" s="259" t="str">
        <f ca="1">IFERROR(INDEX($DL$3:$DQ$230,MATCH(ROWS(DR$3:DR3),$DQ$3:$DQ$230,0),1),"")</f>
        <v/>
      </c>
      <c r="DS3" s="259" t="str">
        <f ca="1">IFERROR(IF($DQ$1="eccedenze",INDEX($DL$3:$DP$230,MATCH($DR3,$DL$3:$DL$230,0),4),IF(OR($DQ$1="totali",$DQ$1="TOTALI ED ECCEDENZE"),INDEX($DL$3:$DP$230,MATCH($DR3,$DL$3:$DL$230,0),2),"")),"")</f>
        <v/>
      </c>
      <c r="DT3" s="259" t="str">
        <f ca="1">IFERROR(IF($DQ$1="eccedenze",INDEX($DL$3:$DP$230,MATCH($DR3,$DL$3:$DL$230,0),5),IF(OR($DQ$1="totali",$DQ$1="TOTALI ED ECCEDENZE"),INDEX($DL$3:$DP$230,MATCH($DR3,$DL$3:$DL$230,0),3),"")),"")</f>
        <v/>
      </c>
      <c r="DU3" s="259" t="str">
        <f ca="1">IF(AND($DR3&lt;&gt;"",$DS3&gt;$DT3,$DQ$1="TOTALI ED ECCEDENZE",OR($DS3&gt;0,$DT3&gt;0)),$DS3-$DT3,IF(DS3=DT3,"",""))</f>
        <v/>
      </c>
      <c r="DV3" s="259" t="str">
        <f ca="1">IF(AND($DR3&lt;&gt;"",$DS3&lt;$DT3,$DQ$1="TOTALI ED ECCEDENZE",OR($DS3&gt;0,$DT3&gt;0)),$DT3-$DS3,IF(DT3=DS3,"",""))</f>
        <v/>
      </c>
      <c r="DW3" s="259">
        <f ca="1">IF(OR(AND(DR3&lt;&gt;"",$DQ$1="TOTALI ED ECCEDENZE"),AND(DX3="TOTALI",$DQ$1="TOTALI ED ECCEDENZE")),1,0)</f>
        <v>0</v>
      </c>
      <c r="DX3" s="259" t="str">
        <f ca="1">IF($EV$1&gt;0,"",IF((ROW()-2)=$DW$1+1,IF(AND(MATCH("PATRIMONIO NETTO",$DR$3:$DR$230,0)&gt;0,$BB$1=$BD$1,$BC$1=$BE$1,$DS$231=$DT$231,$EO$25=0,$EO$26=0),"TOTALI",""),""))</f>
        <v/>
      </c>
      <c r="DY3" s="259" t="str">
        <f ca="1">IF($DX3="TOTALI",$DS$231,"")</f>
        <v/>
      </c>
      <c r="DZ3" s="259" t="str">
        <f ca="1">IF(IF($DX3="TOTALI",$DU$231,"")=0,"",IF($DX3="TOTALI",$DU$231,""))</f>
        <v/>
      </c>
      <c r="EA3" s="259">
        <f ca="1">SUM(JJ3,JL3)</f>
        <v>1</v>
      </c>
      <c r="EB3" s="259" t="s">
        <v>348</v>
      </c>
      <c r="ED3" s="259">
        <f t="shared" ref="ED3:ED66" ca="1" si="17">IFERROR(INDEX(PIANO_DEI_CONTI,MATCH(BB3,DENOMINAZIONE,0),5),"")</f>
        <v>0</v>
      </c>
      <c r="EE3" s="259" t="str">
        <f t="shared" ref="EE3:EE34" ca="1" si="18">IF($EV$1&gt;0,"",IF(AND(IF(OR($BX$1=0,$BB$1&lt;&gt;$BD$1,$BC$1&lt;&gt;$BE$1,$DS$232&lt;&gt;$DT$232,$EO$25&lt;&gt;0,$EO$26&lt;&gt;0)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RICAVI",IF(AND($DU$231=$DV$231,$CP$1=$CM$1,OR($CM$2&gt;0,$CP$2&gt;0),(ROW()-2)=MAX($CM$2,$CP$2)+1),"TOTALE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RICAVI","")))))))))),""),""))="SALDO ECONOMICO NEGATIVO",$EO$1=TRUE),SUBSTITUTE(IF($DS$232&lt;&gt;$DT$232,"",IFERROR(IF(AND(MATCH($BP$1,DENOMINAZIONE_GIORNALE,0)&gt;0,$DU$231=$DV$231,$DS$231=$DT$231),IF(AND($CP$1&gt;$CM$1,$CP$2&gt;$CM$2,(ROW()-2)=$CP$2+3),"TOTALE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RICAVI",IF(AND($DU$231=$DV$231,$CP$1=$CM$1,OR($CM$2&gt;0,$CP$2&gt;0),(ROW()-2)=MAX($CP$2,$CM$2)+1),"TOTALE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RICAVI","")))))))))),""),"")),"SALDO ECONOMICO NEGATIVO","PERDITA D'ESERCIZIO"),IF(OR($BX$1=0,$BB$1&lt;&gt;$BD$1,$BC$1&lt;&gt;$BE$1,$DS$232&lt;&gt;$DT$232,$EO$25&lt;&gt;0,$EO$26&lt;&gt;0),"",IFERROR(IF(AND(MATCH($BP$1,DENOMINAZIONE_GIORNALE,0)&gt;0,$DU$231=$DV$231,$DS$231=$DT$231),IF(AND($CP$1&gt;$CM$1,$CP$2&gt;$CM$2,(ROW()-2)=$CP$2+3),"TOTALE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RICAVI",IF(AND($DU$231=$DV$231,$CP$1=$CM$1,OR($CM$2&gt;0,$CP$2&gt;0),(ROW()-2)=MAX($CP$2,$CM$2)+1),"TOTALE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RICAVI","")))))))))),""),""))))</f>
        <v/>
      </c>
      <c r="EF3" s="259" t="str">
        <f t="shared" ref="EF3:EF66" ca="1" si="19">IF(EE3="TOTALE RICAVI",$CM$1,IF(EE3="PERDITA D'ESERCIZIO",$CP$1-$CM$1,IF(EE3="SALDO ECONOMICO NEGATIVO",$CP$1-$CM$1,IF(EE3="TOTALE A PAREGGIO",$CP$1,""))))</f>
        <v/>
      </c>
      <c r="EG3" s="259" t="str">
        <f ca="1">IF(CR3="TOTALE COSTI",$CP$1,IF(CR3="TOTALE A PAREGGIO",$CM$1,IF(CR3="SALDO ECONOMICO POSITIVO",$CM$1-$CP$1,"")))</f>
        <v/>
      </c>
      <c r="EH3" s="259" t="str">
        <f ca="1">CP3</f>
        <v/>
      </c>
      <c r="EL3" s="259">
        <f>ROW()-2</f>
        <v>1</v>
      </c>
      <c r="EM3" s="259">
        <f ca="1">IF(AND(BA3&gt;0,BA3&lt;=$EM$1),MAX($EM$2:EM2)+1,0)</f>
        <v>0</v>
      </c>
      <c r="EN3" s="259">
        <f ca="1">IF(EM3=$EL$1,(ROW()-2),0)</f>
        <v>1</v>
      </c>
      <c r="EP3" s="259" t="str">
        <f t="shared" ref="EP3:EP66" ca="1" si="20">IFERROR(INDEX(PIANO_DEI_CONTI,MATCH(EZ3,DENOMINAZIONE,0),7),"")</f>
        <v/>
      </c>
      <c r="EQ3" s="259">
        <f t="shared" ref="EQ3:EQ66" ca="1" si="21">IF(AND(EZ3&lt;&gt;0,EY3&lt;=FINE_AC),INDEX(PIANO_DEI_CONTI,MATCH(EZ3,DENOMINAZIONE,0),1),0)</f>
        <v>0</v>
      </c>
      <c r="ER3" s="259">
        <f ca="1">IF(ISNA(EQ3),MAX(ER$2:ER2)+1,0)</f>
        <v>0</v>
      </c>
      <c r="ES3" s="259" t="str">
        <f ca="1">IF(ER3&gt;=1,EZ3,"")</f>
        <v/>
      </c>
      <c r="ET3" s="259" t="str">
        <f ca="1">IFERROR(UPPER(INDEX($ER$3:$ES$500,MATCH(ROWS(ET$3:ET3),$ER$3:$ER$500,0),2)),"")</f>
        <v/>
      </c>
      <c r="EU3" s="259" t="s">
        <v>430</v>
      </c>
      <c r="EV3" s="259">
        <f ca="1">IF(FM1&gt;0,1,0)</f>
        <v>0</v>
      </c>
      <c r="EW3" s="259" t="str">
        <f ca="1">IF(AND(IFERROR(INDEX($EU$3:$EV$30,MATCH(ROWS($EX$3:EX3),$EV$3:$EV$30,0),1),"")&lt;&gt;"",EW4&lt;&gt;""),CONCATENATE(IFERROR(INDEX($EU$3:$EV$30,MATCH(ROWS($EX$3:EX3),$EV$3:$EV$30,0),1),"")," - "),IFERROR(INDEX($EU$3:$EV$30,MATCH(ROWS($EX$3:EX3),$EV$3:$EV$30,0),1),""))</f>
        <v>Il conto PATRIMONIO NETTO sia acceso</v>
      </c>
      <c r="EX3" s="259">
        <f ca="1">EX1-1</f>
        <v>0</v>
      </c>
      <c r="EY3" s="259">
        <f ca="1">INDIRECT(ADDRESS(ROW()+5,COLUMN()-151,,,"VALORI_INIZIALI"))</f>
        <v>0</v>
      </c>
      <c r="EZ3" s="259">
        <f ca="1">INDIRECT(ADDRESS(ROW()+5,COLUMN()-151,,,"VALORI_INIZIALI"))</f>
        <v>0</v>
      </c>
      <c r="FA3" s="259" t="str">
        <f ca="1">IF(AND(CONCATENATE(INDIRECT(ADDRESS(ROW()+5,6,,,"VALORI_INIZIALI")),INDIRECT(ADDRESS(ROW()+5,7,,,"VALORI_INIZIALI")))="",EZ3&lt;&gt;0),"manca la descrizione dell'operazione",CONCATENATE(INDIRECT(ADDRESS(ROW()+5,6,,,"VALORI_INIZIALI")),INDIRECT(ADDRESS(ROW()+5,7,,,"VALORI_INIZIALI"))))</f>
        <v/>
      </c>
      <c r="FB3" s="259">
        <f ca="1">IF(EZ3=0,0,ROUND(INDIRECT(ADDRESS(ROW()+5,COLUMN()-150,,,"VALORI_INIZIALI")),2))</f>
        <v>0</v>
      </c>
      <c r="FC3" s="259">
        <f ca="1">IF(EZ3=0,0,ROUND(INDIRECT(ADDRESS(ROW()+5,COLUMN()-150,,,"VALORI_INIZIALI")),2))</f>
        <v>0</v>
      </c>
      <c r="FD3" s="259">
        <f t="shared" ref="FD3:FD66" ca="1" si="22">IFERROR(INDEX(PIANO_DEI_CONTI,MATCH(EZ3,DENOMINAZIONE,0),6),"")</f>
        <v>0</v>
      </c>
      <c r="FE3" s="259" t="str">
        <f t="shared" ref="FE3:FE66" ca="1" si="23">IFERROR(IF(EZ3&lt;&gt;0,INDEX(PIANO_DEI_CONTI,MATCH(EZ3,DENOMINAZIONE,0),1),""),"")</f>
        <v/>
      </c>
      <c r="FF3" s="259" t="str">
        <f ca="1">IF(EZ3&lt;&gt;0,CONCATENATE(ROW()-2," V.I."),"")</f>
        <v/>
      </c>
      <c r="FG3" s="259" t="str">
        <f>IF(AND(MID(AE3,1,2)="SP",AA3&lt;&gt;"PATRIMONIO NETTO",AA3&lt;&gt;"TITOLARE C/RITENUTE SUBITE",AA3&lt;&gt;"PRELEVAMENTI EXTRAGESTIONE"),AA3,"")</f>
        <v>COSTI DI IMPIANTO</v>
      </c>
      <c r="FH3" s="259">
        <f t="shared" ref="FH3:FH34" ca="1" si="24">IF(AND(INDEX(PIANO_DEI_CONTI,MATCH($FG3,DENOMINAZIONE,0),4)="D",SUMIFS(dare_grezzo,den_grezzo,$FG3,data_grezzo,"&lt;"&amp;INIZIO_AC,data_grezzo,"&gt;="&amp;INIZIO_A_PC)&gt;=SUMIFS(avere_grezzo,den_grezzo,$FG3,data_grezzo,"&lt;"&amp;INIZIO_AC,data_grezzo,"&gt;="&amp;INIZIO_A_PC)),SUMIFS(dare_grezzo,den_grezzo,$FG3,data_grezzo,"&lt;"&amp;INIZIO_AC,data_grezzo,"&gt;="&amp;INIZIO_A_PC),IF(AND(INDEX(PIANO_DEI_CONTI,MATCH($FG3,DENOMINAZIONE,0),4)="A",SUMIFS(avere_grezzo,den_grezzo,$FG3,data_grezzo,"&lt;"&amp;INIZIO_AC,data_grezzo,"&gt;="&amp;INIZIO_A_PC)&gt;=SUMIFS(dare_grezzo,den_grezzo,$FG3,data_grezzo,"&lt;"&amp;INIZIO_AC,data_grezzo,"&gt;="&amp;INIZIO_A_PC)),SUMIFS(dare_grezzo,den_grezzo,$FG3,data_grezzo,"&lt;"&amp;INIZIO_AC,data_grezzo,"&gt;="&amp;INIZIO_A_PC),IF(INDEX(PIANO_DEI_CONTI,MATCH($FG3,DENOMINAZIONE,0),4)="D/A",SUMIFS(dare_grezzo,den_grezzo,$FG3,data_grezzo,"&lt;"&amp;INIZIO_AC,data_grezzo,"&gt;="&amp;INIZIO_A_PC),0)))</f>
        <v>0</v>
      </c>
      <c r="FI3" s="259">
        <f t="shared" ref="FI3:FI66" ca="1" si="25">IFERROR(IF(AND(INDEX(PIANO_DEI_CONTI,MATCH($FG3,DENOMINAZIONE,0),4)="D",SUMIFS(dare_grezzo,den_grezzo,$FG3,data_grezzo,"&lt;"&amp;INIZIO_AC,data_grezzo,"&gt;="&amp;INIZIO_A_PC)&gt;=SUMIFS(avere_grezzo,den_grezzo,$FG3,data_grezzo,"&lt;"&amp;INIZIO_AC,data_grezzo,"&gt;="&amp;INIZIO_A_PC)),SUMIFS(avere_grezzo,den_grezzo,$FG3,data_grezzo,"&lt;"&amp;INIZIO_AC,data_grezzo,"&gt;="&amp;INIZIO_A_PC),IF(AND(INDEX(PIANO_DEI_CONTI,MATCH($FG3,DENOMINAZIONE,0),4)="A",SUMIFS(avere_grezzo,den_grezzo,$FG3,data_grezzo,"&lt;"&amp;INIZIO_AC,data_grezzo,"&gt;="&amp;INIZIO_A_PC)&gt;=SUMIFS(dare_grezzo,den_grezzo,$FG3,data_grezzo,"&lt;"&amp;INIZIO_AC,data_grezzo,"&gt;="&amp;INIZIO_A_PC)),SUMIFS(avere_grezzo,den_grezzo,$FG3,data_grezzo,"&lt;"&amp;INIZIO_AC,data_grezzo,"&gt;="&amp;INIZIO_A_PC),IF(INDEX(PIANO_DEI_CONTI,MATCH($FG3,DENOMINAZIONE,0),4)="D/A",SUMIFS(avere_grezzo,den_grezzo,$FG3,data_grezzo,"&lt;"&amp;INIZIO_AC,data_grezzo,"&gt;="&amp;INIZIO_A_PC),0))),0)</f>
        <v>0</v>
      </c>
      <c r="FJ3" s="259">
        <f ca="1">IF(AND(FG3&lt;&gt;"",$FH3&gt;$FI3,OR($FH3&gt;0,$FI3&gt;0)),$FH3-$FI3,0)</f>
        <v>0</v>
      </c>
      <c r="FK3" s="259">
        <f ca="1">IF(AND($FG3&lt;&gt;"",$FI3&gt;$FH3,OR($FH3&gt;0,$FI3&gt;0)),$FI3-$FH3,0)</f>
        <v>0</v>
      </c>
      <c r="FL3" s="259">
        <f ca="1">IF(OR(FJ3&gt;0,FK3&gt;0),MAX($FL$2:FL2)+1,0)</f>
        <v>0</v>
      </c>
      <c r="FM3" s="259">
        <f t="shared" ref="FM3:FM66" ca="1" si="26">IF(AND(AC3="d",AE3="SP DARE"),SUMIFS(dare_grezzo,den_grezzo,AA3,data_grezzo,"&lt;="&amp;FINE_AC,data_grezzo,"&gt;="&amp;INIZIO_A_PC)-SUMIFS(avere_grezzo,den_grezzo,AA3,data_grezzo,"&lt;="&amp;FINE_AC,data_grezzo,"&gt;="&amp;INIZIO_A_PC),IF(AND(AC3="a",AE3="SP AVERE"),SUMIFS(avere_grezzo,den_grezzo,AA3,data_grezzo,"&lt;="&amp;FINE_AC,data_grezzo,"&gt;="&amp;INIZIO_A_PC)-SUMIFS(dare_grezzo,den_grezzo,AA3,data_grezzo,"&lt;="&amp;FINE_AC,data_grezzo,"&gt;="&amp;INIZIO_A_PC),IF(AND(AC3="d",AE3="SE DARE"),SUMIFS(dare_grezzo,den_grezzo,AA3,data_grezzo,"&lt;="&amp;FINE_AC,data_grezzo,"&gt;="&amp;INIZIO_A_PC)-SUMIFS(avere_grezzo,den_grezzo,AA3,data_grezzo,"&lt;="&amp;FINE_AC,data_grezzo,"&gt;="&amp;INIZIO_A_PC),IF(AND(AC3="a",AE3="SE AVERE"),SUMIFS(avere_grezzo,den_grezzo,AA3,data_grezzo,"&lt;="&amp;FINE_AC,data_grezzo,"&gt;="&amp;INIZIO_A_PC)-SUMIFS(dare_grezzo,den_grezzo,AA3,data_grezzo,"&lt;="&amp;FINE_AC,data_grezzo,"&gt;="&amp;INIZIO_A_PC),0))))</f>
        <v>0</v>
      </c>
      <c r="FN3" s="259">
        <f ca="1">IF(FM3&lt;0,MAX($FN$2:FN2)+1,0)</f>
        <v>0</v>
      </c>
      <c r="FO3" s="259" t="str">
        <f ca="1">IF(FM3&lt;0,AA3,"")</f>
        <v/>
      </c>
      <c r="FP3" s="259" t="str">
        <f ca="1">IFERROR(INDEX($FN$3:$FO$400,MATCH(ROWS($FP$3:FP3),$FN$3:$FN$400,0),2),"")</f>
        <v/>
      </c>
      <c r="FQ3" s="259" t="str">
        <f>IF(AE3="SE AVERE",MAX($FQ$2:FQ2)+1,"")</f>
        <v/>
      </c>
      <c r="FR3" s="259" t="str">
        <f>IF(AE3="SE DARE",MAX($FR$2:FR2)+1,"")</f>
        <v/>
      </c>
      <c r="FS3" s="259">
        <f>IF(AND(AE3="SP DARE",AA3&lt;&gt;$FS$1,AA3&lt;&gt;$FT$1),MAX($FS$2:FS2)+1,IF(AND(GQ3="SP DARE",AA3&lt;&gt;$FS$1,AA3&lt;&gt;$FT$1),MAX($FS$2:FS2)+1,""))</f>
        <v>90</v>
      </c>
      <c r="FT3" s="259" t="str">
        <f ca="1">IF(AND(AE3="SP AVERE",AA3&lt;&gt;$FU$1),MAX($FT$2:FT2)+1,IF(AND(GQ3="SP AVERE",AA3&lt;&gt;$FU$1),MAX($FT$2:FT2)+1,""))</f>
        <v/>
      </c>
      <c r="FU3" s="259">
        <f ca="1">SUM(FQ3:FT3)</f>
        <v>90</v>
      </c>
      <c r="FV3" s="259" t="str">
        <f>AA3</f>
        <v>COSTI DI IMPIANTO</v>
      </c>
      <c r="FW3" s="259" t="str">
        <f ca="1">IFERROR(INDEX($FU$3:$FV$500,MATCH(ROWS($FW$3:FW3),$FU$3:$FU$500,0),2),0)</f>
        <v>MERCI C/VENDITE</v>
      </c>
      <c r="FX3" s="259">
        <f ca="1">IF(FW3&lt;&gt;0,ROW()-2,0)</f>
        <v>1</v>
      </c>
      <c r="FY3" s="259">
        <f ca="1">IF(AND(ROW()&lt;=$FX$1,FX3=0),ROW()-2,0)</f>
        <v>0</v>
      </c>
      <c r="FZ3" s="259">
        <f ca="1">IF(FY3&gt;0,MAX($FZ$2:FZ2)+1,0)</f>
        <v>0</v>
      </c>
      <c r="GA3" s="259">
        <f ca="1">IFERROR(INDEX($FY$3:$FZ$500,MATCH(ROWS($GA$3:GA3),$FZ$3:$FZ$500,0),1),0)</f>
        <v>20</v>
      </c>
      <c r="GB3" s="259" t="s">
        <v>205</v>
      </c>
      <c r="GC3" s="259">
        <f ca="1">FX3+FY3</f>
        <v>1</v>
      </c>
      <c r="GD3" s="259" t="str">
        <f ca="1">IFERROR(IF(FX3&gt;0,FW3,INDEX($GA$3:$GB$400,MATCH(ROW()-2,$GA$3:$GA$400,0),2)),0)</f>
        <v>MERCI C/VENDITE</v>
      </c>
      <c r="GF3" s="259">
        <f ca="1">CM1</f>
        <v>0</v>
      </c>
      <c r="GG3" s="259">
        <f t="shared" ref="GG3:GG67" ca="1" si="27">IFERROR(INDEX($GA$3:$GF$400,MATCH(ROW()-2,$GA$3:$GA$400,0),5),0)</f>
        <v>0</v>
      </c>
      <c r="GH3" s="259">
        <f ca="1">IFERROR(INDEX($GA$3:$GF$400,MATCH(ROW()-2,$GA$3:$GA$400,0),6),0)</f>
        <v>0</v>
      </c>
      <c r="GI3" s="259">
        <f ca="1">IFERROR(INDEX($DL$3:$DP$400,MATCH($FW3,$DL$3:$DL$400,0),5),0)</f>
        <v>0</v>
      </c>
      <c r="GJ3" s="259">
        <f ca="1">IFERROR(INDEX($DL$3:$DP$400,MATCH($FW3,$DL$3:$DL$400,0),4),0)</f>
        <v>0</v>
      </c>
      <c r="GK3" s="259">
        <f ca="1">GG3+GI3</f>
        <v>0</v>
      </c>
      <c r="GL3" s="259">
        <f ca="1">GH3+GJ3</f>
        <v>0</v>
      </c>
      <c r="GM3" s="259">
        <f ca="1">IF(OR(GK3&gt;0,GL3&gt;0),MAX($GM$2:GM2)+1,0)</f>
        <v>0</v>
      </c>
      <c r="GN3" s="259" t="str">
        <f ca="1">IFERROR(INDEX($GD$3:$GM$400,MATCH(ROWS($GN$3:GN3),$GM$3:$GM$400,0),1),"")</f>
        <v/>
      </c>
      <c r="GO3" s="259" t="str">
        <f ca="1">IFERROR(INDEX($GD$3:$GM$400,MATCH(ROWS($GO$3:GO3),$GM$3:$GM$400,0),8),"")</f>
        <v/>
      </c>
      <c r="GP3" s="259" t="str">
        <f ca="1">IFERROR(INDEX($GD$3:$GM$400,MATCH(ROWS($GP$3:GP3),$GM$3:$GM$400,0),9),"")</f>
        <v/>
      </c>
      <c r="GQ3" s="259">
        <f t="shared" ref="GQ3:GQ66" ca="1" si="28">IF(AND(AE3="sp dare/avere",SUMIFS(dare_grezzo,den_grezzo,"="&amp;AA3,data_grezzo,"&gt;="&amp;INIZIO_A_PC,data_grezzo,"&lt;="&amp;FINE_AC)&gt;SUMIFS(avere_grezzo,den_grezzo,"="&amp;AA3,data_grezzo,"&gt;="&amp;INIZIO_A_PC,data_grezzo,"&lt;="&amp;FINE_AC)),"SP DARE",IF(AND(AE3="sp dare/avere",SUMIFS(dare_grezzo,den_grezzo,"="&amp;AA3,data_grezzo,"&gt;="&amp;INIZIO_A_PC,data_grezzo,"&lt;="&amp;FINE_AC)&lt;SUMIFS(avere_grezzo,den_grezzo,"="&amp;AA3,data_grezzo,"&gt;="&amp;INIZIO_A_PC,data_grezzo,"&lt;="&amp;FINE_AC)),"SP AVERE",0))</f>
        <v>0</v>
      </c>
      <c r="GR3" s="259">
        <f ca="1">IF(AND(FQ3&gt;0,ROW()=FU3),"epilogo a Conto economico",0)</f>
        <v>0</v>
      </c>
      <c r="GS3" s="259" t="str">
        <f>IF(AND(ROW()-2&gt;=$GC$1,ROW()-2&lt;=$GK$1),"epilogo a Conto economico",IF(AND(ROW()-2&gt;=$GD$1,ROW()-2&lt;=$GL$1),"epilogo a Conto economico",IF(AND(ROW()-2&gt;=$GE$1,ROW()-2&lt;=$GN$1),"chiusura del conto",IF(AND(ROW()-2&gt;=$GF$1,ROW()-2&lt;=$GL$1),"epilogo a Conto economico",IF(ROW()-2=$GA$3,"epilogo componenti positivi",IF(ROW()-2=$GA$4,"epilogo componenti negativi",IF(AND(ROW()-2&gt;=$GA$7,ROW()-2&lt;=$GA$8),"rilevato utile d'esercizio",IF(AND(ROW()-2&gt;=$GA$5,ROW()-2&lt;=$GA$6),"rilevata perdita d'esercizio",IF(AND(ROW()-2&gt;=$GA$9,ROW()-2&lt;=$GA$10),"capitalizzato l'utile conseguito",IF(AND(ROW()-2&gt;=$GA$11,ROW()-2&lt;=$GA$12),"coperta perdita d'esercizio",IF(ROW()-2=$GA$13,"prelevamenti extragestione",IF(ROW()-2=$GA$15,"giro ritenute subite",IF(OR(ROW()-2=$GA$14,ROW()-2=$GA$16),"giro a patrimonio netto",IF(ROW()-2=$GA$17,"totale attività",IF(ROW()-2=$GA$18,"totale passività",IF(ROW()-2=$GA$19,"chiusura del conto",IF(ROW()-2=$GA$20,"patrimonio netto finale","")))))))))))))))))</f>
        <v>epilogo a Conto economico</v>
      </c>
      <c r="GT3" s="259" t="str">
        <f ca="1">IFERROR(INDEX($GD$3:$GS$400,MATCH(ROWS($GT$3:GT3),$GM$3:$GM$400,0),16),"")</f>
        <v/>
      </c>
      <c r="GU3" s="259">
        <f ca="1">IF(GQ3&lt;&gt;0,MAX($GU$2:$GU2)+1,0)</f>
        <v>0</v>
      </c>
      <c r="GV3" s="259">
        <f ca="1">IF(GU3&lt;&gt;0,AA3,0)</f>
        <v>0</v>
      </c>
      <c r="GW3" s="259" t="str">
        <f ca="1">IF(AND(IFERROR(INDEX($GU$3:$GV$400,MATCH(ROWS($GW$3:GW3),$GU$3:$GU$400,0),2),"")&lt;&gt;"",GW4&lt;&gt;""),CONCATENATE(IFERROR(INDEX($GU$3:$GV$400,MATCH(ROWS($GW$3:GW3),$GU$3:$GU$400,0),2),"")," - "),IFERROR(INDEX($GU$3:$GV$400,MATCH(ROWS($GW$3:GW3),$GU$3:$GU$400,0),2),""))</f>
        <v/>
      </c>
      <c r="GX3" s="259">
        <f ca="1">IF(OR(GN3="IVA NS/CREDITO",GN3="IVA NS/DEBITO",GN3="IVA C/ACCONTO",GN3="IMPOSTE C/ACCONTO"),MAX($GX$2:GX2)+1,0)</f>
        <v>0</v>
      </c>
      <c r="GY3" s="259" t="str">
        <f ca="1">IF(AND(IFERROR(INDEX($GN$3:$GX$200,MATCH(ROWS($GY$3:GY3),$GX$3:$GX$200,0),1),"")&lt;&gt;"",GY4&lt;&gt;""),CONCATENATE(IFERROR(INDEX($GN$3:$GX$200,MATCH(ROWS($GY$3:GY3),$GX$3:$GX$200,0),1),"")," - "),IFERROR(INDEX($GN$3:$GX$200,MATCH(ROWS($GY$3:GY3),$GX$3:$GX$200,0),1),""))</f>
        <v/>
      </c>
      <c r="GZ3" s="259" t="s">
        <v>15</v>
      </c>
      <c r="HA3" s="270" t="s">
        <v>19</v>
      </c>
      <c r="HG3" s="270"/>
      <c r="HL3" s="259" t="str">
        <f t="shared" ref="HL3:HL34" ca="1" si="29">IFERROR(IF(INDEX(PIANO_DEI_CONTI,MATCH($BB3,DENOMINAZIONE,0),6)="SP dare",$BB3,IF(AND(INDEX(PIANO_DEI_CONTI,MATCH($BB3,DENOMINAZIONE,0),6)="SP DARE/AVERE",$BD3&gt;=$BE3),$BB3,"")),"")</f>
        <v/>
      </c>
      <c r="HM3" s="259" t="str">
        <f t="shared" ref="HM3:HM34" ca="1" si="30">IFERROR(IF(AND(INDEX(PIANO_DEI_CONTI,MATCH($BB3,DENOMINAZIONE,0),6)="SP AVERE",$BB3&lt;&gt;"PATRIMONIO NETTO"),$BB3,IF(AND(INDEX(PIANO_DEI_CONTI,MATCH($BB3,DENOMINAZIONE,0),6)="SP DARE/AVERE",$BD3&lt;=$BE3),$BB3,"")),"")</f>
        <v/>
      </c>
      <c r="HN3" s="259" t="str">
        <f t="shared" ref="HN3:HN34" ca="1" si="31">IFERROR(IF(AND(INDEX(PIANO_DEI_CONTI,MATCH($BB3,DENOMINAZIONE,0),6)="SP AVERE",$BB3="PATRIMONIO NETTO"),$BB3,""),"")</f>
        <v/>
      </c>
      <c r="HO3" s="259">
        <f ca="1">IF(HL3&lt;&gt;"",MAX($HO$2:HO2)+1,0)</f>
        <v>0</v>
      </c>
      <c r="HP3" s="259">
        <f ca="1">IF(HM3&lt;&gt;"",MAX($HP$2:HP2)+1,0)</f>
        <v>0</v>
      </c>
      <c r="HQ3" s="259">
        <f ca="1">IF(HN3&lt;&gt;"",MAX($HQ$2:HQ2)+1,0)</f>
        <v>0</v>
      </c>
      <c r="HR3" s="259" t="str">
        <f ca="1">IF($HL$2=0,"",IF(AND(ROW()-2=$HL$2+1,$HL$2&lt;&gt;0),"BILANCIO DI APERTURA",IF(AND(ROW()-2=$HL$2+2,$HL$2&lt;&gt;0,$HM$2&gt;0),"BILANCIO DI APERTURA",IF(AND(ROW()-2=$HL$2+2+$HM$2+1,$HM$2&lt;&gt;0),"BILANCIO DI APERTURA",IF(AND(ROW()-2=$HL$2+2,$HM$2=0),"BILANCIO DI APERTURA","")))))</f>
        <v/>
      </c>
      <c r="HS3" s="259" t="str">
        <f ca="1">CONCATENATE(HL3,HM3,HN3)</f>
        <v/>
      </c>
      <c r="HT3" s="259">
        <f ca="1">HO3+HP3+HQ3</f>
        <v>0</v>
      </c>
      <c r="HU3" s="259">
        <f ca="1">IF(HR3="BILANCIO DI APERTURA",ROW()-2,0)</f>
        <v>0</v>
      </c>
      <c r="HV3" s="259" t="str">
        <f ca="1">CONCATENATE(IFERROR(INDEX($HS$3:$HT$102,MATCH(ROWS($HV$3:HV3),$HT$3:$HT$102,0),1),""),HR3)</f>
        <v/>
      </c>
      <c r="IA3" s="259" t="s">
        <v>347</v>
      </c>
      <c r="IB3" s="259" t="s">
        <v>284</v>
      </c>
      <c r="IC3" s="259">
        <f ca="1">IFERROR(INDEX(PIANO_DEI_CONTI,MATCH(ROWS(DL$3:DL3),$DK$3:DK230,0),2),0)</f>
        <v>0</v>
      </c>
      <c r="ID3" s="259">
        <f ca="1">IFERROR(IF(AND(DL3&lt;&gt;"",$DM3&gt;$DN3,OR($DM3&gt;0,$DN3&gt;0)),$DM3-$DN3,0),0)</f>
        <v>0</v>
      </c>
      <c r="IE3" s="259">
        <f ca="1">IFERROR(IF(AND(DL3&lt;&gt;"",$DM3&lt;$DN3,OR($DM3&gt;0,$DN3&gt;0)),$DN3-$DM3,0),0)</f>
        <v>0</v>
      </c>
      <c r="IF3" s="259">
        <f ca="1">IFERROR(INDEX($AA$3:$EC$200,MATCH(IC3,$AA$3:$AA$200,0),106),"")</f>
        <v>0</v>
      </c>
      <c r="IG3" s="259">
        <f ca="1">IF(IG7&gt;0,"",0)</f>
        <v>0</v>
      </c>
      <c r="IH3" s="259">
        <f ca="1">IF(IG3&lt;&gt;0,MAX($IH$2:IH2)+1,0)</f>
        <v>0</v>
      </c>
      <c r="II3" s="259">
        <f>IF($AD3="costi pluriennali",MAX($II$2:II2)+1,0)</f>
        <v>1</v>
      </c>
      <c r="IJ3" s="259">
        <f>IF($AD3="rettifiche costi pluriennali",MAX($IJ$2:IJ2)+1,0)</f>
        <v>0</v>
      </c>
      <c r="IK3" s="259">
        <f>MAX(II3,IJ3)</f>
        <v>1</v>
      </c>
      <c r="IL3" s="259" t="str">
        <f>IF(IK3&gt;0,AA3,"")</f>
        <v>COSTI DI IMPIANTO</v>
      </c>
      <c r="IM3" s="259">
        <f ca="1">IFERROR(INDEX($IC$3:$IK$200,MATCH(IL3,$IC$3:$IC$200,0),2),0)</f>
        <v>0</v>
      </c>
      <c r="IN3" s="259">
        <f ca="1">IFERROR(INDEX($IC$3:$IK$200,MATCH(IL3,$IC$3:$IC$200,0),3),0)</f>
        <v>0</v>
      </c>
      <c r="IO3" s="259">
        <f ca="1">SUMIFS($IM$3:$IM$200,$IK$3:$IK$200,ROWS($IO$3:IO3))-SUMIFS($IN$3:$IN$200,$IK$3:$IK$200,ROWS($IO$3:IO3))</f>
        <v>0</v>
      </c>
      <c r="IP3" s="259" t="str">
        <f ca="1">IF(IO3&lt;0,INDEX($IJ$3:$IL$200,MATCH(ROWS($IP$3:IP3),$IJ$3:$IJ$200,0),3),"")</f>
        <v/>
      </c>
      <c r="IQ3" s="259">
        <f ca="1">IF(IP3&lt;&gt;"",MAX($IQ$2:IQ2)+1,0)</f>
        <v>0</v>
      </c>
      <c r="IR3" s="259" t="str">
        <f ca="1">IFERROR(INDEX($IP$3:$IQ$200,MATCH(ROWS($IR$3:IR3),$IQ$3:$IQ$200,0),1),"")</f>
        <v/>
      </c>
      <c r="IS3" s="259" t="str">
        <f ca="1">IF(AND($HM$2&gt;0,SUM($FJ$3:$FJ$120)&lt;&gt;0,ROW()-2=$HP$2-1),SUM($FJ$3:$FJ$120),IF(AND($HM$2=0,SUM($FJ$3:$FJ$120)&lt;&gt;0,ROW()-2=$HP$2),SUM($FJ$3:$FJ$120),""))</f>
        <v/>
      </c>
      <c r="IT3" s="259" t="str">
        <f ca="1">IF(AND(ROW()-2=$HP$2,SUM($FK$3:$FK$120)&lt;&gt;0),SUM($FK$3:$FK$120),"")</f>
        <v/>
      </c>
      <c r="IU3" s="259">
        <f ca="1">IF(ROW()-2=$HQ$2,SUM($IS$3:$IS$200)-SUM($IT$3:$IT$200),"")</f>
        <v>0</v>
      </c>
      <c r="IV3" s="259" t="str">
        <f ca="1">IFERROR(IF(INDEX($FG$3:$HV$200,MATCH($HV3,$FG$3:$FG$200,0),4)=0,"",INDEX($FG$3:$HV$200,MATCH($HV3,$FG$3:$FG$200,0),4)),"")</f>
        <v/>
      </c>
      <c r="IW3" s="259" t="str">
        <f ca="1">IFERROR(IF(INDEX($FG$3:$HV$200,MATCH($HV3,$FG$3:$FG$200,0),5)=0,"",INDEX($FG$3:$HV$200,MATCH($HV3,$FG$3:$FG$200,0),5)),"")</f>
        <v/>
      </c>
      <c r="IX3" s="259" t="str">
        <f ca="1">IF(SUM(IV3,IT3,IU3)=0,"",SUM(IV3,IT3,IU3))</f>
        <v/>
      </c>
      <c r="IY3" s="259" t="str">
        <f ca="1">IF(SUM(IW3,IS3)=0,"",SUM(IW3,IS3))</f>
        <v/>
      </c>
      <c r="IZ3" s="259" t="str">
        <f ca="1">IF(AND(IX3="",IY3=""),"",IF(OR(IV3&lt;&gt;"",IW3&lt;&gt;""),"apertura del conto",IF(IS3&lt;&gt;"","totale attività",IF(IT3&lt;&gt;"","totale passività",IF(IU3&lt;&gt;"","patrimonio netto iniziale","")))))</f>
        <v/>
      </c>
      <c r="JA3" s="259" t="str">
        <f ca="1">IF(EY3&gt;0,YEAR(EY3),"")</f>
        <v/>
      </c>
      <c r="JB3" s="259">
        <f t="shared" ref="JB3:JB66" ca="1" si="32">IFERROR(INDEX(PIANO_DEI_CONTI,MATCH(EZ3,DENOMINAZIONE,0),5),"")</f>
        <v>0</v>
      </c>
      <c r="JC3" s="259">
        <f ca="1">IF(OR(AND(FB3&lt;0,FC3&lt;0),FB3&lt;0,FC3&lt;0),1,0)</f>
        <v>0</v>
      </c>
      <c r="JE3" s="259">
        <f ca="1">IFERROR(INDEX(LIBRO_GIORNALE!$N$11:$O$408,MATCH(ROWS($JE$2:JE2),LIBRO_GIORNALE!$O$11:$O$408,0),1),0)</f>
        <v>0</v>
      </c>
      <c r="JF3" s="259" t="str">
        <f ca="1">UPPER(IFERROR(INDEX($EX$103:$EZ$400,MATCH(JE3,$EX$103:$EX$400,0),3),0))</f>
        <v>0</v>
      </c>
      <c r="JG3" s="259">
        <f ca="1">IF(EXACT(JF3,JF2),0,IF($JG$1=1,IFERROR(MATCH($JF3,$CV$3:$CV$220,0),0),0))</f>
        <v>0</v>
      </c>
      <c r="JH3" s="259">
        <f ca="1">IF(JJ3&gt;0,0,MAX($JH$2:JH2)+1)</f>
        <v>1</v>
      </c>
      <c r="JI3" s="259">
        <f ca="1">IF(JG3&gt;0,MAX($JI$2:JI2)+1,0)</f>
        <v>0</v>
      </c>
      <c r="JJ3" s="259">
        <f ca="1">IFERROR(INDEX($JG$3:$JI$124,MATCH(ROWS($JJ$3:JJ3),$JI$3:$JI$124,0),1),0)</f>
        <v>0</v>
      </c>
      <c r="JK3" s="259">
        <f ca="1">IFERROR(IF(JH3&gt;0,MATCH(JH3,$JJ$3:$JJ$124,0),0),0)</f>
        <v>0</v>
      </c>
      <c r="JL3" s="259">
        <f ca="1">IF(JK3=0,JH3,0)</f>
        <v>1</v>
      </c>
      <c r="JM3" s="259" t="s">
        <v>418</v>
      </c>
    </row>
    <row r="4" spans="1:273">
      <c r="A4" s="259" t="str">
        <f t="shared" ref="A4:A67" si="33">GZ4</f>
        <v>01.01</v>
      </c>
      <c r="B4" s="259" t="str">
        <f t="shared" ref="B4:B67" si="34">HA4</f>
        <v>COSTI DI IMPIANTO</v>
      </c>
      <c r="C4" s="259" t="str">
        <f t="shared" ref="C4:C67" si="35">HB4</f>
        <v>E</v>
      </c>
      <c r="D4" s="259" t="str">
        <f t="shared" ref="D4:D67" si="36">HC4</f>
        <v>D</v>
      </c>
      <c r="E4" s="259" t="str">
        <f t="shared" ref="E4:E67" si="37">HD4</f>
        <v>COSTI PLURIENNALI</v>
      </c>
      <c r="F4" s="259" t="str">
        <f t="shared" ref="F4:F67" si="38">HE4</f>
        <v>SP DARE</v>
      </c>
      <c r="G4" s="259">
        <f t="shared" ref="G4:G67" ca="1" si="39">IF(EI4=TRUE,1,0)</f>
        <v>1</v>
      </c>
      <c r="H4" s="259">
        <f t="shared" ref="H4:H67" ca="1" si="40">IF(EJ4=TRUE,1,0)</f>
        <v>1</v>
      </c>
      <c r="I4" s="259">
        <f t="shared" ref="I4:I67" ca="1" si="41">IF(EK4=TRUE,1,0)</f>
        <v>1</v>
      </c>
      <c r="J4" s="259">
        <v>1</v>
      </c>
      <c r="K4" s="259" t="str">
        <f ca="1">IFERROR(IF($I$1=1,INDEX($AA$3:$AS$220,MATCH(ROWS($K$3:K4),$AQ$3:$AQ$220,0),1),IF($I$1=2,INDEX($AA$3:$AS$220,MATCH(ROWS($K$3:K4),$AR$3:$AR$220,0),1),IF($I$1=3,INDEX($AA$3:$AS$220,MATCH(ROWS($K$3:K4),$AS$3:$AS$220,0),1),""))),"")</f>
        <v>BREVETTI</v>
      </c>
      <c r="L4" s="259">
        <f ca="1">IF(AND($L$1="VISUALIZZA TUTTI I CONTI",K4&lt;&gt;""),MAX(L3:L3)+1,IFERROR(IF($J$1=1,IF(INDEX(PIANO_DEI_CONTI,MATCH($K4,DENOMINAZIONE,0),5)=$L$1,MAX($L$2:L3)+1,0),IF($J$1=2,IF(INDEX(PIANO_DEI_CONTI,MATCH($K4,DENOMINAZIONE,0),7)=$L$1,MAX($L$2:L3)+1,0))),0))</f>
        <v>2</v>
      </c>
      <c r="M4" s="259" t="str">
        <f ca="1">IFERROR(INDEX($K$3:$K$220,MATCH(ROWS($M$3:M4),$L$3:$L$220,0),1),"")</f>
        <v>BREVETTI</v>
      </c>
      <c r="N4" s="259" t="s">
        <v>9</v>
      </c>
      <c r="O4" s="259" t="str">
        <f t="shared" ref="O4:O18" ca="1" si="42">IFERROR(IF(AND($J$1=1,$I$1=3,INDEX($AV$3:$AV$220,MATCH(N4,$AV$3:$AV$220,0),1)=N4),N4,IF(AND($J$1=1,$I$1=2,INDEX($AU$3:$AU$220,MATCH(N4,$AU$3:$AU$220,0),1)=N4),N4,IF(AND($J$1=1,$I$1=1,INDEX($AT$3:$AT$220,MATCH(N4,$AT$3:$AT$220,0),1)=N4),N4,""))),"")</f>
        <v/>
      </c>
      <c r="P4" s="259">
        <f ca="1">IF(AND(N4=O4,O4&lt;&gt;""),MAX(P$2:P3)+1,0)</f>
        <v>0</v>
      </c>
      <c r="Q4" s="275" t="str">
        <f ca="1">IF(IFERROR(INDEX($O$3:$P$220,MATCH(ROWS(Q$3:Q4),$P$3:$P$220,0),1),"")=0,"",IFERROR(INDEX($O$3:$P$220,MATCH(ROWS(Q$3:Q4),$P$3:$P$220,0),1),""))</f>
        <v>IMMOBILIZZAZIONI IMMATERIALI</v>
      </c>
      <c r="R4" s="259" t="str">
        <f t="shared" si="1"/>
        <v>BREVETTI</v>
      </c>
      <c r="S4" s="259">
        <f ca="1">IF(IFERROR(MATCH(R4,DENOMINAZIONE_GIORNALE,0),0)&gt;0,MAX(S$2:S3)+1,0)</f>
        <v>0</v>
      </c>
      <c r="T4" s="259" t="str">
        <f ca="1">IFERROR(INDEX($R$3:$S$220,MATCH(ROWS($T$3:T4),$S$3:$S$220,0),1),"")</f>
        <v/>
      </c>
      <c r="U4" s="259">
        <f t="shared" ca="1" si="2"/>
        <v>0</v>
      </c>
      <c r="V4" s="259">
        <f ca="1">IF(IF(U4&lt;&gt;0,MAX($V$2:V3)+1,0)=0,0,IF(U4&lt;&gt;0,MAX($V$2:V3)+1,0))</f>
        <v>0</v>
      </c>
      <c r="W4" s="259" t="str">
        <f t="shared" ref="W4:W67" si="43">IF(MID(A4,3,3)=".00","",A4)</f>
        <v>01.01</v>
      </c>
      <c r="X4" s="259" t="str">
        <f t="shared" ref="X4:X67" si="44">IFERROR(INDEX($A$3:$B$220,MATCH(W4,$A$3:$A$220,0),2),"")</f>
        <v>COSTI DI IMPIANTO</v>
      </c>
      <c r="Y4" s="259">
        <f>IF(W4="",0,MAX($Y$2:Y3)+1)</f>
        <v>1</v>
      </c>
      <c r="Z4" s="259" t="str">
        <f>IFERROR(INDEX($W$3:$Y$220,MATCH(ROWS($Z$2:Z3),$Y$3:$Y$220,0),1),"")</f>
        <v>01.03</v>
      </c>
      <c r="AA4" s="259" t="str">
        <f t="shared" ref="AA4:AA67" si="45">IFERROR(INDEX($A$3:$I$220,MATCH($Z4,$A$3:$A$220,0),2),"")</f>
        <v>BREVETTI</v>
      </c>
      <c r="AB4" s="259" t="str">
        <f t="shared" ref="AB4:AB67" si="46">IFERROR(INDEX($A$3:$I$220,MATCH($Z4,$A$3:$A$220,0),3),"")</f>
        <v>E</v>
      </c>
      <c r="AC4" s="259" t="str">
        <f t="shared" ref="AC4:AC67" si="47">IFERROR(INDEX($A$3:$I$220,MATCH($Z4,$A$3:$A$220,0),4),"")</f>
        <v>D</v>
      </c>
      <c r="AD4" s="259" t="str">
        <f t="shared" ref="AD4:AD67" si="48">IFERROR(INDEX($A$3:$I$220,MATCH($Z4,$A$3:$A$220,0),5),"")</f>
        <v>COSTI PLURIENNALI</v>
      </c>
      <c r="AE4" s="259" t="str">
        <f t="shared" ref="AE4:AE67" si="49">IFERROR(INDEX($A$3:$I$220,MATCH($Z4,$A$3:$A$220,0),6),"")</f>
        <v>SP DARE</v>
      </c>
      <c r="AF4" s="259" t="str">
        <f t="shared" ref="AF4:AF67" si="50">AP4</f>
        <v>IMMOBILIZZAZIONI IMMATERIALI</v>
      </c>
      <c r="AG4" s="259">
        <f t="shared" ref="AG4:AG67" ca="1" si="51">IFERROR(INDEX($A$3:$I$220,MATCH($Z4,$A$3:$A$220,0),7),"")</f>
        <v>1</v>
      </c>
      <c r="AH4" s="259">
        <f t="shared" ref="AH4:AH67" ca="1" si="52">IFERROR(INDEX($A$3:$I$220,MATCH($Z4,$A$3:$A$220,0),8),"")</f>
        <v>1</v>
      </c>
      <c r="AI4" s="259">
        <f t="shared" ref="AI4:AI67" ca="1" si="53">IFERROR(INDEX($A$3:$I$220,MATCH($Z4,$A$3:$A$220,0),9),"")</f>
        <v>1</v>
      </c>
      <c r="AJ4" s="259" t="str">
        <f t="shared" ref="AJ4:AJ67" si="54">MID(Z4,1,2)</f>
        <v>01</v>
      </c>
      <c r="AK4" s="259" t="str">
        <f t="shared" ref="AK4:AK67" si="55">IF(MID($A4,3,3)=".00",MID(A4,1,2),"")</f>
        <v/>
      </c>
      <c r="AL4" s="259">
        <f>IF(AK4&lt;&gt;"",MAX($AL$2:AL3)+1,0)</f>
        <v>0</v>
      </c>
      <c r="AM4" s="259" t="str">
        <f>IFERROR(INDEX($AK$3:$AL$220,MATCH(ROWS($AM$3:AM4),$AL$3:$AL$220,0),1),"")</f>
        <v>02</v>
      </c>
      <c r="AN4" s="259" t="str">
        <f t="shared" ref="AN4:AN67" si="56">IF(AM4&lt;&gt;"",CONCATENATE(AM4,".00"),"")</f>
        <v>02.00</v>
      </c>
      <c r="AO4" s="259" t="str">
        <f t="shared" ref="AO4:AO67" si="57">IFERROR(INDEX($A$3:$B$220,MATCH(AN4,$A$3:$A$220,0),2),"")</f>
        <v>IMMOBILIZZAZIONI MATERIALI</v>
      </c>
      <c r="AP4" s="259" t="str">
        <f t="shared" ref="AP4:AP67" si="58">IFERROR(INDEX($AJ$3:$AP$220,MATCH(AJ4,$AM$3:$AM$220,0),6),"")</f>
        <v>IMMOBILIZZAZIONI IMMATERIALI</v>
      </c>
      <c r="AQ4" s="259">
        <f ca="1">IF(OR(AG4=0,AG4=""),0,MAX(AQ$2:AQ3)+1)</f>
        <v>2</v>
      </c>
      <c r="AR4" s="259">
        <f ca="1">IF(OR(AH4=0,AH4=""),0,MAX(AR$2:AR3)+1)</f>
        <v>2</v>
      </c>
      <c r="AS4" s="259">
        <f ca="1">IF(OR(AI4=0,AI4=""),0,MAX(AS$2:AS3)+1)</f>
        <v>2</v>
      </c>
      <c r="AT4" s="259" t="str">
        <f ca="1">IFERROR(INDEX($AD$3:$AS$220,MATCH(ROWS(AT$3:AT4),AQ$3:AQ$220,0),1),"")</f>
        <v>COSTI PLURIENNALI</v>
      </c>
      <c r="AU4" s="259" t="str">
        <f ca="1">IFERROR(INDEX($AD$3:$AS$220,MATCH(ROWS(AU$3:AU4),AR$3:AR$220,0),1),"")</f>
        <v>COSTI PLURIENNALI</v>
      </c>
      <c r="AV4" s="259" t="str">
        <f ca="1">IFERROR(INDEX($AD$3:$AS$220,MATCH(ROWS(AV$3:AV4),AS$3:AS$220,0),1),"")</f>
        <v>COSTI PLURIENNALI</v>
      </c>
      <c r="AW4" s="259" t="str">
        <f ca="1">IFERROR(INDEX($AP$3:$AS$220,MATCH(ROWS(AW$3:AW4),AQ$3:AQ$220,0),1),"")</f>
        <v>IMMOBILIZZAZIONI IMMATERIALI</v>
      </c>
      <c r="AX4" s="259" t="str">
        <f ca="1">IFERROR(INDEX($AP$3:$AS$220,MATCH(ROWS(AX$3:AX4),AR$3:AR$220,0),1),"")</f>
        <v>IMMOBILIZZAZIONI IMMATERIALI</v>
      </c>
      <c r="AY4" s="259" t="str">
        <f ca="1">IFERROR(INDEX($AP$3:$AS$220,MATCH(ROWS(AY$3:AY4),AS$3:AS$220,0),1),"")</f>
        <v>IMMOBILIZZAZIONI IMMATERIALI</v>
      </c>
      <c r="AZ4" s="276" t="str">
        <f t="shared" ref="AZ4:AZ67" ca="1" si="59">IF(BA4=0,"",CONCATENATE(ROW()-2," A."))</f>
        <v/>
      </c>
      <c r="BA4" s="259">
        <f t="shared" ca="1" si="3"/>
        <v>0</v>
      </c>
      <c r="BB4" s="259">
        <f ca="1">IFERROR(INDEX($FG$3:$FL$400,MATCH(ROWS($BB$3:BB4),$FL$3:$FL$400,0),1),0)</f>
        <v>0</v>
      </c>
      <c r="BC4" s="259" t="str">
        <f t="shared" ref="BC4:BC67" ca="1" si="60">IF(BB4&lt;&gt;0,"apertura del conto","")</f>
        <v/>
      </c>
      <c r="BD4" s="259">
        <f ca="1">IFERROR(INDEX($FG$3:$FL$400,MATCH(ROWS($BD$3:BD4),$FL$3:$FL$400,0),4),0)</f>
        <v>0</v>
      </c>
      <c r="BE4" s="259">
        <f ca="1">IFERROR(INDEX($FG$3:$FL$400,MATCH(ROWS($BE$3:BE4),$FL$3:$FL$400,0),5),0)</f>
        <v>0</v>
      </c>
      <c r="BF4" s="259" t="s">
        <v>245</v>
      </c>
      <c r="BG4" s="259" t="str">
        <f t="shared" si="4"/>
        <v/>
      </c>
      <c r="BH4" s="259">
        <f ca="1">IF(IFERROR(MATCH(BG4,DENOMINAZIONE_GIORNALE,0),0)&gt;0,MAX(BH$2:BH3)+1,0)</f>
        <v>0</v>
      </c>
      <c r="BI4" s="259" t="str">
        <f ca="1">IFERROR(INDEX($BG$3:$BH$220,MATCH(ROWS($BI$3:BI4),$BH$3:$BH$220,0),1),"")</f>
        <v/>
      </c>
      <c r="BJ4" s="259" t="str">
        <f t="shared" ca="1" si="5"/>
        <v/>
      </c>
      <c r="BK4" s="259" t="str">
        <f ca="1">IF(IF(BJ4&lt;&gt;"",MAX($BK$2:BK3)+1,0)=0,"",IF(BJ4&lt;&gt;"",MAX($BK$2:BK3)+1,0))</f>
        <v/>
      </c>
      <c r="BL4" s="259" t="str">
        <f ca="1">IFERROR(INDEX($T$3:$U$220, MATCH(ROWS(BL$3:BL4),$V$3:$V$220,0),1),"")</f>
        <v/>
      </c>
      <c r="BM4" s="259" t="str">
        <f ca="1">IFERROR(INDEX($T$3:$U$220, MATCH(ROWS(BM$3:BM4),$V$3:$V$220,0),2),"")</f>
        <v/>
      </c>
      <c r="BN4" s="259" t="str">
        <f ca="1">IF(IFERROR(INDEX($BI$3:$BJ$220,MATCH(ROWS(BN$3:BN4),$BK$3:$BK$220,0),1),"")="PATRIMONIO NETTO","",IFERROR(INDEX($BI$3:$BJ$220,MATCH(ROWS(BN$3:BN4),$BK$3:$BK$220,0),1),""))</f>
        <v/>
      </c>
      <c r="BO4" s="259" t="str">
        <f ca="1">IFERROR(INDEX($BI$3:$BJ$220,MATCH(ROWS(BO$3:BO4),$BK$3:$BK$220,0),2),"")</f>
        <v/>
      </c>
      <c r="BP4" s="259">
        <f ca="1">IF(BN4&lt;&gt;"",MAX(BP$2:$BP3)+1,0)</f>
        <v>0</v>
      </c>
      <c r="BQ4" s="259" t="str">
        <f ca="1">IFERROR(INDEX($BN$3:$BO$200,MATCH(ROWS(BQ$3:BQ4),$BP$3:$BP$220,0),1),"")</f>
        <v/>
      </c>
      <c r="BR4" s="259" t="str">
        <f ca="1">IFERROR(INDEX($BN$3:$BO$220,MATCH(ROWS(BR$3:BR4),$BP$3:$BP$220,0),2),"")</f>
        <v/>
      </c>
      <c r="BS4" s="259" t="str">
        <f ca="1">IFERROR(IF(OR(INDEX($T$3:$U$220,MATCH(ROWS(BL$3:BL4),$V$3:$V$220,0),1)="PRELEVAMENTI EXTRAGESTIONE",INDEX($T$3:$U$220,MATCH(ROWS(BL$3:BL4),$V$3:$V$220,0),1)="TITOLARE C/RITENUTE SUBITE"),"",INDEX($T$3:$U$220,MATCH(ROWS(BL$3:BL4),$V$3:$V$220,0),1)),"")</f>
        <v/>
      </c>
      <c r="BT4" s="259">
        <f t="shared" ref="BT4:BT67" ca="1" si="61">INDEX($T$3:$U$220,MATCH(BS4,$T$3:$T$220,0),2)</f>
        <v>0</v>
      </c>
      <c r="BU4" s="259">
        <f ca="1">IF(BS4&lt;&gt;"",MAX(BU$2:BU3)+1,0)</f>
        <v>0</v>
      </c>
      <c r="BV4" s="259" t="str">
        <f ca="1">IFERROR(INDEX($BS$3:$BT$223,MATCH(ROWS(BV$3:BV4),$BU$3:$BU$223,0),1),"")</f>
        <v/>
      </c>
      <c r="BW4" s="259">
        <f t="shared" ref="BW4:BW67" ca="1" si="62">INDEX($BS$3:$BT$220,MATCH(BV4,$BS$3:$BS$223,0),2)</f>
        <v>0</v>
      </c>
      <c r="BX4" s="259" t="str">
        <f t="shared" ref="BX4:BX67" ca="1" si="63">IF($EV$1&gt;0,"",IF($EO$1=TRUE,SUBSTITUTE(IF(OR($DS$231&lt;&gt;$DT$231,$DS$232&lt;&gt;$DT$232,$DU$231&lt;&gt;$DV$231),"",IF($BX$1=0,"",IF((ROW()-2)=MAX($BV$2:$BW$2)+1,"TOTALE PASSIVITÀ",IF((ROW()-2)=MAX($BV$2:$BW$2)+2,"PATRIMONIO NETTO",IF(AND((ROW()-2)=MAX($BV$2,$BW$2)+3,$CM$1&gt;$CP$1,$DU$231=$DV$231),"SALDO ECONOMICO POSITIVO",IF(AND((ROW()-2)=MAX($BV$2,$BW$2)+4,$CM$1&gt;$CP$1,$DU$231=$DV$231),"TOTALE",IF(AND((ROW()-2)=MAX($BV$2,$BW$2)+4,$CM$1&lt;$CP$1,$DU$231=$DV$231,$BY$1=0,$BZ$1&gt;0,$BX$1&gt;0),"TOTALE",IF(AND((ROW()-2)=MAX($BV$2,$BW$2)+3,$CM$1=$CP$1,$DU$231=$DV$231,$BY$1&gt;0,$BZ$1=0,$BX$1&gt;0),"TOTALE",IF(AND((ROW()-2)=MAX($BV$2,$BW$2)+3,$CM$1=$CP$1,$DU$231=$DV$231,$BY$1=0,$BZ$1&gt;0,$BX$1&gt;0),"TOTALE",IF(AND((ROW()-2)=MAX($BV$2,$BW$2)+3,$CM$1=$CP$1,$DU$231=$DV$231,$BY$1=0,$BZ$1=0,$BX$1&gt;0),"TOTALE A PAREGGIO",IF(AND((ROW()-2)=MAX($BV$2,$BW$2)+4,$CM$1=$CP$1,$DU$231=$DV$231,$BY$1&gt;0,$BZ$1&gt;0,$BX$1&gt;0),"TOTALE",IF(AND((ROW()-2)=MAX($BV$2,$BW$2)+3,$CM$1=$CP$1,$DU$231=$DV$231,$BY$1=0,$BY$1&gt;0,$BZ$1=0,$BX$1&gt;0),"TOTALE",IF(AND((ROW()-2)=MAX($BV$2,$BW$2)+4,$CM$1&lt;$CP$1,$DU$231=$DV$231,$BY$1&gt;0,$BZ$1=0),"TOTALE",IF(AND((ROW()-2)=MAX($BV$2,$BW$2)+5,$CM$1&lt;$CP$1,$DU$231=$DV$231,$BY$1&gt;0,$BZ$1&gt;0),"TOTALE",IF(AND((ROW()-2)=MAX($BV$2,$BW$2)+3,$CM$1&lt;$CP$1,$DU$231=$DV$231,$BY$1=0,$BZ$1=0),"TOTALE",IF(AND((ROW()-2)=MAX($BV$2,$BW$2)+3,$CM$1=0,$CP$1=0,$DU$231=$DV$231,$BY$1=0,$BZ$1=0),"TOTALE",IF(AND((ROW()-2)=MAX($BV$2,$BW$2)+4,$CM$1=$CP$1,$DU$231=$DV$231,$BY$1&gt;0,$BZ$1&gt;0),"TOTALE",""))))))))))))))))),"SALDO ECONOMICO POSITIVO","UTILE D'ESERCIZIO"),IF(OR($DS$231&lt;&gt;$DT$231,$DS$232&lt;&gt;$DT$232,$DU$231&lt;&gt;$DV$231),"",IF($BX$1=0,"",IF((ROW()-2)=MAX($BV$2:$BW$2)+1,"TOTALE PASSIVITÀ",IF((ROW()-2)=MAX($BV$2:$BW$2)+2,"PATRIMONIO NETTO",IF(AND((ROW()-2)=MAX($BV$2,$BW$2)+3,$CM$1&gt;$CP$1,$DU$231=$DV$231),"SALDO ECONOMICO POSITIVO",IF(AND((ROW()-2)=MAX($BV$2,$BW$2)+4,$CM$1&gt;$CP$1,$DU$231=$DV$231),"TOTALE",IF(AND((ROW()-2)=MAX($BV$2,$BW$2)+4,$CM$1&lt;$CP$1,$DU$231=$DV$231,$BY$1=0,$BZ$1&gt;0,$BX$1&gt;0),"TOTALE",IF(AND((ROW()-2)=MAX($BV$2,$BW$2)+3,$CM$1=$CP$1,$DU$231=$DV$231,$BY$1&gt;0,$BZ$1=0,$BX$1&gt;0),"TOTALE",IF(AND((ROW()-2)=MAX($BV$2,$BW$2)+3,$CM$1=$CP$1,$DU$231=$DV$231,$BY$1=0,$BZ$1&gt;0,$BX$1&gt;0),"TOTALE",IF(AND((ROW()-2)=MAX($BV$2,$BW$2)+3,$CM$1=$CP$1,$DU$231=$DV$231,$BY$1=0,$BZ$1=0,$BX$1&gt;0),"TOTALE A PAREGGIO",IF(AND((ROW()-2)=MAX($BV$2,$BW$2)+4,$CM$1=$CP$1,$DU$231=$DV$231,$BY$1&gt;0,$BZ$1&gt;0,$BX$1&gt;0),"TOTALE",IF(AND((ROW()-2)=MAX($BV$2,$BW$2)+3,$CM$1=$CP$1,$DU$231=$DV$231,$BY$1=0,$BY$1&gt;0,$BZ$1=0,$BX$1&gt;0),"TOTALE",IF(AND((ROW()-2)=MAX($BV$2,$BW$2)+4,$CM$1&lt;$CP$1,$DU$231=$DV$231,$BY$1&gt;0,$BZ$1=0),"TOTALE",IF(AND((ROW()-2)=MAX($BV$2,$BW$2)+5,$CM$1&lt;$CP$1,$DU$231=$DV$231,$BY$1&gt;0,$BZ$1&gt;0),"TOTALE",IF(AND((ROW()-2)=MAX($BV$2,$BW$2)+3,$CM$1&lt;$CP$1,$DU$231=$DV$231,$BY$1=0,$BZ$1=0),"TOTALE",IF(AND((ROW()-2)=MAX($BV$2,$BW$2)+3,$CM$1=0,$CP$1=0,$DU$231=$DV$231,$BY$1=0,$BZ$1=0),"TOTALE",IF(AND((ROW()-2)=MAX($BV$2,$BW$2)+4,$CM$1=$CP$1,$DU$231=$DV$231,$BY$1&gt;0,$BZ$1&gt;0),"TOTALE","")))))))))))))))))))</f>
        <v/>
      </c>
      <c r="BY4" s="259" t="str">
        <f t="shared" ref="BY4:BY67" ca="1" si="64">IF($EV$1&gt;0,"",IF($EO$1=TRUE,SUBSTITUTE(IF(OR($BB$1&lt;&gt;$BD$1,$BC$1&lt;&gt;$BE$1,$DS$231&lt;&gt;$DT$231,$DS$232&lt;&gt;$DT$232,$DU$231&lt;&gt;$DV$231),"",IF($BX$1=0,"",IF(AND((ROW()-2)=MAX($BV$2:$BW$2)+1,OR($BY$1&gt;0,$BZ$1&gt;0,$CP$1&gt;$CM$1)),"TOTALE ATTIVITÀ",IF(AND((ROW()-2)=MAX($BV$2:$BW$2)+2,$BY$1&gt;0),"PRELEVAMENTI EXTRAGESTIONE",IF(AND((ROW()-2)=MAX($BV$2:$BW$2)+2,$BY$1=0,$BZ$1&gt;0),"TITOLARE C/RITENUTE SUBITE",IF(AND((ROW()-2)=MAX($BV$2:$BW$2)+3,$BY$1&gt;0,$BZ$1&gt;0),"TITOLARE C/RITENUTE SUBITE",IF(AND((ROW()-2)=MAX($BV$2:$BW$2)+2,$BY$1=0,$BZ$1=0,$CP$1&gt;$CM$1),"SALDO ECONOMICO NEGATIVO",IF(AND((ROW()-2)=MAX($BV$2:$BW$2)+3,$BY$1&gt;0,$BZ$1=0,$CP$1&gt;$CM$1),"SALDO ECONOMICO NEGATIVO",IF(AND((ROW()-2)=MAX($BV$2:$BW$2)+3,$BY$1=0,$BZ$1&gt;0,$CP$1&gt;$CM$1),"SALDO ECONOMICO NEGATIVO",IF(AND((ROW()-2)=MAX($BV$2:$BW$2)+4,$BY$1&gt;0,$BZ$1&gt;0,$CP$1&gt;$CM$1),"SALDO ECONOMICO NEGATIVO",IF(AND((ROW()-2)=MAX($BV$2:$BW$2)+3,$BY$1=0,$BZ$1=0,$CP$1&gt;$CM$1),"TOTALE",IF(AND((ROW()-2)=MAX($BV$2:$BW$2)+4,$BY$1&gt;0,$BZ$1=0,$CP$1&lt;$CM$1),"TOTALE",IF(AND((ROW()-2)=MAX($BV$2:$BW$2)+4,$BY$1=0,$BZ$1&gt;0,$CP$1&lt;$CM$1),"TOTALE",IF(AND((ROW()-2)=MAX($BV$2:$BW$2)+4,$BY$1&gt;0,$BZ$1=0,$CP$1&gt;$CM$1),"TOTALE",IF(AND((ROW()-2)=MAX($BV$2:$BW$2)+4,BX2&gt;0,BY$1=0,$BZ$1&gt;0,$CP$1&gt;$CM$1),"TOTALE",IF(AND((ROW()-2)=MAX($BV$2:$BW$2)+3,BX2&gt;0,BY$1=0,$BZ$1=0,$CP$1=$CM$1),"TOTALE ATTIVITÀ",IF(AND((ROW()-2)=MAX($BV$2:$BW$2)+4,$BX$1&gt;0,$BY$1&gt;0,$BZ$1&gt;0,$CP$1=$CM$1),"TOTALE",IF(AND((ROW()-2)=MAX($BV$2:$BW$2)+3,$BX$1&gt;0,$BY$1=0,$BZ$1&gt;0,$CP$1=$CM$1),"TOTALE",IF(AND((ROW()-2)=MAX($BV$2:$BW$2)+3,$BX$1&gt;0,$BY$1&gt;0,$BZ$1=0,$CP$1=$CM$1),"TOTALE",IF(AND((ROW()-2)=MAX($BV$2:$BW$2)+4,$BX$1&gt;0,$BY$1&gt;0,$BZ$1&gt;0,$CP$1&lt;$CM$1),"TOTALE",IF(AND((ROW()-2)=MAX($BV$2:$BW$2)+4,$BY$1=0,$BZ$1=0,$CP$1&lt;$CM$1),"TOTALE",IF(AND((ROW()-2)=MAX($BV$2:$BW$2)+5,$BY$1&gt;0,$BZ$1&gt;0,$CP$1&gt;$CM$1),"TOTALE",IF(AND((ROW()-2)=MAX($BV$2:$BW$2)+3,$BY$1=0,$BZ$1=0,$CP$1=0,$CM$1=0),"TOTALE",IF(AND((ROW()-2)=MAX($BV$2:$BW$2)+4,$BY$1&gt;0,$BZ$1&gt;0,$CP$1&gt;0,$CM$1&gt;0,$CP$1=$CM$1),"TOTALE","")))))))))))))))))))))))),"SALDO ECONOMICO NEGATIVO","PERDITA D'ESERCIZIO"),IF(OR($BB$1&lt;&gt;$BD$1,$BC$1&lt;&gt;$BE$1,$DS$231&lt;&gt;$DT$231,$DS$232&lt;&gt;$DT$232,$DU$231&lt;&gt;$DV$231),"",IF($BX$1=0,"",IF(AND((ROW()-2)=MAX($BV$2:$BW$2)+1,OR($BY$1&gt;0,$BZ$1&gt;0,$CP$1&gt;$CM$1)),"TOTALE ATTIVITÀ",IF(AND((ROW()-2)=MAX($BV$2:$BW$2)+2,$BY$1&gt;0),"PRELEVAMENTI EXTRAGESTIONE",IF(AND((ROW()-2)=MAX($BV$2:$BW$2)+2,$BY$1=0,$BZ$1&gt;0),"TITOLARE C/RITENUTE SUBITE",IF(AND((ROW()-2)=MAX($BV$2:$BW$2)+3,$BY$1&gt;0,$BZ$1&gt;0),"TITOLARE C/RITENUTE SUBITE",IF(AND((ROW()-2)=MAX($BV$2:$BW$2)+2,$BY$1=0,$BZ$1=0,$CP$1&gt;$CM$1),"SALDO ECONOMICO NEGATIVO",IF(AND((ROW()-2)=MAX($BV$2:$BW$2)+3,$BY$1&gt;0,$BZ$1=0,$CP$1&gt;$CM$1),"SALDO ECONOMICO NEGATIVO",IF(AND((ROW()-2)=MAX($BV$2:$BW$2)+3,$BY$1=0,$BZ$1&gt;0,$CP$1&gt;$CM$1),"SALDO ECONOMICO NEGATIVO",IF(AND((ROW()-2)=MAX($BV$2:$BW$2)+4,$BY$1&gt;0,$BZ$1&gt;0,$CP$1&gt;$CM$1),"SALDO ECONOMICO NEGATIVO",IF(AND((ROW()-2)=MAX($BV$2:$BW$2)+3,$BY$1=0,$BZ$1=0,$CP$1&gt;$CM$1),"TOTALE",IF(AND((ROW()-2)=MAX($BV$2:$BW$2)+4,$BY$1&gt;0,$BZ$1=0,$CP$1&lt;$CM$1),"TOTALE",IF(AND((ROW()-2)=MAX($BV$2:$BW$2)+4,$BY$1=0,$BZ$1&gt;0,$CP$1&lt;$CM$1),"TOTALE",IF(AND((ROW()-2)=MAX($BV$2:$BW$2)+4,$BY$1&gt;0,$BZ$1=0,$CP$1&gt;$CM$1),"TOTALE",IF(AND((ROW()-2)=MAX($BV$2:$BW$2)+4,BX2&gt;0,BY$1=0,$BZ$1&gt;0,$CP$1&gt;$CM$1),"TOTALE",IF(AND((ROW()-2)=MAX($BV$2:$BW$2)+3,BX2&gt;0,BY$1=0,$BZ$1=0,$CP$1=$CM$1),"TOTALE ATTIVITÀ",IF(AND((ROW()-2)=MAX($BV$2:$BW$2)+4,$BX$1&gt;0,$BY$1&gt;0,$BZ$1&gt;0,$CP$1=$CM$1),"TOTALE",IF(AND((ROW()-2)=MAX($BV$2:$BW$2)+3,$BX$1&gt;0,$BY$1=0,$BZ$1&gt;0,$CP$1=$CM$1),"TOTALE",IF(AND((ROW()-2)=MAX($BV$2:$BW$2)+3,$BX$1&gt;0,$BY$1&gt;0,$BZ$1=0,$CP$1=$CM$1),"TOTALE",IF(AND((ROW()-2)=MAX($BV$2:$BW$2)+4,$BX$1&gt;0,$BY$1&gt;0,$BZ$1&gt;0,$CP$1&lt;$CM$1),"TOTALE",IF(AND((ROW()-2)=MAX($BV$2:$BW$2)+4,$BY$1=0,$BZ$1=0,$CP$1&lt;$CM$1),"TOTALE",IF(AND((ROW()-2)=MAX($BV$2:$BW$2)+5,$BY$1&gt;0,$BZ$1&gt;0,$CP$1&gt;$CM$1),"TOTALE",IF(AND((ROW()-2)=MAX($BV$2:$BW$2)+3,$BY$1=0,$BZ$1=0,$CP$1=0,$CM$1=0),"TOTALE",IF(AND((ROW()-2)=MAX($BV$2:$BW$2)+4,$BY$1&gt;0,$BZ$1&gt;0,$CP$1&gt;0,$CM$1&gt;0,$CP$1=$CM$1),"TOTALE",""))))))))))))))))))))))))))</f>
        <v/>
      </c>
      <c r="BZ4" s="259" t="str">
        <f ca="1">IFERROR(IF(OR($DS$231&lt;&gt;$DT$231,$DU$231&lt;&gt;$DV$231,$EO$25&lt;&gt;0,$EO$26&lt;&gt;0),INDEX($T$3:$V$220,MATCH(ROWS($BV$3:BV4),$V$3:$V$220,0),1),CONCATENATE(BV4,BY4)),"")</f>
        <v/>
      </c>
      <c r="CA4" s="259">
        <f t="shared" ref="CA4:CA67" ca="1" si="65">IFERROR(INDEX($BV$3:$BW$225,MATCH(BZ4,$BV$3:$BV$225,0),2),INDEX($BL$3:$BW$225,MATCH(BZ4,$BL$3:$BL$225,0),2))</f>
        <v>0</v>
      </c>
      <c r="CB4" s="259" t="str">
        <f ca="1">IFERROR(IF(OR($BB$1&lt;&gt;$BD$1,$BC$1&lt;&gt;$BE$1,$DS$231&lt;&gt;$DT$231,$DU$231&lt;&gt;$DV$231,$EO$25&lt;&gt;0,$EO$26&lt;&gt;0),INDEX($BI$3:$BK$220,MATCH(ROWS($CB$3:CB4),$BK$3:$BK$220,0),1),CONCATENATE(BQ4,BX4)),"")</f>
        <v/>
      </c>
      <c r="CC4" s="259" t="str">
        <f t="shared" ref="CC4:CC67" ca="1" si="66">INDEX($BQ$3:$BR$225,MATCH(CB4,$BQ$3:$BQ$225,0),2)</f>
        <v/>
      </c>
      <c r="CD4" s="259" t="str">
        <f t="shared" si="6"/>
        <v/>
      </c>
      <c r="CE4" s="259">
        <f ca="1">IF(IFERROR(MATCH(CD4,DENOMINAZIONE_GIORNALE,0),0)&gt;0,MAX(CE$2:CE3)+1,0)</f>
        <v>0</v>
      </c>
      <c r="CF4" s="259" t="str">
        <f ca="1">IFERROR(INDEX($CD$3:$CE$220,MATCH(ROWS($CF$3:CF4),$CE$3:$CE$220,0),1),"")</f>
        <v/>
      </c>
      <c r="CG4" s="259">
        <f t="shared" ca="1" si="7"/>
        <v>0</v>
      </c>
      <c r="CH4" s="259" t="str">
        <f ca="1">IF(IF(CG4&lt;&gt;0,MAX($CH$2:CH3)+1,0)=0,"",IF(CG4&lt;&gt;"",MAX($CH$2:CH3)+1,0))</f>
        <v/>
      </c>
      <c r="CI4" s="259" t="str">
        <f ca="1">IFERROR(INDEX($CF$3:$CG$220,MATCH(ROWS($CI$3:CI4),$CH$3:$CH$220,0),1),"")</f>
        <v/>
      </c>
      <c r="CJ4" s="259" t="str">
        <f t="shared" ref="CJ4:CJ67" ca="1" si="67">IFERROR(IF(INDEX($CF$3:$CG$220,MATCH(CI4,$CF$3:$CF$220,0),2)=0,"",INDEX($CF$3:$CG$220,MATCH(CI4,$CF$3:$CF$220,0),2)),"")</f>
        <v/>
      </c>
      <c r="CK4" s="259" t="str">
        <f t="shared" si="8"/>
        <v/>
      </c>
      <c r="CL4" s="259">
        <f ca="1">IF(IFERROR(MATCH(CK4,DENOMINAZIONE_GIORNALE,0),0)&gt;0,MAX(CL$2:CL3)+1,0)</f>
        <v>0</v>
      </c>
      <c r="CM4" s="259" t="str">
        <f ca="1">IFERROR(INDEX($CK$3:$CL$220,MATCH(ROWS($CM$3:CM4),$CL$3:$CL$220,0),1),"")</f>
        <v/>
      </c>
      <c r="CN4" s="259" t="str">
        <f t="shared" ca="1" si="9"/>
        <v/>
      </c>
      <c r="CO4" s="259">
        <f ca="1">IF(IF(CN4&lt;&gt;0,MAX($CO$2:CO3)+1,0)=0,"",IF(CN4&lt;&gt;"",MAX($CO$2:CO3)+1,0))</f>
        <v>0</v>
      </c>
      <c r="CP4" s="259" t="str">
        <f ca="1">IFERROR(INDEX($CM$3:$CN$220,MATCH(ROWS(CP$3:CP4),$CO$3:$CO$220,0),1),"")</f>
        <v/>
      </c>
      <c r="CQ4" s="259" t="str">
        <f ca="1">IFERROR(INDEX($CM$3:$CN$220,MATCH(ROWS(CQ$3:CQ4),$CO$3:$CO$220,0),2),"")</f>
        <v/>
      </c>
      <c r="CR4" s="259" t="str">
        <f t="shared" ca="1" si="10"/>
        <v/>
      </c>
      <c r="CS4" s="259">
        <f t="shared" ca="1" si="11"/>
        <v>0</v>
      </c>
      <c r="CT4" s="259">
        <f t="shared" ca="1" si="12"/>
        <v>0</v>
      </c>
      <c r="CU4" s="259">
        <f ca="1">IF(OR(CS4&gt;0,CT4&gt;0),MAX($CU$2:CU3)+1,0)</f>
        <v>0</v>
      </c>
      <c r="CV4" s="259" t="str">
        <f ca="1">IFERROR(INDEX(PIANO_DEI_CONTI,MATCH(ROWS($CV$3:CV4),$CU$3:$CU$200,0),2),"")</f>
        <v/>
      </c>
      <c r="CW4" s="259">
        <f ca="1">IFERROR(IF(CV4&lt;&gt;"",MAX($CW$2:CW3)+1,0),0)</f>
        <v>0</v>
      </c>
      <c r="CX4" s="259">
        <f t="shared" ref="CX4:CX19" ca="1" si="68">$EA$3</f>
        <v>1</v>
      </c>
      <c r="CY4" s="259" t="str">
        <f t="shared" ca="1" si="13"/>
        <v>MASTRO</v>
      </c>
      <c r="DA4" s="259" t="str">
        <f ca="1">IF(DB3="","","Num. riga")</f>
        <v/>
      </c>
      <c r="DB4" s="259" t="str">
        <f ca="1">IF(DB3="","","Data")</f>
        <v/>
      </c>
      <c r="DC4" s="259" t="str">
        <f ca="1">IF(DB3="","","Operazioni")</f>
        <v/>
      </c>
      <c r="DD4" s="259" t="str">
        <f ca="1">IF(DB3="","","Dare        ")</f>
        <v/>
      </c>
      <c r="DE4" s="259" t="str">
        <f ca="1">IF(DB3="","","Avere        ")</f>
        <v/>
      </c>
      <c r="DF4" s="259">
        <f ca="1">IF(AND(CX4=$DE$2,$DF$2&lt;&gt;0),0,IF(AND(DB4&lt;&gt;"",OR(DB3&lt;&gt;"",DB5&lt;&gt;"")),MAX($DF$2:DF3)+1,0))</f>
        <v>0</v>
      </c>
      <c r="DG4" s="259" t="str">
        <f>IF(OR(VALORI_INIZIALI!E9="",AND(VALORI_INIZIALI!E9&lt;&gt;"",VALORI_INIZIALI!H9=0,VALORI_INIZIALI!I9=0)),"",IFERROR(INDEX(PIANO_DEI_CONTI,MATCH(BB4,DENOMINAZIONE,0),1),0))</f>
        <v/>
      </c>
      <c r="DH4" s="259">
        <f ca="1">IFERROR(IF($J$1=1,IF(INDEX(PIANO_DEI_CONTI,MATCH($K4,DENOMINAZIONE,0),5)=$DF$1,MAX($DH$2:DH3)+1,0),IF($J$1=2,IF(INDEX(PIANO_DEI_CONTI,MATCH($K4,DENOMINAZIONE,0),7)=$DF$1,MAX($DH$2:DH3)+1,0))),0)</f>
        <v>0</v>
      </c>
      <c r="DI4" s="259">
        <f ca="1">IFERROR(INDEX($K$3:$K$220,MATCH(ROWS($DI$3:DI4),$DH$3:$DH$220,0),1),0)</f>
        <v>0</v>
      </c>
      <c r="DJ4" s="259">
        <f t="shared" ca="1" si="14"/>
        <v>0</v>
      </c>
      <c r="DK4" s="259">
        <f ca="1">IF(DJ4=0,0,MAX(DK$2:DK3)+1)</f>
        <v>0</v>
      </c>
      <c r="DL4" s="259">
        <f ca="1">IFERROR(INDEX(PIANO_DEI_CONTI,MATCH(ROWS(DL$3:DL4),$DK$3:DK231,0),2),0)</f>
        <v>0</v>
      </c>
      <c r="DM4" s="259">
        <f t="shared" ca="1" si="15"/>
        <v>0</v>
      </c>
      <c r="DN4" s="259">
        <f t="shared" ca="1" si="16"/>
        <v>0</v>
      </c>
      <c r="DO4" s="259">
        <f t="shared" ref="DO4:DO67" ca="1" si="69">IF(AND(DL4&lt;&gt;"",$DM4&gt;$DN4,OR($DM4&gt;0,$DN4&gt;0)),$DM4-$DN4,0)</f>
        <v>0</v>
      </c>
      <c r="DP4" s="259">
        <f t="shared" ref="DP4:DP67" ca="1" si="70">IF(AND(DL4&lt;&gt;"",$DM4&lt;$DN4,OR($DM4&gt;0,$DN4&gt;0)),$DN4-$DM4,0)</f>
        <v>0</v>
      </c>
      <c r="DQ4" s="259">
        <f ca="1">IF(OR($DQ$1="TOTALI",$DQ$1="TOTALI ED ECCEDENZE"),IF(OR(DM4&gt;0,DN4&gt;0),MAX(DQ$2:DQ3)+1,0),IF($DQ$1="ECCEDENZE",IF(OR(DO4&gt;0,DP4&gt;0),MAX(DQ$2:DQ3)+1,0),""))</f>
        <v>0</v>
      </c>
      <c r="DR4" s="259" t="str">
        <f ca="1">IFERROR(INDEX($DL$3:$DQ$230,MATCH(ROWS(DR$3:DR4),$DQ$3:$DQ$230,0),1),"")</f>
        <v/>
      </c>
      <c r="DS4" s="259" t="str">
        <f t="shared" ref="DS4:DS67" ca="1" si="71">IFERROR(IF($DQ$1="eccedenze",INDEX($DL$3:$DP$230,MATCH($DR4,$DL$3:$DL$230,0),4),IF(OR($DQ$1="totali",$DQ$1="TOTALI ED ECCEDENZE"),INDEX($DL$3:$DP$230,MATCH($DR4,$DL$3:$DL$230,0),2),"")),"")</f>
        <v/>
      </c>
      <c r="DT4" s="259" t="str">
        <f t="shared" ref="DT4:DT67" ca="1" si="72">IFERROR(IF($DQ$1="eccedenze",INDEX($DL$3:$DP$230,MATCH($DR4,$DL$3:$DL$230,0),5),IF(OR($DQ$1="totali",$DQ$1="TOTALI ED ECCEDENZE"),INDEX($DL$3:$DP$230,MATCH($DR4,$DL$3:$DL$230,0),3),"")),"")</f>
        <v/>
      </c>
      <c r="DU4" s="259" t="str">
        <f t="shared" ref="DU4:DU67" ca="1" si="73">IF(AND($DR4&lt;&gt;"",$DS4&gt;$DT4,$DQ$1="TOTALI ED ECCEDENZE",OR($DS4&gt;0,$DT4&gt;0)),$DS4-$DT4,IF(DS4=DT4,"",""))</f>
        <v/>
      </c>
      <c r="DV4" s="259" t="str">
        <f t="shared" ref="DV4:DV67" ca="1" si="74">IF(AND($DR4&lt;&gt;"",$DS4&lt;$DT4,$DQ$1="TOTALI ED ECCEDENZE",OR($DS4&gt;0,$DT4&gt;0)),$DT4-$DS4,IF(DT4=DS4,"",""))</f>
        <v/>
      </c>
      <c r="DW4" s="259">
        <f t="shared" ref="DW4:DW67" ca="1" si="75">IF(OR(AND(DR4&lt;&gt;"",$DQ$1="TOTALI ED ECCEDENZE"),AND(DX4="TOTALI",$DQ$1="TOTALI ED ECCEDENZE")),1,0)</f>
        <v>0</v>
      </c>
      <c r="DX4" s="259" t="str">
        <f t="shared" ref="DX4:DX67" ca="1" si="76">IF($EV$1&gt;0,"",IF((ROW()-2)=$DW$1+1,IF(AND(MATCH("PATRIMONIO NETTO",$DR$3:$DR$230,0)&gt;0,$BB$1=$BD$1,$BC$1=$BE$1,$DS$231=$DT$231,$EO$25=0,$EO$26=0),"TOTALI",""),""))</f>
        <v/>
      </c>
      <c r="DY4" s="259" t="str">
        <f t="shared" ref="DY4:DY67" ca="1" si="77">IF($DX4="TOTALI",$DS$231,"")</f>
        <v/>
      </c>
      <c r="DZ4" s="259" t="str">
        <f t="shared" ref="DZ4:DZ67" ca="1" si="78">IF(IF($DX4="TOTALI",$DU$231,"")=0,"",IF($DX4="TOTALI",$DU$231,""))</f>
        <v/>
      </c>
      <c r="EA4" s="259">
        <f t="shared" ref="EA4:EA67" ca="1" si="79">SUM(JJ4,JL4)</f>
        <v>2</v>
      </c>
      <c r="EB4" s="259" t="s">
        <v>348</v>
      </c>
      <c r="ED4" s="259">
        <f t="shared" ca="1" si="17"/>
        <v>0</v>
      </c>
      <c r="EE4" s="259" t="str">
        <f t="shared" ca="1" si="18"/>
        <v/>
      </c>
      <c r="EF4" s="259" t="str">
        <f t="shared" ca="1" si="19"/>
        <v/>
      </c>
      <c r="EG4" s="259" t="str">
        <f ca="1">IF(CR4="TOTALE COSTI",$CP$1,IF(CR4="TOTALE A PAREGGIO",$CM$1,IF(OR(CR4="SALDO ECONOMICO POSITIVO",CR4="UTILE D'ESERCIZIO"),$CM$1-$CP$1,"")))</f>
        <v/>
      </c>
      <c r="EH4" s="259" t="str">
        <f t="shared" ref="EH4:EH67" ca="1" si="80">CP4</f>
        <v/>
      </c>
      <c r="EI4" s="260" t="b">
        <f ca="1">IF(INDIRECT(ADDRESS(ROW()+4,1,,,"PIANO_DEI_CONTI"))="X",TRUE,FALSE)</f>
        <v>1</v>
      </c>
      <c r="EJ4" s="260" t="b">
        <f ca="1">IF(INDIRECT(ADDRESS(ROW()+4,2,,,"PIANO_DEI_CONTI"))="X",TRUE,FALSE)</f>
        <v>1</v>
      </c>
      <c r="EK4" s="260" t="b">
        <f ca="1">IF(INDIRECT(ADDRESS(ROW()+4,3,,,"PIANO_DEI_CONTI"))="X",TRUE,FALSE)</f>
        <v>1</v>
      </c>
      <c r="EL4" s="259">
        <f t="shared" ref="EL4:EL67" si="81">ROW()-2</f>
        <v>2</v>
      </c>
      <c r="EM4" s="259">
        <f ca="1">IF(AND(BA4&gt;0,BA4&lt;=$EM$1),MAX($EM$2:EM3)+1,0)</f>
        <v>0</v>
      </c>
      <c r="EN4" s="259">
        <f t="shared" ref="EN4:EN67" ca="1" si="82">IF(EM4=$EL$1,ROW(),0)</f>
        <v>4</v>
      </c>
      <c r="EP4" s="259" t="str">
        <f t="shared" ca="1" si="20"/>
        <v/>
      </c>
      <c r="EQ4" s="259">
        <f t="shared" ca="1" si="21"/>
        <v>0</v>
      </c>
      <c r="ER4" s="259">
        <f ca="1">IF(ISNA(EQ4),MAX(ER$2:ER3)+1,0)</f>
        <v>0</v>
      </c>
      <c r="ES4" s="259" t="str">
        <f t="shared" ref="ES4:ES67" ca="1" si="83">IF(ER4&gt;=1,EZ4,"")</f>
        <v/>
      </c>
      <c r="ET4" s="259" t="str">
        <f ca="1">IFERROR(UPPER(INDEX($ER$3:$ES$500,MATCH(ROWS(ET$3:ET4),$ER$3:$ER$500,0),2)),"")</f>
        <v/>
      </c>
      <c r="EU4" s="259" t="s">
        <v>431</v>
      </c>
      <c r="EV4" s="259">
        <f ca="1">IF(EQ2&gt;0,MAX($EV$3:EV3)+1,0)</f>
        <v>0</v>
      </c>
      <c r="EW4" s="259" t="str">
        <f ca="1">IF(AND(IFERROR(INDEX($EU$3:$EV$30,MATCH(ROWS($EX$3:EX4),$EV$3:$EV$30,0),1),"")&lt;&gt;"",EW5&lt;&gt;""),CONCATENATE(IFERROR(INDEX($EU$3:$EV$30,MATCH(ROWS($EX$3:EX4),$EV$3:$EV$30,0),1),"")," - "),IFERROR(INDEX($EU$3:$EV$30,MATCH(ROWS($EX$3:EX4),$EV$3:$EV$30,0),1),""))</f>
        <v/>
      </c>
      <c r="EY4" s="259">
        <f t="shared" ref="EY4:EZ67" ca="1" si="84">INDIRECT(ADDRESS(ROW()+5,COLUMN()-151,,,"VALORI_INIZIALI"))</f>
        <v>0</v>
      </c>
      <c r="EZ4" s="259">
        <f t="shared" ca="1" si="84"/>
        <v>0</v>
      </c>
      <c r="FA4" s="259" t="str">
        <f t="shared" ref="FA4:FA67" ca="1" si="85">IF(AND(CONCATENATE(INDIRECT(ADDRESS(ROW()+5,6,,,"VALORI_INIZIALI")),INDIRECT(ADDRESS(ROW()+5,7,,,"VALORI_INIZIALI")))="",EZ4&lt;&gt;0),"manca la descrizione dell'operazione",CONCATENATE(INDIRECT(ADDRESS(ROW()+5,6,,,"VALORI_INIZIALI")),INDIRECT(ADDRESS(ROW()+5,7,,,"VALORI_INIZIALI"))))</f>
        <v/>
      </c>
      <c r="FB4" s="259">
        <f t="shared" ref="FB4:FB67" ca="1" si="86">IF(EZ4=0,0,ROUND(INDIRECT(ADDRESS(ROW()+5,COLUMN()-150,,,"VALORI_INIZIALI")),2))</f>
        <v>0</v>
      </c>
      <c r="FC4" s="259">
        <f t="shared" ref="FC4:FC67" ca="1" si="87">IF(EZ4=0,0,ROUND(INDIRECT(ADDRESS(ROW()+5,COLUMN()-150,,,"VALORI_INIZIALI")),2))</f>
        <v>0</v>
      </c>
      <c r="FD4" s="259">
        <f t="shared" ca="1" si="22"/>
        <v>0</v>
      </c>
      <c r="FE4" s="259" t="str">
        <f t="shared" ca="1" si="23"/>
        <v/>
      </c>
      <c r="FF4" s="259" t="str">
        <f t="shared" ref="FF4:FF67" ca="1" si="88">IF(EZ4&lt;&gt;0,CONCATENATE(ROW()-2," V.I."),"")</f>
        <v/>
      </c>
      <c r="FG4" s="259" t="str">
        <f t="shared" ref="FG4:FG67" si="89">IF(AND(MID(AE4,1,2)="SP",AA4&lt;&gt;"PATRIMONIO NETTO",AA4&lt;&gt;"TITOLARE C/RITENUTE SUBITE",AA4&lt;&gt;"PRELEVAMENTI EXTRAGESTIONE"),AA4,"")</f>
        <v>BREVETTI</v>
      </c>
      <c r="FH4" s="259">
        <f t="shared" ca="1" si="24"/>
        <v>0</v>
      </c>
      <c r="FI4" s="259">
        <f t="shared" ca="1" si="25"/>
        <v>0</v>
      </c>
      <c r="FJ4" s="259">
        <f t="shared" ref="FJ4:FJ67" ca="1" si="90">IF(AND(FG4&lt;&gt;"",$FH4&gt;$FI4,OR($FH4&gt;0,$FI4&gt;0)),$FH4-$FI4,0)</f>
        <v>0</v>
      </c>
      <c r="FK4" s="259">
        <f t="shared" ref="FK4:FK67" ca="1" si="91">IF(AND($FG4&lt;&gt;"",$FI4&gt;$FH4,OR($FH4&gt;0,$FI4&gt;0)),$FI4-$FH4,0)</f>
        <v>0</v>
      </c>
      <c r="FL4" s="259">
        <f ca="1">IF(OR(FJ4&gt;0,FK4&gt;0),MAX($FL$2:FL3)+1,0)</f>
        <v>0</v>
      </c>
      <c r="FM4" s="259">
        <f t="shared" ca="1" si="26"/>
        <v>0</v>
      </c>
      <c r="FN4" s="259">
        <f ca="1">IF(FM4&lt;0,MAX($FN$2:FN3)+1,0)</f>
        <v>0</v>
      </c>
      <c r="FO4" s="259" t="str">
        <f t="shared" ref="FO4:FO67" ca="1" si="92">IF(FM4&lt;0,AA4,"")</f>
        <v/>
      </c>
      <c r="FP4" s="259" t="str">
        <f ca="1">IFERROR(INDEX($FN$3:$FO$400,MATCH(ROWS($FP$3:FP4),$FN$3:$FN$400,0),2),"")</f>
        <v/>
      </c>
      <c r="FQ4" s="259" t="str">
        <f>IF(AE4="SE AVERE",MAX($FQ$2:FQ3)+1,"")</f>
        <v/>
      </c>
      <c r="FR4" s="259" t="str">
        <f>IF(AE4="SE DARE",MAX($FR$2:FR3)+1,"")</f>
        <v/>
      </c>
      <c r="FS4" s="259">
        <f>IF(AND(AE4="SP DARE",AA4&lt;&gt;$FS$1,AA4&lt;&gt;$FT$1),MAX($FS$2:FS3)+1,IF(AND(GQ4="SP DARE",AA4&lt;&gt;$FS$1,AA4&lt;&gt;$FT$1),MAX($FS$2:FS3)+1,""))</f>
        <v>91</v>
      </c>
      <c r="FT4" s="259" t="str">
        <f ca="1">IF(AND(AE4="SP AVERE",AA4&lt;&gt;$FU$1),MAX($FT$2:FT3)+1,IF(AND(GQ4="SP AVERE",AA4&lt;&gt;$FU$1),MAX($FT$2:FT3)+1,""))</f>
        <v/>
      </c>
      <c r="FU4" s="259">
        <f t="shared" ref="FU4:FU67" ca="1" si="93">SUM(FQ4:FT4)</f>
        <v>91</v>
      </c>
      <c r="FV4" s="259" t="str">
        <f t="shared" ref="FV4:FV67" si="94">AA4</f>
        <v>BREVETTI</v>
      </c>
      <c r="FW4" s="259" t="str">
        <f ca="1">IFERROR(INDEX($FU$3:$FV$500,MATCH(ROWS($FW$3:FW4),$FU$3:$FU$500,0),2),0)</f>
        <v>MERCI C/VENDITE ON LINE</v>
      </c>
      <c r="FX4" s="259">
        <f t="shared" ref="FX4:FX67" ca="1" si="95">IF(FW4&lt;&gt;0,ROW()-2,0)</f>
        <v>2</v>
      </c>
      <c r="FY4" s="259">
        <f t="shared" ref="FY4:FY67" ca="1" si="96">IF(AND(ROW()&lt;=$FX$1,FX4=0),ROW()-2,0)</f>
        <v>0</v>
      </c>
      <c r="FZ4" s="259">
        <f ca="1">IF(FY4&gt;0,MAX($FZ$2:FZ3)+1,0)</f>
        <v>0</v>
      </c>
      <c r="GA4" s="259">
        <f ca="1">IFERROR(INDEX($FY$3:$FZ$500,MATCH(ROWS($GA$3:GA4),$FZ$3:$FZ$500,0),1),0)</f>
        <v>21</v>
      </c>
      <c r="GB4" s="259" t="s">
        <v>205</v>
      </c>
      <c r="GC4" s="259">
        <f t="shared" ref="GC4:GC67" ca="1" si="97">FX4+FY4</f>
        <v>2</v>
      </c>
      <c r="GD4" s="259" t="str">
        <f t="shared" ref="GD4:GD67" ca="1" si="98">IFERROR(IF(FX4&gt;0,FW4,INDEX($GA$3:$GB$400,MATCH(ROW()-2,$GA$3:$GA$400,0),2)),0)</f>
        <v>MERCI C/VENDITE ON LINE</v>
      </c>
      <c r="GE4" s="259">
        <f ca="1">CP1</f>
        <v>0</v>
      </c>
      <c r="GG4" s="259">
        <f t="shared" ca="1" si="27"/>
        <v>0</v>
      </c>
      <c r="GH4" s="259">
        <f t="shared" ref="GH4:GH67" ca="1" si="99">IFERROR(INDEX($GA$3:$GF$400,MATCH(ROW()-2,$GA$3:$GA$400,0),6),0)</f>
        <v>0</v>
      </c>
      <c r="GI4" s="259">
        <f t="shared" ref="GI4:GI67" ca="1" si="100">IFERROR(INDEX($DL$3:$DP$400,MATCH($FW4,$DL$3:$DL$400,0),5),0)</f>
        <v>0</v>
      </c>
      <c r="GJ4" s="259">
        <f t="shared" ref="GJ4:GJ67" ca="1" si="101">IFERROR(INDEX($DL$3:$DP$400,MATCH($FW4,$DL$3:$DL$400,0),4),0)</f>
        <v>0</v>
      </c>
      <c r="GK4" s="259">
        <f t="shared" ref="GK4:GK67" ca="1" si="102">GG4+GI4</f>
        <v>0</v>
      </c>
      <c r="GL4" s="259">
        <f t="shared" ref="GL4:GL67" ca="1" si="103">GH4+GJ4</f>
        <v>0</v>
      </c>
      <c r="GM4" s="259">
        <f ca="1">IF(OR(GK4&gt;0,GL4&gt;0),MAX($GM$2:GM3)+1,0)</f>
        <v>0</v>
      </c>
      <c r="GN4" s="259" t="str">
        <f ca="1">IFERROR(INDEX($GD$3:$GM$400,MATCH(ROWS($GN$3:GN4),$GM$3:$GM$400,0),1),"")</f>
        <v/>
      </c>
      <c r="GO4" s="259" t="str">
        <f ca="1">IFERROR(INDEX($GD$3:$GM$400,MATCH(ROWS($GO$3:GO4),$GM$3:$GM$400,0),8),"")</f>
        <v/>
      </c>
      <c r="GP4" s="259" t="str">
        <f ca="1">IFERROR(INDEX($GD$3:$GM$400,MATCH(ROWS($GP$3:GP4),$GM$3:$GM$400,0),9),"")</f>
        <v/>
      </c>
      <c r="GQ4" s="259">
        <f t="shared" ca="1" si="28"/>
        <v>0</v>
      </c>
      <c r="GR4" s="259">
        <f t="shared" ref="GR4:GR67" ca="1" si="104">IF(AND(FQ4&gt;0,ROW()=FU4),"epilogo a Conto economico",0)</f>
        <v>0</v>
      </c>
      <c r="GS4" s="259" t="str">
        <f t="shared" ref="GS4:GS67" si="105">IF(AND(ROW()-2&gt;=$GC$1,ROW()-2&lt;=$GK$1),"epilogo a Conto economico",IF(AND(ROW()-2&gt;=$GD$1,ROW()-2&lt;=$GL$1),"epilogo a Conto economico",IF(AND(ROW()-2&gt;=$GE$1,ROW()-2&lt;=$GN$1),"chiusura del conto",IF(AND(ROW()-2&gt;=$GF$1,ROW()-2&lt;=$GL$1),"epilogo a Conto economico",IF(ROW()-2=$GA$3,"epilogo componenti positivi",IF(ROW()-2=$GA$4,"epilogo componenti negativi",IF(AND(ROW()-2&gt;=$GA$7,ROW()-2&lt;=$GA$8),"rilevato utile d'esercizio",IF(AND(ROW()-2&gt;=$GA$5,ROW()-2&lt;=$GA$6),"rilevata perdita d'esercizio",IF(AND(ROW()-2&gt;=$GA$9,ROW()-2&lt;=$GA$10),"capitalizzato l'utile conseguito",IF(AND(ROW()-2&gt;=$GA$11,ROW()-2&lt;=$GA$12),"coperta perdita d'esercizio",IF(ROW()-2=$GA$13,"prelevamenti extragestione",IF(ROW()-2=$GA$15,"giro ritenute subite",IF(OR(ROW()-2=$GA$14,ROW()-2=$GA$16),"giro a patrimonio netto",IF(ROW()-2=$GA$17,"totale attività",IF(ROW()-2=$GA$18,"totale passività",IF(ROW()-2=$GA$19,"chiusura del conto",IF(ROW()-2=$GA$20,"patrimonio netto finale","")))))))))))))))))</f>
        <v>epilogo a Conto economico</v>
      </c>
      <c r="GT4" s="259" t="str">
        <f ca="1">IFERROR(INDEX($GD$3:$GS$400,MATCH(ROWS($GT$3:GT4),$GM$3:$GM$400,0),16),"")</f>
        <v/>
      </c>
      <c r="GU4" s="259">
        <f ca="1">IF(GQ4&lt;&gt;0,MAX($GU$2:$GU3)+1,0)</f>
        <v>0</v>
      </c>
      <c r="GV4" s="259">
        <f t="shared" ref="GV4:GV67" ca="1" si="106">IF(GU4&lt;&gt;0,AA4,0)</f>
        <v>0</v>
      </c>
      <c r="GW4" s="259" t="str">
        <f ca="1">IF(AND(IFERROR(INDEX($GU$3:$GV$400,MATCH(ROWS($GW$3:GW4),$GU$3:$GU$400,0),2),"")&lt;&gt;"",GW5&lt;&gt;""),CONCATENATE(IFERROR(INDEX($GU$3:$GV$400,MATCH(ROWS($GW$3:GW4),$GU$3:$GU$400,0),2),"")," - "),IFERROR(INDEX($GU$3:$GV$400,MATCH(ROWS($GW$3:GW4),$GU$3:$GU$400,0),2),""))</f>
        <v/>
      </c>
      <c r="GX4" s="259">
        <f ca="1">IF(OR(GN4="IVA NS/CREDITO",GN4="IVA NS/DEBITO",GN4="IVA C/ACCONTO",GN4="IMPOSTE C/ACCONTO"),MAX($GX$2:GX3)+1,0)</f>
        <v>0</v>
      </c>
      <c r="GY4" s="259" t="str">
        <f ca="1">IF(AND(IFERROR(INDEX($GN$3:$GX$200,MATCH(ROWS($GY$3:GY4),$GX$3:$GX$200,0),1),"")&lt;&gt;"",GY5&lt;&gt;""),CONCATENATE(IFERROR(INDEX($GN$3:$GX$200,MATCH(ROWS($GY$3:GY4),$GX$3:$GX$200,0),1),"")," - "),IFERROR(INDEX($GN$3:$GX$200,MATCH(ROWS($GY$3:GY4),$GX$3:$GX$200,0),1),""))</f>
        <v/>
      </c>
      <c r="GZ4" s="259" t="s">
        <v>16</v>
      </c>
      <c r="HA4" s="259" t="s">
        <v>615</v>
      </c>
      <c r="HB4" s="269" t="s">
        <v>256</v>
      </c>
      <c r="HC4" s="269" t="s">
        <v>276</v>
      </c>
      <c r="HD4" s="269" t="s">
        <v>9</v>
      </c>
      <c r="HE4" s="269" t="s">
        <v>206</v>
      </c>
      <c r="HL4" s="259" t="str">
        <f t="shared" ca="1" si="29"/>
        <v/>
      </c>
      <c r="HM4" s="259" t="str">
        <f t="shared" ca="1" si="30"/>
        <v/>
      </c>
      <c r="HN4" s="259" t="str">
        <f t="shared" ca="1" si="31"/>
        <v/>
      </c>
      <c r="HO4" s="259">
        <f ca="1">IF(HL4&lt;&gt;"",MAX($HO$2:HO3)+1,0)</f>
        <v>0</v>
      </c>
      <c r="HP4" s="259">
        <f ca="1">IF(HM4&lt;&gt;"",MAX($HP$2:HP3)+1,0)</f>
        <v>0</v>
      </c>
      <c r="HQ4" s="259">
        <f ca="1">IF(HN4&lt;&gt;"",MAX($HQ$2:HQ3)+1,0)</f>
        <v>0</v>
      </c>
      <c r="HR4" s="259" t="str">
        <f t="shared" ref="HR4:HR67" ca="1" si="107">IF($HL$2=0,"",IF(AND(ROW()-2=$HL$2+1,$HL$2&lt;&gt;0),"BILANCIO DI APERTURA",IF(AND(ROW()-2=$HL$2+2,$HL$2&lt;&gt;0,$HM$2&gt;0),"BILANCIO DI APERTURA",IF(AND(ROW()-2=$HL$2+2+$HM$2+1,$HM$2&lt;&gt;0),"BILANCIO DI APERTURA",IF(AND(ROW()-2=$HL$2+2,$HM$2=0),"BILANCIO DI APERTURA","")))))</f>
        <v/>
      </c>
      <c r="HS4" s="259" t="str">
        <f t="shared" ref="HS4:HS67" ca="1" si="108">CONCATENATE(HL4,HM4,HN4)</f>
        <v/>
      </c>
      <c r="HT4" s="259">
        <f t="shared" ref="HT4:HT67" ca="1" si="109">HO4+HP4+HQ4</f>
        <v>0</v>
      </c>
      <c r="HU4" s="259">
        <f t="shared" ref="HU4:HU67" ca="1" si="110">IF(HR4="BILANCIO DI APERTURA",ROW()-2,0)</f>
        <v>0</v>
      </c>
      <c r="HV4" s="259" t="str">
        <f ca="1">CONCATENATE(IFERROR(INDEX($HS$3:$HT$102,MATCH(ROWS($HV$3:HV4),$HT$3:$HT$102,0),1),""),HR4)</f>
        <v/>
      </c>
      <c r="IA4" s="259" t="s">
        <v>348</v>
      </c>
      <c r="IB4" s="259" t="s">
        <v>285</v>
      </c>
      <c r="IC4" s="259">
        <f ca="1">IFERROR(INDEX(PIANO_DEI_CONTI,MATCH(ROWS(DL$3:DL4),$DK$3:DK231,0),2),0)</f>
        <v>0</v>
      </c>
      <c r="ID4" s="259">
        <f t="shared" ref="ID4:ID67" ca="1" si="111">IFERROR(IF(AND(DL4&lt;&gt;"",$DM4&gt;$DN4,OR($DM4&gt;0,$DN4&gt;0)),$DM4-$DN4,0),0)</f>
        <v>0</v>
      </c>
      <c r="IE4" s="259">
        <f t="shared" ref="IE4:IE67" ca="1" si="112">IFERROR(IF(AND(DL4&lt;&gt;"",$DM4&lt;$DN4,OR($DM4&gt;0,$DN4&gt;0)),$DN4-$DM4,0),0)</f>
        <v>0</v>
      </c>
      <c r="IF4" s="259">
        <f t="shared" ref="IF4:IF67" ca="1" si="113">IFERROR(INDEX($AA$3:$EC$200,MATCH(IC4,$AA$3:$AA$200,0),106),"")</f>
        <v>0</v>
      </c>
      <c r="IG4" s="259">
        <f ca="1">IF(SUMIFS($ID$3:$ID$200,$IF$3:$IF$200,IA4)&gt;=SUMIFS($IE$3:$IE$200,$IF$3:$IF$200,IA4),ROUND(SUMIFS($ID$3:$ID$200,$IF$3:$IF$200,IA4)-SUMIFS($IE$3:$IE$200,$IF$3:$IF$200,IA4),0),0)</f>
        <v>0</v>
      </c>
      <c r="IH4" s="259">
        <f ca="1">IF(IG4&lt;&gt;0,MAX($IH$2:IH3)+1,0)</f>
        <v>0</v>
      </c>
      <c r="II4" s="259">
        <f>IF(AD4="costi pluriennali",MAX($II$2:II3)+1,0)</f>
        <v>2</v>
      </c>
      <c r="IJ4" s="259">
        <f>IF($AD4="rettifiche costi pluriennali",MAX($IJ$2:IJ3)+1,0)</f>
        <v>0</v>
      </c>
      <c r="IK4" s="259">
        <f t="shared" ref="IK4:IK67" si="114">MAX(II4,IJ4)</f>
        <v>2</v>
      </c>
      <c r="IL4" s="259" t="str">
        <f t="shared" ref="IL4:IL67" si="115">IF(IK4&gt;0,AA4,"")</f>
        <v>BREVETTI</v>
      </c>
      <c r="IM4" s="259">
        <f t="shared" ref="IM4:IM67" ca="1" si="116">IFERROR(INDEX($IC$3:$IK$200,MATCH(IL4,$IC$3:$IC$200,0),2),0)</f>
        <v>0</v>
      </c>
      <c r="IN4" s="259">
        <f ca="1">IFERROR(INDEX($IC$3:$IK$200,MATCH(IL4,$IC$3:$IC$200,0),3),0)</f>
        <v>0</v>
      </c>
      <c r="IO4" s="259">
        <f ca="1">SUMIFS($IM$3:$IM$200,$IK$3:$IK$200,ROWS($IO$3:IO4))-SUMIFS($IN$3:$IN$200,$IK$3:$IK$200,ROWS($IO$3:IO4))</f>
        <v>0</v>
      </c>
      <c r="IP4" s="259" t="str">
        <f ca="1">IF(IO4&lt;0,INDEX($IJ$3:$IL$200,MATCH(ROWS($IP$3:IP4),$IJ$3:$IJ$200,0),3),"")</f>
        <v/>
      </c>
      <c r="IQ4" s="259">
        <f ca="1">IF(IP4&lt;&gt;"",MAX($IQ$2:IQ3)+1,0)</f>
        <v>0</v>
      </c>
      <c r="IR4" s="259" t="str">
        <f ca="1">IFERROR(INDEX($IP$3:$IQ$200,MATCH(ROWS($IR$3:IR4),$IQ$3:$IQ$200,0),1),"")</f>
        <v/>
      </c>
      <c r="IS4" s="259" t="str">
        <f t="shared" ref="IS4:IS67" ca="1" si="117">IF(AND($HM$2&gt;0,SUM($FJ$3:$FJ$120)&lt;&gt;0,ROW()-2=$HP$2-1),SUM($FJ$3:$FJ$120),IF(AND($HM$2=0,SUM($FJ$3:$FJ$120)&lt;&gt;0,ROW()-2=$HP$2),SUM($FJ$3:$FJ$120),""))</f>
        <v/>
      </c>
      <c r="IT4" s="259" t="str">
        <f t="shared" ref="IT4:IT67" ca="1" si="118">IF(AND(ROW()-2=$HP$2,SUM($FK$3:$FK$120)&lt;&gt;0),SUM($FK$3:$FK$120),"")</f>
        <v/>
      </c>
      <c r="IU4" s="259" t="str">
        <f t="shared" ref="IU4:IU67" ca="1" si="119">IF(ROW()-2=$HQ$2,SUM($IS$3:$IS$200)-SUM($IT$3:$IT$200),"")</f>
        <v/>
      </c>
      <c r="IV4" s="259" t="str">
        <f t="shared" ref="IV4:IV67" ca="1" si="120">IFERROR(IF(INDEX($FG$3:$HV$200,MATCH($HV4,$FG$3:$FG$200,0),4)=0,"",INDEX($FG$3:$HV$200,MATCH($HV4,$FG$3:$FG$200,0),4)),"")</f>
        <v/>
      </c>
      <c r="IW4" s="259" t="str">
        <f t="shared" ref="IW4:IW67" ca="1" si="121">IFERROR(IF(INDEX($FG$3:$HV$200,MATCH($HV4,$FG$3:$FG$200,0),5)=0,"",INDEX($FG$3:$HV$200,MATCH($HV4,$FG$3:$FG$200,0),5)),"")</f>
        <v/>
      </c>
      <c r="IX4" s="259" t="str">
        <f t="shared" ref="IX4:IX67" ca="1" si="122">IF(SUM(IV4,IT4,IU4)=0,"",SUM(IV4,IT4,IU4))</f>
        <v/>
      </c>
      <c r="IY4" s="259" t="str">
        <f t="shared" ref="IY4:IY67" ca="1" si="123">IF(SUM(IW4,IS4)=0,"",SUM(IW4,IS4))</f>
        <v/>
      </c>
      <c r="IZ4" s="259" t="str">
        <f t="shared" ref="IZ4:IZ67" ca="1" si="124">IF(AND(IX4="",IY4=""),"",IF(OR(IV4&lt;&gt;"",IW4&lt;&gt;""),"apertura del conto",IF(IS4&lt;&gt;"","totale attività",IF(IT4&lt;&gt;"","totale passività",IF(IU4&lt;&gt;"","patrimonio netto iniziale","")))))</f>
        <v/>
      </c>
      <c r="JA4" s="259" t="str">
        <f t="shared" ref="JA4:JA67" ca="1" si="125">IF(EY4&gt;0,YEAR(EY4),"")</f>
        <v/>
      </c>
      <c r="JB4" s="259">
        <f t="shared" ca="1" si="32"/>
        <v>0</v>
      </c>
      <c r="JC4" s="259">
        <f t="shared" ref="JC4:JC67" ca="1" si="126">IF(OR(AND(FB4&lt;0,FC4&lt;0),FB4&lt;0,FC4&lt;0),1,0)</f>
        <v>0</v>
      </c>
      <c r="JE4" s="259">
        <f ca="1">IFERROR(INDEX(LIBRO_GIORNALE!$N$11:$O$408,MATCH(ROWS($JE$2:JE3),LIBRO_GIORNALE!$O$11:$O$408,0),1),0)</f>
        <v>0</v>
      </c>
      <c r="JF4" s="259" t="str">
        <f t="shared" ref="JF4:JF67" ca="1" si="127">UPPER(IFERROR(INDEX($EX$103:$EZ$400,MATCH(JE4,$EX$103:$EX$400,0),3),0))</f>
        <v>0</v>
      </c>
      <c r="JG4" s="259">
        <f t="shared" ref="JG4:JG67" ca="1" si="128">IF(EXACT(JF4,JF3),0,IF($JG$1=1,IFERROR(MATCH($JF4,$CV$3:$CV$220,0),0),0))</f>
        <v>0</v>
      </c>
      <c r="JH4" s="259">
        <f ca="1">IF(JJ4&gt;0,0,MAX($JH$2:JH3)+1)</f>
        <v>2</v>
      </c>
      <c r="JI4" s="259">
        <f ca="1">IF(JG4&gt;0,MAX($JI$2:JI3)+1,0)</f>
        <v>0</v>
      </c>
      <c r="JJ4" s="259">
        <f ca="1">IFERROR(INDEX($JG$3:$JI$124,MATCH(ROWS($JJ$3:JJ4),$JI$3:$JI$124,0),1),0)</f>
        <v>0</v>
      </c>
      <c r="JK4" s="259">
        <f t="shared" ref="JK4:JK67" ca="1" si="129">IFERROR(IF(JH4&gt;0,MATCH(JH4,$JJ$3:$JJ$124,0),0),0)</f>
        <v>0</v>
      </c>
      <c r="JL4" s="259">
        <f t="shared" ref="JL4:JL67" ca="1" si="130">IF(JK4=0,JH4,0)</f>
        <v>2</v>
      </c>
      <c r="JM4" s="259">
        <v>1</v>
      </c>
    </row>
    <row r="5" spans="1:273">
      <c r="A5" s="259" t="str">
        <f t="shared" si="33"/>
        <v>01.03</v>
      </c>
      <c r="B5" s="259" t="str">
        <f t="shared" si="34"/>
        <v>BREVETTI</v>
      </c>
      <c r="C5" s="259" t="str">
        <f t="shared" si="35"/>
        <v>E</v>
      </c>
      <c r="D5" s="259" t="str">
        <f t="shared" si="36"/>
        <v>D</v>
      </c>
      <c r="E5" s="259" t="str">
        <f t="shared" si="37"/>
        <v>COSTI PLURIENNALI</v>
      </c>
      <c r="F5" s="259" t="str">
        <f t="shared" si="38"/>
        <v>SP DARE</v>
      </c>
      <c r="G5" s="259">
        <f t="shared" ca="1" si="39"/>
        <v>1</v>
      </c>
      <c r="H5" s="259">
        <f t="shared" ca="1" si="40"/>
        <v>1</v>
      </c>
      <c r="I5" s="259">
        <f t="shared" ca="1" si="41"/>
        <v>1</v>
      </c>
      <c r="J5" s="259">
        <v>2</v>
      </c>
      <c r="K5" s="259" t="str">
        <f ca="1">IFERROR(IF($I$1=1,INDEX($AA$3:$AS$220,MATCH(ROWS($K$3:K5),$AQ$3:$AQ$220,0),1),IF($I$1=2,INDEX($AA$3:$AS$220,MATCH(ROWS($K$3:K5),$AR$3:$AR$220,0),1),IF($I$1=3,INDEX($AA$3:$AS$220,MATCH(ROWS($K$3:K5),$AS$3:$AS$220,0),1),""))),"")</f>
        <v>SOFTWARE</v>
      </c>
      <c r="L5" s="259">
        <f ca="1">IF(AND($L$1="VISUALIZZA TUTTI I CONTI",K5&lt;&gt;""),MAX(L4:L4)+1,IFERROR(IF($J$1=1,IF(INDEX(PIANO_DEI_CONTI,MATCH($K5,DENOMINAZIONE,0),5)=$L$1,MAX($L$2:L4)+1,0),IF($J$1=2,IF(INDEX(PIANO_DEI_CONTI,MATCH($K5,DENOMINAZIONE,0),7)=$L$1,MAX($L$2:L4)+1,0))),0))</f>
        <v>3</v>
      </c>
      <c r="M5" s="259" t="str">
        <f ca="1">IFERROR(INDEX($K$3:$K$220,MATCH(ROWS($M$3:M5),$L$3:$L$220,0),1),"")</f>
        <v>SOFTWARE</v>
      </c>
      <c r="N5" s="259" t="s">
        <v>266</v>
      </c>
      <c r="O5" s="259" t="str">
        <f t="shared" ca="1" si="42"/>
        <v/>
      </c>
      <c r="P5" s="259">
        <f ca="1">IF(AND(N5=O5,O5&lt;&gt;""),MAX(P$2:P4)+1,0)</f>
        <v>0</v>
      </c>
      <c r="Q5" s="275" t="str">
        <f ca="1">IF(IFERROR(INDEX($O$3:$P$220,MATCH(ROWS(Q$3:Q5),$P$3:$P$220,0),1),"")=0,"",IFERROR(INDEX($O$3:$P$220,MATCH(ROWS(Q$3:Q5),$P$3:$P$220,0),1),""))</f>
        <v>IMMOBILIZZAZIONI MATERIALI</v>
      </c>
      <c r="R5" s="259" t="str">
        <f t="shared" si="1"/>
        <v>SOFTWARE</v>
      </c>
      <c r="S5" s="259">
        <f ca="1">IF(IFERROR(MATCH(R5,DENOMINAZIONE_GIORNALE,0),0)&gt;0,MAX(S$2:S4)+1,0)</f>
        <v>0</v>
      </c>
      <c r="T5" s="259" t="str">
        <f ca="1">IFERROR(INDEX($R$3:$S$220,MATCH(ROWS($T$3:T5),$S$3:$S$220,0),1),"")</f>
        <v/>
      </c>
      <c r="U5" s="259">
        <f t="shared" ca="1" si="2"/>
        <v>0</v>
      </c>
      <c r="V5" s="259">
        <f ca="1">IF(IF(U5&lt;&gt;0,MAX($V$2:V4)+1,0)=0,0,IF(U5&lt;&gt;0,MAX($V$2:V4)+1,0))</f>
        <v>0</v>
      </c>
      <c r="W5" s="259" t="str">
        <f t="shared" si="43"/>
        <v>01.03</v>
      </c>
      <c r="X5" s="259" t="str">
        <f t="shared" si="44"/>
        <v>BREVETTI</v>
      </c>
      <c r="Y5" s="259">
        <f>IF(W5="",0,MAX($Y$2:Y4)+1)</f>
        <v>2</v>
      </c>
      <c r="Z5" s="259" t="str">
        <f>IFERROR(INDEX($W$3:$Y$220,MATCH(ROWS($Z$2:Z4),$Y$3:$Y$220,0),1),"")</f>
        <v>01.04</v>
      </c>
      <c r="AA5" s="259" t="str">
        <f t="shared" si="45"/>
        <v>SOFTWARE</v>
      </c>
      <c r="AB5" s="259" t="str">
        <f t="shared" si="46"/>
        <v>E</v>
      </c>
      <c r="AC5" s="259" t="str">
        <f t="shared" si="47"/>
        <v>D</v>
      </c>
      <c r="AD5" s="259" t="str">
        <f t="shared" si="48"/>
        <v>COSTI PLURIENNALI</v>
      </c>
      <c r="AE5" s="259" t="str">
        <f t="shared" si="49"/>
        <v>SP DARE</v>
      </c>
      <c r="AF5" s="259" t="str">
        <f t="shared" si="50"/>
        <v>IMMOBILIZZAZIONI IMMATERIALI</v>
      </c>
      <c r="AG5" s="259">
        <f t="shared" ca="1" si="51"/>
        <v>1</v>
      </c>
      <c r="AH5" s="259">
        <f t="shared" ca="1" si="52"/>
        <v>1</v>
      </c>
      <c r="AI5" s="259">
        <f t="shared" ca="1" si="53"/>
        <v>1</v>
      </c>
      <c r="AJ5" s="259" t="str">
        <f t="shared" si="54"/>
        <v>01</v>
      </c>
      <c r="AK5" s="259" t="str">
        <f t="shared" si="55"/>
        <v/>
      </c>
      <c r="AL5" s="259">
        <f>IF(AK5&lt;&gt;"",MAX($AL$2:AL4)+1,0)</f>
        <v>0</v>
      </c>
      <c r="AM5" s="259" t="str">
        <f>IFERROR(INDEX($AK$3:$AL$220,MATCH(ROWS($AM$3:AM5),$AL$3:$AL$220,0),1),"")</f>
        <v>03</v>
      </c>
      <c r="AN5" s="259" t="str">
        <f t="shared" si="56"/>
        <v>03.00</v>
      </c>
      <c r="AO5" s="259" t="str">
        <f t="shared" si="57"/>
        <v>IMMOBILIZZAZIONI FINANZIARIE</v>
      </c>
      <c r="AP5" s="259" t="str">
        <f t="shared" si="58"/>
        <v>IMMOBILIZZAZIONI IMMATERIALI</v>
      </c>
      <c r="AQ5" s="259">
        <f ca="1">IF(OR(AG5=0,AG5=""),0,MAX(AQ$2:AQ4)+1)</f>
        <v>3</v>
      </c>
      <c r="AR5" s="259">
        <f ca="1">IF(OR(AH5=0,AH5=""),0,MAX(AR$2:AR4)+1)</f>
        <v>3</v>
      </c>
      <c r="AS5" s="259">
        <f ca="1">IF(OR(AI5=0,AI5=""),0,MAX(AS$2:AS4)+1)</f>
        <v>3</v>
      </c>
      <c r="AT5" s="259" t="str">
        <f ca="1">IFERROR(INDEX($AD$3:$AS$220,MATCH(ROWS(AT$3:AT5),AQ$3:AQ$220,0),1),"")</f>
        <v>COSTI PLURIENNALI</v>
      </c>
      <c r="AU5" s="259" t="str">
        <f ca="1">IFERROR(INDEX($AD$3:$AS$220,MATCH(ROWS(AU$3:AU5),AR$3:AR$220,0),1),"")</f>
        <v>COSTI PLURIENNALI</v>
      </c>
      <c r="AV5" s="259" t="str">
        <f ca="1">IFERROR(INDEX($AD$3:$AS$220,MATCH(ROWS(AV$3:AV5),AS$3:AS$220,0),1),"")</f>
        <v>COSTI PLURIENNALI</v>
      </c>
      <c r="AW5" s="259" t="str">
        <f ca="1">IFERROR(INDEX($AP$3:$AS$220,MATCH(ROWS(AW$3:AW5),AQ$3:AQ$220,0),1),"")</f>
        <v>IMMOBILIZZAZIONI IMMATERIALI</v>
      </c>
      <c r="AX5" s="259" t="str">
        <f ca="1">IFERROR(INDEX($AP$3:$AS$220,MATCH(ROWS(AX$3:AX5),AR$3:AR$220,0),1),"")</f>
        <v>IMMOBILIZZAZIONI IMMATERIALI</v>
      </c>
      <c r="AY5" s="259" t="str">
        <f ca="1">IFERROR(INDEX($AP$3:$AS$220,MATCH(ROWS(AY$3:AY5),AS$3:AS$220,0),1),"")</f>
        <v>IMMOBILIZZAZIONI IMMATERIALI</v>
      </c>
      <c r="AZ5" s="276" t="str">
        <f t="shared" ca="1" si="59"/>
        <v/>
      </c>
      <c r="BA5" s="259">
        <f t="shared" ca="1" si="3"/>
        <v>0</v>
      </c>
      <c r="BB5" s="259">
        <f ca="1">IFERROR(INDEX($FG$3:$FL$400,MATCH(ROWS($BB$3:BB5),$FL$3:$FL$400,0),1),0)</f>
        <v>0</v>
      </c>
      <c r="BC5" s="259" t="str">
        <f t="shared" ca="1" si="60"/>
        <v/>
      </c>
      <c r="BD5" s="259">
        <f ca="1">IFERROR(INDEX($FG$3:$FL$400,MATCH(ROWS($BD$3:BD5),$FL$3:$FL$400,0),4),0)</f>
        <v>0</v>
      </c>
      <c r="BE5" s="259">
        <f ca="1">IFERROR(INDEX($FG$3:$FL$400,MATCH(ROWS($BE$3:BE5),$FL$3:$FL$400,0),5),0)</f>
        <v>0</v>
      </c>
      <c r="BF5" s="259" t="s">
        <v>247</v>
      </c>
      <c r="BG5" s="259" t="str">
        <f t="shared" si="4"/>
        <v/>
      </c>
      <c r="BH5" s="259">
        <f ca="1">IF(IFERROR(MATCH(BG5,DENOMINAZIONE_GIORNALE,0),0)&gt;0,MAX(BH$2:BH4)+1,0)</f>
        <v>0</v>
      </c>
      <c r="BI5" s="259" t="str">
        <f ca="1">IFERROR(INDEX($BG$3:$BH$220,MATCH(ROWS($BI$3:BI5),$BH$3:$BH$220,0),1),"")</f>
        <v/>
      </c>
      <c r="BJ5" s="259" t="str">
        <f t="shared" ca="1" si="5"/>
        <v/>
      </c>
      <c r="BK5" s="259" t="str">
        <f ca="1">IF(IF(BJ5&lt;&gt;"",MAX($BK$2:BK4)+1,0)=0,"",IF(BJ5&lt;&gt;"",MAX($BK$2:BK4)+1,0))</f>
        <v/>
      </c>
      <c r="BL5" s="259" t="str">
        <f ca="1">IFERROR(INDEX($T$3:$U$220, MATCH(ROWS(BL$3:BL5),$V$3:$V$220,0),1),"")</f>
        <v/>
      </c>
      <c r="BM5" s="259" t="str">
        <f ca="1">IFERROR(INDEX($T$3:$U$220, MATCH(ROWS(BM$3:BM5),$V$3:$V$220,0),2),"")</f>
        <v/>
      </c>
      <c r="BN5" s="259" t="str">
        <f ca="1">IF(IFERROR(INDEX($BI$3:$BJ$220,MATCH(ROWS(BN$3:BN5),$BK$3:$BK$220,0),1),"")="PATRIMONIO NETTO","",IFERROR(INDEX($BI$3:$BJ$220,MATCH(ROWS(BN$3:BN5),$BK$3:$BK$220,0),1),""))</f>
        <v/>
      </c>
      <c r="BO5" s="259" t="str">
        <f ca="1">IFERROR(INDEX($BI$3:$BJ$220,MATCH(ROWS(BO$3:BO5),$BK$3:$BK$220,0),2),"")</f>
        <v/>
      </c>
      <c r="BP5" s="259">
        <f ca="1">IF(BN5&lt;&gt;"",MAX(BP$2:$BP4)+1,0)</f>
        <v>0</v>
      </c>
      <c r="BQ5" s="259" t="str">
        <f ca="1">IFERROR(INDEX($BN$3:$BO$200,MATCH(ROWS(BQ$3:BQ5),$BP$3:$BP$220,0),1),"")</f>
        <v/>
      </c>
      <c r="BR5" s="259" t="str">
        <f ca="1">IFERROR(INDEX($BN$3:$BO$220,MATCH(ROWS(BR$3:BR5),$BP$3:$BP$220,0),2),"")</f>
        <v/>
      </c>
      <c r="BS5" s="259" t="str">
        <f ca="1">IFERROR(IF(OR(INDEX($T$3:$U$220,MATCH(ROWS(BL$3:BL5),$V$3:$V$220,0),1)="PRELEVAMENTI EXTRAGESTIONE",INDEX($T$3:$U$220,MATCH(ROWS(BL$3:BL5),$V$3:$V$220,0),1)="TITOLARE C/RITENUTE SUBITE"),"",INDEX($T$3:$U$220,MATCH(ROWS(BL$3:BL5),$V$3:$V$220,0),1)),"")</f>
        <v/>
      </c>
      <c r="BT5" s="259">
        <f t="shared" ca="1" si="61"/>
        <v>0</v>
      </c>
      <c r="BU5" s="259">
        <f ca="1">IF(BS5&lt;&gt;"",MAX(BU$2:BU4)+1,0)</f>
        <v>0</v>
      </c>
      <c r="BV5" s="259" t="str">
        <f ca="1">IFERROR(INDEX($BS$3:$BT$223,MATCH(ROWS(BV$3:BV5),$BU$3:$BU$223,0),1),"")</f>
        <v/>
      </c>
      <c r="BW5" s="259">
        <f t="shared" ca="1" si="62"/>
        <v>0</v>
      </c>
      <c r="BX5" s="259" t="str">
        <f t="shared" ca="1" si="63"/>
        <v/>
      </c>
      <c r="BY5" s="259" t="str">
        <f t="shared" ca="1" si="64"/>
        <v/>
      </c>
      <c r="BZ5" s="259" t="str">
        <f ca="1">IFERROR(IF(OR($DS$231&lt;&gt;$DT$231,$DU$231&lt;&gt;$DV$231,$EO$25&lt;&gt;0,$EO$26&lt;&gt;0),INDEX($T$3:$V$220,MATCH(ROWS($BV$3:BV5),$V$3:$V$220,0),1),CONCATENATE(BV5,BY5)),"")</f>
        <v/>
      </c>
      <c r="CA5" s="259">
        <f t="shared" ca="1" si="65"/>
        <v>0</v>
      </c>
      <c r="CB5" s="259" t="str">
        <f ca="1">IFERROR(IF(OR($BB$1&lt;&gt;$BD$1,$BC$1&lt;&gt;$BE$1,$DS$231&lt;&gt;$DT$231,$DU$231&lt;&gt;$DV$231,$EO$25&lt;&gt;0,$EO$26&lt;&gt;0),INDEX($BI$3:$BK$220,MATCH(ROWS($CB$3:CB5),$BK$3:$BK$220,0),1),CONCATENATE(BQ5,BX5)),"")</f>
        <v/>
      </c>
      <c r="CC5" s="259" t="str">
        <f t="shared" ca="1" si="66"/>
        <v/>
      </c>
      <c r="CD5" s="259" t="str">
        <f t="shared" si="6"/>
        <v/>
      </c>
      <c r="CE5" s="259">
        <f ca="1">IF(IFERROR(MATCH(CD5,DENOMINAZIONE_GIORNALE,0),0)&gt;0,MAX(CE$2:CE4)+1,0)</f>
        <v>0</v>
      </c>
      <c r="CF5" s="259" t="str">
        <f ca="1">IFERROR(INDEX($CD$3:$CE$220,MATCH(ROWS($CF$3:CF5),$CE$3:$CE$220,0),1),"")</f>
        <v/>
      </c>
      <c r="CG5" s="259">
        <f t="shared" ca="1" si="7"/>
        <v>0</v>
      </c>
      <c r="CH5" s="259" t="str">
        <f ca="1">IF(IF(CG5&lt;&gt;0,MAX($CH$2:CH4)+1,0)=0,"",IF(CG5&lt;&gt;"",MAX($CH$2:CH4)+1,0))</f>
        <v/>
      </c>
      <c r="CI5" s="259" t="str">
        <f ca="1">IFERROR(INDEX($CF$3:$CG$220,MATCH(ROWS($CI$3:CI5),$CH$3:$CH$220,0),1),"")</f>
        <v/>
      </c>
      <c r="CJ5" s="259" t="str">
        <f t="shared" ca="1" si="67"/>
        <v/>
      </c>
      <c r="CK5" s="259" t="str">
        <f t="shared" si="8"/>
        <v/>
      </c>
      <c r="CL5" s="259">
        <f ca="1">IF(IFERROR(MATCH(CK5,DENOMINAZIONE_GIORNALE,0),0)&gt;0,MAX(CL$2:CL4)+1,0)</f>
        <v>0</v>
      </c>
      <c r="CM5" s="259" t="str">
        <f ca="1">IFERROR(INDEX($CK$3:$CL$220,MATCH(ROWS($CM$3:CM5),$CL$3:$CL$220,0),1),"")</f>
        <v/>
      </c>
      <c r="CN5" s="259" t="str">
        <f t="shared" ca="1" si="9"/>
        <v/>
      </c>
      <c r="CO5" s="259">
        <f ca="1">IF(IF(CN5&lt;&gt;0,MAX($CO$2:CO4)+1,0)=0,"",IF(CN5&lt;&gt;"",MAX($CO$2:CO4)+1,0))</f>
        <v>0</v>
      </c>
      <c r="CP5" s="259" t="str">
        <f ca="1">IFERROR(INDEX($CM$3:$CN$220,MATCH(ROWS(CP$3:CP5),$CO$3:$CO$220,0),1),"")</f>
        <v/>
      </c>
      <c r="CQ5" s="259" t="str">
        <f ca="1">IFERROR(INDEX($CM$3:$CN$220,MATCH(ROWS(CQ$3:CQ5),$CO$3:$CO$220,0),2),"")</f>
        <v/>
      </c>
      <c r="CR5" s="259" t="str">
        <f t="shared" ca="1" si="10"/>
        <v/>
      </c>
      <c r="CS5" s="259">
        <f t="shared" ca="1" si="11"/>
        <v>0</v>
      </c>
      <c r="CT5" s="259">
        <f t="shared" ca="1" si="12"/>
        <v>0</v>
      </c>
      <c r="CU5" s="259">
        <f ca="1">IF(OR(CS5&gt;0,CT5&gt;0),MAX($CU$2:CU4)+1,0)</f>
        <v>0</v>
      </c>
      <c r="CV5" s="259" t="str">
        <f ca="1">IFERROR(INDEX(PIANO_DEI_CONTI,MATCH(ROWS($CV$3:CV5),$CU$3:$CU$200,0),2),"")</f>
        <v/>
      </c>
      <c r="CW5" s="259">
        <f ca="1">IFERROR(IF(CV5&lt;&gt;"",MAX($CW$2:CW4)+1,0),0)</f>
        <v>0</v>
      </c>
      <c r="CX5" s="259">
        <f t="shared" ca="1" si="68"/>
        <v>1</v>
      </c>
      <c r="CY5" s="259" t="str">
        <f t="shared" ca="1" si="13"/>
        <v>MASTRO</v>
      </c>
      <c r="CZ5" s="259" t="e">
        <f t="shared" ref="CZ5:CZ19" ca="1" si="131">SUM(MATCH($CY5,INDIRECT(ADDRESS(SUM(CZ4)+3,54)&amp;":"&amp;ADDRESS(400,54)),0),CZ4)</f>
        <v>#N/A</v>
      </c>
      <c r="DA5" s="259" t="str">
        <f ca="1">IFERROR(INDEX(LIBRO_GIORNALE,CZ5,1),"")</f>
        <v/>
      </c>
      <c r="DB5" s="259" t="str">
        <f t="shared" ref="DB5:DB19" ca="1" si="132">IF(RIGHT(TEXT(IFERROR(INDEX(LIBRO_GIORNALE,CZ5,2),""),"gg/mm/aa"),1)="a",TEXT(IFERROR(INDEX(LIBRO_GIORNALE,CZ5,2),""),"dd/mm/yy"),TEXT(IFERROR(INDEX(LIBRO_GIORNALE,CZ5,2),""),"gg/mm/aa"))</f>
        <v/>
      </c>
      <c r="DC5" s="259" t="str">
        <f t="shared" ref="DC5:DC19" ca="1" si="133">IF(IFERROR(INDEX(LIBRO_GIORNALE,CZ5,4),"")=0,"manca la descrizione dell'operazione",IFERROR(INDEX(LIBRO_GIORNALE,CZ5,4),""))</f>
        <v/>
      </c>
      <c r="DD5" s="259" t="str">
        <f t="shared" ref="DD5:DD19" ca="1" si="134">IFERROR(IF(INDEX(LIBRO_GIORNALE,CZ5,5)&gt;0,INDEX(LIBRO_GIORNALE,CZ5,5),""),"")</f>
        <v/>
      </c>
      <c r="DE5" s="259" t="str">
        <f t="shared" ref="DE5:DE19" ca="1" si="135">IFERROR(IF(INDEX(LIBRO_GIORNALE,CZ5,6)&gt;0,INDEX(LIBRO_GIORNALE,CZ5,6),""),"")</f>
        <v/>
      </c>
      <c r="DF5" s="259">
        <f ca="1">IF(AND(CX5=$DE$2,$DF$2&lt;&gt;0),0,IF(AND(DB5&lt;&gt;"",OR(DB4&lt;&gt;"",DB6&lt;&gt;"")),MAX($DF$2:DF4)+1,0))</f>
        <v>0</v>
      </c>
      <c r="DG5" s="259" t="str">
        <f>IF(OR(VALORI_INIZIALI!E10="",AND(VALORI_INIZIALI!E10&lt;&gt;"",VALORI_INIZIALI!H10=0,VALORI_INIZIALI!I10=0)),"",IFERROR(INDEX(PIANO_DEI_CONTI,MATCH(BB5,DENOMINAZIONE,0),1),0))</f>
        <v/>
      </c>
      <c r="DH5" s="259">
        <f ca="1">IFERROR(IF($J$1=1,IF(INDEX(PIANO_DEI_CONTI,MATCH($K5,DENOMINAZIONE,0),5)=$DF$1,MAX($DH$2:DH4)+1,0),IF($J$1=2,IF(INDEX(PIANO_DEI_CONTI,MATCH($K5,DENOMINAZIONE,0),7)=$DF$1,MAX($DH$2:DH4)+1,0))),0)</f>
        <v>0</v>
      </c>
      <c r="DI5" s="259">
        <f ca="1">IFERROR(INDEX($K$3:$K$220,MATCH(ROWS($DI$3:DI5),$DH$3:$DH$220,0),1),0)</f>
        <v>0</v>
      </c>
      <c r="DJ5" s="259">
        <f t="shared" ca="1" si="14"/>
        <v>0</v>
      </c>
      <c r="DK5" s="259">
        <f ca="1">IF(DJ5=0,0,MAX(DK$2:DK4)+1)</f>
        <v>0</v>
      </c>
      <c r="DL5" s="259">
        <f ca="1">IFERROR(INDEX(PIANO_DEI_CONTI,MATCH(ROWS(DL$3:DL5),$DK$3:DK232,0),2),0)</f>
        <v>0</v>
      </c>
      <c r="DM5" s="259">
        <f t="shared" ca="1" si="15"/>
        <v>0</v>
      </c>
      <c r="DN5" s="259">
        <f t="shared" ca="1" si="16"/>
        <v>0</v>
      </c>
      <c r="DO5" s="259">
        <f t="shared" ca="1" si="69"/>
        <v>0</v>
      </c>
      <c r="DP5" s="259">
        <f t="shared" ca="1" si="70"/>
        <v>0</v>
      </c>
      <c r="DQ5" s="259">
        <f ca="1">IF(OR($DQ$1="TOTALI",$DQ$1="TOTALI ED ECCEDENZE"),IF(OR(DM5&gt;0,DN5&gt;0),MAX(DQ$2:DQ4)+1,0),IF($DQ$1="ECCEDENZE",IF(OR(DO5&gt;0,DP5&gt;0),MAX(DQ$2:DQ4)+1,0),""))</f>
        <v>0</v>
      </c>
      <c r="DR5" s="259" t="str">
        <f ca="1">IFERROR(INDEX($DL$3:$DQ$230,MATCH(ROWS(DR$3:DR5),$DQ$3:$DQ$230,0),1),"")</f>
        <v/>
      </c>
      <c r="DS5" s="259" t="str">
        <f t="shared" ca="1" si="71"/>
        <v/>
      </c>
      <c r="DT5" s="259" t="str">
        <f t="shared" ca="1" si="72"/>
        <v/>
      </c>
      <c r="DU5" s="259" t="str">
        <f t="shared" ca="1" si="73"/>
        <v/>
      </c>
      <c r="DV5" s="259" t="str">
        <f t="shared" ca="1" si="74"/>
        <v/>
      </c>
      <c r="DW5" s="259">
        <f t="shared" ca="1" si="75"/>
        <v>0</v>
      </c>
      <c r="DX5" s="259" t="str">
        <f t="shared" ca="1" si="76"/>
        <v/>
      </c>
      <c r="DY5" s="259" t="str">
        <f t="shared" ca="1" si="77"/>
        <v/>
      </c>
      <c r="DZ5" s="259" t="str">
        <f t="shared" ca="1" si="78"/>
        <v/>
      </c>
      <c r="EA5" s="259">
        <f t="shared" ca="1" si="79"/>
        <v>3</v>
      </c>
      <c r="EB5" s="259" t="s">
        <v>348</v>
      </c>
      <c r="ED5" s="259">
        <f t="shared" ca="1" si="17"/>
        <v>0</v>
      </c>
      <c r="EE5" s="259" t="str">
        <f t="shared" ca="1" si="18"/>
        <v/>
      </c>
      <c r="EF5" s="259" t="str">
        <f t="shared" ca="1" si="19"/>
        <v/>
      </c>
      <c r="EG5" s="259" t="str">
        <f t="shared" ref="EG5:EG68" ca="1" si="136">IF(CR5="TOTALE COSTI",$CP$1,IF(CR5="TOTALE A PAREGGIO",$CM$1,IF(OR(CR5="SALDO ECONOMICO POSITIVO",CR5="UTILE D'ESERCIZIO"),$CM$1-$CP$1,"")))</f>
        <v/>
      </c>
      <c r="EH5" s="259" t="str">
        <f t="shared" ca="1" si="80"/>
        <v/>
      </c>
      <c r="EI5" s="260" t="b">
        <f t="shared" ref="EI5:EI68" ca="1" si="137">IF(INDIRECT(ADDRESS(ROW()+4,1,,,"PIANO_DEI_CONTI"))="X",TRUE,FALSE)</f>
        <v>1</v>
      </c>
      <c r="EJ5" s="260" t="b">
        <f t="shared" ref="EJ5:EJ68" ca="1" si="138">IF(INDIRECT(ADDRESS(ROW()+4,2,,,"PIANO_DEI_CONTI"))="X",TRUE,FALSE)</f>
        <v>1</v>
      </c>
      <c r="EK5" s="260" t="b">
        <f t="shared" ref="EK5:EK68" ca="1" si="139">IF(INDIRECT(ADDRESS(ROW()+4,3,,,"PIANO_DEI_CONTI"))="X",TRUE,FALSE)</f>
        <v>1</v>
      </c>
      <c r="EL5" s="259">
        <f t="shared" si="81"/>
        <v>3</v>
      </c>
      <c r="EM5" s="259">
        <f ca="1">IF(AND(BA5&gt;0,BA5&lt;=$EM$1),MAX($EM$2:EM4)+1,0)</f>
        <v>0</v>
      </c>
      <c r="EN5" s="259">
        <f t="shared" ca="1" si="82"/>
        <v>5</v>
      </c>
      <c r="EP5" s="259" t="str">
        <f t="shared" ca="1" si="20"/>
        <v/>
      </c>
      <c r="EQ5" s="259">
        <f t="shared" ca="1" si="21"/>
        <v>0</v>
      </c>
      <c r="ER5" s="259">
        <f ca="1">IF(ISNA(EQ5),MAX(ER$2:ER4)+1,0)</f>
        <v>0</v>
      </c>
      <c r="ES5" s="259" t="str">
        <f t="shared" ca="1" si="83"/>
        <v/>
      </c>
      <c r="ET5" s="259" t="str">
        <f ca="1">IFERROR(UPPER(INDEX($ER$3:$ES$500,MATCH(ROWS(ET$3:ET5),$ER$3:$ER$500,0),2)),"")</f>
        <v/>
      </c>
      <c r="EU5" s="259" t="s">
        <v>450</v>
      </c>
      <c r="EV5" s="259">
        <f ca="1">IF(ABS(SUMIFS(dare_grezzo,$JB$3:$JB$400,"="&amp;"CONTI D'ORDINE",$EY$3:$EY$400,"&lt;="&amp;FINE_AC,$EY$3:$EY$400,"&gt;="&amp;INIZIO_A_PC)-SUMIFS(avere_grezzo,$JB$3:$JB$400,"="&amp;"CONTI D'ORDINE",$EY$3:$EY$400,"&lt;="&amp;FINE_AC,$EY$3:$EY$400,"&gt;="&amp;INIZIO_A_PC))&gt;0,MAX($EV$3:EV4)+1,0)</f>
        <v>0</v>
      </c>
      <c r="EW5" s="259" t="str">
        <f ca="1">IF(AND(IFERROR(INDEX($EU$3:$EV$30,MATCH(ROWS($EX$3:EX5),$EV$3:$EV$30,0),1),"")&lt;&gt;"",EW6&lt;&gt;""),CONCATENATE(IFERROR(INDEX($EU$3:$EV$30,MATCH(ROWS($EX$3:EX5),$EV$3:$EV$30,0),1),"")," - "),IFERROR(INDEX($EU$3:$EV$30,MATCH(ROWS($EX$3:EX5),$EV$3:$EV$30,0),1),""))</f>
        <v/>
      </c>
      <c r="EY5" s="259">
        <f t="shared" ca="1" si="84"/>
        <v>0</v>
      </c>
      <c r="EZ5" s="259">
        <f t="shared" ca="1" si="84"/>
        <v>0</v>
      </c>
      <c r="FA5" s="259" t="str">
        <f t="shared" ca="1" si="85"/>
        <v/>
      </c>
      <c r="FB5" s="259">
        <f t="shared" ca="1" si="86"/>
        <v>0</v>
      </c>
      <c r="FC5" s="259">
        <f t="shared" ca="1" si="87"/>
        <v>0</v>
      </c>
      <c r="FD5" s="259">
        <f t="shared" ca="1" si="22"/>
        <v>0</v>
      </c>
      <c r="FE5" s="259" t="str">
        <f t="shared" ca="1" si="23"/>
        <v/>
      </c>
      <c r="FF5" s="259" t="str">
        <f t="shared" ca="1" si="88"/>
        <v/>
      </c>
      <c r="FG5" s="259" t="str">
        <f t="shared" si="89"/>
        <v>SOFTWARE</v>
      </c>
      <c r="FH5" s="259">
        <f t="shared" ca="1" si="24"/>
        <v>0</v>
      </c>
      <c r="FI5" s="259">
        <f t="shared" ca="1" si="25"/>
        <v>0</v>
      </c>
      <c r="FJ5" s="259">
        <f t="shared" ca="1" si="90"/>
        <v>0</v>
      </c>
      <c r="FK5" s="259">
        <f t="shared" ca="1" si="91"/>
        <v>0</v>
      </c>
      <c r="FL5" s="259">
        <f ca="1">IF(OR(FJ5&gt;0,FK5&gt;0),MAX($FL$2:FL4)+1,0)</f>
        <v>0</v>
      </c>
      <c r="FM5" s="259">
        <f t="shared" ca="1" si="26"/>
        <v>0</v>
      </c>
      <c r="FN5" s="259">
        <f ca="1">IF(FM5&lt;0,MAX($FN$2:FN4)+1,0)</f>
        <v>0</v>
      </c>
      <c r="FO5" s="259" t="str">
        <f t="shared" ca="1" si="92"/>
        <v/>
      </c>
      <c r="FP5" s="259" t="str">
        <f ca="1">IFERROR(INDEX($FN$3:$FO$400,MATCH(ROWS($FP$3:FP5),$FN$3:$FN$400,0),2),"")</f>
        <v/>
      </c>
      <c r="FQ5" s="259" t="str">
        <f>IF(AE5="SE AVERE",MAX($FQ$2:FQ4)+1,"")</f>
        <v/>
      </c>
      <c r="FR5" s="259" t="str">
        <f>IF(AE5="SE DARE",MAX($FR$2:FR4)+1,"")</f>
        <v/>
      </c>
      <c r="FS5" s="259">
        <f>IF(AND(AE5="SP DARE",AA5&lt;&gt;$FS$1,AA5&lt;&gt;$FT$1),MAX($FS$2:FS4)+1,IF(AND(GQ5="SP DARE",AA5&lt;&gt;$FS$1,AA5&lt;&gt;$FT$1),MAX($FS$2:FS4)+1,""))</f>
        <v>92</v>
      </c>
      <c r="FT5" s="259" t="str">
        <f ca="1">IF(AND(AE5="SP AVERE",AA5&lt;&gt;$FU$1),MAX($FT$2:FT4)+1,IF(AND(GQ5="SP AVERE",AA5&lt;&gt;$FU$1),MAX($FT$2:FT4)+1,""))</f>
        <v/>
      </c>
      <c r="FU5" s="259">
        <f t="shared" ca="1" si="93"/>
        <v>92</v>
      </c>
      <c r="FV5" s="259" t="str">
        <f t="shared" si="94"/>
        <v>SOFTWARE</v>
      </c>
      <c r="FW5" s="259" t="str">
        <f ca="1">IFERROR(INDEX($FU$3:$FV$500,MATCH(ROWS($FW$3:FW5),$FU$3:$FU$500,0),2),0)</f>
        <v>SERVIZI ON LINE</v>
      </c>
      <c r="FX5" s="259">
        <f t="shared" ca="1" si="95"/>
        <v>3</v>
      </c>
      <c r="FY5" s="259">
        <f t="shared" ca="1" si="96"/>
        <v>0</v>
      </c>
      <c r="FZ5" s="259">
        <f ca="1">IF(FY5&gt;0,MAX($FZ$2:FZ4)+1,0)</f>
        <v>0</v>
      </c>
      <c r="GA5" s="259">
        <f ca="1">IFERROR(INDEX($FY$3:$FZ$500,MATCH(ROWS($GA$3:GA5),$FZ$3:$FZ$500,0),1),0)</f>
        <v>77</v>
      </c>
      <c r="GB5" s="259" t="s">
        <v>89</v>
      </c>
      <c r="GC5" s="259">
        <f t="shared" ca="1" si="97"/>
        <v>3</v>
      </c>
      <c r="GD5" s="259" t="str">
        <f t="shared" ca="1" si="98"/>
        <v>SERVIZI ON LINE</v>
      </c>
      <c r="GE5" s="259">
        <f ca="1">IF(CP1&gt;CM1,CP1-CM1,0)</f>
        <v>0</v>
      </c>
      <c r="GG5" s="259">
        <f t="shared" ca="1" si="27"/>
        <v>0</v>
      </c>
      <c r="GH5" s="259">
        <f t="shared" ca="1" si="99"/>
        <v>0</v>
      </c>
      <c r="GI5" s="259">
        <f t="shared" ca="1" si="100"/>
        <v>0</v>
      </c>
      <c r="GJ5" s="259">
        <f t="shared" ca="1" si="101"/>
        <v>0</v>
      </c>
      <c r="GK5" s="259">
        <f t="shared" ca="1" si="102"/>
        <v>0</v>
      </c>
      <c r="GL5" s="259">
        <f t="shared" ca="1" si="103"/>
        <v>0</v>
      </c>
      <c r="GM5" s="259">
        <f ca="1">IF(OR(GK5&gt;0,GL5&gt;0),MAX($GM$2:GM4)+1,0)</f>
        <v>0</v>
      </c>
      <c r="GN5" s="259" t="str">
        <f ca="1">IFERROR(INDEX($GD$3:$GM$400,MATCH(ROWS($GN$3:GN5),$GM$3:$GM$400,0),1),"")</f>
        <v/>
      </c>
      <c r="GO5" s="259" t="str">
        <f ca="1">IFERROR(INDEX($GD$3:$GM$400,MATCH(ROWS($GO$3:GO5),$GM$3:$GM$400,0),8),"")</f>
        <v/>
      </c>
      <c r="GP5" s="259" t="str">
        <f ca="1">IFERROR(INDEX($GD$3:$GM$400,MATCH(ROWS($GP$3:GP5),$GM$3:$GM$400,0),9),"")</f>
        <v/>
      </c>
      <c r="GQ5" s="259">
        <f t="shared" ca="1" si="28"/>
        <v>0</v>
      </c>
      <c r="GR5" s="259">
        <f t="shared" ca="1" si="104"/>
        <v>0</v>
      </c>
      <c r="GS5" s="259" t="str">
        <f t="shared" si="105"/>
        <v>epilogo a Conto economico</v>
      </c>
      <c r="GT5" s="259" t="str">
        <f ca="1">IFERROR(INDEX($GD$3:$GS$400,MATCH(ROWS($GT$3:GT5),$GM$3:$GM$400,0),16),"")</f>
        <v/>
      </c>
      <c r="GU5" s="259">
        <f ca="1">IF(GQ5&lt;&gt;0,MAX($GU$2:$GU4)+1,0)</f>
        <v>0</v>
      </c>
      <c r="GV5" s="259">
        <f t="shared" ca="1" si="106"/>
        <v>0</v>
      </c>
      <c r="GW5" s="259" t="str">
        <f ca="1">IF(AND(IFERROR(INDEX($GU$3:$GV$400,MATCH(ROWS($GW$3:GW5),$GU$3:$GU$400,0),2),"")&lt;&gt;"",GW6&lt;&gt;""),CONCATENATE(IFERROR(INDEX($GU$3:$GV$400,MATCH(ROWS($GW$3:GW5),$GU$3:$GU$400,0),2),"")," - "),IFERROR(INDEX($GU$3:$GV$400,MATCH(ROWS($GW$3:GW5),$GU$3:$GU$400,0),2),""))</f>
        <v/>
      </c>
      <c r="GX5" s="259">
        <f ca="1">IF(OR(GN5="IVA NS/CREDITO",GN5="IVA NS/DEBITO",GN5="IVA C/ACCONTO",GN5="IMPOSTE C/ACCONTO"),MAX($GX$2:GX4)+1,0)</f>
        <v>0</v>
      </c>
      <c r="GY5" s="259" t="str">
        <f ca="1">IF(AND(IFERROR(INDEX($GN$3:$GX$200,MATCH(ROWS($GY$3:GY5),$GX$3:$GX$200,0),1),"")&lt;&gt;"",GY6&lt;&gt;""),CONCATENATE(IFERROR(INDEX($GN$3:$GX$200,MATCH(ROWS($GY$3:GY5),$GX$3:$GX$200,0),1),"")," - "),IFERROR(INDEX($GN$3:$GX$200,MATCH(ROWS($GY$3:GY5),$GX$3:$GX$200,0),1),""))</f>
        <v/>
      </c>
      <c r="GZ5" s="259" t="s">
        <v>616</v>
      </c>
      <c r="HA5" s="259" t="s">
        <v>617</v>
      </c>
      <c r="HB5" s="269" t="s">
        <v>256</v>
      </c>
      <c r="HC5" s="269" t="s">
        <v>276</v>
      </c>
      <c r="HD5" s="269" t="s">
        <v>9</v>
      </c>
      <c r="HE5" s="269" t="s">
        <v>206</v>
      </c>
      <c r="HL5" s="259" t="str">
        <f t="shared" ca="1" si="29"/>
        <v/>
      </c>
      <c r="HM5" s="259" t="str">
        <f t="shared" ca="1" si="30"/>
        <v/>
      </c>
      <c r="HN5" s="259" t="str">
        <f t="shared" ca="1" si="31"/>
        <v/>
      </c>
      <c r="HO5" s="259">
        <f ca="1">IF(HL5&lt;&gt;"",MAX($HO$2:HO4)+1,0)</f>
        <v>0</v>
      </c>
      <c r="HP5" s="259">
        <f ca="1">IF(HM5&lt;&gt;"",MAX($HP$2:HP4)+1,0)</f>
        <v>0</v>
      </c>
      <c r="HQ5" s="259">
        <f ca="1">IF(HN5&lt;&gt;"",MAX($HQ$2:HQ4)+1,0)</f>
        <v>0</v>
      </c>
      <c r="HR5" s="259" t="str">
        <f t="shared" ca="1" si="107"/>
        <v/>
      </c>
      <c r="HS5" s="259" t="str">
        <f t="shared" ca="1" si="108"/>
        <v/>
      </c>
      <c r="HT5" s="259">
        <f t="shared" ca="1" si="109"/>
        <v>0</v>
      </c>
      <c r="HU5" s="259">
        <f t="shared" ca="1" si="110"/>
        <v>0</v>
      </c>
      <c r="HV5" s="259" t="str">
        <f ca="1">CONCATENATE(IFERROR(INDEX($HS$3:$HT$102,MATCH(ROWS($HV$3:HV5),$HT$3:$HT$102,0),1),""),HR5)</f>
        <v/>
      </c>
      <c r="IA5" s="259" t="s">
        <v>349</v>
      </c>
      <c r="IB5" s="259" t="s">
        <v>286</v>
      </c>
      <c r="IC5" s="259">
        <f ca="1">IFERROR(INDEX(PIANO_DEI_CONTI,MATCH(ROWS(DL$3:DL5),$DK$3:DK232,0),2),0)</f>
        <v>0</v>
      </c>
      <c r="ID5" s="259">
        <f t="shared" ca="1" si="111"/>
        <v>0</v>
      </c>
      <c r="IE5" s="259">
        <f t="shared" ca="1" si="112"/>
        <v>0</v>
      </c>
      <c r="IF5" s="259">
        <f t="shared" ca="1" si="113"/>
        <v>0</v>
      </c>
      <c r="IG5" s="259">
        <f ca="1">IF(SUMIFS($ID$3:$ID$200,$IF$3:$IF$200,IA5)&gt;=SUMIFS($IE$3:$IE$200,$IF$3:$IF$200,IA5),ROUND(SUMIFS($ID$3:$ID$200,$IF$3:$IF$200,IA5)-SUMIFS($IE$3:$IE$200,$IF$3:$IF$200,IA5),0),0)</f>
        <v>0</v>
      </c>
      <c r="IH5" s="259">
        <f ca="1">IF(IG5&lt;&gt;0,MAX($IH$2:IH4)+1,0)</f>
        <v>0</v>
      </c>
      <c r="II5" s="259">
        <f>IF(AD5="costi pluriennali",MAX($II$2:II4)+1,0)</f>
        <v>3</v>
      </c>
      <c r="IJ5" s="259">
        <f>IF($AD5="rettifiche costi pluriennali",MAX($IJ$2:IJ4)+1,0)</f>
        <v>0</v>
      </c>
      <c r="IK5" s="259">
        <f t="shared" si="114"/>
        <v>3</v>
      </c>
      <c r="IL5" s="259" t="str">
        <f t="shared" si="115"/>
        <v>SOFTWARE</v>
      </c>
      <c r="IM5" s="259">
        <f t="shared" ca="1" si="116"/>
        <v>0</v>
      </c>
      <c r="IN5" s="259">
        <f ca="1">IFERROR(INDEX($IC$3:$IK$200,MATCH(IL5,$IC$3:$IC$200,0),3),0)</f>
        <v>0</v>
      </c>
      <c r="IO5" s="259">
        <f ca="1">SUMIFS($IM$3:$IM$200,$IK$3:$IK$200,ROWS($IO$3:IO5))-SUMIFS($IN$3:$IN$200,$IK$3:$IK$200,ROWS($IO$3:IO5))</f>
        <v>0</v>
      </c>
      <c r="IP5" s="259" t="str">
        <f ca="1">IF(IO5&lt;0,INDEX($IJ$3:$IL$200,MATCH(ROWS($IP$3:IP5),$IJ$3:$IJ$200,0),3),"")</f>
        <v/>
      </c>
      <c r="IQ5" s="259">
        <f ca="1">IF(IP5&lt;&gt;"",MAX($IQ$2:IQ4)+1,0)</f>
        <v>0</v>
      </c>
      <c r="IR5" s="259" t="str">
        <f ca="1">IFERROR(INDEX($IP$3:$IQ$200,MATCH(ROWS($IR$3:IR5),$IQ$3:$IQ$200,0),1),"")</f>
        <v/>
      </c>
      <c r="IS5" s="259" t="str">
        <f t="shared" ca="1" si="117"/>
        <v/>
      </c>
      <c r="IT5" s="259" t="str">
        <f t="shared" ca="1" si="118"/>
        <v/>
      </c>
      <c r="IU5" s="259" t="str">
        <f t="shared" ca="1" si="119"/>
        <v/>
      </c>
      <c r="IV5" s="259" t="str">
        <f t="shared" ca="1" si="120"/>
        <v/>
      </c>
      <c r="IW5" s="259" t="str">
        <f t="shared" ca="1" si="121"/>
        <v/>
      </c>
      <c r="IX5" s="259" t="str">
        <f t="shared" ca="1" si="122"/>
        <v/>
      </c>
      <c r="IY5" s="259" t="str">
        <f t="shared" ca="1" si="123"/>
        <v/>
      </c>
      <c r="IZ5" s="259" t="str">
        <f t="shared" ca="1" si="124"/>
        <v/>
      </c>
      <c r="JA5" s="259" t="str">
        <f t="shared" ca="1" si="125"/>
        <v/>
      </c>
      <c r="JB5" s="259">
        <f t="shared" ca="1" si="32"/>
        <v>0</v>
      </c>
      <c r="JC5" s="259">
        <f t="shared" ca="1" si="126"/>
        <v>0</v>
      </c>
      <c r="JE5" s="259">
        <f ca="1">IFERROR(INDEX(LIBRO_GIORNALE!$N$11:$O$408,MATCH(ROWS($JE$2:JE4),LIBRO_GIORNALE!$O$11:$O$408,0),1),0)</f>
        <v>0</v>
      </c>
      <c r="JF5" s="259" t="str">
        <f t="shared" ca="1" si="127"/>
        <v>0</v>
      </c>
      <c r="JG5" s="259">
        <f t="shared" ca="1" si="128"/>
        <v>0</v>
      </c>
      <c r="JH5" s="259">
        <f ca="1">IF(JJ5&gt;0,0,MAX($JH$2:JH4)+1)</f>
        <v>3</v>
      </c>
      <c r="JI5" s="259">
        <f ca="1">IF(JG5&gt;0,MAX($JI$2:JI4)+1,0)</f>
        <v>0</v>
      </c>
      <c r="JJ5" s="259">
        <f ca="1">IFERROR(INDEX($JG$3:$JI$124,MATCH(ROWS($JJ$3:JJ5),$JI$3:$JI$124,0),1),0)</f>
        <v>0</v>
      </c>
      <c r="JK5" s="259">
        <f t="shared" ca="1" si="129"/>
        <v>0</v>
      </c>
      <c r="JL5" s="259">
        <f t="shared" ca="1" si="130"/>
        <v>3</v>
      </c>
      <c r="JM5" s="259">
        <v>2</v>
      </c>
    </row>
    <row r="6" spans="1:273">
      <c r="A6" s="259" t="str">
        <f t="shared" si="33"/>
        <v>01.04</v>
      </c>
      <c r="B6" s="259" t="str">
        <f t="shared" si="34"/>
        <v>SOFTWARE</v>
      </c>
      <c r="C6" s="259" t="str">
        <f t="shared" si="35"/>
        <v>E</v>
      </c>
      <c r="D6" s="259" t="str">
        <f t="shared" si="36"/>
        <v>D</v>
      </c>
      <c r="E6" s="259" t="str">
        <f t="shared" si="37"/>
        <v>COSTI PLURIENNALI</v>
      </c>
      <c r="F6" s="259" t="str">
        <f t="shared" si="38"/>
        <v>SP DARE</v>
      </c>
      <c r="G6" s="259">
        <f t="shared" ca="1" si="39"/>
        <v>1</v>
      </c>
      <c r="H6" s="259">
        <f t="shared" ca="1" si="40"/>
        <v>1</v>
      </c>
      <c r="I6" s="259">
        <f t="shared" ca="1" si="41"/>
        <v>1</v>
      </c>
      <c r="J6" s="259">
        <v>3</v>
      </c>
      <c r="K6" s="259" t="str">
        <f ca="1">IFERROR(IF($I$1=1,INDEX($AA$3:$AS$220,MATCH(ROWS($K$3:K6),$AQ$3:$AQ$220,0),1),IF($I$1=2,INDEX($AA$3:$AS$220,MATCH(ROWS($K$3:K6),$AR$3:$AR$220,0),1),IF($I$1=3,INDEX($AA$3:$AS$220,MATCH(ROWS($K$3:K6),$AS$3:$AS$220,0),1),""))),"")</f>
        <v>AVVIAMENTO</v>
      </c>
      <c r="L6" s="259">
        <f ca="1">IF(AND($L$1="VISUALIZZA TUTTI I CONTI",K6&lt;&gt;""),MAX(L5:L5)+1,IFERROR(IF($J$1=1,IF(INDEX(PIANO_DEI_CONTI,MATCH($K6,DENOMINAZIONE,0),5)=$L$1,MAX($L$2:L5)+1,0),IF($J$1=2,IF(INDEX(PIANO_DEI_CONTI,MATCH($K6,DENOMINAZIONE,0),7)=$L$1,MAX($L$2:L5)+1,0))),0))</f>
        <v>4</v>
      </c>
      <c r="M6" s="259" t="str">
        <f ca="1">IFERROR(INDEX($K$3:$K$220,MATCH(ROWS($M$3:M6),$L$3:$L$220,0),1),"")</f>
        <v>AVVIAMENTO</v>
      </c>
      <c r="N6" s="259" t="s">
        <v>14</v>
      </c>
      <c r="O6" s="259" t="str">
        <f t="shared" ca="1" si="42"/>
        <v/>
      </c>
      <c r="P6" s="259">
        <f ca="1">IF(AND(N6=O6,O6&lt;&gt;""),MAX(P$2:P5)+1,0)</f>
        <v>0</v>
      </c>
      <c r="Q6" s="275" t="str">
        <f ca="1">IF(IFERROR(INDEX($O$3:$P$220,MATCH(ROWS(Q$3:Q6),$P$3:$P$220,0),1),"")=0,"",IFERROR(INDEX($O$3:$P$220,MATCH(ROWS(Q$3:Q6),$P$3:$P$220,0),1),""))</f>
        <v>IMMOBILIZZAZIONI FINANZIARIE</v>
      </c>
      <c r="R6" s="259" t="str">
        <f t="shared" si="1"/>
        <v>AVVIAMENTO</v>
      </c>
      <c r="S6" s="259">
        <f ca="1">IF(IFERROR(MATCH(R6,DENOMINAZIONE_GIORNALE,0),0)&gt;0,MAX(S$2:S5)+1,0)</f>
        <v>0</v>
      </c>
      <c r="T6" s="259" t="str">
        <f ca="1">IFERROR(INDEX($R$3:$S$220,MATCH(ROWS($T$3:T6),$S$3:$S$220,0),1),"")</f>
        <v/>
      </c>
      <c r="U6" s="259">
        <f t="shared" ca="1" si="2"/>
        <v>0</v>
      </c>
      <c r="V6" s="259">
        <f ca="1">IF(IF(U6&lt;&gt;0,MAX($V$2:V5)+1,0)=0,0,IF(U6&lt;&gt;0,MAX($V$2:V5)+1,0))</f>
        <v>0</v>
      </c>
      <c r="W6" s="259" t="str">
        <f t="shared" si="43"/>
        <v>01.04</v>
      </c>
      <c r="X6" s="259" t="str">
        <f t="shared" si="44"/>
        <v>SOFTWARE</v>
      </c>
      <c r="Y6" s="259">
        <f>IF(W6="",0,MAX($Y$2:Y5)+1)</f>
        <v>3</v>
      </c>
      <c r="Z6" s="259" t="str">
        <f>IFERROR(INDEX($W$3:$Y$220,MATCH(ROWS($Z$2:Z5),$Y$3:$Y$220,0),1),"")</f>
        <v>01.05</v>
      </c>
      <c r="AA6" s="259" t="str">
        <f t="shared" si="45"/>
        <v>AVVIAMENTO</v>
      </c>
      <c r="AB6" s="259" t="str">
        <f t="shared" si="46"/>
        <v>E</v>
      </c>
      <c r="AC6" s="259" t="str">
        <f t="shared" si="47"/>
        <v>D</v>
      </c>
      <c r="AD6" s="259" t="str">
        <f t="shared" si="48"/>
        <v>COSTI PLURIENNALI</v>
      </c>
      <c r="AE6" s="259" t="str">
        <f t="shared" si="49"/>
        <v>SP DARE</v>
      </c>
      <c r="AF6" s="259" t="str">
        <f t="shared" si="50"/>
        <v>IMMOBILIZZAZIONI IMMATERIALI</v>
      </c>
      <c r="AG6" s="259">
        <f t="shared" ca="1" si="51"/>
        <v>0</v>
      </c>
      <c r="AH6" s="259">
        <f t="shared" ca="1" si="52"/>
        <v>0</v>
      </c>
      <c r="AI6" s="259">
        <f t="shared" ca="1" si="53"/>
        <v>1</v>
      </c>
      <c r="AJ6" s="259" t="str">
        <f t="shared" si="54"/>
        <v>01</v>
      </c>
      <c r="AK6" s="259" t="str">
        <f t="shared" si="55"/>
        <v/>
      </c>
      <c r="AL6" s="259">
        <f>IF(AK6&lt;&gt;"",MAX($AL$2:AL5)+1,0)</f>
        <v>0</v>
      </c>
      <c r="AM6" s="259" t="str">
        <f>IFERROR(INDEX($AK$3:$AL$220,MATCH(ROWS($AM$3:AM6),$AL$3:$AL$220,0),1),"")</f>
        <v>04</v>
      </c>
      <c r="AN6" s="259" t="str">
        <f t="shared" si="56"/>
        <v>04.00</v>
      </c>
      <c r="AO6" s="259" t="str">
        <f t="shared" si="57"/>
        <v>RIMANENZE</v>
      </c>
      <c r="AP6" s="259" t="str">
        <f t="shared" si="58"/>
        <v>IMMOBILIZZAZIONI IMMATERIALI</v>
      </c>
      <c r="AQ6" s="259">
        <f ca="1">IF(OR(AG6=0,AG6=""),0,MAX(AQ$2:AQ5)+1)</f>
        <v>0</v>
      </c>
      <c r="AR6" s="259">
        <f ca="1">IF(OR(AH6=0,AH6=""),0,MAX(AR$2:AR5)+1)</f>
        <v>0</v>
      </c>
      <c r="AS6" s="259">
        <f ca="1">IF(OR(AI6=0,AI6=""),0,MAX(AS$2:AS5)+1)</f>
        <v>4</v>
      </c>
      <c r="AT6" s="259" t="str">
        <f ca="1">IFERROR(INDEX($AD$3:$AS$220,MATCH(ROWS(AT$3:AT6),AQ$3:AQ$220,0),1),"")</f>
        <v>CREDITI</v>
      </c>
      <c r="AU6" s="259" t="str">
        <f ca="1">IFERROR(INDEX($AD$3:$AS$220,MATCH(ROWS(AU$3:AU6),AR$3:AR$220,0),1),"")</f>
        <v>RETTIFICHE COSTI PLURIENNALI</v>
      </c>
      <c r="AV6" s="259" t="str">
        <f ca="1">IFERROR(INDEX($AD$3:$AS$220,MATCH(ROWS(AV$3:AV6),AS$3:AS$220,0),1),"")</f>
        <v>COSTI PLURIENNALI</v>
      </c>
      <c r="AW6" s="259" t="str">
        <f ca="1">IFERROR(INDEX($AP$3:$AS$220,MATCH(ROWS(AW$3:AW6),AQ$3:AQ$220,0),1),"")</f>
        <v>IMMOBILIZZAZIONI IMMATERIALI</v>
      </c>
      <c r="AX6" s="259" t="str">
        <f ca="1">IFERROR(INDEX($AP$3:$AS$220,MATCH(ROWS(AX$3:AX6),AR$3:AR$220,0),1),"")</f>
        <v>IMMOBILIZZAZIONI IMMATERIALI</v>
      </c>
      <c r="AY6" s="259" t="str">
        <f ca="1">IFERROR(INDEX($AP$3:$AS$220,MATCH(ROWS(AY$3:AY6),AS$3:AS$220,0),1),"")</f>
        <v>IMMOBILIZZAZIONI IMMATERIALI</v>
      </c>
      <c r="AZ6" s="276" t="str">
        <f t="shared" ca="1" si="59"/>
        <v/>
      </c>
      <c r="BA6" s="259">
        <f t="shared" ca="1" si="3"/>
        <v>0</v>
      </c>
      <c r="BB6" s="259">
        <f ca="1">IFERROR(INDEX($FG$3:$FL$400,MATCH(ROWS($BB$3:BB6),$FL$3:$FL$400,0),1),0)</f>
        <v>0</v>
      </c>
      <c r="BC6" s="259" t="str">
        <f t="shared" ca="1" si="60"/>
        <v/>
      </c>
      <c r="BD6" s="259">
        <f ca="1">IFERROR(INDEX($FG$3:$FL$400,MATCH(ROWS($BD$3:BD6),$FL$3:$FL$400,0),4),0)</f>
        <v>0</v>
      </c>
      <c r="BE6" s="259">
        <f ca="1">IFERROR(INDEX($FG$3:$FL$400,MATCH(ROWS($BE$3:BE6),$FL$3:$FL$400,0),5),0)</f>
        <v>0</v>
      </c>
      <c r="BG6" s="259" t="str">
        <f t="shared" si="4"/>
        <v/>
      </c>
      <c r="BH6" s="259">
        <f ca="1">IF(IFERROR(MATCH(BG6,DENOMINAZIONE_GIORNALE,0),0)&gt;0,MAX(BH$2:BH5)+1,0)</f>
        <v>0</v>
      </c>
      <c r="BI6" s="259" t="str">
        <f ca="1">IFERROR(INDEX($BG$3:$BH$220,MATCH(ROWS($BI$3:BI6),$BH$3:$BH$220,0),1),"")</f>
        <v/>
      </c>
      <c r="BJ6" s="259" t="str">
        <f t="shared" ca="1" si="5"/>
        <v/>
      </c>
      <c r="BK6" s="259" t="str">
        <f ca="1">IF(IF(BJ6&lt;&gt;"",MAX($BK$2:BK5)+1,0)=0,"",IF(BJ6&lt;&gt;"",MAX($BK$2:BK5)+1,0))</f>
        <v/>
      </c>
      <c r="BL6" s="259" t="str">
        <f ca="1">IFERROR(INDEX($T$3:$U$220, MATCH(ROWS(BL$3:BL6),$V$3:$V$220,0),1),"")</f>
        <v/>
      </c>
      <c r="BM6" s="259" t="str">
        <f ca="1">IFERROR(INDEX($T$3:$U$220, MATCH(ROWS(BM$3:BM6),$V$3:$V$220,0),2),"")</f>
        <v/>
      </c>
      <c r="BN6" s="259" t="str">
        <f ca="1">IF(IFERROR(INDEX($BI$3:$BJ$220,MATCH(ROWS(BN$3:BN6),$BK$3:$BK$220,0),1),"")="PATRIMONIO NETTO","",IFERROR(INDEX($BI$3:$BJ$220,MATCH(ROWS(BN$3:BN6),$BK$3:$BK$220,0),1),""))</f>
        <v/>
      </c>
      <c r="BO6" s="259" t="str">
        <f ca="1">IFERROR(INDEX($BI$3:$BJ$220,MATCH(ROWS(BO$3:BO6),$BK$3:$BK$220,0),2),"")</f>
        <v/>
      </c>
      <c r="BP6" s="259">
        <f ca="1">IF(BN6&lt;&gt;"",MAX(BP$2:$BP5)+1,0)</f>
        <v>0</v>
      </c>
      <c r="BQ6" s="259" t="str">
        <f ca="1">IFERROR(INDEX($BN$3:$BO$200,MATCH(ROWS(BQ$3:BQ6),$BP$3:$BP$220,0),1),"")</f>
        <v/>
      </c>
      <c r="BR6" s="259" t="str">
        <f ca="1">IFERROR(INDEX($BN$3:$BO$220,MATCH(ROWS(BR$3:BR6),$BP$3:$BP$220,0),2),"")</f>
        <v/>
      </c>
      <c r="BS6" s="259" t="str">
        <f ca="1">IFERROR(IF(OR(INDEX($T$3:$U$220,MATCH(ROWS(BL$3:BL6),$V$3:$V$220,0),1)="PRELEVAMENTI EXTRAGESTIONE",INDEX($T$3:$U$220,MATCH(ROWS(BL$3:BL6),$V$3:$V$220,0),1)="TITOLARE C/RITENUTE SUBITE"),"",INDEX($T$3:$U$220,MATCH(ROWS(BL$3:BL6),$V$3:$V$220,0),1)),"")</f>
        <v/>
      </c>
      <c r="BT6" s="259">
        <f t="shared" ca="1" si="61"/>
        <v>0</v>
      </c>
      <c r="BU6" s="259">
        <f ca="1">IF(BS6&lt;&gt;"",MAX(BU$2:BU5)+1,0)</f>
        <v>0</v>
      </c>
      <c r="BV6" s="259" t="str">
        <f ca="1">IFERROR(INDEX($BS$3:$BT$223,MATCH(ROWS(BV$3:BV6),$BU$3:$BU$223,0),1),"")</f>
        <v/>
      </c>
      <c r="BW6" s="259">
        <f t="shared" ca="1" si="62"/>
        <v>0</v>
      </c>
      <c r="BX6" s="259" t="str">
        <f t="shared" ca="1" si="63"/>
        <v/>
      </c>
      <c r="BY6" s="259" t="str">
        <f t="shared" ca="1" si="64"/>
        <v/>
      </c>
      <c r="BZ6" s="259" t="str">
        <f ca="1">IFERROR(IF(OR($DS$231&lt;&gt;$DT$231,$DU$231&lt;&gt;$DV$231,$EO$25&lt;&gt;0,$EO$26&lt;&gt;0),INDEX($T$3:$V$220,MATCH(ROWS($BV$3:BV6),$V$3:$V$220,0),1),CONCATENATE(BV6,BY6)),"")</f>
        <v/>
      </c>
      <c r="CA6" s="259">
        <f t="shared" ca="1" si="65"/>
        <v>0</v>
      </c>
      <c r="CB6" s="259" t="str">
        <f ca="1">IFERROR(IF(OR($BB$1&lt;&gt;$BD$1,$BC$1&lt;&gt;$BE$1,$DS$231&lt;&gt;$DT$231,$DU$231&lt;&gt;$DV$231,$EO$25&lt;&gt;0,$EO$26&lt;&gt;0),INDEX($BI$3:$BK$220,MATCH(ROWS($CB$3:CB6),$BK$3:$BK$220,0),1),CONCATENATE(BQ6,BX6)),"")</f>
        <v/>
      </c>
      <c r="CC6" s="259" t="str">
        <f t="shared" ca="1" si="66"/>
        <v/>
      </c>
      <c r="CD6" s="259" t="str">
        <f t="shared" si="6"/>
        <v/>
      </c>
      <c r="CE6" s="259">
        <f ca="1">IF(IFERROR(MATCH(CD6,DENOMINAZIONE_GIORNALE,0),0)&gt;0,MAX(CE$2:CE5)+1,0)</f>
        <v>0</v>
      </c>
      <c r="CF6" s="259" t="str">
        <f ca="1">IFERROR(INDEX($CD$3:$CE$220,MATCH(ROWS($CF$3:CF6),$CE$3:$CE$220,0),1),"")</f>
        <v/>
      </c>
      <c r="CG6" s="259">
        <f t="shared" ca="1" si="7"/>
        <v>0</v>
      </c>
      <c r="CH6" s="259" t="str">
        <f ca="1">IF(IF(CG6&lt;&gt;0,MAX($CH$2:CH5)+1,0)=0,"",IF(CG6&lt;&gt;"",MAX($CH$2:CH5)+1,0))</f>
        <v/>
      </c>
      <c r="CI6" s="259" t="str">
        <f ca="1">IFERROR(INDEX($CF$3:$CG$220,MATCH(ROWS($CI$3:CI6),$CH$3:$CH$220,0),1),"")</f>
        <v/>
      </c>
      <c r="CJ6" s="259" t="str">
        <f t="shared" ca="1" si="67"/>
        <v/>
      </c>
      <c r="CK6" s="259" t="str">
        <f t="shared" si="8"/>
        <v/>
      </c>
      <c r="CL6" s="259">
        <f ca="1">IF(IFERROR(MATCH(CK6,DENOMINAZIONE_GIORNALE,0),0)&gt;0,MAX(CL$2:CL5)+1,0)</f>
        <v>0</v>
      </c>
      <c r="CM6" s="259" t="str">
        <f ca="1">IFERROR(INDEX($CK$3:$CL$220,MATCH(ROWS($CM$3:CM6),$CL$3:$CL$220,0),1),"")</f>
        <v/>
      </c>
      <c r="CN6" s="259" t="str">
        <f t="shared" ca="1" si="9"/>
        <v/>
      </c>
      <c r="CO6" s="259">
        <f ca="1">IF(IF(CN6&lt;&gt;0,MAX($CO$2:CO5)+1,0)=0,"",IF(CN6&lt;&gt;"",MAX($CO$2:CO5)+1,0))</f>
        <v>0</v>
      </c>
      <c r="CP6" s="259" t="str">
        <f ca="1">IFERROR(INDEX($CM$3:$CN$220,MATCH(ROWS(CP$3:CP6),$CO$3:$CO$220,0),1),"")</f>
        <v/>
      </c>
      <c r="CQ6" s="259" t="str">
        <f ca="1">IFERROR(INDEX($CM$3:$CN$220,MATCH(ROWS(CQ$3:CQ6),$CO$3:$CO$220,0),2),"")</f>
        <v/>
      </c>
      <c r="CR6" s="259" t="str">
        <f t="shared" ca="1" si="10"/>
        <v/>
      </c>
      <c r="CS6" s="259">
        <f t="shared" ca="1" si="11"/>
        <v>0</v>
      </c>
      <c r="CT6" s="259">
        <f t="shared" ca="1" si="12"/>
        <v>0</v>
      </c>
      <c r="CU6" s="259">
        <f ca="1">IF(OR(CS6&gt;0,CT6&gt;0),MAX($CU$2:CU5)+1,0)</f>
        <v>0</v>
      </c>
      <c r="CV6" s="259" t="str">
        <f ca="1">IFERROR(INDEX(PIANO_DEI_CONTI,MATCH(ROWS($CV$3:CV6),$CU$3:$CU$200,0),2),"")</f>
        <v/>
      </c>
      <c r="CW6" s="259">
        <f ca="1">IFERROR(IF(CV6&lt;&gt;"",MAX($CW$2:CW5)+1,0),0)</f>
        <v>0</v>
      </c>
      <c r="CX6" s="259">
        <f t="shared" ca="1" si="68"/>
        <v>1</v>
      </c>
      <c r="CY6" s="259" t="str">
        <f t="shared" ca="1" si="13"/>
        <v>MASTRO</v>
      </c>
      <c r="CZ6" s="259" t="e">
        <f t="shared" ca="1" si="131"/>
        <v>#N/A</v>
      </c>
      <c r="DA6" s="259" t="str">
        <f t="shared" ref="DA6:DA19" ca="1" si="140">IFERROR(INDEX(LIBRO_GIORNALE,CZ6,1),"")</f>
        <v/>
      </c>
      <c r="DB6" s="259" t="str">
        <f t="shared" ca="1" si="132"/>
        <v/>
      </c>
      <c r="DC6" s="259" t="str">
        <f t="shared" ca="1" si="133"/>
        <v/>
      </c>
      <c r="DD6" s="259" t="str">
        <f t="shared" ca="1" si="134"/>
        <v/>
      </c>
      <c r="DE6" s="259" t="str">
        <f t="shared" ca="1" si="135"/>
        <v/>
      </c>
      <c r="DF6" s="259">
        <f ca="1">IF(AND(CX6=$DE$2,$DF$2&lt;&gt;0),0,IF(AND(DB6&lt;&gt;"",OR(DB5&lt;&gt;"",DB7&lt;&gt;"")),MAX($DF$2:DF5)+1,0))</f>
        <v>0</v>
      </c>
      <c r="DG6" s="259" t="str">
        <f>IF(OR(VALORI_INIZIALI!E11="",AND(VALORI_INIZIALI!E11&lt;&gt;"",VALORI_INIZIALI!H11=0,VALORI_INIZIALI!I11=0)),"",IFERROR(INDEX(PIANO_DEI_CONTI,MATCH(BB6,DENOMINAZIONE,0),1),0))</f>
        <v/>
      </c>
      <c r="DH6" s="259">
        <f ca="1">IFERROR(IF($J$1=1,IF(INDEX(PIANO_DEI_CONTI,MATCH($K6,DENOMINAZIONE,0),5)=$DF$1,MAX($DH$2:DH5)+1,0),IF($J$1=2,IF(INDEX(PIANO_DEI_CONTI,MATCH($K6,DENOMINAZIONE,0),7)=$DF$1,MAX($DH$2:DH5)+1,0))),0)</f>
        <v>0</v>
      </c>
      <c r="DI6" s="259">
        <f ca="1">IFERROR(INDEX($K$3:$K$220,MATCH(ROWS($DI$3:DI6),$DH$3:$DH$220,0),1),0)</f>
        <v>0</v>
      </c>
      <c r="DJ6" s="259">
        <f t="shared" ca="1" si="14"/>
        <v>0</v>
      </c>
      <c r="DK6" s="259">
        <f ca="1">IF(DJ6=0,0,MAX(DK$2:DK5)+1)</f>
        <v>0</v>
      </c>
      <c r="DL6" s="259">
        <f ca="1">IFERROR(INDEX(PIANO_DEI_CONTI,MATCH(ROWS(DL$3:DL6),$DK$3:DK233,0),2),0)</f>
        <v>0</v>
      </c>
      <c r="DM6" s="259">
        <f t="shared" ca="1" si="15"/>
        <v>0</v>
      </c>
      <c r="DN6" s="259">
        <f t="shared" ca="1" si="16"/>
        <v>0</v>
      </c>
      <c r="DO6" s="259">
        <f t="shared" ca="1" si="69"/>
        <v>0</v>
      </c>
      <c r="DP6" s="259">
        <f t="shared" ca="1" si="70"/>
        <v>0</v>
      </c>
      <c r="DQ6" s="259">
        <f ca="1">IF(OR($DQ$1="TOTALI",$DQ$1="TOTALI ED ECCEDENZE"),IF(OR(DM6&gt;0,DN6&gt;0),MAX(DQ$2:DQ5)+1,0),IF($DQ$1="ECCEDENZE",IF(OR(DO6&gt;0,DP6&gt;0),MAX(DQ$2:DQ5)+1,0),""))</f>
        <v>0</v>
      </c>
      <c r="DR6" s="259" t="str">
        <f ca="1">IFERROR(INDEX($DL$3:$DQ$230,MATCH(ROWS(DR$3:DR6),$DQ$3:$DQ$230,0),1),"")</f>
        <v/>
      </c>
      <c r="DS6" s="259" t="str">
        <f t="shared" ca="1" si="71"/>
        <v/>
      </c>
      <c r="DT6" s="259" t="str">
        <f t="shared" ca="1" si="72"/>
        <v/>
      </c>
      <c r="DU6" s="259" t="str">
        <f t="shared" ca="1" si="73"/>
        <v/>
      </c>
      <c r="DV6" s="259" t="str">
        <f t="shared" ca="1" si="74"/>
        <v/>
      </c>
      <c r="DW6" s="259">
        <f t="shared" ca="1" si="75"/>
        <v>0</v>
      </c>
      <c r="DX6" s="259" t="str">
        <f t="shared" ca="1" si="76"/>
        <v/>
      </c>
      <c r="DY6" s="259" t="str">
        <f t="shared" ca="1" si="77"/>
        <v/>
      </c>
      <c r="DZ6" s="259" t="str">
        <f t="shared" ca="1" si="78"/>
        <v/>
      </c>
      <c r="EA6" s="259">
        <f t="shared" ca="1" si="79"/>
        <v>4</v>
      </c>
      <c r="EB6" s="259" t="s">
        <v>348</v>
      </c>
      <c r="ED6" s="259">
        <f t="shared" ca="1" si="17"/>
        <v>0</v>
      </c>
      <c r="EE6" s="259" t="str">
        <f t="shared" ca="1" si="18"/>
        <v/>
      </c>
      <c r="EF6" s="259" t="str">
        <f t="shared" ca="1" si="19"/>
        <v/>
      </c>
      <c r="EG6" s="259" t="str">
        <f t="shared" ca="1" si="136"/>
        <v/>
      </c>
      <c r="EH6" s="259" t="str">
        <f t="shared" ca="1" si="80"/>
        <v/>
      </c>
      <c r="EI6" s="260" t="b">
        <f t="shared" ca="1" si="137"/>
        <v>1</v>
      </c>
      <c r="EJ6" s="260" t="b">
        <f t="shared" ca="1" si="138"/>
        <v>1</v>
      </c>
      <c r="EK6" s="260" t="b">
        <f t="shared" ca="1" si="139"/>
        <v>1</v>
      </c>
      <c r="EL6" s="259">
        <f t="shared" si="81"/>
        <v>4</v>
      </c>
      <c r="EM6" s="259">
        <f ca="1">IF(AND(BA6&gt;0,BA6&lt;=$EM$1),MAX($EM$2:EM5)+1,0)</f>
        <v>0</v>
      </c>
      <c r="EN6" s="259">
        <f t="shared" ca="1" si="82"/>
        <v>6</v>
      </c>
      <c r="EO6" s="267"/>
      <c r="EP6" s="259" t="str">
        <f t="shared" ca="1" si="20"/>
        <v/>
      </c>
      <c r="EQ6" s="259">
        <f t="shared" ca="1" si="21"/>
        <v>0</v>
      </c>
      <c r="ER6" s="259">
        <f ca="1">IF(ISNA(EQ6),MAX(ER$2:ER5)+1,0)</f>
        <v>0</v>
      </c>
      <c r="ES6" s="259" t="str">
        <f t="shared" ca="1" si="83"/>
        <v/>
      </c>
      <c r="ET6" s="259" t="str">
        <f ca="1">IFERROR(UPPER(INDEX($ER$3:$ES$500,MATCH(ROWS(ET$3:ET6),$ER$3:$ER$500,0),2)),"")</f>
        <v/>
      </c>
      <c r="EU6" s="259" t="s">
        <v>451</v>
      </c>
      <c r="EV6" s="259">
        <f ca="1">IF(SUMIFS($FB$3:$FB$400,$EZ$3:$EZ$400,"="&amp;"BILANCIO DI APERTURA",$EY$3:$EY$400,"&lt;="&amp;FINE_AC,$EY$3:$EY$400,"&gt;="&amp;INIZIO_A_PC)-SUMIFS($FC$3:$FC$400,$EZ$3:$EZ$400,"="&amp;"BILANCIO DI APERTURA",$EY$3:$EY$400,"&lt;="&amp;FINE_AC,$EY$3:$EY$400,"&gt;="&amp;INIZIO_A_PC)=0,0,MAX(EV3:EV5)+1)</f>
        <v>0</v>
      </c>
      <c r="EW6" s="259" t="str">
        <f ca="1">IF(AND(IFERROR(INDEX($EU$3:$EV$30,MATCH(ROWS($EX$3:EX6),$EV$3:$EV$30,0),1),"")&lt;&gt;"",EW7&lt;&gt;""),CONCATENATE(IFERROR(INDEX($EU$3:$EV$30,MATCH(ROWS($EX$3:EX6),$EV$3:$EV$30,0),1),"")," - "),IFERROR(INDEX($EU$3:$EV$30,MATCH(ROWS($EX$3:EX6),$EV$3:$EV$30,0),1),""))</f>
        <v/>
      </c>
      <c r="EY6" s="259">
        <f t="shared" ca="1" si="84"/>
        <v>0</v>
      </c>
      <c r="EZ6" s="259">
        <f t="shared" ca="1" si="84"/>
        <v>0</v>
      </c>
      <c r="FA6" s="259" t="str">
        <f t="shared" ca="1" si="85"/>
        <v/>
      </c>
      <c r="FB6" s="259">
        <f t="shared" ca="1" si="86"/>
        <v>0</v>
      </c>
      <c r="FC6" s="259">
        <f t="shared" ca="1" si="87"/>
        <v>0</v>
      </c>
      <c r="FD6" s="259">
        <f t="shared" ca="1" si="22"/>
        <v>0</v>
      </c>
      <c r="FE6" s="259" t="str">
        <f t="shared" ca="1" si="23"/>
        <v/>
      </c>
      <c r="FF6" s="259" t="str">
        <f t="shared" ca="1" si="88"/>
        <v/>
      </c>
      <c r="FG6" s="259" t="str">
        <f t="shared" si="89"/>
        <v>AVVIAMENTO</v>
      </c>
      <c r="FH6" s="259">
        <f t="shared" ca="1" si="24"/>
        <v>0</v>
      </c>
      <c r="FI6" s="259">
        <f t="shared" ca="1" si="25"/>
        <v>0</v>
      </c>
      <c r="FJ6" s="259">
        <f t="shared" ca="1" si="90"/>
        <v>0</v>
      </c>
      <c r="FK6" s="259">
        <f t="shared" ca="1" si="91"/>
        <v>0</v>
      </c>
      <c r="FL6" s="259">
        <f ca="1">IF(OR(FJ6&gt;0,FK6&gt;0),MAX($FL$2:FL5)+1,0)</f>
        <v>0</v>
      </c>
      <c r="FM6" s="259">
        <f t="shared" ca="1" si="26"/>
        <v>0</v>
      </c>
      <c r="FN6" s="259">
        <f ca="1">IF(FM6&lt;0,MAX($FN$2:FN5)+1,0)</f>
        <v>0</v>
      </c>
      <c r="FO6" s="259" t="str">
        <f t="shared" ca="1" si="92"/>
        <v/>
      </c>
      <c r="FP6" s="259" t="str">
        <f ca="1">IFERROR(INDEX($FN$3:$FO$400,MATCH(ROWS($FP$3:FP6),$FN$3:$FN$400,0),2),"")</f>
        <v/>
      </c>
      <c r="FQ6" s="259" t="str">
        <f>IF(AE6="SE AVERE",MAX($FQ$2:FQ5)+1,"")</f>
        <v/>
      </c>
      <c r="FR6" s="259" t="str">
        <f>IF(AE6="SE DARE",MAX($FR$2:FR5)+1,"")</f>
        <v/>
      </c>
      <c r="FS6" s="259">
        <f>IF(AND(AE6="SP DARE",AA6&lt;&gt;$FS$1,AA6&lt;&gt;$FT$1),MAX($FS$2:FS5)+1,IF(AND(GQ6="SP DARE",AA6&lt;&gt;$FS$1,AA6&lt;&gt;$FT$1),MAX($FS$2:FS5)+1,""))</f>
        <v>93</v>
      </c>
      <c r="FT6" s="259" t="str">
        <f ca="1">IF(AND(AE6="SP AVERE",AA6&lt;&gt;$FU$1),MAX($FT$2:FT5)+1,IF(AND(GQ6="SP AVERE",AA6&lt;&gt;$FU$1),MAX($FT$2:FT5)+1,""))</f>
        <v/>
      </c>
      <c r="FU6" s="259">
        <f t="shared" ca="1" si="93"/>
        <v>93</v>
      </c>
      <c r="FV6" s="259" t="str">
        <f t="shared" si="94"/>
        <v>AVVIAMENTO</v>
      </c>
      <c r="FW6" s="259" t="str">
        <f ca="1">IFERROR(INDEX($FU$3:$FV$500,MATCH(ROWS($FW$3:FW6),$FU$3:$FU$500,0),2),0)</f>
        <v>FITTI ATTIVI</v>
      </c>
      <c r="FX6" s="259">
        <f t="shared" ca="1" si="95"/>
        <v>4</v>
      </c>
      <c r="FY6" s="259">
        <f t="shared" ca="1" si="96"/>
        <v>0</v>
      </c>
      <c r="FZ6" s="259">
        <f ca="1">IF(FY6&gt;0,MAX($FZ$2:FZ5)+1,0)</f>
        <v>0</v>
      </c>
      <c r="GA6" s="259">
        <f ca="1">IFERROR(INDEX($FY$3:$FZ$500,MATCH(ROWS($GA$3:GA6),$FZ$3:$FZ$500,0),1),0)</f>
        <v>78</v>
      </c>
      <c r="GB6" s="259" t="s">
        <v>205</v>
      </c>
      <c r="GC6" s="259">
        <f t="shared" ca="1" si="97"/>
        <v>4</v>
      </c>
      <c r="GD6" s="259" t="str">
        <f t="shared" ca="1" si="98"/>
        <v>FITTI ATTIVI</v>
      </c>
      <c r="GF6" s="259">
        <f ca="1">GE5</f>
        <v>0</v>
      </c>
      <c r="GG6" s="259">
        <f t="shared" ca="1" si="27"/>
        <v>0</v>
      </c>
      <c r="GH6" s="259">
        <f t="shared" ca="1" si="99"/>
        <v>0</v>
      </c>
      <c r="GI6" s="259">
        <f t="shared" ca="1" si="100"/>
        <v>0</v>
      </c>
      <c r="GJ6" s="259">
        <f t="shared" ca="1" si="101"/>
        <v>0</v>
      </c>
      <c r="GK6" s="259">
        <f t="shared" ca="1" si="102"/>
        <v>0</v>
      </c>
      <c r="GL6" s="259">
        <f t="shared" ca="1" si="103"/>
        <v>0</v>
      </c>
      <c r="GM6" s="259">
        <f ca="1">IF(OR(GK6&gt;0,GL6&gt;0),MAX($GM$2:GM5)+1,0)</f>
        <v>0</v>
      </c>
      <c r="GN6" s="259" t="str">
        <f ca="1">IFERROR(INDEX($GD$3:$GM$400,MATCH(ROWS($GN$3:GN6),$GM$3:$GM$400,0),1),"")</f>
        <v/>
      </c>
      <c r="GO6" s="259" t="str">
        <f ca="1">IFERROR(INDEX($GD$3:$GM$400,MATCH(ROWS($GO$3:GO6),$GM$3:$GM$400,0),8),"")</f>
        <v/>
      </c>
      <c r="GP6" s="259" t="str">
        <f ca="1">IFERROR(INDEX($GD$3:$GM$400,MATCH(ROWS($GP$3:GP6),$GM$3:$GM$400,0),9),"")</f>
        <v/>
      </c>
      <c r="GQ6" s="259">
        <f t="shared" ca="1" si="28"/>
        <v>0</v>
      </c>
      <c r="GR6" s="259">
        <f t="shared" ca="1" si="104"/>
        <v>0</v>
      </c>
      <c r="GS6" s="259" t="str">
        <f t="shared" si="105"/>
        <v>epilogo a Conto economico</v>
      </c>
      <c r="GT6" s="259" t="str">
        <f ca="1">IFERROR(INDEX($GD$3:$GS$400,MATCH(ROWS($GT$3:GT6),$GM$3:$GM$400,0),16),"")</f>
        <v/>
      </c>
      <c r="GU6" s="259">
        <f ca="1">IF(GQ6&lt;&gt;0,MAX($GU$2:$GU5)+1,0)</f>
        <v>0</v>
      </c>
      <c r="GV6" s="259">
        <f t="shared" ca="1" si="106"/>
        <v>0</v>
      </c>
      <c r="GW6" s="259" t="str">
        <f ca="1">IF(AND(IFERROR(INDEX($GU$3:$GV$400,MATCH(ROWS($GW$3:GW6),$GU$3:$GU$400,0),2),"")&lt;&gt;"",GW7&lt;&gt;""),CONCATENATE(IFERROR(INDEX($GU$3:$GV$400,MATCH(ROWS($GW$3:GW6),$GU$3:$GU$400,0),2),"")," - "),IFERROR(INDEX($GU$3:$GV$400,MATCH(ROWS($GW$3:GW6),$GU$3:$GU$400,0),2),""))</f>
        <v/>
      </c>
      <c r="GX6" s="259">
        <f ca="1">IF(OR(GN6="IVA NS/CREDITO",GN6="IVA NS/DEBITO",GN6="IVA C/ACCONTO",GN6="IMPOSTE C/ACCONTO"),MAX($GX$2:GX5)+1,0)</f>
        <v>0</v>
      </c>
      <c r="GY6" s="259" t="str">
        <f ca="1">IF(AND(IFERROR(INDEX($GN$3:$GX$200,MATCH(ROWS($GY$3:GY6),$GX$3:$GX$200,0),1),"")&lt;&gt;"",GY7&lt;&gt;""),CONCATENATE(IFERROR(INDEX($GN$3:$GX$200,MATCH(ROWS($GY$3:GY6),$GX$3:$GX$200,0),1),"")," - "),IFERROR(INDEX($GN$3:$GX$200,MATCH(ROWS($GY$3:GY6),$GX$3:$GX$200,0),1),""))</f>
        <v/>
      </c>
      <c r="GZ6" s="259" t="s">
        <v>618</v>
      </c>
      <c r="HA6" s="259" t="s">
        <v>17</v>
      </c>
      <c r="HB6" s="269" t="s">
        <v>256</v>
      </c>
      <c r="HC6" s="269" t="s">
        <v>276</v>
      </c>
      <c r="HD6" s="269" t="s">
        <v>9</v>
      </c>
      <c r="HE6" s="269" t="s">
        <v>206</v>
      </c>
      <c r="HL6" s="259" t="str">
        <f t="shared" ca="1" si="29"/>
        <v/>
      </c>
      <c r="HM6" s="259" t="str">
        <f t="shared" ca="1" si="30"/>
        <v/>
      </c>
      <c r="HN6" s="259" t="str">
        <f t="shared" ca="1" si="31"/>
        <v/>
      </c>
      <c r="HO6" s="259">
        <f ca="1">IF(HL6&lt;&gt;"",MAX($HO$2:HO5)+1,0)</f>
        <v>0</v>
      </c>
      <c r="HP6" s="259">
        <f ca="1">IF(HM6&lt;&gt;"",MAX($HP$2:HP5)+1,0)</f>
        <v>0</v>
      </c>
      <c r="HQ6" s="259">
        <f ca="1">IF(HN6&lt;&gt;"",MAX($HQ$2:HQ5)+1,0)</f>
        <v>0</v>
      </c>
      <c r="HR6" s="259" t="str">
        <f t="shared" ca="1" si="107"/>
        <v/>
      </c>
      <c r="HS6" s="259" t="str">
        <f t="shared" ca="1" si="108"/>
        <v/>
      </c>
      <c r="HT6" s="259">
        <f t="shared" ca="1" si="109"/>
        <v>0</v>
      </c>
      <c r="HU6" s="259">
        <f t="shared" ca="1" si="110"/>
        <v>0</v>
      </c>
      <c r="HV6" s="259" t="str">
        <f ca="1">CONCATENATE(IFERROR(INDEX($HS$3:$HT$102,MATCH(ROWS($HV$3:HV6),$HT$3:$HT$102,0),1),""),HR6)</f>
        <v/>
      </c>
      <c r="IA6" s="259" t="s">
        <v>350</v>
      </c>
      <c r="IB6" s="259" t="s">
        <v>287</v>
      </c>
      <c r="IC6" s="259">
        <f ca="1">IFERROR(INDEX(PIANO_DEI_CONTI,MATCH(ROWS(DL$3:DL6),$DK$3:DK233,0),2),0)</f>
        <v>0</v>
      </c>
      <c r="ID6" s="259">
        <f t="shared" ca="1" si="111"/>
        <v>0</v>
      </c>
      <c r="IE6" s="259">
        <f t="shared" ca="1" si="112"/>
        <v>0</v>
      </c>
      <c r="IF6" s="259">
        <f ca="1">IFERROR(INDEX($AA$3:$EC$200,MATCH(IC6,$AA$3:$AA$200,0),106),"")</f>
        <v>0</v>
      </c>
      <c r="IG6" s="259">
        <f ca="1">IF(SUMIFS($ID$3:$ID$200,$IF$3:$IF$200,IA6)&gt;=SUMIFS($IE$3:$IE$200,$IF$3:$IF$200,IA6),ROUND(SUMIFS($ID$3:$ID$200,$IF$3:$IF$200,IA6)-SUMIFS($IE$3:$IE$200,$IF$3:$IF$200,IA6),0),0)</f>
        <v>0</v>
      </c>
      <c r="IH6" s="259">
        <f ca="1">IF(IG6&lt;&gt;0,MAX($IH$2:IH5)+1,0)</f>
        <v>0</v>
      </c>
      <c r="II6" s="259">
        <f>IF(AD6="costi pluriennali",MAX($II$2:II5)+1,0)</f>
        <v>4</v>
      </c>
      <c r="IJ6" s="259">
        <f>IF($AD6="rettifiche costi pluriennali",MAX($IJ$2:IJ5)+1,0)</f>
        <v>0</v>
      </c>
      <c r="IK6" s="259">
        <f t="shared" si="114"/>
        <v>4</v>
      </c>
      <c r="IL6" s="259" t="str">
        <f t="shared" si="115"/>
        <v>AVVIAMENTO</v>
      </c>
      <c r="IM6" s="259">
        <f t="shared" ca="1" si="116"/>
        <v>0</v>
      </c>
      <c r="IN6" s="259">
        <f ca="1">IFERROR(INDEX($IC$3:$IK$200,MATCH(IL6,$IC$3:$IC$200,0),3),0)</f>
        <v>0</v>
      </c>
      <c r="IO6" s="259">
        <f ca="1">SUMIFS($IM$3:$IM$200,$IK$3:$IK$200,ROWS($IO$3:IO6))-SUMIFS($IN$3:$IN$200,$IK$3:$IK$200,ROWS($IO$3:IO6))</f>
        <v>0</v>
      </c>
      <c r="IP6" s="259" t="str">
        <f ca="1">IF(IO6&lt;0,INDEX($IJ$3:$IL$200,MATCH(ROWS($IP$3:IP6),$IJ$3:$IJ$200,0),3),"")</f>
        <v/>
      </c>
      <c r="IQ6" s="259">
        <f ca="1">IF(IP6&lt;&gt;"",MAX($IQ$2:IQ5)+1,0)</f>
        <v>0</v>
      </c>
      <c r="IR6" s="259" t="str">
        <f ca="1">IFERROR(INDEX($IP$3:$IQ$200,MATCH(ROWS($IR$3:IR6),$IQ$3:$IQ$200,0),1),"")</f>
        <v/>
      </c>
      <c r="IS6" s="259" t="str">
        <f t="shared" ca="1" si="117"/>
        <v/>
      </c>
      <c r="IT6" s="259" t="str">
        <f t="shared" ca="1" si="118"/>
        <v/>
      </c>
      <c r="IU6" s="259" t="str">
        <f t="shared" ca="1" si="119"/>
        <v/>
      </c>
      <c r="IV6" s="259" t="str">
        <f t="shared" ca="1" si="120"/>
        <v/>
      </c>
      <c r="IW6" s="259" t="str">
        <f t="shared" ca="1" si="121"/>
        <v/>
      </c>
      <c r="IX6" s="259" t="str">
        <f t="shared" ca="1" si="122"/>
        <v/>
      </c>
      <c r="IY6" s="259" t="str">
        <f t="shared" ca="1" si="123"/>
        <v/>
      </c>
      <c r="IZ6" s="259" t="str">
        <f t="shared" ca="1" si="124"/>
        <v/>
      </c>
      <c r="JA6" s="259" t="str">
        <f t="shared" ca="1" si="125"/>
        <v/>
      </c>
      <c r="JB6" s="259">
        <f t="shared" ca="1" si="32"/>
        <v>0</v>
      </c>
      <c r="JC6" s="259">
        <f t="shared" ca="1" si="126"/>
        <v>0</v>
      </c>
      <c r="JE6" s="259">
        <f ca="1">IFERROR(INDEX(LIBRO_GIORNALE!$N$11:$O$408,MATCH(ROWS($JE$2:JE5),LIBRO_GIORNALE!$O$11:$O$408,0),1),0)</f>
        <v>0</v>
      </c>
      <c r="JF6" s="259" t="str">
        <f t="shared" ca="1" si="127"/>
        <v>0</v>
      </c>
      <c r="JG6" s="259">
        <f t="shared" ca="1" si="128"/>
        <v>0</v>
      </c>
      <c r="JH6" s="259">
        <f ca="1">IF(JJ6&gt;0,0,MAX($JH$2:JH5)+1)</f>
        <v>4</v>
      </c>
      <c r="JI6" s="259">
        <f ca="1">IF(JG6&gt;0,MAX($JI$2:JI5)+1,0)</f>
        <v>0</v>
      </c>
      <c r="JJ6" s="259">
        <f ca="1">IFERROR(INDEX($JG$3:$JI$124,MATCH(ROWS($JJ$3:JJ6),$JI$3:$JI$124,0),1),0)</f>
        <v>0</v>
      </c>
      <c r="JK6" s="259">
        <f t="shared" ca="1" si="129"/>
        <v>0</v>
      </c>
      <c r="JL6" s="259">
        <f t="shared" ca="1" si="130"/>
        <v>4</v>
      </c>
      <c r="JM6" s="259">
        <v>3</v>
      </c>
    </row>
    <row r="7" spans="1:273">
      <c r="A7" s="259" t="str">
        <f t="shared" si="33"/>
        <v>01.05</v>
      </c>
      <c r="B7" s="259" t="str">
        <f t="shared" si="34"/>
        <v>AVVIAMENTO</v>
      </c>
      <c r="C7" s="259" t="str">
        <f t="shared" si="35"/>
        <v>E</v>
      </c>
      <c r="D7" s="259" t="str">
        <f t="shared" si="36"/>
        <v>D</v>
      </c>
      <c r="E7" s="259" t="str">
        <f t="shared" si="37"/>
        <v>COSTI PLURIENNALI</v>
      </c>
      <c r="F7" s="259" t="str">
        <f t="shared" si="38"/>
        <v>SP DARE</v>
      </c>
      <c r="G7" s="259">
        <f t="shared" ca="1" si="39"/>
        <v>0</v>
      </c>
      <c r="H7" s="259">
        <f t="shared" ca="1" si="40"/>
        <v>0</v>
      </c>
      <c r="I7" s="259">
        <f t="shared" ca="1" si="41"/>
        <v>1</v>
      </c>
      <c r="J7" s="259">
        <v>4</v>
      </c>
      <c r="K7" s="259" t="str">
        <f ca="1">IFERROR(IF($I$1=1,INDEX($AA$3:$AS$220,MATCH(ROWS($K$3:K7),$AQ$3:$AQ$220,0),1),IF($I$1=2,INDEX($AA$3:$AS$220,MATCH(ROWS($K$3:K7),$AR$3:$AR$220,0),1),IF($I$1=3,INDEX($AA$3:$AS$220,MATCH(ROWS($K$3:K7),$AS$3:$AS$220,0),1),""))),"")</f>
        <v>FONDO AMMORTAMENTO COSTI DI IMPIANTO</v>
      </c>
      <c r="L7" s="259">
        <f ca="1">IF(AND($L$1="VISUALIZZA TUTTI I CONTI",K7&lt;&gt;""),MAX(L6:L6)+1,IFERROR(IF($J$1=1,IF(INDEX(PIANO_DEI_CONTI,MATCH($K7,DENOMINAZIONE,0),5)=$L$1,MAX($L$2:L6)+1,0),IF($J$1=2,IF(INDEX(PIANO_DEI_CONTI,MATCH($K7,DENOMINAZIONE,0),7)=$L$1,MAX($L$2:L6)+1,0))),0))</f>
        <v>5</v>
      </c>
      <c r="M7" s="259" t="str">
        <f ca="1">IFERROR(INDEX($K$3:$K$220,MATCH(ROWS($M$3:M7),$L$3:$L$220,0),1),"")</f>
        <v>FONDO AMMORTAMENTO COSTI DI IMPIANTO</v>
      </c>
      <c r="N7" s="259" t="s">
        <v>6</v>
      </c>
      <c r="O7" s="259" t="str">
        <f t="shared" ca="1" si="42"/>
        <v/>
      </c>
      <c r="P7" s="259">
        <f ca="1">IF(AND(N7=O7,O7&lt;&gt;""),MAX(P$2:P6)+1,0)</f>
        <v>0</v>
      </c>
      <c r="Q7" s="275" t="str">
        <f ca="1">IF(IFERROR(INDEX($O$3:$P$220,MATCH(ROWS(Q$3:Q7),$P$3:$P$220,0),1),"")=0,"",IFERROR(INDEX($O$3:$P$220,MATCH(ROWS(Q$3:Q7),$P$3:$P$220,0),1),""))</f>
        <v>RIMANENZE</v>
      </c>
      <c r="R7" s="259" t="str">
        <f t="shared" si="1"/>
        <v/>
      </c>
      <c r="S7" s="259">
        <f ca="1">IF(IFERROR(MATCH(R7,DENOMINAZIONE_GIORNALE,0),0)&gt;0,MAX(S$2:S6)+1,0)</f>
        <v>0</v>
      </c>
      <c r="T7" s="259" t="str">
        <f ca="1">IFERROR(INDEX($R$3:$S$220,MATCH(ROWS($T$3:T7),$S$3:$S$220,0),1),"")</f>
        <v/>
      </c>
      <c r="U7" s="259">
        <f t="shared" ca="1" si="2"/>
        <v>0</v>
      </c>
      <c r="V7" s="259">
        <f ca="1">IF(IF(U7&lt;&gt;0,MAX($V$2:V6)+1,0)=0,0,IF(U7&lt;&gt;0,MAX($V$2:V6)+1,0))</f>
        <v>0</v>
      </c>
      <c r="W7" s="259" t="str">
        <f t="shared" si="43"/>
        <v>01.05</v>
      </c>
      <c r="X7" s="259" t="str">
        <f t="shared" si="44"/>
        <v>AVVIAMENTO</v>
      </c>
      <c r="Y7" s="259">
        <f>IF(W7="",0,MAX($Y$2:Y6)+1)</f>
        <v>4</v>
      </c>
      <c r="Z7" s="259" t="str">
        <f>IFERROR(INDEX($W$3:$Y$220,MATCH(ROWS($Z$2:Z6),$Y$3:$Y$220,0),1),"")</f>
        <v>01.11</v>
      </c>
      <c r="AA7" s="259" t="str">
        <f t="shared" si="45"/>
        <v>FONDO AMMORTAMENTO COSTI DI IMPIANTO</v>
      </c>
      <c r="AB7" s="259" t="str">
        <f t="shared" si="46"/>
        <v>E</v>
      </c>
      <c r="AC7" s="259" t="str">
        <f t="shared" si="47"/>
        <v>A</v>
      </c>
      <c r="AD7" s="259" t="str">
        <f t="shared" si="48"/>
        <v>RETTIFICHE COSTI PLURIENNALI</v>
      </c>
      <c r="AE7" s="259" t="str">
        <f t="shared" si="49"/>
        <v>SP AVERE</v>
      </c>
      <c r="AF7" s="259" t="str">
        <f t="shared" si="50"/>
        <v>IMMOBILIZZAZIONI IMMATERIALI</v>
      </c>
      <c r="AG7" s="259">
        <f t="shared" ca="1" si="51"/>
        <v>0</v>
      </c>
      <c r="AH7" s="259">
        <f t="shared" ca="1" si="52"/>
        <v>0</v>
      </c>
      <c r="AI7" s="259">
        <f t="shared" ca="1" si="53"/>
        <v>1</v>
      </c>
      <c r="AJ7" s="259" t="str">
        <f t="shared" si="54"/>
        <v>01</v>
      </c>
      <c r="AK7" s="259" t="str">
        <f t="shared" si="55"/>
        <v/>
      </c>
      <c r="AL7" s="259">
        <f>IF(AK7&lt;&gt;"",MAX($AL$2:AL6)+1,0)</f>
        <v>0</v>
      </c>
      <c r="AM7" s="259" t="str">
        <f>IFERROR(INDEX($AK$3:$AL$220,MATCH(ROWS($AM$3:AM7),$AL$3:$AL$220,0),1),"")</f>
        <v>05</v>
      </c>
      <c r="AN7" s="259" t="str">
        <f t="shared" si="56"/>
        <v>05.00</v>
      </c>
      <c r="AO7" s="259" t="str">
        <f t="shared" si="57"/>
        <v>CREDITI COMMERCIALI</v>
      </c>
      <c r="AP7" s="259" t="str">
        <f t="shared" si="58"/>
        <v>IMMOBILIZZAZIONI IMMATERIALI</v>
      </c>
      <c r="AQ7" s="259">
        <f ca="1">IF(OR(AG7=0,AG7=""),0,MAX(AQ$2:AQ6)+1)</f>
        <v>0</v>
      </c>
      <c r="AR7" s="259">
        <f ca="1">IF(OR(AH7=0,AH7=""),0,MAX(AR$2:AR6)+1)</f>
        <v>0</v>
      </c>
      <c r="AS7" s="259">
        <f ca="1">IF(OR(AI7=0,AI7=""),0,MAX(AS$2:AS6)+1)</f>
        <v>5</v>
      </c>
      <c r="AT7" s="259" t="str">
        <f ca="1">IFERROR(INDEX($AD$3:$AS$220,MATCH(ROWS(AT$3:AT7),AQ$3:AQ$220,0),1),"")</f>
        <v>COSTI PLURIENNALI</v>
      </c>
      <c r="AU7" s="259" t="str">
        <f ca="1">IFERROR(INDEX($AD$3:$AS$220,MATCH(ROWS(AU$3:AU7),AR$3:AR$220,0),1),"")</f>
        <v>RETTIFICHE COSTI PLURIENNALI</v>
      </c>
      <c r="AV7" s="259" t="str">
        <f ca="1">IFERROR(INDEX($AD$3:$AS$220,MATCH(ROWS(AV$3:AV7),AS$3:AS$220,0),1),"")</f>
        <v>RETTIFICHE COSTI PLURIENNALI</v>
      </c>
      <c r="AW7" s="259" t="str">
        <f ca="1">IFERROR(INDEX($AP$3:$AS$220,MATCH(ROWS(AW$3:AW7),AQ$3:AQ$220,0),1),"")</f>
        <v>IMMOBILIZZAZIONI MATERIALI</v>
      </c>
      <c r="AX7" s="259" t="str">
        <f ca="1">IFERROR(INDEX($AP$3:$AS$220,MATCH(ROWS(AX$3:AX7),AR$3:AR$220,0),1),"")</f>
        <v>IMMOBILIZZAZIONI IMMATERIALI</v>
      </c>
      <c r="AY7" s="259" t="str">
        <f ca="1">IFERROR(INDEX($AP$3:$AS$220,MATCH(ROWS(AY$3:AY7),AS$3:AS$220,0),1),"")</f>
        <v>IMMOBILIZZAZIONI IMMATERIALI</v>
      </c>
      <c r="AZ7" s="276" t="str">
        <f t="shared" ca="1" si="59"/>
        <v/>
      </c>
      <c r="BA7" s="259">
        <f t="shared" ca="1" si="3"/>
        <v>0</v>
      </c>
      <c r="BB7" s="259">
        <f ca="1">IFERROR(INDEX($FG$3:$FL$400,MATCH(ROWS($BB$3:BB7),$FL$3:$FL$400,0),1),0)</f>
        <v>0</v>
      </c>
      <c r="BC7" s="259" t="str">
        <f t="shared" ca="1" si="60"/>
        <v/>
      </c>
      <c r="BD7" s="259">
        <f ca="1">IFERROR(INDEX($FG$3:$FL$400,MATCH(ROWS($BD$3:BD7),$FL$3:$FL$400,0),4),0)</f>
        <v>0</v>
      </c>
      <c r="BE7" s="259">
        <f ca="1">IFERROR(INDEX($FG$3:$FL$400,MATCH(ROWS($BE$3:BE7),$FL$3:$FL$400,0),5),0)</f>
        <v>0</v>
      </c>
      <c r="BG7" s="259" t="str">
        <f t="shared" si="4"/>
        <v>FONDO AMMORTAMENTO COSTI DI IMPIANTO</v>
      </c>
      <c r="BH7" s="259">
        <f ca="1">IF(IFERROR(MATCH(BG7,DENOMINAZIONE_GIORNALE,0),0)&gt;0,MAX(BH$2:BH6)+1,0)</f>
        <v>0</v>
      </c>
      <c r="BI7" s="259" t="str">
        <f ca="1">IFERROR(INDEX($BG$3:$BH$220,MATCH(ROWS($BI$3:BI7),$BH$3:$BH$220,0),1),"")</f>
        <v/>
      </c>
      <c r="BJ7" s="259" t="str">
        <f t="shared" ca="1" si="5"/>
        <v/>
      </c>
      <c r="BK7" s="259" t="str">
        <f ca="1">IF(IF(BJ7&lt;&gt;"",MAX($BK$2:BK6)+1,0)=0,"",IF(BJ7&lt;&gt;"",MAX($BK$2:BK6)+1,0))</f>
        <v/>
      </c>
      <c r="BL7" s="259" t="str">
        <f ca="1">IFERROR(INDEX($T$3:$U$220, MATCH(ROWS(BL$3:BL7),$V$3:$V$220,0),1),"")</f>
        <v/>
      </c>
      <c r="BM7" s="259" t="str">
        <f ca="1">IFERROR(INDEX($T$3:$U$220, MATCH(ROWS(BM$3:BM7),$V$3:$V$220,0),2),"")</f>
        <v/>
      </c>
      <c r="BN7" s="259" t="str">
        <f ca="1">IF(IFERROR(INDEX($BI$3:$BJ$220,MATCH(ROWS(BN$3:BN7),$BK$3:$BK$220,0),1),"")="PATRIMONIO NETTO","",IFERROR(INDEX($BI$3:$BJ$220,MATCH(ROWS(BN$3:BN7),$BK$3:$BK$220,0),1),""))</f>
        <v/>
      </c>
      <c r="BO7" s="259" t="str">
        <f ca="1">IFERROR(INDEX($BI$3:$BJ$220,MATCH(ROWS(BO$3:BO7),$BK$3:$BK$220,0),2),"")</f>
        <v/>
      </c>
      <c r="BP7" s="259">
        <f ca="1">IF(BN7&lt;&gt;"",MAX(BP$2:$BP6)+1,0)</f>
        <v>0</v>
      </c>
      <c r="BQ7" s="259" t="str">
        <f ca="1">IFERROR(INDEX($BN$3:$BO$200,MATCH(ROWS(BQ$3:BQ7),$BP$3:$BP$220,0),1),"")</f>
        <v/>
      </c>
      <c r="BR7" s="259" t="str">
        <f ca="1">IFERROR(INDEX($BN$3:$BO$220,MATCH(ROWS(BR$3:BR7),$BP$3:$BP$220,0),2),"")</f>
        <v/>
      </c>
      <c r="BS7" s="259" t="str">
        <f ca="1">IFERROR(IF(OR(INDEX($T$3:$U$220,MATCH(ROWS(BL$3:BL7),$V$3:$V$220,0),1)="PRELEVAMENTI EXTRAGESTIONE",INDEX($T$3:$U$220,MATCH(ROWS(BL$3:BL7),$V$3:$V$220,0),1)="TITOLARE C/RITENUTE SUBITE"),"",INDEX($T$3:$U$220,MATCH(ROWS(BL$3:BL7),$V$3:$V$220,0),1)),"")</f>
        <v/>
      </c>
      <c r="BT7" s="259">
        <f t="shared" ca="1" si="61"/>
        <v>0</v>
      </c>
      <c r="BU7" s="259">
        <f ca="1">IF(BS7&lt;&gt;"",MAX(BU$2:BU6)+1,0)</f>
        <v>0</v>
      </c>
      <c r="BV7" s="259" t="str">
        <f ca="1">IFERROR(INDEX($BS$3:$BT$223,MATCH(ROWS(BV$3:BV7),$BU$3:$BU$223,0),1),"")</f>
        <v/>
      </c>
      <c r="BW7" s="259">
        <f t="shared" ca="1" si="62"/>
        <v>0</v>
      </c>
      <c r="BX7" s="259" t="str">
        <f t="shared" ca="1" si="63"/>
        <v/>
      </c>
      <c r="BY7" s="259" t="str">
        <f t="shared" ca="1" si="64"/>
        <v/>
      </c>
      <c r="BZ7" s="259" t="str">
        <f ca="1">IFERROR(IF(OR($DS$231&lt;&gt;$DT$231,$DU$231&lt;&gt;$DV$231,$EO$25&lt;&gt;0,$EO$26&lt;&gt;0),INDEX($T$3:$V$220,MATCH(ROWS($BV$3:BV7),$V$3:$V$220,0),1),CONCATENATE(BV7,BY7)),"")</f>
        <v/>
      </c>
      <c r="CA7" s="259">
        <f t="shared" ca="1" si="65"/>
        <v>0</v>
      </c>
      <c r="CB7" s="259" t="str">
        <f ca="1">IFERROR(IF(OR($BB$1&lt;&gt;$BD$1,$BC$1&lt;&gt;$BE$1,$DS$231&lt;&gt;$DT$231,$DU$231&lt;&gt;$DV$231,$EO$25&lt;&gt;0,$EO$26&lt;&gt;0),INDEX($BI$3:$BK$220,MATCH(ROWS($CB$3:CB7),$BK$3:$BK$220,0),1),CONCATENATE(BQ7,BX7)),"")</f>
        <v/>
      </c>
      <c r="CC7" s="259" t="str">
        <f t="shared" ca="1" si="66"/>
        <v/>
      </c>
      <c r="CD7" s="259" t="str">
        <f t="shared" si="6"/>
        <v/>
      </c>
      <c r="CE7" s="259">
        <f ca="1">IF(IFERROR(MATCH(CD7,DENOMINAZIONE_GIORNALE,0),0)&gt;0,MAX(CE$2:CE6)+1,0)</f>
        <v>0</v>
      </c>
      <c r="CF7" s="259" t="str">
        <f ca="1">IFERROR(INDEX($CD$3:$CE$220,MATCH(ROWS($CF$3:CF7),$CE$3:$CE$220,0),1),"")</f>
        <v/>
      </c>
      <c r="CG7" s="259">
        <f t="shared" ca="1" si="7"/>
        <v>0</v>
      </c>
      <c r="CH7" s="259" t="str">
        <f ca="1">IF(IF(CG7&lt;&gt;0,MAX($CH$2:CH6)+1,0)=0,"",IF(CG7&lt;&gt;"",MAX($CH$2:CH6)+1,0))</f>
        <v/>
      </c>
      <c r="CI7" s="259" t="str">
        <f ca="1">IFERROR(INDEX($CF$3:$CG$220,MATCH(ROWS($CI$3:CI7),$CH$3:$CH$220,0),1),"")</f>
        <v/>
      </c>
      <c r="CJ7" s="259" t="str">
        <f t="shared" ca="1" si="67"/>
        <v/>
      </c>
      <c r="CK7" s="259" t="str">
        <f t="shared" si="8"/>
        <v/>
      </c>
      <c r="CL7" s="259">
        <f ca="1">IF(IFERROR(MATCH(CK7,DENOMINAZIONE_GIORNALE,0),0)&gt;0,MAX(CL$2:CL6)+1,0)</f>
        <v>0</v>
      </c>
      <c r="CM7" s="259" t="str">
        <f ca="1">IFERROR(INDEX($CK$3:$CL$220,MATCH(ROWS($CM$3:CM7),$CL$3:$CL$220,0),1),"")</f>
        <v/>
      </c>
      <c r="CN7" s="259" t="str">
        <f t="shared" ca="1" si="9"/>
        <v/>
      </c>
      <c r="CO7" s="259">
        <f ca="1">IF(IF(CN7&lt;&gt;0,MAX($CO$2:CO6)+1,0)=0,"",IF(CN7&lt;&gt;"",MAX($CO$2:CO6)+1,0))</f>
        <v>0</v>
      </c>
      <c r="CP7" s="259" t="str">
        <f ca="1">IFERROR(INDEX($CM$3:$CN$220,MATCH(ROWS(CP$3:CP7),$CO$3:$CO$220,0),1),"")</f>
        <v/>
      </c>
      <c r="CQ7" s="259" t="str">
        <f ca="1">IFERROR(INDEX($CM$3:$CN$220,MATCH(ROWS(CQ$3:CQ7),$CO$3:$CO$220,0),2),"")</f>
        <v/>
      </c>
      <c r="CR7" s="259" t="str">
        <f t="shared" ca="1" si="10"/>
        <v/>
      </c>
      <c r="CS7" s="259">
        <f t="shared" ca="1" si="11"/>
        <v>0</v>
      </c>
      <c r="CT7" s="259">
        <f t="shared" ca="1" si="12"/>
        <v>0</v>
      </c>
      <c r="CU7" s="259">
        <f ca="1">IF(OR(CS7&gt;0,CT7&gt;0),MAX($CU$2:CU6)+1,0)</f>
        <v>0</v>
      </c>
      <c r="CV7" s="259" t="str">
        <f ca="1">IFERROR(INDEX(PIANO_DEI_CONTI,MATCH(ROWS($CV$3:CV7),$CU$3:$CU$200,0),2),"")</f>
        <v/>
      </c>
      <c r="CW7" s="259">
        <f ca="1">IFERROR(IF(CV7&lt;&gt;"",MAX($CW$2:CW6)+1,0),0)</f>
        <v>0</v>
      </c>
      <c r="CX7" s="259">
        <f t="shared" ca="1" si="68"/>
        <v>1</v>
      </c>
      <c r="CY7" s="259" t="str">
        <f t="shared" ca="1" si="13"/>
        <v>MASTRO</v>
      </c>
      <c r="CZ7" s="259" t="e">
        <f t="shared" ca="1" si="131"/>
        <v>#N/A</v>
      </c>
      <c r="DA7" s="259" t="str">
        <f t="shared" ca="1" si="140"/>
        <v/>
      </c>
      <c r="DB7" s="259" t="str">
        <f t="shared" ca="1" si="132"/>
        <v/>
      </c>
      <c r="DC7" s="259" t="str">
        <f t="shared" ca="1" si="133"/>
        <v/>
      </c>
      <c r="DD7" s="259" t="str">
        <f t="shared" ca="1" si="134"/>
        <v/>
      </c>
      <c r="DE7" s="259" t="str">
        <f t="shared" ca="1" si="135"/>
        <v/>
      </c>
      <c r="DF7" s="259">
        <f ca="1">IF(AND(CX7=$DE$2,$DF$2&lt;&gt;0),0,IF(AND(DB7&lt;&gt;"",OR(DB6&lt;&gt;"",DB8&lt;&gt;"")),MAX($DF$2:DF6)+1,0))</f>
        <v>0</v>
      </c>
      <c r="DG7" s="259" t="str">
        <f>IF(OR(VALORI_INIZIALI!E12="",AND(VALORI_INIZIALI!E12&lt;&gt;"",VALORI_INIZIALI!H12=0,VALORI_INIZIALI!I12=0)),"",IFERROR(INDEX(PIANO_DEI_CONTI,MATCH(BB7,DENOMINAZIONE,0),1),0))</f>
        <v/>
      </c>
      <c r="DH7" s="259">
        <f ca="1">IFERROR(IF($J$1=1,IF(INDEX(PIANO_DEI_CONTI,MATCH($K7,DENOMINAZIONE,0),5)=$DF$1,MAX($DH$2:DH6)+1,0),IF($J$1=2,IF(INDEX(PIANO_DEI_CONTI,MATCH($K7,DENOMINAZIONE,0),7)=$DF$1,MAX($DH$2:DH6)+1,0))),0)</f>
        <v>0</v>
      </c>
      <c r="DI7" s="259">
        <f ca="1">IFERROR(INDEX($K$3:$K$220,MATCH(ROWS($DI$3:DI7),$DH$3:$DH$220,0),1),0)</f>
        <v>0</v>
      </c>
      <c r="DJ7" s="259">
        <f t="shared" ca="1" si="14"/>
        <v>0</v>
      </c>
      <c r="DK7" s="259">
        <f ca="1">IF(DJ7=0,0,MAX(DK$2:DK6)+1)</f>
        <v>0</v>
      </c>
      <c r="DL7" s="259">
        <f ca="1">IFERROR(INDEX(PIANO_DEI_CONTI,MATCH(ROWS(DL$3:DL7),$DK$3:DK234,0),2),0)</f>
        <v>0</v>
      </c>
      <c r="DM7" s="259">
        <f t="shared" ca="1" si="15"/>
        <v>0</v>
      </c>
      <c r="DN7" s="259">
        <f t="shared" ca="1" si="16"/>
        <v>0</v>
      </c>
      <c r="DO7" s="259">
        <f t="shared" ca="1" si="69"/>
        <v>0</v>
      </c>
      <c r="DP7" s="259">
        <f t="shared" ca="1" si="70"/>
        <v>0</v>
      </c>
      <c r="DQ7" s="259">
        <f ca="1">IF(OR($DQ$1="TOTALI",$DQ$1="TOTALI ED ECCEDENZE"),IF(OR(DM7&gt;0,DN7&gt;0),MAX(DQ$2:DQ6)+1,0),IF($DQ$1="ECCEDENZE",IF(OR(DO7&gt;0,DP7&gt;0),MAX(DQ$2:DQ6)+1,0),""))</f>
        <v>0</v>
      </c>
      <c r="DR7" s="259" t="str">
        <f ca="1">IFERROR(INDEX($DL$3:$DQ$230,MATCH(ROWS(DR$3:DR7),$DQ$3:$DQ$230,0),1),"")</f>
        <v/>
      </c>
      <c r="DS7" s="259" t="str">
        <f t="shared" ca="1" si="71"/>
        <v/>
      </c>
      <c r="DT7" s="259" t="str">
        <f t="shared" ca="1" si="72"/>
        <v/>
      </c>
      <c r="DU7" s="259" t="str">
        <f t="shared" ca="1" si="73"/>
        <v/>
      </c>
      <c r="DV7" s="259" t="str">
        <f t="shared" ca="1" si="74"/>
        <v/>
      </c>
      <c r="DW7" s="259">
        <f t="shared" ca="1" si="75"/>
        <v>0</v>
      </c>
      <c r="DX7" s="259" t="str">
        <f t="shared" ca="1" si="76"/>
        <v/>
      </c>
      <c r="DY7" s="259" t="str">
        <f t="shared" ca="1" si="77"/>
        <v/>
      </c>
      <c r="DZ7" s="259" t="str">
        <f t="shared" ca="1" si="78"/>
        <v/>
      </c>
      <c r="EA7" s="259">
        <f t="shared" ca="1" si="79"/>
        <v>5</v>
      </c>
      <c r="EB7" s="259" t="s">
        <v>348</v>
      </c>
      <c r="ED7" s="259">
        <f t="shared" ca="1" si="17"/>
        <v>0</v>
      </c>
      <c r="EE7" s="259" t="str">
        <f t="shared" ca="1" si="18"/>
        <v/>
      </c>
      <c r="EF7" s="259" t="str">
        <f t="shared" ca="1" si="19"/>
        <v/>
      </c>
      <c r="EG7" s="259" t="str">
        <f t="shared" ca="1" si="136"/>
        <v/>
      </c>
      <c r="EH7" s="259" t="str">
        <f t="shared" ca="1" si="80"/>
        <v/>
      </c>
      <c r="EI7" s="260" t="b">
        <f t="shared" ca="1" si="137"/>
        <v>0</v>
      </c>
      <c r="EJ7" s="260" t="b">
        <f t="shared" ca="1" si="138"/>
        <v>0</v>
      </c>
      <c r="EK7" s="260" t="b">
        <f t="shared" ca="1" si="139"/>
        <v>1</v>
      </c>
      <c r="EL7" s="259">
        <f t="shared" si="81"/>
        <v>5</v>
      </c>
      <c r="EM7" s="259">
        <f ca="1">IF(AND(BA7&gt;0,BA7&lt;=$EM$1),MAX($EM$2:EM6)+1,0)</f>
        <v>0</v>
      </c>
      <c r="EN7" s="259">
        <f t="shared" ca="1" si="82"/>
        <v>7</v>
      </c>
      <c r="EP7" s="259" t="str">
        <f t="shared" ca="1" si="20"/>
        <v/>
      </c>
      <c r="EQ7" s="259">
        <f t="shared" ca="1" si="21"/>
        <v>0</v>
      </c>
      <c r="ER7" s="259">
        <f ca="1">IF(ISNA(EQ7),MAX(ER$2:ER6)+1,0)</f>
        <v>0</v>
      </c>
      <c r="ES7" s="259" t="str">
        <f t="shared" ca="1" si="83"/>
        <v/>
      </c>
      <c r="ET7" s="259" t="str">
        <f ca="1">IFERROR(UPPER(INDEX($ER$3:$ES$500,MATCH(ROWS(ET$3:ET7),$ER$3:$ER$500,0),2)),"")</f>
        <v/>
      </c>
      <c r="EU7" s="259" t="s">
        <v>461</v>
      </c>
      <c r="EV7" s="259">
        <f ca="1">IF(SUMIFS($FB$3:$FB$400,$EZ$3:$EZ$400,"="&amp;"BILANCIO DI CHIUSURA",$EY$3:$EY$400,"&lt;="&amp;FINE_AC,$EY$3:$EY$400,"&gt;="&amp;INIZIO_A_PC)+SUMIFS($FC$3:$FC$400,$EZ$3:$EZ$400,"="&amp;"BILANCIO DI CHIUSURA",$EY$3:$EY$400,"&lt;="&amp;FINE_AC,$EY$3:$EY$400,"&gt;="&amp;INIZIO_A_PC)=0,0,MAX(EV3:EV6)+1)</f>
        <v>0</v>
      </c>
      <c r="EW7" s="259" t="str">
        <f ca="1">IF(AND(IFERROR(INDEX($EU$3:$EV$30,MATCH(ROWS($EX$3:EX7),$EV$3:$EV$30,0),1),"")&lt;&gt;"",EW8&lt;&gt;""),CONCATENATE(IFERROR(INDEX($EU$3:$EV$30,MATCH(ROWS($EX$3:EX7),$EV$3:$EV$30,0),1),"")," - "),IFERROR(INDEX($EU$3:$EV$30,MATCH(ROWS($EX$3:EX7),$EV$3:$EV$30,0),1),""))</f>
        <v/>
      </c>
      <c r="EY7" s="259">
        <f t="shared" ca="1" si="84"/>
        <v>0</v>
      </c>
      <c r="EZ7" s="259">
        <f t="shared" ca="1" si="84"/>
        <v>0</v>
      </c>
      <c r="FA7" s="259" t="str">
        <f t="shared" ca="1" si="85"/>
        <v/>
      </c>
      <c r="FB7" s="259">
        <f t="shared" ca="1" si="86"/>
        <v>0</v>
      </c>
      <c r="FC7" s="259">
        <f t="shared" ca="1" si="87"/>
        <v>0</v>
      </c>
      <c r="FD7" s="259">
        <f t="shared" ca="1" si="22"/>
        <v>0</v>
      </c>
      <c r="FE7" s="259" t="str">
        <f t="shared" ca="1" si="23"/>
        <v/>
      </c>
      <c r="FF7" s="259" t="str">
        <f t="shared" ca="1" si="88"/>
        <v/>
      </c>
      <c r="FG7" s="259" t="str">
        <f t="shared" si="89"/>
        <v>FONDO AMMORTAMENTO COSTI DI IMPIANTO</v>
      </c>
      <c r="FH7" s="259">
        <f t="shared" ca="1" si="24"/>
        <v>0</v>
      </c>
      <c r="FI7" s="259">
        <f t="shared" ca="1" si="25"/>
        <v>0</v>
      </c>
      <c r="FJ7" s="259">
        <f t="shared" ca="1" si="90"/>
        <v>0</v>
      </c>
      <c r="FK7" s="259">
        <f t="shared" ca="1" si="91"/>
        <v>0</v>
      </c>
      <c r="FL7" s="259">
        <f ca="1">IF(OR(FJ7&gt;0,FK7&gt;0),MAX($FL$2:FL6)+1,0)</f>
        <v>0</v>
      </c>
      <c r="FM7" s="259">
        <f t="shared" ca="1" si="26"/>
        <v>0</v>
      </c>
      <c r="FN7" s="259">
        <f ca="1">IF(FM7&lt;0,MAX($FN$2:FN6)+1,0)</f>
        <v>0</v>
      </c>
      <c r="FO7" s="259" t="str">
        <f t="shared" ca="1" si="92"/>
        <v/>
      </c>
      <c r="FP7" s="259" t="str">
        <f ca="1">IFERROR(INDEX($FN$3:$FO$400,MATCH(ROWS($FP$3:FP7),$FN$3:$FN$400,0),2),"")</f>
        <v/>
      </c>
      <c r="FQ7" s="259" t="str">
        <f>IF(AE7="SE AVERE",MAX($FQ$2:FQ6)+1,"")</f>
        <v/>
      </c>
      <c r="FR7" s="259" t="str">
        <f>IF(AE7="SE DARE",MAX($FR$2:FR6)+1,"")</f>
        <v/>
      </c>
      <c r="FS7" s="259" t="str">
        <f ca="1">IF(AND(AE7="SP DARE",AA7&lt;&gt;$FS$1,AA7&lt;&gt;$FT$1),MAX($FS$2:FS6)+1,IF(AND(GQ7="SP DARE",AA7&lt;&gt;$FS$1,AA7&lt;&gt;$FT$1),MAX($FS$2:FS6)+1,""))</f>
        <v/>
      </c>
      <c r="FT7" s="259">
        <f ca="1">IF(AND(AE7="SP AVERE",AA7&lt;&gt;$FU$1),MAX($FT$2:FT6)+1,IF(AND(GQ7="SP AVERE",AA7&lt;&gt;$FU$1),MAX($FT$2:FT6)+1,""))</f>
        <v>132</v>
      </c>
      <c r="FU7" s="259">
        <f t="shared" ca="1" si="93"/>
        <v>132</v>
      </c>
      <c r="FV7" s="259" t="str">
        <f t="shared" si="94"/>
        <v>FONDO AMMORTAMENTO COSTI DI IMPIANTO</v>
      </c>
      <c r="FW7" s="259" t="str">
        <f ca="1">IFERROR(INDEX($FU$3:$FV$500,MATCH(ROWS($FW$3:FW7),$FU$3:$FU$500,0),2),0)</f>
        <v>PROVENTI VARI</v>
      </c>
      <c r="FX7" s="259">
        <f t="shared" ca="1" si="95"/>
        <v>5</v>
      </c>
      <c r="FY7" s="259">
        <f t="shared" ca="1" si="96"/>
        <v>0</v>
      </c>
      <c r="FZ7" s="259">
        <f ca="1">IF(FY7&gt;0,MAX($FZ$2:FZ6)+1,0)</f>
        <v>0</v>
      </c>
      <c r="GA7" s="259">
        <f ca="1">IFERROR(INDEX($FY$3:$FZ$500,MATCH(ROWS($GA$3:GA7),$FZ$3:$FZ$500,0),1),0)</f>
        <v>79</v>
      </c>
      <c r="GB7" s="259" t="s">
        <v>205</v>
      </c>
      <c r="GC7" s="259">
        <f t="shared" ca="1" si="97"/>
        <v>5</v>
      </c>
      <c r="GD7" s="259" t="str">
        <f t="shared" ca="1" si="98"/>
        <v>PROVENTI VARI</v>
      </c>
      <c r="GE7" s="259">
        <f ca="1">IF(CM1&gt;CP1,CM1-CP1,0)</f>
        <v>0</v>
      </c>
      <c r="GG7" s="259">
        <f t="shared" ca="1" si="27"/>
        <v>0</v>
      </c>
      <c r="GH7" s="259">
        <f t="shared" ca="1" si="99"/>
        <v>0</v>
      </c>
      <c r="GI7" s="259">
        <f t="shared" ca="1" si="100"/>
        <v>0</v>
      </c>
      <c r="GJ7" s="259">
        <f t="shared" ca="1" si="101"/>
        <v>0</v>
      </c>
      <c r="GK7" s="259">
        <f t="shared" ca="1" si="102"/>
        <v>0</v>
      </c>
      <c r="GL7" s="259">
        <f t="shared" ca="1" si="103"/>
        <v>0</v>
      </c>
      <c r="GM7" s="259">
        <f ca="1">IF(OR(GK7&gt;0,GL7&gt;0),MAX($GM$2:GM6)+1,0)</f>
        <v>0</v>
      </c>
      <c r="GN7" s="259" t="str">
        <f ca="1">IFERROR(INDEX($GD$3:$GM$400,MATCH(ROWS($GN$3:GN7),$GM$3:$GM$400,0),1),"")</f>
        <v/>
      </c>
      <c r="GO7" s="259" t="str">
        <f ca="1">IFERROR(INDEX($GD$3:$GM$400,MATCH(ROWS($GO$3:GO7),$GM$3:$GM$400,0),8),"")</f>
        <v/>
      </c>
      <c r="GP7" s="259" t="str">
        <f ca="1">IFERROR(INDEX($GD$3:$GM$400,MATCH(ROWS($GP$3:GP7),$GM$3:$GM$400,0),9),"")</f>
        <v/>
      </c>
      <c r="GQ7" s="259">
        <f t="shared" ca="1" si="28"/>
        <v>0</v>
      </c>
      <c r="GR7" s="259">
        <f t="shared" ca="1" si="104"/>
        <v>0</v>
      </c>
      <c r="GS7" s="259" t="str">
        <f t="shared" si="105"/>
        <v>epilogo a Conto economico</v>
      </c>
      <c r="GT7" s="259" t="str">
        <f ca="1">IFERROR(INDEX($GD$3:$GS$400,MATCH(ROWS($GT$3:GT7),$GM$3:$GM$400,0),16),"")</f>
        <v/>
      </c>
      <c r="GU7" s="259">
        <f ca="1">IF(GQ7&lt;&gt;0,MAX($GU$2:$GU6)+1,0)</f>
        <v>0</v>
      </c>
      <c r="GV7" s="259">
        <f t="shared" ca="1" si="106"/>
        <v>0</v>
      </c>
      <c r="GW7" s="259" t="str">
        <f ca="1">IF(AND(IFERROR(INDEX($GU$3:$GV$400,MATCH(ROWS($GW$3:GW7),$GU$3:$GU$400,0),2),"")&lt;&gt;"",GW8&lt;&gt;""),CONCATENATE(IFERROR(INDEX($GU$3:$GV$400,MATCH(ROWS($GW$3:GW7),$GU$3:$GU$400,0),2),"")," - "),IFERROR(INDEX($GU$3:$GV$400,MATCH(ROWS($GW$3:GW7),$GU$3:$GU$400,0),2),""))</f>
        <v/>
      </c>
      <c r="GX7" s="259">
        <f ca="1">IF(OR(GN7="IVA NS/CREDITO",GN7="IVA NS/DEBITO",GN7="IVA C/ACCONTO",GN7="IMPOSTE C/ACCONTO"),MAX($GX$2:GX6)+1,0)</f>
        <v>0</v>
      </c>
      <c r="GY7" s="259" t="str">
        <f ca="1">IF(AND(IFERROR(INDEX($GN$3:$GX$200,MATCH(ROWS($GY$3:GY7),$GX$3:$GX$200,0),1),"")&lt;&gt;"",GY8&lt;&gt;""),CONCATENATE(IFERROR(INDEX($GN$3:$GX$200,MATCH(ROWS($GY$3:GY7),$GX$3:$GX$200,0),1),"")," - "),IFERROR(INDEX($GN$3:$GX$200,MATCH(ROWS($GY$3:GY7),$GX$3:$GX$200,0),1),""))</f>
        <v/>
      </c>
      <c r="GZ7" s="259" t="s">
        <v>619</v>
      </c>
      <c r="HA7" s="259" t="s">
        <v>490</v>
      </c>
      <c r="HB7" s="269" t="s">
        <v>256</v>
      </c>
      <c r="HC7" s="269" t="s">
        <v>276</v>
      </c>
      <c r="HD7" s="269" t="s">
        <v>9</v>
      </c>
      <c r="HE7" s="269" t="s">
        <v>206</v>
      </c>
      <c r="HL7" s="259" t="str">
        <f t="shared" ca="1" si="29"/>
        <v/>
      </c>
      <c r="HM7" s="259" t="str">
        <f t="shared" ca="1" si="30"/>
        <v/>
      </c>
      <c r="HN7" s="259" t="str">
        <f t="shared" ca="1" si="31"/>
        <v/>
      </c>
      <c r="HO7" s="259">
        <f ca="1">IF(HL7&lt;&gt;"",MAX($HO$2:HO6)+1,0)</f>
        <v>0</v>
      </c>
      <c r="HP7" s="259">
        <f ca="1">IF(HM7&lt;&gt;"",MAX($HP$2:HP6)+1,0)</f>
        <v>0</v>
      </c>
      <c r="HQ7" s="259">
        <f ca="1">IF(HN7&lt;&gt;"",MAX($HQ$2:HQ6)+1,0)</f>
        <v>0</v>
      </c>
      <c r="HR7" s="259" t="str">
        <f t="shared" ca="1" si="107"/>
        <v/>
      </c>
      <c r="HS7" s="259" t="str">
        <f t="shared" ca="1" si="108"/>
        <v/>
      </c>
      <c r="HT7" s="259">
        <f t="shared" ca="1" si="109"/>
        <v>0</v>
      </c>
      <c r="HU7" s="259">
        <f t="shared" ca="1" si="110"/>
        <v>0</v>
      </c>
      <c r="HV7" s="259" t="str">
        <f ca="1">CONCATENATE(IFERROR(INDEX($HS$3:$HT$102,MATCH(ROWS($HV$3:HV7),$HT$3:$HT$102,0),1),""),HR7)</f>
        <v/>
      </c>
      <c r="IB7" s="259" t="s">
        <v>288</v>
      </c>
      <c r="IC7" s="259">
        <f ca="1">IFERROR(INDEX(PIANO_DEI_CONTI,MATCH(ROWS(DL$3:DL7),$DK$3:DK234,0),2),0)</f>
        <v>0</v>
      </c>
      <c r="ID7" s="259">
        <f t="shared" ca="1" si="111"/>
        <v>0</v>
      </c>
      <c r="IE7" s="259">
        <f t="shared" ca="1" si="112"/>
        <v>0</v>
      </c>
      <c r="IF7" s="259">
        <f t="shared" ca="1" si="113"/>
        <v>0</v>
      </c>
      <c r="IG7" s="259">
        <f ca="1">SUM(IG4:IG6)</f>
        <v>0</v>
      </c>
      <c r="IH7" s="259">
        <f ca="1">IF(IG7&lt;&gt;0,MAX($IH$2:IH6)+1,0)</f>
        <v>0</v>
      </c>
      <c r="II7" s="259">
        <f>IF(AD7="costi pluriennali",MAX($II$2:II6)+1,0)</f>
        <v>0</v>
      </c>
      <c r="IJ7" s="259">
        <f>IF($AD7="rettifiche costi pluriennali",MAX($IJ$2:IJ6)+1,0)</f>
        <v>1</v>
      </c>
      <c r="IK7" s="259">
        <f t="shared" si="114"/>
        <v>1</v>
      </c>
      <c r="IL7" s="259" t="str">
        <f t="shared" si="115"/>
        <v>FONDO AMMORTAMENTO COSTI DI IMPIANTO</v>
      </c>
      <c r="IM7" s="259">
        <f t="shared" ca="1" si="116"/>
        <v>0</v>
      </c>
      <c r="IN7" s="259">
        <f t="shared" ref="IN7:IN70" ca="1" si="141">IFERROR(INDEX($IC$3:$IK$200,MATCH(IL7,$IC$3:$IC$200,0),3),0)</f>
        <v>0</v>
      </c>
      <c r="IO7" s="259">
        <f ca="1">SUMIFS($IM$3:$IM$200,$IK$3:$IK$200,ROWS($IO$3:IO7))-SUMIFS($IN$3:$IN$200,$IK$3:$IK$200,ROWS($IO$3:IO7))</f>
        <v>0</v>
      </c>
      <c r="IP7" s="259" t="str">
        <f ca="1">IF(IO7&lt;0,INDEX($IJ$3:$IL$200,MATCH(ROWS($IP$3:IP7),$IJ$3:$IJ$200,0),3),"")</f>
        <v/>
      </c>
      <c r="IQ7" s="259">
        <f ca="1">IF(IP7&lt;&gt;"",MAX($IQ$2:IQ6)+1,0)</f>
        <v>0</v>
      </c>
      <c r="IR7" s="259" t="str">
        <f ca="1">IFERROR(INDEX($IP$3:$IQ$200,MATCH(ROWS($IR$3:IR7),$IQ$3:$IQ$200,0),1),"")</f>
        <v/>
      </c>
      <c r="IS7" s="259" t="str">
        <f t="shared" ca="1" si="117"/>
        <v/>
      </c>
      <c r="IT7" s="259" t="str">
        <f t="shared" ca="1" si="118"/>
        <v/>
      </c>
      <c r="IU7" s="259" t="str">
        <f t="shared" ca="1" si="119"/>
        <v/>
      </c>
      <c r="IV7" s="259" t="str">
        <f t="shared" ca="1" si="120"/>
        <v/>
      </c>
      <c r="IW7" s="259" t="str">
        <f t="shared" ca="1" si="121"/>
        <v/>
      </c>
      <c r="IX7" s="259" t="str">
        <f t="shared" ca="1" si="122"/>
        <v/>
      </c>
      <c r="IY7" s="259" t="str">
        <f t="shared" ca="1" si="123"/>
        <v/>
      </c>
      <c r="IZ7" s="259" t="str">
        <f t="shared" ca="1" si="124"/>
        <v/>
      </c>
      <c r="JA7" s="259" t="str">
        <f t="shared" ca="1" si="125"/>
        <v/>
      </c>
      <c r="JB7" s="259">
        <f t="shared" ca="1" si="32"/>
        <v>0</v>
      </c>
      <c r="JC7" s="259">
        <f t="shared" ca="1" si="126"/>
        <v>0</v>
      </c>
      <c r="JE7" s="259">
        <f ca="1">IFERROR(INDEX(LIBRO_GIORNALE!$N$11:$O$408,MATCH(ROWS($JE$2:JE6),LIBRO_GIORNALE!$O$11:$O$408,0),1),0)</f>
        <v>0</v>
      </c>
      <c r="JF7" s="259" t="str">
        <f t="shared" ca="1" si="127"/>
        <v>0</v>
      </c>
      <c r="JG7" s="259">
        <f t="shared" ca="1" si="128"/>
        <v>0</v>
      </c>
      <c r="JH7" s="259">
        <f ca="1">IF(JJ7&gt;0,0,MAX($JH$2:JH6)+1)</f>
        <v>5</v>
      </c>
      <c r="JI7" s="259">
        <f ca="1">IF(JG7&gt;0,MAX($JI$2:JI6)+1,0)</f>
        <v>0</v>
      </c>
      <c r="JJ7" s="259">
        <f ca="1">IFERROR(INDEX($JG$3:$JI$124,MATCH(ROWS($JJ$3:JJ7),$JI$3:$JI$124,0),1),0)</f>
        <v>0</v>
      </c>
      <c r="JK7" s="259">
        <f t="shared" ca="1" si="129"/>
        <v>0</v>
      </c>
      <c r="JL7" s="259">
        <f t="shared" ca="1" si="130"/>
        <v>5</v>
      </c>
      <c r="JM7" s="259">
        <v>4</v>
      </c>
    </row>
    <row r="8" spans="1:273">
      <c r="A8" s="259" t="str">
        <f t="shared" si="33"/>
        <v>01.11</v>
      </c>
      <c r="B8" s="259" t="str">
        <f t="shared" si="34"/>
        <v>FONDO AMMORTAMENTO COSTI DI IMPIANTO</v>
      </c>
      <c r="C8" s="259" t="str">
        <f t="shared" si="35"/>
        <v>E</v>
      </c>
      <c r="D8" s="259" t="str">
        <f t="shared" si="36"/>
        <v>A</v>
      </c>
      <c r="E8" s="259" t="str">
        <f t="shared" si="37"/>
        <v>RETTIFICHE COSTI PLURIENNALI</v>
      </c>
      <c r="F8" s="259" t="str">
        <f t="shared" si="38"/>
        <v>SP AVERE</v>
      </c>
      <c r="G8" s="259">
        <f t="shared" ca="1" si="39"/>
        <v>0</v>
      </c>
      <c r="H8" s="259">
        <f t="shared" ca="1" si="40"/>
        <v>0</v>
      </c>
      <c r="I8" s="259">
        <f t="shared" ca="1" si="41"/>
        <v>1</v>
      </c>
      <c r="J8" s="259">
        <v>5</v>
      </c>
      <c r="K8" s="259" t="str">
        <f ca="1">IFERROR(IF($I$1=1,INDEX($AA$3:$AS$220,MATCH(ROWS($K$3:K8),$AQ$3:$AQ$220,0),1),IF($I$1=2,INDEX($AA$3:$AS$220,MATCH(ROWS($K$3:K8),$AR$3:$AR$220,0),1),IF($I$1=3,INDEX($AA$3:$AS$220,MATCH(ROWS($K$3:K8),$AS$3:$AS$220,0),1),""))),"")</f>
        <v>FONDO AMMORTAMENTO BREVETTI</v>
      </c>
      <c r="L8" s="259">
        <f ca="1">IF(AND($L$1="VISUALIZZA TUTTI I CONTI",K8&lt;&gt;""),MAX(L7:L7)+1,IFERROR(IF($J$1=1,IF(INDEX(PIANO_DEI_CONTI,MATCH($K8,DENOMINAZIONE,0),5)=$L$1,MAX($L$2:L7)+1,0),IF($J$1=2,IF(INDEX(PIANO_DEI_CONTI,MATCH($K8,DENOMINAZIONE,0),7)=$L$1,MAX($L$2:L7)+1,0))),0))</f>
        <v>6</v>
      </c>
      <c r="M8" s="259" t="str">
        <f ca="1">IFERROR(INDEX($K$3:$K$220,MATCH(ROWS($M$3:M8),$L$3:$L$220,0),1),"")</f>
        <v>FONDO AMMORTAMENTO BREVETTI</v>
      </c>
      <c r="N8" s="259" t="s">
        <v>73</v>
      </c>
      <c r="O8" s="259" t="str">
        <f t="shared" ca="1" si="42"/>
        <v/>
      </c>
      <c r="P8" s="259">
        <f ca="1">IF(AND(N8=O8,O8&lt;&gt;""),MAX(P$2:P7)+1,0)</f>
        <v>0</v>
      </c>
      <c r="Q8" s="275" t="str">
        <f ca="1">IF(IFERROR(INDEX($O$3:$P$220,MATCH(ROWS(Q$3:Q8),$P$3:$P$220,0),1),"")=0,"",IFERROR(INDEX($O$3:$P$220,MATCH(ROWS(Q$3:Q8),$P$3:$P$220,0),1),""))</f>
        <v>CREDITI COMMERCIALI</v>
      </c>
      <c r="R8" s="259" t="str">
        <f t="shared" si="1"/>
        <v/>
      </c>
      <c r="S8" s="259">
        <f ca="1">IF(IFERROR(MATCH(R8,DENOMINAZIONE_GIORNALE,0),0)&gt;0,MAX(S$2:S7)+1,0)</f>
        <v>0</v>
      </c>
      <c r="T8" s="259" t="str">
        <f ca="1">IFERROR(INDEX($R$3:$S$220,MATCH(ROWS($T$3:T8),$S$3:$S$220,0),1),"")</f>
        <v/>
      </c>
      <c r="U8" s="259">
        <f t="shared" ca="1" si="2"/>
        <v>0</v>
      </c>
      <c r="V8" s="259">
        <f ca="1">IF(IF(U8&lt;&gt;0,MAX($V$2:V7)+1,0)=0,0,IF(U8&lt;&gt;0,MAX($V$2:V7)+1,0))</f>
        <v>0</v>
      </c>
      <c r="W8" s="259" t="str">
        <f t="shared" si="43"/>
        <v>01.11</v>
      </c>
      <c r="X8" s="259" t="str">
        <f t="shared" si="44"/>
        <v>FONDO AMMORTAMENTO COSTI DI IMPIANTO</v>
      </c>
      <c r="Y8" s="259">
        <f>IF(W8="",0,MAX($Y$2:Y7)+1)</f>
        <v>5</v>
      </c>
      <c r="Z8" s="259" t="str">
        <f>IFERROR(INDEX($W$3:$Y$220,MATCH(ROWS($Z$2:Z7),$Y$3:$Y$220,0),1),"")</f>
        <v>01.13</v>
      </c>
      <c r="AA8" s="259" t="str">
        <f t="shared" si="45"/>
        <v>FONDO AMMORTAMENTO BREVETTI</v>
      </c>
      <c r="AB8" s="259" t="str">
        <f t="shared" si="46"/>
        <v>E</v>
      </c>
      <c r="AC8" s="259" t="str">
        <f t="shared" si="47"/>
        <v>A</v>
      </c>
      <c r="AD8" s="259" t="str">
        <f t="shared" si="48"/>
        <v>RETTIFICHE COSTI PLURIENNALI</v>
      </c>
      <c r="AE8" s="259" t="str">
        <f t="shared" si="49"/>
        <v>SP AVERE</v>
      </c>
      <c r="AF8" s="259" t="str">
        <f t="shared" si="50"/>
        <v>IMMOBILIZZAZIONI IMMATERIALI</v>
      </c>
      <c r="AG8" s="259">
        <f t="shared" ca="1" si="51"/>
        <v>0</v>
      </c>
      <c r="AH8" s="259">
        <f t="shared" ca="1" si="52"/>
        <v>1</v>
      </c>
      <c r="AI8" s="259">
        <f t="shared" ca="1" si="53"/>
        <v>1</v>
      </c>
      <c r="AJ8" s="259" t="str">
        <f t="shared" si="54"/>
        <v>01</v>
      </c>
      <c r="AK8" s="259" t="str">
        <f t="shared" si="55"/>
        <v/>
      </c>
      <c r="AL8" s="259">
        <f>IF(AK8&lt;&gt;"",MAX($AL$2:AL7)+1,0)</f>
        <v>0</v>
      </c>
      <c r="AM8" s="259" t="str">
        <f>IFERROR(INDEX($AK$3:$AL$220,MATCH(ROWS($AM$3:AM8),$AL$3:$AL$220,0),1),"")</f>
        <v>06</v>
      </c>
      <c r="AN8" s="259" t="str">
        <f t="shared" si="56"/>
        <v>06.00</v>
      </c>
      <c r="AO8" s="259" t="str">
        <f t="shared" si="57"/>
        <v>CREDITI DIVERSI</v>
      </c>
      <c r="AP8" s="259" t="str">
        <f t="shared" si="58"/>
        <v>IMMOBILIZZAZIONI IMMATERIALI</v>
      </c>
      <c r="AQ8" s="259">
        <f ca="1">IF(OR(AG8=0,AG8=""),0,MAX(AQ$2:AQ7)+1)</f>
        <v>0</v>
      </c>
      <c r="AR8" s="259">
        <f ca="1">IF(OR(AH8=0,AH8=""),0,MAX(AR$2:AR7)+1)</f>
        <v>4</v>
      </c>
      <c r="AS8" s="259">
        <f ca="1">IF(OR(AI8=0,AI8=""),0,MAX(AS$2:AS7)+1)</f>
        <v>6</v>
      </c>
      <c r="AT8" s="259" t="str">
        <f ca="1">IFERROR(INDEX($AD$3:$AS$220,MATCH(ROWS(AT$3:AT8),AQ$3:AQ$220,0),1),"")</f>
        <v>COSTI PLURIENNALI</v>
      </c>
      <c r="AU8" s="259" t="str">
        <f ca="1">IFERROR(INDEX($AD$3:$AS$220,MATCH(ROWS(AU$3:AU8),AR$3:AR$220,0),1),"")</f>
        <v>CREDITI</v>
      </c>
      <c r="AV8" s="259" t="str">
        <f ca="1">IFERROR(INDEX($AD$3:$AS$220,MATCH(ROWS(AV$3:AV8),AS$3:AS$220,0),1),"")</f>
        <v>RETTIFICHE COSTI PLURIENNALI</v>
      </c>
      <c r="AW8" s="259" t="str">
        <f ca="1">IFERROR(INDEX($AP$3:$AS$220,MATCH(ROWS(AW$3:AW8),AQ$3:AQ$220,0),1),"")</f>
        <v>IMMOBILIZZAZIONI MATERIALI</v>
      </c>
      <c r="AX8" s="259" t="str">
        <f ca="1">IFERROR(INDEX($AP$3:$AS$220,MATCH(ROWS(AX$3:AX8),AR$3:AR$220,0),1),"")</f>
        <v>IMMOBILIZZAZIONI IMMATERIALI</v>
      </c>
      <c r="AY8" s="259" t="str">
        <f ca="1">IFERROR(INDEX($AP$3:$AS$220,MATCH(ROWS(AY$3:AY8),AS$3:AS$220,0),1),"")</f>
        <v>IMMOBILIZZAZIONI IMMATERIALI</v>
      </c>
      <c r="AZ8" s="276" t="str">
        <f t="shared" ca="1" si="59"/>
        <v/>
      </c>
      <c r="BA8" s="259">
        <f t="shared" ca="1" si="3"/>
        <v>0</v>
      </c>
      <c r="BB8" s="259">
        <f ca="1">IFERROR(INDEX($FG$3:$FL$400,MATCH(ROWS($BB$3:BB8),$FL$3:$FL$400,0),1),0)</f>
        <v>0</v>
      </c>
      <c r="BC8" s="259" t="str">
        <f t="shared" ca="1" si="60"/>
        <v/>
      </c>
      <c r="BD8" s="259">
        <f ca="1">IFERROR(INDEX($FG$3:$FL$400,MATCH(ROWS($BD$3:BD8),$FL$3:$FL$400,0),4),0)</f>
        <v>0</v>
      </c>
      <c r="BE8" s="259">
        <f ca="1">IFERROR(INDEX($FG$3:$FL$400,MATCH(ROWS($BE$3:BE8),$FL$3:$FL$400,0),5),0)</f>
        <v>0</v>
      </c>
      <c r="BG8" s="259" t="str">
        <f t="shared" si="4"/>
        <v>FONDO AMMORTAMENTO BREVETTI</v>
      </c>
      <c r="BH8" s="259">
        <f ca="1">IF(IFERROR(MATCH(BG8,DENOMINAZIONE_GIORNALE,0),0)&gt;0,MAX(BH$2:BH7)+1,0)</f>
        <v>0</v>
      </c>
      <c r="BI8" s="259" t="str">
        <f ca="1">IFERROR(INDEX($BG$3:$BH$220,MATCH(ROWS($BI$3:BI8),$BH$3:$BH$220,0),1),"")</f>
        <v/>
      </c>
      <c r="BJ8" s="259" t="str">
        <f t="shared" ca="1" si="5"/>
        <v/>
      </c>
      <c r="BK8" s="259" t="str">
        <f ca="1">IF(IF(BJ8&lt;&gt;"",MAX($BK$2:BK7)+1,0)=0,"",IF(BJ8&lt;&gt;"",MAX($BK$2:BK7)+1,0))</f>
        <v/>
      </c>
      <c r="BL8" s="259" t="str">
        <f ca="1">IFERROR(INDEX($T$3:$U$220, MATCH(ROWS(BL$3:BL8),$V$3:$V$220,0),1),"")</f>
        <v/>
      </c>
      <c r="BM8" s="259" t="str">
        <f ca="1">IFERROR(INDEX($T$3:$U$220, MATCH(ROWS(BM$3:BM8),$V$3:$V$220,0),2),"")</f>
        <v/>
      </c>
      <c r="BN8" s="259" t="str">
        <f ca="1">IF(IFERROR(INDEX($BI$3:$BJ$220,MATCH(ROWS(BN$3:BN8),$BK$3:$BK$220,0),1),"")="PATRIMONIO NETTO","",IFERROR(INDEX($BI$3:$BJ$220,MATCH(ROWS(BN$3:BN8),$BK$3:$BK$220,0),1),""))</f>
        <v/>
      </c>
      <c r="BO8" s="259" t="str">
        <f ca="1">IFERROR(INDEX($BI$3:$BJ$220,MATCH(ROWS(BO$3:BO8),$BK$3:$BK$220,0),2),"")</f>
        <v/>
      </c>
      <c r="BP8" s="259">
        <f ca="1">IF(BN8&lt;&gt;"",MAX(BP$2:$BP7)+1,0)</f>
        <v>0</v>
      </c>
      <c r="BQ8" s="259" t="str">
        <f ca="1">IFERROR(INDEX($BN$3:$BO$200,MATCH(ROWS(BQ$3:BQ8),$BP$3:$BP$220,0),1),"")</f>
        <v/>
      </c>
      <c r="BR8" s="259" t="str">
        <f ca="1">IFERROR(INDEX($BN$3:$BO$220,MATCH(ROWS(BR$3:BR8),$BP$3:$BP$220,0),2),"")</f>
        <v/>
      </c>
      <c r="BS8" s="259" t="str">
        <f ca="1">IFERROR(IF(OR(INDEX($T$3:$U$220,MATCH(ROWS(BL$3:BL8),$V$3:$V$220,0),1)="PRELEVAMENTI EXTRAGESTIONE",INDEX($T$3:$U$220,MATCH(ROWS(BL$3:BL8),$V$3:$V$220,0),1)="TITOLARE C/RITENUTE SUBITE"),"",INDEX($T$3:$U$220,MATCH(ROWS(BL$3:BL8),$V$3:$V$220,0),1)),"")</f>
        <v/>
      </c>
      <c r="BT8" s="259">
        <f t="shared" ca="1" si="61"/>
        <v>0</v>
      </c>
      <c r="BU8" s="259">
        <f ca="1">IF(BS8&lt;&gt;"",MAX(BU$2:BU7)+1,0)</f>
        <v>0</v>
      </c>
      <c r="BV8" s="259" t="str">
        <f ca="1">IFERROR(INDEX($BS$3:$BT$223,MATCH(ROWS(BV$3:BV8),$BU$3:$BU$223,0),1),"")</f>
        <v/>
      </c>
      <c r="BW8" s="259">
        <f t="shared" ca="1" si="62"/>
        <v>0</v>
      </c>
      <c r="BX8" s="259" t="str">
        <f t="shared" ca="1" si="63"/>
        <v/>
      </c>
      <c r="BY8" s="259" t="str">
        <f t="shared" ca="1" si="64"/>
        <v/>
      </c>
      <c r="BZ8" s="259" t="str">
        <f ca="1">IFERROR(IF(OR($DS$231&lt;&gt;$DT$231,$DU$231&lt;&gt;$DV$231,$EO$25&lt;&gt;0,$EO$26&lt;&gt;0),INDEX($T$3:$V$220,MATCH(ROWS($BV$3:BV8),$V$3:$V$220,0),1),CONCATENATE(BV8,BY8)),"")</f>
        <v/>
      </c>
      <c r="CA8" s="259">
        <f t="shared" ca="1" si="65"/>
        <v>0</v>
      </c>
      <c r="CB8" s="259" t="str">
        <f ca="1">IFERROR(IF(OR($BB$1&lt;&gt;$BD$1,$BC$1&lt;&gt;$BE$1,$DS$231&lt;&gt;$DT$231,$DU$231&lt;&gt;$DV$231,$EO$25&lt;&gt;0,$EO$26&lt;&gt;0),INDEX($BI$3:$BK$220,MATCH(ROWS($CB$3:CB8),$BK$3:$BK$220,0),1),CONCATENATE(BQ8,BX8)),"")</f>
        <v/>
      </c>
      <c r="CC8" s="259" t="str">
        <f t="shared" ca="1" si="66"/>
        <v/>
      </c>
      <c r="CD8" s="259" t="str">
        <f t="shared" si="6"/>
        <v/>
      </c>
      <c r="CE8" s="259">
        <f ca="1">IF(IFERROR(MATCH(CD8,DENOMINAZIONE_GIORNALE,0),0)&gt;0,MAX(CE$2:CE7)+1,0)</f>
        <v>0</v>
      </c>
      <c r="CF8" s="259" t="str">
        <f ca="1">IFERROR(INDEX($CD$3:$CE$220,MATCH(ROWS($CF$3:CF8),$CE$3:$CE$220,0),1),"")</f>
        <v/>
      </c>
      <c r="CG8" s="259">
        <f t="shared" ca="1" si="7"/>
        <v>0</v>
      </c>
      <c r="CH8" s="259" t="str">
        <f ca="1">IF(IF(CG8&lt;&gt;0,MAX($CH$2:CH7)+1,0)=0,"",IF(CG8&lt;&gt;"",MAX($CH$2:CH7)+1,0))</f>
        <v/>
      </c>
      <c r="CI8" s="259" t="str">
        <f ca="1">IFERROR(INDEX($CF$3:$CG$220,MATCH(ROWS($CI$3:CI8),$CH$3:$CH$220,0),1),"")</f>
        <v/>
      </c>
      <c r="CJ8" s="259" t="str">
        <f t="shared" ca="1" si="67"/>
        <v/>
      </c>
      <c r="CK8" s="259" t="str">
        <f t="shared" si="8"/>
        <v/>
      </c>
      <c r="CL8" s="259">
        <f ca="1">IF(IFERROR(MATCH(CK8,DENOMINAZIONE_GIORNALE,0),0)&gt;0,MAX(CL$2:CL7)+1,0)</f>
        <v>0</v>
      </c>
      <c r="CM8" s="259" t="str">
        <f ca="1">IFERROR(INDEX($CK$3:$CL$220,MATCH(ROWS($CM$3:CM8),$CL$3:$CL$220,0),1),"")</f>
        <v/>
      </c>
      <c r="CN8" s="259" t="str">
        <f t="shared" ca="1" si="9"/>
        <v/>
      </c>
      <c r="CO8" s="259">
        <f ca="1">IF(IF(CN8&lt;&gt;0,MAX($CO$2:CO7)+1,0)=0,"",IF(CN8&lt;&gt;"",MAX($CO$2:CO7)+1,0))</f>
        <v>0</v>
      </c>
      <c r="CP8" s="259" t="str">
        <f ca="1">IFERROR(INDEX($CM$3:$CN$220,MATCH(ROWS(CP$3:CP8),$CO$3:$CO$220,0),1),"")</f>
        <v/>
      </c>
      <c r="CQ8" s="259" t="str">
        <f ca="1">IFERROR(INDEX($CM$3:$CN$220,MATCH(ROWS(CQ$3:CQ8),$CO$3:$CO$220,0),2),"")</f>
        <v/>
      </c>
      <c r="CR8" s="259" t="str">
        <f t="shared" ca="1" si="10"/>
        <v/>
      </c>
      <c r="CS8" s="259">
        <f t="shared" ca="1" si="11"/>
        <v>0</v>
      </c>
      <c r="CT8" s="259">
        <f t="shared" ca="1" si="12"/>
        <v>0</v>
      </c>
      <c r="CU8" s="259">
        <f ca="1">IF(OR(CS8&gt;0,CT8&gt;0),MAX($CU$2:CU7)+1,0)</f>
        <v>0</v>
      </c>
      <c r="CV8" s="259" t="str">
        <f ca="1">IFERROR(INDEX(PIANO_DEI_CONTI,MATCH(ROWS($CV$3:CV8),$CU$3:$CU$200,0),2),"")</f>
        <v/>
      </c>
      <c r="CW8" s="259">
        <f ca="1">IFERROR(IF(CV8&lt;&gt;"",MAX($CW$2:CW7)+1,0),0)</f>
        <v>0</v>
      </c>
      <c r="CX8" s="259">
        <f t="shared" ca="1" si="68"/>
        <v>1</v>
      </c>
      <c r="CY8" s="259" t="str">
        <f t="shared" ca="1" si="13"/>
        <v>MASTRO</v>
      </c>
      <c r="CZ8" s="259" t="e">
        <f t="shared" ca="1" si="131"/>
        <v>#N/A</v>
      </c>
      <c r="DA8" s="259" t="str">
        <f t="shared" ca="1" si="140"/>
        <v/>
      </c>
      <c r="DB8" s="259" t="str">
        <f t="shared" ca="1" si="132"/>
        <v/>
      </c>
      <c r="DC8" s="259" t="str">
        <f t="shared" ca="1" si="133"/>
        <v/>
      </c>
      <c r="DD8" s="259" t="str">
        <f t="shared" ca="1" si="134"/>
        <v/>
      </c>
      <c r="DE8" s="259" t="str">
        <f t="shared" ca="1" si="135"/>
        <v/>
      </c>
      <c r="DF8" s="259">
        <f ca="1">IF(AND(CX8=$DE$2,$DF$2&lt;&gt;0),0,IF(AND(DB8&lt;&gt;"",OR(DB7&lt;&gt;"",DB9&lt;&gt;"")),MAX($DF$2:DF7)+1,0))</f>
        <v>0</v>
      </c>
      <c r="DG8" s="259" t="str">
        <f>IF(OR(VALORI_INIZIALI!E13="",AND(VALORI_INIZIALI!E13&lt;&gt;"",VALORI_INIZIALI!H13=0,VALORI_INIZIALI!I13=0)),"",IFERROR(INDEX(PIANO_DEI_CONTI,MATCH(BB8,DENOMINAZIONE,0),1),0))</f>
        <v/>
      </c>
      <c r="DH8" s="259">
        <f ca="1">IFERROR(IF($J$1=1,IF(INDEX(PIANO_DEI_CONTI,MATCH($K8,DENOMINAZIONE,0),5)=$DF$1,MAX($DH$2:DH7)+1,0),IF($J$1=2,IF(INDEX(PIANO_DEI_CONTI,MATCH($K8,DENOMINAZIONE,0),7)=$DF$1,MAX($DH$2:DH7)+1,0))),0)</f>
        <v>0</v>
      </c>
      <c r="DI8" s="259">
        <f ca="1">IFERROR(INDEX($K$3:$K$220,MATCH(ROWS($DI$3:DI8),$DH$3:$DH$220,0),1),0)</f>
        <v>0</v>
      </c>
      <c r="DJ8" s="259">
        <f t="shared" ca="1" si="14"/>
        <v>0</v>
      </c>
      <c r="DK8" s="259">
        <f ca="1">IF(DJ8=0,0,MAX(DK$2:DK7)+1)</f>
        <v>0</v>
      </c>
      <c r="DL8" s="259">
        <f ca="1">IFERROR(INDEX(PIANO_DEI_CONTI,MATCH(ROWS(DL$3:DL8),$DK$3:DK235,0),2),0)</f>
        <v>0</v>
      </c>
      <c r="DM8" s="259">
        <f t="shared" ca="1" si="15"/>
        <v>0</v>
      </c>
      <c r="DN8" s="259">
        <f t="shared" ca="1" si="16"/>
        <v>0</v>
      </c>
      <c r="DO8" s="259">
        <f t="shared" ca="1" si="69"/>
        <v>0</v>
      </c>
      <c r="DP8" s="259">
        <f t="shared" ca="1" si="70"/>
        <v>0</v>
      </c>
      <c r="DQ8" s="259">
        <f ca="1">IF(OR($DQ$1="TOTALI",$DQ$1="TOTALI ED ECCEDENZE"),IF(OR(DM8&gt;0,DN8&gt;0),MAX(DQ$2:DQ7)+1,0),IF($DQ$1="ECCEDENZE",IF(OR(DO8&gt;0,DP8&gt;0),MAX(DQ$2:DQ7)+1,0),""))</f>
        <v>0</v>
      </c>
      <c r="DR8" s="259" t="str">
        <f ca="1">IFERROR(INDEX($DL$3:$DQ$230,MATCH(ROWS(DR$3:DR8),$DQ$3:$DQ$230,0),1),"")</f>
        <v/>
      </c>
      <c r="DS8" s="259" t="str">
        <f t="shared" ca="1" si="71"/>
        <v/>
      </c>
      <c r="DT8" s="259" t="str">
        <f t="shared" ca="1" si="72"/>
        <v/>
      </c>
      <c r="DU8" s="259" t="str">
        <f t="shared" ca="1" si="73"/>
        <v/>
      </c>
      <c r="DV8" s="259" t="str">
        <f t="shared" ca="1" si="74"/>
        <v/>
      </c>
      <c r="DW8" s="259">
        <f t="shared" ca="1" si="75"/>
        <v>0</v>
      </c>
      <c r="DX8" s="259" t="str">
        <f t="shared" ca="1" si="76"/>
        <v/>
      </c>
      <c r="DY8" s="259" t="str">
        <f t="shared" ca="1" si="77"/>
        <v/>
      </c>
      <c r="DZ8" s="259" t="str">
        <f t="shared" ca="1" si="78"/>
        <v/>
      </c>
      <c r="EA8" s="259">
        <f t="shared" ca="1" si="79"/>
        <v>6</v>
      </c>
      <c r="EB8" s="259" t="s">
        <v>348</v>
      </c>
      <c r="ED8" s="259">
        <f t="shared" ca="1" si="17"/>
        <v>0</v>
      </c>
      <c r="EE8" s="259" t="str">
        <f t="shared" ca="1" si="18"/>
        <v/>
      </c>
      <c r="EF8" s="259" t="str">
        <f t="shared" ca="1" si="19"/>
        <v/>
      </c>
      <c r="EG8" s="259" t="str">
        <f t="shared" ca="1" si="136"/>
        <v/>
      </c>
      <c r="EH8" s="259" t="str">
        <f t="shared" ca="1" si="80"/>
        <v/>
      </c>
      <c r="EI8" s="260" t="b">
        <f t="shared" ca="1" si="137"/>
        <v>0</v>
      </c>
      <c r="EJ8" s="260" t="b">
        <f t="shared" ca="1" si="138"/>
        <v>0</v>
      </c>
      <c r="EK8" s="260" t="b">
        <f t="shared" ca="1" si="139"/>
        <v>1</v>
      </c>
      <c r="EL8" s="259">
        <f t="shared" si="81"/>
        <v>6</v>
      </c>
      <c r="EM8" s="259">
        <f ca="1">IF(AND(BA8&gt;0,BA8&lt;=$EM$1),MAX($EM$2:EM7)+1,0)</f>
        <v>0</v>
      </c>
      <c r="EN8" s="259">
        <f t="shared" ca="1" si="82"/>
        <v>8</v>
      </c>
      <c r="EP8" s="259" t="str">
        <f t="shared" ca="1" si="20"/>
        <v/>
      </c>
      <c r="EQ8" s="259">
        <f t="shared" ca="1" si="21"/>
        <v>0</v>
      </c>
      <c r="ER8" s="259">
        <f ca="1">IF(ISNA(EQ8),MAX(ER$2:ER7)+1,0)</f>
        <v>0</v>
      </c>
      <c r="ES8" s="259" t="str">
        <f t="shared" ca="1" si="83"/>
        <v/>
      </c>
      <c r="ET8" s="259" t="str">
        <f ca="1">IFERROR(UPPER(INDEX($ER$3:$ES$500,MATCH(ROWS(ET$3:ET8),$ER$3:$ER$500,0),2)),"")</f>
        <v/>
      </c>
      <c r="EU8" s="259" t="s">
        <v>464</v>
      </c>
      <c r="EV8" s="259">
        <f ca="1">IF(SUM(JD103:JD400)&gt;0,MAX(EV3:EV7)+1,0)</f>
        <v>0</v>
      </c>
      <c r="EW8" s="259" t="str">
        <f ca="1">IF(AND(IFERROR(INDEX($EU$3:$EV$30,MATCH(ROWS($EX$3:EX8),$EV$3:$EV$30,0),1),"")&lt;&gt;"",EW9&lt;&gt;""),CONCATENATE(IFERROR(INDEX($EU$3:$EV$30,MATCH(ROWS($EX$3:EX8),$EV$3:$EV$30,0),1),"")," - "),IFERROR(INDEX($EU$3:$EV$30,MATCH(ROWS($EX$3:EX8),$EV$3:$EV$30,0),1),""))</f>
        <v/>
      </c>
      <c r="EY8" s="259">
        <f t="shared" ca="1" si="84"/>
        <v>0</v>
      </c>
      <c r="EZ8" s="259">
        <f t="shared" ca="1" si="84"/>
        <v>0</v>
      </c>
      <c r="FA8" s="259" t="str">
        <f t="shared" ca="1" si="85"/>
        <v/>
      </c>
      <c r="FB8" s="259">
        <f t="shared" ca="1" si="86"/>
        <v>0</v>
      </c>
      <c r="FC8" s="259">
        <f t="shared" ca="1" si="87"/>
        <v>0</v>
      </c>
      <c r="FD8" s="259">
        <f t="shared" ca="1" si="22"/>
        <v>0</v>
      </c>
      <c r="FE8" s="259" t="str">
        <f t="shared" ca="1" si="23"/>
        <v/>
      </c>
      <c r="FF8" s="259" t="str">
        <f t="shared" ca="1" si="88"/>
        <v/>
      </c>
      <c r="FG8" s="259" t="str">
        <f t="shared" si="89"/>
        <v>FONDO AMMORTAMENTO BREVETTI</v>
      </c>
      <c r="FH8" s="259">
        <f t="shared" ca="1" si="24"/>
        <v>0</v>
      </c>
      <c r="FI8" s="259">
        <f t="shared" ca="1" si="25"/>
        <v>0</v>
      </c>
      <c r="FJ8" s="259">
        <f t="shared" ca="1" si="90"/>
        <v>0</v>
      </c>
      <c r="FK8" s="259">
        <f t="shared" ca="1" si="91"/>
        <v>0</v>
      </c>
      <c r="FL8" s="259">
        <f ca="1">IF(OR(FJ8&gt;0,FK8&gt;0),MAX($FL$2:FL7)+1,0)</f>
        <v>0</v>
      </c>
      <c r="FM8" s="259">
        <f t="shared" ca="1" si="26"/>
        <v>0</v>
      </c>
      <c r="FN8" s="259">
        <f ca="1">IF(FM8&lt;0,MAX($FN$2:FN7)+1,0)</f>
        <v>0</v>
      </c>
      <c r="FO8" s="259" t="str">
        <f t="shared" ca="1" si="92"/>
        <v/>
      </c>
      <c r="FP8" s="259" t="str">
        <f ca="1">IFERROR(INDEX($FN$3:$FO$400,MATCH(ROWS($FP$3:FP8),$FN$3:$FN$400,0),2),"")</f>
        <v/>
      </c>
      <c r="FQ8" s="259" t="str">
        <f>IF(AE8="SE AVERE",MAX($FQ$2:FQ7)+1,"")</f>
        <v/>
      </c>
      <c r="FR8" s="259" t="str">
        <f>IF(AE8="SE DARE",MAX($FR$2:FR7)+1,"")</f>
        <v/>
      </c>
      <c r="FS8" s="259" t="str">
        <f ca="1">IF(AND(AE8="SP DARE",AA8&lt;&gt;$FS$1,AA8&lt;&gt;$FT$1),MAX($FS$2:FS7)+1,IF(AND(GQ8="SP DARE",AA8&lt;&gt;$FS$1,AA8&lt;&gt;$FT$1),MAX($FS$2:FS7)+1,""))</f>
        <v/>
      </c>
      <c r="FT8" s="259">
        <f ca="1">IF(AND(AE8="SP AVERE",AA8&lt;&gt;$FU$1),MAX($FT$2:FT7)+1,IF(AND(GQ8="SP AVERE",AA8&lt;&gt;$FU$1),MAX($FT$2:FT7)+1,""))</f>
        <v>133</v>
      </c>
      <c r="FU8" s="259">
        <f t="shared" ca="1" si="93"/>
        <v>133</v>
      </c>
      <c r="FV8" s="259" t="str">
        <f t="shared" si="94"/>
        <v>FONDO AMMORTAMENTO BREVETTI</v>
      </c>
      <c r="FW8" s="259" t="str">
        <f ca="1">IFERROR(INDEX($FU$3:$FV$500,MATCH(ROWS($FW$3:FW8),$FU$3:$FU$500,0),2),0)</f>
        <v>ARROTONDAMENTI ATTIVI</v>
      </c>
      <c r="FX8" s="259">
        <f t="shared" ca="1" si="95"/>
        <v>6</v>
      </c>
      <c r="FY8" s="259">
        <f t="shared" ca="1" si="96"/>
        <v>0</v>
      </c>
      <c r="FZ8" s="259">
        <f ca="1">IF(FY8&gt;0,MAX($FZ$2:FZ7)+1,0)</f>
        <v>0</v>
      </c>
      <c r="GA8" s="259">
        <f ca="1">IFERROR(INDEX($FY$3:$FZ$500,MATCH(ROWS($GA$3:GA8),$FZ$3:$FZ$500,0),1),0)</f>
        <v>80</v>
      </c>
      <c r="GB8" s="259" t="s">
        <v>88</v>
      </c>
      <c r="GC8" s="259">
        <f t="shared" ca="1" si="97"/>
        <v>6</v>
      </c>
      <c r="GD8" s="259" t="str">
        <f t="shared" ca="1" si="98"/>
        <v>ARROTONDAMENTI ATTIVI</v>
      </c>
      <c r="GF8" s="259">
        <f ca="1">GE7</f>
        <v>0</v>
      </c>
      <c r="GG8" s="259">
        <f t="shared" ca="1" si="27"/>
        <v>0</v>
      </c>
      <c r="GH8" s="259">
        <f t="shared" ca="1" si="99"/>
        <v>0</v>
      </c>
      <c r="GI8" s="259">
        <f t="shared" ca="1" si="100"/>
        <v>0</v>
      </c>
      <c r="GJ8" s="259">
        <f t="shared" ca="1" si="101"/>
        <v>0</v>
      </c>
      <c r="GK8" s="259">
        <f t="shared" ca="1" si="102"/>
        <v>0</v>
      </c>
      <c r="GL8" s="259">
        <f t="shared" ca="1" si="103"/>
        <v>0</v>
      </c>
      <c r="GM8" s="259">
        <f ca="1">IF(OR(GK8&gt;0,GL8&gt;0),MAX($GM$2:GM7)+1,0)</f>
        <v>0</v>
      </c>
      <c r="GN8" s="259" t="str">
        <f ca="1">IFERROR(INDEX($GD$3:$GM$400,MATCH(ROWS($GN$3:GN8),$GM$3:$GM$400,0),1),"")</f>
        <v/>
      </c>
      <c r="GO8" s="259" t="str">
        <f ca="1">IFERROR(INDEX($GD$3:$GM$400,MATCH(ROWS($GO$3:GO8),$GM$3:$GM$400,0),8),"")</f>
        <v/>
      </c>
      <c r="GP8" s="259" t="str">
        <f ca="1">IFERROR(INDEX($GD$3:$GM$400,MATCH(ROWS($GP$3:GP8),$GM$3:$GM$400,0),9),"")</f>
        <v/>
      </c>
      <c r="GQ8" s="259">
        <f t="shared" ca="1" si="28"/>
        <v>0</v>
      </c>
      <c r="GR8" s="259">
        <f t="shared" ca="1" si="104"/>
        <v>0</v>
      </c>
      <c r="GS8" s="259" t="str">
        <f t="shared" si="105"/>
        <v>epilogo a Conto economico</v>
      </c>
      <c r="GT8" s="259" t="str">
        <f ca="1">IFERROR(INDEX($GD$3:$GS$400,MATCH(ROWS($GT$3:GT8),$GM$3:$GM$400,0),16),"")</f>
        <v/>
      </c>
      <c r="GU8" s="259">
        <f ca="1">IF(GQ8&lt;&gt;0,MAX($GU$2:$GU7)+1,0)</f>
        <v>0</v>
      </c>
      <c r="GV8" s="259">
        <f t="shared" ca="1" si="106"/>
        <v>0</v>
      </c>
      <c r="GW8" s="259" t="str">
        <f ca="1">IF(AND(IFERROR(INDEX($GU$3:$GV$400,MATCH(ROWS($GW$3:GW8),$GU$3:$GU$400,0),2),"")&lt;&gt;"",GW9&lt;&gt;""),CONCATENATE(IFERROR(INDEX($GU$3:$GV$400,MATCH(ROWS($GW$3:GW8),$GU$3:$GU$400,0),2),"")," - "),IFERROR(INDEX($GU$3:$GV$400,MATCH(ROWS($GW$3:GW8),$GU$3:$GU$400,0),2),""))</f>
        <v/>
      </c>
      <c r="GX8" s="259">
        <f ca="1">IF(OR(GN8="IVA NS/CREDITO",GN8="IVA NS/DEBITO",GN8="IVA C/ACCONTO",GN8="IMPOSTE C/ACCONTO"),MAX($GX$2:GX7)+1,0)</f>
        <v>0</v>
      </c>
      <c r="GY8" s="259" t="str">
        <f ca="1">IF(AND(IFERROR(INDEX($GN$3:$GX$200,MATCH(ROWS($GY$3:GY8),$GX$3:$GX$200,0),1),"")&lt;&gt;"",GY9&lt;&gt;""),CONCATENATE(IFERROR(INDEX($GN$3:$GX$200,MATCH(ROWS($GY$3:GY8),$GX$3:$GX$200,0),1),"")," - "),IFERROR(INDEX($GN$3:$GX$200,MATCH(ROWS($GY$3:GY8),$GX$3:$GX$200,0),1),""))</f>
        <v/>
      </c>
      <c r="GZ8" s="259" t="s">
        <v>491</v>
      </c>
      <c r="HA8" s="259" t="s">
        <v>620</v>
      </c>
      <c r="HB8" s="269" t="s">
        <v>256</v>
      </c>
      <c r="HC8" s="269" t="s">
        <v>211</v>
      </c>
      <c r="HD8" s="269" t="s">
        <v>266</v>
      </c>
      <c r="HE8" s="269" t="s">
        <v>212</v>
      </c>
      <c r="HG8" s="270"/>
      <c r="HL8" s="259" t="str">
        <f t="shared" ca="1" si="29"/>
        <v/>
      </c>
      <c r="HM8" s="259" t="str">
        <f t="shared" ca="1" si="30"/>
        <v/>
      </c>
      <c r="HN8" s="259" t="str">
        <f t="shared" ca="1" si="31"/>
        <v/>
      </c>
      <c r="HO8" s="259">
        <f ca="1">IF(HL8&lt;&gt;"",MAX($HO$2:HO7)+1,0)</f>
        <v>0</v>
      </c>
      <c r="HP8" s="259">
        <f ca="1">IF(HM8&lt;&gt;"",MAX($HP$2:HP7)+1,0)</f>
        <v>0</v>
      </c>
      <c r="HQ8" s="259">
        <f ca="1">IF(HN8&lt;&gt;"",MAX($HQ$2:HQ7)+1,0)</f>
        <v>0</v>
      </c>
      <c r="HR8" s="259" t="str">
        <f t="shared" ca="1" si="107"/>
        <v/>
      </c>
      <c r="HS8" s="259" t="str">
        <f t="shared" ca="1" si="108"/>
        <v/>
      </c>
      <c r="HT8" s="259">
        <f t="shared" ca="1" si="109"/>
        <v>0</v>
      </c>
      <c r="HU8" s="259">
        <f t="shared" ca="1" si="110"/>
        <v>0</v>
      </c>
      <c r="HV8" s="259" t="str">
        <f ca="1">CONCATENATE(IFERROR(INDEX($HS$3:$HT$102,MATCH(ROWS($HV$3:HV8),$HT$3:$HT$102,0),1),""),HR8)</f>
        <v/>
      </c>
      <c r="IC8" s="259">
        <f ca="1">IFERROR(INDEX(PIANO_DEI_CONTI,MATCH(ROWS(DL$3:DL8),$DK$3:DK235,0),2),0)</f>
        <v>0</v>
      </c>
      <c r="ID8" s="259">
        <f t="shared" ca="1" si="111"/>
        <v>0</v>
      </c>
      <c r="IE8" s="259">
        <f t="shared" ca="1" si="112"/>
        <v>0</v>
      </c>
      <c r="IF8" s="259">
        <f t="shared" ca="1" si="113"/>
        <v>0</v>
      </c>
      <c r="IH8" s="259">
        <f>IF(IG8&lt;&gt;0,MAX($IH$2:IH7)+1,0)</f>
        <v>0</v>
      </c>
      <c r="II8" s="259">
        <f>IF(AD8="costi pluriennali",MAX($II$2:II7)+1,0)</f>
        <v>0</v>
      </c>
      <c r="IJ8" s="259">
        <f>IF($AD8="rettifiche costi pluriennali",MAX($IJ$2:IJ7)+1,0)</f>
        <v>2</v>
      </c>
      <c r="IK8" s="259">
        <f t="shared" si="114"/>
        <v>2</v>
      </c>
      <c r="IL8" s="259" t="str">
        <f t="shared" si="115"/>
        <v>FONDO AMMORTAMENTO BREVETTI</v>
      </c>
      <c r="IM8" s="259">
        <f t="shared" ca="1" si="116"/>
        <v>0</v>
      </c>
      <c r="IN8" s="259">
        <f t="shared" ca="1" si="141"/>
        <v>0</v>
      </c>
      <c r="IO8" s="259">
        <f ca="1">SUMIFS($IM$3:$IM$200,$IK$3:$IK$200,ROWS($IO$3:IO8))-SUMIFS($IN$3:$IN$200,$IK$3:$IK$200,ROWS($IO$3:IO8))</f>
        <v>0</v>
      </c>
      <c r="IP8" s="259" t="str">
        <f ca="1">IF(IO8&lt;0,INDEX($IJ$3:$IL$200,MATCH(ROWS($IP$3:IP8),$IJ$3:$IJ$200,0),3),"")</f>
        <v/>
      </c>
      <c r="IQ8" s="259">
        <f ca="1">IF(IP8&lt;&gt;"",MAX($IQ$2:IQ7)+1,0)</f>
        <v>0</v>
      </c>
      <c r="IR8" s="259" t="str">
        <f ca="1">IFERROR(INDEX($IP$3:$IQ$200,MATCH(ROWS($IR$3:IR8),$IQ$3:$IQ$200,0),1),"")</f>
        <v/>
      </c>
      <c r="IS8" s="259" t="str">
        <f t="shared" ca="1" si="117"/>
        <v/>
      </c>
      <c r="IT8" s="259" t="str">
        <f t="shared" ca="1" si="118"/>
        <v/>
      </c>
      <c r="IU8" s="259" t="str">
        <f t="shared" ca="1" si="119"/>
        <v/>
      </c>
      <c r="IV8" s="259" t="str">
        <f t="shared" ca="1" si="120"/>
        <v/>
      </c>
      <c r="IW8" s="259" t="str">
        <f t="shared" ca="1" si="121"/>
        <v/>
      </c>
      <c r="IX8" s="259" t="str">
        <f t="shared" ca="1" si="122"/>
        <v/>
      </c>
      <c r="IY8" s="259" t="str">
        <f t="shared" ca="1" si="123"/>
        <v/>
      </c>
      <c r="IZ8" s="259" t="str">
        <f t="shared" ca="1" si="124"/>
        <v/>
      </c>
      <c r="JA8" s="259" t="str">
        <f t="shared" ca="1" si="125"/>
        <v/>
      </c>
      <c r="JB8" s="259">
        <f t="shared" ca="1" si="32"/>
        <v>0</v>
      </c>
      <c r="JC8" s="259">
        <f t="shared" ca="1" si="126"/>
        <v>0</v>
      </c>
      <c r="JE8" s="259">
        <f ca="1">IFERROR(INDEX(LIBRO_GIORNALE!$N$11:$O$408,MATCH(ROWS($JE$2:JE7),LIBRO_GIORNALE!$O$11:$O$408,0),1),0)</f>
        <v>0</v>
      </c>
      <c r="JF8" s="259" t="str">
        <f t="shared" ca="1" si="127"/>
        <v>0</v>
      </c>
      <c r="JG8" s="259">
        <f t="shared" ca="1" si="128"/>
        <v>0</v>
      </c>
      <c r="JH8" s="259">
        <f ca="1">IF(JJ8&gt;0,0,MAX($JH$2:JH7)+1)</f>
        <v>6</v>
      </c>
      <c r="JI8" s="259">
        <f ca="1">IF(JG8&gt;0,MAX($JI$2:JI7)+1,0)</f>
        <v>0</v>
      </c>
      <c r="JJ8" s="259">
        <f ca="1">IFERROR(INDEX($JG$3:$JI$124,MATCH(ROWS($JJ$3:JJ8),$JI$3:$JI$124,0),1),0)</f>
        <v>0</v>
      </c>
      <c r="JK8" s="259">
        <f t="shared" ca="1" si="129"/>
        <v>0</v>
      </c>
      <c r="JL8" s="259">
        <f t="shared" ca="1" si="130"/>
        <v>6</v>
      </c>
      <c r="JM8" s="259">
        <v>5</v>
      </c>
    </row>
    <row r="9" spans="1:273">
      <c r="A9" s="259" t="str">
        <f t="shared" si="33"/>
        <v>01.13</v>
      </c>
      <c r="B9" s="259" t="str">
        <f t="shared" si="34"/>
        <v>FONDO AMMORTAMENTO BREVETTI</v>
      </c>
      <c r="C9" s="259" t="str">
        <f t="shared" si="35"/>
        <v>E</v>
      </c>
      <c r="D9" s="259" t="str">
        <f t="shared" si="36"/>
        <v>A</v>
      </c>
      <c r="E9" s="259" t="str">
        <f t="shared" si="37"/>
        <v>RETTIFICHE COSTI PLURIENNALI</v>
      </c>
      <c r="F9" s="259" t="str">
        <f t="shared" si="38"/>
        <v>SP AVERE</v>
      </c>
      <c r="G9" s="259">
        <f t="shared" ca="1" si="39"/>
        <v>0</v>
      </c>
      <c r="H9" s="259">
        <f t="shared" ca="1" si="40"/>
        <v>1</v>
      </c>
      <c r="I9" s="259">
        <f t="shared" ca="1" si="41"/>
        <v>1</v>
      </c>
      <c r="J9" s="259">
        <v>6</v>
      </c>
      <c r="K9" s="259" t="str">
        <f ca="1">IFERROR(IF($I$1=1,INDEX($AA$3:$AS$220,MATCH(ROWS($K$3:K9),$AQ$3:$AQ$220,0),1),IF($I$1=2,INDEX($AA$3:$AS$220,MATCH(ROWS($K$3:K9),$AR$3:$AR$220,0),1),IF($I$1=3,INDEX($AA$3:$AS$220,MATCH(ROWS($K$3:K9),$AS$3:$AS$220,0),1),""))),"")</f>
        <v>FONDO AMMORTAMENTO SOFTWARE</v>
      </c>
      <c r="L9" s="259">
        <f ca="1">IF(AND($L$1="VISUALIZZA TUTTI I CONTI",K9&lt;&gt;""),MAX(L8:L8)+1,IFERROR(IF($J$1=1,IF(INDEX(PIANO_DEI_CONTI,MATCH($K9,DENOMINAZIONE,0),5)=$L$1,MAX($L$2:L8)+1,0),IF($J$1=2,IF(INDEX(PIANO_DEI_CONTI,MATCH($K9,DENOMINAZIONE,0),7)=$L$1,MAX($L$2:L8)+1,0))),0))</f>
        <v>7</v>
      </c>
      <c r="M9" s="259" t="str">
        <f ca="1">IFERROR(INDEX($K$3:$K$220,MATCH(ROWS($M$3:M9),$L$3:$L$220,0),1),"")</f>
        <v>FONDO AMMORTAMENTO SOFTWARE</v>
      </c>
      <c r="N9" s="259" t="s">
        <v>4</v>
      </c>
      <c r="O9" s="259" t="str">
        <f t="shared" ca="1" si="42"/>
        <v/>
      </c>
      <c r="P9" s="259">
        <f ca="1">IF(AND(N9=O9,O9&lt;&gt;""),MAX(P$2:P8)+1,0)</f>
        <v>0</v>
      </c>
      <c r="Q9" s="275" t="str">
        <f ca="1">IF(IFERROR(INDEX($O$3:$P$220,MATCH(ROWS(Q$3:Q9),$P$3:$P$220,0),1),"")=0,"",IFERROR(INDEX($O$3:$P$220,MATCH(ROWS(Q$3:Q9),$P$3:$P$220,0),1),""))</f>
        <v>CREDITI DIVERSI</v>
      </c>
      <c r="R9" s="259" t="str">
        <f t="shared" si="1"/>
        <v/>
      </c>
      <c r="S9" s="259">
        <f ca="1">IF(IFERROR(MATCH(R9,DENOMINAZIONE_GIORNALE,0),0)&gt;0,MAX(S$2:S8)+1,0)</f>
        <v>0</v>
      </c>
      <c r="T9" s="259" t="str">
        <f ca="1">IFERROR(INDEX($R$3:$S$220,MATCH(ROWS($T$3:T9),$S$3:$S$220,0),1),"")</f>
        <v/>
      </c>
      <c r="U9" s="259">
        <f t="shared" ca="1" si="2"/>
        <v>0</v>
      </c>
      <c r="V9" s="259">
        <f ca="1">IF(IF(U9&lt;&gt;0,MAX($V$2:V8)+1,0)=0,0,IF(U9&lt;&gt;0,MAX($V$2:V8)+1,0))</f>
        <v>0</v>
      </c>
      <c r="W9" s="259" t="str">
        <f t="shared" si="43"/>
        <v>01.13</v>
      </c>
      <c r="X9" s="259" t="str">
        <f t="shared" si="44"/>
        <v>FONDO AMMORTAMENTO BREVETTI</v>
      </c>
      <c r="Y9" s="259">
        <f>IF(W9="",0,MAX($Y$2:Y8)+1)</f>
        <v>6</v>
      </c>
      <c r="Z9" s="259" t="str">
        <f>IFERROR(INDEX($W$3:$Y$220,MATCH(ROWS($Z$2:Z8),$Y$3:$Y$220,0),1),"")</f>
        <v>01.14</v>
      </c>
      <c r="AA9" s="259" t="str">
        <f t="shared" si="45"/>
        <v>FONDO AMMORTAMENTO SOFTWARE</v>
      </c>
      <c r="AB9" s="259" t="str">
        <f t="shared" si="46"/>
        <v>E</v>
      </c>
      <c r="AC9" s="259" t="str">
        <f t="shared" si="47"/>
        <v>A</v>
      </c>
      <c r="AD9" s="259" t="str">
        <f t="shared" si="48"/>
        <v>RETTIFICHE COSTI PLURIENNALI</v>
      </c>
      <c r="AE9" s="259" t="str">
        <f t="shared" si="49"/>
        <v>SP AVERE</v>
      </c>
      <c r="AF9" s="259" t="str">
        <f t="shared" si="50"/>
        <v>IMMOBILIZZAZIONI IMMATERIALI</v>
      </c>
      <c r="AG9" s="259">
        <f t="shared" ca="1" si="51"/>
        <v>0</v>
      </c>
      <c r="AH9" s="259">
        <f t="shared" ca="1" si="52"/>
        <v>1</v>
      </c>
      <c r="AI9" s="259">
        <f t="shared" ca="1" si="53"/>
        <v>1</v>
      </c>
      <c r="AJ9" s="259" t="str">
        <f t="shared" si="54"/>
        <v>01</v>
      </c>
      <c r="AK9" s="259" t="str">
        <f t="shared" si="55"/>
        <v/>
      </c>
      <c r="AL9" s="259">
        <f>IF(AK9&lt;&gt;"",MAX($AL$2:AL8)+1,0)</f>
        <v>0</v>
      </c>
      <c r="AM9" s="259" t="str">
        <f>IFERROR(INDEX($AK$3:$AL$220,MATCH(ROWS($AM$3:AM9),$AL$3:$AL$220,0),1),"")</f>
        <v>08</v>
      </c>
      <c r="AN9" s="259" t="str">
        <f t="shared" si="56"/>
        <v>08.00</v>
      </c>
      <c r="AO9" s="259" t="str">
        <f t="shared" si="57"/>
        <v>DISPONIBILITÀ LIQUIDE</v>
      </c>
      <c r="AP9" s="259" t="str">
        <f t="shared" si="58"/>
        <v>IMMOBILIZZAZIONI IMMATERIALI</v>
      </c>
      <c r="AQ9" s="259">
        <f ca="1">IF(OR(AG9=0,AG9=""),0,MAX(AQ$2:AQ8)+1)</f>
        <v>0</v>
      </c>
      <c r="AR9" s="259">
        <f ca="1">IF(OR(AH9=0,AH9=""),0,MAX(AR$2:AR8)+1)</f>
        <v>5</v>
      </c>
      <c r="AS9" s="259">
        <f ca="1">IF(OR(AI9=0,AI9=""),0,MAX(AS$2:AS8)+1)</f>
        <v>7</v>
      </c>
      <c r="AT9" s="259" t="str">
        <f ca="1">IFERROR(INDEX($AD$3:$AS$220,MATCH(ROWS(AT$3:AT9),AQ$3:AQ$220,0),1),"")</f>
        <v>COSTI PLURIENNALI</v>
      </c>
      <c r="AU9" s="259" t="str">
        <f ca="1">IFERROR(INDEX($AD$3:$AS$220,MATCH(ROWS(AU$3:AU9),AR$3:AR$220,0),1),"")</f>
        <v>COSTI PLURIENNALI</v>
      </c>
      <c r="AV9" s="259" t="str">
        <f ca="1">IFERROR(INDEX($AD$3:$AS$220,MATCH(ROWS(AV$3:AV9),AS$3:AS$220,0),1),"")</f>
        <v>RETTIFICHE COSTI PLURIENNALI</v>
      </c>
      <c r="AW9" s="259" t="str">
        <f ca="1">IFERROR(INDEX($AP$3:$AS$220,MATCH(ROWS(AW$3:AW9),AQ$3:AQ$220,0),1),"")</f>
        <v>IMMOBILIZZAZIONI MATERIALI</v>
      </c>
      <c r="AX9" s="259" t="str">
        <f ca="1">IFERROR(INDEX($AP$3:$AS$220,MATCH(ROWS(AX$3:AX9),AR$3:AR$220,0),1),"")</f>
        <v>IMMOBILIZZAZIONI MATERIALI</v>
      </c>
      <c r="AY9" s="259" t="str">
        <f ca="1">IFERROR(INDEX($AP$3:$AS$220,MATCH(ROWS(AY$3:AY9),AS$3:AS$220,0),1),"")</f>
        <v>IMMOBILIZZAZIONI IMMATERIALI</v>
      </c>
      <c r="AZ9" s="276" t="str">
        <f t="shared" ca="1" si="59"/>
        <v/>
      </c>
      <c r="BA9" s="259">
        <f t="shared" ca="1" si="3"/>
        <v>0</v>
      </c>
      <c r="BB9" s="259">
        <f ca="1">IFERROR(INDEX($FG$3:$FL$400,MATCH(ROWS($BB$3:BB9),$FL$3:$FL$400,0),1),0)</f>
        <v>0</v>
      </c>
      <c r="BC9" s="259" t="str">
        <f t="shared" ca="1" si="60"/>
        <v/>
      </c>
      <c r="BD9" s="259">
        <f ca="1">IFERROR(INDEX($FG$3:$FL$400,MATCH(ROWS($BD$3:BD9),$FL$3:$FL$400,0),4),0)</f>
        <v>0</v>
      </c>
      <c r="BE9" s="259">
        <f ca="1">IFERROR(INDEX($FG$3:$FL$400,MATCH(ROWS($BE$3:BE9),$FL$3:$FL$400,0),5),0)</f>
        <v>0</v>
      </c>
      <c r="BG9" s="259" t="str">
        <f t="shared" si="4"/>
        <v>FONDO AMMORTAMENTO SOFTWARE</v>
      </c>
      <c r="BH9" s="259">
        <f ca="1">IF(IFERROR(MATCH(BG9,DENOMINAZIONE_GIORNALE,0),0)&gt;0,MAX(BH$2:BH8)+1,0)</f>
        <v>0</v>
      </c>
      <c r="BI9" s="259" t="str">
        <f ca="1">IFERROR(INDEX($BG$3:$BH$220,MATCH(ROWS($BI$3:BI9),$BH$3:$BH$220,0),1),"")</f>
        <v/>
      </c>
      <c r="BJ9" s="259" t="str">
        <f t="shared" ca="1" si="5"/>
        <v/>
      </c>
      <c r="BK9" s="259" t="str">
        <f ca="1">IF(IF(BJ9&lt;&gt;"",MAX($BK$2:BK8)+1,0)=0,"",IF(BJ9&lt;&gt;"",MAX($BK$2:BK8)+1,0))</f>
        <v/>
      </c>
      <c r="BL9" s="259" t="str">
        <f ca="1">IFERROR(INDEX($T$3:$U$220, MATCH(ROWS(BL$3:BL9),$V$3:$V$220,0),1),"")</f>
        <v/>
      </c>
      <c r="BM9" s="259" t="str">
        <f ca="1">IFERROR(INDEX($T$3:$U$220, MATCH(ROWS(BM$3:BM9),$V$3:$V$220,0),2),"")</f>
        <v/>
      </c>
      <c r="BN9" s="259" t="str">
        <f ca="1">IF(IFERROR(INDEX($BI$3:$BJ$220,MATCH(ROWS(BN$3:BN9),$BK$3:$BK$220,0),1),"")="PATRIMONIO NETTO","",IFERROR(INDEX($BI$3:$BJ$220,MATCH(ROWS(BN$3:BN9),$BK$3:$BK$220,0),1),""))</f>
        <v/>
      </c>
      <c r="BO9" s="259" t="str">
        <f ca="1">IFERROR(INDEX($BI$3:$BJ$220,MATCH(ROWS(BO$3:BO9),$BK$3:$BK$220,0),2),"")</f>
        <v/>
      </c>
      <c r="BP9" s="259">
        <f ca="1">IF(BN9&lt;&gt;"",MAX(BP$2:$BP8)+1,0)</f>
        <v>0</v>
      </c>
      <c r="BQ9" s="259" t="str">
        <f ca="1">IFERROR(INDEX($BN$3:$BO$200,MATCH(ROWS(BQ$3:BQ9),$BP$3:$BP$220,0),1),"")</f>
        <v/>
      </c>
      <c r="BR9" s="259" t="str">
        <f ca="1">IFERROR(INDEX($BN$3:$BO$220,MATCH(ROWS(BR$3:BR9),$BP$3:$BP$220,0),2),"")</f>
        <v/>
      </c>
      <c r="BS9" s="259" t="str">
        <f ca="1">IFERROR(IF(OR(INDEX($T$3:$U$220,MATCH(ROWS(BL$3:BL9),$V$3:$V$220,0),1)="PRELEVAMENTI EXTRAGESTIONE",INDEX($T$3:$U$220,MATCH(ROWS(BL$3:BL9),$V$3:$V$220,0),1)="TITOLARE C/RITENUTE SUBITE"),"",INDEX($T$3:$U$220,MATCH(ROWS(BL$3:BL9),$V$3:$V$220,0),1)),"")</f>
        <v/>
      </c>
      <c r="BT9" s="259">
        <f t="shared" ca="1" si="61"/>
        <v>0</v>
      </c>
      <c r="BU9" s="259">
        <f ca="1">IF(BS9&lt;&gt;"",MAX(BU$2:BU8)+1,0)</f>
        <v>0</v>
      </c>
      <c r="BV9" s="259" t="str">
        <f ca="1">IFERROR(INDEX($BS$3:$BT$223,MATCH(ROWS(BV$3:BV9),$BU$3:$BU$223,0),1),"")</f>
        <v/>
      </c>
      <c r="BW9" s="259">
        <f t="shared" ca="1" si="62"/>
        <v>0</v>
      </c>
      <c r="BX9" s="259" t="str">
        <f t="shared" ca="1" si="63"/>
        <v/>
      </c>
      <c r="BY9" s="259" t="str">
        <f t="shared" ca="1" si="64"/>
        <v/>
      </c>
      <c r="BZ9" s="259" t="str">
        <f ca="1">IFERROR(IF(OR($DS$231&lt;&gt;$DT$231,$DU$231&lt;&gt;$DV$231,$EO$25&lt;&gt;0,$EO$26&lt;&gt;0),INDEX($T$3:$V$220,MATCH(ROWS($BV$3:BV9),$V$3:$V$220,0),1),CONCATENATE(BV9,BY9)),"")</f>
        <v/>
      </c>
      <c r="CA9" s="259">
        <f t="shared" ca="1" si="65"/>
        <v>0</v>
      </c>
      <c r="CB9" s="259" t="str">
        <f ca="1">IFERROR(IF(OR($BB$1&lt;&gt;$BD$1,$BC$1&lt;&gt;$BE$1,$DS$231&lt;&gt;$DT$231,$DU$231&lt;&gt;$DV$231,$EO$25&lt;&gt;0,$EO$26&lt;&gt;0),INDEX($BI$3:$BK$220,MATCH(ROWS($CB$3:CB9),$BK$3:$BK$220,0),1),CONCATENATE(BQ9,BX9)),"")</f>
        <v/>
      </c>
      <c r="CC9" s="259" t="str">
        <f t="shared" ca="1" si="66"/>
        <v/>
      </c>
      <c r="CD9" s="259" t="str">
        <f t="shared" si="6"/>
        <v/>
      </c>
      <c r="CE9" s="259">
        <f ca="1">IF(IFERROR(MATCH(CD9,DENOMINAZIONE_GIORNALE,0),0)&gt;0,MAX(CE$2:CE8)+1,0)</f>
        <v>0</v>
      </c>
      <c r="CF9" s="259" t="str">
        <f ca="1">IFERROR(INDEX($CD$3:$CE$220,MATCH(ROWS($CF$3:CF9),$CE$3:$CE$220,0),1),"")</f>
        <v/>
      </c>
      <c r="CG9" s="259">
        <f t="shared" ca="1" si="7"/>
        <v>0</v>
      </c>
      <c r="CH9" s="259" t="str">
        <f ca="1">IF(IF(CG9&lt;&gt;0,MAX($CH$2:CH8)+1,0)=0,"",IF(CG9&lt;&gt;"",MAX($CH$2:CH8)+1,0))</f>
        <v/>
      </c>
      <c r="CI9" s="259" t="str">
        <f ca="1">IFERROR(INDEX($CF$3:$CG$220,MATCH(ROWS($CI$3:CI9),$CH$3:$CH$220,0),1),"")</f>
        <v/>
      </c>
      <c r="CJ9" s="259" t="str">
        <f t="shared" ca="1" si="67"/>
        <v/>
      </c>
      <c r="CK9" s="259" t="str">
        <f t="shared" si="8"/>
        <v/>
      </c>
      <c r="CL9" s="259">
        <f ca="1">IF(IFERROR(MATCH(CK9,DENOMINAZIONE_GIORNALE,0),0)&gt;0,MAX(CL$2:CL8)+1,0)</f>
        <v>0</v>
      </c>
      <c r="CM9" s="259" t="str">
        <f ca="1">IFERROR(INDEX($CK$3:$CL$220,MATCH(ROWS($CM$3:CM9),$CL$3:$CL$220,0),1),"")</f>
        <v/>
      </c>
      <c r="CN9" s="259" t="str">
        <f t="shared" ca="1" si="9"/>
        <v/>
      </c>
      <c r="CO9" s="259">
        <f ca="1">IF(IF(CN9&lt;&gt;0,MAX($CO$2:CO8)+1,0)=0,"",IF(CN9&lt;&gt;"",MAX($CO$2:CO8)+1,0))</f>
        <v>0</v>
      </c>
      <c r="CP9" s="259" t="str">
        <f ca="1">IFERROR(INDEX($CM$3:$CN$220,MATCH(ROWS(CP$3:CP9),$CO$3:$CO$220,0),1),"")</f>
        <v/>
      </c>
      <c r="CQ9" s="259" t="str">
        <f ca="1">IFERROR(INDEX($CM$3:$CN$220,MATCH(ROWS(CQ$3:CQ9),$CO$3:$CO$220,0),2),"")</f>
        <v/>
      </c>
      <c r="CR9" s="259" t="str">
        <f t="shared" ca="1" si="10"/>
        <v/>
      </c>
      <c r="CS9" s="259">
        <f t="shared" ca="1" si="11"/>
        <v>0</v>
      </c>
      <c r="CT9" s="259">
        <f t="shared" ca="1" si="12"/>
        <v>0</v>
      </c>
      <c r="CU9" s="259">
        <f ca="1">IF(OR(CS9&gt;0,CT9&gt;0),MAX($CU$2:CU8)+1,0)</f>
        <v>0</v>
      </c>
      <c r="CV9" s="259" t="str">
        <f ca="1">IFERROR(INDEX(PIANO_DEI_CONTI,MATCH(ROWS($CV$3:CV9),$CU$3:$CU$200,0),2),"")</f>
        <v/>
      </c>
      <c r="CW9" s="259">
        <f ca="1">IFERROR(IF(CV9&lt;&gt;"",MAX($CW$2:CW8)+1,0),0)</f>
        <v>0</v>
      </c>
      <c r="CX9" s="259">
        <f t="shared" ca="1" si="68"/>
        <v>1</v>
      </c>
      <c r="CY9" s="259" t="str">
        <f t="shared" ca="1" si="13"/>
        <v>MASTRO</v>
      </c>
      <c r="CZ9" s="259" t="e">
        <f t="shared" ca="1" si="131"/>
        <v>#N/A</v>
      </c>
      <c r="DA9" s="259" t="str">
        <f t="shared" ca="1" si="140"/>
        <v/>
      </c>
      <c r="DB9" s="259" t="str">
        <f t="shared" ca="1" si="132"/>
        <v/>
      </c>
      <c r="DC9" s="259" t="str">
        <f t="shared" ca="1" si="133"/>
        <v/>
      </c>
      <c r="DD9" s="259" t="str">
        <f t="shared" ca="1" si="134"/>
        <v/>
      </c>
      <c r="DE9" s="259" t="str">
        <f t="shared" ca="1" si="135"/>
        <v/>
      </c>
      <c r="DF9" s="259">
        <f ca="1">IF(AND(CX9=$DE$2,$DF$2&lt;&gt;0),0,IF(AND(DB9&lt;&gt;"",OR(DB8&lt;&gt;"",DB10&lt;&gt;"")),MAX($DF$2:DF8)+1,0))</f>
        <v>0</v>
      </c>
      <c r="DG9" s="259" t="str">
        <f>IF(OR(VALORI_INIZIALI!E14="",AND(VALORI_INIZIALI!E14&lt;&gt;"",VALORI_INIZIALI!H14=0,VALORI_INIZIALI!I14=0)),"",IFERROR(INDEX(PIANO_DEI_CONTI,MATCH(BB9,DENOMINAZIONE,0),1),0))</f>
        <v/>
      </c>
      <c r="DH9" s="259">
        <f ca="1">IFERROR(IF($J$1=1,IF(INDEX(PIANO_DEI_CONTI,MATCH($K9,DENOMINAZIONE,0),5)=$DF$1,MAX($DH$2:DH8)+1,0),IF($J$1=2,IF(INDEX(PIANO_DEI_CONTI,MATCH($K9,DENOMINAZIONE,0),7)=$DF$1,MAX($DH$2:DH8)+1,0))),0)</f>
        <v>0</v>
      </c>
      <c r="DI9" s="259">
        <f ca="1">IFERROR(INDEX($K$3:$K$220,MATCH(ROWS($DI$3:DI9),$DH$3:$DH$220,0),1),0)</f>
        <v>0</v>
      </c>
      <c r="DJ9" s="259">
        <f t="shared" ca="1" si="14"/>
        <v>0</v>
      </c>
      <c r="DK9" s="259">
        <f ca="1">IF(DJ9=0,0,MAX(DK$2:DK8)+1)</f>
        <v>0</v>
      </c>
      <c r="DL9" s="259">
        <f ca="1">IFERROR(INDEX(PIANO_DEI_CONTI,MATCH(ROWS(DL$3:DL9),$DK$3:DK236,0),2),0)</f>
        <v>0</v>
      </c>
      <c r="DM9" s="259">
        <f t="shared" ca="1" si="15"/>
        <v>0</v>
      </c>
      <c r="DN9" s="259">
        <f t="shared" ca="1" si="16"/>
        <v>0</v>
      </c>
      <c r="DO9" s="259">
        <f t="shared" ca="1" si="69"/>
        <v>0</v>
      </c>
      <c r="DP9" s="259">
        <f t="shared" ca="1" si="70"/>
        <v>0</v>
      </c>
      <c r="DQ9" s="259">
        <f ca="1">IF(OR($DQ$1="TOTALI",$DQ$1="TOTALI ED ECCEDENZE"),IF(OR(DM9&gt;0,DN9&gt;0),MAX(DQ$2:DQ8)+1,0),IF($DQ$1="ECCEDENZE",IF(OR(DO9&gt;0,DP9&gt;0),MAX(DQ$2:DQ8)+1,0),""))</f>
        <v>0</v>
      </c>
      <c r="DR9" s="259" t="str">
        <f ca="1">IFERROR(INDEX($DL$3:$DQ$230,MATCH(ROWS(DR$3:DR9),$DQ$3:$DQ$230,0),1),"")</f>
        <v/>
      </c>
      <c r="DS9" s="259" t="str">
        <f t="shared" ca="1" si="71"/>
        <v/>
      </c>
      <c r="DT9" s="259" t="str">
        <f t="shared" ca="1" si="72"/>
        <v/>
      </c>
      <c r="DU9" s="259" t="str">
        <f t="shared" ca="1" si="73"/>
        <v/>
      </c>
      <c r="DV9" s="259" t="str">
        <f t="shared" ca="1" si="74"/>
        <v/>
      </c>
      <c r="DW9" s="259">
        <f t="shared" ca="1" si="75"/>
        <v>0</v>
      </c>
      <c r="DX9" s="259" t="str">
        <f t="shared" ca="1" si="76"/>
        <v/>
      </c>
      <c r="DY9" s="259" t="str">
        <f t="shared" ca="1" si="77"/>
        <v/>
      </c>
      <c r="DZ9" s="259" t="str">
        <f t="shared" ca="1" si="78"/>
        <v/>
      </c>
      <c r="EA9" s="259">
        <f t="shared" ca="1" si="79"/>
        <v>7</v>
      </c>
      <c r="EB9" s="259" t="s">
        <v>348</v>
      </c>
      <c r="ED9" s="259">
        <f t="shared" ca="1" si="17"/>
        <v>0</v>
      </c>
      <c r="EE9" s="259" t="str">
        <f t="shared" ca="1" si="18"/>
        <v/>
      </c>
      <c r="EF9" s="259" t="str">
        <f t="shared" ca="1" si="19"/>
        <v/>
      </c>
      <c r="EG9" s="259" t="str">
        <f t="shared" ca="1" si="136"/>
        <v/>
      </c>
      <c r="EH9" s="259" t="str">
        <f t="shared" ca="1" si="80"/>
        <v/>
      </c>
      <c r="EI9" s="260" t="b">
        <f t="shared" ca="1" si="137"/>
        <v>0</v>
      </c>
      <c r="EJ9" s="260" t="b">
        <f t="shared" ca="1" si="138"/>
        <v>1</v>
      </c>
      <c r="EK9" s="260" t="b">
        <f t="shared" ca="1" si="139"/>
        <v>1</v>
      </c>
      <c r="EL9" s="259">
        <f t="shared" si="81"/>
        <v>7</v>
      </c>
      <c r="EM9" s="259">
        <f ca="1">IF(AND(BA9&gt;0,BA9&lt;=$EM$1),MAX($EM$2:EM8)+1,0)</f>
        <v>0</v>
      </c>
      <c r="EN9" s="259">
        <f t="shared" ca="1" si="82"/>
        <v>9</v>
      </c>
      <c r="EP9" s="259" t="str">
        <f t="shared" ca="1" si="20"/>
        <v/>
      </c>
      <c r="EQ9" s="259">
        <f t="shared" ca="1" si="21"/>
        <v>0</v>
      </c>
      <c r="ER9" s="259">
        <f ca="1">IF(ISNA(EQ9),MAX(ER$2:ER8)+1,0)</f>
        <v>0</v>
      </c>
      <c r="ES9" s="259" t="str">
        <f t="shared" ca="1" si="83"/>
        <v/>
      </c>
      <c r="ET9" s="259" t="str">
        <f ca="1">IFERROR(UPPER(INDEX($ER$3:$ES$500,MATCH(ROWS(ET$3:ET9),$ER$3:$ER$500,0),2)),"")</f>
        <v/>
      </c>
      <c r="EU9" s="259" t="s">
        <v>452</v>
      </c>
      <c r="EV9" s="259">
        <f ca="1">IF(IQ1&gt;0,MAX($EV$3:EV8)+1,0)</f>
        <v>0</v>
      </c>
      <c r="EW9" s="259" t="str">
        <f ca="1">IF(AND(IFERROR(INDEX($EU$3:$EV$30,MATCH(ROWS($EX$3:EX9),$EV$3:$EV$30,0),1),"")&lt;&gt;"",EW10&lt;&gt;""),CONCATENATE(IFERROR(INDEX($EU$3:$EV$30,MATCH(ROWS($EX$3:EX9),$EV$3:$EV$30,0),1),"")," - "),IFERROR(INDEX($EU$3:$EV$30,MATCH(ROWS($EX$3:EX9),$EV$3:$EV$30,0),1),""))</f>
        <v/>
      </c>
      <c r="EY9" s="259">
        <f t="shared" ca="1" si="84"/>
        <v>0</v>
      </c>
      <c r="EZ9" s="259">
        <f t="shared" ca="1" si="84"/>
        <v>0</v>
      </c>
      <c r="FA9" s="259" t="str">
        <f t="shared" ca="1" si="85"/>
        <v/>
      </c>
      <c r="FB9" s="259">
        <f t="shared" ca="1" si="86"/>
        <v>0</v>
      </c>
      <c r="FC9" s="259">
        <f t="shared" ca="1" si="87"/>
        <v>0</v>
      </c>
      <c r="FD9" s="259">
        <f t="shared" ca="1" si="22"/>
        <v>0</v>
      </c>
      <c r="FE9" s="259" t="str">
        <f t="shared" ca="1" si="23"/>
        <v/>
      </c>
      <c r="FF9" s="259" t="str">
        <f t="shared" ca="1" si="88"/>
        <v/>
      </c>
      <c r="FG9" s="259" t="str">
        <f t="shared" si="89"/>
        <v>FONDO AMMORTAMENTO SOFTWARE</v>
      </c>
      <c r="FH9" s="259">
        <f t="shared" ca="1" si="24"/>
        <v>0</v>
      </c>
      <c r="FI9" s="259">
        <f t="shared" ca="1" si="25"/>
        <v>0</v>
      </c>
      <c r="FJ9" s="259">
        <f t="shared" ca="1" si="90"/>
        <v>0</v>
      </c>
      <c r="FK9" s="259">
        <f t="shared" ca="1" si="91"/>
        <v>0</v>
      </c>
      <c r="FL9" s="259">
        <f ca="1">IF(OR(FJ9&gt;0,FK9&gt;0),MAX($FL$2:FL8)+1,0)</f>
        <v>0</v>
      </c>
      <c r="FM9" s="259">
        <f t="shared" ca="1" si="26"/>
        <v>0</v>
      </c>
      <c r="FN9" s="259">
        <f ca="1">IF(FM9&lt;0,MAX($FN$2:FN8)+1,0)</f>
        <v>0</v>
      </c>
      <c r="FO9" s="259" t="str">
        <f t="shared" ca="1" si="92"/>
        <v/>
      </c>
      <c r="FP9" s="259" t="str">
        <f ca="1">IFERROR(INDEX($FN$3:$FO$400,MATCH(ROWS($FP$3:FP9),$FN$3:$FN$400,0),2),"")</f>
        <v/>
      </c>
      <c r="FQ9" s="259" t="str">
        <f>IF(AE9="SE AVERE",MAX($FQ$2:FQ8)+1,"")</f>
        <v/>
      </c>
      <c r="FR9" s="259" t="str">
        <f>IF(AE9="SE DARE",MAX($FR$2:FR8)+1,"")</f>
        <v/>
      </c>
      <c r="FS9" s="259" t="str">
        <f ca="1">IF(AND(AE9="SP DARE",AA9&lt;&gt;$FS$1,AA9&lt;&gt;$FT$1),MAX($FS$2:FS8)+1,IF(AND(GQ9="SP DARE",AA9&lt;&gt;$FS$1,AA9&lt;&gt;$FT$1),MAX($FS$2:FS8)+1,""))</f>
        <v/>
      </c>
      <c r="FT9" s="259">
        <f ca="1">IF(AND(AE9="SP AVERE",AA9&lt;&gt;$FU$1),MAX($FT$2:FT8)+1,IF(AND(GQ9="SP AVERE",AA9&lt;&gt;$FU$1),MAX($FT$2:FT8)+1,""))</f>
        <v>134</v>
      </c>
      <c r="FU9" s="259">
        <f t="shared" ca="1" si="93"/>
        <v>134</v>
      </c>
      <c r="FV9" s="259" t="str">
        <f t="shared" si="94"/>
        <v>FONDO AMMORTAMENTO SOFTWARE</v>
      </c>
      <c r="FW9" s="259" t="str">
        <f ca="1">IFERROR(INDEX($FU$3:$FV$500,MATCH(ROWS($FW$3:FW9),$FU$3:$FU$500,0),2),0)</f>
        <v>PLUSVALENZE</v>
      </c>
      <c r="FX9" s="259">
        <f t="shared" ca="1" si="95"/>
        <v>7</v>
      </c>
      <c r="FY9" s="259">
        <f t="shared" ca="1" si="96"/>
        <v>0</v>
      </c>
      <c r="FZ9" s="259">
        <f ca="1">IF(FY9&gt;0,MAX($FZ$2:FZ8)+1,0)</f>
        <v>0</v>
      </c>
      <c r="GA9" s="259">
        <f ca="1">IFERROR(INDEX($FY$3:$FZ$500,MATCH(ROWS($GA$3:GA9),$FZ$3:$FZ$500,0),1),0)</f>
        <v>81</v>
      </c>
      <c r="GB9" s="259" t="s">
        <v>88</v>
      </c>
      <c r="GC9" s="259">
        <f t="shared" ca="1" si="97"/>
        <v>7</v>
      </c>
      <c r="GD9" s="259" t="str">
        <f t="shared" ca="1" si="98"/>
        <v>PLUSVALENZE</v>
      </c>
      <c r="GE9" s="259">
        <f ca="1">GF8</f>
        <v>0</v>
      </c>
      <c r="GG9" s="259">
        <f t="shared" ca="1" si="27"/>
        <v>0</v>
      </c>
      <c r="GH9" s="259">
        <f t="shared" ca="1" si="99"/>
        <v>0</v>
      </c>
      <c r="GI9" s="259">
        <f t="shared" ca="1" si="100"/>
        <v>0</v>
      </c>
      <c r="GJ9" s="259">
        <f t="shared" ca="1" si="101"/>
        <v>0</v>
      </c>
      <c r="GK9" s="259">
        <f t="shared" ca="1" si="102"/>
        <v>0</v>
      </c>
      <c r="GL9" s="259">
        <f t="shared" ca="1" si="103"/>
        <v>0</v>
      </c>
      <c r="GM9" s="259">
        <f ca="1">IF(OR(GK9&gt;0,GL9&gt;0),MAX($GM$2:GM8)+1,0)</f>
        <v>0</v>
      </c>
      <c r="GN9" s="259" t="str">
        <f ca="1">IFERROR(INDEX($GD$3:$GM$400,MATCH(ROWS($GN$3:GN9),$GM$3:$GM$400,0),1),"")</f>
        <v/>
      </c>
      <c r="GO9" s="259" t="str">
        <f ca="1">IFERROR(INDEX($GD$3:$GM$400,MATCH(ROWS($GO$3:GO9),$GM$3:$GM$400,0),8),"")</f>
        <v/>
      </c>
      <c r="GP9" s="259" t="str">
        <f ca="1">IFERROR(INDEX($GD$3:$GM$400,MATCH(ROWS($GP$3:GP9),$GM$3:$GM$400,0),9),"")</f>
        <v/>
      </c>
      <c r="GQ9" s="259">
        <f t="shared" ca="1" si="28"/>
        <v>0</v>
      </c>
      <c r="GR9" s="259">
        <f t="shared" ca="1" si="104"/>
        <v>0</v>
      </c>
      <c r="GS9" s="259" t="str">
        <f t="shared" si="105"/>
        <v>epilogo a Conto economico</v>
      </c>
      <c r="GT9" s="259" t="str">
        <f ca="1">IFERROR(INDEX($GD$3:$GS$400,MATCH(ROWS($GT$3:GT9),$GM$3:$GM$400,0),16),"")</f>
        <v/>
      </c>
      <c r="GU9" s="259">
        <f ca="1">IF(GQ9&lt;&gt;0,MAX($GU$2:$GU8)+1,0)</f>
        <v>0</v>
      </c>
      <c r="GV9" s="259">
        <f t="shared" ca="1" si="106"/>
        <v>0</v>
      </c>
      <c r="GW9" s="259" t="str">
        <f ca="1">IF(AND(IFERROR(INDEX($GU$3:$GV$400,MATCH(ROWS($GW$3:GW9),$GU$3:$GU$400,0),2),"")&lt;&gt;"",GW10&lt;&gt;""),CONCATENATE(IFERROR(INDEX($GU$3:$GV$400,MATCH(ROWS($GW$3:GW9),$GU$3:$GU$400,0),2),"")," - "),IFERROR(INDEX($GU$3:$GV$400,MATCH(ROWS($GW$3:GW9),$GU$3:$GU$400,0),2),""))</f>
        <v/>
      </c>
      <c r="GX9" s="259">
        <f ca="1">IF(OR(GN9="IVA NS/CREDITO",GN9="IVA NS/DEBITO",GN9="IVA C/ACCONTO",GN9="IMPOSTE C/ACCONTO"),MAX($GX$2:GX8)+1,0)</f>
        <v>0</v>
      </c>
      <c r="GY9" s="259" t="str">
        <f ca="1">IF(AND(IFERROR(INDEX($GN$3:$GX$200,MATCH(ROWS($GY$3:GY9),$GX$3:$GX$200,0),1),"")&lt;&gt;"",GY10&lt;&gt;""),CONCATENATE(IFERROR(INDEX($GN$3:$GX$200,MATCH(ROWS($GY$3:GY9),$GX$3:$GX$200,0),1),"")," - "),IFERROR(INDEX($GN$3:$GX$200,MATCH(ROWS($GY$3:GY9),$GX$3:$GX$200,0),1),""))</f>
        <v/>
      </c>
      <c r="GZ9" s="259" t="s">
        <v>621</v>
      </c>
      <c r="HA9" s="259" t="s">
        <v>622</v>
      </c>
      <c r="HB9" s="271" t="s">
        <v>256</v>
      </c>
      <c r="HC9" s="269" t="s">
        <v>211</v>
      </c>
      <c r="HD9" s="269" t="s">
        <v>266</v>
      </c>
      <c r="HE9" s="269" t="s">
        <v>212</v>
      </c>
      <c r="HL9" s="259" t="str">
        <f t="shared" ca="1" si="29"/>
        <v/>
      </c>
      <c r="HM9" s="259" t="str">
        <f t="shared" ca="1" si="30"/>
        <v/>
      </c>
      <c r="HN9" s="259" t="str">
        <f t="shared" ca="1" si="31"/>
        <v/>
      </c>
      <c r="HO9" s="259">
        <f ca="1">IF(HL9&lt;&gt;"",MAX($HO$2:HO8)+1,0)</f>
        <v>0</v>
      </c>
      <c r="HP9" s="259">
        <f ca="1">IF(HM9&lt;&gt;"",MAX($HP$2:HP8)+1,0)</f>
        <v>0</v>
      </c>
      <c r="HQ9" s="259">
        <f ca="1">IF(HN9&lt;&gt;"",MAX($HQ$2:HQ8)+1,0)</f>
        <v>0</v>
      </c>
      <c r="HR9" s="259" t="str">
        <f t="shared" ca="1" si="107"/>
        <v/>
      </c>
      <c r="HS9" s="259" t="str">
        <f t="shared" ca="1" si="108"/>
        <v/>
      </c>
      <c r="HT9" s="259">
        <f t="shared" ca="1" si="109"/>
        <v>0</v>
      </c>
      <c r="HU9" s="259">
        <f t="shared" ca="1" si="110"/>
        <v>0</v>
      </c>
      <c r="HV9" s="259" t="str">
        <f ca="1">CONCATENATE(IFERROR(INDEX($HS$3:$HT$102,MATCH(ROWS($HV$3:HV9),$HT$3:$HT$102,0),1),""),HR9)</f>
        <v/>
      </c>
      <c r="IC9" s="259">
        <f ca="1">IFERROR(INDEX(PIANO_DEI_CONTI,MATCH(ROWS(DL$3:DL9),$DK$3:DK236,0),2),0)</f>
        <v>0</v>
      </c>
      <c r="ID9" s="259">
        <f t="shared" ca="1" si="111"/>
        <v>0</v>
      </c>
      <c r="IE9" s="259">
        <f t="shared" ca="1" si="112"/>
        <v>0</v>
      </c>
      <c r="IF9" s="259">
        <f t="shared" ca="1" si="113"/>
        <v>0</v>
      </c>
      <c r="IG9" s="259">
        <f ca="1">IF(AND(IG15&gt;0,IG7&gt;0),"",0)</f>
        <v>0</v>
      </c>
      <c r="IH9" s="259">
        <f ca="1">IF(IG9&lt;&gt;0,MAX($IH$2:IH8)+1,0)</f>
        <v>0</v>
      </c>
      <c r="II9" s="259">
        <f>IF(AD9="costi pluriennali",MAX($II$2:II8)+1,0)</f>
        <v>0</v>
      </c>
      <c r="IJ9" s="259">
        <f>IF($AD9="rettifiche costi pluriennali",MAX($IJ$2:IJ8)+1,0)</f>
        <v>3</v>
      </c>
      <c r="IK9" s="259">
        <f t="shared" si="114"/>
        <v>3</v>
      </c>
      <c r="IL9" s="259" t="str">
        <f t="shared" si="115"/>
        <v>FONDO AMMORTAMENTO SOFTWARE</v>
      </c>
      <c r="IM9" s="259">
        <f t="shared" ca="1" si="116"/>
        <v>0</v>
      </c>
      <c r="IN9" s="259">
        <f t="shared" ca="1" si="141"/>
        <v>0</v>
      </c>
      <c r="IO9" s="259">
        <f ca="1">SUMIFS($IM$3:$IM$200,$IK$3:$IK$200,ROWS($IO$3:IO9))-SUMIFS($IN$3:$IN$200,$IK$3:$IK$200,ROWS($IO$3:IO9))</f>
        <v>0</v>
      </c>
      <c r="IP9" s="259" t="str">
        <f ca="1">IF(IO9&lt;0,INDEX($IJ$3:$IL$200,MATCH(ROWS($IP$3:IP9),$IJ$3:$IJ$200,0),3),"")</f>
        <v/>
      </c>
      <c r="IQ9" s="259">
        <f ca="1">IF(IP9&lt;&gt;"",MAX($IQ$2:IQ8)+1,0)</f>
        <v>0</v>
      </c>
      <c r="IR9" s="259" t="str">
        <f ca="1">IFERROR(INDEX($IP$3:$IQ$200,MATCH(ROWS($IR$3:IR9),$IQ$3:$IQ$200,0),1),"")</f>
        <v/>
      </c>
      <c r="IS9" s="259" t="str">
        <f t="shared" ca="1" si="117"/>
        <v/>
      </c>
      <c r="IT9" s="259" t="str">
        <f t="shared" ca="1" si="118"/>
        <v/>
      </c>
      <c r="IU9" s="259" t="str">
        <f t="shared" ca="1" si="119"/>
        <v/>
      </c>
      <c r="IV9" s="259" t="str">
        <f t="shared" ca="1" si="120"/>
        <v/>
      </c>
      <c r="IW9" s="259" t="str">
        <f t="shared" ca="1" si="121"/>
        <v/>
      </c>
      <c r="IX9" s="259" t="str">
        <f t="shared" ca="1" si="122"/>
        <v/>
      </c>
      <c r="IY9" s="259" t="str">
        <f t="shared" ca="1" si="123"/>
        <v/>
      </c>
      <c r="IZ9" s="259" t="str">
        <f t="shared" ca="1" si="124"/>
        <v/>
      </c>
      <c r="JA9" s="259" t="str">
        <f t="shared" ca="1" si="125"/>
        <v/>
      </c>
      <c r="JB9" s="259">
        <f t="shared" ca="1" si="32"/>
        <v>0</v>
      </c>
      <c r="JC9" s="259">
        <f t="shared" ca="1" si="126"/>
        <v>0</v>
      </c>
      <c r="JE9" s="259">
        <f ca="1">IFERROR(INDEX(LIBRO_GIORNALE!$N$11:$O$408,MATCH(ROWS($JE$2:JE8),LIBRO_GIORNALE!$O$11:$O$408,0),1),0)</f>
        <v>0</v>
      </c>
      <c r="JF9" s="259" t="str">
        <f t="shared" ca="1" si="127"/>
        <v>0</v>
      </c>
      <c r="JG9" s="259">
        <f t="shared" ca="1" si="128"/>
        <v>0</v>
      </c>
      <c r="JH9" s="259">
        <f ca="1">IF(JJ9&gt;0,0,MAX($JH$2:JH8)+1)</f>
        <v>7</v>
      </c>
      <c r="JI9" s="259">
        <f ca="1">IF(JG9&gt;0,MAX($JI$2:JI8)+1,0)</f>
        <v>0</v>
      </c>
      <c r="JJ9" s="259">
        <f ca="1">IFERROR(INDEX($JG$3:$JI$124,MATCH(ROWS($JJ$3:JJ9),$JI$3:$JI$124,0),1),0)</f>
        <v>0</v>
      </c>
      <c r="JK9" s="259">
        <f t="shared" ca="1" si="129"/>
        <v>0</v>
      </c>
      <c r="JL9" s="259">
        <f t="shared" ca="1" si="130"/>
        <v>7</v>
      </c>
      <c r="JM9" s="259">
        <v>6</v>
      </c>
    </row>
    <row r="10" spans="1:273">
      <c r="A10" s="259" t="str">
        <f t="shared" si="33"/>
        <v>01.14</v>
      </c>
      <c r="B10" s="259" t="str">
        <f t="shared" si="34"/>
        <v>FONDO AMMORTAMENTO SOFTWARE</v>
      </c>
      <c r="C10" s="259" t="str">
        <f t="shared" si="35"/>
        <v>E</v>
      </c>
      <c r="D10" s="259" t="str">
        <f t="shared" si="36"/>
        <v>A</v>
      </c>
      <c r="E10" s="259" t="str">
        <f t="shared" si="37"/>
        <v>RETTIFICHE COSTI PLURIENNALI</v>
      </c>
      <c r="F10" s="259" t="str">
        <f t="shared" si="38"/>
        <v>SP AVERE</v>
      </c>
      <c r="G10" s="259">
        <f t="shared" ca="1" si="39"/>
        <v>0</v>
      </c>
      <c r="H10" s="259">
        <f t="shared" ca="1" si="40"/>
        <v>1</v>
      </c>
      <c r="I10" s="259">
        <f t="shared" ca="1" si="41"/>
        <v>1</v>
      </c>
      <c r="J10" s="259">
        <v>7</v>
      </c>
      <c r="K10" s="259" t="str">
        <f ca="1">IFERROR(IF($I$1=1,INDEX($AA$3:$AS$220,MATCH(ROWS($K$3:K10),$AQ$3:$AQ$220,0),1),IF($I$1=2,INDEX($AA$3:$AS$220,MATCH(ROWS($K$3:K10),$AR$3:$AR$220,0),1),IF($I$1=3,INDEX($AA$3:$AS$220,MATCH(ROWS($K$3:K10),$AS$3:$AS$220,0),1),""))),"")</f>
        <v>FONDO AMMORTAMENTO AVVIAMENTO</v>
      </c>
      <c r="L10" s="259">
        <f ca="1">IF(AND($L$1="VISUALIZZA TUTTI I CONTI",K10&lt;&gt;""),MAX(L9:L9)+1,IFERROR(IF($J$1=1,IF(INDEX(PIANO_DEI_CONTI,MATCH($K10,DENOMINAZIONE,0),5)=$L$1,MAX($L$2:L9)+1,0),IF($J$1=2,IF(INDEX(PIANO_DEI_CONTI,MATCH($K10,DENOMINAZIONE,0),7)=$L$1,MAX($L$2:L9)+1,0))),0))</f>
        <v>8</v>
      </c>
      <c r="M10" s="259" t="str">
        <f ca="1">IFERROR(INDEX($K$3:$K$220,MATCH(ROWS($M$3:M10),$L$3:$L$220,0),1),"")</f>
        <v>FONDO AMMORTAMENTO AVVIAMENTO</v>
      </c>
      <c r="N10" s="259" t="s">
        <v>5</v>
      </c>
      <c r="O10" s="259" t="str">
        <f t="shared" ca="1" si="42"/>
        <v/>
      </c>
      <c r="P10" s="259">
        <f ca="1">IF(AND(N10=O10,O10&lt;&gt;""),MAX(P$2:P9)+1,0)</f>
        <v>0</v>
      </c>
      <c r="Q10" s="275" t="str">
        <f ca="1">IF(IFERROR(INDEX($O$3:$P$220,MATCH(ROWS(Q$3:Q10),$P$3:$P$220,0),1),"")=0,"",IFERROR(INDEX($O$3:$P$220,MATCH(ROWS(Q$3:Q10),$P$3:$P$220,0),1),""))</f>
        <v>DISPONIBILITÀ LIQUIDE</v>
      </c>
      <c r="R10" s="259" t="str">
        <f t="shared" si="1"/>
        <v/>
      </c>
      <c r="S10" s="259">
        <f ca="1">IF(IFERROR(MATCH(R10,DENOMINAZIONE_GIORNALE,0),0)&gt;0,MAX(S$2:S9)+1,0)</f>
        <v>0</v>
      </c>
      <c r="T10" s="259" t="str">
        <f ca="1">IFERROR(INDEX($R$3:$S$220,MATCH(ROWS($T$3:T10),$S$3:$S$220,0),1),"")</f>
        <v/>
      </c>
      <c r="U10" s="259">
        <f t="shared" ca="1" si="2"/>
        <v>0</v>
      </c>
      <c r="V10" s="259">
        <f ca="1">IF(IF(U10&lt;&gt;0,MAX($V$2:V9)+1,0)=0,0,IF(U10&lt;&gt;0,MAX($V$2:V9)+1,0))</f>
        <v>0</v>
      </c>
      <c r="W10" s="259" t="str">
        <f t="shared" si="43"/>
        <v>01.14</v>
      </c>
      <c r="X10" s="259" t="str">
        <f t="shared" si="44"/>
        <v>FONDO AMMORTAMENTO SOFTWARE</v>
      </c>
      <c r="Y10" s="259">
        <f>IF(W10="",0,MAX($Y$2:Y9)+1)</f>
        <v>7</v>
      </c>
      <c r="Z10" s="259" t="str">
        <f>IFERROR(INDEX($W$3:$Y$220,MATCH(ROWS($Z$2:Z9),$Y$3:$Y$220,0),1),"")</f>
        <v>01.15</v>
      </c>
      <c r="AA10" s="259" t="str">
        <f t="shared" si="45"/>
        <v>FONDO AMMORTAMENTO AVVIAMENTO</v>
      </c>
      <c r="AB10" s="259" t="str">
        <f t="shared" si="46"/>
        <v>E</v>
      </c>
      <c r="AC10" s="259" t="str">
        <f t="shared" si="47"/>
        <v>A</v>
      </c>
      <c r="AD10" s="259" t="str">
        <f t="shared" si="48"/>
        <v>RETTIFICHE COSTI PLURIENNALI</v>
      </c>
      <c r="AE10" s="259" t="str">
        <f t="shared" si="49"/>
        <v>SP AVERE</v>
      </c>
      <c r="AF10" s="259" t="str">
        <f t="shared" si="50"/>
        <v>IMMOBILIZZAZIONI IMMATERIALI</v>
      </c>
      <c r="AG10" s="259">
        <f t="shared" ca="1" si="51"/>
        <v>0</v>
      </c>
      <c r="AH10" s="259">
        <f t="shared" ca="1" si="52"/>
        <v>0</v>
      </c>
      <c r="AI10" s="259">
        <f t="shared" ca="1" si="53"/>
        <v>1</v>
      </c>
      <c r="AJ10" s="259" t="str">
        <f t="shared" si="54"/>
        <v>01</v>
      </c>
      <c r="AK10" s="259" t="str">
        <f>IF(MID($A10,3,3)=".00",MID(A10,1,2),"")</f>
        <v/>
      </c>
      <c r="AL10" s="259">
        <f>IF(AK10&lt;&gt;"",MAX($AL$2:AL9)+1,0)</f>
        <v>0</v>
      </c>
      <c r="AM10" s="259" t="str">
        <f>IFERROR(INDEX($AK$3:$AL$220,MATCH(ROWS($AM$3:AM10),$AL$3:$AL$220,0),1),"")</f>
        <v>09</v>
      </c>
      <c r="AN10" s="259" t="str">
        <f t="shared" si="56"/>
        <v>09.00</v>
      </c>
      <c r="AO10" s="259" t="str">
        <f t="shared" si="57"/>
        <v>RATEI E RISCONTI ATTIVI</v>
      </c>
      <c r="AP10" s="259" t="str">
        <f t="shared" si="58"/>
        <v>IMMOBILIZZAZIONI IMMATERIALI</v>
      </c>
      <c r="AQ10" s="259">
        <f ca="1">IF(OR(AG10=0,AG10=""),0,MAX(AQ$2:AQ9)+1)</f>
        <v>0</v>
      </c>
      <c r="AR10" s="259">
        <f ca="1">IF(OR(AH10=0,AH10=""),0,MAX(AR$2:AR9)+1)</f>
        <v>0</v>
      </c>
      <c r="AS10" s="259">
        <f ca="1">IF(OR(AI10=0,AI10=""),0,MAX(AS$2:AS9)+1)</f>
        <v>8</v>
      </c>
      <c r="AT10" s="259" t="str">
        <f ca="1">IFERROR(INDEX($AD$3:$AS$220,MATCH(ROWS(AT$3:AT10),AQ$3:AQ$220,0),1),"")</f>
        <v>COSTI PLURIENNALI</v>
      </c>
      <c r="AU10" s="259" t="str">
        <f ca="1">IFERROR(INDEX($AD$3:$AS$220,MATCH(ROWS(AU$3:AU10),AR$3:AR$220,0),1),"")</f>
        <v>COSTI PLURIENNALI</v>
      </c>
      <c r="AV10" s="259" t="str">
        <f ca="1">IFERROR(INDEX($AD$3:$AS$220,MATCH(ROWS(AV$3:AV10),AS$3:AS$220,0),1),"")</f>
        <v>RETTIFICHE COSTI PLURIENNALI</v>
      </c>
      <c r="AW10" s="259" t="str">
        <f ca="1">IFERROR(INDEX($AP$3:$AS$220,MATCH(ROWS(AW$3:AW10),AQ$3:AQ$220,0),1),"")</f>
        <v>IMMOBILIZZAZIONI MATERIALI</v>
      </c>
      <c r="AX10" s="259" t="str">
        <f ca="1">IFERROR(INDEX($AP$3:$AS$220,MATCH(ROWS(AX$3:AX10),AR$3:AR$220,0),1),"")</f>
        <v>IMMOBILIZZAZIONI MATERIALI</v>
      </c>
      <c r="AY10" s="259" t="str">
        <f ca="1">IFERROR(INDEX($AP$3:$AS$220,MATCH(ROWS(AY$3:AY10),AS$3:AS$220,0),1),"")</f>
        <v>IMMOBILIZZAZIONI IMMATERIALI</v>
      </c>
      <c r="AZ10" s="276" t="str">
        <f t="shared" ca="1" si="59"/>
        <v/>
      </c>
      <c r="BA10" s="259">
        <f t="shared" ca="1" si="3"/>
        <v>0</v>
      </c>
      <c r="BB10" s="259">
        <f ca="1">IFERROR(INDEX($FG$3:$FL$400,MATCH(ROWS($BB$3:BB10),$FL$3:$FL$400,0),1),0)</f>
        <v>0</v>
      </c>
      <c r="BC10" s="259" t="str">
        <f t="shared" ca="1" si="60"/>
        <v/>
      </c>
      <c r="BD10" s="259">
        <f ca="1">IFERROR(INDEX($FG$3:$FL$400,MATCH(ROWS($BD$3:BD10),$FL$3:$FL$400,0),4),0)</f>
        <v>0</v>
      </c>
      <c r="BE10" s="259">
        <f ca="1">IFERROR(INDEX($FG$3:$FL$400,MATCH(ROWS($BE$3:BE10),$FL$3:$FL$400,0),5),0)</f>
        <v>0</v>
      </c>
      <c r="BG10" s="259" t="str">
        <f t="shared" si="4"/>
        <v>FONDO AMMORTAMENTO AVVIAMENTO</v>
      </c>
      <c r="BH10" s="259">
        <f ca="1">IF(IFERROR(MATCH(BG10,DENOMINAZIONE_GIORNALE,0),0)&gt;0,MAX(BH$2:BH9)+1,0)</f>
        <v>0</v>
      </c>
      <c r="BI10" s="259" t="str">
        <f ca="1">IFERROR(INDEX($BG$3:$BH$220,MATCH(ROWS($BI$3:BI10),$BH$3:$BH$220,0),1),"")</f>
        <v/>
      </c>
      <c r="BJ10" s="259" t="str">
        <f t="shared" ca="1" si="5"/>
        <v/>
      </c>
      <c r="BK10" s="259" t="str">
        <f ca="1">IF(IF(BJ10&lt;&gt;"",MAX($BK$2:BK9)+1,0)=0,"",IF(BJ10&lt;&gt;"",MAX($BK$2:BK9)+1,0))</f>
        <v/>
      </c>
      <c r="BL10" s="259" t="str">
        <f ca="1">IFERROR(INDEX($T$3:$U$220, MATCH(ROWS(BL$3:BL10),$V$3:$V$220,0),1),"")</f>
        <v/>
      </c>
      <c r="BM10" s="259" t="str">
        <f ca="1">IFERROR(INDEX($T$3:$U$220, MATCH(ROWS(BM$3:BM10),$V$3:$V$220,0),2),"")</f>
        <v/>
      </c>
      <c r="BN10" s="259" t="str">
        <f ca="1">IF(IFERROR(INDEX($BI$3:$BJ$220,MATCH(ROWS(BN$3:BN10),$BK$3:$BK$220,0),1),"")="PATRIMONIO NETTO","",IFERROR(INDEX($BI$3:$BJ$220,MATCH(ROWS(BN$3:BN10),$BK$3:$BK$220,0),1),""))</f>
        <v/>
      </c>
      <c r="BO10" s="259" t="str">
        <f ca="1">IFERROR(INDEX($BI$3:$BJ$220,MATCH(ROWS(BO$3:BO10),$BK$3:$BK$220,0),2),"")</f>
        <v/>
      </c>
      <c r="BP10" s="259">
        <f ca="1">IF(BN10&lt;&gt;"",MAX(BP$2:$BP9)+1,0)</f>
        <v>0</v>
      </c>
      <c r="BQ10" s="259" t="str">
        <f ca="1">IFERROR(INDEX($BN$3:$BO$200,MATCH(ROWS(BQ$3:BQ10),$BP$3:$BP$220,0),1),"")</f>
        <v/>
      </c>
      <c r="BR10" s="259" t="str">
        <f ca="1">IFERROR(INDEX($BN$3:$BO$220,MATCH(ROWS(BR$3:BR10),$BP$3:$BP$220,0),2),"")</f>
        <v/>
      </c>
      <c r="BS10" s="259" t="str">
        <f ca="1">IFERROR(IF(OR(INDEX($T$3:$U$220,MATCH(ROWS(BL$3:BL10),$V$3:$V$220,0),1)="PRELEVAMENTI EXTRAGESTIONE",INDEX($T$3:$U$220,MATCH(ROWS(BL$3:BL10),$V$3:$V$220,0),1)="TITOLARE C/RITENUTE SUBITE"),"",INDEX($T$3:$U$220,MATCH(ROWS(BL$3:BL10),$V$3:$V$220,0),1)),"")</f>
        <v/>
      </c>
      <c r="BT10" s="259">
        <f t="shared" ca="1" si="61"/>
        <v>0</v>
      </c>
      <c r="BU10" s="259">
        <f ca="1">IF(BS10&lt;&gt;"",MAX(BU$2:BU9)+1,0)</f>
        <v>0</v>
      </c>
      <c r="BV10" s="259" t="str">
        <f ca="1">IFERROR(INDEX($BS$3:$BT$223,MATCH(ROWS(BV$3:BV10),$BU$3:$BU$223,0),1),"")</f>
        <v/>
      </c>
      <c r="BW10" s="259">
        <f t="shared" ca="1" si="62"/>
        <v>0</v>
      </c>
      <c r="BX10" s="259" t="str">
        <f t="shared" ca="1" si="63"/>
        <v/>
      </c>
      <c r="BY10" s="259" t="str">
        <f t="shared" ca="1" si="64"/>
        <v/>
      </c>
      <c r="BZ10" s="259" t="str">
        <f ca="1">IFERROR(IF(OR($DS$231&lt;&gt;$DT$231,$DU$231&lt;&gt;$DV$231,$EO$25&lt;&gt;0,$EO$26&lt;&gt;0),INDEX($T$3:$V$220,MATCH(ROWS($BV$3:BV10),$V$3:$V$220,0),1),CONCATENATE(BV10,BY10)),"")</f>
        <v/>
      </c>
      <c r="CA10" s="259">
        <f t="shared" ca="1" si="65"/>
        <v>0</v>
      </c>
      <c r="CB10" s="259" t="str">
        <f ca="1">IFERROR(IF(OR($BB$1&lt;&gt;$BD$1,$BC$1&lt;&gt;$BE$1,$DS$231&lt;&gt;$DT$231,$DU$231&lt;&gt;$DV$231,$EO$25&lt;&gt;0,$EO$26&lt;&gt;0),INDEX($BI$3:$BK$220,MATCH(ROWS($CB$3:CB10),$BK$3:$BK$220,0),1),CONCATENATE(BQ10,BX10)),"")</f>
        <v/>
      </c>
      <c r="CC10" s="259" t="str">
        <f t="shared" ca="1" si="66"/>
        <v/>
      </c>
      <c r="CD10" s="259" t="str">
        <f t="shared" si="6"/>
        <v/>
      </c>
      <c r="CE10" s="259">
        <f ca="1">IF(IFERROR(MATCH(CD10,DENOMINAZIONE_GIORNALE,0),0)&gt;0,MAX(CE$2:CE9)+1,0)</f>
        <v>0</v>
      </c>
      <c r="CF10" s="259" t="str">
        <f ca="1">IFERROR(INDEX($CD$3:$CE$220,MATCH(ROWS($CF$3:CF10),$CE$3:$CE$220,0),1),"")</f>
        <v/>
      </c>
      <c r="CG10" s="259">
        <f t="shared" ca="1" si="7"/>
        <v>0</v>
      </c>
      <c r="CH10" s="259" t="str">
        <f ca="1">IF(IF(CG10&lt;&gt;0,MAX($CH$2:CH9)+1,0)=0,"",IF(CG10&lt;&gt;"",MAX($CH$2:CH9)+1,0))</f>
        <v/>
      </c>
      <c r="CI10" s="259" t="str">
        <f ca="1">IFERROR(INDEX($CF$3:$CG$220,MATCH(ROWS($CI$3:CI10),$CH$3:$CH$220,0),1),"")</f>
        <v/>
      </c>
      <c r="CJ10" s="259" t="str">
        <f t="shared" ca="1" si="67"/>
        <v/>
      </c>
      <c r="CK10" s="259" t="str">
        <f t="shared" si="8"/>
        <v/>
      </c>
      <c r="CL10" s="259">
        <f ca="1">IF(IFERROR(MATCH(CK10,DENOMINAZIONE_GIORNALE,0),0)&gt;0,MAX(CL$2:CL9)+1,0)</f>
        <v>0</v>
      </c>
      <c r="CM10" s="259" t="str">
        <f ca="1">IFERROR(INDEX($CK$3:$CL$220,MATCH(ROWS($CM$3:CM10),$CL$3:$CL$220,0),1),"")</f>
        <v/>
      </c>
      <c r="CN10" s="259" t="str">
        <f t="shared" ca="1" si="9"/>
        <v/>
      </c>
      <c r="CO10" s="259">
        <f ca="1">IF(IF(CN10&lt;&gt;0,MAX($CO$2:CO9)+1,0)=0,"",IF(CN10&lt;&gt;"",MAX($CO$2:CO9)+1,0))</f>
        <v>0</v>
      </c>
      <c r="CP10" s="259" t="str">
        <f ca="1">IFERROR(INDEX($CM$3:$CN$220,MATCH(ROWS(CP$3:CP10),$CO$3:$CO$220,0),1),"")</f>
        <v/>
      </c>
      <c r="CQ10" s="259" t="str">
        <f ca="1">IFERROR(INDEX($CM$3:$CN$220,MATCH(ROWS(CQ$3:CQ10),$CO$3:$CO$220,0),2),"")</f>
        <v/>
      </c>
      <c r="CR10" s="259" t="str">
        <f t="shared" ca="1" si="10"/>
        <v/>
      </c>
      <c r="CS10" s="259">
        <f t="shared" ca="1" si="11"/>
        <v>0</v>
      </c>
      <c r="CT10" s="259">
        <f t="shared" ca="1" si="12"/>
        <v>0</v>
      </c>
      <c r="CU10" s="259">
        <f ca="1">IF(OR(CS10&gt;0,CT10&gt;0),MAX($CU$2:CU9)+1,0)</f>
        <v>0</v>
      </c>
      <c r="CV10" s="259" t="str">
        <f ca="1">IFERROR(INDEX(PIANO_DEI_CONTI,MATCH(ROWS($CV$3:CV10),$CU$3:$CU$200,0),2),"")</f>
        <v/>
      </c>
      <c r="CW10" s="259">
        <f ca="1">IFERROR(IF(CV10&lt;&gt;"",MAX($CW$2:CW9)+1,0),0)</f>
        <v>0</v>
      </c>
      <c r="CX10" s="259">
        <f t="shared" ca="1" si="68"/>
        <v>1</v>
      </c>
      <c r="CY10" s="259" t="str">
        <f t="shared" ca="1" si="13"/>
        <v>MASTRO</v>
      </c>
      <c r="CZ10" s="259" t="e">
        <f t="shared" ca="1" si="131"/>
        <v>#N/A</v>
      </c>
      <c r="DA10" s="259" t="str">
        <f t="shared" ca="1" si="140"/>
        <v/>
      </c>
      <c r="DB10" s="259" t="str">
        <f t="shared" ca="1" si="132"/>
        <v/>
      </c>
      <c r="DC10" s="259" t="str">
        <f t="shared" ca="1" si="133"/>
        <v/>
      </c>
      <c r="DD10" s="259" t="str">
        <f t="shared" ca="1" si="134"/>
        <v/>
      </c>
      <c r="DE10" s="259" t="str">
        <f t="shared" ca="1" si="135"/>
        <v/>
      </c>
      <c r="DF10" s="259">
        <f ca="1">IF(AND(CX10=$DE$2,$DF$2&lt;&gt;0),0,IF(AND(DB10&lt;&gt;"",OR(DB9&lt;&gt;"",DB11&lt;&gt;"")),MAX($DF$2:DF9)+1,0))</f>
        <v>0</v>
      </c>
      <c r="DG10" s="259" t="str">
        <f>IF(OR(VALORI_INIZIALI!E15="",AND(VALORI_INIZIALI!E15&lt;&gt;"",VALORI_INIZIALI!H15=0,VALORI_INIZIALI!I15=0)),"",IFERROR(INDEX(PIANO_DEI_CONTI,MATCH(BB10,DENOMINAZIONE,0),1),0))</f>
        <v/>
      </c>
      <c r="DH10" s="259">
        <f ca="1">IFERROR(IF($J$1=1,IF(INDEX(PIANO_DEI_CONTI,MATCH($K10,DENOMINAZIONE,0),5)=$DF$1,MAX($DH$2:DH9)+1,0),IF($J$1=2,IF(INDEX(PIANO_DEI_CONTI,MATCH($K10,DENOMINAZIONE,0),7)=$DF$1,MAX($DH$2:DH9)+1,0))),0)</f>
        <v>0</v>
      </c>
      <c r="DI10" s="259">
        <f ca="1">IFERROR(INDEX($K$3:$K$220,MATCH(ROWS($DI$3:DI10),$DH$3:$DH$220,0),1),0)</f>
        <v>0</v>
      </c>
      <c r="DJ10" s="259">
        <f t="shared" ca="1" si="14"/>
        <v>0</v>
      </c>
      <c r="DK10" s="259">
        <f ca="1">IF(DJ10=0,0,MAX(DK$2:DK9)+1)</f>
        <v>0</v>
      </c>
      <c r="DL10" s="259">
        <f ca="1">IFERROR(INDEX(PIANO_DEI_CONTI,MATCH(ROWS(DL$3:DL10),$DK$3:DK237,0),2),0)</f>
        <v>0</v>
      </c>
      <c r="DM10" s="259">
        <f t="shared" ca="1" si="15"/>
        <v>0</v>
      </c>
      <c r="DN10" s="259">
        <f t="shared" ca="1" si="16"/>
        <v>0</v>
      </c>
      <c r="DO10" s="259">
        <f t="shared" ca="1" si="69"/>
        <v>0</v>
      </c>
      <c r="DP10" s="259">
        <f t="shared" ca="1" si="70"/>
        <v>0</v>
      </c>
      <c r="DQ10" s="259">
        <f ca="1">IF(OR($DQ$1="TOTALI",$DQ$1="TOTALI ED ECCEDENZE"),IF(OR(DM10&gt;0,DN10&gt;0),MAX(DQ$2:DQ9)+1,0),IF($DQ$1="ECCEDENZE",IF(OR(DO10&gt;0,DP10&gt;0),MAX(DQ$2:DQ9)+1,0),""))</f>
        <v>0</v>
      </c>
      <c r="DR10" s="259" t="str">
        <f ca="1">IFERROR(INDEX($DL$3:$DQ$230,MATCH(ROWS(DR$3:DR10),$DQ$3:$DQ$230,0),1),"")</f>
        <v/>
      </c>
      <c r="DS10" s="259" t="str">
        <f t="shared" ca="1" si="71"/>
        <v/>
      </c>
      <c r="DT10" s="259" t="str">
        <f t="shared" ca="1" si="72"/>
        <v/>
      </c>
      <c r="DU10" s="259" t="str">
        <f t="shared" ca="1" si="73"/>
        <v/>
      </c>
      <c r="DV10" s="259" t="str">
        <f t="shared" ca="1" si="74"/>
        <v/>
      </c>
      <c r="DW10" s="259">
        <f t="shared" ca="1" si="75"/>
        <v>0</v>
      </c>
      <c r="DX10" s="259" t="str">
        <f t="shared" ca="1" si="76"/>
        <v/>
      </c>
      <c r="DY10" s="259" t="str">
        <f t="shared" ca="1" si="77"/>
        <v/>
      </c>
      <c r="DZ10" s="259" t="str">
        <f t="shared" ca="1" si="78"/>
        <v/>
      </c>
      <c r="EA10" s="259">
        <f t="shared" ca="1" si="79"/>
        <v>8</v>
      </c>
      <c r="EB10" s="259" t="s">
        <v>348</v>
      </c>
      <c r="ED10" s="259">
        <f t="shared" ca="1" si="17"/>
        <v>0</v>
      </c>
      <c r="EE10" s="259" t="str">
        <f t="shared" ca="1" si="18"/>
        <v/>
      </c>
      <c r="EF10" s="259" t="str">
        <f t="shared" ca="1" si="19"/>
        <v/>
      </c>
      <c r="EG10" s="259" t="str">
        <f t="shared" ca="1" si="136"/>
        <v/>
      </c>
      <c r="EH10" s="259" t="str">
        <f t="shared" ca="1" si="80"/>
        <v/>
      </c>
      <c r="EI10" s="260" t="b">
        <f t="shared" ca="1" si="137"/>
        <v>0</v>
      </c>
      <c r="EJ10" s="260" t="b">
        <f t="shared" ca="1" si="138"/>
        <v>1</v>
      </c>
      <c r="EK10" s="260" t="b">
        <f t="shared" ca="1" si="139"/>
        <v>1</v>
      </c>
      <c r="EL10" s="259">
        <f t="shared" si="81"/>
        <v>8</v>
      </c>
      <c r="EM10" s="259">
        <f ca="1">IF(AND(BA10&gt;0,BA10&lt;=$EM$1),MAX($EM$2:EM9)+1,0)</f>
        <v>0</v>
      </c>
      <c r="EN10" s="259">
        <f t="shared" ca="1" si="82"/>
        <v>10</v>
      </c>
      <c r="EP10" s="259" t="str">
        <f t="shared" ca="1" si="20"/>
        <v/>
      </c>
      <c r="EQ10" s="259">
        <f t="shared" ca="1" si="21"/>
        <v>0</v>
      </c>
      <c r="ER10" s="259">
        <f ca="1">IF(ISNA(EQ10),MAX(ER$2:ER9)+1,0)</f>
        <v>0</v>
      </c>
      <c r="ES10" s="259" t="str">
        <f t="shared" ca="1" si="83"/>
        <v/>
      </c>
      <c r="ET10" s="259" t="str">
        <f ca="1">IFERROR(UPPER(INDEX($ER$3:$ES$500,MATCH(ROWS(ET$3:ET10),$ER$3:$ER$500,0),2)),"")</f>
        <v/>
      </c>
      <c r="EU10" s="259" t="s">
        <v>465</v>
      </c>
      <c r="EV10" s="259">
        <f ca="1">IF(SUM(JC3:JC102)&gt;0,MAX(EV3:EV9)+1,0)</f>
        <v>0</v>
      </c>
      <c r="EW10" s="259" t="str">
        <f ca="1">IF(AND(IFERROR(INDEX($EU$3:$EV$30,MATCH(ROWS($EX$3:EX10),$EV$3:$EV$30,0),1),"")&lt;&gt;"",EW11&lt;&gt;""),CONCATENATE(IFERROR(INDEX($EU$3:$EV$30,MATCH(ROWS($EX$3:EX10),$EV$3:$EV$30,0),1),"")," - "),IFERROR(INDEX($EU$3:$EV$30,MATCH(ROWS($EX$3:EX10),$EV$3:$EV$30,0),1),""))</f>
        <v/>
      </c>
      <c r="EY10" s="259">
        <f t="shared" ca="1" si="84"/>
        <v>0</v>
      </c>
      <c r="EZ10" s="259">
        <f t="shared" ca="1" si="84"/>
        <v>0</v>
      </c>
      <c r="FA10" s="259" t="str">
        <f t="shared" ca="1" si="85"/>
        <v/>
      </c>
      <c r="FB10" s="259">
        <f t="shared" ca="1" si="86"/>
        <v>0</v>
      </c>
      <c r="FC10" s="259">
        <f t="shared" ca="1" si="87"/>
        <v>0</v>
      </c>
      <c r="FD10" s="259">
        <f t="shared" ca="1" si="22"/>
        <v>0</v>
      </c>
      <c r="FE10" s="259" t="str">
        <f t="shared" ca="1" si="23"/>
        <v/>
      </c>
      <c r="FF10" s="259" t="str">
        <f t="shared" ca="1" si="88"/>
        <v/>
      </c>
      <c r="FG10" s="259" t="str">
        <f t="shared" si="89"/>
        <v>FONDO AMMORTAMENTO AVVIAMENTO</v>
      </c>
      <c r="FH10" s="259">
        <f t="shared" ca="1" si="24"/>
        <v>0</v>
      </c>
      <c r="FI10" s="259">
        <f t="shared" ca="1" si="25"/>
        <v>0</v>
      </c>
      <c r="FJ10" s="259">
        <f t="shared" ca="1" si="90"/>
        <v>0</v>
      </c>
      <c r="FK10" s="259">
        <f t="shared" ca="1" si="91"/>
        <v>0</v>
      </c>
      <c r="FL10" s="259">
        <f ca="1">IF(OR(FJ10&gt;0,FK10&gt;0),MAX($FL$2:FL9)+1,0)</f>
        <v>0</v>
      </c>
      <c r="FM10" s="259">
        <f t="shared" ca="1" si="26"/>
        <v>0</v>
      </c>
      <c r="FN10" s="259">
        <f ca="1">IF(FM10&lt;0,MAX($FN$2:FN9)+1,0)</f>
        <v>0</v>
      </c>
      <c r="FO10" s="259" t="str">
        <f t="shared" ca="1" si="92"/>
        <v/>
      </c>
      <c r="FP10" s="259" t="str">
        <f ca="1">IFERROR(INDEX($FN$3:$FO$400,MATCH(ROWS($FP$3:FP10),$FN$3:$FN$400,0),2),"")</f>
        <v/>
      </c>
      <c r="FQ10" s="259" t="str">
        <f>IF(AE10="SE AVERE",MAX($FQ$2:FQ9)+1,"")</f>
        <v/>
      </c>
      <c r="FR10" s="259" t="str">
        <f>IF(AE10="SE DARE",MAX($FR$2:FR9)+1,"")</f>
        <v/>
      </c>
      <c r="FS10" s="259" t="str">
        <f ca="1">IF(AND(AE10="SP DARE",AA10&lt;&gt;$FS$1,AA10&lt;&gt;$FT$1),MAX($FS$2:FS9)+1,IF(AND(GQ10="SP DARE",AA10&lt;&gt;$FS$1,AA10&lt;&gt;$FT$1),MAX($FS$2:FS9)+1,""))</f>
        <v/>
      </c>
      <c r="FT10" s="259">
        <f ca="1">IF(AND(AE10="SP AVERE",AA10&lt;&gt;$FU$1),MAX($FT$2:FT9)+1,IF(AND(GQ10="SP AVERE",AA10&lt;&gt;$FU$1),MAX($FT$2:FT9)+1,""))</f>
        <v>135</v>
      </c>
      <c r="FU10" s="259">
        <f t="shared" ca="1" si="93"/>
        <v>135</v>
      </c>
      <c r="FV10" s="259" t="str">
        <f t="shared" si="94"/>
        <v>FONDO AMMORTAMENTO AVVIAMENTO</v>
      </c>
      <c r="FW10" s="259" t="str">
        <f ca="1">IFERROR(INDEX($FU$3:$FV$500,MATCH(ROWS($FW$3:FW10),$FU$3:$FU$500,0),2),0)</f>
        <v>SOPRAVVENIENZE ATTIVE</v>
      </c>
      <c r="FX10" s="259">
        <f t="shared" ca="1" si="95"/>
        <v>8</v>
      </c>
      <c r="FY10" s="259">
        <f t="shared" ca="1" si="96"/>
        <v>0</v>
      </c>
      <c r="FZ10" s="259">
        <f ca="1">IF(FY10&gt;0,MAX($FZ$2:FZ9)+1,0)</f>
        <v>0</v>
      </c>
      <c r="GA10" s="259">
        <f ca="1">IFERROR(INDEX($FY$3:$FZ$500,MATCH(ROWS($GA$3:GA10),$FZ$3:$FZ$500,0),1),0)</f>
        <v>82</v>
      </c>
      <c r="GB10" s="259" t="s">
        <v>4</v>
      </c>
      <c r="GC10" s="259">
        <f t="shared" ca="1" si="97"/>
        <v>8</v>
      </c>
      <c r="GD10" s="259" t="str">
        <f t="shared" ca="1" si="98"/>
        <v>SOPRAVVENIENZE ATTIVE</v>
      </c>
      <c r="GF10" s="259">
        <f ca="1">GE9</f>
        <v>0</v>
      </c>
      <c r="GG10" s="259">
        <f t="shared" ca="1" si="27"/>
        <v>0</v>
      </c>
      <c r="GH10" s="259">
        <f t="shared" ca="1" si="99"/>
        <v>0</v>
      </c>
      <c r="GI10" s="259">
        <f t="shared" ca="1" si="100"/>
        <v>0</v>
      </c>
      <c r="GJ10" s="259">
        <f t="shared" ca="1" si="101"/>
        <v>0</v>
      </c>
      <c r="GK10" s="259">
        <f t="shared" ca="1" si="102"/>
        <v>0</v>
      </c>
      <c r="GL10" s="259">
        <f t="shared" ca="1" si="103"/>
        <v>0</v>
      </c>
      <c r="GM10" s="259">
        <f ca="1">IF(OR(GK10&gt;0,GL10&gt;0),MAX($GM$2:GM9)+1,0)</f>
        <v>0</v>
      </c>
      <c r="GN10" s="259" t="str">
        <f ca="1">IFERROR(INDEX($GD$3:$GM$400,MATCH(ROWS($GN$3:GN10),$GM$3:$GM$400,0),1),"")</f>
        <v/>
      </c>
      <c r="GO10" s="259" t="str">
        <f ca="1">IFERROR(INDEX($GD$3:$GM$400,MATCH(ROWS($GO$3:GO10),$GM$3:$GM$400,0),8),"")</f>
        <v/>
      </c>
      <c r="GP10" s="259" t="str">
        <f ca="1">IFERROR(INDEX($GD$3:$GM$400,MATCH(ROWS($GP$3:GP10),$GM$3:$GM$400,0),9),"")</f>
        <v/>
      </c>
      <c r="GQ10" s="259">
        <f t="shared" ca="1" si="28"/>
        <v>0</v>
      </c>
      <c r="GR10" s="259">
        <f t="shared" ca="1" si="104"/>
        <v>0</v>
      </c>
      <c r="GS10" s="259" t="str">
        <f t="shared" si="105"/>
        <v>epilogo a Conto economico</v>
      </c>
      <c r="GT10" s="259" t="str">
        <f ca="1">IFERROR(INDEX($GD$3:$GS$400,MATCH(ROWS($GT$3:GT10),$GM$3:$GM$400,0),16),"")</f>
        <v/>
      </c>
      <c r="GU10" s="259">
        <f ca="1">IF(GQ10&lt;&gt;0,MAX($GU$2:$GU9)+1,0)</f>
        <v>0</v>
      </c>
      <c r="GV10" s="259">
        <f t="shared" ca="1" si="106"/>
        <v>0</v>
      </c>
      <c r="GW10" s="259" t="str">
        <f ca="1">IF(AND(IFERROR(INDEX($GU$3:$GV$400,MATCH(ROWS($GW$3:GW10),$GU$3:$GU$400,0),2),"")&lt;&gt;"",GW11&lt;&gt;""),CONCATENATE(IFERROR(INDEX($GU$3:$GV$400,MATCH(ROWS($GW$3:GW10),$GU$3:$GU$400,0),2),"")," - "),IFERROR(INDEX($GU$3:$GV$400,MATCH(ROWS($GW$3:GW10),$GU$3:$GU$400,0),2),""))</f>
        <v/>
      </c>
      <c r="GX10" s="259">
        <f ca="1">IF(OR(GN10="IVA NS/CREDITO",GN10="IVA NS/DEBITO",GN10="IVA C/ACCONTO",GN10="IMPOSTE C/ACCONTO"),MAX($GX$2:GX9)+1,0)</f>
        <v>0</v>
      </c>
      <c r="GY10" s="259" t="str">
        <f ca="1">IF(AND(IFERROR(INDEX($GN$3:$GX$200,MATCH(ROWS($GY$3:GY10),$GX$3:$GX$200,0),1),"")&lt;&gt;"",GY11&lt;&gt;""),CONCATENATE(IFERROR(INDEX($GN$3:$GX$200,MATCH(ROWS($GY$3:GY10),$GX$3:$GX$200,0),1),"")," - "),IFERROR(INDEX($GN$3:$GX$200,MATCH(ROWS($GY$3:GY10),$GX$3:$GX$200,0),1),""))</f>
        <v/>
      </c>
      <c r="GZ10" s="259" t="s">
        <v>623</v>
      </c>
      <c r="HA10" s="259" t="s">
        <v>18</v>
      </c>
      <c r="HB10" s="271" t="s">
        <v>256</v>
      </c>
      <c r="HC10" s="269" t="s">
        <v>211</v>
      </c>
      <c r="HD10" s="269" t="s">
        <v>266</v>
      </c>
      <c r="HE10" s="269" t="s">
        <v>212</v>
      </c>
      <c r="HL10" s="259" t="str">
        <f t="shared" ca="1" si="29"/>
        <v/>
      </c>
      <c r="HM10" s="259" t="str">
        <f t="shared" ca="1" si="30"/>
        <v/>
      </c>
      <c r="HN10" s="259" t="str">
        <f t="shared" ca="1" si="31"/>
        <v/>
      </c>
      <c r="HO10" s="259">
        <f ca="1">IF(HL10&lt;&gt;"",MAX($HO$2:HO9)+1,0)</f>
        <v>0</v>
      </c>
      <c r="HP10" s="259">
        <f ca="1">IF(HM10&lt;&gt;"",MAX($HP$2:HP9)+1,0)</f>
        <v>0</v>
      </c>
      <c r="HQ10" s="259">
        <f ca="1">IF(HN10&lt;&gt;"",MAX($HQ$2:HQ9)+1,0)</f>
        <v>0</v>
      </c>
      <c r="HR10" s="259" t="str">
        <f t="shared" ca="1" si="107"/>
        <v/>
      </c>
      <c r="HS10" s="259" t="str">
        <f t="shared" ca="1" si="108"/>
        <v/>
      </c>
      <c r="HT10" s="259">
        <f t="shared" ca="1" si="109"/>
        <v>0</v>
      </c>
      <c r="HU10" s="259">
        <f t="shared" ca="1" si="110"/>
        <v>0</v>
      </c>
      <c r="HV10" s="259" t="str">
        <f ca="1">CONCATENATE(IFERROR(INDEX($HS$3:$HT$102,MATCH(ROWS($HV$3:HV10),$HT$3:$HT$102,0),1),""),HR10)</f>
        <v/>
      </c>
      <c r="IA10" s="259" t="s">
        <v>351</v>
      </c>
      <c r="IB10" s="259" t="s">
        <v>289</v>
      </c>
      <c r="IC10" s="259">
        <f ca="1">IFERROR(INDEX(PIANO_DEI_CONTI,MATCH(ROWS(DL$3:DL10),$DK$3:DK237,0),2),0)</f>
        <v>0</v>
      </c>
      <c r="ID10" s="259">
        <f t="shared" ca="1" si="111"/>
        <v>0</v>
      </c>
      <c r="IE10" s="259">
        <f t="shared" ca="1" si="112"/>
        <v>0</v>
      </c>
      <c r="IF10" s="259">
        <f t="shared" ca="1" si="113"/>
        <v>0</v>
      </c>
      <c r="IG10" s="259">
        <f ca="1">IF(IG15&gt;0," ",0)</f>
        <v>0</v>
      </c>
      <c r="IH10" s="259">
        <f ca="1">IF(IG10&lt;&gt;0,MAX($IH$2:IH9)+1,0)</f>
        <v>0</v>
      </c>
      <c r="II10" s="259">
        <f>IF(AD10="costi pluriennali",MAX($II$2:II9)+1,0)</f>
        <v>0</v>
      </c>
      <c r="IJ10" s="259">
        <f>IF($AD10="rettifiche costi pluriennali",MAX($IJ$2:IJ9)+1,0)</f>
        <v>4</v>
      </c>
      <c r="IK10" s="259">
        <f t="shared" si="114"/>
        <v>4</v>
      </c>
      <c r="IL10" s="259" t="str">
        <f t="shared" si="115"/>
        <v>FONDO AMMORTAMENTO AVVIAMENTO</v>
      </c>
      <c r="IM10" s="259">
        <f t="shared" ca="1" si="116"/>
        <v>0</v>
      </c>
      <c r="IN10" s="259">
        <f t="shared" ca="1" si="141"/>
        <v>0</v>
      </c>
      <c r="IO10" s="259">
        <f ca="1">SUMIFS($IM$3:$IM$200,$IK$3:$IK$200,ROWS($IO$3:IO10))-SUMIFS($IN$3:$IN$200,$IK$3:$IK$200,ROWS($IO$3:IO10))</f>
        <v>0</v>
      </c>
      <c r="IP10" s="259" t="str">
        <f ca="1">IF(IO10&lt;0,INDEX($IJ$3:$IL$200,MATCH(ROWS($IP$3:IP10),$IJ$3:$IJ$200,0),3),"")</f>
        <v/>
      </c>
      <c r="IQ10" s="259">
        <f ca="1">IF(IP10&lt;&gt;"",MAX($IQ$2:IQ9)+1,0)</f>
        <v>0</v>
      </c>
      <c r="IR10" s="259" t="str">
        <f ca="1">IFERROR(INDEX($IP$3:$IQ$200,MATCH(ROWS($IR$3:IR10),$IQ$3:$IQ$200,0),1),"")</f>
        <v/>
      </c>
      <c r="IS10" s="259" t="str">
        <f t="shared" ca="1" si="117"/>
        <v/>
      </c>
      <c r="IT10" s="259" t="str">
        <f t="shared" ca="1" si="118"/>
        <v/>
      </c>
      <c r="IU10" s="259" t="str">
        <f t="shared" ca="1" si="119"/>
        <v/>
      </c>
      <c r="IV10" s="259" t="str">
        <f t="shared" ca="1" si="120"/>
        <v/>
      </c>
      <c r="IW10" s="259" t="str">
        <f t="shared" ca="1" si="121"/>
        <v/>
      </c>
      <c r="IX10" s="259" t="str">
        <f t="shared" ca="1" si="122"/>
        <v/>
      </c>
      <c r="IY10" s="259" t="str">
        <f t="shared" ca="1" si="123"/>
        <v/>
      </c>
      <c r="IZ10" s="259" t="str">
        <f t="shared" ca="1" si="124"/>
        <v/>
      </c>
      <c r="JA10" s="259" t="str">
        <f t="shared" ca="1" si="125"/>
        <v/>
      </c>
      <c r="JB10" s="259">
        <f t="shared" ca="1" si="32"/>
        <v>0</v>
      </c>
      <c r="JC10" s="259">
        <f t="shared" ca="1" si="126"/>
        <v>0</v>
      </c>
      <c r="JE10" s="259">
        <f ca="1">IFERROR(INDEX(LIBRO_GIORNALE!$N$11:$O$408,MATCH(ROWS($JE$2:JE9),LIBRO_GIORNALE!$O$11:$O$408,0),1),0)</f>
        <v>0</v>
      </c>
      <c r="JF10" s="259" t="str">
        <f t="shared" ca="1" si="127"/>
        <v>0</v>
      </c>
      <c r="JG10" s="259">
        <f t="shared" ca="1" si="128"/>
        <v>0</v>
      </c>
      <c r="JH10" s="259">
        <f ca="1">IF(JJ10&gt;0,0,MAX($JH$2:JH9)+1)</f>
        <v>8</v>
      </c>
      <c r="JI10" s="259">
        <f ca="1">IF(JG10&gt;0,MAX($JI$2:JI9)+1,0)</f>
        <v>0</v>
      </c>
      <c r="JJ10" s="259">
        <f ca="1">IFERROR(INDEX($JG$3:$JI$124,MATCH(ROWS($JJ$3:JJ10),$JI$3:$JI$124,0),1),0)</f>
        <v>0</v>
      </c>
      <c r="JK10" s="259">
        <f t="shared" ca="1" si="129"/>
        <v>0</v>
      </c>
      <c r="JL10" s="259">
        <f t="shared" ca="1" si="130"/>
        <v>8</v>
      </c>
      <c r="JM10" s="259">
        <v>7</v>
      </c>
    </row>
    <row r="11" spans="1:273">
      <c r="A11" s="259" t="str">
        <f t="shared" si="33"/>
        <v>01.15</v>
      </c>
      <c r="B11" s="259" t="str">
        <f t="shared" si="34"/>
        <v>FONDO AMMORTAMENTO AVVIAMENTO</v>
      </c>
      <c r="C11" s="259" t="str">
        <f t="shared" si="35"/>
        <v>E</v>
      </c>
      <c r="D11" s="259" t="str">
        <f t="shared" si="36"/>
        <v>A</v>
      </c>
      <c r="E11" s="259" t="str">
        <f t="shared" si="37"/>
        <v>RETTIFICHE COSTI PLURIENNALI</v>
      </c>
      <c r="F11" s="259" t="str">
        <f t="shared" si="38"/>
        <v>SP AVERE</v>
      </c>
      <c r="G11" s="259">
        <f t="shared" ca="1" si="39"/>
        <v>0</v>
      </c>
      <c r="H11" s="259">
        <f t="shared" ca="1" si="40"/>
        <v>0</v>
      </c>
      <c r="I11" s="259">
        <f t="shared" ca="1" si="41"/>
        <v>1</v>
      </c>
      <c r="J11" s="259">
        <v>8</v>
      </c>
      <c r="K11" s="259" t="str">
        <f ca="1">IFERROR(IF($I$1=1,INDEX($AA$3:$AS$220,MATCH(ROWS($K$3:K11),$AQ$3:$AQ$220,0),1),IF($I$1=2,INDEX($AA$3:$AS$220,MATCH(ROWS($K$3:K11),$AR$3:$AR$220,0),1),IF($I$1=3,INDEX($AA$3:$AS$220,MATCH(ROWS($K$3:K11),$AS$3:$AS$220,0),1),""))),"")</f>
        <v>FORNITORI IMMOBILIZZ. IMMATERIALI C/ACCONTI</v>
      </c>
      <c r="L11" s="259">
        <f ca="1">IF(AND($L$1="VISUALIZZA TUTTI I CONTI",K11&lt;&gt;""),MAX(L10:L10)+1,IFERROR(IF($J$1=1,IF(INDEX(PIANO_DEI_CONTI,MATCH($K11,DENOMINAZIONE,0),5)=$L$1,MAX($L$2:L10)+1,0),IF($J$1=2,IF(INDEX(PIANO_DEI_CONTI,MATCH($K11,DENOMINAZIONE,0),7)=$L$1,MAX($L$2:L10)+1,0))),0))</f>
        <v>9</v>
      </c>
      <c r="M11" s="259" t="str">
        <f ca="1">IFERROR(INDEX($K$3:$K$220,MATCH(ROWS($M$3:M11),$L$3:$L$220,0),1),"")</f>
        <v>FORNITORI IMMOBILIZZ. IMMATERIALI C/ACCONTI</v>
      </c>
      <c r="N11" s="259" t="s">
        <v>207</v>
      </c>
      <c r="O11" s="259" t="str">
        <f t="shared" ca="1" si="42"/>
        <v/>
      </c>
      <c r="P11" s="259">
        <f ca="1">IF(AND(N11=O11,O11&lt;&gt;""),MAX(P$2:P10)+1,0)</f>
        <v>0</v>
      </c>
      <c r="Q11" s="275" t="str">
        <f ca="1">IF(IFERROR(INDEX($O$3:$P$220,MATCH(ROWS(Q$3:Q11),$P$3:$P$220,0),1),"")=0,"",IFERROR(INDEX($O$3:$P$220,MATCH(ROWS(Q$3:Q11),$P$3:$P$220,0),1),""))</f>
        <v>RATEI E RISCONTI ATTIVI</v>
      </c>
      <c r="R11" s="259" t="str">
        <f t="shared" si="1"/>
        <v>FORNITORI IMMOBILIZZ. IMMATERIALI C/ACCONTI</v>
      </c>
      <c r="S11" s="259">
        <f ca="1">IF(IFERROR(MATCH(R11,DENOMINAZIONE_GIORNALE,0),0)&gt;0,MAX(S$2:S10)+1,0)</f>
        <v>0</v>
      </c>
      <c r="T11" s="259" t="str">
        <f ca="1">IFERROR(INDEX($R$3:$S$220,MATCH(ROWS($T$3:T11),$S$3:$S$220,0),1),"")</f>
        <v/>
      </c>
      <c r="U11" s="259">
        <f t="shared" ca="1" si="2"/>
        <v>0</v>
      </c>
      <c r="V11" s="259">
        <f ca="1">IF(IF(U11&lt;&gt;0,MAX($V$2:V10)+1,0)=0,0,IF(U11&lt;&gt;0,MAX($V$2:V10)+1,0))</f>
        <v>0</v>
      </c>
      <c r="W11" s="259" t="str">
        <f t="shared" si="43"/>
        <v>01.15</v>
      </c>
      <c r="X11" s="259" t="str">
        <f t="shared" si="44"/>
        <v>FONDO AMMORTAMENTO AVVIAMENTO</v>
      </c>
      <c r="Y11" s="259">
        <f>IF(W11="",0,MAX($Y$2:Y10)+1)</f>
        <v>8</v>
      </c>
      <c r="Z11" s="259" t="str">
        <f>IFERROR(INDEX($W$3:$Y$220,MATCH(ROWS($Z$2:Z10),$Y$3:$Y$220,0),1),"")</f>
        <v>01.20</v>
      </c>
      <c r="AA11" s="259" t="str">
        <f t="shared" si="45"/>
        <v>FORNITORI IMMOBILIZZ. IMMATERIALI C/ACCONTI</v>
      </c>
      <c r="AB11" s="259" t="str">
        <f t="shared" si="46"/>
        <v>F</v>
      </c>
      <c r="AC11" s="259" t="str">
        <f t="shared" si="47"/>
        <v>D</v>
      </c>
      <c r="AD11" s="259" t="str">
        <f t="shared" si="48"/>
        <v>CREDITI</v>
      </c>
      <c r="AE11" s="259" t="str">
        <f t="shared" si="49"/>
        <v>SP DARE</v>
      </c>
      <c r="AF11" s="259" t="str">
        <f t="shared" si="50"/>
        <v>IMMOBILIZZAZIONI IMMATERIALI</v>
      </c>
      <c r="AG11" s="259">
        <f t="shared" ca="1" si="51"/>
        <v>1</v>
      </c>
      <c r="AH11" s="259">
        <f t="shared" ca="1" si="52"/>
        <v>1</v>
      </c>
      <c r="AI11" s="259">
        <f t="shared" ca="1" si="53"/>
        <v>1</v>
      </c>
      <c r="AJ11" s="259" t="str">
        <f t="shared" si="54"/>
        <v>01</v>
      </c>
      <c r="AK11" s="259" t="str">
        <f t="shared" si="55"/>
        <v/>
      </c>
      <c r="AL11" s="259">
        <f>IF(AK11&lt;&gt;"",MAX($AL$2:AL10)+1,0)</f>
        <v>0</v>
      </c>
      <c r="AM11" s="259" t="str">
        <f>IFERROR(INDEX($AK$3:$AL$220,MATCH(ROWS($AM$3:AM11),$AL$3:$AL$220,0),1),"")</f>
        <v>10</v>
      </c>
      <c r="AN11" s="259" t="str">
        <f t="shared" si="56"/>
        <v>10.00</v>
      </c>
      <c r="AO11" s="259" t="str">
        <f t="shared" si="57"/>
        <v>PATRIMONIO NETTO</v>
      </c>
      <c r="AP11" s="259" t="str">
        <f t="shared" si="58"/>
        <v>IMMOBILIZZAZIONI IMMATERIALI</v>
      </c>
      <c r="AQ11" s="259">
        <f ca="1">IF(OR(AG11=0,AG11=""),0,MAX(AQ$2:AQ10)+1)</f>
        <v>4</v>
      </c>
      <c r="AR11" s="259">
        <f ca="1">IF(OR(AH11=0,AH11=""),0,MAX(AR$2:AR10)+1)</f>
        <v>6</v>
      </c>
      <c r="AS11" s="259">
        <f ca="1">IF(OR(AI11=0,AI11=""),0,MAX(AS$2:AS10)+1)</f>
        <v>9</v>
      </c>
      <c r="AT11" s="259" t="str">
        <f ca="1">IFERROR(INDEX($AD$3:$AS$220,MATCH(ROWS(AT$3:AT11),AQ$3:AQ$220,0),1),"")</f>
        <v>COSTI PLURIENNALI</v>
      </c>
      <c r="AU11" s="259" t="str">
        <f ca="1">IFERROR(INDEX($AD$3:$AS$220,MATCH(ROWS(AU$3:AU11),AR$3:AR$220,0),1),"")</f>
        <v>COSTI PLURIENNALI</v>
      </c>
      <c r="AV11" s="259" t="str">
        <f ca="1">IFERROR(INDEX($AD$3:$AS$220,MATCH(ROWS(AV$3:AV11),AS$3:AS$220,0),1),"")</f>
        <v>CREDITI</v>
      </c>
      <c r="AW11" s="259" t="str">
        <f ca="1">IFERROR(INDEX($AP$3:$AS$220,MATCH(ROWS(AW$3:AW11),AQ$3:AQ$220,0),1),"")</f>
        <v>IMMOBILIZZAZIONI MATERIALI</v>
      </c>
      <c r="AX11" s="259" t="str">
        <f ca="1">IFERROR(INDEX($AP$3:$AS$220,MATCH(ROWS(AX$3:AX11),AR$3:AR$220,0),1),"")</f>
        <v>IMMOBILIZZAZIONI MATERIALI</v>
      </c>
      <c r="AY11" s="259" t="str">
        <f ca="1">IFERROR(INDEX($AP$3:$AS$220,MATCH(ROWS(AY$3:AY11),AS$3:AS$220,0),1),"")</f>
        <v>IMMOBILIZZAZIONI IMMATERIALI</v>
      </c>
      <c r="AZ11" s="276" t="str">
        <f t="shared" ca="1" si="59"/>
        <v/>
      </c>
      <c r="BA11" s="259">
        <f t="shared" ca="1" si="3"/>
        <v>0</v>
      </c>
      <c r="BB11" s="259">
        <f ca="1">IFERROR(INDEX($FG$3:$FL$400,MATCH(ROWS($BB$3:BB11),$FL$3:$FL$400,0),1),0)</f>
        <v>0</v>
      </c>
      <c r="BC11" s="259" t="str">
        <f t="shared" ca="1" si="60"/>
        <v/>
      </c>
      <c r="BD11" s="259">
        <f ca="1">IFERROR(INDEX($FG$3:$FL$400,MATCH(ROWS($BD$3:BD11),$FL$3:$FL$400,0),4),0)</f>
        <v>0</v>
      </c>
      <c r="BE11" s="259">
        <f ca="1">IFERROR(INDEX($FG$3:$FL$400,MATCH(ROWS($BE$3:BE11),$FL$3:$FL$400,0),5),0)</f>
        <v>0</v>
      </c>
      <c r="BG11" s="259" t="str">
        <f t="shared" si="4"/>
        <v/>
      </c>
      <c r="BH11" s="259">
        <f ca="1">IF(IFERROR(MATCH(BG11,DENOMINAZIONE_GIORNALE,0),0)&gt;0,MAX(BH$2:BH10)+1,0)</f>
        <v>0</v>
      </c>
      <c r="BI11" s="259" t="str">
        <f ca="1">IFERROR(INDEX($BG$3:$BH$220,MATCH(ROWS($BI$3:BI11),$BH$3:$BH$220,0),1),"")</f>
        <v/>
      </c>
      <c r="BJ11" s="259" t="str">
        <f t="shared" ca="1" si="5"/>
        <v/>
      </c>
      <c r="BK11" s="259" t="str">
        <f ca="1">IF(IF(BJ11&lt;&gt;"",MAX($BK$2:BK10)+1,0)=0,"",IF(BJ11&lt;&gt;"",MAX($BK$2:BK10)+1,0))</f>
        <v/>
      </c>
      <c r="BL11" s="259" t="str">
        <f ca="1">IFERROR(INDEX($T$3:$U$220, MATCH(ROWS(BL$3:BL11),$V$3:$V$220,0),1),"")</f>
        <v/>
      </c>
      <c r="BM11" s="259" t="str">
        <f ca="1">IFERROR(INDEX($T$3:$U$220, MATCH(ROWS(BM$3:BM11),$V$3:$V$220,0),2),"")</f>
        <v/>
      </c>
      <c r="BN11" s="259" t="str">
        <f ca="1">IF(IFERROR(INDEX($BI$3:$BJ$220,MATCH(ROWS(BN$3:BN11),$BK$3:$BK$220,0),1),"")="PATRIMONIO NETTO","",IFERROR(INDEX($BI$3:$BJ$220,MATCH(ROWS(BN$3:BN11),$BK$3:$BK$220,0),1),""))</f>
        <v/>
      </c>
      <c r="BO11" s="259" t="str">
        <f ca="1">IFERROR(INDEX($BI$3:$BJ$220,MATCH(ROWS(BO$3:BO11),$BK$3:$BK$220,0),2),"")</f>
        <v/>
      </c>
      <c r="BP11" s="259">
        <f ca="1">IF(BN11&lt;&gt;"",MAX(BP$2:$BP10)+1,0)</f>
        <v>0</v>
      </c>
      <c r="BQ11" s="259" t="str">
        <f ca="1">IFERROR(INDEX($BN$3:$BO$200,MATCH(ROWS(BQ$3:BQ11),$BP$3:$BP$220,0),1),"")</f>
        <v/>
      </c>
      <c r="BR11" s="259" t="str">
        <f ca="1">IFERROR(INDEX($BN$3:$BO$220,MATCH(ROWS(BR$3:BR11),$BP$3:$BP$220,0),2),"")</f>
        <v/>
      </c>
      <c r="BS11" s="259" t="str">
        <f ca="1">IFERROR(IF(OR(INDEX($T$3:$U$220,MATCH(ROWS(BL$3:BL11),$V$3:$V$220,0),1)="PRELEVAMENTI EXTRAGESTIONE",INDEX($T$3:$U$220,MATCH(ROWS(BL$3:BL11),$V$3:$V$220,0),1)="TITOLARE C/RITENUTE SUBITE"),"",INDEX($T$3:$U$220,MATCH(ROWS(BL$3:BL11),$V$3:$V$220,0),1)),"")</f>
        <v/>
      </c>
      <c r="BT11" s="259">
        <f t="shared" ca="1" si="61"/>
        <v>0</v>
      </c>
      <c r="BU11" s="259">
        <f ca="1">IF(BS11&lt;&gt;"",MAX(BU$2:BU10)+1,0)</f>
        <v>0</v>
      </c>
      <c r="BV11" s="259" t="str">
        <f ca="1">IFERROR(INDEX($BS$3:$BT$223,MATCH(ROWS(BV$3:BV11),$BU$3:$BU$223,0),1),"")</f>
        <v/>
      </c>
      <c r="BW11" s="259">
        <f t="shared" ca="1" si="62"/>
        <v>0</v>
      </c>
      <c r="BX11" s="259" t="str">
        <f t="shared" ca="1" si="63"/>
        <v/>
      </c>
      <c r="BY11" s="259" t="str">
        <f t="shared" ca="1" si="64"/>
        <v/>
      </c>
      <c r="BZ11" s="259" t="str">
        <f ca="1">IFERROR(IF(OR($DS$231&lt;&gt;$DT$231,$DU$231&lt;&gt;$DV$231,$EO$25&lt;&gt;0,$EO$26&lt;&gt;0),INDEX($T$3:$V$220,MATCH(ROWS($BV$3:BV11),$V$3:$V$220,0),1),CONCATENATE(BV11,BY11)),"")</f>
        <v/>
      </c>
      <c r="CA11" s="259">
        <f t="shared" ca="1" si="65"/>
        <v>0</v>
      </c>
      <c r="CB11" s="259" t="str">
        <f ca="1">IFERROR(IF(OR($BB$1&lt;&gt;$BD$1,$BC$1&lt;&gt;$BE$1,$DS$231&lt;&gt;$DT$231,$DU$231&lt;&gt;$DV$231,$EO$25&lt;&gt;0,$EO$26&lt;&gt;0),INDEX($BI$3:$BK$220,MATCH(ROWS($CB$3:CB11),$BK$3:$BK$220,0),1),CONCATENATE(BQ11,BX11)),"")</f>
        <v/>
      </c>
      <c r="CC11" s="259" t="str">
        <f t="shared" ca="1" si="66"/>
        <v/>
      </c>
      <c r="CD11" s="259" t="str">
        <f t="shared" si="6"/>
        <v/>
      </c>
      <c r="CE11" s="259">
        <f ca="1">IF(IFERROR(MATCH(CD11,DENOMINAZIONE_GIORNALE,0),0)&gt;0,MAX(CE$2:CE10)+1,0)</f>
        <v>0</v>
      </c>
      <c r="CF11" s="259" t="str">
        <f ca="1">IFERROR(INDEX($CD$3:$CE$220,MATCH(ROWS($CF$3:CF11),$CE$3:$CE$220,0),1),"")</f>
        <v/>
      </c>
      <c r="CG11" s="259">
        <f t="shared" ca="1" si="7"/>
        <v>0</v>
      </c>
      <c r="CH11" s="259" t="str">
        <f ca="1">IF(IF(CG11&lt;&gt;0,MAX($CH$2:CH10)+1,0)=0,"",IF(CG11&lt;&gt;"",MAX($CH$2:CH10)+1,0))</f>
        <v/>
      </c>
      <c r="CI11" s="259" t="str">
        <f ca="1">IFERROR(INDEX($CF$3:$CG$220,MATCH(ROWS($CI$3:CI11),$CH$3:$CH$220,0),1),"")</f>
        <v/>
      </c>
      <c r="CJ11" s="259" t="str">
        <f t="shared" ca="1" si="67"/>
        <v/>
      </c>
      <c r="CK11" s="259" t="str">
        <f t="shared" si="8"/>
        <v/>
      </c>
      <c r="CL11" s="259">
        <f ca="1">IF(IFERROR(MATCH(CK11,DENOMINAZIONE_GIORNALE,0),0)&gt;0,MAX(CL$2:CL10)+1,0)</f>
        <v>0</v>
      </c>
      <c r="CM11" s="259" t="str">
        <f ca="1">IFERROR(INDEX($CK$3:$CL$220,MATCH(ROWS($CM$3:CM11),$CL$3:$CL$220,0),1),"")</f>
        <v/>
      </c>
      <c r="CN11" s="259" t="str">
        <f t="shared" ca="1" si="9"/>
        <v/>
      </c>
      <c r="CO11" s="259">
        <f ca="1">IF(IF(CN11&lt;&gt;0,MAX($CO$2:CO10)+1,0)=0,"",IF(CN11&lt;&gt;"",MAX($CO$2:CO10)+1,0))</f>
        <v>0</v>
      </c>
      <c r="CP11" s="259" t="str">
        <f ca="1">IFERROR(INDEX($CM$3:$CN$220,MATCH(ROWS(CP$3:CP11),$CO$3:$CO$220,0),1),"")</f>
        <v/>
      </c>
      <c r="CQ11" s="259" t="str">
        <f ca="1">IFERROR(INDEX($CM$3:$CN$220,MATCH(ROWS(CQ$3:CQ11),$CO$3:$CO$220,0),2),"")</f>
        <v/>
      </c>
      <c r="CR11" s="259" t="str">
        <f t="shared" ca="1" si="10"/>
        <v/>
      </c>
      <c r="CS11" s="259">
        <f t="shared" ca="1" si="11"/>
        <v>0</v>
      </c>
      <c r="CT11" s="259">
        <f t="shared" ca="1" si="12"/>
        <v>0</v>
      </c>
      <c r="CU11" s="259">
        <f ca="1">IF(OR(CS11&gt;0,CT11&gt;0),MAX($CU$2:CU10)+1,0)</f>
        <v>0</v>
      </c>
      <c r="CV11" s="259" t="str">
        <f ca="1">IFERROR(INDEX(PIANO_DEI_CONTI,MATCH(ROWS($CV$3:CV11),$CU$3:$CU$200,0),2),"")</f>
        <v/>
      </c>
      <c r="CW11" s="259">
        <f ca="1">IFERROR(IF(CV11&lt;&gt;"",MAX($CW$2:CW10)+1,0),0)</f>
        <v>0</v>
      </c>
      <c r="CX11" s="259">
        <f t="shared" ca="1" si="68"/>
        <v>1</v>
      </c>
      <c r="CY11" s="259" t="str">
        <f t="shared" ca="1" si="13"/>
        <v>MASTRO</v>
      </c>
      <c r="CZ11" s="259" t="e">
        <f t="shared" ca="1" si="131"/>
        <v>#N/A</v>
      </c>
      <c r="DA11" s="259" t="str">
        <f t="shared" ca="1" si="140"/>
        <v/>
      </c>
      <c r="DB11" s="259" t="str">
        <f t="shared" ca="1" si="132"/>
        <v/>
      </c>
      <c r="DC11" s="259" t="str">
        <f t="shared" ca="1" si="133"/>
        <v/>
      </c>
      <c r="DD11" s="259" t="str">
        <f t="shared" ca="1" si="134"/>
        <v/>
      </c>
      <c r="DE11" s="259" t="str">
        <f t="shared" ca="1" si="135"/>
        <v/>
      </c>
      <c r="DF11" s="259">
        <f ca="1">IF(AND(CX11=$DE$2,$DF$2&lt;&gt;0),0,IF(AND(DB11&lt;&gt;"",OR(DB10&lt;&gt;"",DB12&lt;&gt;"")),MAX($DF$2:DF10)+1,0))</f>
        <v>0</v>
      </c>
      <c r="DG11" s="259" t="str">
        <f>IF(OR(VALORI_INIZIALI!E16="",AND(VALORI_INIZIALI!E16&lt;&gt;"",VALORI_INIZIALI!H16=0,VALORI_INIZIALI!I16=0)),"",IFERROR(INDEX(PIANO_DEI_CONTI,MATCH(BB11,DENOMINAZIONE,0),1),0))</f>
        <v/>
      </c>
      <c r="DH11" s="259">
        <f ca="1">IFERROR(IF($J$1=1,IF(INDEX(PIANO_DEI_CONTI,MATCH($K11,DENOMINAZIONE,0),5)=$DF$1,MAX($DH$2:DH10)+1,0),IF($J$1=2,IF(INDEX(PIANO_DEI_CONTI,MATCH($K11,DENOMINAZIONE,0),7)=$DF$1,MAX($DH$2:DH10)+1,0))),0)</f>
        <v>0</v>
      </c>
      <c r="DI11" s="259">
        <f ca="1">IFERROR(INDEX($K$3:$K$220,MATCH(ROWS($DI$3:DI11),$DH$3:$DH$220,0),1),0)</f>
        <v>0</v>
      </c>
      <c r="DJ11" s="259">
        <f t="shared" ca="1" si="14"/>
        <v>0</v>
      </c>
      <c r="DK11" s="259">
        <f ca="1">IF(DJ11=0,0,MAX(DK$2:DK10)+1)</f>
        <v>0</v>
      </c>
      <c r="DL11" s="259">
        <f ca="1">IFERROR(INDEX(PIANO_DEI_CONTI,MATCH(ROWS(DL$3:DL11),$DK$3:DK238,0),2),0)</f>
        <v>0</v>
      </c>
      <c r="DM11" s="259">
        <f t="shared" ca="1" si="15"/>
        <v>0</v>
      </c>
      <c r="DN11" s="259">
        <f t="shared" ca="1" si="16"/>
        <v>0</v>
      </c>
      <c r="DO11" s="259">
        <f t="shared" ca="1" si="69"/>
        <v>0</v>
      </c>
      <c r="DP11" s="259">
        <f t="shared" ca="1" si="70"/>
        <v>0</v>
      </c>
      <c r="DQ11" s="259">
        <f ca="1">IF(OR($DQ$1="TOTALI",$DQ$1="TOTALI ED ECCEDENZE"),IF(OR(DM11&gt;0,DN11&gt;0),MAX(DQ$2:DQ10)+1,0),IF($DQ$1="ECCEDENZE",IF(OR(DO11&gt;0,DP11&gt;0),MAX(DQ$2:DQ10)+1,0),""))</f>
        <v>0</v>
      </c>
      <c r="DR11" s="259" t="str">
        <f ca="1">IFERROR(INDEX($DL$3:$DQ$230,MATCH(ROWS(DR$3:DR11),$DQ$3:$DQ$230,0),1),"")</f>
        <v/>
      </c>
      <c r="DS11" s="259" t="str">
        <f t="shared" ca="1" si="71"/>
        <v/>
      </c>
      <c r="DT11" s="259" t="str">
        <f t="shared" ca="1" si="72"/>
        <v/>
      </c>
      <c r="DU11" s="259" t="str">
        <f t="shared" ca="1" si="73"/>
        <v/>
      </c>
      <c r="DV11" s="259" t="str">
        <f t="shared" ca="1" si="74"/>
        <v/>
      </c>
      <c r="DW11" s="259">
        <f t="shared" ca="1" si="75"/>
        <v>0</v>
      </c>
      <c r="DX11" s="259" t="str">
        <f t="shared" ca="1" si="76"/>
        <v/>
      </c>
      <c r="DY11" s="259" t="str">
        <f t="shared" ca="1" si="77"/>
        <v/>
      </c>
      <c r="DZ11" s="259" t="str">
        <f t="shared" ca="1" si="78"/>
        <v/>
      </c>
      <c r="EA11" s="259">
        <f t="shared" ca="1" si="79"/>
        <v>9</v>
      </c>
      <c r="EB11" s="259" t="s">
        <v>348</v>
      </c>
      <c r="ED11" s="259">
        <f t="shared" ca="1" si="17"/>
        <v>0</v>
      </c>
      <c r="EE11" s="259" t="str">
        <f t="shared" ca="1" si="18"/>
        <v/>
      </c>
      <c r="EF11" s="259" t="str">
        <f t="shared" ca="1" si="19"/>
        <v/>
      </c>
      <c r="EG11" s="259" t="str">
        <f t="shared" ca="1" si="136"/>
        <v/>
      </c>
      <c r="EH11" s="259" t="str">
        <f t="shared" ca="1" si="80"/>
        <v/>
      </c>
      <c r="EI11" s="260" t="b">
        <f t="shared" ca="1" si="137"/>
        <v>0</v>
      </c>
      <c r="EJ11" s="260" t="b">
        <f t="shared" ca="1" si="138"/>
        <v>0</v>
      </c>
      <c r="EK11" s="260" t="b">
        <f t="shared" ca="1" si="139"/>
        <v>1</v>
      </c>
      <c r="EL11" s="259">
        <f t="shared" si="81"/>
        <v>9</v>
      </c>
      <c r="EM11" s="259">
        <f ca="1">IF(AND(BA11&gt;0,BA11&lt;=$EM$1),MAX($EM$2:EM10)+1,0)</f>
        <v>0</v>
      </c>
      <c r="EN11" s="259">
        <f t="shared" ca="1" si="82"/>
        <v>11</v>
      </c>
      <c r="EP11" s="259" t="str">
        <f t="shared" ca="1" si="20"/>
        <v/>
      </c>
      <c r="EQ11" s="259">
        <f t="shared" ca="1" si="21"/>
        <v>0</v>
      </c>
      <c r="ER11" s="259">
        <f ca="1">IF(ISNA(EQ11),MAX(ER$2:ER10)+1,0)</f>
        <v>0</v>
      </c>
      <c r="ES11" s="259" t="str">
        <f t="shared" ca="1" si="83"/>
        <v/>
      </c>
      <c r="ET11" s="259" t="str">
        <f ca="1">IFERROR(UPPER(INDEX($ER$3:$ES$500,MATCH(ROWS(ET$3:ET11),$ER$3:$ER$500,0),2)),"")</f>
        <v/>
      </c>
      <c r="EU11" s="259" t="s">
        <v>466</v>
      </c>
      <c r="EV11" s="259">
        <f ca="1">IF(SUM(JC103:JC400)&gt;0,MAX(EV3:EV10)+1,0)</f>
        <v>0</v>
      </c>
      <c r="EW11" s="259" t="str">
        <f ca="1">IF(AND(IFERROR(INDEX($EU$3:$EV$30,MATCH(ROWS($EX$3:EX11),$EV$3:$EV$30,0),1),"")&lt;&gt;"",EW12&lt;&gt;""),CONCATENATE(IFERROR(INDEX($EU$3:$EV$30,MATCH(ROWS($EX$3:EX11),$EV$3:$EV$30,0),1),"")," - "),IFERROR(INDEX($EU$3:$EV$30,MATCH(ROWS($EX$3:EX11),$EV$3:$EV$30,0),1),""))</f>
        <v/>
      </c>
      <c r="EY11" s="259">
        <f t="shared" ca="1" si="84"/>
        <v>0</v>
      </c>
      <c r="EZ11" s="259">
        <f t="shared" ca="1" si="84"/>
        <v>0</v>
      </c>
      <c r="FA11" s="259" t="str">
        <f t="shared" ca="1" si="85"/>
        <v/>
      </c>
      <c r="FB11" s="259">
        <f t="shared" ca="1" si="86"/>
        <v>0</v>
      </c>
      <c r="FC11" s="259">
        <f t="shared" ca="1" si="87"/>
        <v>0</v>
      </c>
      <c r="FD11" s="259">
        <f t="shared" ca="1" si="22"/>
        <v>0</v>
      </c>
      <c r="FE11" s="259" t="str">
        <f t="shared" ca="1" si="23"/>
        <v/>
      </c>
      <c r="FF11" s="259" t="str">
        <f t="shared" ca="1" si="88"/>
        <v/>
      </c>
      <c r="FG11" s="259" t="str">
        <f t="shared" si="89"/>
        <v>FORNITORI IMMOBILIZZ. IMMATERIALI C/ACCONTI</v>
      </c>
      <c r="FH11" s="259">
        <f t="shared" ca="1" si="24"/>
        <v>0</v>
      </c>
      <c r="FI11" s="259">
        <f t="shared" ca="1" si="25"/>
        <v>0</v>
      </c>
      <c r="FJ11" s="259">
        <f t="shared" ca="1" si="90"/>
        <v>0</v>
      </c>
      <c r="FK11" s="259">
        <f t="shared" ca="1" si="91"/>
        <v>0</v>
      </c>
      <c r="FL11" s="259">
        <f ca="1">IF(OR(FJ11&gt;0,FK11&gt;0),MAX($FL$2:FL10)+1,0)</f>
        <v>0</v>
      </c>
      <c r="FM11" s="259">
        <f t="shared" ca="1" si="26"/>
        <v>0</v>
      </c>
      <c r="FN11" s="259">
        <f ca="1">IF(FM11&lt;0,MAX($FN$2:FN10)+1,0)</f>
        <v>0</v>
      </c>
      <c r="FO11" s="259" t="str">
        <f t="shared" ca="1" si="92"/>
        <v/>
      </c>
      <c r="FP11" s="259" t="str">
        <f ca="1">IFERROR(INDEX($FN$3:$FO$400,MATCH(ROWS($FP$3:FP11),$FN$3:$FN$400,0),2),"")</f>
        <v/>
      </c>
      <c r="FQ11" s="259" t="str">
        <f>IF(AE11="SE AVERE",MAX($FQ$2:FQ10)+1,"")</f>
        <v/>
      </c>
      <c r="FR11" s="259" t="str">
        <f>IF(AE11="SE DARE",MAX($FR$2:FR10)+1,"")</f>
        <v/>
      </c>
      <c r="FS11" s="259">
        <f ca="1">IF(AND(AE11="SP DARE",AA11&lt;&gt;$FS$1,AA11&lt;&gt;$FT$1),MAX($FS$2:FS10)+1,IF(AND(GQ11="SP DARE",AA11&lt;&gt;$FS$1,AA11&lt;&gt;$FT$1),MAX($FS$2:FS10)+1,""))</f>
        <v>94</v>
      </c>
      <c r="FT11" s="259" t="str">
        <f ca="1">IF(AND(AE11="SP AVERE",AA11&lt;&gt;$FU$1),MAX($FT$2:FT10)+1,IF(AND(GQ11="SP AVERE",AA11&lt;&gt;$FU$1),MAX($FT$2:FT10)+1,""))</f>
        <v/>
      </c>
      <c r="FU11" s="259">
        <f t="shared" ca="1" si="93"/>
        <v>94</v>
      </c>
      <c r="FV11" s="259" t="str">
        <f t="shared" si="94"/>
        <v>FORNITORI IMMOBILIZZ. IMMATERIALI C/ACCONTI</v>
      </c>
      <c r="FW11" s="259" t="str">
        <f ca="1">IFERROR(INDEX($FU$3:$FV$500,MATCH(ROWS($FW$3:FW11),$FU$3:$FU$500,0),2),0)</f>
        <v>INSUSSISTENZE ATTIVE</v>
      </c>
      <c r="FX11" s="259">
        <f t="shared" ca="1" si="95"/>
        <v>9</v>
      </c>
      <c r="FY11" s="259">
        <f t="shared" ca="1" si="96"/>
        <v>0</v>
      </c>
      <c r="FZ11" s="259">
        <f ca="1">IF(FY11&gt;0,MAX($FZ$2:FZ10)+1,0)</f>
        <v>0</v>
      </c>
      <c r="GA11" s="259">
        <f ca="1">IFERROR(INDEX($FY$3:$FZ$500,MATCH(ROWS($GA$3:GA11),$FZ$3:$FZ$500,0),1),0)</f>
        <v>83</v>
      </c>
      <c r="GB11" s="259" t="s">
        <v>4</v>
      </c>
      <c r="GC11" s="259">
        <f t="shared" ca="1" si="97"/>
        <v>9</v>
      </c>
      <c r="GD11" s="259" t="str">
        <f t="shared" ca="1" si="98"/>
        <v>INSUSSISTENZE ATTIVE</v>
      </c>
      <c r="GE11" s="259">
        <f ca="1">GF6</f>
        <v>0</v>
      </c>
      <c r="GG11" s="259">
        <f t="shared" ca="1" si="27"/>
        <v>0</v>
      </c>
      <c r="GH11" s="259">
        <f t="shared" ca="1" si="99"/>
        <v>0</v>
      </c>
      <c r="GI11" s="259">
        <f t="shared" ca="1" si="100"/>
        <v>0</v>
      </c>
      <c r="GJ11" s="259">
        <f t="shared" ca="1" si="101"/>
        <v>0</v>
      </c>
      <c r="GK11" s="259">
        <f t="shared" ca="1" si="102"/>
        <v>0</v>
      </c>
      <c r="GL11" s="259">
        <f t="shared" ca="1" si="103"/>
        <v>0</v>
      </c>
      <c r="GM11" s="259">
        <f ca="1">IF(OR(GK11&gt;0,GL11&gt;0),MAX($GM$2:GM10)+1,0)</f>
        <v>0</v>
      </c>
      <c r="GN11" s="259" t="str">
        <f ca="1">IFERROR(INDEX($GD$3:$GM$400,MATCH(ROWS($GN$3:GN11),$GM$3:$GM$400,0),1),"")</f>
        <v/>
      </c>
      <c r="GO11" s="259" t="str">
        <f ca="1">IFERROR(INDEX($GD$3:$GM$400,MATCH(ROWS($GO$3:GO11),$GM$3:$GM$400,0),8),"")</f>
        <v/>
      </c>
      <c r="GP11" s="259" t="str">
        <f ca="1">IFERROR(INDEX($GD$3:$GM$400,MATCH(ROWS($GP$3:GP11),$GM$3:$GM$400,0),9),"")</f>
        <v/>
      </c>
      <c r="GQ11" s="259">
        <f t="shared" ca="1" si="28"/>
        <v>0</v>
      </c>
      <c r="GR11" s="259">
        <f t="shared" ca="1" si="104"/>
        <v>0</v>
      </c>
      <c r="GS11" s="259" t="str">
        <f t="shared" si="105"/>
        <v>epilogo a Conto economico</v>
      </c>
      <c r="GT11" s="259" t="str">
        <f ca="1">IFERROR(INDEX($GD$3:$GS$400,MATCH(ROWS($GT$3:GT11),$GM$3:$GM$400,0),16),"")</f>
        <v/>
      </c>
      <c r="GU11" s="259">
        <f ca="1">IF(GQ11&lt;&gt;0,MAX($GU$2:$GU10)+1,0)</f>
        <v>0</v>
      </c>
      <c r="GV11" s="259">
        <f t="shared" ca="1" si="106"/>
        <v>0</v>
      </c>
      <c r="GW11" s="259" t="str">
        <f ca="1">IF(AND(IFERROR(INDEX($GU$3:$GV$400,MATCH(ROWS($GW$3:GW11),$GU$3:$GU$400,0),2),"")&lt;&gt;"",GW12&lt;&gt;""),CONCATENATE(IFERROR(INDEX($GU$3:$GV$400,MATCH(ROWS($GW$3:GW11),$GU$3:$GU$400,0),2),"")," - "),IFERROR(INDEX($GU$3:$GV$400,MATCH(ROWS($GW$3:GW11),$GU$3:$GU$400,0),2),""))</f>
        <v/>
      </c>
      <c r="GX11" s="259">
        <f ca="1">IF(OR(GN11="IVA NS/CREDITO",GN11="IVA NS/DEBITO",GN11="IVA C/ACCONTO",GN11="IMPOSTE C/ACCONTO"),MAX($GX$2:GX10)+1,0)</f>
        <v>0</v>
      </c>
      <c r="GY11" s="259" t="str">
        <f ca="1">IF(AND(IFERROR(INDEX($GN$3:$GX$200,MATCH(ROWS($GY$3:GY11),$GX$3:$GX$200,0),1),"")&lt;&gt;"",GY12&lt;&gt;""),CONCATENATE(IFERROR(INDEX($GN$3:$GX$200,MATCH(ROWS($GY$3:GY11),$GX$3:$GX$200,0),1),"")," - "),IFERROR(INDEX($GN$3:$GX$200,MATCH(ROWS($GY$3:GY11),$GX$3:$GX$200,0),1),""))</f>
        <v/>
      </c>
      <c r="GZ11" s="259" t="s">
        <v>624</v>
      </c>
      <c r="HA11" s="259" t="s">
        <v>492</v>
      </c>
      <c r="HB11" s="271" t="s">
        <v>256</v>
      </c>
      <c r="HC11" s="269" t="s">
        <v>211</v>
      </c>
      <c r="HD11" s="269" t="s">
        <v>266</v>
      </c>
      <c r="HE11" s="269" t="s">
        <v>212</v>
      </c>
      <c r="HL11" s="259" t="str">
        <f t="shared" ca="1" si="29"/>
        <v/>
      </c>
      <c r="HM11" s="259" t="str">
        <f t="shared" ca="1" si="30"/>
        <v/>
      </c>
      <c r="HN11" s="259" t="str">
        <f t="shared" ca="1" si="31"/>
        <v/>
      </c>
      <c r="HO11" s="259">
        <f ca="1">IF(HL11&lt;&gt;"",MAX($HO$2:HO10)+1,0)</f>
        <v>0</v>
      </c>
      <c r="HP11" s="259">
        <f ca="1">IF(HM11&lt;&gt;"",MAX($HP$2:HP10)+1,0)</f>
        <v>0</v>
      </c>
      <c r="HQ11" s="259">
        <f ca="1">IF(HN11&lt;&gt;"",MAX($HQ$2:HQ10)+1,0)</f>
        <v>0</v>
      </c>
      <c r="HR11" s="259" t="str">
        <f t="shared" ca="1" si="107"/>
        <v/>
      </c>
      <c r="HS11" s="259" t="str">
        <f t="shared" ca="1" si="108"/>
        <v/>
      </c>
      <c r="HT11" s="259">
        <f t="shared" ca="1" si="109"/>
        <v>0</v>
      </c>
      <c r="HU11" s="259">
        <f t="shared" ca="1" si="110"/>
        <v>0</v>
      </c>
      <c r="HV11" s="259" t="str">
        <f ca="1">CONCATENATE(IFERROR(INDEX($HS$3:$HT$102,MATCH(ROWS($HV$3:HV11),$HT$3:$HT$102,0),1),""),HR11)</f>
        <v/>
      </c>
      <c r="IA11" s="259" t="s">
        <v>352</v>
      </c>
      <c r="IB11" s="259" t="s">
        <v>290</v>
      </c>
      <c r="IC11" s="259">
        <f ca="1">IFERROR(INDEX(PIANO_DEI_CONTI,MATCH(ROWS(DL$3:DL11),$DK$3:DK238,0),2),0)</f>
        <v>0</v>
      </c>
      <c r="ID11" s="259">
        <f t="shared" ca="1" si="111"/>
        <v>0</v>
      </c>
      <c r="IE11" s="259">
        <f t="shared" ca="1" si="112"/>
        <v>0</v>
      </c>
      <c r="IF11" s="259">
        <f t="shared" ca="1" si="113"/>
        <v>0</v>
      </c>
      <c r="IG11" s="259">
        <f ca="1">IF(SUMIFS($ID$3:$ID$200,$IF$3:$IF$200,IA11)&gt;=SUMIFS($IE$3:$IE$200,$IF$3:$IF$200,IA11),ROUND(SUMIFS($ID$3:$ID$200,$IF$3:$IF$200,IA11)-SUMIFS($IE$3:$IE$200,$IF$3:$IF$200,IA11),0),0)</f>
        <v>0</v>
      </c>
      <c r="IH11" s="259">
        <f ca="1">IF(IG11&lt;&gt;0,MAX($IH$2:IH10)+1,0)</f>
        <v>0</v>
      </c>
      <c r="II11" s="259">
        <f>IF(AD11="costi pluriennali",MAX($II$2:II10)+1,0)</f>
        <v>0</v>
      </c>
      <c r="IJ11" s="259">
        <f>IF($AD11="rettifiche costi pluriennali",MAX($IJ$2:IJ10)+1,0)</f>
        <v>0</v>
      </c>
      <c r="IK11" s="259">
        <f t="shared" si="114"/>
        <v>0</v>
      </c>
      <c r="IL11" s="259" t="str">
        <f t="shared" si="115"/>
        <v/>
      </c>
      <c r="IM11" s="259">
        <f t="shared" ca="1" si="116"/>
        <v>0</v>
      </c>
      <c r="IN11" s="259">
        <f t="shared" ca="1" si="141"/>
        <v>0</v>
      </c>
      <c r="IO11" s="259">
        <f ca="1">SUMIFS($IM$3:$IM$200,$IK$3:$IK$200,ROWS($IO$3:IO11))-SUMIFS($IN$3:$IN$200,$IK$3:$IK$200,ROWS($IO$3:IO11))</f>
        <v>0</v>
      </c>
      <c r="IP11" s="259" t="str">
        <f ca="1">IF(IO11&lt;0,INDEX($IJ$3:$IL$200,MATCH(ROWS($IP$3:IP11),$IJ$3:$IJ$200,0),3),"")</f>
        <v/>
      </c>
      <c r="IQ11" s="259">
        <f ca="1">IF(IP11&lt;&gt;"",MAX($IQ$2:IQ10)+1,0)</f>
        <v>0</v>
      </c>
      <c r="IR11" s="259" t="str">
        <f ca="1">IFERROR(INDEX($IP$3:$IQ$200,MATCH(ROWS($IR$3:IR11),$IQ$3:$IQ$200,0),1),"")</f>
        <v/>
      </c>
      <c r="IS11" s="259" t="str">
        <f t="shared" ca="1" si="117"/>
        <v/>
      </c>
      <c r="IT11" s="259" t="str">
        <f t="shared" ca="1" si="118"/>
        <v/>
      </c>
      <c r="IU11" s="259" t="str">
        <f t="shared" ca="1" si="119"/>
        <v/>
      </c>
      <c r="IV11" s="259" t="str">
        <f t="shared" ca="1" si="120"/>
        <v/>
      </c>
      <c r="IW11" s="259" t="str">
        <f t="shared" ca="1" si="121"/>
        <v/>
      </c>
      <c r="IX11" s="259" t="str">
        <f t="shared" ca="1" si="122"/>
        <v/>
      </c>
      <c r="IY11" s="259" t="str">
        <f t="shared" ca="1" si="123"/>
        <v/>
      </c>
      <c r="IZ11" s="259" t="str">
        <f t="shared" ca="1" si="124"/>
        <v/>
      </c>
      <c r="JA11" s="259" t="str">
        <f t="shared" ca="1" si="125"/>
        <v/>
      </c>
      <c r="JB11" s="259">
        <f t="shared" ca="1" si="32"/>
        <v>0</v>
      </c>
      <c r="JC11" s="259">
        <f t="shared" ca="1" si="126"/>
        <v>0</v>
      </c>
      <c r="JE11" s="259">
        <f ca="1">IFERROR(INDEX(LIBRO_GIORNALE!$N$11:$O$408,MATCH(ROWS($JE$2:JE10),LIBRO_GIORNALE!$O$11:$O$408,0),1),0)</f>
        <v>0</v>
      </c>
      <c r="JF11" s="259" t="str">
        <f t="shared" ca="1" si="127"/>
        <v>0</v>
      </c>
      <c r="JG11" s="259">
        <f t="shared" ca="1" si="128"/>
        <v>0</v>
      </c>
      <c r="JH11" s="259">
        <f ca="1">IF(JJ11&gt;0,0,MAX($JH$2:JH10)+1)</f>
        <v>9</v>
      </c>
      <c r="JI11" s="259">
        <f ca="1">IF(JG11&gt;0,MAX($JI$2:JI10)+1,0)</f>
        <v>0</v>
      </c>
      <c r="JJ11" s="259">
        <f ca="1">IFERROR(INDEX($JG$3:$JI$124,MATCH(ROWS($JJ$3:JJ11),$JI$3:$JI$124,0),1),0)</f>
        <v>0</v>
      </c>
      <c r="JK11" s="259">
        <f t="shared" ca="1" si="129"/>
        <v>0</v>
      </c>
      <c r="JL11" s="259">
        <f t="shared" ca="1" si="130"/>
        <v>9</v>
      </c>
      <c r="JM11" s="259">
        <v>8</v>
      </c>
    </row>
    <row r="12" spans="1:273">
      <c r="A12" s="259" t="str">
        <f t="shared" si="33"/>
        <v>01.20</v>
      </c>
      <c r="B12" s="259" t="str">
        <f t="shared" si="34"/>
        <v>FORNITORI IMMOBILIZZ. IMMATERIALI C/ACCONTI</v>
      </c>
      <c r="C12" s="259" t="str">
        <f t="shared" si="35"/>
        <v>F</v>
      </c>
      <c r="D12" s="259" t="str">
        <f t="shared" si="36"/>
        <v>D</v>
      </c>
      <c r="E12" s="259" t="str">
        <f t="shared" si="37"/>
        <v>CREDITI</v>
      </c>
      <c r="F12" s="259" t="str">
        <f t="shared" si="38"/>
        <v>SP DARE</v>
      </c>
      <c r="G12" s="259">
        <f t="shared" ca="1" si="39"/>
        <v>1</v>
      </c>
      <c r="H12" s="259">
        <f t="shared" ca="1" si="40"/>
        <v>1</v>
      </c>
      <c r="I12" s="259">
        <f t="shared" ca="1" si="41"/>
        <v>1</v>
      </c>
      <c r="J12" s="259">
        <v>9</v>
      </c>
      <c r="K12" s="259" t="str">
        <f ca="1">IFERROR(IF($I$1=1,INDEX($AA$3:$AS$220,MATCH(ROWS($K$3:K12),$AQ$3:$AQ$220,0),1),IF($I$1=2,INDEX($AA$3:$AS$220,MATCH(ROWS($K$3:K12),$AR$3:$AR$220,0),1),IF($I$1=3,INDEX($AA$3:$AS$220,MATCH(ROWS($K$3:K12),$AS$3:$AS$220,0),1),""))),"")</f>
        <v>FABBRICATI</v>
      </c>
      <c r="L12" s="259">
        <f ca="1">IF(AND($L$1="VISUALIZZA TUTTI I CONTI",K12&lt;&gt;""),MAX(L11:L11)+1,IFERROR(IF($J$1=1,IF(INDEX(PIANO_DEI_CONTI,MATCH($K12,DENOMINAZIONE,0),5)=$L$1,MAX($L$2:L11)+1,0),IF($J$1=2,IF(INDEX(PIANO_DEI_CONTI,MATCH($K12,DENOMINAZIONE,0),7)=$L$1,MAX($L$2:L11)+1,0))),0))</f>
        <v>10</v>
      </c>
      <c r="M12" s="259" t="str">
        <f ca="1">IFERROR(INDEX($K$3:$K$220,MATCH(ROWS($M$3:M12),$L$3:$L$220,0),1),"")</f>
        <v>FABBRICATI</v>
      </c>
      <c r="N12" s="259" t="s">
        <v>208</v>
      </c>
      <c r="O12" s="259" t="str">
        <f t="shared" ca="1" si="42"/>
        <v/>
      </c>
      <c r="P12" s="259">
        <f ca="1">IF(AND(N12=O12,O12&lt;&gt;""),MAX(P$2:P11)+1,0)</f>
        <v>0</v>
      </c>
      <c r="Q12" s="275" t="str">
        <f ca="1">IF(IFERROR(INDEX($O$3:$P$220,MATCH(ROWS(Q$3:Q12),$P$3:$P$220,0),1),"")=0,"",IFERROR(INDEX($O$3:$P$220,MATCH(ROWS(Q$3:Q12),$P$3:$P$220,0),1),""))</f>
        <v>PATRIMONIO NETTO</v>
      </c>
      <c r="R12" s="259" t="str">
        <f t="shared" si="1"/>
        <v>FABBRICATI</v>
      </c>
      <c r="S12" s="259">
        <f ca="1">IF(IFERROR(MATCH(R12,DENOMINAZIONE_GIORNALE,0),0)&gt;0,MAX(S$2:S11)+1,0)</f>
        <v>0</v>
      </c>
      <c r="T12" s="259" t="str">
        <f ca="1">IFERROR(INDEX($R$3:$S$220,MATCH(ROWS($T$3:T12),$S$3:$S$220,0),1),"")</f>
        <v/>
      </c>
      <c r="U12" s="259">
        <f t="shared" ca="1" si="2"/>
        <v>0</v>
      </c>
      <c r="V12" s="259">
        <f ca="1">IF(IF(U12&lt;&gt;0,MAX($V$2:V11)+1,0)=0,0,IF(U12&lt;&gt;0,MAX($V$2:V11)+1,0))</f>
        <v>0</v>
      </c>
      <c r="W12" s="259" t="str">
        <f t="shared" si="43"/>
        <v>01.20</v>
      </c>
      <c r="X12" s="259" t="str">
        <f t="shared" si="44"/>
        <v>FORNITORI IMMOBILIZZ. IMMATERIALI C/ACCONTI</v>
      </c>
      <c r="Y12" s="259">
        <f>IF(W12="",0,MAX($Y$2:Y11)+1)</f>
        <v>9</v>
      </c>
      <c r="Z12" s="259" t="str">
        <f>IFERROR(INDEX($W$3:$Y$220,MATCH(ROWS($Z$2:Z11),$Y$3:$Y$220,0),1),"")</f>
        <v>02.01</v>
      </c>
      <c r="AA12" s="259" t="str">
        <f t="shared" si="45"/>
        <v>FABBRICATI</v>
      </c>
      <c r="AB12" s="259" t="str">
        <f t="shared" si="46"/>
        <v>E</v>
      </c>
      <c r="AC12" s="259" t="str">
        <f t="shared" si="47"/>
        <v>D</v>
      </c>
      <c r="AD12" s="259" t="str">
        <f t="shared" si="48"/>
        <v>COSTI PLURIENNALI</v>
      </c>
      <c r="AE12" s="259" t="str">
        <f t="shared" si="49"/>
        <v>SP DARE</v>
      </c>
      <c r="AF12" s="259" t="str">
        <f t="shared" si="50"/>
        <v>IMMOBILIZZAZIONI MATERIALI</v>
      </c>
      <c r="AG12" s="259">
        <f t="shared" ca="1" si="51"/>
        <v>1</v>
      </c>
      <c r="AH12" s="259">
        <f t="shared" ca="1" si="52"/>
        <v>1</v>
      </c>
      <c r="AI12" s="259">
        <f t="shared" ca="1" si="53"/>
        <v>1</v>
      </c>
      <c r="AJ12" s="259" t="str">
        <f t="shared" si="54"/>
        <v>02</v>
      </c>
      <c r="AK12" s="259" t="str">
        <f t="shared" si="55"/>
        <v/>
      </c>
      <c r="AL12" s="259">
        <f>IF(AK12&lt;&gt;"",MAX($AL$2:AL11)+1,0)</f>
        <v>0</v>
      </c>
      <c r="AM12" s="259" t="str">
        <f>IFERROR(INDEX($AK$3:$AL$220,MATCH(ROWS($AM$3:AM12),$AL$3:$AL$220,0),1),"")</f>
        <v>11</v>
      </c>
      <c r="AN12" s="259" t="str">
        <f t="shared" si="56"/>
        <v>11.00</v>
      </c>
      <c r="AO12" s="259" t="str">
        <f t="shared" si="57"/>
        <v>FONDI PER RISCHI E ONERI</v>
      </c>
      <c r="AP12" s="259" t="str">
        <f t="shared" si="58"/>
        <v>IMMOBILIZZAZIONI MATERIALI</v>
      </c>
      <c r="AQ12" s="259">
        <f ca="1">IF(OR(AG12=0,AG12=""),0,MAX(AQ$2:AQ11)+1)</f>
        <v>5</v>
      </c>
      <c r="AR12" s="259">
        <f ca="1">IF(OR(AH12=0,AH12=""),0,MAX(AR$2:AR11)+1)</f>
        <v>7</v>
      </c>
      <c r="AS12" s="259">
        <f ca="1">IF(OR(AI12=0,AI12=""),0,MAX(AS$2:AS11)+1)</f>
        <v>10</v>
      </c>
      <c r="AT12" s="259" t="str">
        <f ca="1">IFERROR(INDEX($AD$3:$AS$220,MATCH(ROWS(AT$3:AT12),AQ$3:AQ$220,0),1),"")</f>
        <v>COSTI PLURIENNALI</v>
      </c>
      <c r="AU12" s="259" t="str">
        <f ca="1">IFERROR(INDEX($AD$3:$AS$220,MATCH(ROWS(AU$3:AU12),AR$3:AR$220,0),1),"")</f>
        <v>COSTI PLURIENNALI</v>
      </c>
      <c r="AV12" s="259" t="str">
        <f ca="1">IFERROR(INDEX($AD$3:$AS$220,MATCH(ROWS(AV$3:AV12),AS$3:AS$220,0),1),"")</f>
        <v>COSTI PLURIENNALI</v>
      </c>
      <c r="AW12" s="259" t="str">
        <f ca="1">IFERROR(INDEX($AP$3:$AS$220,MATCH(ROWS(AW$3:AW12),AQ$3:AQ$220,0),1),"")</f>
        <v>IMMOBILIZZAZIONI MATERIALI</v>
      </c>
      <c r="AX12" s="259" t="str">
        <f ca="1">IFERROR(INDEX($AP$3:$AS$220,MATCH(ROWS(AX$3:AX12),AR$3:AR$220,0),1),"")</f>
        <v>IMMOBILIZZAZIONI MATERIALI</v>
      </c>
      <c r="AY12" s="259" t="str">
        <f ca="1">IFERROR(INDEX($AP$3:$AS$220,MATCH(ROWS(AY$3:AY12),AS$3:AS$220,0),1),"")</f>
        <v>IMMOBILIZZAZIONI MATERIALI</v>
      </c>
      <c r="AZ12" s="276" t="str">
        <f t="shared" ca="1" si="59"/>
        <v/>
      </c>
      <c r="BA12" s="259">
        <f t="shared" ca="1" si="3"/>
        <v>0</v>
      </c>
      <c r="BB12" s="259">
        <f ca="1">IFERROR(INDEX($FG$3:$FL$400,MATCH(ROWS($BB$3:BB12),$FL$3:$FL$400,0),1),0)</f>
        <v>0</v>
      </c>
      <c r="BC12" s="259" t="str">
        <f t="shared" ca="1" si="60"/>
        <v/>
      </c>
      <c r="BD12" s="259">
        <f ca="1">IFERROR(INDEX($FG$3:$FL$400,MATCH(ROWS($BD$3:BD12),$FL$3:$FL$400,0),4),0)</f>
        <v>0</v>
      </c>
      <c r="BE12" s="259">
        <f ca="1">IFERROR(INDEX($FG$3:$FL$400,MATCH(ROWS($BE$3:BE12),$FL$3:$FL$400,0),5),0)</f>
        <v>0</v>
      </c>
      <c r="BG12" s="259" t="str">
        <f t="shared" si="4"/>
        <v/>
      </c>
      <c r="BH12" s="259">
        <f ca="1">IF(IFERROR(MATCH(BG12,DENOMINAZIONE_GIORNALE,0),0)&gt;0,MAX(BH$2:BH11)+1,0)</f>
        <v>0</v>
      </c>
      <c r="BI12" s="259" t="str">
        <f ca="1">IFERROR(INDEX($BG$3:$BH$220,MATCH(ROWS($BI$3:BI12),$BH$3:$BH$220,0),1),"")</f>
        <v/>
      </c>
      <c r="BJ12" s="259" t="str">
        <f t="shared" ca="1" si="5"/>
        <v/>
      </c>
      <c r="BK12" s="259" t="str">
        <f ca="1">IF(IF(BJ12&lt;&gt;"",MAX($BK$2:BK11)+1,0)=0,"",IF(BJ12&lt;&gt;"",MAX($BK$2:BK11)+1,0))</f>
        <v/>
      </c>
      <c r="BL12" s="259" t="str">
        <f ca="1">IFERROR(INDEX($T$3:$U$220, MATCH(ROWS(BL$3:BL12),$V$3:$V$220,0),1),"")</f>
        <v/>
      </c>
      <c r="BM12" s="259" t="str">
        <f ca="1">IFERROR(INDEX($T$3:$U$220, MATCH(ROWS(BM$3:BM12),$V$3:$V$220,0),2),"")</f>
        <v/>
      </c>
      <c r="BN12" s="259" t="str">
        <f ca="1">IF(IFERROR(INDEX($BI$3:$BJ$220,MATCH(ROWS(BN$3:BN12),$BK$3:$BK$220,0),1),"")="PATRIMONIO NETTO","",IFERROR(INDEX($BI$3:$BJ$220,MATCH(ROWS(BN$3:BN12),$BK$3:$BK$220,0),1),""))</f>
        <v/>
      </c>
      <c r="BO12" s="259" t="str">
        <f ca="1">IFERROR(INDEX($BI$3:$BJ$220,MATCH(ROWS(BO$3:BO12),$BK$3:$BK$220,0),2),"")</f>
        <v/>
      </c>
      <c r="BP12" s="259">
        <f ca="1">IF(BN12&lt;&gt;"",MAX(BP$2:$BP11)+1,0)</f>
        <v>0</v>
      </c>
      <c r="BQ12" s="259" t="str">
        <f ca="1">IFERROR(INDEX($BN$3:$BO$200,MATCH(ROWS(BQ$3:BQ12),$BP$3:$BP$220,0),1),"")</f>
        <v/>
      </c>
      <c r="BR12" s="259" t="str">
        <f ca="1">IFERROR(INDEX($BN$3:$BO$220,MATCH(ROWS(BR$3:BR12),$BP$3:$BP$220,0),2),"")</f>
        <v/>
      </c>
      <c r="BS12" s="259" t="str">
        <f ca="1">IFERROR(IF(OR(INDEX($T$3:$U$220,MATCH(ROWS(BL$3:BL12),$V$3:$V$220,0),1)="PRELEVAMENTI EXTRAGESTIONE",INDEX($T$3:$U$220,MATCH(ROWS(BL$3:BL12),$V$3:$V$220,0),1)="TITOLARE C/RITENUTE SUBITE"),"",INDEX($T$3:$U$220,MATCH(ROWS(BL$3:BL12),$V$3:$V$220,0),1)),"")</f>
        <v/>
      </c>
      <c r="BT12" s="259">
        <f t="shared" ca="1" si="61"/>
        <v>0</v>
      </c>
      <c r="BU12" s="259">
        <f ca="1">IF(BS12&lt;&gt;"",MAX(BU$2:BU11)+1,0)</f>
        <v>0</v>
      </c>
      <c r="BV12" s="259" t="str">
        <f ca="1">IFERROR(INDEX($BS$3:$BT$223,MATCH(ROWS(BV$3:BV12),$BU$3:$BU$223,0),1),"")</f>
        <v/>
      </c>
      <c r="BW12" s="259">
        <f t="shared" ca="1" si="62"/>
        <v>0</v>
      </c>
      <c r="BX12" s="259" t="str">
        <f t="shared" ca="1" si="63"/>
        <v/>
      </c>
      <c r="BY12" s="259" t="str">
        <f t="shared" ca="1" si="64"/>
        <v/>
      </c>
      <c r="BZ12" s="259" t="str">
        <f ca="1">IFERROR(IF(OR($DS$231&lt;&gt;$DT$231,$DU$231&lt;&gt;$DV$231,$EO$25&lt;&gt;0,$EO$26&lt;&gt;0),INDEX($T$3:$V$220,MATCH(ROWS($BV$3:BV12),$V$3:$V$220,0),1),CONCATENATE(BV12,BY12)),"")</f>
        <v/>
      </c>
      <c r="CA12" s="259">
        <f t="shared" ca="1" si="65"/>
        <v>0</v>
      </c>
      <c r="CB12" s="259" t="str">
        <f ca="1">IFERROR(IF(OR($BB$1&lt;&gt;$BD$1,$BC$1&lt;&gt;$BE$1,$DS$231&lt;&gt;$DT$231,$DU$231&lt;&gt;$DV$231,$EO$25&lt;&gt;0,$EO$26&lt;&gt;0),INDEX($BI$3:$BK$220,MATCH(ROWS($CB$3:CB12),$BK$3:$BK$220,0),1),CONCATENATE(BQ12,BX12)),"")</f>
        <v/>
      </c>
      <c r="CC12" s="259" t="str">
        <f t="shared" ca="1" si="66"/>
        <v/>
      </c>
      <c r="CD12" s="259" t="str">
        <f t="shared" si="6"/>
        <v/>
      </c>
      <c r="CE12" s="259">
        <f ca="1">IF(IFERROR(MATCH(CD12,DENOMINAZIONE_GIORNALE,0),0)&gt;0,MAX(CE$2:CE11)+1,0)</f>
        <v>0</v>
      </c>
      <c r="CF12" s="259" t="str">
        <f ca="1">IFERROR(INDEX($CD$3:$CE$220,MATCH(ROWS($CF$3:CF12),$CE$3:$CE$220,0),1),"")</f>
        <v/>
      </c>
      <c r="CG12" s="259">
        <f t="shared" ca="1" si="7"/>
        <v>0</v>
      </c>
      <c r="CH12" s="259" t="str">
        <f ca="1">IF(IF(CG12&lt;&gt;0,MAX($CH$2:CH11)+1,0)=0,"",IF(CG12&lt;&gt;"",MAX($CH$2:CH11)+1,0))</f>
        <v/>
      </c>
      <c r="CI12" s="259" t="str">
        <f ca="1">IFERROR(INDEX($CF$3:$CG$220,MATCH(ROWS($CI$3:CI12),$CH$3:$CH$220,0),1),"")</f>
        <v/>
      </c>
      <c r="CJ12" s="259" t="str">
        <f t="shared" ca="1" si="67"/>
        <v/>
      </c>
      <c r="CK12" s="259" t="str">
        <f t="shared" si="8"/>
        <v/>
      </c>
      <c r="CL12" s="259">
        <f ca="1">IF(IFERROR(MATCH(CK12,DENOMINAZIONE_GIORNALE,0),0)&gt;0,MAX(CL$2:CL11)+1,0)</f>
        <v>0</v>
      </c>
      <c r="CM12" s="259" t="str">
        <f ca="1">IFERROR(INDEX($CK$3:$CL$220,MATCH(ROWS($CM$3:CM12),$CL$3:$CL$220,0),1),"")</f>
        <v/>
      </c>
      <c r="CN12" s="259" t="str">
        <f t="shared" ca="1" si="9"/>
        <v/>
      </c>
      <c r="CO12" s="259">
        <f ca="1">IF(IF(CN12&lt;&gt;0,MAX($CO$2:CO11)+1,0)=0,"",IF(CN12&lt;&gt;"",MAX($CO$2:CO11)+1,0))</f>
        <v>0</v>
      </c>
      <c r="CP12" s="259" t="str">
        <f ca="1">IFERROR(INDEX($CM$3:$CN$220,MATCH(ROWS(CP$3:CP12),$CO$3:$CO$220,0),1),"")</f>
        <v/>
      </c>
      <c r="CQ12" s="259" t="str">
        <f ca="1">IFERROR(INDEX($CM$3:$CN$220,MATCH(ROWS(CQ$3:CQ12),$CO$3:$CO$220,0),2),"")</f>
        <v/>
      </c>
      <c r="CR12" s="259" t="str">
        <f t="shared" ca="1" si="10"/>
        <v/>
      </c>
      <c r="CS12" s="259">
        <f t="shared" ca="1" si="11"/>
        <v>0</v>
      </c>
      <c r="CT12" s="259">
        <f t="shared" ca="1" si="12"/>
        <v>0</v>
      </c>
      <c r="CU12" s="259">
        <f ca="1">IF(OR(CS12&gt;0,CT12&gt;0),MAX($CU$2:CU11)+1,0)</f>
        <v>0</v>
      </c>
      <c r="CV12" s="259" t="str">
        <f ca="1">IFERROR(INDEX(PIANO_DEI_CONTI,MATCH(ROWS($CV$3:CV12),$CU$3:$CU$200,0),2),"")</f>
        <v/>
      </c>
      <c r="CW12" s="259">
        <f ca="1">IFERROR(IF(CV12&lt;&gt;"",MAX($CW$2:CW11)+1,0),0)</f>
        <v>0</v>
      </c>
      <c r="CX12" s="259">
        <f t="shared" ca="1" si="68"/>
        <v>1</v>
      </c>
      <c r="CY12" s="259" t="str">
        <f t="shared" ca="1" si="13"/>
        <v>MASTRO</v>
      </c>
      <c r="CZ12" s="259" t="e">
        <f t="shared" ca="1" si="131"/>
        <v>#N/A</v>
      </c>
      <c r="DA12" s="259" t="str">
        <f t="shared" ca="1" si="140"/>
        <v/>
      </c>
      <c r="DB12" s="259" t="str">
        <f t="shared" ca="1" si="132"/>
        <v/>
      </c>
      <c r="DC12" s="259" t="str">
        <f t="shared" ca="1" si="133"/>
        <v/>
      </c>
      <c r="DD12" s="259" t="str">
        <f t="shared" ca="1" si="134"/>
        <v/>
      </c>
      <c r="DE12" s="259" t="str">
        <f t="shared" ca="1" si="135"/>
        <v/>
      </c>
      <c r="DF12" s="259">
        <f ca="1">IF(AND(CX12=$DE$2,$DF$2&lt;&gt;0),0,IF(AND(DB12&lt;&gt;"",OR(DB11&lt;&gt;"",DB13&lt;&gt;"")),MAX($DF$2:DF11)+1,0))</f>
        <v>0</v>
      </c>
      <c r="DG12" s="259" t="str">
        <f>IF(OR(VALORI_INIZIALI!E17="",AND(VALORI_INIZIALI!E17&lt;&gt;"",VALORI_INIZIALI!H17=0,VALORI_INIZIALI!I17=0)),"",IFERROR(INDEX(PIANO_DEI_CONTI,MATCH(BB12,DENOMINAZIONE,0),1),0))</f>
        <v/>
      </c>
      <c r="DH12" s="259">
        <f ca="1">IFERROR(IF($J$1=1,IF(INDEX(PIANO_DEI_CONTI,MATCH($K12,DENOMINAZIONE,0),5)=$DF$1,MAX($DH$2:DH11)+1,0),IF($J$1=2,IF(INDEX(PIANO_DEI_CONTI,MATCH($K12,DENOMINAZIONE,0),7)=$DF$1,MAX($DH$2:DH11)+1,0))),0)</f>
        <v>0</v>
      </c>
      <c r="DI12" s="259">
        <f ca="1">IFERROR(INDEX($K$3:$K$220,MATCH(ROWS($DI$3:DI12),$DH$3:$DH$220,0),1),0)</f>
        <v>0</v>
      </c>
      <c r="DJ12" s="259">
        <f t="shared" ca="1" si="14"/>
        <v>0</v>
      </c>
      <c r="DK12" s="259">
        <f ca="1">IF(DJ12=0,0,MAX(DK$2:DK11)+1)</f>
        <v>0</v>
      </c>
      <c r="DL12" s="259">
        <f ca="1">IFERROR(INDEX(PIANO_DEI_CONTI,MATCH(ROWS(DL$3:DL12),$DK$3:DK239,0),2),0)</f>
        <v>0</v>
      </c>
      <c r="DM12" s="259">
        <f t="shared" ca="1" si="15"/>
        <v>0</v>
      </c>
      <c r="DN12" s="259">
        <f t="shared" ca="1" si="16"/>
        <v>0</v>
      </c>
      <c r="DO12" s="259">
        <f t="shared" ca="1" si="69"/>
        <v>0</v>
      </c>
      <c r="DP12" s="259">
        <f t="shared" ca="1" si="70"/>
        <v>0</v>
      </c>
      <c r="DQ12" s="259">
        <f ca="1">IF(OR($DQ$1="TOTALI",$DQ$1="TOTALI ED ECCEDENZE"),IF(OR(DM12&gt;0,DN12&gt;0),MAX(DQ$2:DQ11)+1,0),IF($DQ$1="ECCEDENZE",IF(OR(DO12&gt;0,DP12&gt;0),MAX(DQ$2:DQ11)+1,0),""))</f>
        <v>0</v>
      </c>
      <c r="DR12" s="259" t="str">
        <f ca="1">IFERROR(INDEX($DL$3:$DQ$230,MATCH(ROWS(DR$3:DR12),$DQ$3:$DQ$230,0),1),"")</f>
        <v/>
      </c>
      <c r="DS12" s="259" t="str">
        <f t="shared" ca="1" si="71"/>
        <v/>
      </c>
      <c r="DT12" s="259" t="str">
        <f t="shared" ca="1" si="72"/>
        <v/>
      </c>
      <c r="DU12" s="259" t="str">
        <f t="shared" ca="1" si="73"/>
        <v/>
      </c>
      <c r="DV12" s="259" t="str">
        <f t="shared" ca="1" si="74"/>
        <v/>
      </c>
      <c r="DW12" s="259">
        <f t="shared" ca="1" si="75"/>
        <v>0</v>
      </c>
      <c r="DX12" s="259" t="str">
        <f t="shared" ca="1" si="76"/>
        <v/>
      </c>
      <c r="DY12" s="259" t="str">
        <f t="shared" ca="1" si="77"/>
        <v/>
      </c>
      <c r="DZ12" s="259" t="str">
        <f t="shared" ca="1" si="78"/>
        <v/>
      </c>
      <c r="EA12" s="259">
        <f t="shared" ca="1" si="79"/>
        <v>10</v>
      </c>
      <c r="EB12" s="259" t="s">
        <v>349</v>
      </c>
      <c r="ED12" s="259">
        <f t="shared" ca="1" si="17"/>
        <v>0</v>
      </c>
      <c r="EE12" s="259" t="str">
        <f t="shared" ca="1" si="18"/>
        <v/>
      </c>
      <c r="EF12" s="259" t="str">
        <f t="shared" ca="1" si="19"/>
        <v/>
      </c>
      <c r="EG12" s="259" t="str">
        <f t="shared" ca="1" si="136"/>
        <v/>
      </c>
      <c r="EH12" s="259" t="str">
        <f t="shared" ca="1" si="80"/>
        <v/>
      </c>
      <c r="EI12" s="260" t="b">
        <f t="shared" ca="1" si="137"/>
        <v>1</v>
      </c>
      <c r="EJ12" s="260" t="b">
        <f t="shared" ca="1" si="138"/>
        <v>1</v>
      </c>
      <c r="EK12" s="260" t="b">
        <f t="shared" ca="1" si="139"/>
        <v>1</v>
      </c>
      <c r="EL12" s="259">
        <f t="shared" si="81"/>
        <v>10</v>
      </c>
      <c r="EM12" s="259">
        <f ca="1">IF(AND(BA12&gt;0,BA12&lt;=$EM$1),MAX($EM$2:EM11)+1,0)</f>
        <v>0</v>
      </c>
      <c r="EN12" s="259">
        <f t="shared" ca="1" si="82"/>
        <v>12</v>
      </c>
      <c r="EP12" s="259" t="str">
        <f t="shared" ca="1" si="20"/>
        <v/>
      </c>
      <c r="EQ12" s="259">
        <f t="shared" ca="1" si="21"/>
        <v>0</v>
      </c>
      <c r="ER12" s="259">
        <f ca="1">IF(ISNA(EQ12),MAX(ER$2:ER11)+1,0)</f>
        <v>0</v>
      </c>
      <c r="ES12" s="259" t="str">
        <f t="shared" ca="1" si="83"/>
        <v/>
      </c>
      <c r="ET12" s="259" t="str">
        <f ca="1">IFERROR(UPPER(INDEX($ER$3:$ES$500,MATCH(ROWS(ET$3:ET12),$ER$3:$ER$500,0),2)),"")</f>
        <v/>
      </c>
      <c r="EU12" s="259" t="s">
        <v>696</v>
      </c>
      <c r="EV12" s="259">
        <f ca="1">IF(COUNTIFS(JA3:JA102,"&gt;"&amp;YEAR(INIZIO_A_PC))&gt;0,MAX(EV3:EV11)+1,0)</f>
        <v>0</v>
      </c>
      <c r="EW12" s="259" t="str">
        <f ca="1">IF(AND(IFERROR(INDEX($EU$3:$EV$30,MATCH(ROWS($EX$3:EX12),$EV$3:$EV$30,0),1),"")&lt;&gt;"",EW13&lt;&gt;""),CONCATENATE(IFERROR(INDEX($EU$3:$EV$30,MATCH(ROWS($EX$3:EX12),$EV$3:$EV$30,0),1),"")," - "),IFERROR(INDEX($EU$3:$EV$30,MATCH(ROWS($EX$3:EX12),$EV$3:$EV$30,0),1),""))</f>
        <v/>
      </c>
      <c r="EY12" s="259">
        <f t="shared" ca="1" si="84"/>
        <v>0</v>
      </c>
      <c r="EZ12" s="259">
        <f t="shared" ca="1" si="84"/>
        <v>0</v>
      </c>
      <c r="FA12" s="259" t="str">
        <f t="shared" ca="1" si="85"/>
        <v/>
      </c>
      <c r="FB12" s="259">
        <f t="shared" ca="1" si="86"/>
        <v>0</v>
      </c>
      <c r="FC12" s="259">
        <f t="shared" ca="1" si="87"/>
        <v>0</v>
      </c>
      <c r="FD12" s="259">
        <f t="shared" ca="1" si="22"/>
        <v>0</v>
      </c>
      <c r="FE12" s="259" t="str">
        <f t="shared" ca="1" si="23"/>
        <v/>
      </c>
      <c r="FF12" s="259" t="str">
        <f t="shared" ca="1" si="88"/>
        <v/>
      </c>
      <c r="FG12" s="259" t="str">
        <f t="shared" si="89"/>
        <v>FABBRICATI</v>
      </c>
      <c r="FH12" s="259">
        <f t="shared" ca="1" si="24"/>
        <v>0</v>
      </c>
      <c r="FI12" s="259">
        <f t="shared" ca="1" si="25"/>
        <v>0</v>
      </c>
      <c r="FJ12" s="259">
        <f t="shared" ca="1" si="90"/>
        <v>0</v>
      </c>
      <c r="FK12" s="259">
        <f t="shared" ca="1" si="91"/>
        <v>0</v>
      </c>
      <c r="FL12" s="259">
        <f ca="1">IF(OR(FJ12&gt;0,FK12&gt;0),MAX($FL$2:FL11)+1,0)</f>
        <v>0</v>
      </c>
      <c r="FM12" s="259">
        <f t="shared" ca="1" si="26"/>
        <v>0</v>
      </c>
      <c r="FN12" s="259">
        <f ca="1">IF(FM12&lt;0,MAX($FN$2:FN11)+1,0)</f>
        <v>0</v>
      </c>
      <c r="FO12" s="259" t="str">
        <f t="shared" ca="1" si="92"/>
        <v/>
      </c>
      <c r="FP12" s="259" t="str">
        <f ca="1">IFERROR(INDEX($FN$3:$FO$400,MATCH(ROWS($FP$3:FP12),$FN$3:$FN$400,0),2),"")</f>
        <v/>
      </c>
      <c r="FQ12" s="259" t="str">
        <f>IF(AE12="SE AVERE",MAX($FQ$2:FQ11)+1,"")</f>
        <v/>
      </c>
      <c r="FR12" s="259" t="str">
        <f>IF(AE12="SE DARE",MAX($FR$2:FR11)+1,"")</f>
        <v/>
      </c>
      <c r="FS12" s="259">
        <f ca="1">IF(AND(AE12="SP DARE",AA12&lt;&gt;$FS$1,AA12&lt;&gt;$FT$1),MAX($FS$2:FS11)+1,IF(AND(GQ12="SP DARE",AA12&lt;&gt;$FS$1,AA12&lt;&gt;$FT$1),MAX($FS$2:FS11)+1,""))</f>
        <v>95</v>
      </c>
      <c r="FT12" s="259" t="str">
        <f ca="1">IF(AND(AE12="SP AVERE",AA12&lt;&gt;$FU$1),MAX($FT$2:FT11)+1,IF(AND(GQ12="SP AVERE",AA12&lt;&gt;$FU$1),MAX($FT$2:FT11)+1,""))</f>
        <v/>
      </c>
      <c r="FU12" s="259">
        <f t="shared" ca="1" si="93"/>
        <v>95</v>
      </c>
      <c r="FV12" s="259" t="str">
        <f t="shared" si="94"/>
        <v>FABBRICATI</v>
      </c>
      <c r="FW12" s="259" t="str">
        <f ca="1">IFERROR(INDEX($FU$3:$FV$500,MATCH(ROWS($FW$3:FW12),$FU$3:$FU$500,0),2),0)</f>
        <v>RIMBORSI COSTI DI VENDITA</v>
      </c>
      <c r="FX12" s="259">
        <f t="shared" ca="1" si="95"/>
        <v>10</v>
      </c>
      <c r="FY12" s="259">
        <f t="shared" ca="1" si="96"/>
        <v>0</v>
      </c>
      <c r="FZ12" s="259">
        <f ca="1">IF(FY12&gt;0,MAX($FZ$2:FZ11)+1,0)</f>
        <v>0</v>
      </c>
      <c r="GA12" s="259">
        <f ca="1">IFERROR(INDEX($FY$3:$FZ$500,MATCH(ROWS($GA$3:GA12),$FZ$3:$FZ$500,0),1),0)</f>
        <v>84</v>
      </c>
      <c r="GB12" s="259" t="s">
        <v>89</v>
      </c>
      <c r="GC12" s="259">
        <f t="shared" ca="1" si="97"/>
        <v>10</v>
      </c>
      <c r="GD12" s="259" t="str">
        <f t="shared" ca="1" si="98"/>
        <v>RIMBORSI COSTI DI VENDITA</v>
      </c>
      <c r="GF12" s="259">
        <f ca="1">GE5</f>
        <v>0</v>
      </c>
      <c r="GG12" s="259">
        <f t="shared" ca="1" si="27"/>
        <v>0</v>
      </c>
      <c r="GH12" s="259">
        <f t="shared" ca="1" si="99"/>
        <v>0</v>
      </c>
      <c r="GI12" s="259">
        <f t="shared" ca="1" si="100"/>
        <v>0</v>
      </c>
      <c r="GJ12" s="259">
        <f t="shared" ca="1" si="101"/>
        <v>0</v>
      </c>
      <c r="GK12" s="259">
        <f t="shared" ca="1" si="102"/>
        <v>0</v>
      </c>
      <c r="GL12" s="259">
        <f t="shared" ca="1" si="103"/>
        <v>0</v>
      </c>
      <c r="GM12" s="259">
        <f ca="1">IF(OR(GK12&gt;0,GL12&gt;0),MAX($GM$2:GM11)+1,0)</f>
        <v>0</v>
      </c>
      <c r="GN12" s="259" t="str">
        <f ca="1">IFERROR(INDEX($GD$3:$GM$400,MATCH(ROWS($GN$3:GN12),$GM$3:$GM$400,0),1),"")</f>
        <v/>
      </c>
      <c r="GO12" s="259" t="str">
        <f ca="1">IFERROR(INDEX($GD$3:$GM$400,MATCH(ROWS($GO$3:GO12),$GM$3:$GM$400,0),8),"")</f>
        <v/>
      </c>
      <c r="GP12" s="259" t="str">
        <f ca="1">IFERROR(INDEX($GD$3:$GM$400,MATCH(ROWS($GP$3:GP12),$GM$3:$GM$400,0),9),"")</f>
        <v/>
      </c>
      <c r="GQ12" s="259">
        <f t="shared" ca="1" si="28"/>
        <v>0</v>
      </c>
      <c r="GR12" s="259">
        <f t="shared" ca="1" si="104"/>
        <v>0</v>
      </c>
      <c r="GS12" s="259" t="str">
        <f t="shared" si="105"/>
        <v>epilogo a Conto economico</v>
      </c>
      <c r="GT12" s="259" t="str">
        <f ca="1">IFERROR(INDEX($GD$3:$GS$400,MATCH(ROWS($GT$3:GT12),$GM$3:$GM$400,0),16),"")</f>
        <v/>
      </c>
      <c r="GU12" s="259">
        <f ca="1">IF(GQ12&lt;&gt;0,MAX($GU$2:$GU11)+1,0)</f>
        <v>0</v>
      </c>
      <c r="GV12" s="259">
        <f t="shared" ca="1" si="106"/>
        <v>0</v>
      </c>
      <c r="GW12" s="259" t="str">
        <f ca="1">IF(AND(IFERROR(INDEX($GU$3:$GV$400,MATCH(ROWS($GW$3:GW12),$GU$3:$GU$400,0),2),"")&lt;&gt;"",GW13&lt;&gt;""),CONCATENATE(IFERROR(INDEX($GU$3:$GV$400,MATCH(ROWS($GW$3:GW12),$GU$3:$GU$400,0),2),"")," - "),IFERROR(INDEX($GU$3:$GV$400,MATCH(ROWS($GW$3:GW12),$GU$3:$GU$400,0),2),""))</f>
        <v/>
      </c>
      <c r="GX12" s="259">
        <f ca="1">IF(OR(GN12="IVA NS/CREDITO",GN12="IVA NS/DEBITO",GN12="IVA C/ACCONTO",GN12="IMPOSTE C/ACCONTO"),MAX($GX$2:GX11)+1,0)</f>
        <v>0</v>
      </c>
      <c r="GY12" s="259" t="str">
        <f ca="1">IF(AND(IFERROR(INDEX($GN$3:$GX$200,MATCH(ROWS($GY$3:GY12),$GX$3:$GX$200,0),1),"")&lt;&gt;"",GY13&lt;&gt;""),CONCATENATE(IFERROR(INDEX($GN$3:$GX$200,MATCH(ROWS($GY$3:GY12),$GX$3:$GX$200,0),1),"")," - "),IFERROR(INDEX($GN$3:$GX$200,MATCH(ROWS($GY$3:GY12),$GX$3:$GX$200,0),1),""))</f>
        <v/>
      </c>
      <c r="GZ12" s="259" t="s">
        <v>625</v>
      </c>
      <c r="HA12" s="259" t="s">
        <v>493</v>
      </c>
      <c r="HB12" s="271" t="s">
        <v>257</v>
      </c>
      <c r="HC12" s="269" t="s">
        <v>276</v>
      </c>
      <c r="HD12" s="269" t="s">
        <v>6</v>
      </c>
      <c r="HE12" s="269" t="s">
        <v>206</v>
      </c>
      <c r="HL12" s="259" t="str">
        <f t="shared" ca="1" si="29"/>
        <v/>
      </c>
      <c r="HM12" s="259" t="str">
        <f t="shared" ca="1" si="30"/>
        <v/>
      </c>
      <c r="HN12" s="259" t="str">
        <f t="shared" ca="1" si="31"/>
        <v/>
      </c>
      <c r="HO12" s="259">
        <f ca="1">IF(HL12&lt;&gt;"",MAX($HO$2:HO11)+1,0)</f>
        <v>0</v>
      </c>
      <c r="HP12" s="259">
        <f ca="1">IF(HM12&lt;&gt;"",MAX($HP$2:HP11)+1,0)</f>
        <v>0</v>
      </c>
      <c r="HQ12" s="259">
        <f ca="1">IF(HN12&lt;&gt;"",MAX($HQ$2:HQ11)+1,0)</f>
        <v>0</v>
      </c>
      <c r="HR12" s="259" t="str">
        <f t="shared" ca="1" si="107"/>
        <v/>
      </c>
      <c r="HS12" s="259" t="str">
        <f t="shared" ca="1" si="108"/>
        <v/>
      </c>
      <c r="HT12" s="259">
        <f t="shared" ca="1" si="109"/>
        <v>0</v>
      </c>
      <c r="HU12" s="259">
        <f t="shared" ca="1" si="110"/>
        <v>0</v>
      </c>
      <c r="HV12" s="259" t="str">
        <f ca="1">CONCATENATE(IFERROR(INDEX($HS$3:$HT$102,MATCH(ROWS($HV$3:HV12),$HT$3:$HT$102,0),1),""),HR12)</f>
        <v/>
      </c>
      <c r="IA12" s="259" t="s">
        <v>353</v>
      </c>
      <c r="IB12" s="259" t="s">
        <v>291</v>
      </c>
      <c r="IC12" s="259">
        <f ca="1">IFERROR(INDEX(PIANO_DEI_CONTI,MATCH(ROWS(DL$3:DL12),$DK$3:DK239,0),2),0)</f>
        <v>0</v>
      </c>
      <c r="ID12" s="259">
        <f t="shared" ca="1" si="111"/>
        <v>0</v>
      </c>
      <c r="IE12" s="259">
        <f t="shared" ca="1" si="112"/>
        <v>0</v>
      </c>
      <c r="IF12" s="259">
        <f t="shared" ca="1" si="113"/>
        <v>0</v>
      </c>
      <c r="IG12" s="259">
        <f ca="1">IF(SUMIFS($ID$3:$ID$200,$IF$3:$IF$200,IA12)&gt;=SUMIFS($IE$3:$IE$200,$IF$3:$IF$200,IA12),ROUND(SUMIFS($ID$3:$ID$200,$IF$3:$IF$200,IA12)-SUMIFS($IE$3:$IE$200,$IF$3:$IF$200,IA12),0),0)</f>
        <v>0</v>
      </c>
      <c r="IH12" s="259">
        <f ca="1">IF(IG12&lt;&gt;0,MAX($IH$2:IH11)+1,0)</f>
        <v>0</v>
      </c>
      <c r="II12" s="259">
        <f>IF(AD12="costi pluriennali",MAX($II$2:II11)+1,0)</f>
        <v>5</v>
      </c>
      <c r="IJ12" s="259">
        <f>IF($AD12="rettifiche costi pluriennali",MAX($IJ$2:IJ11)+1,0)</f>
        <v>0</v>
      </c>
      <c r="IK12" s="259">
        <f t="shared" si="114"/>
        <v>5</v>
      </c>
      <c r="IL12" s="259" t="str">
        <f t="shared" si="115"/>
        <v>FABBRICATI</v>
      </c>
      <c r="IM12" s="259">
        <f t="shared" ca="1" si="116"/>
        <v>0</v>
      </c>
      <c r="IN12" s="259">
        <f t="shared" ca="1" si="141"/>
        <v>0</v>
      </c>
      <c r="IO12" s="259">
        <f ca="1">SUMIFS($IM$3:$IM$200,$IK$3:$IK$200,ROWS($IO$3:IO12))-SUMIFS($IN$3:$IN$200,$IK$3:$IK$200,ROWS($IO$3:IO12))</f>
        <v>0</v>
      </c>
      <c r="IP12" s="259" t="str">
        <f ca="1">IF(IO12&lt;0,INDEX($IJ$3:$IL$200,MATCH(ROWS($IP$3:IP12),$IJ$3:$IJ$200,0),3),"")</f>
        <v/>
      </c>
      <c r="IQ12" s="259">
        <f ca="1">IF(IP12&lt;&gt;"",MAX($IQ$2:IQ11)+1,0)</f>
        <v>0</v>
      </c>
      <c r="IR12" s="259" t="str">
        <f ca="1">IFERROR(INDEX($IP$3:$IQ$200,MATCH(ROWS($IR$3:IR12),$IQ$3:$IQ$200,0),1),"")</f>
        <v/>
      </c>
      <c r="IS12" s="259" t="str">
        <f t="shared" ca="1" si="117"/>
        <v/>
      </c>
      <c r="IT12" s="259" t="str">
        <f t="shared" ca="1" si="118"/>
        <v/>
      </c>
      <c r="IU12" s="259" t="str">
        <f t="shared" ca="1" si="119"/>
        <v/>
      </c>
      <c r="IV12" s="259" t="str">
        <f t="shared" ca="1" si="120"/>
        <v/>
      </c>
      <c r="IW12" s="259" t="str">
        <f t="shared" ca="1" si="121"/>
        <v/>
      </c>
      <c r="IX12" s="259" t="str">
        <f t="shared" ca="1" si="122"/>
        <v/>
      </c>
      <c r="IY12" s="259" t="str">
        <f t="shared" ca="1" si="123"/>
        <v/>
      </c>
      <c r="IZ12" s="259" t="str">
        <f t="shared" ca="1" si="124"/>
        <v/>
      </c>
      <c r="JA12" s="259" t="str">
        <f t="shared" ca="1" si="125"/>
        <v/>
      </c>
      <c r="JB12" s="259">
        <f t="shared" ca="1" si="32"/>
        <v>0</v>
      </c>
      <c r="JC12" s="259">
        <f t="shared" ca="1" si="126"/>
        <v>0</v>
      </c>
      <c r="JE12" s="259">
        <f ca="1">IFERROR(INDEX(LIBRO_GIORNALE!$N$11:$O$408,MATCH(ROWS($JE$2:JE11),LIBRO_GIORNALE!$O$11:$O$408,0),1),0)</f>
        <v>0</v>
      </c>
      <c r="JF12" s="259" t="str">
        <f t="shared" ca="1" si="127"/>
        <v>0</v>
      </c>
      <c r="JG12" s="259">
        <f t="shared" ca="1" si="128"/>
        <v>0</v>
      </c>
      <c r="JH12" s="259">
        <f ca="1">IF(JJ12&gt;0,0,MAX($JH$2:JH11)+1)</f>
        <v>10</v>
      </c>
      <c r="JI12" s="259">
        <f ca="1">IF(JG12&gt;0,MAX($JI$2:JI11)+1,0)</f>
        <v>0</v>
      </c>
      <c r="JJ12" s="259">
        <f ca="1">IFERROR(INDEX($JG$3:$JI$124,MATCH(ROWS($JJ$3:JJ12),$JI$3:$JI$124,0),1),0)</f>
        <v>0</v>
      </c>
      <c r="JK12" s="259">
        <f t="shared" ca="1" si="129"/>
        <v>0</v>
      </c>
      <c r="JL12" s="259">
        <f t="shared" ca="1" si="130"/>
        <v>10</v>
      </c>
      <c r="JM12" s="259">
        <v>9</v>
      </c>
    </row>
    <row r="13" spans="1:273">
      <c r="A13" s="259" t="str">
        <f t="shared" si="33"/>
        <v>02.00</v>
      </c>
      <c r="B13" s="259" t="str">
        <f t="shared" si="34"/>
        <v>IMMOBILIZZAZIONI MATERIALI</v>
      </c>
      <c r="C13" s="259">
        <f t="shared" si="35"/>
        <v>0</v>
      </c>
      <c r="D13" s="259">
        <f t="shared" si="36"/>
        <v>0</v>
      </c>
      <c r="E13" s="259">
        <f t="shared" si="37"/>
        <v>0</v>
      </c>
      <c r="F13" s="259">
        <f t="shared" si="38"/>
        <v>0</v>
      </c>
      <c r="G13" s="259">
        <f t="shared" ca="1" si="39"/>
        <v>0</v>
      </c>
      <c r="H13" s="259">
        <f t="shared" ca="1" si="40"/>
        <v>0</v>
      </c>
      <c r="I13" s="259">
        <f t="shared" ca="1" si="41"/>
        <v>0</v>
      </c>
      <c r="J13" s="259">
        <v>10</v>
      </c>
      <c r="K13" s="259" t="str">
        <f ca="1">IFERROR(IF($I$1=1,INDEX($AA$3:$AS$220,MATCH(ROWS($K$3:K13),$AQ$3:$AQ$220,0),1),IF($I$1=2,INDEX($AA$3:$AS$220,MATCH(ROWS($K$3:K13),$AR$3:$AR$220,0),1),IF($I$1=3,INDEX($AA$3:$AS$220,MATCH(ROWS($K$3:K13),$AS$3:$AS$220,0),1),""))),"")</f>
        <v>IMPIANTI E MACCHINARI</v>
      </c>
      <c r="L13" s="259">
        <f ca="1">IF(AND($L$1="VISUALIZZA TUTTI I CONTI",K13&lt;&gt;""),MAX(L12:L12)+1,IFERROR(IF($J$1=1,IF(INDEX(PIANO_DEI_CONTI,MATCH($K13,DENOMINAZIONE,0),5)=$L$1,MAX($L$2:L12)+1,0),IF($J$1=2,IF(INDEX(PIANO_DEI_CONTI,MATCH($K13,DENOMINAZIONE,0),7)=$L$1,MAX($L$2:L12)+1,0))),0))</f>
        <v>11</v>
      </c>
      <c r="M13" s="259" t="str">
        <f ca="1">IFERROR(INDEX($K$3:$K$220,MATCH(ROWS($M$3:M13),$L$3:$L$220,0),1),"")</f>
        <v>IMPIANTI E MACCHINARI</v>
      </c>
      <c r="N13" s="259" t="s">
        <v>613</v>
      </c>
      <c r="O13" s="259" t="str">
        <f t="shared" ca="1" si="42"/>
        <v/>
      </c>
      <c r="P13" s="259">
        <f ca="1">IF(AND(N13=O13,O13&lt;&gt;""),MAX(P$2:P12)+1,0)</f>
        <v>0</v>
      </c>
      <c r="Q13" s="275" t="str">
        <f ca="1">IF(IFERROR(INDEX($O$3:$P$220,MATCH(ROWS(Q$3:Q13),$P$3:$P$220,0),1),"")=0,"",IFERROR(INDEX($O$3:$P$220,MATCH(ROWS(Q$3:Q13),$P$3:$P$220,0),1),""))</f>
        <v>FONDI PER RISCHI E ONERI</v>
      </c>
      <c r="R13" s="259" t="str">
        <f t="shared" si="1"/>
        <v>IMPIANTI E MACCHINARI</v>
      </c>
      <c r="S13" s="259">
        <f ca="1">IF(IFERROR(MATCH(R13,DENOMINAZIONE_GIORNALE,0),0)&gt;0,MAX(S$2:S12)+1,0)</f>
        <v>0</v>
      </c>
      <c r="T13" s="259" t="str">
        <f ca="1">IFERROR(INDEX($R$3:$S$220,MATCH(ROWS($T$3:T13),$S$3:$S$220,0),1),"")</f>
        <v/>
      </c>
      <c r="U13" s="259">
        <f t="shared" ca="1" si="2"/>
        <v>0</v>
      </c>
      <c r="V13" s="259">
        <f ca="1">IF(IF(U13&lt;&gt;0,MAX($V$2:V12)+1,0)=0,0,IF(U13&lt;&gt;0,MAX($V$2:V12)+1,0))</f>
        <v>0</v>
      </c>
      <c r="W13" s="259" t="str">
        <f t="shared" si="43"/>
        <v/>
      </c>
      <c r="X13" s="259" t="str">
        <f t="shared" si="44"/>
        <v/>
      </c>
      <c r="Y13" s="259">
        <f>IF(W13="",0,MAX($Y$2:Y12)+1)</f>
        <v>0</v>
      </c>
      <c r="Z13" s="259" t="str">
        <f>IFERROR(INDEX($W$3:$Y$220,MATCH(ROWS($Z$2:Z12),$Y$3:$Y$220,0),1),"")</f>
        <v>02.02</v>
      </c>
      <c r="AA13" s="259" t="str">
        <f t="shared" si="45"/>
        <v>IMPIANTI E MACCHINARI</v>
      </c>
      <c r="AB13" s="259" t="str">
        <f t="shared" si="46"/>
        <v>E</v>
      </c>
      <c r="AC13" s="259" t="str">
        <f t="shared" si="47"/>
        <v>D</v>
      </c>
      <c r="AD13" s="259" t="str">
        <f t="shared" si="48"/>
        <v>COSTI PLURIENNALI</v>
      </c>
      <c r="AE13" s="259" t="str">
        <f t="shared" si="49"/>
        <v>SP DARE</v>
      </c>
      <c r="AF13" s="259" t="str">
        <f t="shared" si="50"/>
        <v>IMMOBILIZZAZIONI MATERIALI</v>
      </c>
      <c r="AG13" s="259">
        <f t="shared" ca="1" si="51"/>
        <v>1</v>
      </c>
      <c r="AH13" s="259">
        <f t="shared" ca="1" si="52"/>
        <v>1</v>
      </c>
      <c r="AI13" s="259">
        <f t="shared" ca="1" si="53"/>
        <v>1</v>
      </c>
      <c r="AJ13" s="259" t="str">
        <f t="shared" si="54"/>
        <v>02</v>
      </c>
      <c r="AK13" s="259" t="str">
        <f t="shared" si="55"/>
        <v>02</v>
      </c>
      <c r="AL13" s="259">
        <f>IF(AK13&lt;&gt;"",MAX($AL$2:AL12)+1,0)</f>
        <v>2</v>
      </c>
      <c r="AM13" s="259" t="str">
        <f>IFERROR(INDEX($AK$3:$AL$220,MATCH(ROWS($AM$3:AM13),$AL$3:$AL$220,0),1),"")</f>
        <v>12</v>
      </c>
      <c r="AN13" s="259" t="str">
        <f t="shared" si="56"/>
        <v>12.00</v>
      </c>
      <c r="AO13" s="259" t="str">
        <f t="shared" si="57"/>
        <v>TRATTAMENTO FINE RAPPORTO</v>
      </c>
      <c r="AP13" s="259" t="str">
        <f t="shared" si="58"/>
        <v>IMMOBILIZZAZIONI MATERIALI</v>
      </c>
      <c r="AQ13" s="259">
        <f ca="1">IF(OR(AG13=0,AG13=""),0,MAX(AQ$2:AQ12)+1)</f>
        <v>6</v>
      </c>
      <c r="AR13" s="259">
        <f ca="1">IF(OR(AH13=0,AH13=""),0,MAX(AR$2:AR12)+1)</f>
        <v>8</v>
      </c>
      <c r="AS13" s="259">
        <f ca="1">IF(OR(AI13=0,AI13=""),0,MAX(AS$2:AS12)+1)</f>
        <v>11</v>
      </c>
      <c r="AT13" s="259" t="str">
        <f ca="1">IFERROR(INDEX($AD$3:$AS$220,MATCH(ROWS(AT$3:AT13),AQ$3:AQ$220,0),1),"")</f>
        <v>COSTI PLURIENNALI</v>
      </c>
      <c r="AU13" s="259" t="str">
        <f ca="1">IFERROR(INDEX($AD$3:$AS$220,MATCH(ROWS(AU$3:AU13),AR$3:AR$220,0),1),"")</f>
        <v>COSTI PLURIENNALI</v>
      </c>
      <c r="AV13" s="259" t="str">
        <f ca="1">IFERROR(INDEX($AD$3:$AS$220,MATCH(ROWS(AV$3:AV13),AS$3:AS$220,0),1),"")</f>
        <v>COSTI PLURIENNALI</v>
      </c>
      <c r="AW13" s="259" t="str">
        <f ca="1">IFERROR(INDEX($AP$3:$AS$220,MATCH(ROWS(AW$3:AW13),AQ$3:AQ$220,0),1),"")</f>
        <v>IMMOBILIZZAZIONI MATERIALI</v>
      </c>
      <c r="AX13" s="259" t="str">
        <f ca="1">IFERROR(INDEX($AP$3:$AS$220,MATCH(ROWS(AX$3:AX13),AR$3:AR$220,0),1),"")</f>
        <v>IMMOBILIZZAZIONI MATERIALI</v>
      </c>
      <c r="AY13" s="259" t="str">
        <f ca="1">IFERROR(INDEX($AP$3:$AS$220,MATCH(ROWS(AY$3:AY13),AS$3:AS$220,0),1),"")</f>
        <v>IMMOBILIZZAZIONI MATERIALI</v>
      </c>
      <c r="AZ13" s="276" t="str">
        <f t="shared" ca="1" si="59"/>
        <v/>
      </c>
      <c r="BA13" s="259">
        <f t="shared" ca="1" si="3"/>
        <v>0</v>
      </c>
      <c r="BB13" s="259">
        <f ca="1">IFERROR(INDEX($FG$3:$FL$400,MATCH(ROWS($BB$3:BB13),$FL$3:$FL$400,0),1),0)</f>
        <v>0</v>
      </c>
      <c r="BC13" s="259" t="str">
        <f t="shared" ca="1" si="60"/>
        <v/>
      </c>
      <c r="BD13" s="259">
        <f ca="1">IFERROR(INDEX($FG$3:$FL$400,MATCH(ROWS($BD$3:BD13),$FL$3:$FL$400,0),4),0)</f>
        <v>0</v>
      </c>
      <c r="BE13" s="259">
        <f ca="1">IFERROR(INDEX($FG$3:$FL$400,MATCH(ROWS($BE$3:BE13),$FL$3:$FL$400,0),5),0)</f>
        <v>0</v>
      </c>
      <c r="BG13" s="259" t="str">
        <f t="shared" si="4"/>
        <v/>
      </c>
      <c r="BH13" s="259">
        <f ca="1">IF(IFERROR(MATCH(BG13,DENOMINAZIONE_GIORNALE,0),0)&gt;0,MAX(BH$2:BH12)+1,0)</f>
        <v>0</v>
      </c>
      <c r="BI13" s="259" t="str">
        <f ca="1">IFERROR(INDEX($BG$3:$BH$220,MATCH(ROWS($BI$3:BI13),$BH$3:$BH$220,0),1),"")</f>
        <v/>
      </c>
      <c r="BJ13" s="259" t="str">
        <f t="shared" ca="1" si="5"/>
        <v/>
      </c>
      <c r="BK13" s="259" t="str">
        <f ca="1">IF(IF(BJ13&lt;&gt;"",MAX($BK$2:BK12)+1,0)=0,"",IF(BJ13&lt;&gt;"",MAX($BK$2:BK12)+1,0))</f>
        <v/>
      </c>
      <c r="BL13" s="259" t="str">
        <f ca="1">IFERROR(INDEX($T$3:$U$220, MATCH(ROWS(BL$3:BL13),$V$3:$V$220,0),1),"")</f>
        <v/>
      </c>
      <c r="BM13" s="259" t="str">
        <f ca="1">IFERROR(INDEX($T$3:$U$220, MATCH(ROWS(BM$3:BM13),$V$3:$V$220,0),2),"")</f>
        <v/>
      </c>
      <c r="BN13" s="259" t="str">
        <f ca="1">IF(IFERROR(INDEX($BI$3:$BJ$220,MATCH(ROWS(BN$3:BN13),$BK$3:$BK$220,0),1),"")="PATRIMONIO NETTO","",IFERROR(INDEX($BI$3:$BJ$220,MATCH(ROWS(BN$3:BN13),$BK$3:$BK$220,0),1),""))</f>
        <v/>
      </c>
      <c r="BO13" s="259" t="str">
        <f ca="1">IFERROR(INDEX($BI$3:$BJ$220,MATCH(ROWS(BO$3:BO13),$BK$3:$BK$220,0),2),"")</f>
        <v/>
      </c>
      <c r="BP13" s="259">
        <f ca="1">IF(BN13&lt;&gt;"",MAX(BP$2:$BP12)+1,0)</f>
        <v>0</v>
      </c>
      <c r="BQ13" s="259" t="str">
        <f ca="1">IFERROR(INDEX($BN$3:$BO$200,MATCH(ROWS(BQ$3:BQ13),$BP$3:$BP$220,0),1),"")</f>
        <v/>
      </c>
      <c r="BR13" s="259" t="str">
        <f ca="1">IFERROR(INDEX($BN$3:$BO$220,MATCH(ROWS(BR$3:BR13),$BP$3:$BP$220,0),2),"")</f>
        <v/>
      </c>
      <c r="BS13" s="259" t="str">
        <f ca="1">IFERROR(IF(OR(INDEX($T$3:$U$220,MATCH(ROWS(BL$3:BL13),$V$3:$V$220,0),1)="PRELEVAMENTI EXTRAGESTIONE",INDEX($T$3:$U$220,MATCH(ROWS(BL$3:BL13),$V$3:$V$220,0),1)="TITOLARE C/RITENUTE SUBITE"),"",INDEX($T$3:$U$220,MATCH(ROWS(BL$3:BL13),$V$3:$V$220,0),1)),"")</f>
        <v/>
      </c>
      <c r="BT13" s="259">
        <f t="shared" ca="1" si="61"/>
        <v>0</v>
      </c>
      <c r="BU13" s="259">
        <f ca="1">IF(BS13&lt;&gt;"",MAX(BU$2:BU12)+1,0)</f>
        <v>0</v>
      </c>
      <c r="BV13" s="259" t="str">
        <f ca="1">IFERROR(INDEX($BS$3:$BT$223,MATCH(ROWS(BV$3:BV13),$BU$3:$BU$223,0),1),"")</f>
        <v/>
      </c>
      <c r="BW13" s="259">
        <f t="shared" ca="1" si="62"/>
        <v>0</v>
      </c>
      <c r="BX13" s="259" t="str">
        <f t="shared" ca="1" si="63"/>
        <v/>
      </c>
      <c r="BY13" s="259" t="str">
        <f t="shared" ca="1" si="64"/>
        <v/>
      </c>
      <c r="BZ13" s="259" t="str">
        <f ca="1">IFERROR(IF(OR($DS$231&lt;&gt;$DT$231,$DU$231&lt;&gt;$DV$231,$EO$25&lt;&gt;0,$EO$26&lt;&gt;0),INDEX($T$3:$V$220,MATCH(ROWS($BV$3:BV13),$V$3:$V$220,0),1),CONCATENATE(BV13,BY13)),"")</f>
        <v/>
      </c>
      <c r="CA13" s="259">
        <f t="shared" ca="1" si="65"/>
        <v>0</v>
      </c>
      <c r="CB13" s="259" t="str">
        <f ca="1">IFERROR(IF(OR($BB$1&lt;&gt;$BD$1,$BC$1&lt;&gt;$BE$1,$DS$231&lt;&gt;$DT$231,$DU$231&lt;&gt;$DV$231,$EO$25&lt;&gt;0,$EO$26&lt;&gt;0),INDEX($BI$3:$BK$220,MATCH(ROWS($CB$3:CB13),$BK$3:$BK$220,0),1),CONCATENATE(BQ13,BX13)),"")</f>
        <v/>
      </c>
      <c r="CC13" s="259" t="str">
        <f t="shared" ca="1" si="66"/>
        <v/>
      </c>
      <c r="CD13" s="259" t="str">
        <f t="shared" si="6"/>
        <v/>
      </c>
      <c r="CE13" s="259">
        <f ca="1">IF(IFERROR(MATCH(CD13,DENOMINAZIONE_GIORNALE,0),0)&gt;0,MAX(CE$2:CE12)+1,0)</f>
        <v>0</v>
      </c>
      <c r="CF13" s="259" t="str">
        <f ca="1">IFERROR(INDEX($CD$3:$CE$220,MATCH(ROWS($CF$3:CF13),$CE$3:$CE$220,0),1),"")</f>
        <v/>
      </c>
      <c r="CG13" s="259">
        <f t="shared" ca="1" si="7"/>
        <v>0</v>
      </c>
      <c r="CH13" s="259" t="str">
        <f ca="1">IF(IF(CG13&lt;&gt;0,MAX($CH$2:CH12)+1,0)=0,"",IF(CG13&lt;&gt;"",MAX($CH$2:CH12)+1,0))</f>
        <v/>
      </c>
      <c r="CI13" s="259" t="str">
        <f ca="1">IFERROR(INDEX($CF$3:$CG$220,MATCH(ROWS($CI$3:CI13),$CH$3:$CH$220,0),1),"")</f>
        <v/>
      </c>
      <c r="CJ13" s="259" t="str">
        <f t="shared" ca="1" si="67"/>
        <v/>
      </c>
      <c r="CK13" s="259" t="str">
        <f t="shared" si="8"/>
        <v/>
      </c>
      <c r="CL13" s="259">
        <f ca="1">IF(IFERROR(MATCH(CK13,DENOMINAZIONE_GIORNALE,0),0)&gt;0,MAX(CL$2:CL12)+1,0)</f>
        <v>0</v>
      </c>
      <c r="CM13" s="259" t="str">
        <f ca="1">IFERROR(INDEX($CK$3:$CL$220,MATCH(ROWS($CM$3:CM13),$CL$3:$CL$220,0),1),"")</f>
        <v/>
      </c>
      <c r="CN13" s="259" t="str">
        <f t="shared" ca="1" si="9"/>
        <v/>
      </c>
      <c r="CO13" s="259">
        <f ca="1">IF(IF(CN13&lt;&gt;0,MAX($CO$2:CO12)+1,0)=0,"",IF(CN13&lt;&gt;"",MAX($CO$2:CO12)+1,0))</f>
        <v>0</v>
      </c>
      <c r="CP13" s="259" t="str">
        <f ca="1">IFERROR(INDEX($CM$3:$CN$220,MATCH(ROWS(CP$3:CP13),$CO$3:$CO$220,0),1),"")</f>
        <v/>
      </c>
      <c r="CQ13" s="259" t="str">
        <f ca="1">IFERROR(INDEX($CM$3:$CN$220,MATCH(ROWS(CQ$3:CQ13),$CO$3:$CO$220,0),2),"")</f>
        <v/>
      </c>
      <c r="CR13" s="259" t="str">
        <f t="shared" ca="1" si="10"/>
        <v/>
      </c>
      <c r="CS13" s="259">
        <f t="shared" ca="1" si="11"/>
        <v>0</v>
      </c>
      <c r="CT13" s="259">
        <f t="shared" ca="1" si="12"/>
        <v>0</v>
      </c>
      <c r="CU13" s="259">
        <f ca="1">IF(OR(CS13&gt;0,CT13&gt;0),MAX($CU$2:CU12)+1,0)</f>
        <v>0</v>
      </c>
      <c r="CV13" s="259" t="str">
        <f ca="1">IFERROR(INDEX(PIANO_DEI_CONTI,MATCH(ROWS($CV$3:CV13),$CU$3:$CU$200,0),2),"")</f>
        <v/>
      </c>
      <c r="CW13" s="259">
        <f ca="1">IFERROR(IF(CV13&lt;&gt;"",MAX($CW$2:CW12)+1,0),0)</f>
        <v>0</v>
      </c>
      <c r="CX13" s="259">
        <f t="shared" ca="1" si="68"/>
        <v>1</v>
      </c>
      <c r="CY13" s="259" t="str">
        <f t="shared" ca="1" si="13"/>
        <v>MASTRO</v>
      </c>
      <c r="CZ13" s="259" t="e">
        <f t="shared" ca="1" si="131"/>
        <v>#N/A</v>
      </c>
      <c r="DA13" s="259" t="str">
        <f t="shared" ca="1" si="140"/>
        <v/>
      </c>
      <c r="DB13" s="259" t="str">
        <f t="shared" ca="1" si="132"/>
        <v/>
      </c>
      <c r="DC13" s="259" t="str">
        <f t="shared" ca="1" si="133"/>
        <v/>
      </c>
      <c r="DD13" s="259" t="str">
        <f t="shared" ca="1" si="134"/>
        <v/>
      </c>
      <c r="DE13" s="259" t="str">
        <f t="shared" ca="1" si="135"/>
        <v/>
      </c>
      <c r="DF13" s="259">
        <f ca="1">IF(AND(CX13=$DE$2,$DF$2&lt;&gt;0),0,IF(AND(DB13&lt;&gt;"",OR(DB12&lt;&gt;"",DB14&lt;&gt;"")),MAX($DF$2:DF12)+1,0))</f>
        <v>0</v>
      </c>
      <c r="DG13" s="259" t="str">
        <f>IF(OR(VALORI_INIZIALI!E18="",AND(VALORI_INIZIALI!E18&lt;&gt;"",VALORI_INIZIALI!H18=0,VALORI_INIZIALI!I18=0)),"",IFERROR(INDEX(PIANO_DEI_CONTI,MATCH(BB13,DENOMINAZIONE,0),1),0))</f>
        <v/>
      </c>
      <c r="DH13" s="259">
        <f ca="1">IFERROR(IF($J$1=1,IF(INDEX(PIANO_DEI_CONTI,MATCH($K13,DENOMINAZIONE,0),5)=$DF$1,MAX($DH$2:DH12)+1,0),IF($J$1=2,IF(INDEX(PIANO_DEI_CONTI,MATCH($K13,DENOMINAZIONE,0),7)=$DF$1,MAX($DH$2:DH12)+1,0))),0)</f>
        <v>0</v>
      </c>
      <c r="DI13" s="259">
        <f ca="1">IFERROR(INDEX($K$3:$K$220,MATCH(ROWS($DI$3:DI13),$DH$3:$DH$220,0),1),0)</f>
        <v>0</v>
      </c>
      <c r="DJ13" s="259">
        <f t="shared" ca="1" si="14"/>
        <v>0</v>
      </c>
      <c r="DK13" s="259">
        <f ca="1">IF(DJ13=0,0,MAX(DK$2:DK12)+1)</f>
        <v>0</v>
      </c>
      <c r="DL13" s="259">
        <f ca="1">IFERROR(INDEX(PIANO_DEI_CONTI,MATCH(ROWS(DL$3:DL13),$DK$3:DK240,0),2),0)</f>
        <v>0</v>
      </c>
      <c r="DM13" s="259">
        <f t="shared" ca="1" si="15"/>
        <v>0</v>
      </c>
      <c r="DN13" s="259">
        <f t="shared" ca="1" si="16"/>
        <v>0</v>
      </c>
      <c r="DO13" s="259">
        <f t="shared" ca="1" si="69"/>
        <v>0</v>
      </c>
      <c r="DP13" s="259">
        <f t="shared" ca="1" si="70"/>
        <v>0</v>
      </c>
      <c r="DQ13" s="259">
        <f ca="1">IF(OR($DQ$1="TOTALI",$DQ$1="TOTALI ED ECCEDENZE"),IF(OR(DM13&gt;0,DN13&gt;0),MAX(DQ$2:DQ12)+1,0),IF($DQ$1="ECCEDENZE",IF(OR(DO13&gt;0,DP13&gt;0),MAX(DQ$2:DQ12)+1,0),""))</f>
        <v>0</v>
      </c>
      <c r="DR13" s="259" t="str">
        <f ca="1">IFERROR(INDEX($DL$3:$DQ$230,MATCH(ROWS(DR$3:DR13),$DQ$3:$DQ$230,0),1),"")</f>
        <v/>
      </c>
      <c r="DS13" s="259" t="str">
        <f t="shared" ca="1" si="71"/>
        <v/>
      </c>
      <c r="DT13" s="259" t="str">
        <f t="shared" ca="1" si="72"/>
        <v/>
      </c>
      <c r="DU13" s="259" t="str">
        <f t="shared" ca="1" si="73"/>
        <v/>
      </c>
      <c r="DV13" s="259" t="str">
        <f t="shared" ca="1" si="74"/>
        <v/>
      </c>
      <c r="DW13" s="259">
        <f t="shared" ca="1" si="75"/>
        <v>0</v>
      </c>
      <c r="DX13" s="259" t="str">
        <f t="shared" ca="1" si="76"/>
        <v/>
      </c>
      <c r="DY13" s="259" t="str">
        <f t="shared" ca="1" si="77"/>
        <v/>
      </c>
      <c r="DZ13" s="259" t="str">
        <f t="shared" ca="1" si="78"/>
        <v/>
      </c>
      <c r="EA13" s="259">
        <f t="shared" ca="1" si="79"/>
        <v>11</v>
      </c>
      <c r="EB13" s="259" t="s">
        <v>349</v>
      </c>
      <c r="ED13" s="259">
        <f t="shared" ca="1" si="17"/>
        <v>0</v>
      </c>
      <c r="EE13" s="259" t="str">
        <f t="shared" ca="1" si="18"/>
        <v/>
      </c>
      <c r="EF13" s="259" t="str">
        <f t="shared" ca="1" si="19"/>
        <v/>
      </c>
      <c r="EG13" s="259" t="str">
        <f t="shared" ca="1" si="136"/>
        <v/>
      </c>
      <c r="EH13" s="259" t="str">
        <f t="shared" ca="1" si="80"/>
        <v/>
      </c>
      <c r="EI13" s="260" t="b">
        <f t="shared" ca="1" si="137"/>
        <v>0</v>
      </c>
      <c r="EJ13" s="260" t="b">
        <f t="shared" ca="1" si="138"/>
        <v>0</v>
      </c>
      <c r="EK13" s="260" t="b">
        <f t="shared" ca="1" si="139"/>
        <v>0</v>
      </c>
      <c r="EL13" s="259">
        <f t="shared" si="81"/>
        <v>11</v>
      </c>
      <c r="EM13" s="259">
        <f ca="1">IF(AND(BA13&gt;0,BA13&lt;=$EM$1),MAX($EM$2:EM12)+1,0)</f>
        <v>0</v>
      </c>
      <c r="EN13" s="259">
        <f t="shared" ca="1" si="82"/>
        <v>13</v>
      </c>
      <c r="EO13" s="260"/>
      <c r="EP13" s="259" t="str">
        <f t="shared" ca="1" si="20"/>
        <v/>
      </c>
      <c r="EQ13" s="259">
        <f t="shared" ca="1" si="21"/>
        <v>0</v>
      </c>
      <c r="ER13" s="259">
        <f ca="1">IF(ISNA(EQ13),MAX(ER$2:ER12)+1,0)</f>
        <v>0</v>
      </c>
      <c r="ES13" s="259" t="str">
        <f t="shared" ca="1" si="83"/>
        <v/>
      </c>
      <c r="ET13" s="259" t="str">
        <f ca="1">IFERROR(UPPER(INDEX($ER$3:$ES$500,MATCH(ROWS(ET$3:ET13),$ER$3:$ER$500,0),2)),"")</f>
        <v/>
      </c>
      <c r="EU13" s="259" t="s">
        <v>444</v>
      </c>
      <c r="EV13" s="259">
        <f ca="1">IF(ABS(SUM($FB$103:$FB$400)-SUM($FC$103:$FC$400))&gt;0,MAX(COPIA!EV3:EV12)+1,0)</f>
        <v>0</v>
      </c>
      <c r="EW13" s="259" t="str">
        <f ca="1">IF(AND(IFERROR(INDEX($EU$3:$EV$30,MATCH(ROWS($EX$3:EX13),$EV$3:$EV$30,0),1),"")&lt;&gt;"",EW14&lt;&gt;""),CONCATENATE(IFERROR(INDEX($EU$3:$EV$30,MATCH(ROWS($EX$3:EX13),$EV$3:$EV$30,0),1),"")," - "),IFERROR(INDEX($EU$3:$EV$30,MATCH(ROWS($EX$3:EX13),$EV$3:$EV$30,0),1),""))</f>
        <v/>
      </c>
      <c r="EY13" s="259">
        <f t="shared" ca="1" si="84"/>
        <v>0</v>
      </c>
      <c r="EZ13" s="259">
        <f t="shared" ca="1" si="84"/>
        <v>0</v>
      </c>
      <c r="FA13" s="259" t="str">
        <f t="shared" ca="1" si="85"/>
        <v/>
      </c>
      <c r="FB13" s="259">
        <f t="shared" ca="1" si="86"/>
        <v>0</v>
      </c>
      <c r="FC13" s="259">
        <f t="shared" ca="1" si="87"/>
        <v>0</v>
      </c>
      <c r="FD13" s="259">
        <f t="shared" ca="1" si="22"/>
        <v>0</v>
      </c>
      <c r="FE13" s="259" t="str">
        <f t="shared" ca="1" si="23"/>
        <v/>
      </c>
      <c r="FF13" s="259" t="str">
        <f t="shared" ca="1" si="88"/>
        <v/>
      </c>
      <c r="FG13" s="259" t="str">
        <f t="shared" si="89"/>
        <v>IMPIANTI E MACCHINARI</v>
      </c>
      <c r="FH13" s="259">
        <f t="shared" ca="1" si="24"/>
        <v>0</v>
      </c>
      <c r="FI13" s="259">
        <f t="shared" ca="1" si="25"/>
        <v>0</v>
      </c>
      <c r="FJ13" s="259">
        <f t="shared" ca="1" si="90"/>
        <v>0</v>
      </c>
      <c r="FK13" s="259">
        <f t="shared" ca="1" si="91"/>
        <v>0</v>
      </c>
      <c r="FL13" s="259">
        <f ca="1">IF(OR(FJ13&gt;0,FK13&gt;0),MAX($FL$2:FL12)+1,0)</f>
        <v>0</v>
      </c>
      <c r="FM13" s="259">
        <f t="shared" ca="1" si="26"/>
        <v>0</v>
      </c>
      <c r="FN13" s="259">
        <f ca="1">IF(FM13&lt;0,MAX($FN$2:FN12)+1,0)</f>
        <v>0</v>
      </c>
      <c r="FO13" s="259" t="str">
        <f t="shared" ca="1" si="92"/>
        <v/>
      </c>
      <c r="FP13" s="259" t="str">
        <f ca="1">IFERROR(INDEX($FN$3:$FO$400,MATCH(ROWS($FP$3:FP13),$FN$3:$FN$400,0),2),"")</f>
        <v/>
      </c>
      <c r="FQ13" s="259" t="str">
        <f>IF(AE13="SE AVERE",MAX($FQ$2:FQ12)+1,"")</f>
        <v/>
      </c>
      <c r="FR13" s="259" t="str">
        <f>IF(AE13="SE DARE",MAX($FR$2:FR12)+1,"")</f>
        <v/>
      </c>
      <c r="FS13" s="259">
        <f ca="1">IF(AND(AE13="SP DARE",AA13&lt;&gt;$FS$1,AA13&lt;&gt;$FT$1),MAX($FS$2:FS12)+1,IF(AND(GQ13="SP DARE",AA13&lt;&gt;$FS$1,AA13&lt;&gt;$FT$1),MAX($FS$2:FS12)+1,""))</f>
        <v>96</v>
      </c>
      <c r="FT13" s="259" t="str">
        <f ca="1">IF(AND(AE13="SP AVERE",AA13&lt;&gt;$FU$1),MAX($FT$2:FT12)+1,IF(AND(GQ13="SP AVERE",AA13&lt;&gt;$FU$1),MAX($FT$2:FT12)+1,""))</f>
        <v/>
      </c>
      <c r="FU13" s="259">
        <f t="shared" ca="1" si="93"/>
        <v>96</v>
      </c>
      <c r="FV13" s="259" t="str">
        <f t="shared" si="94"/>
        <v>IMPIANTI E MACCHINARI</v>
      </c>
      <c r="FW13" s="259" t="str">
        <f ca="1">IFERROR(INDEX($FU$3:$FV$500,MATCH(ROWS($FW$3:FW13),$FU$3:$FU$500,0),2),0)</f>
        <v>RESI SU ACQUISTI</v>
      </c>
      <c r="FX13" s="259">
        <f t="shared" ca="1" si="95"/>
        <v>11</v>
      </c>
      <c r="FY13" s="259">
        <f t="shared" ca="1" si="96"/>
        <v>0</v>
      </c>
      <c r="FZ13" s="259">
        <f ca="1">IF(FY13&gt;0,MAX($FZ$2:FZ12)+1,0)</f>
        <v>0</v>
      </c>
      <c r="GA13" s="259">
        <f ca="1">IFERROR(INDEX($FY$3:$FZ$500,MATCH(ROWS($GA$3:GA13),$FZ$3:$FZ$500,0),1),0)</f>
        <v>85</v>
      </c>
      <c r="GB13" s="259" t="s">
        <v>4</v>
      </c>
      <c r="GC13" s="259">
        <f t="shared" ca="1" si="97"/>
        <v>11</v>
      </c>
      <c r="GD13" s="259" t="str">
        <f t="shared" ca="1" si="98"/>
        <v>RESI SU ACQUISTI</v>
      </c>
      <c r="GE13" s="259">
        <f ca="1">GF14</f>
        <v>0</v>
      </c>
      <c r="GG13" s="259">
        <f t="shared" ca="1" si="27"/>
        <v>0</v>
      </c>
      <c r="GH13" s="259">
        <f t="shared" ca="1" si="99"/>
        <v>0</v>
      </c>
      <c r="GI13" s="259">
        <f t="shared" ca="1" si="100"/>
        <v>0</v>
      </c>
      <c r="GJ13" s="259">
        <f t="shared" ca="1" si="101"/>
        <v>0</v>
      </c>
      <c r="GK13" s="259">
        <f t="shared" ca="1" si="102"/>
        <v>0</v>
      </c>
      <c r="GL13" s="259">
        <f t="shared" ca="1" si="103"/>
        <v>0</v>
      </c>
      <c r="GM13" s="259">
        <f ca="1">IF(OR(GK13&gt;0,GL13&gt;0),MAX($GM$2:GM12)+1,0)</f>
        <v>0</v>
      </c>
      <c r="GN13" s="259" t="str">
        <f ca="1">IFERROR(INDEX($GD$3:$GM$400,MATCH(ROWS($GN$3:GN13),$GM$3:$GM$400,0),1),"")</f>
        <v/>
      </c>
      <c r="GO13" s="259" t="str">
        <f ca="1">IFERROR(INDEX($GD$3:$GM$400,MATCH(ROWS($GO$3:GO13),$GM$3:$GM$400,0),8),"")</f>
        <v/>
      </c>
      <c r="GP13" s="259" t="str">
        <f ca="1">IFERROR(INDEX($GD$3:$GM$400,MATCH(ROWS($GP$3:GP13),$GM$3:$GM$400,0),9),"")</f>
        <v/>
      </c>
      <c r="GQ13" s="259">
        <f t="shared" ca="1" si="28"/>
        <v>0</v>
      </c>
      <c r="GR13" s="259">
        <f t="shared" ca="1" si="104"/>
        <v>0</v>
      </c>
      <c r="GS13" s="259" t="str">
        <f t="shared" si="105"/>
        <v>epilogo a Conto economico</v>
      </c>
      <c r="GT13" s="259" t="str">
        <f ca="1">IFERROR(INDEX($GD$3:$GS$400,MATCH(ROWS($GT$3:GT13),$GM$3:$GM$400,0),16),"")</f>
        <v/>
      </c>
      <c r="GU13" s="259">
        <f ca="1">IF(GQ13&lt;&gt;0,MAX($GU$2:$GU12)+1,0)</f>
        <v>0</v>
      </c>
      <c r="GV13" s="259">
        <f t="shared" ca="1" si="106"/>
        <v>0</v>
      </c>
      <c r="GW13" s="259" t="str">
        <f ca="1">IF(AND(IFERROR(INDEX($GU$3:$GV$400,MATCH(ROWS($GW$3:GW13),$GU$3:$GU$400,0),2),"")&lt;&gt;"",GW14&lt;&gt;""),CONCATENATE(IFERROR(INDEX($GU$3:$GV$400,MATCH(ROWS($GW$3:GW13),$GU$3:$GU$400,0),2),"")," - "),IFERROR(INDEX($GU$3:$GV$400,MATCH(ROWS($GW$3:GW13),$GU$3:$GU$400,0),2),""))</f>
        <v/>
      </c>
      <c r="GX13" s="259">
        <f ca="1">IF(OR(GN13="IVA NS/CREDITO",GN13="IVA NS/DEBITO",GN13="IVA C/ACCONTO",GN13="IMPOSTE C/ACCONTO"),MAX($GX$2:GX12)+1,0)</f>
        <v>0</v>
      </c>
      <c r="GY13" s="259" t="str">
        <f ca="1">IF(AND(IFERROR(INDEX($GN$3:$GX$200,MATCH(ROWS($GY$3:GY13),$GX$3:$GX$200,0),1),"")&lt;&gt;"",GY14&lt;&gt;""),CONCATENATE(IFERROR(INDEX($GN$3:$GX$200,MATCH(ROWS($GY$3:GY13),$GX$3:$GX$200,0),1),"")," - "),IFERROR(INDEX($GN$3:$GX$200,MATCH(ROWS($GY$3:GY13),$GX$3:$GX$200,0),1),""))</f>
        <v/>
      </c>
      <c r="GZ13" s="259" t="s">
        <v>21</v>
      </c>
      <c r="HA13" s="270" t="s">
        <v>20</v>
      </c>
      <c r="HB13" s="271"/>
      <c r="HL13" s="259" t="str">
        <f t="shared" ca="1" si="29"/>
        <v/>
      </c>
      <c r="HM13" s="259" t="str">
        <f t="shared" ca="1" si="30"/>
        <v/>
      </c>
      <c r="HN13" s="259" t="str">
        <f t="shared" ca="1" si="31"/>
        <v/>
      </c>
      <c r="HO13" s="259">
        <f ca="1">IF(HL13&lt;&gt;"",MAX($HO$2:HO12)+1,0)</f>
        <v>0</v>
      </c>
      <c r="HP13" s="259">
        <f ca="1">IF(HM13&lt;&gt;"",MAX($HP$2:HP12)+1,0)</f>
        <v>0</v>
      </c>
      <c r="HQ13" s="259">
        <f ca="1">IF(HN13&lt;&gt;"",MAX($HQ$2:HQ12)+1,0)</f>
        <v>0</v>
      </c>
      <c r="HR13" s="259" t="str">
        <f t="shared" ca="1" si="107"/>
        <v/>
      </c>
      <c r="HS13" s="259" t="str">
        <f t="shared" ca="1" si="108"/>
        <v/>
      </c>
      <c r="HT13" s="259">
        <f t="shared" ca="1" si="109"/>
        <v>0</v>
      </c>
      <c r="HU13" s="259">
        <f t="shared" ca="1" si="110"/>
        <v>0</v>
      </c>
      <c r="HV13" s="259" t="str">
        <f ca="1">CONCATENATE(IFERROR(INDEX($HS$3:$HT$102,MATCH(ROWS($HV$3:HV13),$HT$3:$HT$102,0),1),""),HR13)</f>
        <v/>
      </c>
      <c r="IB13" s="259" t="str">
        <f ca="1">CONCATENATE("_______di cui esigibili oltre l'esercizio ",FIXED(INDIRECT(ADDRESS(4,5,1,,"BILANCIO")),2,0))</f>
        <v>_______di cui esigibili oltre l'esercizio 0,00</v>
      </c>
      <c r="IC13" s="259">
        <f ca="1">IFERROR(INDEX(PIANO_DEI_CONTI,MATCH(ROWS(DL$3:DL13),$DK$3:DK240,0),2),0)</f>
        <v>0</v>
      </c>
      <c r="ID13" s="259">
        <f t="shared" ca="1" si="111"/>
        <v>0</v>
      </c>
      <c r="IE13" s="259">
        <f t="shared" ca="1" si="112"/>
        <v>0</v>
      </c>
      <c r="IF13" s="259">
        <f t="shared" ca="1" si="113"/>
        <v>0</v>
      </c>
      <c r="IG13" s="259">
        <f ca="1">IF(IH13&gt;0,"",0)</f>
        <v>0</v>
      </c>
      <c r="IH13" s="259">
        <f ca="1">IF(AND(INDIRECT(ADDRESS(4,5,,,"BILANCIO"))&gt;0,INDIRECT(ADDRESS(4,5,,,"BILANCIO"))&lt;=IG12),IH12+1,0)</f>
        <v>0</v>
      </c>
      <c r="II13" s="259">
        <f>IF(AD13="costi pluriennali",MAX($II$2:II12)+1,0)</f>
        <v>6</v>
      </c>
      <c r="IJ13" s="259">
        <f>IF($AD13="rettifiche costi pluriennali",MAX($IJ$2:IJ12)+1,0)</f>
        <v>0</v>
      </c>
      <c r="IK13" s="259">
        <f t="shared" si="114"/>
        <v>6</v>
      </c>
      <c r="IL13" s="259" t="str">
        <f t="shared" si="115"/>
        <v>IMPIANTI E MACCHINARI</v>
      </c>
      <c r="IM13" s="259">
        <f t="shared" ca="1" si="116"/>
        <v>0</v>
      </c>
      <c r="IN13" s="259">
        <f t="shared" ca="1" si="141"/>
        <v>0</v>
      </c>
      <c r="IO13" s="259">
        <f ca="1">SUMIFS($IM$3:$IM$200,$IK$3:$IK$200,ROWS($IO$3:IO13))-SUMIFS($IN$3:$IN$200,$IK$3:$IK$200,ROWS($IO$3:IO13))</f>
        <v>0</v>
      </c>
      <c r="IP13" s="259" t="str">
        <f ca="1">IF(IO13&lt;0,INDEX($IJ$3:$IL$200,MATCH(ROWS($IP$3:IP13),$IJ$3:$IJ$200,0),3),"")</f>
        <v/>
      </c>
      <c r="IQ13" s="259">
        <f ca="1">IF(IP13&lt;&gt;"",MAX($IQ$2:IQ12)+1,0)</f>
        <v>0</v>
      </c>
      <c r="IR13" s="259" t="str">
        <f ca="1">IFERROR(INDEX($IP$3:$IQ$200,MATCH(ROWS($IR$3:IR13),$IQ$3:$IQ$200,0),1),"")</f>
        <v/>
      </c>
      <c r="IS13" s="259" t="str">
        <f t="shared" ca="1" si="117"/>
        <v/>
      </c>
      <c r="IT13" s="259" t="str">
        <f t="shared" ca="1" si="118"/>
        <v/>
      </c>
      <c r="IU13" s="259" t="str">
        <f t="shared" ca="1" si="119"/>
        <v/>
      </c>
      <c r="IV13" s="259" t="str">
        <f t="shared" ca="1" si="120"/>
        <v/>
      </c>
      <c r="IW13" s="259" t="str">
        <f t="shared" ca="1" si="121"/>
        <v/>
      </c>
      <c r="IX13" s="259" t="str">
        <f t="shared" ca="1" si="122"/>
        <v/>
      </c>
      <c r="IY13" s="259" t="str">
        <f t="shared" ca="1" si="123"/>
        <v/>
      </c>
      <c r="IZ13" s="259" t="str">
        <f t="shared" ca="1" si="124"/>
        <v/>
      </c>
      <c r="JA13" s="259" t="str">
        <f t="shared" ca="1" si="125"/>
        <v/>
      </c>
      <c r="JB13" s="259">
        <f t="shared" ca="1" si="32"/>
        <v>0</v>
      </c>
      <c r="JC13" s="259">
        <f t="shared" ca="1" si="126"/>
        <v>0</v>
      </c>
      <c r="JE13" s="259">
        <f ca="1">IFERROR(INDEX(LIBRO_GIORNALE!$N$11:$O$408,MATCH(ROWS($JE$2:JE12),LIBRO_GIORNALE!$O$11:$O$408,0),1),0)</f>
        <v>0</v>
      </c>
      <c r="JF13" s="259" t="str">
        <f t="shared" ca="1" si="127"/>
        <v>0</v>
      </c>
      <c r="JG13" s="259">
        <f t="shared" ca="1" si="128"/>
        <v>0</v>
      </c>
      <c r="JH13" s="259">
        <f ca="1">IF(JJ13&gt;0,0,MAX($JH$2:JH12)+1)</f>
        <v>11</v>
      </c>
      <c r="JI13" s="259">
        <f ca="1">IF(JG13&gt;0,MAX($JI$2:JI12)+1,0)</f>
        <v>0</v>
      </c>
      <c r="JJ13" s="259">
        <f ca="1">IFERROR(INDEX($JG$3:$JI$124,MATCH(ROWS($JJ$3:JJ13),$JI$3:$JI$124,0),1),0)</f>
        <v>0</v>
      </c>
      <c r="JK13" s="259">
        <f t="shared" ca="1" si="129"/>
        <v>0</v>
      </c>
      <c r="JL13" s="259">
        <f t="shared" ca="1" si="130"/>
        <v>11</v>
      </c>
      <c r="JM13" s="259">
        <v>10</v>
      </c>
    </row>
    <row r="14" spans="1:273">
      <c r="A14" s="259" t="str">
        <f t="shared" si="33"/>
        <v>02.01</v>
      </c>
      <c r="B14" s="259" t="str">
        <f t="shared" si="34"/>
        <v>FABBRICATI</v>
      </c>
      <c r="C14" s="259" t="str">
        <f t="shared" si="35"/>
        <v>E</v>
      </c>
      <c r="D14" s="259" t="str">
        <f t="shared" si="36"/>
        <v>D</v>
      </c>
      <c r="E14" s="259" t="str">
        <f t="shared" si="37"/>
        <v>COSTI PLURIENNALI</v>
      </c>
      <c r="F14" s="259" t="str">
        <f t="shared" si="38"/>
        <v>SP DARE</v>
      </c>
      <c r="G14" s="259">
        <f t="shared" ca="1" si="39"/>
        <v>1</v>
      </c>
      <c r="H14" s="259">
        <f t="shared" ca="1" si="40"/>
        <v>1</v>
      </c>
      <c r="I14" s="259">
        <f t="shared" ca="1" si="41"/>
        <v>1</v>
      </c>
      <c r="J14" s="259">
        <v>11</v>
      </c>
      <c r="K14" s="259" t="str">
        <f ca="1">IFERROR(IF($I$1=1,INDEX($AA$3:$AS$220,MATCH(ROWS($K$3:K14),$AQ$3:$AQ$220,0),1),IF($I$1=2,INDEX($AA$3:$AS$220,MATCH(ROWS($K$3:K14),$AR$3:$AR$220,0),1),IF($I$1=3,INDEX($AA$3:$AS$220,MATCH(ROWS($K$3:K14),$AS$3:$AS$220,0),1),""))),"")</f>
        <v>ATTREZZATURE COMMERCIALI</v>
      </c>
      <c r="L14" s="259">
        <f ca="1">IF(AND($L$1="VISUALIZZA TUTTI I CONTI",K14&lt;&gt;""),MAX(L13:L13)+1,IFERROR(IF($J$1=1,IF(INDEX(PIANO_DEI_CONTI,MATCH($K14,DENOMINAZIONE,0),5)=$L$1,MAX($L$2:L13)+1,0),IF($J$1=2,IF(INDEX(PIANO_DEI_CONTI,MATCH($K14,DENOMINAZIONE,0),7)=$L$1,MAX($L$2:L13)+1,0))),0))</f>
        <v>12</v>
      </c>
      <c r="M14" s="259" t="str">
        <f ca="1">IFERROR(INDEX($K$3:$K$220,MATCH(ROWS($M$3:M14),$L$3:$L$220,0),1),"")</f>
        <v>ATTREZZATURE COMMERCIALI</v>
      </c>
      <c r="N14" s="259" t="s">
        <v>7</v>
      </c>
      <c r="O14" s="259" t="str">
        <f t="shared" ca="1" si="42"/>
        <v/>
      </c>
      <c r="P14" s="259">
        <f ca="1">IF(AND(N14=O14,O14&lt;&gt;""),MAX(P$2:P13)+1,0)</f>
        <v>0</v>
      </c>
      <c r="Q14" s="259" t="str">
        <f ca="1">IF(IFERROR(INDEX($O$3:$P$220,MATCH(ROWS(Q$3:Q14),$P$3:$P$220,0),1),"")=0,"",IFERROR(INDEX($O$3:$P$220,MATCH(ROWS(Q$3:Q14),$P$3:$P$220,0),1),""))</f>
        <v>TRATTAMENTO FINE RAPPORTO</v>
      </c>
      <c r="R14" s="259" t="str">
        <f t="shared" si="1"/>
        <v>ATTREZZATURE COMMERCIALI</v>
      </c>
      <c r="S14" s="259">
        <f ca="1">IF(IFERROR(MATCH(R14,DENOMINAZIONE_GIORNALE,0),0)&gt;0,MAX(S$2:S13)+1,0)</f>
        <v>0</v>
      </c>
      <c r="T14" s="259" t="str">
        <f ca="1">IFERROR(INDEX($R$3:$S$220,MATCH(ROWS($T$3:T14),$S$3:$S$220,0),1),"")</f>
        <v/>
      </c>
      <c r="U14" s="259">
        <f t="shared" ca="1" si="2"/>
        <v>0</v>
      </c>
      <c r="V14" s="259">
        <f ca="1">IF(IF(U14&lt;&gt;0,MAX($V$2:V13)+1,0)=0,0,IF(U14&lt;&gt;0,MAX($V$2:V13)+1,0))</f>
        <v>0</v>
      </c>
      <c r="W14" s="259" t="str">
        <f t="shared" si="43"/>
        <v>02.01</v>
      </c>
      <c r="X14" s="259" t="str">
        <f t="shared" si="44"/>
        <v>FABBRICATI</v>
      </c>
      <c r="Y14" s="259">
        <f>IF(W14="",0,MAX($Y$2:Y13)+1)</f>
        <v>10</v>
      </c>
      <c r="Z14" s="259" t="str">
        <f>IFERROR(INDEX($W$3:$Y$220,MATCH(ROWS($Z$2:Z13),$Y$3:$Y$220,0),1),"")</f>
        <v>02.04</v>
      </c>
      <c r="AA14" s="259" t="str">
        <f t="shared" si="45"/>
        <v>ATTREZZATURE COMMERCIALI</v>
      </c>
      <c r="AB14" s="259" t="str">
        <f t="shared" si="46"/>
        <v>E</v>
      </c>
      <c r="AC14" s="259" t="str">
        <f t="shared" si="47"/>
        <v>D</v>
      </c>
      <c r="AD14" s="259" t="str">
        <f t="shared" si="48"/>
        <v>COSTI PLURIENNALI</v>
      </c>
      <c r="AE14" s="259" t="str">
        <f t="shared" si="49"/>
        <v>SP DARE</v>
      </c>
      <c r="AF14" s="259" t="str">
        <f t="shared" si="50"/>
        <v>IMMOBILIZZAZIONI MATERIALI</v>
      </c>
      <c r="AG14" s="259">
        <f t="shared" ca="1" si="51"/>
        <v>1</v>
      </c>
      <c r="AH14" s="259">
        <f t="shared" ca="1" si="52"/>
        <v>1</v>
      </c>
      <c r="AI14" s="259">
        <f t="shared" ca="1" si="53"/>
        <v>1</v>
      </c>
      <c r="AJ14" s="259" t="str">
        <f t="shared" si="54"/>
        <v>02</v>
      </c>
      <c r="AK14" s="259" t="str">
        <f t="shared" si="55"/>
        <v/>
      </c>
      <c r="AL14" s="259">
        <f>IF(AK14&lt;&gt;"",MAX($AL$2:AL13)+1,0)</f>
        <v>0</v>
      </c>
      <c r="AM14" s="259" t="str">
        <f>IFERROR(INDEX($AK$3:$AL$220,MATCH(ROWS($AM$3:AM14),$AL$3:$AL$220,0),1),"")</f>
        <v>13</v>
      </c>
      <c r="AN14" s="259" t="str">
        <f t="shared" si="56"/>
        <v>13.00</v>
      </c>
      <c r="AO14" s="259" t="str">
        <f t="shared" si="57"/>
        <v>DEBITI FINANZIARI</v>
      </c>
      <c r="AP14" s="259" t="str">
        <f t="shared" si="58"/>
        <v>IMMOBILIZZAZIONI MATERIALI</v>
      </c>
      <c r="AQ14" s="259">
        <f ca="1">IF(OR(AG14=0,AG14=""),0,MAX(AQ$2:AQ13)+1)</f>
        <v>7</v>
      </c>
      <c r="AR14" s="259">
        <f ca="1">IF(OR(AH14=0,AH14=""),0,MAX(AR$2:AR13)+1)</f>
        <v>9</v>
      </c>
      <c r="AS14" s="259">
        <f ca="1">IF(OR(AI14=0,AI14=""),0,MAX(AS$2:AS13)+1)</f>
        <v>12</v>
      </c>
      <c r="AT14" s="259" t="str">
        <f ca="1">IFERROR(INDEX($AD$3:$AS$220,MATCH(ROWS(AT$3:AT14),AQ$3:AQ$220,0),1),"")</f>
        <v>CREDITI</v>
      </c>
      <c r="AU14" s="259" t="str">
        <f ca="1">IFERROR(INDEX($AD$3:$AS$220,MATCH(ROWS(AU$3:AU14),AR$3:AR$220,0),1),"")</f>
        <v>COSTI PLURIENNALI</v>
      </c>
      <c r="AV14" s="259" t="str">
        <f ca="1">IFERROR(INDEX($AD$3:$AS$220,MATCH(ROWS(AV$3:AV14),AS$3:AS$220,0),1),"")</f>
        <v>COSTI PLURIENNALI</v>
      </c>
      <c r="AW14" s="259" t="str">
        <f ca="1">IFERROR(INDEX($AP$3:$AS$220,MATCH(ROWS(AW$3:AW14),AQ$3:AQ$220,0),1),"")</f>
        <v>IMMOBILIZZAZIONI MATERIALI</v>
      </c>
      <c r="AX14" s="259" t="str">
        <f ca="1">IFERROR(INDEX($AP$3:$AS$220,MATCH(ROWS(AX$3:AX14),AR$3:AR$220,0),1),"")</f>
        <v>IMMOBILIZZAZIONI MATERIALI</v>
      </c>
      <c r="AY14" s="259" t="str">
        <f ca="1">IFERROR(INDEX($AP$3:$AS$220,MATCH(ROWS(AY$3:AY14),AS$3:AS$220,0),1),"")</f>
        <v>IMMOBILIZZAZIONI MATERIALI</v>
      </c>
      <c r="AZ14" s="276" t="str">
        <f t="shared" ca="1" si="59"/>
        <v/>
      </c>
      <c r="BA14" s="259">
        <f t="shared" ca="1" si="3"/>
        <v>0</v>
      </c>
      <c r="BB14" s="259">
        <f ca="1">IFERROR(INDEX($FG$3:$FL$400,MATCH(ROWS($BB$3:BB14),$FL$3:$FL$400,0),1),0)</f>
        <v>0</v>
      </c>
      <c r="BC14" s="259" t="str">
        <f t="shared" ca="1" si="60"/>
        <v/>
      </c>
      <c r="BD14" s="259">
        <f ca="1">IFERROR(INDEX($FG$3:$FL$400,MATCH(ROWS($BD$3:BD14),$FL$3:$FL$400,0),4),0)</f>
        <v>0</v>
      </c>
      <c r="BE14" s="259">
        <f ca="1">IFERROR(INDEX($FG$3:$FL$400,MATCH(ROWS($BE$3:BE14),$FL$3:$FL$400,0),5),0)</f>
        <v>0</v>
      </c>
      <c r="BG14" s="259" t="str">
        <f t="shared" si="4"/>
        <v/>
      </c>
      <c r="BH14" s="259">
        <f ca="1">IF(IFERROR(MATCH(BG14,DENOMINAZIONE_GIORNALE,0),0)&gt;0,MAX(BH$2:BH13)+1,0)</f>
        <v>0</v>
      </c>
      <c r="BI14" s="259" t="str">
        <f ca="1">IFERROR(INDEX($BG$3:$BH$220,MATCH(ROWS($BI$3:BI14),$BH$3:$BH$220,0),1),"")</f>
        <v/>
      </c>
      <c r="BJ14" s="259" t="str">
        <f t="shared" ca="1" si="5"/>
        <v/>
      </c>
      <c r="BK14" s="259" t="str">
        <f ca="1">IF(IF(BJ14&lt;&gt;"",MAX($BK$2:BK13)+1,0)=0,"",IF(BJ14&lt;&gt;"",MAX($BK$2:BK13)+1,0))</f>
        <v/>
      </c>
      <c r="BL14" s="259" t="str">
        <f ca="1">IFERROR(INDEX($T$3:$U$220, MATCH(ROWS(BL$3:BL14),$V$3:$V$220,0),1),"")</f>
        <v/>
      </c>
      <c r="BM14" s="259" t="str">
        <f ca="1">IFERROR(INDEX($T$3:$U$220, MATCH(ROWS(BM$3:BM14),$V$3:$V$220,0),2),"")</f>
        <v/>
      </c>
      <c r="BN14" s="259" t="str">
        <f ca="1">IF(IFERROR(INDEX($BI$3:$BJ$220,MATCH(ROWS(BN$3:BN14),$BK$3:$BK$220,0),1),"")="PATRIMONIO NETTO","",IFERROR(INDEX($BI$3:$BJ$220,MATCH(ROWS(BN$3:BN14),$BK$3:$BK$220,0),1),""))</f>
        <v/>
      </c>
      <c r="BO14" s="259" t="str">
        <f ca="1">IFERROR(INDEX($BI$3:$BJ$220,MATCH(ROWS(BO$3:BO14),$BK$3:$BK$220,0),2),"")</f>
        <v/>
      </c>
      <c r="BP14" s="259">
        <f ca="1">IF(BN14&lt;&gt;"",MAX(BP$2:$BP13)+1,0)</f>
        <v>0</v>
      </c>
      <c r="BQ14" s="259" t="str">
        <f ca="1">IFERROR(INDEX($BN$3:$BO$200,MATCH(ROWS(BQ$3:BQ14),$BP$3:$BP$220,0),1),"")</f>
        <v/>
      </c>
      <c r="BR14" s="259" t="str">
        <f ca="1">IFERROR(INDEX($BN$3:$BO$220,MATCH(ROWS(BR$3:BR14),$BP$3:$BP$220,0),2),"")</f>
        <v/>
      </c>
      <c r="BS14" s="259" t="str">
        <f ca="1">IFERROR(IF(OR(INDEX($T$3:$U$220,MATCH(ROWS(BL$3:BL14),$V$3:$V$220,0),1)="PRELEVAMENTI EXTRAGESTIONE",INDEX($T$3:$U$220,MATCH(ROWS(BL$3:BL14),$V$3:$V$220,0),1)="TITOLARE C/RITENUTE SUBITE"),"",INDEX($T$3:$U$220,MATCH(ROWS(BL$3:BL14),$V$3:$V$220,0),1)),"")</f>
        <v/>
      </c>
      <c r="BT14" s="259">
        <f t="shared" ca="1" si="61"/>
        <v>0</v>
      </c>
      <c r="BU14" s="259">
        <f ca="1">IF(BS14&lt;&gt;"",MAX(BU$2:BU13)+1,0)</f>
        <v>0</v>
      </c>
      <c r="BV14" s="259" t="str">
        <f ca="1">IFERROR(INDEX($BS$3:$BT$223,MATCH(ROWS(BV$3:BV14),$BU$3:$BU$223,0),1),"")</f>
        <v/>
      </c>
      <c r="BW14" s="259">
        <f t="shared" ca="1" si="62"/>
        <v>0</v>
      </c>
      <c r="BX14" s="259" t="str">
        <f t="shared" ca="1" si="63"/>
        <v/>
      </c>
      <c r="BY14" s="259" t="str">
        <f t="shared" ca="1" si="64"/>
        <v/>
      </c>
      <c r="BZ14" s="259" t="str">
        <f ca="1">IFERROR(IF(OR($DS$231&lt;&gt;$DT$231,$DU$231&lt;&gt;$DV$231,$EO$25&lt;&gt;0,$EO$26&lt;&gt;0),INDEX($T$3:$V$220,MATCH(ROWS($BV$3:BV14),$V$3:$V$220,0),1),CONCATENATE(BV14,BY14)),"")</f>
        <v/>
      </c>
      <c r="CA14" s="259">
        <f t="shared" ca="1" si="65"/>
        <v>0</v>
      </c>
      <c r="CB14" s="259" t="str">
        <f ca="1">IFERROR(IF(OR($BB$1&lt;&gt;$BD$1,$BC$1&lt;&gt;$BE$1,$DS$231&lt;&gt;$DT$231,$DU$231&lt;&gt;$DV$231,$EO$25&lt;&gt;0,$EO$26&lt;&gt;0),INDEX($BI$3:$BK$220,MATCH(ROWS($CB$3:CB14),$BK$3:$BK$220,0),1),CONCATENATE(BQ14,BX14)),"")</f>
        <v/>
      </c>
      <c r="CC14" s="259" t="str">
        <f t="shared" ca="1" si="66"/>
        <v/>
      </c>
      <c r="CD14" s="259" t="str">
        <f t="shared" si="6"/>
        <v/>
      </c>
      <c r="CE14" s="259">
        <f ca="1">IF(IFERROR(MATCH(CD14,DENOMINAZIONE_GIORNALE,0),0)&gt;0,MAX(CE$2:CE13)+1,0)</f>
        <v>0</v>
      </c>
      <c r="CF14" s="259" t="str">
        <f ca="1">IFERROR(INDEX($CD$3:$CE$220,MATCH(ROWS($CF$3:CF14),$CE$3:$CE$220,0),1),"")</f>
        <v/>
      </c>
      <c r="CG14" s="259">
        <f t="shared" ca="1" si="7"/>
        <v>0</v>
      </c>
      <c r="CH14" s="259" t="str">
        <f ca="1">IF(IF(CG14&lt;&gt;0,MAX($CH$2:CH13)+1,0)=0,"",IF(CG14&lt;&gt;"",MAX($CH$2:CH13)+1,0))</f>
        <v/>
      </c>
      <c r="CI14" s="259" t="str">
        <f ca="1">IFERROR(INDEX($CF$3:$CG$220,MATCH(ROWS($CI$3:CI14),$CH$3:$CH$220,0),1),"")</f>
        <v/>
      </c>
      <c r="CJ14" s="259" t="str">
        <f t="shared" ca="1" si="67"/>
        <v/>
      </c>
      <c r="CK14" s="259" t="str">
        <f t="shared" si="8"/>
        <v/>
      </c>
      <c r="CL14" s="259">
        <f ca="1">IF(IFERROR(MATCH(CK14,DENOMINAZIONE_GIORNALE,0),0)&gt;0,MAX(CL$2:CL13)+1,0)</f>
        <v>0</v>
      </c>
      <c r="CM14" s="259" t="str">
        <f ca="1">IFERROR(INDEX($CK$3:$CL$220,MATCH(ROWS($CM$3:CM14),$CL$3:$CL$220,0),1),"")</f>
        <v/>
      </c>
      <c r="CN14" s="259" t="str">
        <f t="shared" ca="1" si="9"/>
        <v/>
      </c>
      <c r="CO14" s="259">
        <f ca="1">IF(IF(CN14&lt;&gt;0,MAX($CO$2:CO13)+1,0)=0,"",IF(CN14&lt;&gt;"",MAX($CO$2:CO13)+1,0))</f>
        <v>0</v>
      </c>
      <c r="CP14" s="259" t="str">
        <f ca="1">IFERROR(INDEX($CM$3:$CN$220,MATCH(ROWS(CP$3:CP14),$CO$3:$CO$220,0),1),"")</f>
        <v/>
      </c>
      <c r="CQ14" s="259" t="str">
        <f ca="1">IFERROR(INDEX($CM$3:$CN$220,MATCH(ROWS(CQ$3:CQ14),$CO$3:$CO$220,0),2),"")</f>
        <v/>
      </c>
      <c r="CR14" s="259" t="str">
        <f t="shared" ca="1" si="10"/>
        <v/>
      </c>
      <c r="CS14" s="259">
        <f t="shared" ca="1" si="11"/>
        <v>0</v>
      </c>
      <c r="CT14" s="259">
        <f t="shared" ca="1" si="12"/>
        <v>0</v>
      </c>
      <c r="CU14" s="259">
        <f ca="1">IF(OR(CS14&gt;0,CT14&gt;0),MAX($CU$2:CU13)+1,0)</f>
        <v>0</v>
      </c>
      <c r="CV14" s="259" t="str">
        <f ca="1">IFERROR(INDEX(PIANO_DEI_CONTI,MATCH(ROWS($CV$3:CV14),$CU$3:$CU$200,0),2),"")</f>
        <v/>
      </c>
      <c r="CW14" s="259">
        <f ca="1">IFERROR(IF(CV14&lt;&gt;"",MAX($CW$2:CW13)+1,0),0)</f>
        <v>0</v>
      </c>
      <c r="CX14" s="259">
        <f t="shared" ca="1" si="68"/>
        <v>1</v>
      </c>
      <c r="CY14" s="259" t="str">
        <f t="shared" ca="1" si="13"/>
        <v>MASTRO</v>
      </c>
      <c r="CZ14" s="259" t="e">
        <f t="shared" ca="1" si="131"/>
        <v>#N/A</v>
      </c>
      <c r="DA14" s="259" t="str">
        <f t="shared" ca="1" si="140"/>
        <v/>
      </c>
      <c r="DB14" s="259" t="str">
        <f t="shared" ca="1" si="132"/>
        <v/>
      </c>
      <c r="DC14" s="259" t="str">
        <f t="shared" ca="1" si="133"/>
        <v/>
      </c>
      <c r="DD14" s="259" t="str">
        <f t="shared" ca="1" si="134"/>
        <v/>
      </c>
      <c r="DE14" s="259" t="str">
        <f t="shared" ca="1" si="135"/>
        <v/>
      </c>
      <c r="DF14" s="259">
        <f ca="1">IF(AND(CX14=$DE$2,$DF$2&lt;&gt;0),0,IF(AND(DB14&lt;&gt;"",OR(DB13&lt;&gt;"",DB15&lt;&gt;"")),MAX($DF$2:DF13)+1,0))</f>
        <v>0</v>
      </c>
      <c r="DG14" s="259" t="str">
        <f>IF(OR(VALORI_INIZIALI!E19="",AND(VALORI_INIZIALI!E19&lt;&gt;"",VALORI_INIZIALI!H19=0,VALORI_INIZIALI!I19=0)),"",IFERROR(INDEX(PIANO_DEI_CONTI,MATCH(BB14,DENOMINAZIONE,0),1),0))</f>
        <v/>
      </c>
      <c r="DH14" s="259">
        <f ca="1">IFERROR(IF($J$1=1,IF(INDEX(PIANO_DEI_CONTI,MATCH($K14,DENOMINAZIONE,0),5)=$DF$1,MAX($DH$2:DH13)+1,0),IF($J$1=2,IF(INDEX(PIANO_DEI_CONTI,MATCH($K14,DENOMINAZIONE,0),7)=$DF$1,MAX($DH$2:DH13)+1,0))),0)</f>
        <v>0</v>
      </c>
      <c r="DI14" s="259">
        <f ca="1">IFERROR(INDEX($K$3:$K$220,MATCH(ROWS($DI$3:DI14),$DH$3:$DH$220,0),1),0)</f>
        <v>0</v>
      </c>
      <c r="DJ14" s="259">
        <f t="shared" ca="1" si="14"/>
        <v>0</v>
      </c>
      <c r="DK14" s="259">
        <f ca="1">IF(DJ14=0,0,MAX(DK$2:DK13)+1)</f>
        <v>0</v>
      </c>
      <c r="DL14" s="259">
        <f ca="1">IFERROR(INDEX(PIANO_DEI_CONTI,MATCH(ROWS(DL$3:DL14),$DK$3:DK241,0),2),0)</f>
        <v>0</v>
      </c>
      <c r="DM14" s="259">
        <f t="shared" ca="1" si="15"/>
        <v>0</v>
      </c>
      <c r="DN14" s="259">
        <f t="shared" ca="1" si="16"/>
        <v>0</v>
      </c>
      <c r="DO14" s="259">
        <f t="shared" ca="1" si="69"/>
        <v>0</v>
      </c>
      <c r="DP14" s="259">
        <f t="shared" ca="1" si="70"/>
        <v>0</v>
      </c>
      <c r="DQ14" s="259">
        <f ca="1">IF(OR($DQ$1="TOTALI",$DQ$1="TOTALI ED ECCEDENZE"),IF(OR(DM14&gt;0,DN14&gt;0),MAX(DQ$2:DQ13)+1,0),IF($DQ$1="ECCEDENZE",IF(OR(DO14&gt;0,DP14&gt;0),MAX(DQ$2:DQ13)+1,0),""))</f>
        <v>0</v>
      </c>
      <c r="DR14" s="259" t="str">
        <f ca="1">IFERROR(INDEX($DL$3:$DQ$230,MATCH(ROWS(DR$3:DR14),$DQ$3:$DQ$230,0),1),"")</f>
        <v/>
      </c>
      <c r="DS14" s="259" t="str">
        <f t="shared" ca="1" si="71"/>
        <v/>
      </c>
      <c r="DT14" s="259" t="str">
        <f t="shared" ca="1" si="72"/>
        <v/>
      </c>
      <c r="DU14" s="259" t="str">
        <f t="shared" ca="1" si="73"/>
        <v/>
      </c>
      <c r="DV14" s="259" t="str">
        <f t="shared" ca="1" si="74"/>
        <v/>
      </c>
      <c r="DW14" s="259">
        <f t="shared" ca="1" si="75"/>
        <v>0</v>
      </c>
      <c r="DX14" s="259" t="str">
        <f t="shared" ca="1" si="76"/>
        <v/>
      </c>
      <c r="DY14" s="259" t="str">
        <f t="shared" ca="1" si="77"/>
        <v/>
      </c>
      <c r="DZ14" s="259" t="str">
        <f t="shared" ca="1" si="78"/>
        <v/>
      </c>
      <c r="EA14" s="259">
        <f t="shared" ca="1" si="79"/>
        <v>12</v>
      </c>
      <c r="EB14" s="259" t="s">
        <v>349</v>
      </c>
      <c r="ED14" s="259">
        <f t="shared" ca="1" si="17"/>
        <v>0</v>
      </c>
      <c r="EE14" s="259" t="str">
        <f t="shared" ca="1" si="18"/>
        <v/>
      </c>
      <c r="EF14" s="259" t="str">
        <f t="shared" ca="1" si="19"/>
        <v/>
      </c>
      <c r="EG14" s="259" t="str">
        <f t="shared" ca="1" si="136"/>
        <v/>
      </c>
      <c r="EH14" s="259" t="str">
        <f t="shared" ca="1" si="80"/>
        <v/>
      </c>
      <c r="EI14" s="260" t="b">
        <f t="shared" ca="1" si="137"/>
        <v>1</v>
      </c>
      <c r="EJ14" s="260" t="b">
        <f t="shared" ca="1" si="138"/>
        <v>1</v>
      </c>
      <c r="EK14" s="260" t="b">
        <f t="shared" ca="1" si="139"/>
        <v>1</v>
      </c>
      <c r="EL14" s="259">
        <f t="shared" si="81"/>
        <v>12</v>
      </c>
      <c r="EM14" s="259">
        <f ca="1">IF(AND(BA14&gt;0,BA14&lt;=$EM$1),MAX($EM$2:EM13)+1,0)</f>
        <v>0</v>
      </c>
      <c r="EN14" s="259">
        <f t="shared" ca="1" si="82"/>
        <v>14</v>
      </c>
      <c r="EP14" s="259" t="str">
        <f t="shared" ca="1" si="20"/>
        <v/>
      </c>
      <c r="EQ14" s="259">
        <f t="shared" ca="1" si="21"/>
        <v>0</v>
      </c>
      <c r="ER14" s="259">
        <f ca="1">IF(ISNA(EQ14),MAX(ER$2:ER13)+1,0)</f>
        <v>0</v>
      </c>
      <c r="ES14" s="259" t="str">
        <f t="shared" ca="1" si="83"/>
        <v/>
      </c>
      <c r="ET14" s="259" t="str">
        <f ca="1">IFERROR(UPPER(INDEX($ER$3:$ES$500,MATCH(ROWS(ET$3:ET14),$ER$3:$ER$500,0),2)),"")</f>
        <v/>
      </c>
      <c r="EU14" s="259" t="s">
        <v>453</v>
      </c>
      <c r="EV14" s="259">
        <f ca="1">IF(ABS(SUM($FB$3:$FB$102)-SUM($FC$3:$FC$102))&gt;0,MAX(COPIA!$EV$3:EV13)+1,0)</f>
        <v>0</v>
      </c>
      <c r="EW14" s="259" t="str">
        <f ca="1">IF(AND(IFERROR(INDEX($EU$3:$EV$30,MATCH(ROWS($EX$3:EX14),$EV$3:$EV$30,0),1),"")&lt;&gt;"",EW15&lt;&gt;""),CONCATENATE(IFERROR(INDEX($EU$3:$EV$30,MATCH(ROWS($EX$3:EX14),$EV$3:$EV$30,0),1),"")," - "),IFERROR(INDEX($EU$3:$EV$30,MATCH(ROWS($EX$3:EX14),$EV$3:$EV$30,0),1),""))</f>
        <v/>
      </c>
      <c r="EY14" s="259">
        <f t="shared" ca="1" si="84"/>
        <v>0</v>
      </c>
      <c r="EZ14" s="259">
        <f t="shared" ca="1" si="84"/>
        <v>0</v>
      </c>
      <c r="FA14" s="259" t="str">
        <f t="shared" ca="1" si="85"/>
        <v/>
      </c>
      <c r="FB14" s="259">
        <f t="shared" ca="1" si="86"/>
        <v>0</v>
      </c>
      <c r="FC14" s="259">
        <f t="shared" ca="1" si="87"/>
        <v>0</v>
      </c>
      <c r="FD14" s="259">
        <f t="shared" ca="1" si="22"/>
        <v>0</v>
      </c>
      <c r="FE14" s="259" t="str">
        <f t="shared" ca="1" si="23"/>
        <v/>
      </c>
      <c r="FF14" s="259" t="str">
        <f t="shared" ca="1" si="88"/>
        <v/>
      </c>
      <c r="FG14" s="259" t="str">
        <f t="shared" si="89"/>
        <v>ATTREZZATURE COMMERCIALI</v>
      </c>
      <c r="FH14" s="259">
        <f t="shared" ca="1" si="24"/>
        <v>0</v>
      </c>
      <c r="FI14" s="259">
        <f t="shared" ca="1" si="25"/>
        <v>0</v>
      </c>
      <c r="FJ14" s="259">
        <f t="shared" ca="1" si="90"/>
        <v>0</v>
      </c>
      <c r="FK14" s="259">
        <f t="shared" ca="1" si="91"/>
        <v>0</v>
      </c>
      <c r="FL14" s="259">
        <f ca="1">IF(OR(FJ14&gt;0,FK14&gt;0),MAX($FL$2:FL13)+1,0)</f>
        <v>0</v>
      </c>
      <c r="FM14" s="259">
        <f t="shared" ca="1" si="26"/>
        <v>0</v>
      </c>
      <c r="FN14" s="259">
        <f ca="1">IF(FM14&lt;0,MAX($FN$2:FN13)+1,0)</f>
        <v>0</v>
      </c>
      <c r="FO14" s="259" t="str">
        <f t="shared" ca="1" si="92"/>
        <v/>
      </c>
      <c r="FP14" s="259" t="str">
        <f ca="1">IFERROR(INDEX($FN$3:$FO$400,MATCH(ROWS($FP$3:FP14),$FN$3:$FN$400,0),2),"")</f>
        <v/>
      </c>
      <c r="FQ14" s="259" t="str">
        <f>IF(AE14="SE AVERE",MAX($FQ$2:FQ13)+1,"")</f>
        <v/>
      </c>
      <c r="FR14" s="259" t="str">
        <f>IF(AE14="SE DARE",MAX($FR$2:FR13)+1,"")</f>
        <v/>
      </c>
      <c r="FS14" s="259">
        <f ca="1">IF(AND(AE14="SP DARE",AA14&lt;&gt;$FS$1,AA14&lt;&gt;$FT$1),MAX($FS$2:FS13)+1,IF(AND(GQ14="SP DARE",AA14&lt;&gt;$FS$1,AA14&lt;&gt;$FT$1),MAX($FS$2:FS13)+1,""))</f>
        <v>97</v>
      </c>
      <c r="FT14" s="259" t="str">
        <f ca="1">IF(AND(AE14="SP AVERE",AA14&lt;&gt;$FU$1),MAX($FT$2:FT13)+1,IF(AND(GQ14="SP AVERE",AA14&lt;&gt;$FU$1),MAX($FT$2:FT13)+1,""))</f>
        <v/>
      </c>
      <c r="FU14" s="259">
        <f t="shared" ca="1" si="93"/>
        <v>97</v>
      </c>
      <c r="FV14" s="259" t="str">
        <f t="shared" si="94"/>
        <v>ATTREZZATURE COMMERCIALI</v>
      </c>
      <c r="FW14" s="259" t="str">
        <f ca="1">IFERROR(INDEX($FU$3:$FV$500,MATCH(ROWS($FW$3:FW14),$FU$3:$FU$500,0),2),0)</f>
        <v>RIBASSI E ABBUONI ATTIVI</v>
      </c>
      <c r="FX14" s="259">
        <f t="shared" ca="1" si="95"/>
        <v>12</v>
      </c>
      <c r="FY14" s="259">
        <f t="shared" ca="1" si="96"/>
        <v>0</v>
      </c>
      <c r="FZ14" s="259">
        <f ca="1">IF(FY14&gt;0,MAX($FZ$2:FZ13)+1,0)</f>
        <v>0</v>
      </c>
      <c r="GA14" s="259">
        <f ca="1">IFERROR(INDEX($FY$3:$FZ$500,MATCH(ROWS($GA$3:GA14),$FZ$3:$FZ$500,0),1),0)</f>
        <v>86</v>
      </c>
      <c r="GB14" s="259" t="str">
        <f>FS1</f>
        <v>PRELEVAMENTI EXTRAGESTIONE</v>
      </c>
      <c r="GC14" s="259">
        <f t="shared" ca="1" si="97"/>
        <v>12</v>
      </c>
      <c r="GD14" s="259" t="str">
        <f t="shared" ca="1" si="98"/>
        <v>RIBASSI E ABBUONI ATTIVI</v>
      </c>
      <c r="GF14" s="259">
        <f ca="1">IFERROR(INDEX($T$3:$U$500,MATCH(GB14,$T$3:$T$500,0),2),0)</f>
        <v>0</v>
      </c>
      <c r="GG14" s="259">
        <f t="shared" ca="1" si="27"/>
        <v>0</v>
      </c>
      <c r="GH14" s="259">
        <f t="shared" ca="1" si="99"/>
        <v>0</v>
      </c>
      <c r="GI14" s="259">
        <f t="shared" ca="1" si="100"/>
        <v>0</v>
      </c>
      <c r="GJ14" s="259">
        <f t="shared" ca="1" si="101"/>
        <v>0</v>
      </c>
      <c r="GK14" s="259">
        <f t="shared" ca="1" si="102"/>
        <v>0</v>
      </c>
      <c r="GL14" s="259">
        <f t="shared" ca="1" si="103"/>
        <v>0</v>
      </c>
      <c r="GM14" s="259">
        <f ca="1">IF(OR(GK14&gt;0,GL14&gt;0),MAX($GM$2:GM13)+1,0)</f>
        <v>0</v>
      </c>
      <c r="GN14" s="259" t="str">
        <f ca="1">IFERROR(INDEX($GD$3:$GM$400,MATCH(ROWS($GN$3:GN14),$GM$3:$GM$400,0),1),"")</f>
        <v/>
      </c>
      <c r="GO14" s="259" t="str">
        <f ca="1">IFERROR(INDEX($GD$3:$GM$400,MATCH(ROWS($GO$3:GO14),$GM$3:$GM$400,0),8),"")</f>
        <v/>
      </c>
      <c r="GP14" s="259" t="str">
        <f ca="1">IFERROR(INDEX($GD$3:$GM$400,MATCH(ROWS($GP$3:GP14),$GM$3:$GM$400,0),9),"")</f>
        <v/>
      </c>
      <c r="GQ14" s="259">
        <f t="shared" ca="1" si="28"/>
        <v>0</v>
      </c>
      <c r="GR14" s="259">
        <f t="shared" ca="1" si="104"/>
        <v>0</v>
      </c>
      <c r="GS14" s="259" t="str">
        <f t="shared" si="105"/>
        <v>epilogo a Conto economico</v>
      </c>
      <c r="GT14" s="259" t="str">
        <f ca="1">IFERROR(INDEX($GD$3:$GS$400,MATCH(ROWS($GT$3:GT14),$GM$3:$GM$400,0),16),"")</f>
        <v/>
      </c>
      <c r="GU14" s="259">
        <f ca="1">IF(GQ14&lt;&gt;0,MAX($GU$2:$GU13)+1,0)</f>
        <v>0</v>
      </c>
      <c r="GV14" s="259">
        <f t="shared" ca="1" si="106"/>
        <v>0</v>
      </c>
      <c r="GW14" s="259" t="str">
        <f ca="1">IF(AND(IFERROR(INDEX($GU$3:$GV$400,MATCH(ROWS($GW$3:GW14),$GU$3:$GU$400,0),2),"")&lt;&gt;"",GW15&lt;&gt;""),CONCATENATE(IFERROR(INDEX($GU$3:$GV$400,MATCH(ROWS($GW$3:GW14),$GU$3:$GU$400,0),2),"")," - "),IFERROR(INDEX($GU$3:$GV$400,MATCH(ROWS($GW$3:GW14),$GU$3:$GU$400,0),2),""))</f>
        <v/>
      </c>
      <c r="GX14" s="259">
        <f ca="1">IF(OR(GN14="IVA NS/CREDITO",GN14="IVA NS/DEBITO",GN14="IVA C/ACCONTO",GN14="IMPOSTE C/ACCONTO"),MAX($GX$2:GX13)+1,0)</f>
        <v>0</v>
      </c>
      <c r="GY14" s="259" t="str">
        <f ca="1">IF(AND(IFERROR(INDEX($GN$3:$GX$200,MATCH(ROWS($GY$3:GY14),$GX$3:$GX$200,0),1),"")&lt;&gt;"",GY15&lt;&gt;""),CONCATENATE(IFERROR(INDEX($GN$3:$GX$200,MATCH(ROWS($GY$3:GY14),$GX$3:$GX$200,0),1),"")," - "),IFERROR(INDEX($GN$3:$GX$200,MATCH(ROWS($GY$3:GY14),$GX$3:$GX$200,0),1),""))</f>
        <v/>
      </c>
      <c r="GZ14" s="259" t="s">
        <v>28</v>
      </c>
      <c r="HA14" s="259" t="s">
        <v>22</v>
      </c>
      <c r="HB14" s="271" t="s">
        <v>256</v>
      </c>
      <c r="HC14" s="269" t="s">
        <v>276</v>
      </c>
      <c r="HD14" s="269" t="s">
        <v>9</v>
      </c>
      <c r="HE14" s="269" t="s">
        <v>206</v>
      </c>
      <c r="HL14" s="259" t="str">
        <f t="shared" ca="1" si="29"/>
        <v/>
      </c>
      <c r="HM14" s="259" t="str">
        <f t="shared" ca="1" si="30"/>
        <v/>
      </c>
      <c r="HN14" s="259" t="str">
        <f t="shared" ca="1" si="31"/>
        <v/>
      </c>
      <c r="HO14" s="259">
        <f ca="1">IF(HL14&lt;&gt;"",MAX($HO$2:HO13)+1,0)</f>
        <v>0</v>
      </c>
      <c r="HP14" s="259">
        <f ca="1">IF(HM14&lt;&gt;"",MAX($HP$2:HP13)+1,0)</f>
        <v>0</v>
      </c>
      <c r="HQ14" s="259">
        <f ca="1">IF(HN14&lt;&gt;"",MAX($HQ$2:HQ13)+1,0)</f>
        <v>0</v>
      </c>
      <c r="HR14" s="259" t="str">
        <f t="shared" ca="1" si="107"/>
        <v/>
      </c>
      <c r="HS14" s="259" t="str">
        <f t="shared" ca="1" si="108"/>
        <v/>
      </c>
      <c r="HT14" s="259">
        <f t="shared" ca="1" si="109"/>
        <v>0</v>
      </c>
      <c r="HU14" s="259">
        <f t="shared" ca="1" si="110"/>
        <v>0</v>
      </c>
      <c r="HV14" s="259" t="str">
        <f ca="1">CONCATENATE(IFERROR(INDEX($HS$3:$HT$102,MATCH(ROWS($HV$3:HV14),$HT$3:$HT$102,0),1),""),HR14)</f>
        <v/>
      </c>
      <c r="IA14" s="259" t="s">
        <v>403</v>
      </c>
      <c r="IB14" s="259" t="s">
        <v>292</v>
      </c>
      <c r="IC14" s="259">
        <f ca="1">IFERROR(INDEX(PIANO_DEI_CONTI,MATCH(ROWS(DL$3:DL14),$DK$3:DK241,0),2),0)</f>
        <v>0</v>
      </c>
      <c r="ID14" s="259">
        <f t="shared" ca="1" si="111"/>
        <v>0</v>
      </c>
      <c r="IE14" s="259">
        <f t="shared" ca="1" si="112"/>
        <v>0</v>
      </c>
      <c r="IF14" s="259">
        <f t="shared" ca="1" si="113"/>
        <v>0</v>
      </c>
      <c r="IG14" s="259">
        <f ca="1">IF(SUMIFS($ID$3:$ID$200,$IF$3:$IF$200,IA14)&gt;=SUMIFS($IE$3:$IE$200,$IF$3:$IF$200,IA14),ROUND(SUMIFS($ID$3:$ID$200,$IF$3:$IF$200,IA14)-SUMIFS($IE$3:$IE$200,$IF$3:$IF$200,IA14),0),0)</f>
        <v>0</v>
      </c>
      <c r="IH14" s="259">
        <f ca="1">IF(IG14&lt;&gt;0,MAX($IH$2:IH13)+1,0)</f>
        <v>0</v>
      </c>
      <c r="II14" s="259">
        <f>IF(AD14="costi pluriennali",MAX($II$2:II13)+1,0)</f>
        <v>7</v>
      </c>
      <c r="IJ14" s="259">
        <f>IF($AD14="rettifiche costi pluriennali",MAX($IJ$2:IJ13)+1,0)</f>
        <v>0</v>
      </c>
      <c r="IK14" s="259">
        <f t="shared" si="114"/>
        <v>7</v>
      </c>
      <c r="IL14" s="259" t="str">
        <f t="shared" si="115"/>
        <v>ATTREZZATURE COMMERCIALI</v>
      </c>
      <c r="IM14" s="259">
        <f t="shared" ca="1" si="116"/>
        <v>0</v>
      </c>
      <c r="IN14" s="259">
        <f t="shared" ca="1" si="141"/>
        <v>0</v>
      </c>
      <c r="IO14" s="259">
        <f>SUMIFS($IM$3:$IM$200,$IK$3:$IK$200,ROWS($IO$3:IO14))-SUMIFS($IN$3:$IN$200,$IK$3:$IK$200,ROWS($IO$3:IO14))</f>
        <v>0</v>
      </c>
      <c r="IP14" s="259" t="str">
        <f>IF(IO14&lt;0,INDEX($IJ$3:$IL$200,MATCH(ROWS($IP$3:IP14),$IJ$3:$IJ$200,0),3),"")</f>
        <v/>
      </c>
      <c r="IQ14" s="259">
        <f>IF(IP14&lt;&gt;"",MAX($IQ$2:IQ13)+1,0)</f>
        <v>0</v>
      </c>
      <c r="IR14" s="259" t="str">
        <f ca="1">IFERROR(INDEX($IP$3:$IQ$200,MATCH(ROWS($IR$3:IR14),$IQ$3:$IQ$200,0),1),"")</f>
        <v/>
      </c>
      <c r="IS14" s="259" t="str">
        <f t="shared" ca="1" si="117"/>
        <v/>
      </c>
      <c r="IT14" s="259" t="str">
        <f t="shared" ca="1" si="118"/>
        <v/>
      </c>
      <c r="IU14" s="259" t="str">
        <f t="shared" ca="1" si="119"/>
        <v/>
      </c>
      <c r="IV14" s="259" t="str">
        <f t="shared" ca="1" si="120"/>
        <v/>
      </c>
      <c r="IW14" s="259" t="str">
        <f t="shared" ca="1" si="121"/>
        <v/>
      </c>
      <c r="IX14" s="259" t="str">
        <f t="shared" ca="1" si="122"/>
        <v/>
      </c>
      <c r="IY14" s="259" t="str">
        <f t="shared" ca="1" si="123"/>
        <v/>
      </c>
      <c r="IZ14" s="259" t="str">
        <f t="shared" ca="1" si="124"/>
        <v/>
      </c>
      <c r="JA14" s="259" t="str">
        <f t="shared" ca="1" si="125"/>
        <v/>
      </c>
      <c r="JB14" s="259">
        <f t="shared" ca="1" si="32"/>
        <v>0</v>
      </c>
      <c r="JC14" s="259">
        <f t="shared" ca="1" si="126"/>
        <v>0</v>
      </c>
      <c r="JE14" s="259">
        <f ca="1">IFERROR(INDEX(LIBRO_GIORNALE!$N$11:$O$408,MATCH(ROWS($JE$2:JE13),LIBRO_GIORNALE!$O$11:$O$408,0),1),0)</f>
        <v>0</v>
      </c>
      <c r="JF14" s="259" t="str">
        <f t="shared" ca="1" si="127"/>
        <v>0</v>
      </c>
      <c r="JG14" s="259">
        <f t="shared" ca="1" si="128"/>
        <v>0</v>
      </c>
      <c r="JH14" s="259">
        <f ca="1">IF(JJ14&gt;0,0,MAX($JH$2:JH13)+1)</f>
        <v>12</v>
      </c>
      <c r="JI14" s="259">
        <f ca="1">IF(JG14&gt;0,MAX($JI$2:JI13)+1,0)</f>
        <v>0</v>
      </c>
      <c r="JJ14" s="259">
        <f ca="1">IFERROR(INDEX($JG$3:$JI$124,MATCH(ROWS($JJ$3:JJ14),$JI$3:$JI$124,0),1),0)</f>
        <v>0</v>
      </c>
      <c r="JK14" s="259">
        <f t="shared" ca="1" si="129"/>
        <v>0</v>
      </c>
      <c r="JL14" s="259">
        <f t="shared" ca="1" si="130"/>
        <v>12</v>
      </c>
      <c r="JM14" s="259">
        <v>11</v>
      </c>
    </row>
    <row r="15" spans="1:273">
      <c r="A15" s="259" t="str">
        <f t="shared" si="33"/>
        <v>02.02</v>
      </c>
      <c r="B15" s="259" t="str">
        <f t="shared" si="34"/>
        <v>IMPIANTI E MACCHINARI</v>
      </c>
      <c r="C15" s="259" t="str">
        <f t="shared" si="35"/>
        <v>E</v>
      </c>
      <c r="D15" s="259" t="str">
        <f t="shared" si="36"/>
        <v>D</v>
      </c>
      <c r="E15" s="259" t="str">
        <f t="shared" si="37"/>
        <v>COSTI PLURIENNALI</v>
      </c>
      <c r="F15" s="259" t="str">
        <f t="shared" si="38"/>
        <v>SP DARE</v>
      </c>
      <c r="G15" s="259">
        <f t="shared" ca="1" si="39"/>
        <v>1</v>
      </c>
      <c r="H15" s="259">
        <f t="shared" ca="1" si="40"/>
        <v>1</v>
      </c>
      <c r="I15" s="259">
        <f t="shared" ca="1" si="41"/>
        <v>1</v>
      </c>
      <c r="J15" s="259">
        <v>12</v>
      </c>
      <c r="K15" s="259" t="str">
        <f ca="1">IFERROR(IF($I$1=1,INDEX($AA$3:$AS$220,MATCH(ROWS($K$3:K15),$AQ$3:$AQ$220,0),1),IF($I$1=2,INDEX($AA$3:$AS$220,MATCH(ROWS($K$3:K15),$AR$3:$AR$220,0),1),IF($I$1=3,INDEX($AA$3:$AS$220,MATCH(ROWS($K$3:K15),$AS$3:$AS$220,0),1),""))),"")</f>
        <v>MACCHINE D'UFFICIO</v>
      </c>
      <c r="L15" s="259">
        <f ca="1">IF(AND($L$1="VISUALIZZA TUTTI I CONTI",K15&lt;&gt;""),MAX(L14:L14)+1,IFERROR(IF($J$1=1,IF(INDEX(PIANO_DEI_CONTI,MATCH($K15,DENOMINAZIONE,0),5)=$L$1,MAX($L$2:L14)+1,0),IF($J$1=2,IF(INDEX(PIANO_DEI_CONTI,MATCH($K15,DENOMINAZIONE,0),7)=$L$1,MAX($L$2:L14)+1,0))),0))</f>
        <v>13</v>
      </c>
      <c r="M15" s="259" t="str">
        <f ca="1">IFERROR(INDEX($K$3:$K$220,MATCH(ROWS($M$3:M15),$L$3:$L$220,0),1),"")</f>
        <v>MACCHINE D'UFFICIO</v>
      </c>
      <c r="N15" s="259" t="s">
        <v>268</v>
      </c>
      <c r="O15" s="259" t="str">
        <f t="shared" ca="1" si="42"/>
        <v/>
      </c>
      <c r="P15" s="259">
        <f ca="1">IF(AND(N15=O15,O15&lt;&gt;""),MAX(P$2:P14)+1,0)</f>
        <v>0</v>
      </c>
      <c r="Q15" s="259" t="str">
        <f ca="1">IF(IFERROR(INDEX($O$3:$P$220,MATCH(ROWS(Q$3:Q15),$P$3:$P$220,0),1),"")=0,"",IFERROR(INDEX($O$3:$P$220,MATCH(ROWS(Q$3:Q15),$P$3:$P$220,0),1),""))</f>
        <v>DEBITI FINANZIARI</v>
      </c>
      <c r="R15" s="259" t="str">
        <f t="shared" si="1"/>
        <v>MACCHINE D'UFFICIO</v>
      </c>
      <c r="S15" s="259">
        <f ca="1">IF(IFERROR(MATCH(R15,DENOMINAZIONE_GIORNALE,0),0)&gt;0,MAX(S$2:S14)+1,0)</f>
        <v>0</v>
      </c>
      <c r="T15" s="259" t="str">
        <f ca="1">IFERROR(INDEX($R$3:$S$220,MATCH(ROWS($T$3:T15),$S$3:$S$220,0),1),"")</f>
        <v/>
      </c>
      <c r="U15" s="259">
        <f t="shared" ca="1" si="2"/>
        <v>0</v>
      </c>
      <c r="V15" s="259">
        <f ca="1">IF(IF(U15&lt;&gt;0,MAX($V$2:V14)+1,0)=0,0,IF(U15&lt;&gt;0,MAX($V$2:V14)+1,0))</f>
        <v>0</v>
      </c>
      <c r="W15" s="259" t="str">
        <f t="shared" si="43"/>
        <v>02.02</v>
      </c>
      <c r="X15" s="259" t="str">
        <f t="shared" si="44"/>
        <v>IMPIANTI E MACCHINARI</v>
      </c>
      <c r="Y15" s="259">
        <f>IF(W15="",0,MAX($Y$2:Y14)+1)</f>
        <v>11</v>
      </c>
      <c r="Z15" s="259" t="str">
        <f>IFERROR(INDEX($W$3:$Y$220,MATCH(ROWS($Z$2:Z14),$Y$3:$Y$220,0),1),"")</f>
        <v>02.05</v>
      </c>
      <c r="AA15" s="259" t="str">
        <f t="shared" si="45"/>
        <v>MACCHINE D'UFFICIO</v>
      </c>
      <c r="AB15" s="259" t="str">
        <f t="shared" si="46"/>
        <v>E</v>
      </c>
      <c r="AC15" s="259" t="str">
        <f t="shared" si="47"/>
        <v>D</v>
      </c>
      <c r="AD15" s="259" t="str">
        <f t="shared" si="48"/>
        <v>COSTI PLURIENNALI</v>
      </c>
      <c r="AE15" s="259" t="str">
        <f t="shared" si="49"/>
        <v>SP DARE</v>
      </c>
      <c r="AF15" s="259" t="str">
        <f t="shared" si="50"/>
        <v>IMMOBILIZZAZIONI MATERIALI</v>
      </c>
      <c r="AG15" s="259">
        <f t="shared" ca="1" si="51"/>
        <v>1</v>
      </c>
      <c r="AH15" s="259">
        <f t="shared" ca="1" si="52"/>
        <v>1</v>
      </c>
      <c r="AI15" s="259">
        <f t="shared" ca="1" si="53"/>
        <v>1</v>
      </c>
      <c r="AJ15" s="259" t="str">
        <f t="shared" si="54"/>
        <v>02</v>
      </c>
      <c r="AK15" s="259" t="str">
        <f t="shared" si="55"/>
        <v/>
      </c>
      <c r="AL15" s="259">
        <f>IF(AK15&lt;&gt;"",MAX($AL$2:AL14)+1,0)</f>
        <v>0</v>
      </c>
      <c r="AM15" s="259" t="str">
        <f>IFERROR(INDEX($AK$3:$AL$220,MATCH(ROWS($AM$3:AM15),$AL$3:$AL$220,0),1),"")</f>
        <v>14</v>
      </c>
      <c r="AN15" s="259" t="str">
        <f t="shared" si="56"/>
        <v>14.00</v>
      </c>
      <c r="AO15" s="259" t="str">
        <f t="shared" si="57"/>
        <v>DEBITI COMMERCIALI</v>
      </c>
      <c r="AP15" s="259" t="str">
        <f t="shared" si="58"/>
        <v>IMMOBILIZZAZIONI MATERIALI</v>
      </c>
      <c r="AQ15" s="259">
        <f ca="1">IF(OR(AG15=0,AG15=""),0,MAX(AQ$2:AQ14)+1)</f>
        <v>8</v>
      </c>
      <c r="AR15" s="259">
        <f ca="1">IF(OR(AH15=0,AH15=""),0,MAX(AR$2:AR14)+1)</f>
        <v>10</v>
      </c>
      <c r="AS15" s="259">
        <f ca="1">IF(OR(AI15=0,AI15=""),0,MAX(AS$2:AS14)+1)</f>
        <v>13</v>
      </c>
      <c r="AT15" s="259" t="str">
        <f ca="1">IFERROR(INDEX($AD$3:$AS$220,MATCH(ROWS(AT$3:AT15),AQ$3:AQ$220,0),1),"")</f>
        <v>CREDITI</v>
      </c>
      <c r="AU15" s="259" t="str">
        <f ca="1">IFERROR(INDEX($AD$3:$AS$220,MATCH(ROWS(AU$3:AU15),AR$3:AR$220,0),1),"")</f>
        <v>COSTI PLURIENNALI</v>
      </c>
      <c r="AV15" s="259" t="str">
        <f ca="1">IFERROR(INDEX($AD$3:$AS$220,MATCH(ROWS(AV$3:AV15),AS$3:AS$220,0),1),"")</f>
        <v>COSTI PLURIENNALI</v>
      </c>
      <c r="AW15" s="259" t="str">
        <f ca="1">IFERROR(INDEX($AP$3:$AS$220,MATCH(ROWS(AW$3:AW15),AQ$3:AQ$220,0),1),"")</f>
        <v>IMMOBILIZZAZIONI FINANZIARIE</v>
      </c>
      <c r="AX15" s="259" t="str">
        <f ca="1">IFERROR(INDEX($AP$3:$AS$220,MATCH(ROWS(AX$3:AX15),AR$3:AR$220,0),1),"")</f>
        <v>IMMOBILIZZAZIONI MATERIALI</v>
      </c>
      <c r="AY15" s="259" t="str">
        <f ca="1">IFERROR(INDEX($AP$3:$AS$220,MATCH(ROWS(AY$3:AY15),AS$3:AS$220,0),1),"")</f>
        <v>IMMOBILIZZAZIONI MATERIALI</v>
      </c>
      <c r="AZ15" s="276" t="str">
        <f t="shared" ca="1" si="59"/>
        <v/>
      </c>
      <c r="BA15" s="259">
        <f t="shared" ca="1" si="3"/>
        <v>0</v>
      </c>
      <c r="BB15" s="259">
        <f ca="1">IFERROR(INDEX($FG$3:$FL$400,MATCH(ROWS($BB$3:BB15),$FL$3:$FL$400,0),1),0)</f>
        <v>0</v>
      </c>
      <c r="BC15" s="259" t="str">
        <f t="shared" ca="1" si="60"/>
        <v/>
      </c>
      <c r="BD15" s="259">
        <f ca="1">IFERROR(INDEX($FG$3:$FL$400,MATCH(ROWS($BD$3:BD15),$FL$3:$FL$400,0),4),0)</f>
        <v>0</v>
      </c>
      <c r="BE15" s="259">
        <f ca="1">IFERROR(INDEX($FG$3:$FL$400,MATCH(ROWS($BE$3:BE15),$FL$3:$FL$400,0),5),0)</f>
        <v>0</v>
      </c>
      <c r="BG15" s="259" t="str">
        <f t="shared" si="4"/>
        <v/>
      </c>
      <c r="BH15" s="259">
        <f ca="1">IF(IFERROR(MATCH(BG15,DENOMINAZIONE_GIORNALE,0),0)&gt;0,MAX(BH$2:BH14)+1,0)</f>
        <v>0</v>
      </c>
      <c r="BI15" s="259" t="str">
        <f ca="1">IFERROR(INDEX($BG$3:$BH$220,MATCH(ROWS($BI$3:BI15),$BH$3:$BH$220,0),1),"")</f>
        <v/>
      </c>
      <c r="BJ15" s="259" t="str">
        <f t="shared" ca="1" si="5"/>
        <v/>
      </c>
      <c r="BK15" s="259" t="str">
        <f ca="1">IF(IF(BJ15&lt;&gt;"",MAX($BK$2:BK14)+1,0)=0,"",IF(BJ15&lt;&gt;"",MAX($BK$2:BK14)+1,0))</f>
        <v/>
      </c>
      <c r="BL15" s="259" t="str">
        <f ca="1">IFERROR(INDEX($T$3:$U$220, MATCH(ROWS(BL$3:BL15),$V$3:$V$220,0),1),"")</f>
        <v/>
      </c>
      <c r="BM15" s="259" t="str">
        <f ca="1">IFERROR(INDEX($T$3:$U$220, MATCH(ROWS(BM$3:BM15),$V$3:$V$220,0),2),"")</f>
        <v/>
      </c>
      <c r="BN15" s="259" t="str">
        <f ca="1">IF(IFERROR(INDEX($BI$3:$BJ$220,MATCH(ROWS(BN$3:BN15),$BK$3:$BK$220,0),1),"")="PATRIMONIO NETTO","",IFERROR(INDEX($BI$3:$BJ$220,MATCH(ROWS(BN$3:BN15),$BK$3:$BK$220,0),1),""))</f>
        <v/>
      </c>
      <c r="BO15" s="259" t="str">
        <f ca="1">IFERROR(INDEX($BI$3:$BJ$220,MATCH(ROWS(BO$3:BO15),$BK$3:$BK$220,0),2),"")</f>
        <v/>
      </c>
      <c r="BP15" s="259">
        <f ca="1">IF(BN15&lt;&gt;"",MAX(BP$2:$BP14)+1,0)</f>
        <v>0</v>
      </c>
      <c r="BQ15" s="259" t="str">
        <f ca="1">IFERROR(INDEX($BN$3:$BO$200,MATCH(ROWS(BQ$3:BQ15),$BP$3:$BP$220,0),1),"")</f>
        <v/>
      </c>
      <c r="BR15" s="259" t="str">
        <f ca="1">IFERROR(INDEX($BN$3:$BO$220,MATCH(ROWS(BR$3:BR15),$BP$3:$BP$220,0),2),"")</f>
        <v/>
      </c>
      <c r="BS15" s="259" t="str">
        <f ca="1">IFERROR(IF(OR(INDEX($T$3:$U$220,MATCH(ROWS(BL$3:BL15),$V$3:$V$220,0),1)="PRELEVAMENTI EXTRAGESTIONE",INDEX($T$3:$U$220,MATCH(ROWS(BL$3:BL15),$V$3:$V$220,0),1)="TITOLARE C/RITENUTE SUBITE"),"",INDEX($T$3:$U$220,MATCH(ROWS(BL$3:BL15),$V$3:$V$220,0),1)),"")</f>
        <v/>
      </c>
      <c r="BT15" s="259">
        <f t="shared" ca="1" si="61"/>
        <v>0</v>
      </c>
      <c r="BU15" s="259">
        <f ca="1">IF(BS15&lt;&gt;"",MAX(BU$2:BU14)+1,0)</f>
        <v>0</v>
      </c>
      <c r="BV15" s="259" t="str">
        <f ca="1">IFERROR(INDEX($BS$3:$BT$223,MATCH(ROWS(BV$3:BV15),$BU$3:$BU$223,0),1),"")</f>
        <v/>
      </c>
      <c r="BW15" s="259">
        <f t="shared" ca="1" si="62"/>
        <v>0</v>
      </c>
      <c r="BX15" s="259" t="str">
        <f t="shared" ca="1" si="63"/>
        <v/>
      </c>
      <c r="BY15" s="259" t="str">
        <f t="shared" ca="1" si="64"/>
        <v/>
      </c>
      <c r="BZ15" s="259" t="str">
        <f ca="1">IFERROR(IF(OR($DS$231&lt;&gt;$DT$231,$DU$231&lt;&gt;$DV$231,$EO$25&lt;&gt;0,$EO$26&lt;&gt;0),INDEX($T$3:$V$220,MATCH(ROWS($BV$3:BV15),$V$3:$V$220,0),1),CONCATENATE(BV15,BY15)),"")</f>
        <v/>
      </c>
      <c r="CA15" s="259">
        <f t="shared" ca="1" si="65"/>
        <v>0</v>
      </c>
      <c r="CB15" s="259" t="str">
        <f ca="1">IFERROR(IF(OR($BB$1&lt;&gt;$BD$1,$BC$1&lt;&gt;$BE$1,$DS$231&lt;&gt;$DT$231,$DU$231&lt;&gt;$DV$231,$EO$25&lt;&gt;0,$EO$26&lt;&gt;0),INDEX($BI$3:$BK$220,MATCH(ROWS($CB$3:CB15),$BK$3:$BK$220,0),1),CONCATENATE(BQ15,BX15)),"")</f>
        <v/>
      </c>
      <c r="CC15" s="259" t="str">
        <f t="shared" ca="1" si="66"/>
        <v/>
      </c>
      <c r="CD15" s="259" t="str">
        <f t="shared" si="6"/>
        <v/>
      </c>
      <c r="CE15" s="259">
        <f ca="1">IF(IFERROR(MATCH(CD15,DENOMINAZIONE_GIORNALE,0),0)&gt;0,MAX(CE$2:CE14)+1,0)</f>
        <v>0</v>
      </c>
      <c r="CF15" s="259" t="str">
        <f ca="1">IFERROR(INDEX($CD$3:$CE$220,MATCH(ROWS($CF$3:CF15),$CE$3:$CE$220,0),1),"")</f>
        <v/>
      </c>
      <c r="CG15" s="259">
        <f t="shared" ca="1" si="7"/>
        <v>0</v>
      </c>
      <c r="CH15" s="259" t="str">
        <f ca="1">IF(IF(CG15&lt;&gt;0,MAX($CH$2:CH14)+1,0)=0,"",IF(CG15&lt;&gt;"",MAX($CH$2:CH14)+1,0))</f>
        <v/>
      </c>
      <c r="CI15" s="259" t="str">
        <f ca="1">IFERROR(INDEX($CF$3:$CG$220,MATCH(ROWS($CI$3:CI15),$CH$3:$CH$220,0),1),"")</f>
        <v/>
      </c>
      <c r="CJ15" s="259" t="str">
        <f t="shared" ca="1" si="67"/>
        <v/>
      </c>
      <c r="CK15" s="259" t="str">
        <f t="shared" si="8"/>
        <v/>
      </c>
      <c r="CL15" s="259">
        <f ca="1">IF(IFERROR(MATCH(CK15,DENOMINAZIONE_GIORNALE,0),0)&gt;0,MAX(CL$2:CL14)+1,0)</f>
        <v>0</v>
      </c>
      <c r="CM15" s="259" t="str">
        <f ca="1">IFERROR(INDEX($CK$3:$CL$220,MATCH(ROWS($CM$3:CM15),$CL$3:$CL$220,0),1),"")</f>
        <v/>
      </c>
      <c r="CN15" s="259" t="str">
        <f t="shared" ca="1" si="9"/>
        <v/>
      </c>
      <c r="CO15" s="259">
        <f ca="1">IF(IF(CN15&lt;&gt;0,MAX($CO$2:CO14)+1,0)=0,"",IF(CN15&lt;&gt;"",MAX($CO$2:CO14)+1,0))</f>
        <v>0</v>
      </c>
      <c r="CP15" s="259" t="str">
        <f ca="1">IFERROR(INDEX($CM$3:$CN$220,MATCH(ROWS(CP$3:CP15),$CO$3:$CO$220,0),1),"")</f>
        <v/>
      </c>
      <c r="CQ15" s="259" t="str">
        <f ca="1">IFERROR(INDEX($CM$3:$CN$220,MATCH(ROWS(CQ$3:CQ15),$CO$3:$CO$220,0),2),"")</f>
        <v/>
      </c>
      <c r="CR15" s="259" t="str">
        <f t="shared" ca="1" si="10"/>
        <v/>
      </c>
      <c r="CS15" s="259">
        <f t="shared" ca="1" si="11"/>
        <v>0</v>
      </c>
      <c r="CT15" s="259">
        <f t="shared" ca="1" si="12"/>
        <v>0</v>
      </c>
      <c r="CU15" s="259">
        <f ca="1">IF(OR(CS15&gt;0,CT15&gt;0),MAX($CU$2:CU14)+1,0)</f>
        <v>0</v>
      </c>
      <c r="CV15" s="259" t="str">
        <f ca="1">IFERROR(INDEX(PIANO_DEI_CONTI,MATCH(ROWS($CV$3:CV15),$CU$3:$CU$200,0),2),"")</f>
        <v/>
      </c>
      <c r="CW15" s="259">
        <f ca="1">IFERROR(IF(CV15&lt;&gt;"",MAX($CW$2:CW14)+1,0),0)</f>
        <v>0</v>
      </c>
      <c r="CX15" s="259">
        <f t="shared" ca="1" si="68"/>
        <v>1</v>
      </c>
      <c r="CY15" s="259" t="str">
        <f t="shared" ca="1" si="13"/>
        <v>MASTRO</v>
      </c>
      <c r="CZ15" s="259" t="e">
        <f t="shared" ca="1" si="131"/>
        <v>#N/A</v>
      </c>
      <c r="DA15" s="259" t="str">
        <f t="shared" ca="1" si="140"/>
        <v/>
      </c>
      <c r="DB15" s="259" t="str">
        <f t="shared" ca="1" si="132"/>
        <v/>
      </c>
      <c r="DC15" s="259" t="str">
        <f t="shared" ca="1" si="133"/>
        <v/>
      </c>
      <c r="DD15" s="259" t="str">
        <f t="shared" ca="1" si="134"/>
        <v/>
      </c>
      <c r="DE15" s="259" t="str">
        <f t="shared" ca="1" si="135"/>
        <v/>
      </c>
      <c r="DF15" s="259">
        <f ca="1">IF(AND(CX15=$DE$2,$DF$2&lt;&gt;0),0,IF(AND(DB15&lt;&gt;"",OR(DB14&lt;&gt;"",DB16&lt;&gt;"")),MAX($DF$2:DF14)+1,0))</f>
        <v>0</v>
      </c>
      <c r="DG15" s="259" t="str">
        <f>IF(OR(VALORI_INIZIALI!E20="",AND(VALORI_INIZIALI!E20&lt;&gt;"",VALORI_INIZIALI!H20=0,VALORI_INIZIALI!I20=0)),"",IFERROR(INDEX(PIANO_DEI_CONTI,MATCH(BB15,DENOMINAZIONE,0),1),0))</f>
        <v/>
      </c>
      <c r="DH15" s="259">
        <f ca="1">IFERROR(IF($J$1=1,IF(INDEX(PIANO_DEI_CONTI,MATCH($K15,DENOMINAZIONE,0),5)=$DF$1,MAX($DH$2:DH14)+1,0),IF($J$1=2,IF(INDEX(PIANO_DEI_CONTI,MATCH($K15,DENOMINAZIONE,0),7)=$DF$1,MAX($DH$2:DH14)+1,0))),0)</f>
        <v>0</v>
      </c>
      <c r="DI15" s="259">
        <f ca="1">IFERROR(INDEX($K$3:$K$220,MATCH(ROWS($DI$3:DI15),$DH$3:$DH$220,0),1),0)</f>
        <v>0</v>
      </c>
      <c r="DJ15" s="259">
        <f t="shared" ca="1" si="14"/>
        <v>0</v>
      </c>
      <c r="DK15" s="259">
        <f ca="1">IF(DJ15=0,0,MAX(DK$2:DK14)+1)</f>
        <v>0</v>
      </c>
      <c r="DL15" s="259">
        <f ca="1">IFERROR(INDEX(PIANO_DEI_CONTI,MATCH(ROWS(DL$3:DL15),$DK$3:DK242,0),2),0)</f>
        <v>0</v>
      </c>
      <c r="DM15" s="259">
        <f t="shared" ca="1" si="15"/>
        <v>0</v>
      </c>
      <c r="DN15" s="259">
        <f t="shared" ca="1" si="16"/>
        <v>0</v>
      </c>
      <c r="DO15" s="259">
        <f t="shared" ca="1" si="69"/>
        <v>0</v>
      </c>
      <c r="DP15" s="259">
        <f t="shared" ca="1" si="70"/>
        <v>0</v>
      </c>
      <c r="DQ15" s="259">
        <f ca="1">IF(OR($DQ$1="TOTALI",$DQ$1="TOTALI ED ECCEDENZE"),IF(OR(DM15&gt;0,DN15&gt;0),MAX(DQ$2:DQ14)+1,0),IF($DQ$1="ECCEDENZE",IF(OR(DO15&gt;0,DP15&gt;0),MAX(DQ$2:DQ14)+1,0),""))</f>
        <v>0</v>
      </c>
      <c r="DR15" s="259" t="str">
        <f ca="1">IFERROR(INDEX($DL$3:$DQ$230,MATCH(ROWS(DR$3:DR15),$DQ$3:$DQ$230,0),1),"")</f>
        <v/>
      </c>
      <c r="DS15" s="259" t="str">
        <f t="shared" ca="1" si="71"/>
        <v/>
      </c>
      <c r="DT15" s="259" t="str">
        <f t="shared" ca="1" si="72"/>
        <v/>
      </c>
      <c r="DU15" s="259" t="str">
        <f t="shared" ca="1" si="73"/>
        <v/>
      </c>
      <c r="DV15" s="259" t="str">
        <f t="shared" ca="1" si="74"/>
        <v/>
      </c>
      <c r="DW15" s="259">
        <f t="shared" ca="1" si="75"/>
        <v>0</v>
      </c>
      <c r="DX15" s="259" t="str">
        <f t="shared" ca="1" si="76"/>
        <v/>
      </c>
      <c r="DY15" s="259" t="str">
        <f t="shared" ca="1" si="77"/>
        <v/>
      </c>
      <c r="DZ15" s="259" t="str">
        <f t="shared" ca="1" si="78"/>
        <v/>
      </c>
      <c r="EA15" s="259">
        <f t="shared" ca="1" si="79"/>
        <v>13</v>
      </c>
      <c r="EB15" s="259" t="s">
        <v>349</v>
      </c>
      <c r="ED15" s="259">
        <f t="shared" ca="1" si="17"/>
        <v>0</v>
      </c>
      <c r="EE15" s="259" t="str">
        <f t="shared" ca="1" si="18"/>
        <v/>
      </c>
      <c r="EF15" s="259" t="str">
        <f t="shared" ca="1" si="19"/>
        <v/>
      </c>
      <c r="EG15" s="259" t="str">
        <f t="shared" ca="1" si="136"/>
        <v/>
      </c>
      <c r="EH15" s="259" t="str">
        <f t="shared" ca="1" si="80"/>
        <v/>
      </c>
      <c r="EI15" s="260" t="b">
        <f t="shared" ca="1" si="137"/>
        <v>1</v>
      </c>
      <c r="EJ15" s="260" t="b">
        <f t="shared" ca="1" si="138"/>
        <v>1</v>
      </c>
      <c r="EK15" s="260" t="b">
        <f t="shared" ca="1" si="139"/>
        <v>1</v>
      </c>
      <c r="EL15" s="259">
        <f t="shared" si="81"/>
        <v>13</v>
      </c>
      <c r="EM15" s="259">
        <f ca="1">IF(AND(BA15&gt;0,BA15&lt;=$EM$1),MAX($EM$2:EM14)+1,0)</f>
        <v>0</v>
      </c>
      <c r="EN15" s="259">
        <f t="shared" ca="1" si="82"/>
        <v>15</v>
      </c>
      <c r="EP15" s="259" t="str">
        <f t="shared" ca="1" si="20"/>
        <v/>
      </c>
      <c r="EQ15" s="259">
        <f t="shared" ca="1" si="21"/>
        <v>0</v>
      </c>
      <c r="ER15" s="259">
        <f ca="1">IF(ISNA(EQ15),MAX(ER$2:ER14)+1,0)</f>
        <v>0</v>
      </c>
      <c r="ES15" s="259" t="str">
        <f t="shared" ca="1" si="83"/>
        <v/>
      </c>
      <c r="ET15" s="259" t="str">
        <f ca="1">IFERROR(UPPER(INDEX($ER$3:$ES$500,MATCH(ROWS(ET$3:ET15),$ER$3:$ER$500,0),2)),"")</f>
        <v/>
      </c>
      <c r="EU15" s="259" t="s">
        <v>447</v>
      </c>
      <c r="EV15" s="259">
        <f ca="1">IF(BX1=0,MAX(EV3:EV14)+1,0)</f>
        <v>1</v>
      </c>
      <c r="EW15" s="259" t="str">
        <f ca="1">IF(AND(IFERROR(INDEX($EU$3:$EV$30,MATCH(ROWS($EX$3:EX15),$EV$3:$EV$30,0),1),"")&lt;&gt;"",EW16&lt;&gt;""),CONCATENATE(IFERROR(INDEX($EU$3:$EV$30,MATCH(ROWS($EX$3:EX15),$EV$3:$EV$30,0),1),"")," - "),IFERROR(INDEX($EU$3:$EV$30,MATCH(ROWS($EX$3:EX15),$EV$3:$EV$30,0),1),""))</f>
        <v/>
      </c>
      <c r="EY15" s="259">
        <f t="shared" ca="1" si="84"/>
        <v>0</v>
      </c>
      <c r="EZ15" s="259">
        <f t="shared" ca="1" si="84"/>
        <v>0</v>
      </c>
      <c r="FA15" s="259" t="str">
        <f t="shared" ca="1" si="85"/>
        <v/>
      </c>
      <c r="FB15" s="259">
        <f t="shared" ca="1" si="86"/>
        <v>0</v>
      </c>
      <c r="FC15" s="259">
        <f t="shared" ca="1" si="87"/>
        <v>0</v>
      </c>
      <c r="FD15" s="259">
        <f t="shared" ca="1" si="22"/>
        <v>0</v>
      </c>
      <c r="FE15" s="259" t="str">
        <f t="shared" ca="1" si="23"/>
        <v/>
      </c>
      <c r="FF15" s="259" t="str">
        <f t="shared" ca="1" si="88"/>
        <v/>
      </c>
      <c r="FG15" s="259" t="str">
        <f t="shared" si="89"/>
        <v>MACCHINE D'UFFICIO</v>
      </c>
      <c r="FH15" s="259">
        <f t="shared" ca="1" si="24"/>
        <v>0</v>
      </c>
      <c r="FI15" s="259">
        <f t="shared" ca="1" si="25"/>
        <v>0</v>
      </c>
      <c r="FJ15" s="259">
        <f t="shared" ca="1" si="90"/>
        <v>0</v>
      </c>
      <c r="FK15" s="259">
        <f t="shared" ca="1" si="91"/>
        <v>0</v>
      </c>
      <c r="FL15" s="259">
        <f ca="1">IF(OR(FJ15&gt;0,FK15&gt;0),MAX($FL$2:FL14)+1,0)</f>
        <v>0</v>
      </c>
      <c r="FM15" s="259">
        <f t="shared" ca="1" si="26"/>
        <v>0</v>
      </c>
      <c r="FN15" s="259">
        <f ca="1">IF(FM15&lt;0,MAX($FN$2:FN14)+1,0)</f>
        <v>0</v>
      </c>
      <c r="FO15" s="259" t="str">
        <f t="shared" ca="1" si="92"/>
        <v/>
      </c>
      <c r="FP15" s="259" t="str">
        <f ca="1">IFERROR(INDEX($FN$3:$FO$400,MATCH(ROWS($FP$3:FP15),$FN$3:$FN$400,0),2),"")</f>
        <v/>
      </c>
      <c r="FQ15" s="259" t="str">
        <f>IF(AE15="SE AVERE",MAX($FQ$2:FQ14)+1,"")</f>
        <v/>
      </c>
      <c r="FR15" s="259" t="str">
        <f>IF(AE15="SE DARE",MAX($FR$2:FR14)+1,"")</f>
        <v/>
      </c>
      <c r="FS15" s="259">
        <f ca="1">IF(AND(AE15="SP DARE",AA15&lt;&gt;$FS$1,AA15&lt;&gt;$FT$1),MAX($FS$2:FS14)+1,IF(AND(GQ15="SP DARE",AA15&lt;&gt;$FS$1,AA15&lt;&gt;$FT$1),MAX($FS$2:FS14)+1,""))</f>
        <v>98</v>
      </c>
      <c r="FT15" s="259" t="str">
        <f ca="1">IF(AND(AE15="SP AVERE",AA15&lt;&gt;$FU$1),MAX($FT$2:FT14)+1,IF(AND(GQ15="SP AVERE",AA15&lt;&gt;$FU$1),MAX($FT$2:FT14)+1,""))</f>
        <v/>
      </c>
      <c r="FU15" s="259">
        <f t="shared" ca="1" si="93"/>
        <v>98</v>
      </c>
      <c r="FV15" s="259" t="str">
        <f t="shared" si="94"/>
        <v>MACCHINE D'UFFICIO</v>
      </c>
      <c r="FW15" s="259" t="str">
        <f ca="1">IFERROR(INDEX($FU$3:$FV$500,MATCH(ROWS($FW$3:FW15),$FU$3:$FU$500,0),2),0)</f>
        <v>PREMI SU ACQUISTI</v>
      </c>
      <c r="FX15" s="259">
        <f t="shared" ca="1" si="95"/>
        <v>13</v>
      </c>
      <c r="FY15" s="259">
        <f t="shared" ca="1" si="96"/>
        <v>0</v>
      </c>
      <c r="FZ15" s="259">
        <f ca="1">IF(FY15&gt;0,MAX($FZ$2:FZ14)+1,0)</f>
        <v>0</v>
      </c>
      <c r="GA15" s="259">
        <f ca="1">IFERROR(INDEX($FY$3:$FZ$500,MATCH(ROWS($GA$3:GA15),$FZ$3:$FZ$500,0),1),0)</f>
        <v>87</v>
      </c>
      <c r="GB15" s="259" t="s">
        <v>4</v>
      </c>
      <c r="GC15" s="259">
        <f t="shared" ca="1" si="97"/>
        <v>13</v>
      </c>
      <c r="GD15" s="259" t="str">
        <f t="shared" ca="1" si="98"/>
        <v>PREMI SU ACQUISTI</v>
      </c>
      <c r="GE15" s="259">
        <f ca="1">GF16</f>
        <v>0</v>
      </c>
      <c r="GG15" s="259">
        <f t="shared" ca="1" si="27"/>
        <v>0</v>
      </c>
      <c r="GH15" s="259">
        <f t="shared" ca="1" si="99"/>
        <v>0</v>
      </c>
      <c r="GI15" s="259">
        <f t="shared" ca="1" si="100"/>
        <v>0</v>
      </c>
      <c r="GJ15" s="259">
        <f t="shared" ca="1" si="101"/>
        <v>0</v>
      </c>
      <c r="GK15" s="259">
        <f t="shared" ca="1" si="102"/>
        <v>0</v>
      </c>
      <c r="GL15" s="259">
        <f t="shared" ca="1" si="103"/>
        <v>0</v>
      </c>
      <c r="GM15" s="259">
        <f ca="1">IF(OR(GK15&gt;0,GL15&gt;0),MAX($GM$2:GM14)+1,0)</f>
        <v>0</v>
      </c>
      <c r="GN15" s="259" t="str">
        <f ca="1">IFERROR(INDEX($GD$3:$GM$400,MATCH(ROWS($GN$3:GN15),$GM$3:$GM$400,0),1),"")</f>
        <v/>
      </c>
      <c r="GO15" s="259" t="str">
        <f ca="1">IFERROR(INDEX($GD$3:$GM$400,MATCH(ROWS($GO$3:GO15),$GM$3:$GM$400,0),8),"")</f>
        <v/>
      </c>
      <c r="GP15" s="259" t="str">
        <f ca="1">IFERROR(INDEX($GD$3:$GM$400,MATCH(ROWS($GP$3:GP15),$GM$3:$GM$400,0),9),"")</f>
        <v/>
      </c>
      <c r="GQ15" s="259">
        <f t="shared" ca="1" si="28"/>
        <v>0</v>
      </c>
      <c r="GR15" s="259">
        <f t="shared" ca="1" si="104"/>
        <v>0</v>
      </c>
      <c r="GS15" s="259" t="str">
        <f t="shared" si="105"/>
        <v>epilogo a Conto economico</v>
      </c>
      <c r="GT15" s="259" t="str">
        <f ca="1">IFERROR(INDEX($GD$3:$GS$400,MATCH(ROWS($GT$3:GT15),$GM$3:$GM$400,0),16),"")</f>
        <v/>
      </c>
      <c r="GU15" s="259">
        <f ca="1">IF(GQ15&lt;&gt;0,MAX($GU$2:$GU14)+1,0)</f>
        <v>0</v>
      </c>
      <c r="GV15" s="259">
        <f t="shared" ca="1" si="106"/>
        <v>0</v>
      </c>
      <c r="GW15" s="259" t="str">
        <f ca="1">IF(AND(IFERROR(INDEX($GU$3:$GV$400,MATCH(ROWS($GW$3:GW15),$GU$3:$GU$400,0),2),"")&lt;&gt;"",GW16&lt;&gt;""),CONCATENATE(IFERROR(INDEX($GU$3:$GV$400,MATCH(ROWS($GW$3:GW15),$GU$3:$GU$400,0),2),"")," - "),IFERROR(INDEX($GU$3:$GV$400,MATCH(ROWS($GW$3:GW15),$GU$3:$GU$400,0),2),""))</f>
        <v/>
      </c>
      <c r="GX15" s="259">
        <f ca="1">IF(OR(GN15="IVA NS/CREDITO",GN15="IVA NS/DEBITO",GN15="IVA C/ACCONTO",GN15="IMPOSTE C/ACCONTO"),MAX($GX$2:GX14)+1,0)</f>
        <v>0</v>
      </c>
      <c r="GY15" s="259" t="str">
        <f ca="1">IF(AND(IFERROR(INDEX($GN$3:$GX$200,MATCH(ROWS($GY$3:GY15),$GX$3:$GX$200,0),1),"")&lt;&gt;"",GY16&lt;&gt;""),CONCATENATE(IFERROR(INDEX($GN$3:$GX$200,MATCH(ROWS($GY$3:GY15),$GX$3:$GX$200,0),1),"")," - "),IFERROR(INDEX($GN$3:$GX$200,MATCH(ROWS($GY$3:GY15),$GX$3:$GX$200,0),1),""))</f>
        <v/>
      </c>
      <c r="GZ15" s="259" t="s">
        <v>29</v>
      </c>
      <c r="HA15" s="259" t="s">
        <v>23</v>
      </c>
      <c r="HB15" s="271" t="s">
        <v>256</v>
      </c>
      <c r="HC15" s="269" t="s">
        <v>276</v>
      </c>
      <c r="HD15" s="269" t="s">
        <v>9</v>
      </c>
      <c r="HE15" s="269" t="s">
        <v>206</v>
      </c>
      <c r="HL15" s="259" t="str">
        <f t="shared" ca="1" si="29"/>
        <v/>
      </c>
      <c r="HM15" s="259" t="str">
        <f t="shared" ca="1" si="30"/>
        <v/>
      </c>
      <c r="HN15" s="259" t="str">
        <f t="shared" ca="1" si="31"/>
        <v/>
      </c>
      <c r="HO15" s="259">
        <f ca="1">IF(HL15&lt;&gt;"",MAX($HO$2:HO14)+1,0)</f>
        <v>0</v>
      </c>
      <c r="HP15" s="259">
        <f ca="1">IF(HM15&lt;&gt;"",MAX($HP$2:HP14)+1,0)</f>
        <v>0</v>
      </c>
      <c r="HQ15" s="259">
        <f ca="1">IF(HN15&lt;&gt;"",MAX($HQ$2:HQ14)+1,0)</f>
        <v>0</v>
      </c>
      <c r="HR15" s="259" t="str">
        <f t="shared" ca="1" si="107"/>
        <v/>
      </c>
      <c r="HS15" s="259" t="str">
        <f t="shared" ca="1" si="108"/>
        <v/>
      </c>
      <c r="HT15" s="259">
        <f t="shared" ca="1" si="109"/>
        <v>0</v>
      </c>
      <c r="HU15" s="259">
        <f t="shared" ca="1" si="110"/>
        <v>0</v>
      </c>
      <c r="HV15" s="259" t="str">
        <f ca="1">CONCATENATE(IFERROR(INDEX($HS$3:$HT$102,MATCH(ROWS($HV$3:HV15),$HT$3:$HT$102,0),1),""),HR15)</f>
        <v/>
      </c>
      <c r="IB15" s="259" t="s">
        <v>293</v>
      </c>
      <c r="IC15" s="259">
        <f ca="1">IFERROR(INDEX(PIANO_DEI_CONTI,MATCH(ROWS(DL$3:DL15),$DK$3:DK242,0),2),0)</f>
        <v>0</v>
      </c>
      <c r="ID15" s="259">
        <f t="shared" ca="1" si="111"/>
        <v>0</v>
      </c>
      <c r="IE15" s="259">
        <f t="shared" ca="1" si="112"/>
        <v>0</v>
      </c>
      <c r="IF15" s="259">
        <f t="shared" ca="1" si="113"/>
        <v>0</v>
      </c>
      <c r="IG15" s="259">
        <f ca="1">ROUND(SUM(IG11:IG12,IG14),0)</f>
        <v>0</v>
      </c>
      <c r="IH15" s="259">
        <f ca="1">IF(IG15&lt;&gt;0,MAX($IH$2:IH14)+1,0)</f>
        <v>0</v>
      </c>
      <c r="II15" s="259">
        <f>IF(AD15="costi pluriennali",MAX($II$2:II14)+1,0)</f>
        <v>8</v>
      </c>
      <c r="IJ15" s="259">
        <f>IF($AD15="rettifiche costi pluriennali",MAX($IJ$2:IJ14)+1,0)</f>
        <v>0</v>
      </c>
      <c r="IK15" s="259">
        <f t="shared" si="114"/>
        <v>8</v>
      </c>
      <c r="IL15" s="259" t="str">
        <f t="shared" si="115"/>
        <v>MACCHINE D'UFFICIO</v>
      </c>
      <c r="IM15" s="259">
        <f t="shared" ca="1" si="116"/>
        <v>0</v>
      </c>
      <c r="IN15" s="259">
        <f t="shared" ca="1" si="141"/>
        <v>0</v>
      </c>
      <c r="IO15" s="259">
        <f>SUMIFS($IM$3:$IM$200,$IK$3:$IK$200,ROWS($IO$3:IO15))-SUMIFS($IN$3:$IN$200,$IK$3:$IK$200,ROWS($IO$3:IO15))</f>
        <v>0</v>
      </c>
      <c r="IP15" s="259" t="str">
        <f>IF(IO15&lt;0,INDEX($IJ$3:$IL$200,MATCH(ROWS($IP$3:IP15),$IJ$3:$IJ$200,0),3),"")</f>
        <v/>
      </c>
      <c r="IQ15" s="259">
        <f>IF(IP15&lt;&gt;"",MAX($IQ$2:IQ14)+1,0)</f>
        <v>0</v>
      </c>
      <c r="IR15" s="259" t="str">
        <f ca="1">IFERROR(INDEX($IP$3:$IQ$200,MATCH(ROWS($IR$3:IR15),$IQ$3:$IQ$200,0),1),"")</f>
        <v/>
      </c>
      <c r="IS15" s="259" t="str">
        <f t="shared" ca="1" si="117"/>
        <v/>
      </c>
      <c r="IT15" s="259" t="str">
        <f t="shared" ca="1" si="118"/>
        <v/>
      </c>
      <c r="IU15" s="259" t="str">
        <f t="shared" ca="1" si="119"/>
        <v/>
      </c>
      <c r="IV15" s="259" t="str">
        <f t="shared" ca="1" si="120"/>
        <v/>
      </c>
      <c r="IW15" s="259" t="str">
        <f t="shared" ca="1" si="121"/>
        <v/>
      </c>
      <c r="IX15" s="259" t="str">
        <f t="shared" ca="1" si="122"/>
        <v/>
      </c>
      <c r="IY15" s="259" t="str">
        <f t="shared" ca="1" si="123"/>
        <v/>
      </c>
      <c r="IZ15" s="259" t="str">
        <f t="shared" ca="1" si="124"/>
        <v/>
      </c>
      <c r="JA15" s="259" t="str">
        <f t="shared" ca="1" si="125"/>
        <v/>
      </c>
      <c r="JB15" s="259">
        <f t="shared" ca="1" si="32"/>
        <v>0</v>
      </c>
      <c r="JC15" s="259">
        <f t="shared" ca="1" si="126"/>
        <v>0</v>
      </c>
      <c r="JE15" s="259">
        <f ca="1">IFERROR(INDEX(LIBRO_GIORNALE!$N$11:$O$408,MATCH(ROWS($JE$2:JE14),LIBRO_GIORNALE!$O$11:$O$408,0),1),0)</f>
        <v>0</v>
      </c>
      <c r="JF15" s="259" t="str">
        <f t="shared" ca="1" si="127"/>
        <v>0</v>
      </c>
      <c r="JG15" s="259">
        <f t="shared" ca="1" si="128"/>
        <v>0</v>
      </c>
      <c r="JH15" s="259">
        <f ca="1">IF(JJ15&gt;0,0,MAX($JH$2:JH14)+1)</f>
        <v>13</v>
      </c>
      <c r="JI15" s="259">
        <f ca="1">IF(JG15&gt;0,MAX($JI$2:JI14)+1,0)</f>
        <v>0</v>
      </c>
      <c r="JJ15" s="259">
        <f ca="1">IFERROR(INDEX($JG$3:$JI$124,MATCH(ROWS($JJ$3:JJ15),$JI$3:$JI$124,0),1),0)</f>
        <v>0</v>
      </c>
      <c r="JK15" s="259">
        <f t="shared" ca="1" si="129"/>
        <v>0</v>
      </c>
      <c r="JL15" s="259">
        <f t="shared" ca="1" si="130"/>
        <v>13</v>
      </c>
      <c r="JM15" s="259">
        <v>12</v>
      </c>
    </row>
    <row r="16" spans="1:273">
      <c r="A16" s="259" t="str">
        <f t="shared" si="33"/>
        <v>02.04</v>
      </c>
      <c r="B16" s="259" t="str">
        <f t="shared" si="34"/>
        <v>ATTREZZATURE COMMERCIALI</v>
      </c>
      <c r="C16" s="259" t="str">
        <f t="shared" si="35"/>
        <v>E</v>
      </c>
      <c r="D16" s="259" t="str">
        <f t="shared" si="36"/>
        <v>D</v>
      </c>
      <c r="E16" s="259" t="str">
        <f t="shared" si="37"/>
        <v>COSTI PLURIENNALI</v>
      </c>
      <c r="F16" s="259" t="str">
        <f t="shared" si="38"/>
        <v>SP DARE</v>
      </c>
      <c r="G16" s="259">
        <f t="shared" ca="1" si="39"/>
        <v>1</v>
      </c>
      <c r="H16" s="259">
        <f t="shared" ca="1" si="40"/>
        <v>1</v>
      </c>
      <c r="I16" s="259">
        <f t="shared" ca="1" si="41"/>
        <v>1</v>
      </c>
      <c r="J16" s="259">
        <v>13</v>
      </c>
      <c r="K16" s="259" t="str">
        <f ca="1">IFERROR(IF($I$1=1,INDEX($AA$3:$AS$220,MATCH(ROWS($K$3:K16),$AQ$3:$AQ$220,0),1),IF($I$1=2,INDEX($AA$3:$AS$220,MATCH(ROWS($K$3:K16),$AR$3:$AR$220,0),1),IF($I$1=3,INDEX($AA$3:$AS$220,MATCH(ROWS($K$3:K16),$AS$3:$AS$220,0),1),""))),"")</f>
        <v>ARREDAMENTO</v>
      </c>
      <c r="L16" s="259">
        <f ca="1">IF(AND($L$1="VISUALIZZA TUTTI I CONTI",K16&lt;&gt;""),MAX(L15:L15)+1,IFERROR(IF($J$1=1,IF(INDEX(PIANO_DEI_CONTI,MATCH($K16,DENOMINAZIONE,0),5)=$L$1,MAX($L$2:L15)+1,0),IF($J$1=2,IF(INDEX(PIANO_DEI_CONTI,MATCH($K16,DENOMINAZIONE,0),7)=$L$1,MAX($L$2:L15)+1,0))),0))</f>
        <v>14</v>
      </c>
      <c r="M16" s="259" t="str">
        <f ca="1">IFERROR(INDEX($K$3:$K$220,MATCH(ROWS($M$3:M16),$L$3:$L$220,0),1),"")</f>
        <v>ARREDAMENTO</v>
      </c>
      <c r="N16" s="259" t="s">
        <v>8</v>
      </c>
      <c r="O16" s="259" t="str">
        <f t="shared" ca="1" si="42"/>
        <v/>
      </c>
      <c r="P16" s="259">
        <f ca="1">IF(AND(N16=O16,O16&lt;&gt;""),MAX(P$2:P15)+1,0)</f>
        <v>0</v>
      </c>
      <c r="Q16" s="259" t="str">
        <f ca="1">IF(IFERROR(INDEX($O$3:$P$220,MATCH(ROWS(Q$3:Q16),$P$3:$P$220,0),1),"")=0,"",IFERROR(INDEX($O$3:$P$220,MATCH(ROWS(Q$3:Q16),$P$3:$P$220,0),1),""))</f>
        <v>DEBITI COMMERCIALI</v>
      </c>
      <c r="R16" s="259" t="str">
        <f t="shared" si="1"/>
        <v>ARREDAMENTO</v>
      </c>
      <c r="S16" s="259">
        <f ca="1">IF(IFERROR(MATCH(R16,DENOMINAZIONE_GIORNALE,0),0)&gt;0,MAX(S$2:S15)+1,0)</f>
        <v>0</v>
      </c>
      <c r="T16" s="259" t="str">
        <f ca="1">IFERROR(INDEX($R$3:$S$220,MATCH(ROWS($T$3:T16),$S$3:$S$220,0),1),"")</f>
        <v/>
      </c>
      <c r="U16" s="259">
        <f t="shared" ca="1" si="2"/>
        <v>0</v>
      </c>
      <c r="V16" s="259">
        <f ca="1">IF(IF(U16&lt;&gt;0,MAX($V$2:V15)+1,0)=0,0,IF(U16&lt;&gt;0,MAX($V$2:V15)+1,0))</f>
        <v>0</v>
      </c>
      <c r="W16" s="259" t="str">
        <f t="shared" si="43"/>
        <v>02.04</v>
      </c>
      <c r="X16" s="259" t="str">
        <f t="shared" si="44"/>
        <v>ATTREZZATURE COMMERCIALI</v>
      </c>
      <c r="Y16" s="259">
        <f>IF(W16="",0,MAX($Y$2:Y15)+1)</f>
        <v>12</v>
      </c>
      <c r="Z16" s="259" t="str">
        <f>IFERROR(INDEX($W$3:$Y$220,MATCH(ROWS($Z$2:Z15),$Y$3:$Y$220,0),1),"")</f>
        <v>02.06</v>
      </c>
      <c r="AA16" s="259" t="str">
        <f t="shared" si="45"/>
        <v>ARREDAMENTO</v>
      </c>
      <c r="AB16" s="259" t="str">
        <f t="shared" si="46"/>
        <v>E</v>
      </c>
      <c r="AC16" s="259" t="str">
        <f t="shared" si="47"/>
        <v>D</v>
      </c>
      <c r="AD16" s="259" t="str">
        <f t="shared" si="48"/>
        <v>COSTI PLURIENNALI</v>
      </c>
      <c r="AE16" s="259" t="str">
        <f t="shared" si="49"/>
        <v>SP DARE</v>
      </c>
      <c r="AF16" s="259" t="str">
        <f t="shared" si="50"/>
        <v>IMMOBILIZZAZIONI MATERIALI</v>
      </c>
      <c r="AG16" s="259">
        <f t="shared" ca="1" si="51"/>
        <v>1</v>
      </c>
      <c r="AH16" s="259">
        <f t="shared" ca="1" si="52"/>
        <v>1</v>
      </c>
      <c r="AI16" s="259">
        <f t="shared" ca="1" si="53"/>
        <v>1</v>
      </c>
      <c r="AJ16" s="259" t="str">
        <f t="shared" si="54"/>
        <v>02</v>
      </c>
      <c r="AK16" s="259" t="str">
        <f t="shared" si="55"/>
        <v/>
      </c>
      <c r="AL16" s="259">
        <f>IF(AK16&lt;&gt;"",MAX($AL$2:AL15)+1,0)</f>
        <v>0</v>
      </c>
      <c r="AM16" s="259" t="str">
        <f>IFERROR(INDEX($AK$3:$AL$220,MATCH(ROWS($AM$3:AM16),$AL$3:$AL$220,0),1),"")</f>
        <v>15</v>
      </c>
      <c r="AN16" s="259" t="str">
        <f t="shared" si="56"/>
        <v>15.00</v>
      </c>
      <c r="AO16" s="259" t="str">
        <f t="shared" si="57"/>
        <v>DEBITI DIVERSI</v>
      </c>
      <c r="AP16" s="259" t="str">
        <f t="shared" si="58"/>
        <v>IMMOBILIZZAZIONI MATERIALI</v>
      </c>
      <c r="AQ16" s="259">
        <f ca="1">IF(OR(AG16=0,AG16=""),0,MAX(AQ$2:AQ15)+1)</f>
        <v>9</v>
      </c>
      <c r="AR16" s="259">
        <f ca="1">IF(OR(AH16=0,AH16=""),0,MAX(AR$2:AR15)+1)</f>
        <v>11</v>
      </c>
      <c r="AS16" s="259">
        <f ca="1">IF(OR(AI16=0,AI16=""),0,MAX(AS$2:AS15)+1)</f>
        <v>14</v>
      </c>
      <c r="AT16" s="259" t="str">
        <f ca="1">IFERROR(INDEX($AD$3:$AS$220,MATCH(ROWS(AT$3:AT16),AQ$3:AQ$220,0),1),"")</f>
        <v>COSTI SOSPESI</v>
      </c>
      <c r="AU16" s="259" t="str">
        <f ca="1">IFERROR(INDEX($AD$3:$AS$220,MATCH(ROWS(AU$3:AU16),AR$3:AR$220,0),1),"")</f>
        <v>RETTIFICHE COSTI PLURIENNALI</v>
      </c>
      <c r="AV16" s="259" t="str">
        <f ca="1">IFERROR(INDEX($AD$3:$AS$220,MATCH(ROWS(AV$3:AV16),AS$3:AS$220,0),1),"")</f>
        <v>COSTI PLURIENNALI</v>
      </c>
      <c r="AW16" s="259" t="str">
        <f ca="1">IFERROR(INDEX($AP$3:$AS$220,MATCH(ROWS(AW$3:AW16),AQ$3:AQ$220,0),1),"")</f>
        <v>RIMANENZE</v>
      </c>
      <c r="AX16" s="259" t="str">
        <f ca="1">IFERROR(INDEX($AP$3:$AS$220,MATCH(ROWS(AX$3:AX16),AR$3:AR$220,0),1),"")</f>
        <v>IMMOBILIZZAZIONI MATERIALI</v>
      </c>
      <c r="AY16" s="259" t="str">
        <f ca="1">IFERROR(INDEX($AP$3:$AS$220,MATCH(ROWS(AY$3:AY16),AS$3:AS$220,0),1),"")</f>
        <v>IMMOBILIZZAZIONI MATERIALI</v>
      </c>
      <c r="AZ16" s="276" t="str">
        <f t="shared" ca="1" si="59"/>
        <v/>
      </c>
      <c r="BA16" s="259">
        <f t="shared" ca="1" si="3"/>
        <v>0</v>
      </c>
      <c r="BB16" s="259">
        <f ca="1">IFERROR(INDEX($FG$3:$FL$400,MATCH(ROWS($BB$3:BB16),$FL$3:$FL$400,0),1),0)</f>
        <v>0</v>
      </c>
      <c r="BC16" s="259" t="str">
        <f t="shared" ca="1" si="60"/>
        <v/>
      </c>
      <c r="BD16" s="259">
        <f ca="1">IFERROR(INDEX($FG$3:$FL$400,MATCH(ROWS($BD$3:BD16),$FL$3:$FL$400,0),4),0)</f>
        <v>0</v>
      </c>
      <c r="BE16" s="259">
        <f ca="1">IFERROR(INDEX($FG$3:$FL$400,MATCH(ROWS($BE$3:BE16),$FL$3:$FL$400,0),5),0)</f>
        <v>0</v>
      </c>
      <c r="BG16" s="259" t="str">
        <f t="shared" si="4"/>
        <v/>
      </c>
      <c r="BH16" s="259">
        <f ca="1">IF(IFERROR(MATCH(BG16,DENOMINAZIONE_GIORNALE,0),0)&gt;0,MAX(BH$2:BH15)+1,0)</f>
        <v>0</v>
      </c>
      <c r="BI16" s="259" t="str">
        <f ca="1">IFERROR(INDEX($BG$3:$BH$220,MATCH(ROWS($BI$3:BI16),$BH$3:$BH$220,0),1),"")</f>
        <v/>
      </c>
      <c r="BJ16" s="259" t="str">
        <f t="shared" ca="1" si="5"/>
        <v/>
      </c>
      <c r="BK16" s="259" t="str">
        <f ca="1">IF(IF(BJ16&lt;&gt;"",MAX($BK$2:BK15)+1,0)=0,"",IF(BJ16&lt;&gt;"",MAX($BK$2:BK15)+1,0))</f>
        <v/>
      </c>
      <c r="BL16" s="259" t="str">
        <f ca="1">IFERROR(INDEX($T$3:$U$220, MATCH(ROWS(BL$3:BL16),$V$3:$V$220,0),1),"")</f>
        <v/>
      </c>
      <c r="BM16" s="259" t="str">
        <f ca="1">IFERROR(INDEX($T$3:$U$220, MATCH(ROWS(BM$3:BM16),$V$3:$V$220,0),2),"")</f>
        <v/>
      </c>
      <c r="BN16" s="259" t="str">
        <f ca="1">IF(IFERROR(INDEX($BI$3:$BJ$220,MATCH(ROWS(BN$3:BN16),$BK$3:$BK$220,0),1),"")="PATRIMONIO NETTO","",IFERROR(INDEX($BI$3:$BJ$220,MATCH(ROWS(BN$3:BN16),$BK$3:$BK$220,0),1),""))</f>
        <v/>
      </c>
      <c r="BO16" s="259" t="str">
        <f ca="1">IFERROR(INDEX($BI$3:$BJ$220,MATCH(ROWS(BO$3:BO16),$BK$3:$BK$220,0),2),"")</f>
        <v/>
      </c>
      <c r="BP16" s="259">
        <f ca="1">IF(BN16&lt;&gt;"",MAX(BP$2:$BP15)+1,0)</f>
        <v>0</v>
      </c>
      <c r="BQ16" s="259" t="str">
        <f ca="1">IFERROR(INDEX($BN$3:$BO$200,MATCH(ROWS(BQ$3:BQ16),$BP$3:$BP$220,0),1),"")</f>
        <v/>
      </c>
      <c r="BR16" s="259" t="str">
        <f ca="1">IFERROR(INDEX($BN$3:$BO$220,MATCH(ROWS(BR$3:BR16),$BP$3:$BP$220,0),2),"")</f>
        <v/>
      </c>
      <c r="BS16" s="259" t="str">
        <f ca="1">IFERROR(IF(OR(INDEX($T$3:$U$220,MATCH(ROWS(BL$3:BL16),$V$3:$V$220,0),1)="PRELEVAMENTI EXTRAGESTIONE",INDEX($T$3:$U$220,MATCH(ROWS(BL$3:BL16),$V$3:$V$220,0),1)="TITOLARE C/RITENUTE SUBITE"),"",INDEX($T$3:$U$220,MATCH(ROWS(BL$3:BL16),$V$3:$V$220,0),1)),"")</f>
        <v/>
      </c>
      <c r="BT16" s="259">
        <f t="shared" ca="1" si="61"/>
        <v>0</v>
      </c>
      <c r="BU16" s="259">
        <f ca="1">IF(BS16&lt;&gt;"",MAX(BU$2:BU15)+1,0)</f>
        <v>0</v>
      </c>
      <c r="BV16" s="259" t="str">
        <f ca="1">IFERROR(INDEX($BS$3:$BT$223,MATCH(ROWS(BV$3:BV16),$BU$3:$BU$223,0),1),"")</f>
        <v/>
      </c>
      <c r="BW16" s="259">
        <f t="shared" ca="1" si="62"/>
        <v>0</v>
      </c>
      <c r="BX16" s="259" t="str">
        <f t="shared" ca="1" si="63"/>
        <v/>
      </c>
      <c r="BY16" s="259" t="str">
        <f t="shared" ca="1" si="64"/>
        <v/>
      </c>
      <c r="BZ16" s="259" t="str">
        <f ca="1">IFERROR(IF(OR($DS$231&lt;&gt;$DT$231,$DU$231&lt;&gt;$DV$231,$EO$25&lt;&gt;0,$EO$26&lt;&gt;0),INDEX($T$3:$V$220,MATCH(ROWS($BV$3:BV16),$V$3:$V$220,0),1),CONCATENATE(BV16,BY16)),"")</f>
        <v/>
      </c>
      <c r="CA16" s="259">
        <f t="shared" ca="1" si="65"/>
        <v>0</v>
      </c>
      <c r="CB16" s="259" t="str">
        <f ca="1">IFERROR(IF(OR($BB$1&lt;&gt;$BD$1,$BC$1&lt;&gt;$BE$1,$DS$231&lt;&gt;$DT$231,$DU$231&lt;&gt;$DV$231,$EO$25&lt;&gt;0,$EO$26&lt;&gt;0),INDEX($BI$3:$BK$220,MATCH(ROWS($CB$3:CB16),$BK$3:$BK$220,0),1),CONCATENATE(BQ16,BX16)),"")</f>
        <v/>
      </c>
      <c r="CC16" s="259" t="str">
        <f t="shared" ca="1" si="66"/>
        <v/>
      </c>
      <c r="CD16" s="259" t="str">
        <f t="shared" si="6"/>
        <v/>
      </c>
      <c r="CE16" s="259">
        <f ca="1">IF(IFERROR(MATCH(CD16,DENOMINAZIONE_GIORNALE,0),0)&gt;0,MAX(CE$2:CE15)+1,0)</f>
        <v>0</v>
      </c>
      <c r="CF16" s="259" t="str">
        <f ca="1">IFERROR(INDEX($CD$3:$CE$220,MATCH(ROWS($CF$3:CF16),$CE$3:$CE$220,0),1),"")</f>
        <v/>
      </c>
      <c r="CG16" s="259">
        <f t="shared" ca="1" si="7"/>
        <v>0</v>
      </c>
      <c r="CH16" s="259" t="str">
        <f ca="1">IF(IF(CG16&lt;&gt;0,MAX($CH$2:CH15)+1,0)=0,"",IF(CG16&lt;&gt;"",MAX($CH$2:CH15)+1,0))</f>
        <v/>
      </c>
      <c r="CI16" s="259" t="str">
        <f ca="1">IFERROR(INDEX($CF$3:$CG$220,MATCH(ROWS($CI$3:CI16),$CH$3:$CH$220,0),1),"")</f>
        <v/>
      </c>
      <c r="CJ16" s="259" t="str">
        <f t="shared" ca="1" si="67"/>
        <v/>
      </c>
      <c r="CK16" s="259" t="str">
        <f t="shared" si="8"/>
        <v/>
      </c>
      <c r="CL16" s="259">
        <f ca="1">IF(IFERROR(MATCH(CK16,DENOMINAZIONE_GIORNALE,0),0)&gt;0,MAX(CL$2:CL15)+1,0)</f>
        <v>0</v>
      </c>
      <c r="CM16" s="259" t="str">
        <f ca="1">IFERROR(INDEX($CK$3:$CL$220,MATCH(ROWS($CM$3:CM16),$CL$3:$CL$220,0),1),"")</f>
        <v/>
      </c>
      <c r="CN16" s="259" t="str">
        <f t="shared" ca="1" si="9"/>
        <v/>
      </c>
      <c r="CO16" s="259">
        <f ca="1">IF(IF(CN16&lt;&gt;0,MAX($CO$2:CO15)+1,0)=0,"",IF(CN16&lt;&gt;"",MAX($CO$2:CO15)+1,0))</f>
        <v>0</v>
      </c>
      <c r="CP16" s="259" t="str">
        <f ca="1">IFERROR(INDEX($CM$3:$CN$220,MATCH(ROWS(CP$3:CP16),$CO$3:$CO$220,0),1),"")</f>
        <v/>
      </c>
      <c r="CQ16" s="259" t="str">
        <f ca="1">IFERROR(INDEX($CM$3:$CN$220,MATCH(ROWS(CQ$3:CQ16),$CO$3:$CO$220,0),2),"")</f>
        <v/>
      </c>
      <c r="CR16" s="259" t="str">
        <f t="shared" ca="1" si="10"/>
        <v/>
      </c>
      <c r="CS16" s="259">
        <f t="shared" ca="1" si="11"/>
        <v>0</v>
      </c>
      <c r="CT16" s="259">
        <f t="shared" ca="1" si="12"/>
        <v>0</v>
      </c>
      <c r="CU16" s="259">
        <f ca="1">IF(OR(CS16&gt;0,CT16&gt;0),MAX($CU$2:CU15)+1,0)</f>
        <v>0</v>
      </c>
      <c r="CV16" s="259" t="str">
        <f ca="1">IFERROR(INDEX(PIANO_DEI_CONTI,MATCH(ROWS($CV$3:CV16),$CU$3:$CU$200,0),2),"")</f>
        <v/>
      </c>
      <c r="CW16" s="259">
        <f ca="1">IFERROR(IF(CV16&lt;&gt;"",MAX($CW$2:CW15)+1,0),0)</f>
        <v>0</v>
      </c>
      <c r="CX16" s="259">
        <f t="shared" ca="1" si="68"/>
        <v>1</v>
      </c>
      <c r="CY16" s="259" t="str">
        <f t="shared" ca="1" si="13"/>
        <v>MASTRO</v>
      </c>
      <c r="CZ16" s="259" t="e">
        <f t="shared" ca="1" si="131"/>
        <v>#N/A</v>
      </c>
      <c r="DA16" s="259" t="str">
        <f t="shared" ca="1" si="140"/>
        <v/>
      </c>
      <c r="DB16" s="259" t="str">
        <f t="shared" ca="1" si="132"/>
        <v/>
      </c>
      <c r="DC16" s="259" t="str">
        <f t="shared" ca="1" si="133"/>
        <v/>
      </c>
      <c r="DD16" s="259" t="str">
        <f t="shared" ca="1" si="134"/>
        <v/>
      </c>
      <c r="DE16" s="259" t="str">
        <f t="shared" ca="1" si="135"/>
        <v/>
      </c>
      <c r="DF16" s="259">
        <f ca="1">IF(AND(CX16=$DE$2,$DF$2&lt;&gt;0),0,IF(AND(DB16&lt;&gt;"",OR(DB15&lt;&gt;"",DB17&lt;&gt;"")),MAX($DF$2:DF15)+1,0))</f>
        <v>0</v>
      </c>
      <c r="DG16" s="259" t="str">
        <f>IF(OR(VALORI_INIZIALI!E21="",AND(VALORI_INIZIALI!E21&lt;&gt;"",VALORI_INIZIALI!H21=0,VALORI_INIZIALI!I21=0)),"",IFERROR(INDEX(PIANO_DEI_CONTI,MATCH(BB16,DENOMINAZIONE,0),1),0))</f>
        <v/>
      </c>
      <c r="DH16" s="259">
        <f ca="1">IFERROR(IF($J$1=1,IF(INDEX(PIANO_DEI_CONTI,MATCH($K16,DENOMINAZIONE,0),5)=$DF$1,MAX($DH$2:DH15)+1,0),IF($J$1=2,IF(INDEX(PIANO_DEI_CONTI,MATCH($K16,DENOMINAZIONE,0),7)=$DF$1,MAX($DH$2:DH15)+1,0))),0)</f>
        <v>0</v>
      </c>
      <c r="DI16" s="259">
        <f ca="1">IFERROR(INDEX($K$3:$K$220,MATCH(ROWS($DI$3:DI16),$DH$3:$DH$220,0),1),0)</f>
        <v>0</v>
      </c>
      <c r="DJ16" s="259">
        <f t="shared" ca="1" si="14"/>
        <v>0</v>
      </c>
      <c r="DK16" s="259">
        <f ca="1">IF(DJ16=0,0,MAX(DK$2:DK15)+1)</f>
        <v>0</v>
      </c>
      <c r="DL16" s="259">
        <f ca="1">IFERROR(INDEX(PIANO_DEI_CONTI,MATCH(ROWS(DL$3:DL16),$DK$3:DK243,0),2),0)</f>
        <v>0</v>
      </c>
      <c r="DM16" s="259">
        <f t="shared" ca="1" si="15"/>
        <v>0</v>
      </c>
      <c r="DN16" s="259">
        <f t="shared" ca="1" si="16"/>
        <v>0</v>
      </c>
      <c r="DO16" s="259">
        <f t="shared" ca="1" si="69"/>
        <v>0</v>
      </c>
      <c r="DP16" s="259">
        <f t="shared" ca="1" si="70"/>
        <v>0</v>
      </c>
      <c r="DQ16" s="259">
        <f ca="1">IF(OR($DQ$1="TOTALI",$DQ$1="TOTALI ED ECCEDENZE"),IF(OR(DM16&gt;0,DN16&gt;0),MAX(DQ$2:DQ15)+1,0),IF($DQ$1="ECCEDENZE",IF(OR(DO16&gt;0,DP16&gt;0),MAX(DQ$2:DQ15)+1,0),""))</f>
        <v>0</v>
      </c>
      <c r="DR16" s="259" t="str">
        <f ca="1">IFERROR(INDEX($DL$3:$DQ$230,MATCH(ROWS(DR$3:DR16),$DQ$3:$DQ$230,0),1),"")</f>
        <v/>
      </c>
      <c r="DS16" s="259" t="str">
        <f t="shared" ca="1" si="71"/>
        <v/>
      </c>
      <c r="DT16" s="259" t="str">
        <f t="shared" ca="1" si="72"/>
        <v/>
      </c>
      <c r="DU16" s="259" t="str">
        <f t="shared" ca="1" si="73"/>
        <v/>
      </c>
      <c r="DV16" s="259" t="str">
        <f t="shared" ca="1" si="74"/>
        <v/>
      </c>
      <c r="DW16" s="259">
        <f t="shared" ca="1" si="75"/>
        <v>0</v>
      </c>
      <c r="DX16" s="259" t="str">
        <f t="shared" ca="1" si="76"/>
        <v/>
      </c>
      <c r="DY16" s="259" t="str">
        <f t="shared" ca="1" si="77"/>
        <v/>
      </c>
      <c r="DZ16" s="259" t="str">
        <f t="shared" ca="1" si="78"/>
        <v/>
      </c>
      <c r="EA16" s="259">
        <f t="shared" ca="1" si="79"/>
        <v>14</v>
      </c>
      <c r="EB16" s="259" t="s">
        <v>349</v>
      </c>
      <c r="ED16" s="259">
        <f t="shared" ca="1" si="17"/>
        <v>0</v>
      </c>
      <c r="EE16" s="259" t="str">
        <f t="shared" ca="1" si="18"/>
        <v/>
      </c>
      <c r="EF16" s="259" t="str">
        <f t="shared" ca="1" si="19"/>
        <v/>
      </c>
      <c r="EG16" s="259" t="str">
        <f t="shared" ca="1" si="136"/>
        <v/>
      </c>
      <c r="EH16" s="259" t="str">
        <f t="shared" ca="1" si="80"/>
        <v/>
      </c>
      <c r="EI16" s="260" t="b">
        <f t="shared" ca="1" si="137"/>
        <v>1</v>
      </c>
      <c r="EJ16" s="260" t="b">
        <f t="shared" ca="1" si="138"/>
        <v>1</v>
      </c>
      <c r="EK16" s="260" t="b">
        <f t="shared" ca="1" si="139"/>
        <v>1</v>
      </c>
      <c r="EL16" s="259">
        <f t="shared" si="81"/>
        <v>14</v>
      </c>
      <c r="EM16" s="259">
        <f ca="1">IF(AND(BA16&gt;0,BA16&lt;=$EM$1),MAX($EM$2:EM15)+1,0)</f>
        <v>0</v>
      </c>
      <c r="EN16" s="259">
        <f t="shared" ca="1" si="82"/>
        <v>16</v>
      </c>
      <c r="EP16" s="259" t="str">
        <f t="shared" ca="1" si="20"/>
        <v/>
      </c>
      <c r="EQ16" s="259">
        <f t="shared" ca="1" si="21"/>
        <v>0</v>
      </c>
      <c r="ER16" s="259">
        <f ca="1">IF(ISNA(EQ16),MAX(ER$2:ER15)+1,0)</f>
        <v>0</v>
      </c>
      <c r="ES16" s="259" t="str">
        <f t="shared" ca="1" si="83"/>
        <v/>
      </c>
      <c r="ET16" s="259" t="str">
        <f ca="1">IFERROR(UPPER(INDEX($ER$3:$ES$500,MATCH(ROWS(ET$3:ET16),$ER$3:$ER$500,0),2)),"")</f>
        <v/>
      </c>
      <c r="EU16" s="259" t="s">
        <v>454</v>
      </c>
      <c r="EV16" s="259">
        <f ca="1">IF(AND(BX1&gt;0,IG21=0),MAX(EV3:EV15)+1,0)</f>
        <v>0</v>
      </c>
      <c r="EW16" s="259" t="str">
        <f ca="1">IF(AND(IFERROR(INDEX($EU$3:$EV$30,MATCH(ROWS($EX$3:EX16),$EV$3:$EV$30,0),1),"")&lt;&gt;"",EW17&lt;&gt;""),CONCATENATE(IFERROR(INDEX($EU$3:$EV$30,MATCH(ROWS($EX$3:EX16),$EV$3:$EV$30,0),1),"")," - "),IFERROR(INDEX($EU$3:$EV$30,MATCH(ROWS($EX$3:EX16),$EV$3:$EV$30,0),1),""))</f>
        <v/>
      </c>
      <c r="EY16" s="259">
        <f t="shared" ca="1" si="84"/>
        <v>0</v>
      </c>
      <c r="EZ16" s="259">
        <f t="shared" ca="1" si="84"/>
        <v>0</v>
      </c>
      <c r="FA16" s="259" t="str">
        <f t="shared" ca="1" si="85"/>
        <v/>
      </c>
      <c r="FB16" s="259">
        <f t="shared" ca="1" si="86"/>
        <v>0</v>
      </c>
      <c r="FC16" s="259">
        <f t="shared" ca="1" si="87"/>
        <v>0</v>
      </c>
      <c r="FD16" s="259">
        <f t="shared" ca="1" si="22"/>
        <v>0</v>
      </c>
      <c r="FE16" s="259" t="str">
        <f t="shared" ca="1" si="23"/>
        <v/>
      </c>
      <c r="FF16" s="259" t="str">
        <f t="shared" ca="1" si="88"/>
        <v/>
      </c>
      <c r="FG16" s="259" t="str">
        <f t="shared" si="89"/>
        <v>ARREDAMENTO</v>
      </c>
      <c r="FH16" s="259">
        <f t="shared" ca="1" si="24"/>
        <v>0</v>
      </c>
      <c r="FI16" s="259">
        <f t="shared" ca="1" si="25"/>
        <v>0</v>
      </c>
      <c r="FJ16" s="259">
        <f t="shared" ca="1" si="90"/>
        <v>0</v>
      </c>
      <c r="FK16" s="259">
        <f t="shared" ca="1" si="91"/>
        <v>0</v>
      </c>
      <c r="FL16" s="259">
        <f ca="1">IF(OR(FJ16&gt;0,FK16&gt;0),MAX($FL$2:FL15)+1,0)</f>
        <v>0</v>
      </c>
      <c r="FM16" s="259">
        <f t="shared" ca="1" si="26"/>
        <v>0</v>
      </c>
      <c r="FN16" s="259">
        <f ca="1">IF(FM16&lt;0,MAX($FN$2:FN15)+1,0)</f>
        <v>0</v>
      </c>
      <c r="FO16" s="259" t="str">
        <f t="shared" ca="1" si="92"/>
        <v/>
      </c>
      <c r="FP16" s="259" t="str">
        <f ca="1">IFERROR(INDEX($FN$3:$FO$400,MATCH(ROWS($FP$3:FP16),$FN$3:$FN$400,0),2),"")</f>
        <v/>
      </c>
      <c r="FQ16" s="259" t="str">
        <f>IF(AE16="SE AVERE",MAX($FQ$2:FQ15)+1,"")</f>
        <v/>
      </c>
      <c r="FR16" s="259" t="str">
        <f>IF(AE16="SE DARE",MAX($FR$2:FR15)+1,"")</f>
        <v/>
      </c>
      <c r="FS16" s="259">
        <f ca="1">IF(AND(AE16="SP DARE",AA16&lt;&gt;$FS$1,AA16&lt;&gt;$FT$1),MAX($FS$2:FS15)+1,IF(AND(GQ16="SP DARE",AA16&lt;&gt;$FS$1,AA16&lt;&gt;$FT$1),MAX($FS$2:FS15)+1,""))</f>
        <v>99</v>
      </c>
      <c r="FT16" s="259" t="str">
        <f ca="1">IF(AND(AE16="SP AVERE",AA16&lt;&gt;$FU$1),MAX($FT$2:FT15)+1,IF(AND(GQ16="SP AVERE",AA16&lt;&gt;$FU$1),MAX($FT$2:FT15)+1,""))</f>
        <v/>
      </c>
      <c r="FU16" s="259">
        <f t="shared" ca="1" si="93"/>
        <v>99</v>
      </c>
      <c r="FV16" s="259" t="str">
        <f t="shared" si="94"/>
        <v>ARREDAMENTO</v>
      </c>
      <c r="FW16" s="259" t="str">
        <f ca="1">IFERROR(INDEX($FU$3:$FV$500,MATCH(ROWS($FW$3:FW16),$FU$3:$FU$500,0),2),0)</f>
        <v>MERCI C/RIMANENZE FINALI</v>
      </c>
      <c r="FX16" s="259">
        <f t="shared" ca="1" si="95"/>
        <v>14</v>
      </c>
      <c r="FY16" s="259">
        <f t="shared" ca="1" si="96"/>
        <v>0</v>
      </c>
      <c r="FZ16" s="259">
        <f ca="1">IF(FY16&gt;0,MAX($FZ$2:FZ15)+1,0)</f>
        <v>0</v>
      </c>
      <c r="GA16" s="259">
        <f ca="1">IFERROR(INDEX($FY$3:$FZ$500,MATCH(ROWS($GA$3:GA16),$FZ$3:$FZ$500,0),1),0)</f>
        <v>88</v>
      </c>
      <c r="GB16" s="259" t="str">
        <f>FT1</f>
        <v>TITOLARE C/RITENUTE SUBITE</v>
      </c>
      <c r="GC16" s="259">
        <f t="shared" ca="1" si="97"/>
        <v>14</v>
      </c>
      <c r="GD16" s="259" t="str">
        <f t="shared" ca="1" si="98"/>
        <v>MERCI C/RIMANENZE FINALI</v>
      </c>
      <c r="GF16" s="259">
        <f ca="1">IFERROR(INDEX($T$3:$U$500,MATCH(GB16,$T$3:$T$500,0),2),0)</f>
        <v>0</v>
      </c>
      <c r="GG16" s="259">
        <f t="shared" ca="1" si="27"/>
        <v>0</v>
      </c>
      <c r="GH16" s="259">
        <f t="shared" ca="1" si="99"/>
        <v>0</v>
      </c>
      <c r="GI16" s="259">
        <f t="shared" ca="1" si="100"/>
        <v>0</v>
      </c>
      <c r="GJ16" s="259">
        <f t="shared" ca="1" si="101"/>
        <v>0</v>
      </c>
      <c r="GK16" s="259">
        <f t="shared" ca="1" si="102"/>
        <v>0</v>
      </c>
      <c r="GL16" s="259">
        <f t="shared" ca="1" si="103"/>
        <v>0</v>
      </c>
      <c r="GM16" s="259">
        <f ca="1">IF(OR(GK16&gt;0,GL16&gt;0),MAX($GM$2:GM15)+1,0)</f>
        <v>0</v>
      </c>
      <c r="GN16" s="259" t="str">
        <f ca="1">IFERROR(INDEX($GD$3:$GM$400,MATCH(ROWS($GN$3:GN16),$GM$3:$GM$400,0),1),"")</f>
        <v/>
      </c>
      <c r="GO16" s="259" t="str">
        <f ca="1">IFERROR(INDEX($GD$3:$GM$400,MATCH(ROWS($GO$3:GO16),$GM$3:$GM$400,0),8),"")</f>
        <v/>
      </c>
      <c r="GP16" s="259" t="str">
        <f ca="1">IFERROR(INDEX($GD$3:$GM$400,MATCH(ROWS($GP$3:GP16),$GM$3:$GM$400,0),9),"")</f>
        <v/>
      </c>
      <c r="GQ16" s="259">
        <f t="shared" ca="1" si="28"/>
        <v>0</v>
      </c>
      <c r="GR16" s="259">
        <f t="shared" ca="1" si="104"/>
        <v>0</v>
      </c>
      <c r="GS16" s="259" t="str">
        <f t="shared" si="105"/>
        <v>epilogo a Conto economico</v>
      </c>
      <c r="GT16" s="259" t="str">
        <f ca="1">IFERROR(INDEX($GD$3:$GS$400,MATCH(ROWS($GT$3:GT16),$GM$3:$GM$400,0),16),"")</f>
        <v/>
      </c>
      <c r="GU16" s="259">
        <f ca="1">IF(GQ16&lt;&gt;0,MAX($GU$2:$GU15)+1,0)</f>
        <v>0</v>
      </c>
      <c r="GV16" s="259">
        <f t="shared" ca="1" si="106"/>
        <v>0</v>
      </c>
      <c r="GW16" s="259" t="str">
        <f ca="1">IF(AND(IFERROR(INDEX($GU$3:$GV$400,MATCH(ROWS($GW$3:GW16),$GU$3:$GU$400,0),2),"")&lt;&gt;"",GW17&lt;&gt;""),CONCATENATE(IFERROR(INDEX($GU$3:$GV$400,MATCH(ROWS($GW$3:GW16),$GU$3:$GU$400,0),2),"")," - "),IFERROR(INDEX($GU$3:$GV$400,MATCH(ROWS($GW$3:GW16),$GU$3:$GU$400,0),2),""))</f>
        <v/>
      </c>
      <c r="GX16" s="259">
        <f ca="1">IF(OR(GN16="IVA NS/CREDITO",GN16="IVA NS/DEBITO",GN16="IVA C/ACCONTO",GN16="IMPOSTE C/ACCONTO"),MAX($GX$2:GX15)+1,0)</f>
        <v>0</v>
      </c>
      <c r="GY16" s="259" t="str">
        <f ca="1">IF(AND(IFERROR(INDEX($GN$3:$GX$200,MATCH(ROWS($GY$3:GY16),$GX$3:$GX$200,0),1),"")&lt;&gt;"",GY17&lt;&gt;""),CONCATENATE(IFERROR(INDEX($GN$3:$GX$200,MATCH(ROWS($GY$3:GY16),$GX$3:$GX$200,0),1),"")," - "),IFERROR(INDEX($GN$3:$GX$200,MATCH(ROWS($GY$3:GY16),$GX$3:$GX$200,0),1),""))</f>
        <v/>
      </c>
      <c r="GZ16" s="259" t="s">
        <v>30</v>
      </c>
      <c r="HA16" s="259" t="s">
        <v>626</v>
      </c>
      <c r="HB16" s="271" t="s">
        <v>256</v>
      </c>
      <c r="HC16" s="269" t="s">
        <v>276</v>
      </c>
      <c r="HD16" s="269" t="s">
        <v>9</v>
      </c>
      <c r="HE16" s="269" t="s">
        <v>206</v>
      </c>
      <c r="HL16" s="259" t="str">
        <f t="shared" ca="1" si="29"/>
        <v/>
      </c>
      <c r="HM16" s="259" t="str">
        <f t="shared" ca="1" si="30"/>
        <v/>
      </c>
      <c r="HN16" s="259" t="str">
        <f t="shared" ca="1" si="31"/>
        <v/>
      </c>
      <c r="HO16" s="259">
        <f ca="1">IF(HL16&lt;&gt;"",MAX($HO$2:HO15)+1,0)</f>
        <v>0</v>
      </c>
      <c r="HP16" s="259">
        <f ca="1">IF(HM16&lt;&gt;"",MAX($HP$2:HP15)+1,0)</f>
        <v>0</v>
      </c>
      <c r="HQ16" s="259">
        <f ca="1">IF(HN16&lt;&gt;"",MAX($HQ$2:HQ15)+1,0)</f>
        <v>0</v>
      </c>
      <c r="HR16" s="259" t="str">
        <f t="shared" ca="1" si="107"/>
        <v/>
      </c>
      <c r="HS16" s="259" t="str">
        <f t="shared" ca="1" si="108"/>
        <v/>
      </c>
      <c r="HT16" s="259">
        <f t="shared" ca="1" si="109"/>
        <v>0</v>
      </c>
      <c r="HU16" s="259">
        <f t="shared" ca="1" si="110"/>
        <v>0</v>
      </c>
      <c r="HV16" s="259" t="str">
        <f ca="1">CONCATENATE(IFERROR(INDEX($HS$3:$HT$102,MATCH(ROWS($HV$3:HV16),$HT$3:$HT$102,0),1),""),HR16)</f>
        <v/>
      </c>
      <c r="IC16" s="259">
        <f ca="1">IFERROR(INDEX(PIANO_DEI_CONTI,MATCH(ROWS(DL$3:DL16),$DK$3:DK243,0),2),0)</f>
        <v>0</v>
      </c>
      <c r="ID16" s="259">
        <f t="shared" ca="1" si="111"/>
        <v>0</v>
      </c>
      <c r="IE16" s="259">
        <f t="shared" ca="1" si="112"/>
        <v>0</v>
      </c>
      <c r="IF16" s="259">
        <f t="shared" ca="1" si="113"/>
        <v>0</v>
      </c>
      <c r="IG16" s="259">
        <f ca="1">IF(IG17&gt;0,"",0)</f>
        <v>0</v>
      </c>
      <c r="IH16" s="259">
        <f ca="1">IF(IG16&lt;&gt;0,MAX($IH$2:IH15)+1,0)</f>
        <v>0</v>
      </c>
      <c r="II16" s="259">
        <f>IF(AD16="costi pluriennali",MAX($II$2:II15)+1,0)</f>
        <v>9</v>
      </c>
      <c r="IJ16" s="259">
        <f>IF($AD16="rettifiche costi pluriennali",MAX($IJ$2:IJ15)+1,0)</f>
        <v>0</v>
      </c>
      <c r="IK16" s="259">
        <f t="shared" si="114"/>
        <v>9</v>
      </c>
      <c r="IL16" s="259" t="str">
        <f t="shared" si="115"/>
        <v>ARREDAMENTO</v>
      </c>
      <c r="IM16" s="259">
        <f t="shared" ca="1" si="116"/>
        <v>0</v>
      </c>
      <c r="IN16" s="259">
        <f t="shared" ca="1" si="141"/>
        <v>0</v>
      </c>
      <c r="IO16" s="259">
        <f>SUMIFS($IM$3:$IM$200,$IK$3:$IK$200,ROWS($IO$3:IO16))-SUMIFS($IN$3:$IN$200,$IK$3:$IK$200,ROWS($IO$3:IO16))</f>
        <v>0</v>
      </c>
      <c r="IP16" s="259" t="str">
        <f>IF(IO16&lt;0,INDEX($IJ$3:$IL$200,MATCH(ROWS($IP$3:IP16),$IJ$3:$IJ$200,0),3),"")</f>
        <v/>
      </c>
      <c r="IQ16" s="259">
        <f>IF(IP16&lt;&gt;"",MAX($IQ$2:IQ15)+1,0)</f>
        <v>0</v>
      </c>
      <c r="IR16" s="259" t="str">
        <f ca="1">IFERROR(INDEX($IP$3:$IQ$200,MATCH(ROWS($IR$3:IR16),$IQ$3:$IQ$200,0),1),"")</f>
        <v/>
      </c>
      <c r="IS16" s="259" t="str">
        <f t="shared" ca="1" si="117"/>
        <v/>
      </c>
      <c r="IT16" s="259" t="str">
        <f t="shared" ca="1" si="118"/>
        <v/>
      </c>
      <c r="IU16" s="259" t="str">
        <f t="shared" ca="1" si="119"/>
        <v/>
      </c>
      <c r="IV16" s="259" t="str">
        <f t="shared" ca="1" si="120"/>
        <v/>
      </c>
      <c r="IW16" s="259" t="str">
        <f t="shared" ca="1" si="121"/>
        <v/>
      </c>
      <c r="IX16" s="259" t="str">
        <f t="shared" ca="1" si="122"/>
        <v/>
      </c>
      <c r="IY16" s="259" t="str">
        <f t="shared" ca="1" si="123"/>
        <v/>
      </c>
      <c r="IZ16" s="259" t="str">
        <f t="shared" ca="1" si="124"/>
        <v/>
      </c>
      <c r="JA16" s="259" t="str">
        <f t="shared" ca="1" si="125"/>
        <v/>
      </c>
      <c r="JB16" s="259">
        <f t="shared" ca="1" si="32"/>
        <v>0</v>
      </c>
      <c r="JC16" s="259">
        <f t="shared" ca="1" si="126"/>
        <v>0</v>
      </c>
      <c r="JE16" s="259">
        <f ca="1">IFERROR(INDEX(LIBRO_GIORNALE!$N$11:$O$408,MATCH(ROWS($JE$2:JE15),LIBRO_GIORNALE!$O$11:$O$408,0),1),0)</f>
        <v>0</v>
      </c>
      <c r="JF16" s="259" t="str">
        <f t="shared" ca="1" si="127"/>
        <v>0</v>
      </c>
      <c r="JG16" s="259">
        <f t="shared" ca="1" si="128"/>
        <v>0</v>
      </c>
      <c r="JH16" s="259">
        <f ca="1">IF(JJ16&gt;0,0,MAX($JH$2:JH15)+1)</f>
        <v>14</v>
      </c>
      <c r="JI16" s="259">
        <f ca="1">IF(JG16&gt;0,MAX($JI$2:JI15)+1,0)</f>
        <v>0</v>
      </c>
      <c r="JJ16" s="259">
        <f ca="1">IFERROR(INDEX($JG$3:$JI$124,MATCH(ROWS($JJ$3:JJ16),$JI$3:$JI$124,0),1),0)</f>
        <v>0</v>
      </c>
      <c r="JK16" s="259">
        <f t="shared" ca="1" si="129"/>
        <v>0</v>
      </c>
      <c r="JL16" s="259">
        <f t="shared" ca="1" si="130"/>
        <v>14</v>
      </c>
      <c r="JM16" s="259">
        <v>13</v>
      </c>
    </row>
    <row r="17" spans="1:273">
      <c r="A17" s="259" t="str">
        <f t="shared" si="33"/>
        <v>02.05</v>
      </c>
      <c r="B17" s="259" t="str">
        <f t="shared" si="34"/>
        <v>MACCHINE D'UFFICIO</v>
      </c>
      <c r="C17" s="259" t="str">
        <f t="shared" si="35"/>
        <v>E</v>
      </c>
      <c r="D17" s="259" t="str">
        <f t="shared" si="36"/>
        <v>D</v>
      </c>
      <c r="E17" s="259" t="str">
        <f t="shared" si="37"/>
        <v>COSTI PLURIENNALI</v>
      </c>
      <c r="F17" s="259" t="str">
        <f t="shared" si="38"/>
        <v>SP DARE</v>
      </c>
      <c r="G17" s="259">
        <f t="shared" ca="1" si="39"/>
        <v>1</v>
      </c>
      <c r="H17" s="259">
        <f t="shared" ca="1" si="40"/>
        <v>1</v>
      </c>
      <c r="I17" s="259">
        <f t="shared" ca="1" si="41"/>
        <v>1</v>
      </c>
      <c r="J17" s="259">
        <v>14</v>
      </c>
      <c r="K17" s="259" t="str">
        <f ca="1">IFERROR(IF($I$1=1,INDEX($AA$3:$AS$220,MATCH(ROWS($K$3:K17),$AQ$3:$AQ$220,0),1),IF($I$1=2,INDEX($AA$3:$AS$220,MATCH(ROWS($K$3:K17),$AR$3:$AR$220,0),1),IF($I$1=3,INDEX($AA$3:$AS$220,MATCH(ROWS($K$3:K17),$AS$3:$AS$220,0),1),""))),"")</f>
        <v>AUTOMEZZI</v>
      </c>
      <c r="L17" s="259">
        <f ca="1">IF(AND($L$1="VISUALIZZA TUTTI I CONTI",K17&lt;&gt;""),MAX(L16:L16)+1,IFERROR(IF($J$1=1,IF(INDEX(PIANO_DEI_CONTI,MATCH($K17,DENOMINAZIONE,0),5)=$L$1,MAX($L$2:L16)+1,0),IF($J$1=2,IF(INDEX(PIANO_DEI_CONTI,MATCH($K17,DENOMINAZIONE,0),7)=$L$1,MAX($L$2:L16)+1,0))),0))</f>
        <v>15</v>
      </c>
      <c r="M17" s="259" t="str">
        <f ca="1">IFERROR(INDEX($K$3:$K$220,MATCH(ROWS($M$3:M17),$L$3:$L$220,0),1),"")</f>
        <v>AUTOMEZZI</v>
      </c>
      <c r="N17" s="259" t="s">
        <v>267</v>
      </c>
      <c r="O17" s="259" t="str">
        <f t="shared" ca="1" si="42"/>
        <v/>
      </c>
      <c r="P17" s="259">
        <f ca="1">IF(AND(N17=O17,O17&lt;&gt;""),MAX(P$2:P16)+1,0)</f>
        <v>0</v>
      </c>
      <c r="Q17" s="259" t="str">
        <f ca="1">IF(IFERROR(INDEX($O$3:$P$220,MATCH(ROWS(Q$3:Q17),$P$3:$P$220,0),1),"")=0,"",IFERROR(INDEX($O$3:$P$220,MATCH(ROWS(Q$3:Q17),$P$3:$P$220,0),1),""))</f>
        <v>DEBITI DIVERSI</v>
      </c>
      <c r="R17" s="259" t="str">
        <f t="shared" si="1"/>
        <v>AUTOMEZZI</v>
      </c>
      <c r="S17" s="259">
        <f ca="1">IF(IFERROR(MATCH(R17,DENOMINAZIONE_GIORNALE,0),0)&gt;0,MAX(S$2:S16)+1,0)</f>
        <v>0</v>
      </c>
      <c r="T17" s="259" t="str">
        <f ca="1">IFERROR(INDEX($R$3:$S$220,MATCH(ROWS($T$3:T17),$S$3:$S$220,0),1),"")</f>
        <v/>
      </c>
      <c r="U17" s="259">
        <f t="shared" ca="1" si="2"/>
        <v>0</v>
      </c>
      <c r="V17" s="259">
        <f ca="1">IF(IF(U17&lt;&gt;0,MAX($V$2:V16)+1,0)=0,0,IF(U17&lt;&gt;0,MAX($V$2:V16)+1,0))</f>
        <v>0</v>
      </c>
      <c r="W17" s="259" t="str">
        <f t="shared" si="43"/>
        <v>02.05</v>
      </c>
      <c r="X17" s="259" t="str">
        <f t="shared" si="44"/>
        <v>MACCHINE D'UFFICIO</v>
      </c>
      <c r="Y17" s="259">
        <f>IF(W17="",0,MAX($Y$2:Y16)+1)</f>
        <v>13</v>
      </c>
      <c r="Z17" s="259" t="str">
        <f>IFERROR(INDEX($W$3:$Y$220,MATCH(ROWS($Z$2:Z16),$Y$3:$Y$220,0),1),"")</f>
        <v>02.07</v>
      </c>
      <c r="AA17" s="259" t="str">
        <f t="shared" si="45"/>
        <v>AUTOMEZZI</v>
      </c>
      <c r="AB17" s="259" t="str">
        <f t="shared" si="46"/>
        <v>E</v>
      </c>
      <c r="AC17" s="259" t="str">
        <f t="shared" si="47"/>
        <v>D</v>
      </c>
      <c r="AD17" s="259" t="str">
        <f t="shared" si="48"/>
        <v>COSTI PLURIENNALI</v>
      </c>
      <c r="AE17" s="259" t="str">
        <f t="shared" si="49"/>
        <v>SP DARE</v>
      </c>
      <c r="AF17" s="259" t="str">
        <f t="shared" si="50"/>
        <v>IMMOBILIZZAZIONI MATERIALI</v>
      </c>
      <c r="AG17" s="259">
        <f t="shared" ca="1" si="51"/>
        <v>1</v>
      </c>
      <c r="AH17" s="259">
        <f t="shared" ca="1" si="52"/>
        <v>1</v>
      </c>
      <c r="AI17" s="259">
        <f t="shared" ca="1" si="53"/>
        <v>1</v>
      </c>
      <c r="AJ17" s="259" t="str">
        <f t="shared" si="54"/>
        <v>02</v>
      </c>
      <c r="AK17" s="259" t="str">
        <f t="shared" si="55"/>
        <v/>
      </c>
      <c r="AL17" s="259">
        <f>IF(AK17&lt;&gt;"",MAX($AL$2:AL16)+1,0)</f>
        <v>0</v>
      </c>
      <c r="AM17" s="259" t="str">
        <f>IFERROR(INDEX($AK$3:$AL$220,MATCH(ROWS($AM$3:AM17),$AL$3:$AL$220,0),1),"")</f>
        <v>16</v>
      </c>
      <c r="AN17" s="259" t="str">
        <f t="shared" si="56"/>
        <v>16.00</v>
      </c>
      <c r="AO17" s="259" t="str">
        <f t="shared" si="57"/>
        <v>RATEI E RISCONTI PASSIVI</v>
      </c>
      <c r="AP17" s="259" t="str">
        <f t="shared" si="58"/>
        <v>IMMOBILIZZAZIONI MATERIALI</v>
      </c>
      <c r="AQ17" s="259">
        <f ca="1">IF(OR(AG17=0,AG17=""),0,MAX(AQ$2:AQ16)+1)</f>
        <v>10</v>
      </c>
      <c r="AR17" s="259">
        <f ca="1">IF(OR(AH17=0,AH17=""),0,MAX(AR$2:AR16)+1)</f>
        <v>12</v>
      </c>
      <c r="AS17" s="259">
        <f ca="1">IF(OR(AI17=0,AI17=""),0,MAX(AS$2:AS16)+1)</f>
        <v>15</v>
      </c>
      <c r="AT17" s="259" t="str">
        <f ca="1">IFERROR(INDEX($AD$3:$AS$220,MATCH(ROWS(AT$3:AT17),AQ$3:AQ$220,0),1),"")</f>
        <v>COSTI SOSPESI</v>
      </c>
      <c r="AU17" s="259" t="str">
        <f ca="1">IFERROR(INDEX($AD$3:$AS$220,MATCH(ROWS(AU$3:AU17),AR$3:AR$220,0),1),"")</f>
        <v>RETTIFICHE COSTI PLURIENNALI</v>
      </c>
      <c r="AV17" s="259" t="str">
        <f ca="1">IFERROR(INDEX($AD$3:$AS$220,MATCH(ROWS(AV$3:AV17),AS$3:AS$220,0),1),"")</f>
        <v>COSTI PLURIENNALI</v>
      </c>
      <c r="AW17" s="259" t="str">
        <f ca="1">IFERROR(INDEX($AP$3:$AS$220,MATCH(ROWS(AW$3:AW17),AQ$3:AQ$220,0),1),"")</f>
        <v>RIMANENZE</v>
      </c>
      <c r="AX17" s="259" t="str">
        <f ca="1">IFERROR(INDEX($AP$3:$AS$220,MATCH(ROWS(AX$3:AX17),AR$3:AR$220,0),1),"")</f>
        <v>IMMOBILIZZAZIONI MATERIALI</v>
      </c>
      <c r="AY17" s="259" t="str">
        <f ca="1">IFERROR(INDEX($AP$3:$AS$220,MATCH(ROWS(AY$3:AY17),AS$3:AS$220,0),1),"")</f>
        <v>IMMOBILIZZAZIONI MATERIALI</v>
      </c>
      <c r="AZ17" s="276" t="str">
        <f t="shared" ca="1" si="59"/>
        <v/>
      </c>
      <c r="BA17" s="259">
        <f t="shared" ca="1" si="3"/>
        <v>0</v>
      </c>
      <c r="BB17" s="259">
        <f ca="1">IFERROR(INDEX($FG$3:$FL$400,MATCH(ROWS($BB$3:BB17),$FL$3:$FL$400,0),1),0)</f>
        <v>0</v>
      </c>
      <c r="BC17" s="259" t="str">
        <f t="shared" ca="1" si="60"/>
        <v/>
      </c>
      <c r="BD17" s="259">
        <f ca="1">IFERROR(INDEX($FG$3:$FL$400,MATCH(ROWS($BD$3:BD17),$FL$3:$FL$400,0),4),0)</f>
        <v>0</v>
      </c>
      <c r="BE17" s="259">
        <f ca="1">IFERROR(INDEX($FG$3:$FL$400,MATCH(ROWS($BE$3:BE17),$FL$3:$FL$400,0),5),0)</f>
        <v>0</v>
      </c>
      <c r="BG17" s="259" t="str">
        <f t="shared" si="4"/>
        <v/>
      </c>
      <c r="BH17" s="259">
        <f ca="1">IF(IFERROR(MATCH(BG17,DENOMINAZIONE_GIORNALE,0),0)&gt;0,MAX(BH$2:BH16)+1,0)</f>
        <v>0</v>
      </c>
      <c r="BI17" s="259" t="str">
        <f ca="1">IFERROR(INDEX($BG$3:$BH$220,MATCH(ROWS($BI$3:BI17),$BH$3:$BH$220,0),1),"")</f>
        <v/>
      </c>
      <c r="BJ17" s="259" t="str">
        <f t="shared" ca="1" si="5"/>
        <v/>
      </c>
      <c r="BK17" s="259" t="str">
        <f ca="1">IF(IF(BJ17&lt;&gt;"",MAX($BK$2:BK16)+1,0)=0,"",IF(BJ17&lt;&gt;"",MAX($BK$2:BK16)+1,0))</f>
        <v/>
      </c>
      <c r="BL17" s="259" t="str">
        <f ca="1">IFERROR(INDEX($T$3:$U$220, MATCH(ROWS(BL$3:BL17),$V$3:$V$220,0),1),"")</f>
        <v/>
      </c>
      <c r="BM17" s="259" t="str">
        <f ca="1">IFERROR(INDEX($T$3:$U$220, MATCH(ROWS(BM$3:BM17),$V$3:$V$220,0),2),"")</f>
        <v/>
      </c>
      <c r="BN17" s="259" t="str">
        <f ca="1">IF(IFERROR(INDEX($BI$3:$BJ$220,MATCH(ROWS(BN$3:BN17),$BK$3:$BK$220,0),1),"")="PATRIMONIO NETTO","",IFERROR(INDEX($BI$3:$BJ$220,MATCH(ROWS(BN$3:BN17),$BK$3:$BK$220,0),1),""))</f>
        <v/>
      </c>
      <c r="BO17" s="259" t="str">
        <f ca="1">IFERROR(INDEX($BI$3:$BJ$220,MATCH(ROWS(BO$3:BO17),$BK$3:$BK$220,0),2),"")</f>
        <v/>
      </c>
      <c r="BP17" s="259">
        <f ca="1">IF(BN17&lt;&gt;"",MAX(BP$2:$BP16)+1,0)</f>
        <v>0</v>
      </c>
      <c r="BQ17" s="259" t="str">
        <f ca="1">IFERROR(INDEX($BN$3:$BO$200,MATCH(ROWS(BQ$3:BQ17),$BP$3:$BP$220,0),1),"")</f>
        <v/>
      </c>
      <c r="BR17" s="259" t="str">
        <f ca="1">IFERROR(INDEX($BN$3:$BO$220,MATCH(ROWS(BR$3:BR17),$BP$3:$BP$220,0),2),"")</f>
        <v/>
      </c>
      <c r="BS17" s="259" t="str">
        <f ca="1">IFERROR(IF(OR(INDEX($T$3:$U$220,MATCH(ROWS(BL$3:BL17),$V$3:$V$220,0),1)="PRELEVAMENTI EXTRAGESTIONE",INDEX($T$3:$U$220,MATCH(ROWS(BL$3:BL17),$V$3:$V$220,0),1)="TITOLARE C/RITENUTE SUBITE"),"",INDEX($T$3:$U$220,MATCH(ROWS(BL$3:BL17),$V$3:$V$220,0),1)),"")</f>
        <v/>
      </c>
      <c r="BT17" s="259">
        <f t="shared" ca="1" si="61"/>
        <v>0</v>
      </c>
      <c r="BU17" s="259">
        <f ca="1">IF(BS17&lt;&gt;"",MAX(BU$2:BU16)+1,0)</f>
        <v>0</v>
      </c>
      <c r="BV17" s="259" t="str">
        <f ca="1">IFERROR(INDEX($BS$3:$BT$223,MATCH(ROWS(BV$3:BV17),$BU$3:$BU$223,0),1),"")</f>
        <v/>
      </c>
      <c r="BW17" s="259">
        <f t="shared" ca="1" si="62"/>
        <v>0</v>
      </c>
      <c r="BX17" s="259" t="str">
        <f t="shared" ca="1" si="63"/>
        <v/>
      </c>
      <c r="BY17" s="259" t="str">
        <f t="shared" ca="1" si="64"/>
        <v/>
      </c>
      <c r="BZ17" s="259" t="str">
        <f ca="1">IFERROR(IF(OR($DS$231&lt;&gt;$DT$231,$DU$231&lt;&gt;$DV$231,$EO$25&lt;&gt;0,$EO$26&lt;&gt;0),INDEX($T$3:$V$220,MATCH(ROWS($BV$3:BV17),$V$3:$V$220,0),1),CONCATENATE(BV17,BY17)),"")</f>
        <v/>
      </c>
      <c r="CA17" s="259">
        <f t="shared" ca="1" si="65"/>
        <v>0</v>
      </c>
      <c r="CB17" s="259" t="str">
        <f ca="1">IFERROR(IF(OR($BB$1&lt;&gt;$BD$1,$BC$1&lt;&gt;$BE$1,$DS$231&lt;&gt;$DT$231,$DU$231&lt;&gt;$DV$231,$EO$25&lt;&gt;0,$EO$26&lt;&gt;0),INDEX($BI$3:$BK$220,MATCH(ROWS($CB$3:CB17),$BK$3:$BK$220,0),1),CONCATENATE(BQ17,BX17)),"")</f>
        <v/>
      </c>
      <c r="CC17" s="259" t="str">
        <f t="shared" ca="1" si="66"/>
        <v/>
      </c>
      <c r="CD17" s="259" t="str">
        <f t="shared" si="6"/>
        <v/>
      </c>
      <c r="CE17" s="259">
        <f ca="1">IF(IFERROR(MATCH(CD17,DENOMINAZIONE_GIORNALE,0),0)&gt;0,MAX(CE$2:CE16)+1,0)</f>
        <v>0</v>
      </c>
      <c r="CF17" s="259" t="str">
        <f ca="1">IFERROR(INDEX($CD$3:$CE$220,MATCH(ROWS($CF$3:CF17),$CE$3:$CE$220,0),1),"")</f>
        <v/>
      </c>
      <c r="CG17" s="259">
        <f t="shared" ca="1" si="7"/>
        <v>0</v>
      </c>
      <c r="CH17" s="259" t="str">
        <f ca="1">IF(IF(CG17&lt;&gt;0,MAX($CH$2:CH16)+1,0)=0,"",IF(CG17&lt;&gt;"",MAX($CH$2:CH16)+1,0))</f>
        <v/>
      </c>
      <c r="CI17" s="259" t="str">
        <f ca="1">IFERROR(INDEX($CF$3:$CG$220,MATCH(ROWS($CI$3:CI17),$CH$3:$CH$220,0),1),"")</f>
        <v/>
      </c>
      <c r="CJ17" s="259" t="str">
        <f t="shared" ca="1" si="67"/>
        <v/>
      </c>
      <c r="CK17" s="259" t="str">
        <f t="shared" si="8"/>
        <v/>
      </c>
      <c r="CL17" s="259">
        <f ca="1">IF(IFERROR(MATCH(CK17,DENOMINAZIONE_GIORNALE,0),0)&gt;0,MAX(CL$2:CL16)+1,0)</f>
        <v>0</v>
      </c>
      <c r="CM17" s="259" t="str">
        <f ca="1">IFERROR(INDEX($CK$3:$CL$220,MATCH(ROWS($CM$3:CM17),$CL$3:$CL$220,0),1),"")</f>
        <v/>
      </c>
      <c r="CN17" s="259" t="str">
        <f t="shared" ca="1" si="9"/>
        <v/>
      </c>
      <c r="CO17" s="259">
        <f ca="1">IF(IF(CN17&lt;&gt;0,MAX($CO$2:CO16)+1,0)=0,"",IF(CN17&lt;&gt;"",MAX($CO$2:CO16)+1,0))</f>
        <v>0</v>
      </c>
      <c r="CP17" s="259" t="str">
        <f ca="1">IFERROR(INDEX($CM$3:$CN$220,MATCH(ROWS(CP$3:CP17),$CO$3:$CO$220,0),1),"")</f>
        <v/>
      </c>
      <c r="CQ17" s="259" t="str">
        <f ca="1">IFERROR(INDEX($CM$3:$CN$220,MATCH(ROWS(CQ$3:CQ17),$CO$3:$CO$220,0),2),"")</f>
        <v/>
      </c>
      <c r="CR17" s="259" t="str">
        <f t="shared" ca="1" si="10"/>
        <v/>
      </c>
      <c r="CS17" s="259">
        <f t="shared" ca="1" si="11"/>
        <v>0</v>
      </c>
      <c r="CT17" s="259">
        <f t="shared" ca="1" si="12"/>
        <v>0</v>
      </c>
      <c r="CU17" s="259">
        <f ca="1">IF(OR(CS17&gt;0,CT17&gt;0),MAX($CU$2:CU16)+1,0)</f>
        <v>0</v>
      </c>
      <c r="CV17" s="259" t="str">
        <f ca="1">IFERROR(INDEX(PIANO_DEI_CONTI,MATCH(ROWS($CV$3:CV17),$CU$3:$CU$200,0),2),"")</f>
        <v/>
      </c>
      <c r="CW17" s="259">
        <f ca="1">IFERROR(IF(CV17&lt;&gt;"",MAX($CW$2:CW16)+1,0),0)</f>
        <v>0</v>
      </c>
      <c r="CX17" s="259">
        <f t="shared" ca="1" si="68"/>
        <v>1</v>
      </c>
      <c r="CY17" s="259" t="str">
        <f t="shared" ca="1" si="13"/>
        <v>MASTRO</v>
      </c>
      <c r="CZ17" s="259" t="e">
        <f t="shared" ca="1" si="131"/>
        <v>#N/A</v>
      </c>
      <c r="DA17" s="259" t="str">
        <f t="shared" ca="1" si="140"/>
        <v/>
      </c>
      <c r="DB17" s="259" t="str">
        <f t="shared" ca="1" si="132"/>
        <v/>
      </c>
      <c r="DC17" s="259" t="str">
        <f t="shared" ca="1" si="133"/>
        <v/>
      </c>
      <c r="DD17" s="259" t="str">
        <f t="shared" ca="1" si="134"/>
        <v/>
      </c>
      <c r="DE17" s="259" t="str">
        <f t="shared" ca="1" si="135"/>
        <v/>
      </c>
      <c r="DF17" s="259">
        <f ca="1">IF(AND(CX17=$DE$2,$DF$2&lt;&gt;0),0,IF(AND(DB17&lt;&gt;"",OR(DB16&lt;&gt;"",DB18&lt;&gt;"")),MAX($DF$2:DF16)+1,0))</f>
        <v>0</v>
      </c>
      <c r="DG17" s="259" t="str">
        <f>IF(OR(VALORI_INIZIALI!E22="",AND(VALORI_INIZIALI!E22&lt;&gt;"",VALORI_INIZIALI!H22=0,VALORI_INIZIALI!I22=0)),"",IFERROR(INDEX(PIANO_DEI_CONTI,MATCH(BB17,DENOMINAZIONE,0),1),0))</f>
        <v/>
      </c>
      <c r="DH17" s="259">
        <f ca="1">IFERROR(IF($J$1=1,IF(INDEX(PIANO_DEI_CONTI,MATCH($K17,DENOMINAZIONE,0),5)=$DF$1,MAX($DH$2:DH16)+1,0),IF($J$1=2,IF(INDEX(PIANO_DEI_CONTI,MATCH($K17,DENOMINAZIONE,0),7)=$DF$1,MAX($DH$2:DH16)+1,0))),0)</f>
        <v>0</v>
      </c>
      <c r="DI17" s="259">
        <f ca="1">IFERROR(INDEX($K$3:$K$220,MATCH(ROWS($DI$3:DI17),$DH$3:$DH$220,0),1),0)</f>
        <v>0</v>
      </c>
      <c r="DJ17" s="259">
        <f t="shared" ca="1" si="14"/>
        <v>0</v>
      </c>
      <c r="DK17" s="259">
        <f ca="1">IF(DJ17=0,0,MAX(DK$2:DK16)+1)</f>
        <v>0</v>
      </c>
      <c r="DL17" s="259">
        <f ca="1">IFERROR(INDEX(PIANO_DEI_CONTI,MATCH(ROWS(DL$3:DL17),$DK$3:DK244,0),2),0)</f>
        <v>0</v>
      </c>
      <c r="DM17" s="259">
        <f t="shared" ca="1" si="15"/>
        <v>0</v>
      </c>
      <c r="DN17" s="259">
        <f t="shared" ca="1" si="16"/>
        <v>0</v>
      </c>
      <c r="DO17" s="259">
        <f t="shared" ca="1" si="69"/>
        <v>0</v>
      </c>
      <c r="DP17" s="259">
        <f t="shared" ca="1" si="70"/>
        <v>0</v>
      </c>
      <c r="DQ17" s="259">
        <f ca="1">IF(OR($DQ$1="TOTALI",$DQ$1="TOTALI ED ECCEDENZE"),IF(OR(DM17&gt;0,DN17&gt;0),MAX(DQ$2:DQ16)+1,0),IF($DQ$1="ECCEDENZE",IF(OR(DO17&gt;0,DP17&gt;0),MAX(DQ$2:DQ16)+1,0),""))</f>
        <v>0</v>
      </c>
      <c r="DR17" s="259" t="str">
        <f ca="1">IFERROR(INDEX($DL$3:$DQ$230,MATCH(ROWS(DR$3:DR17),$DQ$3:$DQ$230,0),1),"")</f>
        <v/>
      </c>
      <c r="DS17" s="259" t="str">
        <f t="shared" ca="1" si="71"/>
        <v/>
      </c>
      <c r="DT17" s="259" t="str">
        <f t="shared" ca="1" si="72"/>
        <v/>
      </c>
      <c r="DU17" s="259" t="str">
        <f t="shared" ca="1" si="73"/>
        <v/>
      </c>
      <c r="DV17" s="259" t="str">
        <f t="shared" ca="1" si="74"/>
        <v/>
      </c>
      <c r="DW17" s="259">
        <f t="shared" ca="1" si="75"/>
        <v>0</v>
      </c>
      <c r="DX17" s="259" t="str">
        <f t="shared" ca="1" si="76"/>
        <v/>
      </c>
      <c r="DY17" s="259" t="str">
        <f t="shared" ca="1" si="77"/>
        <v/>
      </c>
      <c r="DZ17" s="259" t="str">
        <f t="shared" ca="1" si="78"/>
        <v/>
      </c>
      <c r="EA17" s="259">
        <f t="shared" ca="1" si="79"/>
        <v>15</v>
      </c>
      <c r="EB17" s="259" t="s">
        <v>349</v>
      </c>
      <c r="ED17" s="259">
        <f t="shared" ca="1" si="17"/>
        <v>0</v>
      </c>
      <c r="EE17" s="259" t="str">
        <f t="shared" ca="1" si="18"/>
        <v/>
      </c>
      <c r="EF17" s="259" t="str">
        <f t="shared" ca="1" si="19"/>
        <v/>
      </c>
      <c r="EG17" s="259" t="str">
        <f t="shared" ca="1" si="136"/>
        <v/>
      </c>
      <c r="EH17" s="259" t="str">
        <f t="shared" ca="1" si="80"/>
        <v/>
      </c>
      <c r="EI17" s="260" t="b">
        <f t="shared" ca="1" si="137"/>
        <v>1</v>
      </c>
      <c r="EJ17" s="260" t="b">
        <f t="shared" ca="1" si="138"/>
        <v>1</v>
      </c>
      <c r="EK17" s="260" t="b">
        <f t="shared" ca="1" si="139"/>
        <v>1</v>
      </c>
      <c r="EL17" s="259">
        <f t="shared" si="81"/>
        <v>15</v>
      </c>
      <c r="EM17" s="259">
        <f ca="1">IF(AND(BA17&gt;0,BA17&lt;=$EM$1),MAX($EM$2:EM16)+1,0)</f>
        <v>0</v>
      </c>
      <c r="EN17" s="259">
        <f t="shared" ca="1" si="82"/>
        <v>17</v>
      </c>
      <c r="EP17" s="259" t="str">
        <f t="shared" ca="1" si="20"/>
        <v/>
      </c>
      <c r="EQ17" s="259">
        <f t="shared" ca="1" si="21"/>
        <v>0</v>
      </c>
      <c r="ER17" s="259">
        <f ca="1">IF(ISNA(EQ17),MAX(ER$2:ER16)+1,0)</f>
        <v>0</v>
      </c>
      <c r="ES17" s="259" t="str">
        <f t="shared" ca="1" si="83"/>
        <v/>
      </c>
      <c r="ET17" s="259" t="str">
        <f ca="1">IFERROR(UPPER(INDEX($ER$3:$ES$500,MATCH(ROWS(ET$3:ET17),$ER$3:$ER$500,0),2)),"")</f>
        <v/>
      </c>
      <c r="EU17" s="259" t="s">
        <v>455</v>
      </c>
      <c r="EV17" s="259">
        <f ca="1">IF(COUNTIFS($JA$103:$JA$400,"&gt;"&amp;$CW$1+1)&gt;=1,MAX($EV$3:EV16)+1,0)</f>
        <v>0</v>
      </c>
      <c r="EW17" s="259" t="str">
        <f ca="1">IF(AND(IFERROR(INDEX($EU$3:$EV$30,MATCH(ROWS($EX$3:EX17),$EV$3:$EV$30,0),1),"")&lt;&gt;"",EW18&lt;&gt;""),CONCATENATE(IFERROR(INDEX($EU$3:$EV$30,MATCH(ROWS($EX$3:EX17),$EV$3:$EV$30,0),1),"")," - "),IFERROR(INDEX($EU$3:$EV$30,MATCH(ROWS($EX$3:EX17),$EV$3:$EV$30,0),1),""))</f>
        <v/>
      </c>
      <c r="EY17" s="259">
        <f t="shared" ca="1" si="84"/>
        <v>0</v>
      </c>
      <c r="EZ17" s="259">
        <f t="shared" ca="1" si="84"/>
        <v>0</v>
      </c>
      <c r="FA17" s="259" t="str">
        <f t="shared" ca="1" si="85"/>
        <v/>
      </c>
      <c r="FB17" s="259">
        <f t="shared" ca="1" si="86"/>
        <v>0</v>
      </c>
      <c r="FC17" s="259">
        <f t="shared" ca="1" si="87"/>
        <v>0</v>
      </c>
      <c r="FD17" s="259">
        <f t="shared" ca="1" si="22"/>
        <v>0</v>
      </c>
      <c r="FE17" s="259" t="str">
        <f t="shared" ca="1" si="23"/>
        <v/>
      </c>
      <c r="FF17" s="259" t="str">
        <f t="shared" ca="1" si="88"/>
        <v/>
      </c>
      <c r="FG17" s="259" t="str">
        <f t="shared" si="89"/>
        <v>AUTOMEZZI</v>
      </c>
      <c r="FH17" s="259">
        <f t="shared" ca="1" si="24"/>
        <v>0</v>
      </c>
      <c r="FI17" s="259">
        <f t="shared" ca="1" si="25"/>
        <v>0</v>
      </c>
      <c r="FJ17" s="259">
        <f t="shared" ca="1" si="90"/>
        <v>0</v>
      </c>
      <c r="FK17" s="259">
        <f t="shared" ca="1" si="91"/>
        <v>0</v>
      </c>
      <c r="FL17" s="259">
        <f ca="1">IF(OR(FJ17&gt;0,FK17&gt;0),MAX($FL$2:FL16)+1,0)</f>
        <v>0</v>
      </c>
      <c r="FM17" s="259">
        <f t="shared" ca="1" si="26"/>
        <v>0</v>
      </c>
      <c r="FN17" s="259">
        <f ca="1">IF(FM17&lt;0,MAX($FN$2:FN16)+1,0)</f>
        <v>0</v>
      </c>
      <c r="FO17" s="259" t="str">
        <f t="shared" ca="1" si="92"/>
        <v/>
      </c>
      <c r="FP17" s="259" t="str">
        <f ca="1">IFERROR(INDEX($FN$3:$FO$400,MATCH(ROWS($FP$3:FP17),$FN$3:$FN$400,0),2),"")</f>
        <v/>
      </c>
      <c r="FQ17" s="259" t="str">
        <f>IF(AE17="SE AVERE",MAX($FQ$2:FQ16)+1,"")</f>
        <v/>
      </c>
      <c r="FR17" s="259" t="str">
        <f>IF(AE17="SE DARE",MAX($FR$2:FR16)+1,"")</f>
        <v/>
      </c>
      <c r="FS17" s="259">
        <f ca="1">IF(AND(AE17="SP DARE",AA17&lt;&gt;$FS$1,AA17&lt;&gt;$FT$1),MAX($FS$2:FS16)+1,IF(AND(GQ17="SP DARE",AA17&lt;&gt;$FS$1,AA17&lt;&gt;$FT$1),MAX($FS$2:FS16)+1,""))</f>
        <v>100</v>
      </c>
      <c r="FT17" s="259" t="str">
        <f ca="1">IF(AND(AE17="SP AVERE",AA17&lt;&gt;$FU$1),MAX($FT$2:FT16)+1,IF(AND(GQ17="SP AVERE",AA17&lt;&gt;$FU$1),MAX($FT$2:FT16)+1,""))</f>
        <v/>
      </c>
      <c r="FU17" s="259">
        <f t="shared" ca="1" si="93"/>
        <v>100</v>
      </c>
      <c r="FV17" s="259" t="str">
        <f t="shared" si="94"/>
        <v>AUTOMEZZI</v>
      </c>
      <c r="FW17" s="259" t="str">
        <f ca="1">IFERROR(INDEX($FU$3:$FV$500,MATCH(ROWS($FW$3:FW17),$FU$3:$FU$500,0),2),0)</f>
        <v>MATERIE DI CONSUMO C/RIMANENZE FINALI</v>
      </c>
      <c r="FX17" s="259">
        <f t="shared" ca="1" si="95"/>
        <v>15</v>
      </c>
      <c r="FY17" s="259">
        <f t="shared" ca="1" si="96"/>
        <v>0</v>
      </c>
      <c r="FZ17" s="259">
        <f ca="1">IF(FY17&gt;0,MAX($FZ$2:FZ16)+1,0)</f>
        <v>0</v>
      </c>
      <c r="GA17" s="259">
        <f ca="1">IFERROR(INDEX($FY$3:$FZ$500,MATCH(ROWS($GA$3:GA17),$FZ$3:$FZ$500,0),1),0)</f>
        <v>89</v>
      </c>
      <c r="GB17" s="259" t="s">
        <v>130</v>
      </c>
      <c r="GC17" s="259">
        <f t="shared" ca="1" si="97"/>
        <v>15</v>
      </c>
      <c r="GD17" s="259" t="str">
        <f t="shared" ca="1" si="98"/>
        <v>MATERIE DI CONSUMO C/RIMANENZE FINALI</v>
      </c>
      <c r="GE17" s="259">
        <f ca="1">CB1</f>
        <v>0</v>
      </c>
      <c r="GG17" s="259">
        <f t="shared" ca="1" si="27"/>
        <v>0</v>
      </c>
      <c r="GH17" s="259">
        <f t="shared" ca="1" si="99"/>
        <v>0</v>
      </c>
      <c r="GI17" s="259">
        <f t="shared" ca="1" si="100"/>
        <v>0</v>
      </c>
      <c r="GJ17" s="259">
        <f t="shared" ca="1" si="101"/>
        <v>0</v>
      </c>
      <c r="GK17" s="259">
        <f t="shared" ca="1" si="102"/>
        <v>0</v>
      </c>
      <c r="GL17" s="259">
        <f t="shared" ca="1" si="103"/>
        <v>0</v>
      </c>
      <c r="GM17" s="259">
        <f ca="1">IF(OR(GK17&gt;0,GL17&gt;0),MAX($GM$2:GM16)+1,0)</f>
        <v>0</v>
      </c>
      <c r="GN17" s="259" t="str">
        <f ca="1">IFERROR(INDEX($GD$3:$GM$400,MATCH(ROWS($GN$3:GN17),$GM$3:$GM$400,0),1),"")</f>
        <v/>
      </c>
      <c r="GO17" s="259" t="str">
        <f ca="1">IFERROR(INDEX($GD$3:$GM$400,MATCH(ROWS($GO$3:GO17),$GM$3:$GM$400,0),8),"")</f>
        <v/>
      </c>
      <c r="GP17" s="259" t="str">
        <f ca="1">IFERROR(INDEX($GD$3:$GM$400,MATCH(ROWS($GP$3:GP17),$GM$3:$GM$400,0),9),"")</f>
        <v/>
      </c>
      <c r="GQ17" s="259">
        <f t="shared" ca="1" si="28"/>
        <v>0</v>
      </c>
      <c r="GR17" s="259">
        <f t="shared" ca="1" si="104"/>
        <v>0</v>
      </c>
      <c r="GS17" s="259" t="str">
        <f t="shared" si="105"/>
        <v>epilogo a Conto economico</v>
      </c>
      <c r="GT17" s="259" t="str">
        <f ca="1">IFERROR(INDEX($GD$3:$GS$400,MATCH(ROWS($GT$3:GT17),$GM$3:$GM$400,0),16),"")</f>
        <v/>
      </c>
      <c r="GU17" s="259">
        <f ca="1">IF(GQ17&lt;&gt;0,MAX($GU$2:$GU16)+1,0)</f>
        <v>0</v>
      </c>
      <c r="GV17" s="259">
        <f t="shared" ca="1" si="106"/>
        <v>0</v>
      </c>
      <c r="GW17" s="259" t="str">
        <f ca="1">IF(AND(IFERROR(INDEX($GU$3:$GV$400,MATCH(ROWS($GW$3:GW17),$GU$3:$GU$400,0),2),"")&lt;&gt;"",GW18&lt;&gt;""),CONCATENATE(IFERROR(INDEX($GU$3:$GV$400,MATCH(ROWS($GW$3:GW17),$GU$3:$GU$400,0),2),"")," - "),IFERROR(INDEX($GU$3:$GV$400,MATCH(ROWS($GW$3:GW17),$GU$3:$GU$400,0),2),""))</f>
        <v/>
      </c>
      <c r="GX17" s="259">
        <f ca="1">IF(OR(GN17="IVA NS/CREDITO",GN17="IVA NS/DEBITO",GN17="IVA C/ACCONTO",GN17="IMPOSTE C/ACCONTO"),MAX($GX$2:GX16)+1,0)</f>
        <v>0</v>
      </c>
      <c r="GY17" s="259" t="str">
        <f ca="1">IF(AND(IFERROR(INDEX($GN$3:$GX$200,MATCH(ROWS($GY$3:GY17),$GX$3:$GX$200,0),1),"")&lt;&gt;"",GY18&lt;&gt;""),CONCATENATE(IFERROR(INDEX($GN$3:$GX$200,MATCH(ROWS($GY$3:GY17),$GX$3:$GX$200,0),1),"")," - "),IFERROR(INDEX($GN$3:$GX$200,MATCH(ROWS($GY$3:GY17),$GX$3:$GX$200,0),1),""))</f>
        <v/>
      </c>
      <c r="GZ17" s="259" t="s">
        <v>31</v>
      </c>
      <c r="HA17" s="259" t="s">
        <v>24</v>
      </c>
      <c r="HB17" s="271" t="s">
        <v>256</v>
      </c>
      <c r="HC17" s="269" t="s">
        <v>276</v>
      </c>
      <c r="HD17" s="269" t="s">
        <v>9</v>
      </c>
      <c r="HE17" s="269" t="s">
        <v>206</v>
      </c>
      <c r="HL17" s="259" t="str">
        <f t="shared" ca="1" si="29"/>
        <v/>
      </c>
      <c r="HM17" s="259" t="str">
        <f t="shared" ca="1" si="30"/>
        <v/>
      </c>
      <c r="HN17" s="259" t="str">
        <f t="shared" ca="1" si="31"/>
        <v/>
      </c>
      <c r="HO17" s="259">
        <f ca="1">IF(HL17&lt;&gt;"",MAX($HO$2:HO16)+1,0)</f>
        <v>0</v>
      </c>
      <c r="HP17" s="259">
        <f ca="1">IF(HM17&lt;&gt;"",MAX($HP$2:HP16)+1,0)</f>
        <v>0</v>
      </c>
      <c r="HQ17" s="259">
        <f ca="1">IF(HN17&lt;&gt;"",MAX($HQ$2:HQ16)+1,0)</f>
        <v>0</v>
      </c>
      <c r="HR17" s="259" t="str">
        <f t="shared" ca="1" si="107"/>
        <v/>
      </c>
      <c r="HS17" s="259" t="str">
        <f t="shared" ca="1" si="108"/>
        <v/>
      </c>
      <c r="HT17" s="259">
        <f t="shared" ca="1" si="109"/>
        <v>0</v>
      </c>
      <c r="HU17" s="259">
        <f t="shared" ca="1" si="110"/>
        <v>0</v>
      </c>
      <c r="HV17" s="259" t="str">
        <f ca="1">CONCATENATE(IFERROR(INDEX($HS$3:$HT$102,MATCH(ROWS($HV$3:HV17),$HT$3:$HT$102,0),1),""),HR17)</f>
        <v/>
      </c>
      <c r="IA17" s="259" t="s">
        <v>354</v>
      </c>
      <c r="IB17" s="259" t="s">
        <v>294</v>
      </c>
      <c r="IC17" s="259">
        <f ca="1">IFERROR(INDEX(PIANO_DEI_CONTI,MATCH(ROWS(DL$3:DL17),$DK$3:DK244,0),2),0)</f>
        <v>0</v>
      </c>
      <c r="ID17" s="259">
        <f t="shared" ca="1" si="111"/>
        <v>0</v>
      </c>
      <c r="IE17" s="259">
        <f t="shared" ca="1" si="112"/>
        <v>0</v>
      </c>
      <c r="IF17" s="259">
        <f t="shared" ca="1" si="113"/>
        <v>0</v>
      </c>
      <c r="IG17" s="259">
        <f ca="1">IF(SUMIFS($ID$3:$ID$200,$IF$3:$IF$200,IA17)&gt;=SUMIFS($IE$3:$IE$200,$IF$3:$IF$200,IA17),ROUND(SUMIFS($ID$3:$ID$200,$IF$3:$IF$200,IA17)-SUMIFS($IE$3:$IE$200,$IF$3:$IF$200,IA17),0),0)</f>
        <v>0</v>
      </c>
      <c r="IH17" s="259">
        <f ca="1">IF(IG17&lt;&gt;0,MAX($IH$2:IH16)+1,0)</f>
        <v>0</v>
      </c>
      <c r="II17" s="259">
        <f>IF(AD17="costi pluriennali",MAX($II$2:II16)+1,0)</f>
        <v>10</v>
      </c>
      <c r="IJ17" s="259">
        <f>IF($AD17="rettifiche costi pluriennali",MAX($IJ$2:IJ16)+1,0)</f>
        <v>0</v>
      </c>
      <c r="IK17" s="259">
        <f t="shared" si="114"/>
        <v>10</v>
      </c>
      <c r="IL17" s="259" t="str">
        <f t="shared" si="115"/>
        <v>AUTOMEZZI</v>
      </c>
      <c r="IM17" s="259">
        <f t="shared" ca="1" si="116"/>
        <v>0</v>
      </c>
      <c r="IN17" s="259">
        <f t="shared" ca="1" si="141"/>
        <v>0</v>
      </c>
      <c r="IO17" s="259">
        <f>SUMIFS($IM$3:$IM$200,$IK$3:$IK$200,ROWS($IO$3:IO17))-SUMIFS($IN$3:$IN$200,$IK$3:$IK$200,ROWS($IO$3:IO17))</f>
        <v>0</v>
      </c>
      <c r="IP17" s="259" t="str">
        <f>IF(IO17&lt;0,INDEX($IJ$3:$IL$200,MATCH(ROWS($IP$3:IP17),$IJ$3:$IJ$200,0),3),"")</f>
        <v/>
      </c>
      <c r="IQ17" s="259">
        <f>IF(IP17&lt;&gt;"",MAX($IQ$2:IQ16)+1,0)</f>
        <v>0</v>
      </c>
      <c r="IR17" s="259" t="str">
        <f ca="1">IFERROR(INDEX($IP$3:$IQ$200,MATCH(ROWS($IR$3:IR17),$IQ$3:$IQ$200,0),1),"")</f>
        <v/>
      </c>
      <c r="IS17" s="259" t="str">
        <f t="shared" ca="1" si="117"/>
        <v/>
      </c>
      <c r="IT17" s="259" t="str">
        <f t="shared" ca="1" si="118"/>
        <v/>
      </c>
      <c r="IU17" s="259" t="str">
        <f t="shared" ca="1" si="119"/>
        <v/>
      </c>
      <c r="IV17" s="259" t="str">
        <f t="shared" ca="1" si="120"/>
        <v/>
      </c>
      <c r="IW17" s="259" t="str">
        <f t="shared" ca="1" si="121"/>
        <v/>
      </c>
      <c r="IX17" s="259" t="str">
        <f t="shared" ca="1" si="122"/>
        <v/>
      </c>
      <c r="IY17" s="259" t="str">
        <f t="shared" ca="1" si="123"/>
        <v/>
      </c>
      <c r="IZ17" s="259" t="str">
        <f t="shared" ca="1" si="124"/>
        <v/>
      </c>
      <c r="JA17" s="259" t="str">
        <f t="shared" ca="1" si="125"/>
        <v/>
      </c>
      <c r="JB17" s="259">
        <f t="shared" ca="1" si="32"/>
        <v>0</v>
      </c>
      <c r="JC17" s="259">
        <f t="shared" ca="1" si="126"/>
        <v>0</v>
      </c>
      <c r="JE17" s="259">
        <f ca="1">IFERROR(INDEX(LIBRO_GIORNALE!$N$11:$O$408,MATCH(ROWS($JE$2:JE16),LIBRO_GIORNALE!$O$11:$O$408,0),1),0)</f>
        <v>0</v>
      </c>
      <c r="JF17" s="259" t="str">
        <f t="shared" ca="1" si="127"/>
        <v>0</v>
      </c>
      <c r="JG17" s="259">
        <f t="shared" ca="1" si="128"/>
        <v>0</v>
      </c>
      <c r="JH17" s="259">
        <f ca="1">IF(JJ17&gt;0,0,MAX($JH$2:JH16)+1)</f>
        <v>15</v>
      </c>
      <c r="JI17" s="259">
        <f ca="1">IF(JG17&gt;0,MAX($JI$2:JI16)+1,0)</f>
        <v>0</v>
      </c>
      <c r="JJ17" s="259">
        <f ca="1">IFERROR(INDEX($JG$3:$JI$124,MATCH(ROWS($JJ$3:JJ17),$JI$3:$JI$124,0),1),0)</f>
        <v>0</v>
      </c>
      <c r="JK17" s="259">
        <f t="shared" ca="1" si="129"/>
        <v>0</v>
      </c>
      <c r="JL17" s="259">
        <f t="shared" ca="1" si="130"/>
        <v>15</v>
      </c>
      <c r="JM17" s="259">
        <v>14</v>
      </c>
    </row>
    <row r="18" spans="1:273">
      <c r="A18" s="259" t="str">
        <f t="shared" si="33"/>
        <v>02.06</v>
      </c>
      <c r="B18" s="259" t="str">
        <f t="shared" si="34"/>
        <v>ARREDAMENTO</v>
      </c>
      <c r="C18" s="259" t="str">
        <f t="shared" si="35"/>
        <v>E</v>
      </c>
      <c r="D18" s="259" t="str">
        <f t="shared" si="36"/>
        <v>D</v>
      </c>
      <c r="E18" s="259" t="str">
        <f t="shared" si="37"/>
        <v>COSTI PLURIENNALI</v>
      </c>
      <c r="F18" s="259" t="str">
        <f t="shared" si="38"/>
        <v>SP DARE</v>
      </c>
      <c r="G18" s="259">
        <f t="shared" ca="1" si="39"/>
        <v>1</v>
      </c>
      <c r="H18" s="259">
        <f t="shared" ca="1" si="40"/>
        <v>1</v>
      </c>
      <c r="I18" s="259">
        <f t="shared" ca="1" si="41"/>
        <v>1</v>
      </c>
      <c r="J18" s="259">
        <v>15</v>
      </c>
      <c r="K18" s="259" t="str">
        <f ca="1">IFERROR(IF($I$1=1,INDEX($AA$3:$AS$220,MATCH(ROWS($K$3:K18),$AQ$3:$AQ$220,0),1),IF($I$1=2,INDEX($AA$3:$AS$220,MATCH(ROWS($K$3:K18),$AR$3:$AR$220,0),1),IF($I$1=3,INDEX($AA$3:$AS$220,MATCH(ROWS($K$3:K18),$AS$3:$AS$220,0),1),""))),"")</f>
        <v>IMBALLAGGI DUREVOLI</v>
      </c>
      <c r="L18" s="259">
        <f ca="1">IF(AND($L$1="VISUALIZZA TUTTI I CONTI",K18&lt;&gt;""),MAX(L17:L17)+1,IFERROR(IF($J$1=1,IF(INDEX(PIANO_DEI_CONTI,MATCH($K18,DENOMINAZIONE,0),5)=$L$1,MAX($L$2:L17)+1,0),IF($J$1=2,IF(INDEX(PIANO_DEI_CONTI,MATCH($K18,DENOMINAZIONE,0),7)=$L$1,MAX($L$2:L17)+1,0))),0))</f>
        <v>16</v>
      </c>
      <c r="M18" s="259" t="str">
        <f ca="1">IFERROR(INDEX($K$3:$K$220,MATCH(ROWS($M$3:M18),$L$3:$L$220,0),1),"")</f>
        <v>IMBALLAGGI DUREVOLI</v>
      </c>
      <c r="N18" s="259" t="s">
        <v>439</v>
      </c>
      <c r="O18" s="259" t="str">
        <f t="shared" ca="1" si="42"/>
        <v/>
      </c>
      <c r="P18" s="259">
        <f ca="1">IF(AND(N18=O18,O18&lt;&gt;""),MAX(P$2:P17)+1,0)</f>
        <v>0</v>
      </c>
      <c r="Q18" s="259" t="str">
        <f ca="1">IF(IFERROR(INDEX($O$3:$P$220,MATCH(ROWS(Q$3:Q18),$P$3:$P$220,0),1),"")=0,"",IFERROR(INDEX($O$3:$P$220,MATCH(ROWS(Q$3:Q18),$P$3:$P$220,0),1),""))</f>
        <v>RATEI E RISCONTI PASSIVI</v>
      </c>
      <c r="R18" s="259" t="str">
        <f t="shared" si="1"/>
        <v>IMBALLAGGI DUREVOLI</v>
      </c>
      <c r="S18" s="259">
        <f ca="1">IF(IFERROR(MATCH(R18,DENOMINAZIONE_GIORNALE,0),0)&gt;0,MAX(S$2:S17)+1,0)</f>
        <v>0</v>
      </c>
      <c r="T18" s="259" t="str">
        <f ca="1">IFERROR(INDEX($R$3:$S$220,MATCH(ROWS($T$3:T18),$S$3:$S$220,0),1),"")</f>
        <v/>
      </c>
      <c r="U18" s="259">
        <f t="shared" ca="1" si="2"/>
        <v>0</v>
      </c>
      <c r="V18" s="259">
        <f ca="1">IF(IF(U18&lt;&gt;0,MAX($V$2:V17)+1,0)=0,0,IF(U18&lt;&gt;0,MAX($V$2:V17)+1,0))</f>
        <v>0</v>
      </c>
      <c r="W18" s="259" t="str">
        <f t="shared" si="43"/>
        <v>02.06</v>
      </c>
      <c r="X18" s="259" t="str">
        <f t="shared" si="44"/>
        <v>ARREDAMENTO</v>
      </c>
      <c r="Y18" s="259">
        <f>IF(W18="",0,MAX($Y$2:Y17)+1)</f>
        <v>14</v>
      </c>
      <c r="Z18" s="259" t="str">
        <f>IFERROR(INDEX($W$3:$Y$220,MATCH(ROWS($Z$2:Z17),$Y$3:$Y$220,0),1),"")</f>
        <v>02.08</v>
      </c>
      <c r="AA18" s="259" t="str">
        <f t="shared" si="45"/>
        <v>IMBALLAGGI DUREVOLI</v>
      </c>
      <c r="AB18" s="259" t="str">
        <f t="shared" si="46"/>
        <v>E</v>
      </c>
      <c r="AC18" s="259" t="str">
        <f t="shared" si="47"/>
        <v>D</v>
      </c>
      <c r="AD18" s="259" t="str">
        <f t="shared" si="48"/>
        <v>COSTI PLURIENNALI</v>
      </c>
      <c r="AE18" s="259" t="str">
        <f t="shared" si="49"/>
        <v>SP DARE</v>
      </c>
      <c r="AF18" s="259" t="str">
        <f t="shared" si="50"/>
        <v>IMMOBILIZZAZIONI MATERIALI</v>
      </c>
      <c r="AG18" s="259">
        <f t="shared" ca="1" si="51"/>
        <v>1</v>
      </c>
      <c r="AH18" s="259">
        <f t="shared" ca="1" si="52"/>
        <v>1</v>
      </c>
      <c r="AI18" s="259">
        <f t="shared" ca="1" si="53"/>
        <v>1</v>
      </c>
      <c r="AJ18" s="259" t="str">
        <f t="shared" si="54"/>
        <v>02</v>
      </c>
      <c r="AK18" s="259" t="str">
        <f t="shared" si="55"/>
        <v/>
      </c>
      <c r="AL18" s="259">
        <f>IF(AK18&lt;&gt;"",MAX($AL$2:AL17)+1,0)</f>
        <v>0</v>
      </c>
      <c r="AM18" s="259" t="str">
        <f>IFERROR(INDEX($AK$3:$AL$220,MATCH(ROWS($AM$3:AM18),$AL$3:$AL$220,0),1),"")</f>
        <v>18</v>
      </c>
      <c r="AN18" s="259" t="str">
        <f t="shared" si="56"/>
        <v>18.00</v>
      </c>
      <c r="AO18" s="259" t="str">
        <f t="shared" si="57"/>
        <v>CONTI TRANSITORI E DIVERSI</v>
      </c>
      <c r="AP18" s="259" t="str">
        <f t="shared" si="58"/>
        <v>IMMOBILIZZAZIONI MATERIALI</v>
      </c>
      <c r="AQ18" s="259">
        <f ca="1">IF(OR(AG18=0,AG18=""),0,MAX(AQ$2:AQ17)+1)</f>
        <v>11</v>
      </c>
      <c r="AR18" s="259">
        <f ca="1">IF(OR(AH18=0,AH18=""),0,MAX(AR$2:AR17)+1)</f>
        <v>13</v>
      </c>
      <c r="AS18" s="259">
        <f ca="1">IF(OR(AI18=0,AI18=""),0,MAX(AS$2:AS17)+1)</f>
        <v>16</v>
      </c>
      <c r="AT18" s="259" t="str">
        <f ca="1">IFERROR(INDEX($AD$3:$AS$220,MATCH(ROWS(AT$3:AT18),AQ$3:AQ$220,0),1),"")</f>
        <v>CREDITI</v>
      </c>
      <c r="AU18" s="259" t="str">
        <f ca="1">IFERROR(INDEX($AD$3:$AS$220,MATCH(ROWS(AU$3:AU18),AR$3:AR$220,0),1),"")</f>
        <v>RETTIFICHE COSTI PLURIENNALI</v>
      </c>
      <c r="AV18" s="259" t="str">
        <f ca="1">IFERROR(INDEX($AD$3:$AS$220,MATCH(ROWS(AV$3:AV18),AS$3:AS$220,0),1),"")</f>
        <v>COSTI PLURIENNALI</v>
      </c>
      <c r="AW18" s="259" t="str">
        <f ca="1">IFERROR(INDEX($AP$3:$AS$220,MATCH(ROWS(AW$3:AW18),AQ$3:AQ$220,0),1),"")</f>
        <v>RIMANENZE</v>
      </c>
      <c r="AX18" s="259" t="str">
        <f ca="1">IFERROR(INDEX($AP$3:$AS$220,MATCH(ROWS(AX$3:AX18),AR$3:AR$220,0),1),"")</f>
        <v>IMMOBILIZZAZIONI MATERIALI</v>
      </c>
      <c r="AY18" s="259" t="str">
        <f ca="1">IFERROR(INDEX($AP$3:$AS$220,MATCH(ROWS(AY$3:AY18),AS$3:AS$220,0),1),"")</f>
        <v>IMMOBILIZZAZIONI MATERIALI</v>
      </c>
      <c r="AZ18" s="276" t="str">
        <f t="shared" ca="1" si="59"/>
        <v/>
      </c>
      <c r="BA18" s="259">
        <f t="shared" ca="1" si="3"/>
        <v>0</v>
      </c>
      <c r="BB18" s="259">
        <f ca="1">IFERROR(INDEX($FG$3:$FL$400,MATCH(ROWS($BB$3:BB18),$FL$3:$FL$400,0),1),0)</f>
        <v>0</v>
      </c>
      <c r="BC18" s="259" t="str">
        <f t="shared" ca="1" si="60"/>
        <v/>
      </c>
      <c r="BD18" s="259">
        <f ca="1">IFERROR(INDEX($FG$3:$FL$400,MATCH(ROWS($BD$3:BD18),$FL$3:$FL$400,0),4),0)</f>
        <v>0</v>
      </c>
      <c r="BE18" s="259">
        <f ca="1">IFERROR(INDEX($FG$3:$FL$400,MATCH(ROWS($BE$3:BE18),$FL$3:$FL$400,0),5),0)</f>
        <v>0</v>
      </c>
      <c r="BG18" s="259" t="str">
        <f t="shared" si="4"/>
        <v/>
      </c>
      <c r="BH18" s="259">
        <f ca="1">IF(IFERROR(MATCH(BG18,DENOMINAZIONE_GIORNALE,0),0)&gt;0,MAX(BH$2:BH17)+1,0)</f>
        <v>0</v>
      </c>
      <c r="BI18" s="259" t="str">
        <f ca="1">IFERROR(INDEX($BG$3:$BH$220,MATCH(ROWS($BI$3:BI18),$BH$3:$BH$220,0),1),"")</f>
        <v/>
      </c>
      <c r="BJ18" s="259" t="str">
        <f t="shared" ca="1" si="5"/>
        <v/>
      </c>
      <c r="BK18" s="259" t="str">
        <f ca="1">IF(IF(BJ18&lt;&gt;"",MAX($BK$2:BK17)+1,0)=0,"",IF(BJ18&lt;&gt;"",MAX($BK$2:BK17)+1,0))</f>
        <v/>
      </c>
      <c r="BL18" s="259" t="str">
        <f ca="1">IFERROR(INDEX($T$3:$U$220, MATCH(ROWS(BL$3:BL18),$V$3:$V$220,0),1),"")</f>
        <v/>
      </c>
      <c r="BM18" s="259" t="str">
        <f ca="1">IFERROR(INDEX($T$3:$U$220, MATCH(ROWS(BM$3:BM18),$V$3:$V$220,0),2),"")</f>
        <v/>
      </c>
      <c r="BN18" s="259" t="str">
        <f ca="1">IF(IFERROR(INDEX($BI$3:$BJ$220,MATCH(ROWS(BN$3:BN18),$BK$3:$BK$220,0),1),"")="PATRIMONIO NETTO","",IFERROR(INDEX($BI$3:$BJ$220,MATCH(ROWS(BN$3:BN18),$BK$3:$BK$220,0),1),""))</f>
        <v/>
      </c>
      <c r="BO18" s="259" t="str">
        <f ca="1">IFERROR(INDEX($BI$3:$BJ$220,MATCH(ROWS(BO$3:BO18),$BK$3:$BK$220,0),2),"")</f>
        <v/>
      </c>
      <c r="BP18" s="259">
        <f ca="1">IF(BN18&lt;&gt;"",MAX(BP$2:$BP17)+1,0)</f>
        <v>0</v>
      </c>
      <c r="BQ18" s="259" t="str">
        <f ca="1">IFERROR(INDEX($BN$3:$BO$200,MATCH(ROWS(BQ$3:BQ18),$BP$3:$BP$220,0),1),"")</f>
        <v/>
      </c>
      <c r="BR18" s="259" t="str">
        <f ca="1">IFERROR(INDEX($BN$3:$BO$220,MATCH(ROWS(BR$3:BR18),$BP$3:$BP$220,0),2),"")</f>
        <v/>
      </c>
      <c r="BS18" s="259" t="str">
        <f ca="1">IFERROR(IF(OR(INDEX($T$3:$U$220,MATCH(ROWS(BL$3:BL18),$V$3:$V$220,0),1)="PRELEVAMENTI EXTRAGESTIONE",INDEX($T$3:$U$220,MATCH(ROWS(BL$3:BL18),$V$3:$V$220,0),1)="TITOLARE C/RITENUTE SUBITE"),"",INDEX($T$3:$U$220,MATCH(ROWS(BL$3:BL18),$V$3:$V$220,0),1)),"")</f>
        <v/>
      </c>
      <c r="BT18" s="259">
        <f t="shared" ca="1" si="61"/>
        <v>0</v>
      </c>
      <c r="BU18" s="259">
        <f ca="1">IF(BS18&lt;&gt;"",MAX(BU$2:BU17)+1,0)</f>
        <v>0</v>
      </c>
      <c r="BV18" s="259" t="str">
        <f ca="1">IFERROR(INDEX($BS$3:$BT$223,MATCH(ROWS(BV$3:BV18),$BU$3:$BU$223,0),1),"")</f>
        <v/>
      </c>
      <c r="BW18" s="259">
        <f t="shared" ca="1" si="62"/>
        <v>0</v>
      </c>
      <c r="BX18" s="259" t="str">
        <f t="shared" ca="1" si="63"/>
        <v/>
      </c>
      <c r="BY18" s="259" t="str">
        <f t="shared" ca="1" si="64"/>
        <v/>
      </c>
      <c r="BZ18" s="259" t="str">
        <f ca="1">IFERROR(IF(OR($DS$231&lt;&gt;$DT$231,$DU$231&lt;&gt;$DV$231,$EO$25&lt;&gt;0,$EO$26&lt;&gt;0),INDEX($T$3:$V$220,MATCH(ROWS($BV$3:BV18),$V$3:$V$220,0),1),CONCATENATE(BV18,BY18)),"")</f>
        <v/>
      </c>
      <c r="CA18" s="259">
        <f t="shared" ca="1" si="65"/>
        <v>0</v>
      </c>
      <c r="CB18" s="259" t="str">
        <f ca="1">IFERROR(IF(OR($BB$1&lt;&gt;$BD$1,$BC$1&lt;&gt;$BE$1,$DS$231&lt;&gt;$DT$231,$DU$231&lt;&gt;$DV$231,$EO$25&lt;&gt;0,$EO$26&lt;&gt;0),INDEX($BI$3:$BK$220,MATCH(ROWS($CB$3:CB18),$BK$3:$BK$220,0),1),CONCATENATE(BQ18,BX18)),"")</f>
        <v/>
      </c>
      <c r="CC18" s="259" t="str">
        <f t="shared" ca="1" si="66"/>
        <v/>
      </c>
      <c r="CD18" s="259" t="str">
        <f t="shared" si="6"/>
        <v/>
      </c>
      <c r="CE18" s="259">
        <f ca="1">IF(IFERROR(MATCH(CD18,DENOMINAZIONE_GIORNALE,0),0)&gt;0,MAX(CE$2:CE17)+1,0)</f>
        <v>0</v>
      </c>
      <c r="CF18" s="259" t="str">
        <f ca="1">IFERROR(INDEX($CD$3:$CE$220,MATCH(ROWS($CF$3:CF18),$CE$3:$CE$220,0),1),"")</f>
        <v/>
      </c>
      <c r="CG18" s="259">
        <f t="shared" ca="1" si="7"/>
        <v>0</v>
      </c>
      <c r="CH18" s="259" t="str">
        <f ca="1">IF(IF(CG18&lt;&gt;0,MAX($CH$2:CH17)+1,0)=0,"",IF(CG18&lt;&gt;"",MAX($CH$2:CH17)+1,0))</f>
        <v/>
      </c>
      <c r="CI18" s="259" t="str">
        <f ca="1">IFERROR(INDEX($CF$3:$CG$220,MATCH(ROWS($CI$3:CI18),$CH$3:$CH$220,0),1),"")</f>
        <v/>
      </c>
      <c r="CJ18" s="259" t="str">
        <f t="shared" ca="1" si="67"/>
        <v/>
      </c>
      <c r="CK18" s="259" t="str">
        <f t="shared" si="8"/>
        <v/>
      </c>
      <c r="CL18" s="259">
        <f ca="1">IF(IFERROR(MATCH(CK18,DENOMINAZIONE_GIORNALE,0),0)&gt;0,MAX(CL$2:CL17)+1,0)</f>
        <v>0</v>
      </c>
      <c r="CM18" s="259" t="str">
        <f ca="1">IFERROR(INDEX($CK$3:$CL$220,MATCH(ROWS($CM$3:CM18),$CL$3:$CL$220,0),1),"")</f>
        <v/>
      </c>
      <c r="CN18" s="259" t="str">
        <f t="shared" ca="1" si="9"/>
        <v/>
      </c>
      <c r="CO18" s="259">
        <f ca="1">IF(IF(CN18&lt;&gt;0,MAX($CO$2:CO17)+1,0)=0,"",IF(CN18&lt;&gt;"",MAX($CO$2:CO17)+1,0))</f>
        <v>0</v>
      </c>
      <c r="CP18" s="259" t="str">
        <f ca="1">IFERROR(INDEX($CM$3:$CN$220,MATCH(ROWS(CP$3:CP18),$CO$3:$CO$220,0),1),"")</f>
        <v/>
      </c>
      <c r="CQ18" s="259" t="str">
        <f ca="1">IFERROR(INDEX($CM$3:$CN$220,MATCH(ROWS(CQ$3:CQ18),$CO$3:$CO$220,0),2),"")</f>
        <v/>
      </c>
      <c r="CR18" s="259" t="str">
        <f t="shared" ca="1" si="10"/>
        <v/>
      </c>
      <c r="CS18" s="259">
        <f t="shared" ca="1" si="11"/>
        <v>0</v>
      </c>
      <c r="CT18" s="259">
        <f t="shared" ca="1" si="12"/>
        <v>0</v>
      </c>
      <c r="CU18" s="259">
        <f ca="1">IF(OR(CS18&gt;0,CT18&gt;0),MAX($CU$2:CU17)+1,0)</f>
        <v>0</v>
      </c>
      <c r="CV18" s="259" t="str">
        <f ca="1">IFERROR(INDEX(PIANO_DEI_CONTI,MATCH(ROWS($CV$3:CV18),$CU$3:$CU$200,0),2),"")</f>
        <v/>
      </c>
      <c r="CW18" s="259">
        <f ca="1">IFERROR(IF(CV18&lt;&gt;"",MAX($CW$2:CW17)+1,0),0)</f>
        <v>0</v>
      </c>
      <c r="CX18" s="259">
        <f t="shared" ca="1" si="68"/>
        <v>1</v>
      </c>
      <c r="CY18" s="259" t="str">
        <f t="shared" ca="1" si="13"/>
        <v>MASTRO</v>
      </c>
      <c r="CZ18" s="259" t="e">
        <f t="shared" ca="1" si="131"/>
        <v>#N/A</v>
      </c>
      <c r="DA18" s="259" t="str">
        <f t="shared" ca="1" si="140"/>
        <v/>
      </c>
      <c r="DB18" s="259" t="str">
        <f t="shared" ca="1" si="132"/>
        <v/>
      </c>
      <c r="DC18" s="259" t="str">
        <f t="shared" ca="1" si="133"/>
        <v/>
      </c>
      <c r="DD18" s="259" t="str">
        <f t="shared" ca="1" si="134"/>
        <v/>
      </c>
      <c r="DE18" s="259" t="str">
        <f t="shared" ca="1" si="135"/>
        <v/>
      </c>
      <c r="DF18" s="259">
        <f ca="1">IF(AND(CX18=$DE$2,$DF$2&lt;&gt;0),0,IF(AND(DB18&lt;&gt;"",OR(DB17&lt;&gt;"",DB19&lt;&gt;"")),MAX($DF$2:DF17)+1,0))</f>
        <v>0</v>
      </c>
      <c r="DG18" s="259" t="str">
        <f>IF(OR(VALORI_INIZIALI!E23="",AND(VALORI_INIZIALI!E23&lt;&gt;"",VALORI_INIZIALI!H23=0,VALORI_INIZIALI!I23=0)),"",IFERROR(INDEX(PIANO_DEI_CONTI,MATCH(BB18,DENOMINAZIONE,0),1),0))</f>
        <v/>
      </c>
      <c r="DH18" s="259">
        <f ca="1">IFERROR(IF($J$1=1,IF(INDEX(PIANO_DEI_CONTI,MATCH($K18,DENOMINAZIONE,0),5)=$DF$1,MAX($DH$2:DH17)+1,0),IF($J$1=2,IF(INDEX(PIANO_DEI_CONTI,MATCH($K18,DENOMINAZIONE,0),7)=$DF$1,MAX($DH$2:DH17)+1,0))),0)</f>
        <v>0</v>
      </c>
      <c r="DI18" s="259">
        <f ca="1">IFERROR(INDEX($K$3:$K$220,MATCH(ROWS($DI$3:DI18),$DH$3:$DH$220,0),1),0)</f>
        <v>0</v>
      </c>
      <c r="DJ18" s="259">
        <f t="shared" ca="1" si="14"/>
        <v>0</v>
      </c>
      <c r="DK18" s="259">
        <f ca="1">IF(DJ18=0,0,MAX(DK$2:DK17)+1)</f>
        <v>0</v>
      </c>
      <c r="DL18" s="259">
        <f ca="1">IFERROR(INDEX(PIANO_DEI_CONTI,MATCH(ROWS(DL$3:DL18),$DK$3:DK245,0),2),0)</f>
        <v>0</v>
      </c>
      <c r="DM18" s="259">
        <f t="shared" ca="1" si="15"/>
        <v>0</v>
      </c>
      <c r="DN18" s="259">
        <f t="shared" ca="1" si="16"/>
        <v>0</v>
      </c>
      <c r="DO18" s="259">
        <f t="shared" ca="1" si="69"/>
        <v>0</v>
      </c>
      <c r="DP18" s="259">
        <f t="shared" ca="1" si="70"/>
        <v>0</v>
      </c>
      <c r="DQ18" s="259">
        <f ca="1">IF(OR($DQ$1="TOTALI",$DQ$1="TOTALI ED ECCEDENZE"),IF(OR(DM18&gt;0,DN18&gt;0),MAX(DQ$2:DQ17)+1,0),IF($DQ$1="ECCEDENZE",IF(OR(DO18&gt;0,DP18&gt;0),MAX(DQ$2:DQ17)+1,0),""))</f>
        <v>0</v>
      </c>
      <c r="DR18" s="259" t="str">
        <f ca="1">IFERROR(INDEX($DL$3:$DQ$230,MATCH(ROWS(DR$3:DR18),$DQ$3:$DQ$230,0),1),"")</f>
        <v/>
      </c>
      <c r="DS18" s="259" t="str">
        <f t="shared" ca="1" si="71"/>
        <v/>
      </c>
      <c r="DT18" s="259" t="str">
        <f t="shared" ca="1" si="72"/>
        <v/>
      </c>
      <c r="DU18" s="259" t="str">
        <f t="shared" ca="1" si="73"/>
        <v/>
      </c>
      <c r="DV18" s="259" t="str">
        <f t="shared" ca="1" si="74"/>
        <v/>
      </c>
      <c r="DW18" s="259">
        <f t="shared" ca="1" si="75"/>
        <v>0</v>
      </c>
      <c r="DX18" s="259" t="str">
        <f t="shared" ca="1" si="76"/>
        <v/>
      </c>
      <c r="DY18" s="259" t="str">
        <f t="shared" ca="1" si="77"/>
        <v/>
      </c>
      <c r="DZ18" s="259" t="str">
        <f t="shared" ca="1" si="78"/>
        <v/>
      </c>
      <c r="EA18" s="259">
        <f t="shared" ca="1" si="79"/>
        <v>16</v>
      </c>
      <c r="EB18" s="259" t="s">
        <v>349</v>
      </c>
      <c r="ED18" s="259">
        <f t="shared" ca="1" si="17"/>
        <v>0</v>
      </c>
      <c r="EE18" s="259" t="str">
        <f t="shared" ca="1" si="18"/>
        <v/>
      </c>
      <c r="EF18" s="259" t="str">
        <f t="shared" ca="1" si="19"/>
        <v/>
      </c>
      <c r="EG18" s="259" t="str">
        <f t="shared" ca="1" si="136"/>
        <v/>
      </c>
      <c r="EH18" s="259" t="str">
        <f t="shared" ca="1" si="80"/>
        <v/>
      </c>
      <c r="EI18" s="260" t="b">
        <f t="shared" ca="1" si="137"/>
        <v>1</v>
      </c>
      <c r="EJ18" s="260" t="b">
        <f t="shared" ca="1" si="138"/>
        <v>1</v>
      </c>
      <c r="EK18" s="260" t="b">
        <f t="shared" ca="1" si="139"/>
        <v>1</v>
      </c>
      <c r="EL18" s="259">
        <f t="shared" si="81"/>
        <v>16</v>
      </c>
      <c r="EM18" s="259">
        <f ca="1">IF(AND(BA18&gt;0,BA18&lt;=$EM$1),MAX($EM$2:EM17)+1,0)</f>
        <v>0</v>
      </c>
      <c r="EN18" s="259">
        <f t="shared" ca="1" si="82"/>
        <v>18</v>
      </c>
      <c r="EO18" s="267"/>
      <c r="EP18" s="259" t="str">
        <f t="shared" ca="1" si="20"/>
        <v/>
      </c>
      <c r="EQ18" s="259">
        <f t="shared" ca="1" si="21"/>
        <v>0</v>
      </c>
      <c r="ER18" s="259">
        <f ca="1">IF(ISNA(EQ18),MAX(ER$2:ER17)+1,0)</f>
        <v>0</v>
      </c>
      <c r="ES18" s="259" t="str">
        <f t="shared" ca="1" si="83"/>
        <v/>
      </c>
      <c r="ET18" s="259" t="str">
        <f ca="1">IFERROR(UPPER(INDEX($ER$3:$ES$500,MATCH(ROWS(ET$3:ET18),$ER$3:$ER$500,0),2)),"")</f>
        <v/>
      </c>
      <c r="EU18" s="259" t="s">
        <v>456</v>
      </c>
      <c r="EV18" s="259">
        <f ca="1">IF(COUNTIFS($JA$103:$JA$400,"&lt;"&amp;$CW$1)&gt;=1,MAX($EV$3:EV17)+1,0)</f>
        <v>0</v>
      </c>
      <c r="EW18" s="259" t="str">
        <f ca="1">IF(AND(IFERROR(INDEX($EU$3:$EV$30,MATCH(ROWS($EX$3:EX18),$EV$3:$EV$30,0),1),"")&lt;&gt;"",EW19&lt;&gt;""),CONCATENATE(IFERROR(INDEX($EU$3:$EV$30,MATCH(ROWS($EX$3:EX18),$EV$3:$EV$30,0),1),"")," - "),IFERROR(INDEX($EU$3:$EV$30,MATCH(ROWS($EX$3:EX18),$EV$3:$EV$30,0),1),""))</f>
        <v/>
      </c>
      <c r="EY18" s="259">
        <f t="shared" ca="1" si="84"/>
        <v>0</v>
      </c>
      <c r="EZ18" s="259">
        <f t="shared" ca="1" si="84"/>
        <v>0</v>
      </c>
      <c r="FA18" s="259" t="str">
        <f t="shared" ca="1" si="85"/>
        <v/>
      </c>
      <c r="FB18" s="259">
        <f t="shared" ca="1" si="86"/>
        <v>0</v>
      </c>
      <c r="FC18" s="259">
        <f t="shared" ca="1" si="87"/>
        <v>0</v>
      </c>
      <c r="FD18" s="259">
        <f t="shared" ca="1" si="22"/>
        <v>0</v>
      </c>
      <c r="FE18" s="259" t="str">
        <f t="shared" ca="1" si="23"/>
        <v/>
      </c>
      <c r="FF18" s="259" t="str">
        <f t="shared" ca="1" si="88"/>
        <v/>
      </c>
      <c r="FG18" s="259" t="str">
        <f t="shared" si="89"/>
        <v>IMBALLAGGI DUREVOLI</v>
      </c>
      <c r="FH18" s="259">
        <f t="shared" ca="1" si="24"/>
        <v>0</v>
      </c>
      <c r="FI18" s="259">
        <f t="shared" ca="1" si="25"/>
        <v>0</v>
      </c>
      <c r="FJ18" s="259">
        <f t="shared" ca="1" si="90"/>
        <v>0</v>
      </c>
      <c r="FK18" s="259">
        <f t="shared" ca="1" si="91"/>
        <v>0</v>
      </c>
      <c r="FL18" s="259">
        <f ca="1">IF(OR(FJ18&gt;0,FK18&gt;0),MAX($FL$2:FL17)+1,0)</f>
        <v>0</v>
      </c>
      <c r="FM18" s="259">
        <f t="shared" ca="1" si="26"/>
        <v>0</v>
      </c>
      <c r="FN18" s="259">
        <f ca="1">IF(FM18&lt;0,MAX($FN$2:FN17)+1,0)</f>
        <v>0</v>
      </c>
      <c r="FO18" s="259" t="str">
        <f t="shared" ca="1" si="92"/>
        <v/>
      </c>
      <c r="FP18" s="259" t="str">
        <f ca="1">IFERROR(INDEX($FN$3:$FO$400,MATCH(ROWS($FP$3:FP18),$FN$3:$FN$400,0),2),"")</f>
        <v/>
      </c>
      <c r="FQ18" s="259" t="str">
        <f>IF(AE18="SE AVERE",MAX($FQ$2:FQ17)+1,"")</f>
        <v/>
      </c>
      <c r="FR18" s="259" t="str">
        <f>IF(AE18="SE DARE",MAX($FR$2:FR17)+1,"")</f>
        <v/>
      </c>
      <c r="FS18" s="259">
        <f ca="1">IF(AND(AE18="SP DARE",AA18&lt;&gt;$FS$1,AA18&lt;&gt;$FT$1),MAX($FS$2:FS17)+1,IF(AND(GQ18="SP DARE",AA18&lt;&gt;$FS$1,AA18&lt;&gt;$FT$1),MAX($FS$2:FS17)+1,""))</f>
        <v>101</v>
      </c>
      <c r="FT18" s="259" t="str">
        <f ca="1">IF(AND(AE18="SP AVERE",AA18&lt;&gt;$FU$1),MAX($FT$2:FT17)+1,IF(AND(GQ18="SP AVERE",AA18&lt;&gt;$FU$1),MAX($FT$2:FT17)+1,""))</f>
        <v/>
      </c>
      <c r="FU18" s="259">
        <f t="shared" ca="1" si="93"/>
        <v>101</v>
      </c>
      <c r="FV18" s="259" t="str">
        <f t="shared" si="94"/>
        <v>IMBALLAGGI DUREVOLI</v>
      </c>
      <c r="FW18" s="259" t="str">
        <f ca="1">IFERROR(INDEX($FU$3:$FV$500,MATCH(ROWS($FW$3:FW18),$FU$3:$FU$500,0),2),0)</f>
        <v>INTERESSI ATTIVI DA CLIENTI</v>
      </c>
      <c r="FX18" s="259">
        <f t="shared" ca="1" si="95"/>
        <v>16</v>
      </c>
      <c r="FY18" s="259">
        <f t="shared" ca="1" si="96"/>
        <v>0</v>
      </c>
      <c r="FZ18" s="259">
        <f ca="1">IF(FY18&gt;0,MAX($FZ$2:FZ17)+1,0)</f>
        <v>0</v>
      </c>
      <c r="GA18" s="259">
        <f ca="1">IFERROR(INDEX($FY$3:$FZ$500,MATCH(ROWS($GA$3:GA18),$FZ$3:$FZ$500,0),1),0)</f>
        <v>174</v>
      </c>
      <c r="GB18" s="259" t="s">
        <v>130</v>
      </c>
      <c r="GC18" s="259">
        <f t="shared" ca="1" si="97"/>
        <v>16</v>
      </c>
      <c r="GD18" s="259" t="str">
        <f t="shared" ca="1" si="98"/>
        <v>INTERESSI ATTIVI DA CLIENTI</v>
      </c>
      <c r="GF18" s="259">
        <f ca="1">CA1</f>
        <v>0</v>
      </c>
      <c r="GG18" s="259">
        <f t="shared" ca="1" si="27"/>
        <v>0</v>
      </c>
      <c r="GH18" s="259">
        <f t="shared" ca="1" si="99"/>
        <v>0</v>
      </c>
      <c r="GI18" s="259">
        <f t="shared" ca="1" si="100"/>
        <v>0</v>
      </c>
      <c r="GJ18" s="259">
        <f t="shared" ca="1" si="101"/>
        <v>0</v>
      </c>
      <c r="GK18" s="259">
        <f t="shared" ca="1" si="102"/>
        <v>0</v>
      </c>
      <c r="GL18" s="259">
        <f t="shared" ca="1" si="103"/>
        <v>0</v>
      </c>
      <c r="GM18" s="259">
        <f ca="1">IF(OR(GK18&gt;0,GL18&gt;0),MAX($GM$2:GM17)+1,0)</f>
        <v>0</v>
      </c>
      <c r="GN18" s="259" t="str">
        <f ca="1">IFERROR(INDEX($GD$3:$GM$400,MATCH(ROWS($GN$3:GN18),$GM$3:$GM$400,0),1),"")</f>
        <v/>
      </c>
      <c r="GO18" s="259" t="str">
        <f ca="1">IFERROR(INDEX($GD$3:$GM$400,MATCH(ROWS($GO$3:GO18),$GM$3:$GM$400,0),8),"")</f>
        <v/>
      </c>
      <c r="GP18" s="259" t="str">
        <f ca="1">IFERROR(INDEX($GD$3:$GM$400,MATCH(ROWS($GP$3:GP18),$GM$3:$GM$400,0),9),"")</f>
        <v/>
      </c>
      <c r="GQ18" s="259">
        <f t="shared" ca="1" si="28"/>
        <v>0</v>
      </c>
      <c r="GR18" s="259">
        <f t="shared" ca="1" si="104"/>
        <v>0</v>
      </c>
      <c r="GS18" s="259" t="str">
        <f t="shared" si="105"/>
        <v>epilogo a Conto economico</v>
      </c>
      <c r="GT18" s="259" t="str">
        <f ca="1">IFERROR(INDEX($GD$3:$GS$400,MATCH(ROWS($GT$3:GT18),$GM$3:$GM$400,0),16),"")</f>
        <v/>
      </c>
      <c r="GU18" s="259">
        <f ca="1">IF(GQ18&lt;&gt;0,MAX($GU$2:$GU17)+1,0)</f>
        <v>0</v>
      </c>
      <c r="GV18" s="259">
        <f t="shared" ca="1" si="106"/>
        <v>0</v>
      </c>
      <c r="GW18" s="259" t="str">
        <f ca="1">IF(AND(IFERROR(INDEX($GU$3:$GV$400,MATCH(ROWS($GW$3:GW18),$GU$3:$GU$400,0),2),"")&lt;&gt;"",GW19&lt;&gt;""),CONCATENATE(IFERROR(INDEX($GU$3:$GV$400,MATCH(ROWS($GW$3:GW18),$GU$3:$GU$400,0),2),"")," - "),IFERROR(INDEX($GU$3:$GV$400,MATCH(ROWS($GW$3:GW18),$GU$3:$GU$400,0),2),""))</f>
        <v/>
      </c>
      <c r="GX18" s="259">
        <f ca="1">IF(OR(GN18="IVA NS/CREDITO",GN18="IVA NS/DEBITO",GN18="IVA C/ACCONTO",GN18="IMPOSTE C/ACCONTO"),MAX($GX$2:GX17)+1,0)</f>
        <v>0</v>
      </c>
      <c r="GY18" s="259" t="str">
        <f ca="1">IF(AND(IFERROR(INDEX($GN$3:$GX$200,MATCH(ROWS($GY$3:GY18),$GX$3:$GX$200,0),1),"")&lt;&gt;"",GY19&lt;&gt;""),CONCATENATE(IFERROR(INDEX($GN$3:$GX$200,MATCH(ROWS($GY$3:GY18),$GX$3:$GX$200,0),1),"")," - "),IFERROR(INDEX($GN$3:$GX$200,MATCH(ROWS($GY$3:GY18),$GX$3:$GX$200,0),1),""))</f>
        <v/>
      </c>
      <c r="GZ18" s="259" t="s">
        <v>32</v>
      </c>
      <c r="HA18" s="259" t="s">
        <v>25</v>
      </c>
      <c r="HB18" s="271" t="s">
        <v>256</v>
      </c>
      <c r="HC18" s="269" t="s">
        <v>276</v>
      </c>
      <c r="HD18" s="269" t="s">
        <v>9</v>
      </c>
      <c r="HE18" s="269" t="s">
        <v>206</v>
      </c>
      <c r="HL18" s="259" t="str">
        <f t="shared" ca="1" si="29"/>
        <v/>
      </c>
      <c r="HM18" s="259" t="str">
        <f t="shared" ca="1" si="30"/>
        <v/>
      </c>
      <c r="HN18" s="259" t="str">
        <f t="shared" ca="1" si="31"/>
        <v/>
      </c>
      <c r="HO18" s="259">
        <f ca="1">IF(HL18&lt;&gt;"",MAX($HO$2:HO17)+1,0)</f>
        <v>0</v>
      </c>
      <c r="HP18" s="259">
        <f ca="1">IF(HM18&lt;&gt;"",MAX($HP$2:HP17)+1,0)</f>
        <v>0</v>
      </c>
      <c r="HQ18" s="259">
        <f ca="1">IF(HN18&lt;&gt;"",MAX($HQ$2:HQ17)+1,0)</f>
        <v>0</v>
      </c>
      <c r="HR18" s="259" t="str">
        <f t="shared" ca="1" si="107"/>
        <v/>
      </c>
      <c r="HS18" s="259" t="str">
        <f t="shared" ca="1" si="108"/>
        <v/>
      </c>
      <c r="HT18" s="259">
        <f t="shared" ca="1" si="109"/>
        <v>0</v>
      </c>
      <c r="HU18" s="259">
        <f t="shared" ca="1" si="110"/>
        <v>0</v>
      </c>
      <c r="HV18" s="259" t="str">
        <f ca="1">CONCATENATE(IFERROR(INDEX($HS$3:$HT$102,MATCH(ROWS($HV$3:HV18),$HT$3:$HT$102,0),1),""),HR18)</f>
        <v/>
      </c>
      <c r="IB18" s="259" t="str">
        <f ca="1">IF(EV1&gt;0,"","TOTALE ATTIVO")</f>
        <v/>
      </c>
      <c r="IC18" s="259">
        <f ca="1">IFERROR(INDEX(PIANO_DEI_CONTI,MATCH(ROWS(DL$3:DL18),$DK$3:DK245,0),2),0)</f>
        <v>0</v>
      </c>
      <c r="ID18" s="259">
        <f t="shared" ca="1" si="111"/>
        <v>0</v>
      </c>
      <c r="IE18" s="259">
        <f t="shared" ca="1" si="112"/>
        <v>0</v>
      </c>
      <c r="IF18" s="259">
        <f t="shared" ca="1" si="113"/>
        <v>0</v>
      </c>
      <c r="IG18" s="259" t="str">
        <f ca="1">IF(EV1=0,IG15+IG17+IG7,"")</f>
        <v/>
      </c>
      <c r="IH18" s="259">
        <f ca="1">IG1</f>
        <v>1</v>
      </c>
      <c r="II18" s="259">
        <f>IF(AD18="costi pluriennali",MAX($II$2:II17)+1,0)</f>
        <v>11</v>
      </c>
      <c r="IJ18" s="259">
        <f>IF($AD18="rettifiche costi pluriennali",MAX($IJ$2:IJ17)+1,0)</f>
        <v>0</v>
      </c>
      <c r="IK18" s="259">
        <f t="shared" si="114"/>
        <v>11</v>
      </c>
      <c r="IL18" s="259" t="str">
        <f t="shared" si="115"/>
        <v>IMBALLAGGI DUREVOLI</v>
      </c>
      <c r="IM18" s="259">
        <f t="shared" ca="1" si="116"/>
        <v>0</v>
      </c>
      <c r="IN18" s="259">
        <f t="shared" ca="1" si="141"/>
        <v>0</v>
      </c>
      <c r="IO18" s="259">
        <f>SUMIFS($IM$3:$IM$200,$IK$3:$IK$200,ROWS($IO$3:IO18))-SUMIFS($IN$3:$IN$200,$IK$3:$IK$200,ROWS($IO$3:IO18))</f>
        <v>0</v>
      </c>
      <c r="IP18" s="259" t="str">
        <f>IF(IO18&lt;0,INDEX($IJ$3:$IL$200,MATCH(ROWS($IP$3:IP18),$IJ$3:$IJ$200,0),3),"")</f>
        <v/>
      </c>
      <c r="IQ18" s="259">
        <f>IF(IP18&lt;&gt;"",MAX($IQ$2:IQ17)+1,0)</f>
        <v>0</v>
      </c>
      <c r="IR18" s="259" t="str">
        <f ca="1">IFERROR(INDEX($IP$3:$IQ$200,MATCH(ROWS($IR$3:IR18),$IQ$3:$IQ$200,0),1),"")</f>
        <v/>
      </c>
      <c r="IS18" s="259" t="str">
        <f t="shared" ca="1" si="117"/>
        <v/>
      </c>
      <c r="IT18" s="259" t="str">
        <f t="shared" ca="1" si="118"/>
        <v/>
      </c>
      <c r="IU18" s="259" t="str">
        <f t="shared" ca="1" si="119"/>
        <v/>
      </c>
      <c r="IV18" s="259" t="str">
        <f t="shared" ca="1" si="120"/>
        <v/>
      </c>
      <c r="IW18" s="259" t="str">
        <f t="shared" ca="1" si="121"/>
        <v/>
      </c>
      <c r="IX18" s="259" t="str">
        <f t="shared" ca="1" si="122"/>
        <v/>
      </c>
      <c r="IY18" s="259" t="str">
        <f t="shared" ca="1" si="123"/>
        <v/>
      </c>
      <c r="IZ18" s="259" t="str">
        <f t="shared" ca="1" si="124"/>
        <v/>
      </c>
      <c r="JA18" s="259" t="str">
        <f t="shared" ca="1" si="125"/>
        <v/>
      </c>
      <c r="JB18" s="259">
        <f t="shared" ca="1" si="32"/>
        <v>0</v>
      </c>
      <c r="JC18" s="259">
        <f t="shared" ca="1" si="126"/>
        <v>0</v>
      </c>
      <c r="JE18" s="259">
        <f ca="1">IFERROR(INDEX(LIBRO_GIORNALE!$N$11:$O$408,MATCH(ROWS($JE$2:JE17),LIBRO_GIORNALE!$O$11:$O$408,0),1),0)</f>
        <v>0</v>
      </c>
      <c r="JF18" s="259" t="str">
        <f t="shared" ca="1" si="127"/>
        <v>0</v>
      </c>
      <c r="JG18" s="259">
        <f t="shared" ca="1" si="128"/>
        <v>0</v>
      </c>
      <c r="JH18" s="259">
        <f ca="1">IF(JJ18&gt;0,0,MAX($JH$2:JH17)+1)</f>
        <v>16</v>
      </c>
      <c r="JI18" s="259">
        <f ca="1">IF(JG18&gt;0,MAX($JI$2:JI17)+1,0)</f>
        <v>0</v>
      </c>
      <c r="JJ18" s="259">
        <f ca="1">IFERROR(INDEX($JG$3:$JI$124,MATCH(ROWS($JJ$3:JJ18),$JI$3:$JI$124,0),1),0)</f>
        <v>0</v>
      </c>
      <c r="JK18" s="259">
        <f t="shared" ca="1" si="129"/>
        <v>0</v>
      </c>
      <c r="JL18" s="259">
        <f t="shared" ca="1" si="130"/>
        <v>16</v>
      </c>
      <c r="JM18" s="259">
        <v>15</v>
      </c>
    </row>
    <row r="19" spans="1:273">
      <c r="A19" s="259" t="str">
        <f t="shared" si="33"/>
        <v>02.07</v>
      </c>
      <c r="B19" s="259" t="str">
        <f t="shared" si="34"/>
        <v>AUTOMEZZI</v>
      </c>
      <c r="C19" s="259" t="str">
        <f t="shared" si="35"/>
        <v>E</v>
      </c>
      <c r="D19" s="259" t="str">
        <f t="shared" si="36"/>
        <v>D</v>
      </c>
      <c r="E19" s="259" t="str">
        <f t="shared" si="37"/>
        <v>COSTI PLURIENNALI</v>
      </c>
      <c r="F19" s="259" t="str">
        <f t="shared" si="38"/>
        <v>SP DARE</v>
      </c>
      <c r="G19" s="259">
        <f t="shared" ca="1" si="39"/>
        <v>1</v>
      </c>
      <c r="H19" s="259">
        <f t="shared" ca="1" si="40"/>
        <v>1</v>
      </c>
      <c r="I19" s="259">
        <f t="shared" ca="1" si="41"/>
        <v>1</v>
      </c>
      <c r="J19" s="259">
        <v>16</v>
      </c>
      <c r="K19" s="259" t="str">
        <f ca="1">IFERROR(IF($I$1=1,INDEX($AA$3:$AS$220,MATCH(ROWS($K$3:K19),$AQ$3:$AQ$220,0),1),IF($I$1=2,INDEX($AA$3:$AS$220,MATCH(ROWS($K$3:K19),$AR$3:$AR$220,0),1),IF($I$1=3,INDEX($AA$3:$AS$220,MATCH(ROWS($K$3:K19),$AS$3:$AS$220,0),1),""))),"")</f>
        <v>FONDO AMMORTAMENTO FABBRICATI</v>
      </c>
      <c r="L19" s="259">
        <f ca="1">IF(AND($L$1="VISUALIZZA TUTTI I CONTI",K19&lt;&gt;""),MAX(L18:L18)+1,IFERROR(IF($J$1=1,IF(INDEX(PIANO_DEI_CONTI,MATCH($K19,DENOMINAZIONE,0),5)=$L$1,MAX($L$2:L18)+1,0),IF($J$1=2,IF(INDEX(PIANO_DEI_CONTI,MATCH($K19,DENOMINAZIONE,0),7)=$L$1,MAX($L$2:L18)+1,0))),0))</f>
        <v>17</v>
      </c>
      <c r="M19" s="259" t="str">
        <f ca="1">IFERROR(INDEX($K$3:$K$220,MATCH(ROWS($M$3:M19),$L$3:$L$220,0),1),"")</f>
        <v>FONDO AMMORTAMENTO FABBRICATI</v>
      </c>
      <c r="N19" s="259" t="str">
        <f>IF(AO3&lt;&gt;"",AO3,"")</f>
        <v>IMMOBILIZZAZIONI IMMATERIALI</v>
      </c>
      <c r="O19" s="259" t="str">
        <f t="shared" ref="O19:O48" ca="1" si="142">IFERROR(IF(AND($J$1=2,$I$1=3,INDEX($AY$3:$AY$220,MATCH(N19,$AY$3:$AY$220,0),1)=N19),N19,IF(AND($J$1=2,$I$1=2,INDEX($AX$3:$AX$220,MATCH(N19,$AX$3:$AX$220,0),1)=N19),N19,IF(AND($J$1=2,$I$1=1,INDEX($AW$3:$AW$220,MATCH(N19,$AW$3:$AW$220,0),1)=N19),N19,""))),"")</f>
        <v>IMMOBILIZZAZIONI IMMATERIALI</v>
      </c>
      <c r="P19" s="259">
        <f ca="1">IF(AND(N19=O19,O19&lt;&gt;""),MAX(P$2:P18)+1,0)</f>
        <v>2</v>
      </c>
      <c r="Q19" s="259" t="str">
        <f ca="1">IF(IFERROR(INDEX($O$3:$P$220,MATCH(ROWS(Q$3:Q19),$P$3:$P$220,0),1),"")=0,"",IFERROR(INDEX($O$3:$P$220,MATCH(ROWS(Q$3:Q19),$P$3:$P$220,0),1),""))</f>
        <v>CONTI TRANSITORI E DIVERSI</v>
      </c>
      <c r="R19" s="259" t="str">
        <f t="shared" si="1"/>
        <v/>
      </c>
      <c r="S19" s="259">
        <f ca="1">IF(IFERROR(MATCH(R19,DENOMINAZIONE_GIORNALE,0),0)&gt;0,MAX(S$2:S18)+1,0)</f>
        <v>0</v>
      </c>
      <c r="T19" s="259" t="str">
        <f ca="1">IFERROR(INDEX($R$3:$S$220,MATCH(ROWS($T$3:T19),$S$3:$S$220,0),1),"")</f>
        <v/>
      </c>
      <c r="U19" s="259">
        <f t="shared" ca="1" si="2"/>
        <v>0</v>
      </c>
      <c r="V19" s="259">
        <f ca="1">IF(IF(U19&lt;&gt;0,MAX($V$2:V18)+1,0)=0,0,IF(U19&lt;&gt;0,MAX($V$2:V18)+1,0))</f>
        <v>0</v>
      </c>
      <c r="W19" s="259" t="str">
        <f t="shared" si="43"/>
        <v>02.07</v>
      </c>
      <c r="X19" s="259" t="str">
        <f t="shared" si="44"/>
        <v>AUTOMEZZI</v>
      </c>
      <c r="Y19" s="259">
        <f>IF(W19="",0,MAX($Y$2:Y18)+1)</f>
        <v>15</v>
      </c>
      <c r="Z19" s="259" t="str">
        <f>IFERROR(INDEX($W$3:$Y$220,MATCH(ROWS($Z$2:Z18),$Y$3:$Y$220,0),1),"")</f>
        <v>02.11</v>
      </c>
      <c r="AA19" s="259" t="str">
        <f t="shared" si="45"/>
        <v>FONDO AMMORTAMENTO FABBRICATI</v>
      </c>
      <c r="AB19" s="259" t="str">
        <f t="shared" si="46"/>
        <v>E</v>
      </c>
      <c r="AC19" s="259" t="str">
        <f t="shared" si="47"/>
        <v>A</v>
      </c>
      <c r="AD19" s="259" t="str">
        <f t="shared" si="48"/>
        <v>RETTIFICHE COSTI PLURIENNALI</v>
      </c>
      <c r="AE19" s="259" t="str">
        <f t="shared" si="49"/>
        <v>SP AVERE</v>
      </c>
      <c r="AF19" s="259" t="str">
        <f t="shared" si="50"/>
        <v>IMMOBILIZZAZIONI MATERIALI</v>
      </c>
      <c r="AG19" s="259">
        <f t="shared" ca="1" si="51"/>
        <v>0</v>
      </c>
      <c r="AH19" s="259">
        <f t="shared" ca="1" si="52"/>
        <v>1</v>
      </c>
      <c r="AI19" s="259">
        <f t="shared" ca="1" si="53"/>
        <v>1</v>
      </c>
      <c r="AJ19" s="259" t="str">
        <f t="shared" si="54"/>
        <v>02</v>
      </c>
      <c r="AK19" s="259" t="str">
        <f t="shared" si="55"/>
        <v/>
      </c>
      <c r="AL19" s="259">
        <f>IF(AK19&lt;&gt;"",MAX($AL$2:AL18)+1,0)</f>
        <v>0</v>
      </c>
      <c r="AM19" s="259" t="str">
        <f>IFERROR(INDEX($AK$3:$AL$220,MATCH(ROWS($AM$3:AM19),$AL$3:$AL$220,0),1),"")</f>
        <v>19</v>
      </c>
      <c r="AN19" s="259" t="str">
        <f t="shared" si="56"/>
        <v>19.00</v>
      </c>
      <c r="AO19" s="259" t="str">
        <f t="shared" si="57"/>
        <v>CONTI DEI SISTEMI MINORI</v>
      </c>
      <c r="AP19" s="259" t="str">
        <f t="shared" si="58"/>
        <v>IMMOBILIZZAZIONI MATERIALI</v>
      </c>
      <c r="AQ19" s="259">
        <f ca="1">IF(OR(AG19=0,AG19=""),0,MAX(AQ$2:AQ18)+1)</f>
        <v>0</v>
      </c>
      <c r="AR19" s="259">
        <f ca="1">IF(OR(AH19=0,AH19=""),0,MAX(AR$2:AR18)+1)</f>
        <v>14</v>
      </c>
      <c r="AS19" s="259">
        <f ca="1">IF(OR(AI19=0,AI19=""),0,MAX(AS$2:AS18)+1)</f>
        <v>17</v>
      </c>
      <c r="AT19" s="259" t="str">
        <f ca="1">IFERROR(INDEX($AD$3:$AS$220,MATCH(ROWS(AT$3:AT19),AQ$3:AQ$220,0),1),"")</f>
        <v>CREDITI</v>
      </c>
      <c r="AU19" s="259" t="str">
        <f ca="1">IFERROR(INDEX($AD$3:$AS$220,MATCH(ROWS(AU$3:AU19),AR$3:AR$220,0),1),"")</f>
        <v>RETTIFICHE COSTI PLURIENNALI</v>
      </c>
      <c r="AV19" s="259" t="str">
        <f ca="1">IFERROR(INDEX($AD$3:$AS$220,MATCH(ROWS(AV$3:AV19),AS$3:AS$220,0),1),"")</f>
        <v>RETTIFICHE COSTI PLURIENNALI</v>
      </c>
      <c r="AW19" s="259" t="str">
        <f ca="1">IFERROR(INDEX($AP$3:$AS$220,MATCH(ROWS(AW$3:AW19),AQ$3:AQ$220,0),1),"")</f>
        <v>CREDITI COMMERCIALI</v>
      </c>
      <c r="AX19" s="259" t="str">
        <f ca="1">IFERROR(INDEX($AP$3:$AS$220,MATCH(ROWS(AX$3:AX19),AR$3:AR$220,0),1),"")</f>
        <v>IMMOBILIZZAZIONI MATERIALI</v>
      </c>
      <c r="AY19" s="259" t="str">
        <f ca="1">IFERROR(INDEX($AP$3:$AS$220,MATCH(ROWS(AY$3:AY19),AS$3:AS$220,0),1),"")</f>
        <v>IMMOBILIZZAZIONI MATERIALI</v>
      </c>
      <c r="AZ19" s="276" t="str">
        <f t="shared" ca="1" si="59"/>
        <v/>
      </c>
      <c r="BA19" s="259">
        <f t="shared" ca="1" si="3"/>
        <v>0</v>
      </c>
      <c r="BB19" s="259">
        <f ca="1">IFERROR(INDEX($FG$3:$FL$400,MATCH(ROWS($BB$3:BB19),$FL$3:$FL$400,0),1),0)</f>
        <v>0</v>
      </c>
      <c r="BC19" s="259" t="str">
        <f t="shared" ca="1" si="60"/>
        <v/>
      </c>
      <c r="BD19" s="259">
        <f ca="1">IFERROR(INDEX($FG$3:$FL$400,MATCH(ROWS($BD$3:BD19),$FL$3:$FL$400,0),4),0)</f>
        <v>0</v>
      </c>
      <c r="BE19" s="259">
        <f ca="1">IFERROR(INDEX($FG$3:$FL$400,MATCH(ROWS($BE$3:BE19),$FL$3:$FL$400,0),5),0)</f>
        <v>0</v>
      </c>
      <c r="BG19" s="259" t="str">
        <f t="shared" si="4"/>
        <v>FONDO AMMORTAMENTO FABBRICATI</v>
      </c>
      <c r="BH19" s="259">
        <f ca="1">IF(IFERROR(MATCH(BG19,DENOMINAZIONE_GIORNALE,0),0)&gt;0,MAX(BH$2:BH18)+1,0)</f>
        <v>0</v>
      </c>
      <c r="BI19" s="259" t="str">
        <f ca="1">IFERROR(INDEX($BG$3:$BH$220,MATCH(ROWS($BI$3:BI19),$BH$3:$BH$220,0),1),"")</f>
        <v/>
      </c>
      <c r="BJ19" s="259" t="str">
        <f t="shared" ca="1" si="5"/>
        <v/>
      </c>
      <c r="BK19" s="259" t="str">
        <f ca="1">IF(IF(BJ19&lt;&gt;"",MAX($BK$2:BK18)+1,0)=0,"",IF(BJ19&lt;&gt;"",MAX($BK$2:BK18)+1,0))</f>
        <v/>
      </c>
      <c r="BL19" s="259" t="str">
        <f ca="1">IFERROR(INDEX($T$3:$U$220, MATCH(ROWS(BL$3:BL19),$V$3:$V$220,0),1),"")</f>
        <v/>
      </c>
      <c r="BM19" s="259" t="str">
        <f ca="1">IFERROR(INDEX($T$3:$U$220, MATCH(ROWS(BM$3:BM19),$V$3:$V$220,0),2),"")</f>
        <v/>
      </c>
      <c r="BN19" s="259" t="str">
        <f ca="1">IF(IFERROR(INDEX($BI$3:$BJ$220,MATCH(ROWS(BN$3:BN19),$BK$3:$BK$220,0),1),"")="PATRIMONIO NETTO","",IFERROR(INDEX($BI$3:$BJ$220,MATCH(ROWS(BN$3:BN19),$BK$3:$BK$220,0),1),""))</f>
        <v/>
      </c>
      <c r="BO19" s="259" t="str">
        <f ca="1">IFERROR(INDEX($BI$3:$BJ$220,MATCH(ROWS(BO$3:BO19),$BK$3:$BK$220,0),2),"")</f>
        <v/>
      </c>
      <c r="BP19" s="259">
        <f ca="1">IF(BN19&lt;&gt;"",MAX(BP$2:$BP18)+1,0)</f>
        <v>0</v>
      </c>
      <c r="BQ19" s="259" t="str">
        <f ca="1">IFERROR(INDEX($BN$3:$BO$200,MATCH(ROWS(BQ$3:BQ19),$BP$3:$BP$220,0),1),"")</f>
        <v/>
      </c>
      <c r="BR19" s="259" t="str">
        <f ca="1">IFERROR(INDEX($BN$3:$BO$220,MATCH(ROWS(BR$3:BR19),$BP$3:$BP$220,0),2),"")</f>
        <v/>
      </c>
      <c r="BS19" s="259" t="str">
        <f ca="1">IFERROR(IF(OR(INDEX($T$3:$U$220,MATCH(ROWS(BL$3:BL19),$V$3:$V$220,0),1)="PRELEVAMENTI EXTRAGESTIONE",INDEX($T$3:$U$220,MATCH(ROWS(BL$3:BL19),$V$3:$V$220,0),1)="TITOLARE C/RITENUTE SUBITE"),"",INDEX($T$3:$U$220,MATCH(ROWS(BL$3:BL19),$V$3:$V$220,0),1)),"")</f>
        <v/>
      </c>
      <c r="BT19" s="259">
        <f t="shared" ca="1" si="61"/>
        <v>0</v>
      </c>
      <c r="BU19" s="259">
        <f ca="1">IF(BS19&lt;&gt;"",MAX(BU$2:BU18)+1,0)</f>
        <v>0</v>
      </c>
      <c r="BV19" s="259" t="str">
        <f ca="1">IFERROR(INDEX($BS$3:$BT$223,MATCH(ROWS(BV$3:BV19),$BU$3:$BU$223,0),1),"")</f>
        <v/>
      </c>
      <c r="BW19" s="259">
        <f t="shared" ca="1" si="62"/>
        <v>0</v>
      </c>
      <c r="BX19" s="259" t="str">
        <f t="shared" ca="1" si="63"/>
        <v/>
      </c>
      <c r="BY19" s="259" t="str">
        <f t="shared" ca="1" si="64"/>
        <v/>
      </c>
      <c r="BZ19" s="259" t="str">
        <f ca="1">IFERROR(IF(OR($DS$231&lt;&gt;$DT$231,$DU$231&lt;&gt;$DV$231,$EO$25&lt;&gt;0,$EO$26&lt;&gt;0),INDEX($T$3:$V$220,MATCH(ROWS($BV$3:BV19),$V$3:$V$220,0),1),CONCATENATE(BV19,BY19)),"")</f>
        <v/>
      </c>
      <c r="CA19" s="259">
        <f t="shared" ca="1" si="65"/>
        <v>0</v>
      </c>
      <c r="CB19" s="259" t="str">
        <f ca="1">IFERROR(IF(OR($BB$1&lt;&gt;$BD$1,$BC$1&lt;&gt;$BE$1,$DS$231&lt;&gt;$DT$231,$DU$231&lt;&gt;$DV$231,$EO$25&lt;&gt;0,$EO$26&lt;&gt;0),INDEX($BI$3:$BK$220,MATCH(ROWS($CB$3:CB19),$BK$3:$BK$220,0),1),CONCATENATE(BQ19,BX19)),"")</f>
        <v/>
      </c>
      <c r="CC19" s="259" t="str">
        <f t="shared" ca="1" si="66"/>
        <v/>
      </c>
      <c r="CD19" s="259" t="str">
        <f t="shared" si="6"/>
        <v/>
      </c>
      <c r="CE19" s="259">
        <f ca="1">IF(IFERROR(MATCH(CD19,DENOMINAZIONE_GIORNALE,0),0)&gt;0,MAX(CE$2:CE18)+1,0)</f>
        <v>0</v>
      </c>
      <c r="CF19" s="259" t="str">
        <f ca="1">IFERROR(INDEX($CD$3:$CE$220,MATCH(ROWS($CF$3:CF19),$CE$3:$CE$220,0),1),"")</f>
        <v/>
      </c>
      <c r="CG19" s="259">
        <f t="shared" ca="1" si="7"/>
        <v>0</v>
      </c>
      <c r="CH19" s="259" t="str">
        <f ca="1">IF(IF(CG19&lt;&gt;0,MAX($CH$2:CH18)+1,0)=0,"",IF(CG19&lt;&gt;"",MAX($CH$2:CH18)+1,0))</f>
        <v/>
      </c>
      <c r="CI19" s="259" t="str">
        <f ca="1">IFERROR(INDEX($CF$3:$CG$220,MATCH(ROWS($CI$3:CI19),$CH$3:$CH$220,0),1),"")</f>
        <v/>
      </c>
      <c r="CJ19" s="259" t="str">
        <f t="shared" ca="1" si="67"/>
        <v/>
      </c>
      <c r="CK19" s="259" t="str">
        <f t="shared" si="8"/>
        <v/>
      </c>
      <c r="CL19" s="259">
        <f ca="1">IF(IFERROR(MATCH(CK19,DENOMINAZIONE_GIORNALE,0),0)&gt;0,MAX(CL$2:CL18)+1,0)</f>
        <v>0</v>
      </c>
      <c r="CM19" s="259" t="str">
        <f ca="1">IFERROR(INDEX($CK$3:$CL$220,MATCH(ROWS($CM$3:CM19),$CL$3:$CL$220,0),1),"")</f>
        <v/>
      </c>
      <c r="CN19" s="259" t="str">
        <f t="shared" ca="1" si="9"/>
        <v/>
      </c>
      <c r="CO19" s="259">
        <f ca="1">IF(IF(CN19&lt;&gt;0,MAX($CO$2:CO18)+1,0)=0,"",IF(CN19&lt;&gt;"",MAX($CO$2:CO18)+1,0))</f>
        <v>0</v>
      </c>
      <c r="CP19" s="259" t="str">
        <f ca="1">IFERROR(INDEX($CM$3:$CN$220,MATCH(ROWS(CP$3:CP19),$CO$3:$CO$220,0),1),"")</f>
        <v/>
      </c>
      <c r="CQ19" s="259" t="str">
        <f ca="1">IFERROR(INDEX($CM$3:$CN$220,MATCH(ROWS(CQ$3:CQ19),$CO$3:$CO$220,0),2),"")</f>
        <v/>
      </c>
      <c r="CR19" s="259" t="str">
        <f t="shared" ca="1" si="10"/>
        <v/>
      </c>
      <c r="CS19" s="259">
        <f t="shared" ca="1" si="11"/>
        <v>0</v>
      </c>
      <c r="CT19" s="259">
        <f t="shared" ca="1" si="12"/>
        <v>0</v>
      </c>
      <c r="CU19" s="259">
        <f ca="1">IF(OR(CS19&gt;0,CT19&gt;0),MAX($CU$2:CU18)+1,0)</f>
        <v>0</v>
      </c>
      <c r="CV19" s="259" t="str">
        <f ca="1">IFERROR(INDEX(PIANO_DEI_CONTI,MATCH(ROWS($CV$3:CV19),$CU$3:$CU$200,0),2),"")</f>
        <v/>
      </c>
      <c r="CW19" s="259">
        <f ca="1">IFERROR(IF(CV19&lt;&gt;"",MAX($CW$2:CW18)+1,0),0)</f>
        <v>0</v>
      </c>
      <c r="CX19" s="259">
        <f t="shared" ca="1" si="68"/>
        <v>1</v>
      </c>
      <c r="CY19" s="259" t="str">
        <f t="shared" ca="1" si="13"/>
        <v>MASTRO</v>
      </c>
      <c r="CZ19" s="259" t="e">
        <f t="shared" ca="1" si="131"/>
        <v>#N/A</v>
      </c>
      <c r="DA19" s="259" t="str">
        <f t="shared" ca="1" si="140"/>
        <v/>
      </c>
      <c r="DB19" s="259" t="str">
        <f t="shared" ca="1" si="132"/>
        <v/>
      </c>
      <c r="DC19" s="259" t="str">
        <f t="shared" ca="1" si="133"/>
        <v/>
      </c>
      <c r="DD19" s="259" t="str">
        <f t="shared" ca="1" si="134"/>
        <v/>
      </c>
      <c r="DE19" s="259" t="str">
        <f t="shared" ca="1" si="135"/>
        <v/>
      </c>
      <c r="DF19" s="259">
        <f ca="1">IF(AND(CX19=$DE$2,$DF$2&lt;&gt;0),0,IF(AND(DB19&lt;&gt;"",OR(DB18&lt;&gt;"",DB20&lt;&gt;"")),MAX($DF$2:DF18)+1,0))</f>
        <v>0</v>
      </c>
      <c r="DG19" s="259" t="str">
        <f>IF(OR(VALORI_INIZIALI!E24="",AND(VALORI_INIZIALI!E24&lt;&gt;"",VALORI_INIZIALI!H24=0,VALORI_INIZIALI!I24=0)),"",IFERROR(INDEX(PIANO_DEI_CONTI,MATCH(BB19,DENOMINAZIONE,0),1),0))</f>
        <v/>
      </c>
      <c r="DH19" s="259">
        <f ca="1">IFERROR(IF($J$1=1,IF(INDEX(PIANO_DEI_CONTI,MATCH($K19,DENOMINAZIONE,0),5)=$DF$1,MAX($DH$2:DH18)+1,0),IF($J$1=2,IF(INDEX(PIANO_DEI_CONTI,MATCH($K19,DENOMINAZIONE,0),7)=$DF$1,MAX($DH$2:DH18)+1,0))),0)</f>
        <v>0</v>
      </c>
      <c r="DI19" s="259">
        <f ca="1">IFERROR(INDEX($K$3:$K$220,MATCH(ROWS($DI$3:DI19),$DH$3:$DH$220,0),1),0)</f>
        <v>0</v>
      </c>
      <c r="DJ19" s="259">
        <f t="shared" ca="1" si="14"/>
        <v>0</v>
      </c>
      <c r="DK19" s="259">
        <f ca="1">IF(DJ19=0,0,MAX(DK$2:DK18)+1)</f>
        <v>0</v>
      </c>
      <c r="DL19" s="259">
        <f ca="1">IFERROR(INDEX(PIANO_DEI_CONTI,MATCH(ROWS(DL$3:DL19),$DK$3:DK246,0),2),0)</f>
        <v>0</v>
      </c>
      <c r="DM19" s="259">
        <f t="shared" ca="1" si="15"/>
        <v>0</v>
      </c>
      <c r="DN19" s="259">
        <f t="shared" ca="1" si="16"/>
        <v>0</v>
      </c>
      <c r="DO19" s="259">
        <f t="shared" ca="1" si="69"/>
        <v>0</v>
      </c>
      <c r="DP19" s="259">
        <f t="shared" ca="1" si="70"/>
        <v>0</v>
      </c>
      <c r="DQ19" s="259">
        <f ca="1">IF(OR($DQ$1="TOTALI",$DQ$1="TOTALI ED ECCEDENZE"),IF(OR(DM19&gt;0,DN19&gt;0),MAX(DQ$2:DQ18)+1,0),IF($DQ$1="ECCEDENZE",IF(OR(DO19&gt;0,DP19&gt;0),MAX(DQ$2:DQ18)+1,0),""))</f>
        <v>0</v>
      </c>
      <c r="DR19" s="259" t="str">
        <f ca="1">IFERROR(INDEX($DL$3:$DQ$230,MATCH(ROWS(DR$3:DR19),$DQ$3:$DQ$230,0),1),"")</f>
        <v/>
      </c>
      <c r="DS19" s="259" t="str">
        <f t="shared" ca="1" si="71"/>
        <v/>
      </c>
      <c r="DT19" s="259" t="str">
        <f t="shared" ca="1" si="72"/>
        <v/>
      </c>
      <c r="DU19" s="259" t="str">
        <f t="shared" ca="1" si="73"/>
        <v/>
      </c>
      <c r="DV19" s="259" t="str">
        <f t="shared" ca="1" si="74"/>
        <v/>
      </c>
      <c r="DW19" s="259">
        <f t="shared" ca="1" si="75"/>
        <v>0</v>
      </c>
      <c r="DX19" s="259" t="str">
        <f t="shared" ca="1" si="76"/>
        <v/>
      </c>
      <c r="DY19" s="259" t="str">
        <f t="shared" ca="1" si="77"/>
        <v/>
      </c>
      <c r="DZ19" s="259" t="str">
        <f t="shared" ca="1" si="78"/>
        <v/>
      </c>
      <c r="EA19" s="259">
        <f t="shared" ca="1" si="79"/>
        <v>17</v>
      </c>
      <c r="EB19" s="259" t="s">
        <v>349</v>
      </c>
      <c r="ED19" s="259">
        <f t="shared" ca="1" si="17"/>
        <v>0</v>
      </c>
      <c r="EE19" s="259" t="str">
        <f t="shared" ca="1" si="18"/>
        <v/>
      </c>
      <c r="EF19" s="259" t="str">
        <f t="shared" ca="1" si="19"/>
        <v/>
      </c>
      <c r="EG19" s="259" t="str">
        <f t="shared" ca="1" si="136"/>
        <v/>
      </c>
      <c r="EH19" s="259" t="str">
        <f t="shared" ca="1" si="80"/>
        <v/>
      </c>
      <c r="EI19" s="260" t="b">
        <f t="shared" ca="1" si="137"/>
        <v>1</v>
      </c>
      <c r="EJ19" s="260" t="b">
        <f t="shared" ca="1" si="138"/>
        <v>1</v>
      </c>
      <c r="EK19" s="260" t="b">
        <f t="shared" ca="1" si="139"/>
        <v>1</v>
      </c>
      <c r="EL19" s="259">
        <f t="shared" si="81"/>
        <v>17</v>
      </c>
      <c r="EM19" s="259">
        <f ca="1">IF(AND(BA19&gt;0,BA19&lt;=$EM$1),MAX($EM$2:EM18)+1,0)</f>
        <v>0</v>
      </c>
      <c r="EN19" s="259">
        <f t="shared" ca="1" si="82"/>
        <v>19</v>
      </c>
      <c r="EP19" s="259" t="str">
        <f t="shared" ca="1" si="20"/>
        <v/>
      </c>
      <c r="EQ19" s="259">
        <f t="shared" ca="1" si="21"/>
        <v>0</v>
      </c>
      <c r="ER19" s="259">
        <f ca="1">IF(ISNA(EQ19),MAX(ER$2:ER18)+1,0)</f>
        <v>0</v>
      </c>
      <c r="ES19" s="259" t="str">
        <f t="shared" ca="1" si="83"/>
        <v/>
      </c>
      <c r="ET19" s="259" t="str">
        <f ca="1">IFERROR(UPPER(INDEX($ER$3:$ES$500,MATCH(ROWS(ET$3:ET19),$ER$3:$ER$500,0),2)),"")</f>
        <v/>
      </c>
      <c r="EU19" s="259" t="s">
        <v>457</v>
      </c>
      <c r="EV19" s="259">
        <f ca="1">IF(ROUND(SUMIFS($ID$3:$ID$200,$IF$3:$IF$200,IA48)-SUMIFS($IE$3:$IE$200,$IF$3:$IF$200,IA48),0)&lt;0,MAX(EV3:EV18)+1,0)</f>
        <v>0</v>
      </c>
      <c r="EW19" s="259" t="str">
        <f ca="1">IF(AND(IFERROR(INDEX($EU$3:$EV$30,MATCH(ROWS($EX$3:EX19),$EV$3:$EV$30,0),1),"")&lt;&gt;"",EW20&lt;&gt;""),CONCATENATE(IFERROR(INDEX($EU$3:$EV$30,MATCH(ROWS($EX$3:EX19),$EV$3:$EV$30,0),1),"")," - "),IFERROR(INDEX($EU$3:$EV$30,MATCH(ROWS($EX$3:EX19),$EV$3:$EV$30,0),1),""))</f>
        <v/>
      </c>
      <c r="EY19" s="259">
        <f t="shared" ca="1" si="84"/>
        <v>0</v>
      </c>
      <c r="EZ19" s="259">
        <f t="shared" ca="1" si="84"/>
        <v>0</v>
      </c>
      <c r="FA19" s="259" t="str">
        <f t="shared" ca="1" si="85"/>
        <v/>
      </c>
      <c r="FB19" s="259">
        <f t="shared" ca="1" si="86"/>
        <v>0</v>
      </c>
      <c r="FC19" s="259">
        <f t="shared" ca="1" si="87"/>
        <v>0</v>
      </c>
      <c r="FD19" s="259">
        <f t="shared" ca="1" si="22"/>
        <v>0</v>
      </c>
      <c r="FE19" s="259" t="str">
        <f t="shared" ca="1" si="23"/>
        <v/>
      </c>
      <c r="FF19" s="259" t="str">
        <f t="shared" ca="1" si="88"/>
        <v/>
      </c>
      <c r="FG19" s="259" t="str">
        <f t="shared" si="89"/>
        <v>FONDO AMMORTAMENTO FABBRICATI</v>
      </c>
      <c r="FH19" s="259">
        <f t="shared" ca="1" si="24"/>
        <v>0</v>
      </c>
      <c r="FI19" s="259">
        <f t="shared" ca="1" si="25"/>
        <v>0</v>
      </c>
      <c r="FJ19" s="259">
        <f t="shared" ca="1" si="90"/>
        <v>0</v>
      </c>
      <c r="FK19" s="259">
        <f t="shared" ca="1" si="91"/>
        <v>0</v>
      </c>
      <c r="FL19" s="259">
        <f ca="1">IF(OR(FJ19&gt;0,FK19&gt;0),MAX($FL$2:FL18)+1,0)</f>
        <v>0</v>
      </c>
      <c r="FM19" s="259">
        <f t="shared" ca="1" si="26"/>
        <v>0</v>
      </c>
      <c r="FN19" s="259">
        <f ca="1">IF(FM19&lt;0,MAX($FN$2:FN18)+1,0)</f>
        <v>0</v>
      </c>
      <c r="FO19" s="259" t="str">
        <f t="shared" ca="1" si="92"/>
        <v/>
      </c>
      <c r="FP19" s="259" t="str">
        <f ca="1">IFERROR(INDEX($FN$3:$FO$400,MATCH(ROWS($FP$3:FP19),$FN$3:$FN$400,0),2),"")</f>
        <v/>
      </c>
      <c r="FQ19" s="259" t="str">
        <f>IF(AE19="SE AVERE",MAX($FQ$2:FQ18)+1,"")</f>
        <v/>
      </c>
      <c r="FR19" s="259" t="str">
        <f>IF(AE19="SE DARE",MAX($FR$2:FR18)+1,"")</f>
        <v/>
      </c>
      <c r="FS19" s="259" t="str">
        <f ca="1">IF(AND(AE19="SP DARE",AA19&lt;&gt;$FS$1,AA19&lt;&gt;$FT$1),MAX($FS$2:FS18)+1,IF(AND(GQ19="SP DARE",AA19&lt;&gt;$FS$1,AA19&lt;&gt;$FT$1),MAX($FS$2:FS18)+1,""))</f>
        <v/>
      </c>
      <c r="FT19" s="259">
        <f ca="1">IF(AND(AE19="SP AVERE",AA19&lt;&gt;$FU$1),MAX($FT$2:FT18)+1,IF(AND(GQ19="SP AVERE",AA19&lt;&gt;$FU$1),MAX($FT$2:FT18)+1,""))</f>
        <v>136</v>
      </c>
      <c r="FU19" s="259">
        <f t="shared" ca="1" si="93"/>
        <v>136</v>
      </c>
      <c r="FV19" s="259" t="str">
        <f t="shared" si="94"/>
        <v>FONDO AMMORTAMENTO FABBRICATI</v>
      </c>
      <c r="FW19" s="259" t="str">
        <f ca="1">IFERROR(INDEX($FU$3:$FV$500,MATCH(ROWS($FW$3:FW19),$FU$3:$FU$500,0),2),0)</f>
        <v>INTERESSI ATTIVI BANCARI</v>
      </c>
      <c r="FX19" s="259">
        <f t="shared" ca="1" si="95"/>
        <v>17</v>
      </c>
      <c r="FY19" s="259">
        <f t="shared" ca="1" si="96"/>
        <v>0</v>
      </c>
      <c r="FZ19" s="259">
        <f ca="1">IF(FY19&gt;0,MAX($FZ$2:FZ18)+1,0)</f>
        <v>0</v>
      </c>
      <c r="GA19" s="259">
        <f ca="1">IFERROR(INDEX($FY$3:$FZ$500,MATCH(ROWS($GA$3:GA19),$FZ$3:$FZ$500,0),1),0)</f>
        <v>175</v>
      </c>
      <c r="GB19" s="259" t="s">
        <v>4</v>
      </c>
      <c r="GC19" s="259">
        <f t="shared" ca="1" si="97"/>
        <v>17</v>
      </c>
      <c r="GD19" s="259" t="str">
        <f t="shared" ca="1" si="98"/>
        <v>INTERESSI ATTIVI BANCARI</v>
      </c>
      <c r="GE19" s="259">
        <f ca="1">SUM(GB1,GF10)-SUM(GE13,GE11,GE15)</f>
        <v>0</v>
      </c>
      <c r="GG19" s="259">
        <f t="shared" ca="1" si="27"/>
        <v>0</v>
      </c>
      <c r="GH19" s="259">
        <f t="shared" ca="1" si="99"/>
        <v>0</v>
      </c>
      <c r="GI19" s="259">
        <f t="shared" ca="1" si="100"/>
        <v>0</v>
      </c>
      <c r="GJ19" s="259">
        <f t="shared" ca="1" si="101"/>
        <v>0</v>
      </c>
      <c r="GK19" s="259">
        <f t="shared" ca="1" si="102"/>
        <v>0</v>
      </c>
      <c r="GL19" s="259">
        <f t="shared" ca="1" si="103"/>
        <v>0</v>
      </c>
      <c r="GM19" s="259">
        <f ca="1">IF(OR(GK19&gt;0,GL19&gt;0),MAX($GM$2:GM18)+1,0)</f>
        <v>0</v>
      </c>
      <c r="GN19" s="259" t="str">
        <f ca="1">IFERROR(INDEX($GD$3:$GM$400,MATCH(ROWS($GN$3:GN19),$GM$3:$GM$400,0),1),"")</f>
        <v/>
      </c>
      <c r="GO19" s="259" t="str">
        <f ca="1">IFERROR(INDEX($GD$3:$GM$400,MATCH(ROWS($GO$3:GO19),$GM$3:$GM$400,0),8),"")</f>
        <v/>
      </c>
      <c r="GP19" s="259" t="str">
        <f ca="1">IFERROR(INDEX($GD$3:$GM$400,MATCH(ROWS($GP$3:GP19),$GM$3:$GM$400,0),9),"")</f>
        <v/>
      </c>
      <c r="GQ19" s="259">
        <f t="shared" ca="1" si="28"/>
        <v>0</v>
      </c>
      <c r="GR19" s="259">
        <f t="shared" ca="1" si="104"/>
        <v>0</v>
      </c>
      <c r="GS19" s="259" t="str">
        <f t="shared" si="105"/>
        <v>epilogo a Conto economico</v>
      </c>
      <c r="GT19" s="259" t="str">
        <f ca="1">IFERROR(INDEX($GD$3:$GS$400,MATCH(ROWS($GT$3:GT19),$GM$3:$GM$400,0),16),"")</f>
        <v/>
      </c>
      <c r="GU19" s="259">
        <f ca="1">IF(GQ19&lt;&gt;0,MAX($GU$2:$GU18)+1,0)</f>
        <v>0</v>
      </c>
      <c r="GV19" s="259">
        <f t="shared" ca="1" si="106"/>
        <v>0</v>
      </c>
      <c r="GW19" s="259" t="str">
        <f ca="1">IF(AND(IFERROR(INDEX($GU$3:$GV$400,MATCH(ROWS($GW$3:GW19),$GU$3:$GU$400,0),2),"")&lt;&gt;"",GW20&lt;&gt;""),CONCATENATE(IFERROR(INDEX($GU$3:$GV$400,MATCH(ROWS($GW$3:GW19),$GU$3:$GU$400,0),2),"")," - "),IFERROR(INDEX($GU$3:$GV$400,MATCH(ROWS($GW$3:GW19),$GU$3:$GU$400,0),2),""))</f>
        <v/>
      </c>
      <c r="GX19" s="259">
        <f ca="1">IF(OR(GN19="IVA NS/CREDITO",GN19="IVA NS/DEBITO",GN19="IVA C/ACCONTO",GN19="IMPOSTE C/ACCONTO"),MAX($GX$2:GX18)+1,0)</f>
        <v>0</v>
      </c>
      <c r="GY19" s="259" t="str">
        <f ca="1">IF(AND(IFERROR(INDEX($GN$3:$GX$200,MATCH(ROWS($GY$3:GY19),$GX$3:$GX$200,0),1),"")&lt;&gt;"",GY20&lt;&gt;""),CONCATENATE(IFERROR(INDEX($GN$3:$GX$200,MATCH(ROWS($GY$3:GY19),$GX$3:$GX$200,0),1),"")," - "),IFERROR(INDEX($GN$3:$GX$200,MATCH(ROWS($GY$3:GY19),$GX$3:$GX$200,0),1),""))</f>
        <v/>
      </c>
      <c r="GZ19" s="259" t="s">
        <v>33</v>
      </c>
      <c r="HA19" s="259" t="s">
        <v>26</v>
      </c>
      <c r="HB19" s="271" t="s">
        <v>256</v>
      </c>
      <c r="HC19" s="269" t="s">
        <v>276</v>
      </c>
      <c r="HD19" s="269" t="s">
        <v>9</v>
      </c>
      <c r="HE19" s="269" t="s">
        <v>206</v>
      </c>
      <c r="HL19" s="259" t="str">
        <f t="shared" ca="1" si="29"/>
        <v/>
      </c>
      <c r="HM19" s="259" t="str">
        <f t="shared" ca="1" si="30"/>
        <v/>
      </c>
      <c r="HN19" s="259" t="str">
        <f t="shared" ca="1" si="31"/>
        <v/>
      </c>
      <c r="HO19" s="259">
        <f ca="1">IF(HL19&lt;&gt;"",MAX($HO$2:HO18)+1,0)</f>
        <v>0</v>
      </c>
      <c r="HP19" s="259">
        <f ca="1">IF(HM19&lt;&gt;"",MAX($HP$2:HP18)+1,0)</f>
        <v>0</v>
      </c>
      <c r="HQ19" s="259">
        <f ca="1">IF(HN19&lt;&gt;"",MAX($HQ$2:HQ18)+1,0)</f>
        <v>0</v>
      </c>
      <c r="HR19" s="259" t="str">
        <f t="shared" ca="1" si="107"/>
        <v/>
      </c>
      <c r="HS19" s="259" t="str">
        <f t="shared" ca="1" si="108"/>
        <v/>
      </c>
      <c r="HT19" s="259">
        <f t="shared" ca="1" si="109"/>
        <v>0</v>
      </c>
      <c r="HU19" s="259">
        <f t="shared" ca="1" si="110"/>
        <v>0</v>
      </c>
      <c r="HV19" s="259" t="str">
        <f ca="1">CONCATENATE(IFERROR(INDEX($HS$3:$HT$102,MATCH(ROWS($HV$3:HV19),$HT$3:$HT$102,0),1),""),HR19)</f>
        <v/>
      </c>
      <c r="IC19" s="259">
        <f ca="1">IFERROR(INDEX(PIANO_DEI_CONTI,MATCH(ROWS(DL$3:DL19),$DK$3:DK246,0),2),0)</f>
        <v>0</v>
      </c>
      <c r="ID19" s="259">
        <f t="shared" ca="1" si="111"/>
        <v>0</v>
      </c>
      <c r="IE19" s="259">
        <f t="shared" ca="1" si="112"/>
        <v>0</v>
      </c>
      <c r="IF19" s="259">
        <f t="shared" ca="1" si="113"/>
        <v>0</v>
      </c>
      <c r="II19" s="259">
        <f>IF(AD19="costi pluriennali",MAX($II$2:II18)+1,0)</f>
        <v>0</v>
      </c>
      <c r="IJ19" s="259">
        <f>IF($AD19="rettifiche costi pluriennali",MAX($IJ$2:IJ18)+1,0)</f>
        <v>5</v>
      </c>
      <c r="IK19" s="259">
        <f t="shared" si="114"/>
        <v>5</v>
      </c>
      <c r="IL19" s="259" t="str">
        <f t="shared" si="115"/>
        <v>FONDO AMMORTAMENTO FABBRICATI</v>
      </c>
      <c r="IM19" s="259">
        <f t="shared" ca="1" si="116"/>
        <v>0</v>
      </c>
      <c r="IN19" s="259">
        <f t="shared" ca="1" si="141"/>
        <v>0</v>
      </c>
      <c r="IO19" s="259">
        <f>SUMIFS($IM$3:$IM$200,$IK$3:$IK$200,ROWS($IO$3:IO19))-SUMIFS($IN$3:$IN$200,$IK$3:$IK$200,ROWS($IO$3:IO19))</f>
        <v>0</v>
      </c>
      <c r="IP19" s="259" t="str">
        <f>IF(IO19&lt;0,INDEX($IJ$3:$IL$200,MATCH(ROWS($IP$3:IP19),$IJ$3:$IJ$200,0),3),"")</f>
        <v/>
      </c>
      <c r="IQ19" s="259">
        <f>IF(IP19&lt;&gt;"",MAX($IQ$2:IQ18)+1,0)</f>
        <v>0</v>
      </c>
      <c r="IR19" s="259" t="str">
        <f ca="1">IFERROR(INDEX($IP$3:$IQ$200,MATCH(ROWS($IR$3:IR19),$IQ$3:$IQ$200,0),1),"")</f>
        <v/>
      </c>
      <c r="IS19" s="259" t="str">
        <f t="shared" ca="1" si="117"/>
        <v/>
      </c>
      <c r="IT19" s="259" t="str">
        <f t="shared" ca="1" si="118"/>
        <v/>
      </c>
      <c r="IU19" s="259" t="str">
        <f t="shared" ca="1" si="119"/>
        <v/>
      </c>
      <c r="IV19" s="259" t="str">
        <f t="shared" ca="1" si="120"/>
        <v/>
      </c>
      <c r="IW19" s="259" t="str">
        <f t="shared" ca="1" si="121"/>
        <v/>
      </c>
      <c r="IX19" s="259" t="str">
        <f t="shared" ca="1" si="122"/>
        <v/>
      </c>
      <c r="IY19" s="259" t="str">
        <f t="shared" ca="1" si="123"/>
        <v/>
      </c>
      <c r="IZ19" s="259" t="str">
        <f t="shared" ca="1" si="124"/>
        <v/>
      </c>
      <c r="JA19" s="259" t="str">
        <f t="shared" ca="1" si="125"/>
        <v/>
      </c>
      <c r="JB19" s="259">
        <f t="shared" ca="1" si="32"/>
        <v>0</v>
      </c>
      <c r="JC19" s="259">
        <f t="shared" ca="1" si="126"/>
        <v>0</v>
      </c>
      <c r="JE19" s="259">
        <f ca="1">IFERROR(INDEX(LIBRO_GIORNALE!$N$11:$O$408,MATCH(ROWS($JE$2:JE18),LIBRO_GIORNALE!$O$11:$O$408,0),1),0)</f>
        <v>0</v>
      </c>
      <c r="JF19" s="259" t="str">
        <f t="shared" ca="1" si="127"/>
        <v>0</v>
      </c>
      <c r="JG19" s="259">
        <f t="shared" ca="1" si="128"/>
        <v>0</v>
      </c>
      <c r="JH19" s="259">
        <f ca="1">IF(JJ19&gt;0,0,MAX($JH$2:JH18)+1)</f>
        <v>17</v>
      </c>
      <c r="JI19" s="259">
        <f ca="1">IF(JG19&gt;0,MAX($JI$2:JI18)+1,0)</f>
        <v>0</v>
      </c>
      <c r="JJ19" s="259">
        <f ca="1">IFERROR(INDEX($JG$3:$JI$124,MATCH(ROWS($JJ$3:JJ19),$JI$3:$JI$124,0),1),0)</f>
        <v>0</v>
      </c>
      <c r="JK19" s="259">
        <f t="shared" ca="1" si="129"/>
        <v>0</v>
      </c>
      <c r="JL19" s="259">
        <f t="shared" ca="1" si="130"/>
        <v>17</v>
      </c>
      <c r="JM19" s="259">
        <v>16</v>
      </c>
    </row>
    <row r="20" spans="1:273">
      <c r="A20" s="259" t="str">
        <f t="shared" si="33"/>
        <v>02.08</v>
      </c>
      <c r="B20" s="259" t="str">
        <f t="shared" si="34"/>
        <v>IMBALLAGGI DUREVOLI</v>
      </c>
      <c r="C20" s="259" t="str">
        <f t="shared" si="35"/>
        <v>E</v>
      </c>
      <c r="D20" s="259" t="str">
        <f t="shared" si="36"/>
        <v>D</v>
      </c>
      <c r="E20" s="259" t="str">
        <f t="shared" si="37"/>
        <v>COSTI PLURIENNALI</v>
      </c>
      <c r="F20" s="259" t="str">
        <f t="shared" si="38"/>
        <v>SP DARE</v>
      </c>
      <c r="G20" s="259">
        <f t="shared" ca="1" si="39"/>
        <v>1</v>
      </c>
      <c r="H20" s="259">
        <f t="shared" ca="1" si="40"/>
        <v>1</v>
      </c>
      <c r="I20" s="259">
        <f t="shared" ca="1" si="41"/>
        <v>1</v>
      </c>
      <c r="J20" s="259">
        <v>17</v>
      </c>
      <c r="K20" s="259" t="str">
        <f ca="1">IFERROR(IF($I$1=1,INDEX($AA$3:$AS$220,MATCH(ROWS($K$3:K20),$AQ$3:$AQ$220,0),1),IF($I$1=2,INDEX($AA$3:$AS$220,MATCH(ROWS($K$3:K20),$AR$3:$AR$220,0),1),IF($I$1=3,INDEX($AA$3:$AS$220,MATCH(ROWS($K$3:K20),$AS$3:$AS$220,0),1),""))),"")</f>
        <v>FONDO AMMORT. IMPIANTI E MACCHINARI</v>
      </c>
      <c r="L20" s="259">
        <f ca="1">IF(AND($L$1="VISUALIZZA TUTTI I CONTI",K20&lt;&gt;""),MAX(L19:L19)+1,IFERROR(IF($J$1=1,IF(INDEX(PIANO_DEI_CONTI,MATCH($K20,DENOMINAZIONE,0),5)=$L$1,MAX($L$2:L19)+1,0),IF($J$1=2,IF(INDEX(PIANO_DEI_CONTI,MATCH($K20,DENOMINAZIONE,0),7)=$L$1,MAX($L$2:L19)+1,0))),0))</f>
        <v>18</v>
      </c>
      <c r="M20" s="259" t="str">
        <f ca="1">IFERROR(INDEX($K$3:$K$220,MATCH(ROWS($M$3:M20),$L$3:$L$220,0),1),"")</f>
        <v>FONDO AMMORT. IMPIANTI E MACCHINARI</v>
      </c>
      <c r="N20" s="259" t="str">
        <f t="shared" ref="N20:N60" si="143">IF(AO4&lt;&gt;"",AO4,"")</f>
        <v>IMMOBILIZZAZIONI MATERIALI</v>
      </c>
      <c r="O20" s="259" t="str">
        <f t="shared" ca="1" si="142"/>
        <v>IMMOBILIZZAZIONI MATERIALI</v>
      </c>
      <c r="P20" s="259">
        <f ca="1">IF(AND(N20=O20,O20&lt;&gt;""),MAX(P$2:P19)+1,0)</f>
        <v>3</v>
      </c>
      <c r="Q20" s="259" t="str">
        <f ca="1">IF(IFERROR(INDEX($O$3:$P$220,MATCH(ROWS(Q$3:Q20),$P$3:$P$220,0),1),"")=0,"",IFERROR(INDEX($O$3:$P$220,MATCH(ROWS(Q$3:Q20),$P$3:$P$220,0),1),""))</f>
        <v>CONTI DEI SISTEMI MINORI</v>
      </c>
      <c r="R20" s="259" t="str">
        <f t="shared" si="1"/>
        <v/>
      </c>
      <c r="S20" s="259">
        <f ca="1">IF(IFERROR(MATCH(R20,DENOMINAZIONE_GIORNALE,0),0)&gt;0,MAX(S$2:S19)+1,0)</f>
        <v>0</v>
      </c>
      <c r="T20" s="259" t="str">
        <f ca="1">IFERROR(INDEX($R$3:$S$220,MATCH(ROWS($T$3:T20),$S$3:$S$220,0),1),"")</f>
        <v/>
      </c>
      <c r="U20" s="259">
        <f t="shared" ca="1" si="2"/>
        <v>0</v>
      </c>
      <c r="V20" s="259">
        <f ca="1">IF(IF(U20&lt;&gt;0,MAX($V$2:V19)+1,0)=0,0,IF(U20&lt;&gt;0,MAX($V$2:V19)+1,0))</f>
        <v>0</v>
      </c>
      <c r="W20" s="259" t="str">
        <f t="shared" si="43"/>
        <v>02.08</v>
      </c>
      <c r="X20" s="259" t="str">
        <f t="shared" si="44"/>
        <v>IMBALLAGGI DUREVOLI</v>
      </c>
      <c r="Y20" s="259">
        <f>IF(W20="",0,MAX($Y$2:Y19)+1)</f>
        <v>16</v>
      </c>
      <c r="Z20" s="259" t="str">
        <f>IFERROR(INDEX($W$3:$Y$220,MATCH(ROWS($Z$2:Z19),$Y$3:$Y$220,0),1),"")</f>
        <v>02.12</v>
      </c>
      <c r="AA20" s="259" t="str">
        <f t="shared" si="45"/>
        <v>FONDO AMMORT. IMPIANTI E MACCHINARI</v>
      </c>
      <c r="AB20" s="259" t="str">
        <f t="shared" si="46"/>
        <v>E</v>
      </c>
      <c r="AC20" s="259" t="str">
        <f t="shared" si="47"/>
        <v>A</v>
      </c>
      <c r="AD20" s="259" t="str">
        <f t="shared" si="48"/>
        <v>RETTIFICHE COSTI PLURIENNALI</v>
      </c>
      <c r="AE20" s="259" t="str">
        <f t="shared" si="49"/>
        <v>SP AVERE</v>
      </c>
      <c r="AF20" s="259" t="str">
        <f t="shared" si="50"/>
        <v>IMMOBILIZZAZIONI MATERIALI</v>
      </c>
      <c r="AG20" s="259">
        <f t="shared" ca="1" si="51"/>
        <v>0</v>
      </c>
      <c r="AH20" s="259">
        <f t="shared" ca="1" si="52"/>
        <v>1</v>
      </c>
      <c r="AI20" s="259">
        <f t="shared" ca="1" si="53"/>
        <v>1</v>
      </c>
      <c r="AJ20" s="259" t="str">
        <f t="shared" si="54"/>
        <v>02</v>
      </c>
      <c r="AK20" s="259" t="str">
        <f t="shared" si="55"/>
        <v/>
      </c>
      <c r="AL20" s="259">
        <f>IF(AK20&lt;&gt;"",MAX($AL$2:AL19)+1,0)</f>
        <v>0</v>
      </c>
      <c r="AM20" s="259" t="str">
        <f>IFERROR(INDEX($AK$3:$AL$220,MATCH(ROWS($AM$3:AM20),$AL$3:$AL$220,0),1),"")</f>
        <v>20</v>
      </c>
      <c r="AN20" s="259" t="str">
        <f t="shared" si="56"/>
        <v>20.00</v>
      </c>
      <c r="AO20" s="259" t="str">
        <f t="shared" si="57"/>
        <v>VALORE DELLA PRODUZIONE</v>
      </c>
      <c r="AP20" s="259" t="str">
        <f t="shared" si="58"/>
        <v>IMMOBILIZZAZIONI MATERIALI</v>
      </c>
      <c r="AQ20" s="259">
        <f ca="1">IF(OR(AG20=0,AG20=""),0,MAX(AQ$2:AQ19)+1)</f>
        <v>0</v>
      </c>
      <c r="AR20" s="259">
        <f ca="1">IF(OR(AH20=0,AH20=""),0,MAX(AR$2:AR19)+1)</f>
        <v>15</v>
      </c>
      <c r="AS20" s="259">
        <f ca="1">IF(OR(AI20=0,AI20=""),0,MAX(AS$2:AS19)+1)</f>
        <v>18</v>
      </c>
      <c r="AT20" s="259" t="str">
        <f ca="1">IFERROR(INDEX($AD$3:$AS$220,MATCH(ROWS(AT$3:AT20),AQ$3:AQ$220,0),1),"")</f>
        <v>CREDITI</v>
      </c>
      <c r="AU20" s="259" t="str">
        <f ca="1">IFERROR(INDEX($AD$3:$AS$220,MATCH(ROWS(AU$3:AU20),AR$3:AR$220,0),1),"")</f>
        <v>RETTIFICHE COSTI PLURIENNALI</v>
      </c>
      <c r="AV20" s="259" t="str">
        <f ca="1">IFERROR(INDEX($AD$3:$AS$220,MATCH(ROWS(AV$3:AV20),AS$3:AS$220,0),1),"")</f>
        <v>RETTIFICHE COSTI PLURIENNALI</v>
      </c>
      <c r="AW20" s="259" t="str">
        <f ca="1">IFERROR(INDEX($AP$3:$AS$220,MATCH(ROWS(AW$3:AW20),AQ$3:AQ$220,0),1),"")</f>
        <v>CREDITI COMMERCIALI</v>
      </c>
      <c r="AX20" s="259" t="str">
        <f ca="1">IFERROR(INDEX($AP$3:$AS$220,MATCH(ROWS(AX$3:AX20),AR$3:AR$220,0),1),"")</f>
        <v>IMMOBILIZZAZIONI MATERIALI</v>
      </c>
      <c r="AY20" s="259" t="str">
        <f ca="1">IFERROR(INDEX($AP$3:$AS$220,MATCH(ROWS(AY$3:AY20),AS$3:AS$220,0),1),"")</f>
        <v>IMMOBILIZZAZIONI MATERIALI</v>
      </c>
      <c r="AZ20" s="276" t="str">
        <f t="shared" ca="1" si="59"/>
        <v/>
      </c>
      <c r="BA20" s="259">
        <f t="shared" ca="1" si="3"/>
        <v>0</v>
      </c>
      <c r="BB20" s="259">
        <f ca="1">IFERROR(INDEX($FG$3:$FL$400,MATCH(ROWS($BB$3:BB20),$FL$3:$FL$400,0),1),0)</f>
        <v>0</v>
      </c>
      <c r="BC20" s="259" t="str">
        <f t="shared" ca="1" si="60"/>
        <v/>
      </c>
      <c r="BD20" s="259">
        <f ca="1">IFERROR(INDEX($FG$3:$FL$400,MATCH(ROWS($BD$3:BD20),$FL$3:$FL$400,0),4),0)</f>
        <v>0</v>
      </c>
      <c r="BE20" s="259">
        <f ca="1">IFERROR(INDEX($FG$3:$FL$400,MATCH(ROWS($BE$3:BE20),$FL$3:$FL$400,0),5),0)</f>
        <v>0</v>
      </c>
      <c r="BG20" s="259" t="str">
        <f t="shared" si="4"/>
        <v>FONDO AMMORT. IMPIANTI E MACCHINARI</v>
      </c>
      <c r="BH20" s="259">
        <f ca="1">IF(IFERROR(MATCH(BG20,DENOMINAZIONE_GIORNALE,0),0)&gt;0,MAX(BH$2:BH19)+1,0)</f>
        <v>0</v>
      </c>
      <c r="BI20" s="259" t="str">
        <f ca="1">IFERROR(INDEX($BG$3:$BH$220,MATCH(ROWS($BI$3:BI20),$BH$3:$BH$220,0),1),"")</f>
        <v/>
      </c>
      <c r="BJ20" s="259" t="str">
        <f t="shared" ca="1" si="5"/>
        <v/>
      </c>
      <c r="BK20" s="259" t="str">
        <f ca="1">IF(IF(BJ20&lt;&gt;"",MAX($BK$2:BK19)+1,0)=0,"",IF(BJ20&lt;&gt;"",MAX($BK$2:BK19)+1,0))</f>
        <v/>
      </c>
      <c r="BL20" s="259" t="str">
        <f ca="1">IFERROR(INDEX($T$3:$U$220, MATCH(ROWS(BL$3:BL20),$V$3:$V$220,0),1),"")</f>
        <v/>
      </c>
      <c r="BM20" s="259" t="str">
        <f ca="1">IFERROR(INDEX($T$3:$U$220, MATCH(ROWS(BM$3:BM20),$V$3:$V$220,0),2),"")</f>
        <v/>
      </c>
      <c r="BN20" s="259" t="str">
        <f ca="1">IF(IFERROR(INDEX($BI$3:$BJ$220,MATCH(ROWS(BN$3:BN20),$BK$3:$BK$220,0),1),"")="PATRIMONIO NETTO","",IFERROR(INDEX($BI$3:$BJ$220,MATCH(ROWS(BN$3:BN20),$BK$3:$BK$220,0),1),""))</f>
        <v/>
      </c>
      <c r="BO20" s="259" t="str">
        <f ca="1">IFERROR(INDEX($BI$3:$BJ$220,MATCH(ROWS(BO$3:BO20),$BK$3:$BK$220,0),2),"")</f>
        <v/>
      </c>
      <c r="BP20" s="259">
        <f ca="1">IF(BN20&lt;&gt;"",MAX(BP$2:$BP19)+1,0)</f>
        <v>0</v>
      </c>
      <c r="BQ20" s="259" t="str">
        <f ca="1">IFERROR(INDEX($BN$3:$BO$200,MATCH(ROWS(BQ$3:BQ20),$BP$3:$BP$220,0),1),"")</f>
        <v/>
      </c>
      <c r="BR20" s="259" t="str">
        <f ca="1">IFERROR(INDEX($BN$3:$BO$220,MATCH(ROWS(BR$3:BR20),$BP$3:$BP$220,0),2),"")</f>
        <v/>
      </c>
      <c r="BS20" s="259" t="str">
        <f ca="1">IFERROR(IF(OR(INDEX($T$3:$U$220,MATCH(ROWS(BL$3:BL20),$V$3:$V$220,0),1)="PRELEVAMENTI EXTRAGESTIONE",INDEX($T$3:$U$220,MATCH(ROWS(BL$3:BL20),$V$3:$V$220,0),1)="TITOLARE C/RITENUTE SUBITE"),"",INDEX($T$3:$U$220,MATCH(ROWS(BL$3:BL20),$V$3:$V$220,0),1)),"")</f>
        <v/>
      </c>
      <c r="BT20" s="259">
        <f t="shared" ca="1" si="61"/>
        <v>0</v>
      </c>
      <c r="BU20" s="259">
        <f ca="1">IF(BS20&lt;&gt;"",MAX(BU$2:BU19)+1,0)</f>
        <v>0</v>
      </c>
      <c r="BV20" s="259" t="str">
        <f ca="1">IFERROR(INDEX($BS$3:$BT$223,MATCH(ROWS(BV$3:BV20),$BU$3:$BU$223,0),1),"")</f>
        <v/>
      </c>
      <c r="BW20" s="259">
        <f t="shared" ca="1" si="62"/>
        <v>0</v>
      </c>
      <c r="BX20" s="259" t="str">
        <f t="shared" ca="1" si="63"/>
        <v/>
      </c>
      <c r="BY20" s="259" t="str">
        <f t="shared" ca="1" si="64"/>
        <v/>
      </c>
      <c r="BZ20" s="259" t="str">
        <f ca="1">IFERROR(IF(OR($DS$231&lt;&gt;$DT$231,$DU$231&lt;&gt;$DV$231,$EO$25&lt;&gt;0,$EO$26&lt;&gt;0),INDEX($T$3:$V$220,MATCH(ROWS($BV$3:BV20),$V$3:$V$220,0),1),CONCATENATE(BV20,BY20)),"")</f>
        <v/>
      </c>
      <c r="CA20" s="259">
        <f t="shared" ca="1" si="65"/>
        <v>0</v>
      </c>
      <c r="CB20" s="259" t="str">
        <f ca="1">IFERROR(IF(OR($BB$1&lt;&gt;$BD$1,$BC$1&lt;&gt;$BE$1,$DS$231&lt;&gt;$DT$231,$DU$231&lt;&gt;$DV$231,$EO$25&lt;&gt;0,$EO$26&lt;&gt;0),INDEX($BI$3:$BK$220,MATCH(ROWS($CB$3:CB20),$BK$3:$BK$220,0),1),CONCATENATE(BQ20,BX20)),"")</f>
        <v/>
      </c>
      <c r="CC20" s="259" t="str">
        <f t="shared" ca="1" si="66"/>
        <v/>
      </c>
      <c r="CD20" s="259" t="str">
        <f t="shared" si="6"/>
        <v/>
      </c>
      <c r="CE20" s="259">
        <f ca="1">IF(IFERROR(MATCH(CD20,DENOMINAZIONE_GIORNALE,0),0)&gt;0,MAX(CE$2:CE19)+1,0)</f>
        <v>0</v>
      </c>
      <c r="CF20" s="259" t="str">
        <f ca="1">IFERROR(INDEX($CD$3:$CE$220,MATCH(ROWS($CF$3:CF20),$CE$3:$CE$220,0),1),"")</f>
        <v/>
      </c>
      <c r="CG20" s="259">
        <f t="shared" ca="1" si="7"/>
        <v>0</v>
      </c>
      <c r="CH20" s="259" t="str">
        <f ca="1">IF(IF(CG20&lt;&gt;0,MAX($CH$2:CH19)+1,0)=0,"",IF(CG20&lt;&gt;"",MAX($CH$2:CH19)+1,0))</f>
        <v/>
      </c>
      <c r="CI20" s="259" t="str">
        <f ca="1">IFERROR(INDEX($CF$3:$CG$220,MATCH(ROWS($CI$3:CI20),$CH$3:$CH$220,0),1),"")</f>
        <v/>
      </c>
      <c r="CJ20" s="259" t="str">
        <f t="shared" ca="1" si="67"/>
        <v/>
      </c>
      <c r="CK20" s="259" t="str">
        <f t="shared" si="8"/>
        <v/>
      </c>
      <c r="CL20" s="259">
        <f ca="1">IF(IFERROR(MATCH(CK20,DENOMINAZIONE_GIORNALE,0),0)&gt;0,MAX(CL$2:CL19)+1,0)</f>
        <v>0</v>
      </c>
      <c r="CM20" s="259" t="str">
        <f ca="1">IFERROR(INDEX($CK$3:$CL$220,MATCH(ROWS($CM$3:CM20),$CL$3:$CL$220,0),1),"")</f>
        <v/>
      </c>
      <c r="CN20" s="259" t="str">
        <f t="shared" ca="1" si="9"/>
        <v/>
      </c>
      <c r="CO20" s="259">
        <f ca="1">IF(IF(CN20&lt;&gt;0,MAX($CO$2:CO19)+1,0)=0,"",IF(CN20&lt;&gt;"",MAX($CO$2:CO19)+1,0))</f>
        <v>0</v>
      </c>
      <c r="CP20" s="259" t="str">
        <f ca="1">IFERROR(INDEX($CM$3:$CN$220,MATCH(ROWS(CP$3:CP20),$CO$3:$CO$220,0),1),"")</f>
        <v/>
      </c>
      <c r="CQ20" s="259" t="str">
        <f ca="1">IFERROR(INDEX($CM$3:$CN$220,MATCH(ROWS(CQ$3:CQ20),$CO$3:$CO$220,0),2),"")</f>
        <v/>
      </c>
      <c r="CR20" s="259" t="str">
        <f t="shared" ca="1" si="10"/>
        <v/>
      </c>
      <c r="CS20" s="259">
        <f t="shared" ca="1" si="11"/>
        <v>0</v>
      </c>
      <c r="CT20" s="259">
        <f t="shared" ca="1" si="12"/>
        <v>0</v>
      </c>
      <c r="CU20" s="259">
        <f ca="1">IF(OR(CS20&gt;0,CT20&gt;0),MAX($CU$2:CU19)+1,0)</f>
        <v>0</v>
      </c>
      <c r="CV20" s="259" t="str">
        <f ca="1">IFERROR(INDEX(PIANO_DEI_CONTI,MATCH(ROWS($CV$3:CV20),$CU$3:$CU$200,0),2),"")</f>
        <v/>
      </c>
      <c r="CW20" s="259">
        <f ca="1">IFERROR(IF(CV20&lt;&gt;"",MAX($CW$2:CW19)+1,0),0)</f>
        <v>0</v>
      </c>
      <c r="CY20" s="259" t="s">
        <v>269</v>
      </c>
      <c r="DB20" s="259" t="str">
        <f>CY20</f>
        <v>MASTRO</v>
      </c>
      <c r="DF20" s="259">
        <f ca="1">IF(AND(CX20=$DE$2,$DF$2&lt;&gt;0),0,IF(AND(DB20&lt;&gt;"",OR(DB19&lt;&gt;"",DB21&lt;&gt;"")),MAX($DF$2:DF19)+1,0))</f>
        <v>0</v>
      </c>
      <c r="DG20" s="259" t="str">
        <f>IF(OR(VALORI_INIZIALI!E25="",AND(VALORI_INIZIALI!E25&lt;&gt;"",VALORI_INIZIALI!H25=0,VALORI_INIZIALI!I25=0)),"",IFERROR(INDEX(PIANO_DEI_CONTI,MATCH(BB20,DENOMINAZIONE,0),1),0))</f>
        <v/>
      </c>
      <c r="DH20" s="259">
        <f ca="1">IFERROR(IF($J$1=1,IF(INDEX(PIANO_DEI_CONTI,MATCH($K20,DENOMINAZIONE,0),5)=$DF$1,MAX($DH$2:DH19)+1,0),IF($J$1=2,IF(INDEX(PIANO_DEI_CONTI,MATCH($K20,DENOMINAZIONE,0),7)=$DF$1,MAX($DH$2:DH19)+1,0))),0)</f>
        <v>0</v>
      </c>
      <c r="DI20" s="259">
        <f ca="1">IFERROR(INDEX($K$3:$K$220,MATCH(ROWS($DI$3:DI20),$DH$3:$DH$220,0),1),0)</f>
        <v>0</v>
      </c>
      <c r="DJ20" s="259">
        <f t="shared" ca="1" si="14"/>
        <v>0</v>
      </c>
      <c r="DK20" s="259">
        <f ca="1">IF(DJ20=0,0,MAX(DK$2:DK19)+1)</f>
        <v>0</v>
      </c>
      <c r="DL20" s="259">
        <f ca="1">IFERROR(INDEX(PIANO_DEI_CONTI,MATCH(ROWS(DL$3:DL20),$DK$3:DK247,0),2),0)</f>
        <v>0</v>
      </c>
      <c r="DM20" s="259">
        <f t="shared" ca="1" si="15"/>
        <v>0</v>
      </c>
      <c r="DN20" s="259">
        <f t="shared" ca="1" si="16"/>
        <v>0</v>
      </c>
      <c r="DO20" s="259">
        <f t="shared" ca="1" si="69"/>
        <v>0</v>
      </c>
      <c r="DP20" s="259">
        <f t="shared" ca="1" si="70"/>
        <v>0</v>
      </c>
      <c r="DQ20" s="259">
        <f ca="1">IF(OR($DQ$1="TOTALI",$DQ$1="TOTALI ED ECCEDENZE"),IF(OR(DM20&gt;0,DN20&gt;0),MAX(DQ$2:DQ19)+1,0),IF($DQ$1="ECCEDENZE",IF(OR(DO20&gt;0,DP20&gt;0),MAX(DQ$2:DQ19)+1,0),""))</f>
        <v>0</v>
      </c>
      <c r="DR20" s="259" t="str">
        <f ca="1">IFERROR(INDEX($DL$3:$DQ$230,MATCH(ROWS(DR$3:DR20),$DQ$3:$DQ$230,0),1),"")</f>
        <v/>
      </c>
      <c r="DS20" s="259" t="str">
        <f t="shared" ca="1" si="71"/>
        <v/>
      </c>
      <c r="DT20" s="259" t="str">
        <f t="shared" ca="1" si="72"/>
        <v/>
      </c>
      <c r="DU20" s="259" t="str">
        <f t="shared" ca="1" si="73"/>
        <v/>
      </c>
      <c r="DV20" s="259" t="str">
        <f t="shared" ca="1" si="74"/>
        <v/>
      </c>
      <c r="DW20" s="259">
        <f t="shared" ca="1" si="75"/>
        <v>0</v>
      </c>
      <c r="DX20" s="259" t="str">
        <f t="shared" ca="1" si="76"/>
        <v/>
      </c>
      <c r="DY20" s="259" t="str">
        <f t="shared" ca="1" si="77"/>
        <v/>
      </c>
      <c r="DZ20" s="259" t="str">
        <f t="shared" ca="1" si="78"/>
        <v/>
      </c>
      <c r="EA20" s="259">
        <f t="shared" ca="1" si="79"/>
        <v>18</v>
      </c>
      <c r="EB20" s="259" t="s">
        <v>349</v>
      </c>
      <c r="ED20" s="259">
        <f t="shared" ca="1" si="17"/>
        <v>0</v>
      </c>
      <c r="EE20" s="259" t="str">
        <f t="shared" ca="1" si="18"/>
        <v/>
      </c>
      <c r="EF20" s="259" t="str">
        <f t="shared" ca="1" si="19"/>
        <v/>
      </c>
      <c r="EG20" s="259" t="str">
        <f t="shared" ca="1" si="136"/>
        <v/>
      </c>
      <c r="EH20" s="259" t="str">
        <f t="shared" ca="1" si="80"/>
        <v/>
      </c>
      <c r="EI20" s="260" t="b">
        <f t="shared" ca="1" si="137"/>
        <v>1</v>
      </c>
      <c r="EJ20" s="260" t="b">
        <f t="shared" ca="1" si="138"/>
        <v>1</v>
      </c>
      <c r="EK20" s="260" t="b">
        <f t="shared" ca="1" si="139"/>
        <v>1</v>
      </c>
      <c r="EL20" s="259">
        <f t="shared" si="81"/>
        <v>18</v>
      </c>
      <c r="EM20" s="259">
        <f ca="1">IF(AND(BA20&gt;0,BA20&lt;=$EM$1),MAX($EM$2:EM19)+1,0)</f>
        <v>0</v>
      </c>
      <c r="EN20" s="259">
        <f t="shared" ca="1" si="82"/>
        <v>20</v>
      </c>
      <c r="EP20" s="259" t="str">
        <f t="shared" ca="1" si="20"/>
        <v/>
      </c>
      <c r="EQ20" s="259">
        <f t="shared" ca="1" si="21"/>
        <v>0</v>
      </c>
      <c r="ER20" s="259">
        <f ca="1">IF(ISNA(EQ20),MAX(ER$2:ER19)+1,0)</f>
        <v>0</v>
      </c>
      <c r="ES20" s="259" t="str">
        <f t="shared" ca="1" si="83"/>
        <v/>
      </c>
      <c r="ET20" s="259" t="str">
        <f ca="1">IFERROR(UPPER(INDEX($ER$3:$ES$500,MATCH(ROWS(ET$3:ET20),$ER$3:$ER$500,0),2)),"")</f>
        <v/>
      </c>
      <c r="EU20" s="259" t="s">
        <v>458</v>
      </c>
      <c r="EV20" s="259">
        <f ca="1">IF(ROUND(SUMIFS($IE$3:$IE$200,$IF$3:$IF$200,$IA$39)-SUMIFS($ID$3:$ID$200,$IF$3:$IF$200,$IA$39),0)&lt;0,MAX(EV3:EV19)+1,0)</f>
        <v>0</v>
      </c>
      <c r="EW20" s="259" t="str">
        <f ca="1">IF(AND(IFERROR(INDEX($EU$3:$EV$30,MATCH(ROWS($EX$3:EX20),$EV$3:$EV$30,0),1),"")&lt;&gt;"",EW21&lt;&gt;""),CONCATENATE(IFERROR(INDEX($EU$3:$EV$30,MATCH(ROWS($EX$3:EX20),$EV$3:$EV$30,0),1),"")," - "),IFERROR(INDEX($EU$3:$EV$30,MATCH(ROWS($EX$3:EX20),$EV$3:$EV$30,0),1),""))</f>
        <v/>
      </c>
      <c r="EY20" s="259">
        <f t="shared" ca="1" si="84"/>
        <v>0</v>
      </c>
      <c r="EZ20" s="259">
        <f t="shared" ca="1" si="84"/>
        <v>0</v>
      </c>
      <c r="FA20" s="259" t="str">
        <f t="shared" ca="1" si="85"/>
        <v/>
      </c>
      <c r="FB20" s="259">
        <f t="shared" ca="1" si="86"/>
        <v>0</v>
      </c>
      <c r="FC20" s="259">
        <f t="shared" ca="1" si="87"/>
        <v>0</v>
      </c>
      <c r="FD20" s="259">
        <f t="shared" ca="1" si="22"/>
        <v>0</v>
      </c>
      <c r="FE20" s="259" t="str">
        <f t="shared" ca="1" si="23"/>
        <v/>
      </c>
      <c r="FF20" s="259" t="str">
        <f t="shared" ca="1" si="88"/>
        <v/>
      </c>
      <c r="FG20" s="259" t="str">
        <f t="shared" si="89"/>
        <v>FONDO AMMORT. IMPIANTI E MACCHINARI</v>
      </c>
      <c r="FH20" s="259">
        <f t="shared" ca="1" si="24"/>
        <v>0</v>
      </c>
      <c r="FI20" s="259">
        <f t="shared" ca="1" si="25"/>
        <v>0</v>
      </c>
      <c r="FJ20" s="259">
        <f t="shared" ca="1" si="90"/>
        <v>0</v>
      </c>
      <c r="FK20" s="259">
        <f t="shared" ca="1" si="91"/>
        <v>0</v>
      </c>
      <c r="FL20" s="259">
        <f ca="1">IF(OR(FJ20&gt;0,FK20&gt;0),MAX($FL$2:FL19)+1,0)</f>
        <v>0</v>
      </c>
      <c r="FM20" s="259">
        <f t="shared" ca="1" si="26"/>
        <v>0</v>
      </c>
      <c r="FN20" s="259">
        <f ca="1">IF(FM20&lt;0,MAX($FN$2:FN19)+1,0)</f>
        <v>0</v>
      </c>
      <c r="FO20" s="259" t="str">
        <f t="shared" ca="1" si="92"/>
        <v/>
      </c>
      <c r="FP20" s="259" t="str">
        <f ca="1">IFERROR(INDEX($FN$3:$FO$400,MATCH(ROWS($FP$3:FP20),$FN$3:$FN$400,0),2),"")</f>
        <v/>
      </c>
      <c r="FQ20" s="259" t="str">
        <f>IF(AE20="SE AVERE",MAX($FQ$2:FQ19)+1,"")</f>
        <v/>
      </c>
      <c r="FR20" s="259" t="str">
        <f>IF(AE20="SE DARE",MAX($FR$2:FR19)+1,"")</f>
        <v/>
      </c>
      <c r="FS20" s="259" t="str">
        <f ca="1">IF(AND(AE20="SP DARE",AA20&lt;&gt;$FS$1,AA20&lt;&gt;$FT$1),MAX($FS$2:FS19)+1,IF(AND(GQ20="SP DARE",AA20&lt;&gt;$FS$1,AA20&lt;&gt;$FT$1),MAX($FS$2:FS19)+1,""))</f>
        <v/>
      </c>
      <c r="FT20" s="259">
        <f ca="1">IF(AND(AE20="SP AVERE",AA20&lt;&gt;$FU$1),MAX($FT$2:FT19)+1,IF(AND(GQ20="SP AVERE",AA20&lt;&gt;$FU$1),MAX($FT$2:FT19)+1,""))</f>
        <v>137</v>
      </c>
      <c r="FU20" s="259">
        <f t="shared" ca="1" si="93"/>
        <v>137</v>
      </c>
      <c r="FV20" s="259" t="str">
        <f t="shared" si="94"/>
        <v>FONDO AMMORT. IMPIANTI E MACCHINARI</v>
      </c>
      <c r="FW20" s="259" t="str">
        <f ca="1">IFERROR(INDEX($FU$3:$FV$500,MATCH(ROWS($FW$3:FW20),$FU$3:$FU$500,0),2),0)</f>
        <v>INTERESSI ATTIVI POSTALI</v>
      </c>
      <c r="FX20" s="259">
        <f t="shared" ca="1" si="95"/>
        <v>18</v>
      </c>
      <c r="FY20" s="259">
        <f t="shared" ca="1" si="96"/>
        <v>0</v>
      </c>
      <c r="FZ20" s="259">
        <f ca="1">IF(FY20&gt;0,MAX($FZ$2:FZ19)+1,0)</f>
        <v>0</v>
      </c>
      <c r="GA20" s="259">
        <f ca="1">IFERROR(INDEX($FY$3:$FZ$500,MATCH(ROWS($GA$3:GA20),$FZ$3:$FZ$500,0),1),0)</f>
        <v>176</v>
      </c>
      <c r="GB20" s="259" t="s">
        <v>130</v>
      </c>
      <c r="GC20" s="259">
        <f t="shared" ca="1" si="97"/>
        <v>18</v>
      </c>
      <c r="GD20" s="259" t="str">
        <f t="shared" ca="1" si="98"/>
        <v>INTERESSI ATTIVI POSTALI</v>
      </c>
      <c r="GF20" s="259">
        <f ca="1">GE17-GF18</f>
        <v>0</v>
      </c>
      <c r="GG20" s="259">
        <f t="shared" ca="1" si="27"/>
        <v>0</v>
      </c>
      <c r="GH20" s="259">
        <f t="shared" ca="1" si="99"/>
        <v>0</v>
      </c>
      <c r="GI20" s="259">
        <f t="shared" ca="1" si="100"/>
        <v>0</v>
      </c>
      <c r="GJ20" s="259">
        <f t="shared" ca="1" si="101"/>
        <v>0</v>
      </c>
      <c r="GK20" s="259">
        <f t="shared" ca="1" si="102"/>
        <v>0</v>
      </c>
      <c r="GL20" s="259">
        <f t="shared" ca="1" si="103"/>
        <v>0</v>
      </c>
      <c r="GM20" s="259">
        <f ca="1">IF(OR(GK20&gt;0,GL20&gt;0),MAX($GM$2:GM19)+1,0)</f>
        <v>0</v>
      </c>
      <c r="GN20" s="259" t="str">
        <f ca="1">IFERROR(INDEX($GD$3:$GM$400,MATCH(ROWS($GN$3:GN20),$GM$3:$GM$400,0),1),"")</f>
        <v/>
      </c>
      <c r="GO20" s="259" t="str">
        <f ca="1">IFERROR(INDEX($GD$3:$GM$400,MATCH(ROWS($GO$3:GO20),$GM$3:$GM$400,0),8),"")</f>
        <v/>
      </c>
      <c r="GP20" s="259" t="str">
        <f ca="1">IFERROR(INDEX($GD$3:$GM$400,MATCH(ROWS($GP$3:GP20),$GM$3:$GM$400,0),9),"")</f>
        <v/>
      </c>
      <c r="GQ20" s="259">
        <f t="shared" ca="1" si="28"/>
        <v>0</v>
      </c>
      <c r="GR20" s="259">
        <f t="shared" ca="1" si="104"/>
        <v>0</v>
      </c>
      <c r="GS20" s="259" t="str">
        <f t="shared" si="105"/>
        <v>epilogo a Conto economico</v>
      </c>
      <c r="GT20" s="259" t="str">
        <f ca="1">IFERROR(INDEX($GD$3:$GS$400,MATCH(ROWS($GT$3:GT20),$GM$3:$GM$400,0),16),"")</f>
        <v/>
      </c>
      <c r="GU20" s="259">
        <f ca="1">IF(GQ20&lt;&gt;0,MAX($GU$2:$GU19)+1,0)</f>
        <v>0</v>
      </c>
      <c r="GV20" s="259">
        <f t="shared" ca="1" si="106"/>
        <v>0</v>
      </c>
      <c r="GW20" s="259" t="str">
        <f ca="1">IF(AND(IFERROR(INDEX($GU$3:$GV$400,MATCH(ROWS($GW$3:GW20),$GU$3:$GU$400,0),2),"")&lt;&gt;"",GW21&lt;&gt;""),CONCATENATE(IFERROR(INDEX($GU$3:$GV$400,MATCH(ROWS($GW$3:GW20),$GU$3:$GU$400,0),2),"")," - "),IFERROR(INDEX($GU$3:$GV$400,MATCH(ROWS($GW$3:GW20),$GU$3:$GU$400,0),2),""))</f>
        <v/>
      </c>
      <c r="GX20" s="259">
        <f ca="1">IF(OR(GN20="IVA NS/CREDITO",GN20="IVA NS/DEBITO",GN20="IVA C/ACCONTO",GN20="IMPOSTE C/ACCONTO"),MAX($GX$2:GX19)+1,0)</f>
        <v>0</v>
      </c>
      <c r="GY20" s="259" t="str">
        <f ca="1">IF(AND(IFERROR(INDEX($GN$3:$GX$200,MATCH(ROWS($GY$3:GY20),$GX$3:$GX$200,0),1),"")&lt;&gt;"",GY21&lt;&gt;""),CONCATENATE(IFERROR(INDEX($GN$3:$GX$200,MATCH(ROWS($GY$3:GY20),$GX$3:$GX$200,0),1),"")," - "),IFERROR(INDEX($GN$3:$GX$200,MATCH(ROWS($GY$3:GY20),$GX$3:$GX$200,0),1),""))</f>
        <v/>
      </c>
      <c r="GZ20" s="259" t="s">
        <v>34</v>
      </c>
      <c r="HA20" s="259" t="s">
        <v>494</v>
      </c>
      <c r="HB20" s="271" t="s">
        <v>256</v>
      </c>
      <c r="HC20" s="269" t="s">
        <v>276</v>
      </c>
      <c r="HD20" s="269" t="s">
        <v>9</v>
      </c>
      <c r="HE20" s="269" t="s">
        <v>206</v>
      </c>
      <c r="HL20" s="259" t="str">
        <f t="shared" ca="1" si="29"/>
        <v/>
      </c>
      <c r="HM20" s="259" t="str">
        <f t="shared" ca="1" si="30"/>
        <v/>
      </c>
      <c r="HN20" s="259" t="str">
        <f t="shared" ca="1" si="31"/>
        <v/>
      </c>
      <c r="HO20" s="259">
        <f ca="1">IF(HL20&lt;&gt;"",MAX($HO$2:HO19)+1,0)</f>
        <v>0</v>
      </c>
      <c r="HP20" s="259">
        <f ca="1">IF(HM20&lt;&gt;"",MAX($HP$2:HP19)+1,0)</f>
        <v>0</v>
      </c>
      <c r="HQ20" s="259">
        <f ca="1">IF(HN20&lt;&gt;"",MAX($HQ$2:HQ19)+1,0)</f>
        <v>0</v>
      </c>
      <c r="HR20" s="259" t="str">
        <f t="shared" ca="1" si="107"/>
        <v/>
      </c>
      <c r="HS20" s="259" t="str">
        <f t="shared" ca="1" si="108"/>
        <v/>
      </c>
      <c r="HT20" s="259">
        <f t="shared" ca="1" si="109"/>
        <v>0</v>
      </c>
      <c r="HU20" s="259">
        <f t="shared" ca="1" si="110"/>
        <v>0</v>
      </c>
      <c r="HV20" s="259" t="str">
        <f ca="1">CONCATENATE(IFERROR(INDEX($HS$3:$HT$102,MATCH(ROWS($HV$3:HV20),$HT$3:$HT$102,0),1),""),HR20)</f>
        <v/>
      </c>
      <c r="IA20" s="259" t="s">
        <v>355</v>
      </c>
      <c r="IB20" s="259" t="s">
        <v>295</v>
      </c>
      <c r="IC20" s="259">
        <f ca="1">IFERROR(INDEX(PIANO_DEI_CONTI,MATCH(ROWS(DL$3:DL20),$DK$3:DK247,0),2),0)</f>
        <v>0</v>
      </c>
      <c r="ID20" s="259">
        <f t="shared" ca="1" si="111"/>
        <v>0</v>
      </c>
      <c r="IE20" s="259">
        <f t="shared" ca="1" si="112"/>
        <v>0</v>
      </c>
      <c r="IF20" s="259">
        <f t="shared" ca="1" si="113"/>
        <v>0</v>
      </c>
      <c r="IG20" s="259">
        <f ca="1">IF(IG24&gt;0,"",0)</f>
        <v>0</v>
      </c>
      <c r="IH20" s="259">
        <f ca="1">IF(IG20&lt;&gt;0,MAX($IH$19:IH19)+1,0)</f>
        <v>0</v>
      </c>
      <c r="II20" s="259">
        <f>IF(AD20="costi pluriennali",MAX($II$2:II19)+1,0)</f>
        <v>0</v>
      </c>
      <c r="IJ20" s="259">
        <f>IF($AD20="rettifiche costi pluriennali",MAX($IJ$2:IJ19)+1,0)</f>
        <v>6</v>
      </c>
      <c r="IK20" s="259">
        <f t="shared" si="114"/>
        <v>6</v>
      </c>
      <c r="IL20" s="259" t="str">
        <f t="shared" si="115"/>
        <v>FONDO AMMORT. IMPIANTI E MACCHINARI</v>
      </c>
      <c r="IM20" s="259">
        <f t="shared" ca="1" si="116"/>
        <v>0</v>
      </c>
      <c r="IN20" s="259">
        <f t="shared" ca="1" si="141"/>
        <v>0</v>
      </c>
      <c r="IO20" s="259">
        <f>SUMIFS($IM$3:$IM$200,$IK$3:$IK$200,ROWS($IO$3:IO20))-SUMIFS($IN$3:$IN$200,$IK$3:$IK$200,ROWS($IO$3:IO20))</f>
        <v>0</v>
      </c>
      <c r="IP20" s="259" t="str">
        <f>IF(IO20&lt;0,INDEX($IJ$3:$IL$200,MATCH(ROWS($IP$3:IP20),$IJ$3:$IJ$200,0),3),"")</f>
        <v/>
      </c>
      <c r="IQ20" s="259">
        <f>IF(IP20&lt;&gt;"",MAX($IQ$2:IQ19)+1,0)</f>
        <v>0</v>
      </c>
      <c r="IR20" s="259" t="str">
        <f ca="1">IFERROR(INDEX($IP$3:$IQ$200,MATCH(ROWS($IR$3:IR20),$IQ$3:$IQ$200,0),1),"")</f>
        <v/>
      </c>
      <c r="IS20" s="259" t="str">
        <f t="shared" ca="1" si="117"/>
        <v/>
      </c>
      <c r="IT20" s="259" t="str">
        <f t="shared" ca="1" si="118"/>
        <v/>
      </c>
      <c r="IU20" s="259" t="str">
        <f t="shared" ca="1" si="119"/>
        <v/>
      </c>
      <c r="IV20" s="259" t="str">
        <f t="shared" ca="1" si="120"/>
        <v/>
      </c>
      <c r="IW20" s="259" t="str">
        <f t="shared" ca="1" si="121"/>
        <v/>
      </c>
      <c r="IX20" s="259" t="str">
        <f t="shared" ca="1" si="122"/>
        <v/>
      </c>
      <c r="IY20" s="259" t="str">
        <f t="shared" ca="1" si="123"/>
        <v/>
      </c>
      <c r="IZ20" s="259" t="str">
        <f t="shared" ca="1" si="124"/>
        <v/>
      </c>
      <c r="JA20" s="259" t="str">
        <f t="shared" ca="1" si="125"/>
        <v/>
      </c>
      <c r="JB20" s="259">
        <f t="shared" ca="1" si="32"/>
        <v>0</v>
      </c>
      <c r="JC20" s="259">
        <f t="shared" ca="1" si="126"/>
        <v>0</v>
      </c>
      <c r="JE20" s="259">
        <f ca="1">IFERROR(INDEX(LIBRO_GIORNALE!$N$11:$O$408,MATCH(ROWS($JE$2:JE19),LIBRO_GIORNALE!$O$11:$O$408,0),1),0)</f>
        <v>0</v>
      </c>
      <c r="JF20" s="259" t="str">
        <f t="shared" ca="1" si="127"/>
        <v>0</v>
      </c>
      <c r="JG20" s="259">
        <f t="shared" ca="1" si="128"/>
        <v>0</v>
      </c>
      <c r="JH20" s="259">
        <f ca="1">IF(JJ20&gt;0,0,MAX($JH$2:JH19)+1)</f>
        <v>18</v>
      </c>
      <c r="JI20" s="259">
        <f ca="1">IF(JG20&gt;0,MAX($JI$2:JI19)+1,0)</f>
        <v>0</v>
      </c>
      <c r="JJ20" s="259">
        <f ca="1">IFERROR(INDEX($JG$3:$JI$124,MATCH(ROWS($JJ$3:JJ20),$JI$3:$JI$124,0),1),0)</f>
        <v>0</v>
      </c>
      <c r="JK20" s="259">
        <f t="shared" ca="1" si="129"/>
        <v>0</v>
      </c>
      <c r="JL20" s="259">
        <f t="shared" ca="1" si="130"/>
        <v>18</v>
      </c>
      <c r="JM20" s="259">
        <v>17</v>
      </c>
    </row>
    <row r="21" spans="1:273">
      <c r="A21" s="259" t="str">
        <f t="shared" si="33"/>
        <v>02.11</v>
      </c>
      <c r="B21" s="259" t="str">
        <f t="shared" si="34"/>
        <v>FONDO AMMORTAMENTO FABBRICATI</v>
      </c>
      <c r="C21" s="259" t="str">
        <f t="shared" si="35"/>
        <v>E</v>
      </c>
      <c r="D21" s="259" t="str">
        <f t="shared" si="36"/>
        <v>A</v>
      </c>
      <c r="E21" s="259" t="str">
        <f t="shared" si="37"/>
        <v>RETTIFICHE COSTI PLURIENNALI</v>
      </c>
      <c r="F21" s="259" t="str">
        <f t="shared" si="38"/>
        <v>SP AVERE</v>
      </c>
      <c r="G21" s="259">
        <f t="shared" ca="1" si="39"/>
        <v>0</v>
      </c>
      <c r="H21" s="259">
        <f t="shared" ca="1" si="40"/>
        <v>1</v>
      </c>
      <c r="I21" s="259">
        <f t="shared" ca="1" si="41"/>
        <v>1</v>
      </c>
      <c r="J21" s="259">
        <v>18</v>
      </c>
      <c r="K21" s="259" t="str">
        <f ca="1">IFERROR(IF($I$1=1,INDEX($AA$3:$AS$220,MATCH(ROWS($K$3:K21),$AQ$3:$AQ$220,0),1),IF($I$1=2,INDEX($AA$3:$AS$220,MATCH(ROWS($K$3:K21),$AR$3:$AR$220,0),1),IF($I$1=3,INDEX($AA$3:$AS$220,MATCH(ROWS($K$3:K21),$AS$3:$AS$220,0),1),""))),"")</f>
        <v>FONDO AMMORT. ATTREZZATURE COMMERCIALI</v>
      </c>
      <c r="L21" s="259">
        <f ca="1">IF(AND($L$1="VISUALIZZA TUTTI I CONTI",K21&lt;&gt;""),MAX(L20:L20)+1,IFERROR(IF($J$1=1,IF(INDEX(PIANO_DEI_CONTI,MATCH($K21,DENOMINAZIONE,0),5)=$L$1,MAX($L$2:L20)+1,0),IF($J$1=2,IF(INDEX(PIANO_DEI_CONTI,MATCH($K21,DENOMINAZIONE,0),7)=$L$1,MAX($L$2:L20)+1,0))),0))</f>
        <v>19</v>
      </c>
      <c r="M21" s="259" t="str">
        <f ca="1">IFERROR(INDEX($K$3:$K$220,MATCH(ROWS($M$3:M21),$L$3:$L$220,0),1),"")</f>
        <v>FONDO AMMORT. ATTREZZATURE COMMERCIALI</v>
      </c>
      <c r="N21" s="259" t="str">
        <f t="shared" si="143"/>
        <v>IMMOBILIZZAZIONI FINANZIARIE</v>
      </c>
      <c r="O21" s="259" t="str">
        <f t="shared" ca="1" si="142"/>
        <v>IMMOBILIZZAZIONI FINANZIARIE</v>
      </c>
      <c r="P21" s="259">
        <f ca="1">IF(AND(N21=O21,O21&lt;&gt;""),MAX(P$2:P20)+1,0)</f>
        <v>4</v>
      </c>
      <c r="Q21" s="259" t="str">
        <f ca="1">IF(IFERROR(INDEX($O$3:$P$220,MATCH(ROWS(Q$3:Q21),$P$3:$P$220,0),1),"")=0,"",IFERROR(INDEX($O$3:$P$220,MATCH(ROWS(Q$3:Q21),$P$3:$P$220,0),1),""))</f>
        <v>VALORE DELLA PRODUZIONE</v>
      </c>
      <c r="R21" s="259" t="str">
        <f t="shared" si="1"/>
        <v/>
      </c>
      <c r="S21" s="259">
        <f ca="1">IF(IFERROR(MATCH(R21,DENOMINAZIONE_GIORNALE,0),0)&gt;0,MAX(S$2:S20)+1,0)</f>
        <v>0</v>
      </c>
      <c r="T21" s="259" t="str">
        <f ca="1">IFERROR(INDEX($R$3:$S$220,MATCH(ROWS($T$3:T21),$S$3:$S$220,0),1),"")</f>
        <v/>
      </c>
      <c r="U21" s="259">
        <f t="shared" ca="1" si="2"/>
        <v>0</v>
      </c>
      <c r="V21" s="259">
        <f ca="1">IF(IF(U21&lt;&gt;0,MAX($V$2:V20)+1,0)=0,0,IF(U21&lt;&gt;0,MAX($V$2:V20)+1,0))</f>
        <v>0</v>
      </c>
      <c r="W21" s="259" t="str">
        <f t="shared" si="43"/>
        <v>02.11</v>
      </c>
      <c r="X21" s="259" t="str">
        <f t="shared" si="44"/>
        <v>FONDO AMMORTAMENTO FABBRICATI</v>
      </c>
      <c r="Y21" s="259">
        <f>IF(W21="",0,MAX($Y$2:Y20)+1)</f>
        <v>17</v>
      </c>
      <c r="Z21" s="259" t="str">
        <f>IFERROR(INDEX($W$3:$Y$220,MATCH(ROWS($Z$2:Z20),$Y$3:$Y$220,0),1),"")</f>
        <v>02.14</v>
      </c>
      <c r="AA21" s="259" t="str">
        <f t="shared" si="45"/>
        <v>FONDO AMMORT. ATTREZZATURE COMMERCIALI</v>
      </c>
      <c r="AB21" s="259" t="str">
        <f t="shared" si="46"/>
        <v>E</v>
      </c>
      <c r="AC21" s="259" t="str">
        <f t="shared" si="47"/>
        <v>A</v>
      </c>
      <c r="AD21" s="259" t="str">
        <f t="shared" si="48"/>
        <v>RETTIFICHE COSTI PLURIENNALI</v>
      </c>
      <c r="AE21" s="259" t="str">
        <f t="shared" si="49"/>
        <v>SP AVERE</v>
      </c>
      <c r="AF21" s="259" t="str">
        <f t="shared" si="50"/>
        <v>IMMOBILIZZAZIONI MATERIALI</v>
      </c>
      <c r="AG21" s="259">
        <f t="shared" ca="1" si="51"/>
        <v>0</v>
      </c>
      <c r="AH21" s="259">
        <f t="shared" ca="1" si="52"/>
        <v>1</v>
      </c>
      <c r="AI21" s="259">
        <f t="shared" ca="1" si="53"/>
        <v>1</v>
      </c>
      <c r="AJ21" s="259" t="str">
        <f t="shared" si="54"/>
        <v>02</v>
      </c>
      <c r="AK21" s="259" t="str">
        <f t="shared" si="55"/>
        <v/>
      </c>
      <c r="AL21" s="259">
        <f>IF(AK21&lt;&gt;"",MAX($AL$2:AL20)+1,0)</f>
        <v>0</v>
      </c>
      <c r="AM21" s="259" t="str">
        <f>IFERROR(INDEX($AK$3:$AL$220,MATCH(ROWS($AM$3:AM21),$AL$3:$AL$220,0),1),"")</f>
        <v>30</v>
      </c>
      <c r="AN21" s="259" t="str">
        <f t="shared" si="56"/>
        <v>30.00</v>
      </c>
      <c r="AO21" s="259" t="str">
        <f t="shared" si="57"/>
        <v>COSTI PER MERCI E MATERIE DI CONSUMO</v>
      </c>
      <c r="AP21" s="259" t="str">
        <f t="shared" si="58"/>
        <v>IMMOBILIZZAZIONI MATERIALI</v>
      </c>
      <c r="AQ21" s="259">
        <f ca="1">IF(OR(AG21=0,AG21=""),0,MAX(AQ$2:AQ20)+1)</f>
        <v>0</v>
      </c>
      <c r="AR21" s="259">
        <f ca="1">IF(OR(AH21=0,AH21=""),0,MAX(AR$2:AR20)+1)</f>
        <v>16</v>
      </c>
      <c r="AS21" s="259">
        <f ca="1">IF(OR(AI21=0,AI21=""),0,MAX(AS$2:AS20)+1)</f>
        <v>19</v>
      </c>
      <c r="AT21" s="259" t="str">
        <f ca="1">IFERROR(INDEX($AD$3:$AS$220,MATCH(ROWS(AT$3:AT21),AQ$3:AQ$220,0),1),"")</f>
        <v>CREDITI</v>
      </c>
      <c r="AU21" s="259" t="str">
        <f ca="1">IFERROR(INDEX($AD$3:$AS$220,MATCH(ROWS(AU$3:AU21),AR$3:AR$220,0),1),"")</f>
        <v>RETTIFICHE COSTI PLURIENNALI</v>
      </c>
      <c r="AV21" s="259" t="str">
        <f ca="1">IFERROR(INDEX($AD$3:$AS$220,MATCH(ROWS(AV$3:AV21),AS$3:AS$220,0),1),"")</f>
        <v>RETTIFICHE COSTI PLURIENNALI</v>
      </c>
      <c r="AW21" s="259" t="str">
        <f ca="1">IFERROR(INDEX($AP$3:$AS$220,MATCH(ROWS(AW$3:AW21),AQ$3:AQ$220,0),1),"")</f>
        <v>CREDITI COMMERCIALI</v>
      </c>
      <c r="AX21" s="259" t="str">
        <f ca="1">IFERROR(INDEX($AP$3:$AS$220,MATCH(ROWS(AX$3:AX21),AR$3:AR$220,0),1),"")</f>
        <v>IMMOBILIZZAZIONI MATERIALI</v>
      </c>
      <c r="AY21" s="259" t="str">
        <f ca="1">IFERROR(INDEX($AP$3:$AS$220,MATCH(ROWS(AY$3:AY21),AS$3:AS$220,0),1),"")</f>
        <v>IMMOBILIZZAZIONI MATERIALI</v>
      </c>
      <c r="AZ21" s="276" t="str">
        <f t="shared" ca="1" si="59"/>
        <v/>
      </c>
      <c r="BA21" s="259">
        <f t="shared" ca="1" si="3"/>
        <v>0</v>
      </c>
      <c r="BB21" s="259">
        <f ca="1">IFERROR(INDEX($FG$3:$FL$400,MATCH(ROWS($BB$3:BB21),$FL$3:$FL$400,0),1),0)</f>
        <v>0</v>
      </c>
      <c r="BC21" s="259" t="str">
        <f t="shared" ca="1" si="60"/>
        <v/>
      </c>
      <c r="BD21" s="259">
        <f ca="1">IFERROR(INDEX($FG$3:$FL$400,MATCH(ROWS($BD$3:BD21),$FL$3:$FL$400,0),4),0)</f>
        <v>0</v>
      </c>
      <c r="BE21" s="259">
        <f ca="1">IFERROR(INDEX($FG$3:$FL$400,MATCH(ROWS($BE$3:BE21),$FL$3:$FL$400,0),5),0)</f>
        <v>0</v>
      </c>
      <c r="BG21" s="259" t="str">
        <f t="shared" si="4"/>
        <v>FONDO AMMORT. ATTREZZATURE COMMERCIALI</v>
      </c>
      <c r="BH21" s="259">
        <f ca="1">IF(IFERROR(MATCH(BG21,DENOMINAZIONE_GIORNALE,0),0)&gt;0,MAX(BH$2:BH20)+1,0)</f>
        <v>0</v>
      </c>
      <c r="BI21" s="259" t="str">
        <f ca="1">IFERROR(INDEX($BG$3:$BH$220,MATCH(ROWS($BI$3:BI21),$BH$3:$BH$220,0),1),"")</f>
        <v/>
      </c>
      <c r="BJ21" s="259" t="str">
        <f t="shared" ca="1" si="5"/>
        <v/>
      </c>
      <c r="BK21" s="259" t="str">
        <f ca="1">IF(IF(BJ21&lt;&gt;"",MAX($BK$2:BK20)+1,0)=0,"",IF(BJ21&lt;&gt;"",MAX($BK$2:BK20)+1,0))</f>
        <v/>
      </c>
      <c r="BL21" s="259" t="str">
        <f ca="1">IFERROR(INDEX($T$3:$U$220, MATCH(ROWS(BL$3:BL21),$V$3:$V$220,0),1),"")</f>
        <v/>
      </c>
      <c r="BM21" s="259" t="str">
        <f ca="1">IFERROR(INDEX($T$3:$U$220, MATCH(ROWS(BM$3:BM21),$V$3:$V$220,0),2),"")</f>
        <v/>
      </c>
      <c r="BN21" s="259" t="str">
        <f ca="1">IF(IFERROR(INDEX($BI$3:$BJ$220,MATCH(ROWS(BN$3:BN21),$BK$3:$BK$220,0),1),"")="PATRIMONIO NETTO","",IFERROR(INDEX($BI$3:$BJ$220,MATCH(ROWS(BN$3:BN21),$BK$3:$BK$220,0),1),""))</f>
        <v/>
      </c>
      <c r="BO21" s="259" t="str">
        <f ca="1">IFERROR(INDEX($BI$3:$BJ$220,MATCH(ROWS(BO$3:BO21),$BK$3:$BK$220,0),2),"")</f>
        <v/>
      </c>
      <c r="BP21" s="259">
        <f ca="1">IF(BN21&lt;&gt;"",MAX(BP$2:$BP20)+1,0)</f>
        <v>0</v>
      </c>
      <c r="BQ21" s="259" t="str">
        <f ca="1">IFERROR(INDEX($BN$3:$BO$200,MATCH(ROWS(BQ$3:BQ21),$BP$3:$BP$220,0),1),"")</f>
        <v/>
      </c>
      <c r="BR21" s="259" t="str">
        <f ca="1">IFERROR(INDEX($BN$3:$BO$220,MATCH(ROWS(BR$3:BR21),$BP$3:$BP$220,0),2),"")</f>
        <v/>
      </c>
      <c r="BS21" s="259" t="str">
        <f ca="1">IFERROR(IF(OR(INDEX($T$3:$U$220,MATCH(ROWS(BL$3:BL21),$V$3:$V$220,0),1)="PRELEVAMENTI EXTRAGESTIONE",INDEX($T$3:$U$220,MATCH(ROWS(BL$3:BL21),$V$3:$V$220,0),1)="TITOLARE C/RITENUTE SUBITE"),"",INDEX($T$3:$U$220,MATCH(ROWS(BL$3:BL21),$V$3:$V$220,0),1)),"")</f>
        <v/>
      </c>
      <c r="BT21" s="259">
        <f t="shared" ca="1" si="61"/>
        <v>0</v>
      </c>
      <c r="BU21" s="259">
        <f ca="1">IF(BS21&lt;&gt;"",MAX(BU$2:BU20)+1,0)</f>
        <v>0</v>
      </c>
      <c r="BV21" s="259" t="str">
        <f ca="1">IFERROR(INDEX($BS$3:$BT$223,MATCH(ROWS(BV$3:BV21),$BU$3:$BU$223,0),1),"")</f>
        <v/>
      </c>
      <c r="BW21" s="259">
        <f t="shared" ca="1" si="62"/>
        <v>0</v>
      </c>
      <c r="BX21" s="259" t="str">
        <f t="shared" ca="1" si="63"/>
        <v/>
      </c>
      <c r="BY21" s="259" t="str">
        <f t="shared" ca="1" si="64"/>
        <v/>
      </c>
      <c r="BZ21" s="259" t="str">
        <f ca="1">IFERROR(IF(OR($DS$231&lt;&gt;$DT$231,$DU$231&lt;&gt;$DV$231,$EO$25&lt;&gt;0,$EO$26&lt;&gt;0),INDEX($T$3:$V$220,MATCH(ROWS($BV$3:BV21),$V$3:$V$220,0),1),CONCATENATE(BV21,BY21)),"")</f>
        <v/>
      </c>
      <c r="CA21" s="259">
        <f t="shared" ca="1" si="65"/>
        <v>0</v>
      </c>
      <c r="CB21" s="259" t="str">
        <f ca="1">IFERROR(IF(OR($BB$1&lt;&gt;$BD$1,$BC$1&lt;&gt;$BE$1,$DS$231&lt;&gt;$DT$231,$DU$231&lt;&gt;$DV$231,$EO$25&lt;&gt;0,$EO$26&lt;&gt;0),INDEX($BI$3:$BK$220,MATCH(ROWS($CB$3:CB21),$BK$3:$BK$220,0),1),CONCATENATE(BQ21,BX21)),"")</f>
        <v/>
      </c>
      <c r="CC21" s="259" t="str">
        <f t="shared" ca="1" si="66"/>
        <v/>
      </c>
      <c r="CD21" s="259" t="str">
        <f t="shared" si="6"/>
        <v/>
      </c>
      <c r="CE21" s="259">
        <f ca="1">IF(IFERROR(MATCH(CD21,DENOMINAZIONE_GIORNALE,0),0)&gt;0,MAX(CE$2:CE20)+1,0)</f>
        <v>0</v>
      </c>
      <c r="CF21" s="259" t="str">
        <f ca="1">IFERROR(INDEX($CD$3:$CE$220,MATCH(ROWS($CF$3:CF21),$CE$3:$CE$220,0),1),"")</f>
        <v/>
      </c>
      <c r="CG21" s="259">
        <f t="shared" ca="1" si="7"/>
        <v>0</v>
      </c>
      <c r="CH21" s="259" t="str">
        <f ca="1">IF(IF(CG21&lt;&gt;0,MAX($CH$2:CH20)+1,0)=0,"",IF(CG21&lt;&gt;"",MAX($CH$2:CH20)+1,0))</f>
        <v/>
      </c>
      <c r="CI21" s="259" t="str">
        <f ca="1">IFERROR(INDEX($CF$3:$CG$220,MATCH(ROWS($CI$3:CI21),$CH$3:$CH$220,0),1),"")</f>
        <v/>
      </c>
      <c r="CJ21" s="259" t="str">
        <f t="shared" ca="1" si="67"/>
        <v/>
      </c>
      <c r="CK21" s="259" t="str">
        <f t="shared" si="8"/>
        <v/>
      </c>
      <c r="CL21" s="259">
        <f ca="1">IF(IFERROR(MATCH(CK21,DENOMINAZIONE_GIORNALE,0),0)&gt;0,MAX(CL$2:CL20)+1,0)</f>
        <v>0</v>
      </c>
      <c r="CM21" s="259" t="str">
        <f ca="1">IFERROR(INDEX($CK$3:$CL$220,MATCH(ROWS($CM$3:CM21),$CL$3:$CL$220,0),1),"")</f>
        <v/>
      </c>
      <c r="CN21" s="259" t="str">
        <f t="shared" ca="1" si="9"/>
        <v/>
      </c>
      <c r="CO21" s="259">
        <f ca="1">IF(IF(CN21&lt;&gt;0,MAX($CO$2:CO20)+1,0)=0,"",IF(CN21&lt;&gt;"",MAX($CO$2:CO20)+1,0))</f>
        <v>0</v>
      </c>
      <c r="CP21" s="259" t="str">
        <f ca="1">IFERROR(INDEX($CM$3:$CN$220,MATCH(ROWS(CP$3:CP21),$CO$3:$CO$220,0),1),"")</f>
        <v/>
      </c>
      <c r="CQ21" s="259" t="str">
        <f ca="1">IFERROR(INDEX($CM$3:$CN$220,MATCH(ROWS(CQ$3:CQ21),$CO$3:$CO$220,0),2),"")</f>
        <v/>
      </c>
      <c r="CR21" s="259" t="str">
        <f t="shared" ca="1" si="10"/>
        <v/>
      </c>
      <c r="CS21" s="259">
        <f t="shared" ca="1" si="11"/>
        <v>0</v>
      </c>
      <c r="CT21" s="259">
        <f t="shared" ca="1" si="12"/>
        <v>0</v>
      </c>
      <c r="CU21" s="259">
        <f ca="1">IF(OR(CS21&gt;0,CT21&gt;0),MAX($CU$2:CU20)+1,0)</f>
        <v>0</v>
      </c>
      <c r="CV21" s="259" t="str">
        <f ca="1">IFERROR(INDEX(PIANO_DEI_CONTI,MATCH(ROWS($CV$3:CV21),$CU$3:$CU$200,0),2),"")</f>
        <v/>
      </c>
      <c r="CW21" s="259">
        <f ca="1">IFERROR(IF(CV21&lt;&gt;"",MAX($CW$2:CW20)+1,0),0)</f>
        <v>0</v>
      </c>
      <c r="CX21" s="259">
        <f ca="1">$EA$4</f>
        <v>2</v>
      </c>
      <c r="CY21" s="259" t="str">
        <f t="shared" ref="CY21:CY37" ca="1" si="144">IF(ISERROR(INDEX($CV$3:$CX$2300,MATCH(CX21,$CW$3:$CW$2300,0),1)),"MASTRO",INDEX($CV$3:$CX$2300,MATCH(CX21,$CW$3:$CW$2300,0),1))</f>
        <v>MASTRO</v>
      </c>
      <c r="DA21" s="259" t="str">
        <f>IF(CY20="MASTRO","Conto n.","")</f>
        <v>Conto n.</v>
      </c>
      <c r="DB21" s="259" t="str">
        <f ca="1">IF(CY21=0,"",INDEX(PIANO_DEI_CONTI,MATCH(DC21,DENOMINAZIONE,0),1))</f>
        <v/>
      </c>
      <c r="DC21" s="259" t="str">
        <f ca="1">IF(OR(CY21=0,CY21="mastro"),"",CY21)</f>
        <v/>
      </c>
      <c r="DD21" s="259" t="str">
        <f ca="1">IF(AND($DA$2=TRUE,OR(INDEX(PIANO_DEI_CONTI,MATCH($DC21,DENOMINAZIONE,0),4)="A",INDEX(PIANO_DEI_CONTI,MATCH($DC21,DENOMINAZIONE,0),4)="D/A"),SUMIFS(AVERE,DENOMINAZIONE_GIORNALE,"="&amp;$DC21)&gt;SUMIFS(DARE,DENOMINAZIONE_GIORNALE,"="&amp;$DC21)),CONCATENATE("s ",FIXED(ABS(SUMIFS(AVERE,DENOMINAZIONE_GIORNALE,"="&amp;$DC21)-SUMIFS(DARE,DENOMINAZIONE_GIORNALE,"="&amp;$DC21)),2)),"")</f>
        <v/>
      </c>
      <c r="DE21" s="259" t="str">
        <f ca="1">IF(AND($DA$2=TRUE,OR(INDEX(PIANO_DEI_CONTI,MATCH($DC21,DENOMINAZIONE,0),4)="D",INDEX(PIANO_DEI_CONTI,MATCH($DC21,DENOMINAZIONE,0),4)="D/A"),SUMIFS(DARE,DENOMINAZIONE_GIORNALE,"="&amp;$DC21)&gt;SUMIFS(AVERE,DENOMINAZIONE_GIORNALE,"="&amp;$DC21)),CONCATENATE("s ",FIXED(ABS(SUMIFS(DARE,DENOMINAZIONE_GIORNALE,"="&amp;$DC21)-SUMIFS(AVERE,DENOMINAZIONE_GIORNALE,"="&amp;$DC21)),2)),"")</f>
        <v/>
      </c>
      <c r="DF21" s="259">
        <f ca="1">IF(AND(CX21=$DE$2,$DF$2&lt;&gt;0),0,IF(AND(DB21&lt;&gt;"",OR(DB20&lt;&gt;"",DB22&lt;&gt;"")),MAX($DF$2:DF20)+1,0))</f>
        <v>0</v>
      </c>
      <c r="DG21" s="259" t="str">
        <f>IF(OR(VALORI_INIZIALI!E26="",AND(VALORI_INIZIALI!E26&lt;&gt;"",VALORI_INIZIALI!H26=0,VALORI_INIZIALI!I26=0)),"",IFERROR(INDEX(PIANO_DEI_CONTI,MATCH(BB21,DENOMINAZIONE,0),1),0))</f>
        <v/>
      </c>
      <c r="DH21" s="259">
        <f ca="1">IFERROR(IF($J$1=1,IF(INDEX(PIANO_DEI_CONTI,MATCH($K21,DENOMINAZIONE,0),5)=$DF$1,MAX($DH$2:DH20)+1,0),IF($J$1=2,IF(INDEX(PIANO_DEI_CONTI,MATCH($K21,DENOMINAZIONE,0),7)=$DF$1,MAX($DH$2:DH20)+1,0))),0)</f>
        <v>0</v>
      </c>
      <c r="DI21" s="259">
        <f ca="1">IFERROR(INDEX($K$3:$K$220,MATCH(ROWS($DI$3:DI21),$DH$3:$DH$220,0),1),0)</f>
        <v>0</v>
      </c>
      <c r="DJ21" s="259">
        <f t="shared" ca="1" si="14"/>
        <v>0</v>
      </c>
      <c r="DK21" s="259">
        <f ca="1">IF(DJ21=0,0,MAX(DK$2:DK20)+1)</f>
        <v>0</v>
      </c>
      <c r="DL21" s="259">
        <f ca="1">IFERROR(INDEX(PIANO_DEI_CONTI,MATCH(ROWS(DL$3:DL21),$DK$3:DK248,0),2),0)</f>
        <v>0</v>
      </c>
      <c r="DM21" s="259">
        <f t="shared" ca="1" si="15"/>
        <v>0</v>
      </c>
      <c r="DN21" s="259">
        <f t="shared" ca="1" si="16"/>
        <v>0</v>
      </c>
      <c r="DO21" s="259">
        <f t="shared" ca="1" si="69"/>
        <v>0</v>
      </c>
      <c r="DP21" s="259">
        <f t="shared" ca="1" si="70"/>
        <v>0</v>
      </c>
      <c r="DQ21" s="259">
        <f ca="1">IF(OR($DQ$1="TOTALI",$DQ$1="TOTALI ED ECCEDENZE"),IF(OR(DM21&gt;0,DN21&gt;0),MAX(DQ$2:DQ20)+1,0),IF($DQ$1="ECCEDENZE",IF(OR(DO21&gt;0,DP21&gt;0),MAX(DQ$2:DQ20)+1,0),""))</f>
        <v>0</v>
      </c>
      <c r="DR21" s="259" t="str">
        <f ca="1">IFERROR(INDEX($DL$3:$DQ$230,MATCH(ROWS(DR$3:DR21),$DQ$3:$DQ$230,0),1),"")</f>
        <v/>
      </c>
      <c r="DS21" s="259" t="str">
        <f t="shared" ca="1" si="71"/>
        <v/>
      </c>
      <c r="DT21" s="259" t="str">
        <f t="shared" ca="1" si="72"/>
        <v/>
      </c>
      <c r="DU21" s="259" t="str">
        <f t="shared" ca="1" si="73"/>
        <v/>
      </c>
      <c r="DV21" s="259" t="str">
        <f t="shared" ca="1" si="74"/>
        <v/>
      </c>
      <c r="DW21" s="259">
        <f t="shared" ca="1" si="75"/>
        <v>0</v>
      </c>
      <c r="DX21" s="259" t="str">
        <f t="shared" ca="1" si="76"/>
        <v/>
      </c>
      <c r="DY21" s="259" t="str">
        <f t="shared" ca="1" si="77"/>
        <v/>
      </c>
      <c r="DZ21" s="259" t="str">
        <f t="shared" ca="1" si="78"/>
        <v/>
      </c>
      <c r="EA21" s="259">
        <f t="shared" ca="1" si="79"/>
        <v>19</v>
      </c>
      <c r="EB21" s="259" t="s">
        <v>349</v>
      </c>
      <c r="ED21" s="259">
        <f t="shared" ca="1" si="17"/>
        <v>0</v>
      </c>
      <c r="EE21" s="259" t="str">
        <f t="shared" ca="1" si="18"/>
        <v/>
      </c>
      <c r="EF21" s="259" t="str">
        <f t="shared" ca="1" si="19"/>
        <v/>
      </c>
      <c r="EG21" s="259" t="str">
        <f t="shared" ca="1" si="136"/>
        <v/>
      </c>
      <c r="EH21" s="259" t="str">
        <f t="shared" ca="1" si="80"/>
        <v/>
      </c>
      <c r="EI21" s="260" t="b">
        <f t="shared" ca="1" si="137"/>
        <v>0</v>
      </c>
      <c r="EJ21" s="260" t="b">
        <f t="shared" ca="1" si="138"/>
        <v>1</v>
      </c>
      <c r="EK21" s="260" t="b">
        <f t="shared" ca="1" si="139"/>
        <v>1</v>
      </c>
      <c r="EL21" s="259">
        <f t="shared" si="81"/>
        <v>19</v>
      </c>
      <c r="EM21" s="259">
        <f ca="1">IF(AND(BA21&gt;0,BA21&lt;=$EM$1),MAX($EM$2:EM20)+1,0)</f>
        <v>0</v>
      </c>
      <c r="EN21" s="259">
        <f t="shared" ca="1" si="82"/>
        <v>21</v>
      </c>
      <c r="EP21" s="259" t="str">
        <f t="shared" ca="1" si="20"/>
        <v/>
      </c>
      <c r="EQ21" s="259">
        <f t="shared" ca="1" si="21"/>
        <v>0</v>
      </c>
      <c r="ER21" s="259">
        <f ca="1">IF(ISNA(EQ21),MAX(ER$2:ER20)+1,0)</f>
        <v>0</v>
      </c>
      <c r="ES21" s="259" t="str">
        <f t="shared" ca="1" si="83"/>
        <v/>
      </c>
      <c r="ET21" s="259" t="str">
        <f ca="1">IFERROR(UPPER(INDEX($ER$3:$ES$500,MATCH(ROWS(ET$3:ET21),$ER$3:$ER$500,0),2)),"")</f>
        <v/>
      </c>
      <c r="EU21" s="259" t="s">
        <v>459</v>
      </c>
      <c r="EV21" s="259">
        <f ca="1">IF(AND(COPIA!$ID$1=1,ROUND(SUMIFS($ID$3:$ID$200,$IF$3:$IF$200,IA12)-SUMIFS($IE$3:$IE$200,$IF$3:$IF$200,IA12),0)&gt;=0),0,IF(AND(COPIA!$ID$1=1,ROUND(SUMIFS($ID$3:$ID$200,$IF$3:$IF$200,IA12)-SUMIFS($IE$3:$IE$200,$IF$3:$IF$200,IA12),0)&lt;=0),MAX(EV3:EV20)+1,IF(AND(COPIA!$ID$1=2,(ROUND(SUMIFS($ID$3:$ID$200,$IF$3:$IF$200,IA12)+SUMIFS(DARE,$EP$3:$EP$500,"="&amp;"RATEI E RISCONTI ATTIVI",DATA,"&lt;="&amp;FINE_AC,DATA,"&gt;="&amp;INIZIO_A_PC),2)-ROUND(SUMIFS($IE$3:$IE$200,$IF$3:$IF$200,IA12)+SUMIFS(AVERE,$EP$3:$EP$500,"="&amp;"RATEI E RISCONTI ATTIVI",DATA,"&lt;="&amp;FINE_AC,DATA,"&gt;="&amp;INIZIO_A_PC),0)&gt;=0)),0,MAX(EV3:EV20)+1)))</f>
        <v>0</v>
      </c>
      <c r="EW21" s="259" t="str">
        <f ca="1">IF(AND(IFERROR(INDEX($EU$3:$EV$30,MATCH(ROWS($EX$3:EX21),$EV$3:$EV$30,0),1),"")&lt;&gt;"",EW22&lt;&gt;""),CONCATENATE(IFERROR(INDEX($EU$3:$EV$30,MATCH(ROWS($EX$3:EX21),$EV$3:$EV$30,0),1),"")," - "),IFERROR(INDEX($EU$3:$EV$30,MATCH(ROWS($EX$3:EX21),$EV$3:$EV$30,0),1),""))</f>
        <v/>
      </c>
      <c r="EY21" s="259">
        <f t="shared" ca="1" si="84"/>
        <v>0</v>
      </c>
      <c r="EZ21" s="259">
        <f t="shared" ca="1" si="84"/>
        <v>0</v>
      </c>
      <c r="FA21" s="259" t="str">
        <f t="shared" ca="1" si="85"/>
        <v/>
      </c>
      <c r="FB21" s="259">
        <f t="shared" ca="1" si="86"/>
        <v>0</v>
      </c>
      <c r="FC21" s="259">
        <f t="shared" ca="1" si="87"/>
        <v>0</v>
      </c>
      <c r="FD21" s="259">
        <f t="shared" ca="1" si="22"/>
        <v>0</v>
      </c>
      <c r="FE21" s="259" t="str">
        <f t="shared" ca="1" si="23"/>
        <v/>
      </c>
      <c r="FF21" s="259" t="str">
        <f t="shared" ca="1" si="88"/>
        <v/>
      </c>
      <c r="FG21" s="259" t="str">
        <f t="shared" si="89"/>
        <v>FONDO AMMORT. ATTREZZATURE COMMERCIALI</v>
      </c>
      <c r="FH21" s="259">
        <f t="shared" ca="1" si="24"/>
        <v>0</v>
      </c>
      <c r="FI21" s="259">
        <f t="shared" ca="1" si="25"/>
        <v>0</v>
      </c>
      <c r="FJ21" s="259">
        <f t="shared" ca="1" si="90"/>
        <v>0</v>
      </c>
      <c r="FK21" s="259">
        <f t="shared" ca="1" si="91"/>
        <v>0</v>
      </c>
      <c r="FL21" s="259">
        <f ca="1">IF(OR(FJ21&gt;0,FK21&gt;0),MAX($FL$2:FL20)+1,0)</f>
        <v>0</v>
      </c>
      <c r="FM21" s="259">
        <f t="shared" ca="1" si="26"/>
        <v>0</v>
      </c>
      <c r="FN21" s="259">
        <f ca="1">IF(FM21&lt;0,MAX($FN$2:FN20)+1,0)</f>
        <v>0</v>
      </c>
      <c r="FO21" s="259" t="str">
        <f t="shared" ca="1" si="92"/>
        <v/>
      </c>
      <c r="FP21" s="259" t="str">
        <f ca="1">IFERROR(INDEX($FN$3:$FO$400,MATCH(ROWS($FP$3:FP21),$FN$3:$FN$400,0),2),"")</f>
        <v/>
      </c>
      <c r="FQ21" s="259" t="str">
        <f>IF(AE21="SE AVERE",MAX($FQ$2:FQ20)+1,"")</f>
        <v/>
      </c>
      <c r="FR21" s="259" t="str">
        <f>IF(AE21="SE DARE",MAX($FR$2:FR20)+1,"")</f>
        <v/>
      </c>
      <c r="FS21" s="259" t="str">
        <f ca="1">IF(AND(AE21="SP DARE",AA21&lt;&gt;$FS$1,AA21&lt;&gt;$FT$1),MAX($FS$2:FS20)+1,IF(AND(GQ21="SP DARE",AA21&lt;&gt;$FS$1,AA21&lt;&gt;$FT$1),MAX($FS$2:FS20)+1,""))</f>
        <v/>
      </c>
      <c r="FT21" s="259">
        <f ca="1">IF(AND(AE21="SP AVERE",AA21&lt;&gt;$FU$1),MAX($FT$2:FT20)+1,IF(AND(GQ21="SP AVERE",AA21&lt;&gt;$FU$1),MAX($FT$2:FT20)+1,""))</f>
        <v>138</v>
      </c>
      <c r="FU21" s="259">
        <f t="shared" ca="1" si="93"/>
        <v>138</v>
      </c>
      <c r="FV21" s="259" t="str">
        <f t="shared" si="94"/>
        <v>FONDO AMMORT. ATTREZZATURE COMMERCIALI</v>
      </c>
      <c r="FW21" s="259" t="str">
        <f ca="1">IFERROR(INDEX($FU$3:$FV$500,MATCH(ROWS($FW$3:FW21),$FU$3:$FU$500,0),2),0)</f>
        <v>PROVENTI FINANZIARI DIVERSI</v>
      </c>
      <c r="FX21" s="259">
        <f t="shared" ca="1" si="95"/>
        <v>19</v>
      </c>
      <c r="FY21" s="259">
        <f t="shared" ca="1" si="96"/>
        <v>0</v>
      </c>
      <c r="FZ21" s="259">
        <f ca="1">IF(FY21&gt;0,MAX($FZ$2:FZ20)+1,0)</f>
        <v>0</v>
      </c>
      <c r="GA21" s="259">
        <f ca="1">IFERROR(INDEX($FY$3:$FZ$500,MATCH(ROWS($GA$3:GA21),$FZ$3:$FZ$500,0),1),0)</f>
        <v>0</v>
      </c>
      <c r="GC21" s="259">
        <f t="shared" ca="1" si="97"/>
        <v>19</v>
      </c>
      <c r="GD21" s="259" t="str">
        <f t="shared" ca="1" si="98"/>
        <v>PROVENTI FINANZIARI DIVERSI</v>
      </c>
      <c r="GG21" s="259">
        <f t="shared" ca="1" si="27"/>
        <v>0</v>
      </c>
      <c r="GH21" s="259">
        <f t="shared" ca="1" si="99"/>
        <v>0</v>
      </c>
      <c r="GI21" s="259">
        <f t="shared" ca="1" si="100"/>
        <v>0</v>
      </c>
      <c r="GJ21" s="259">
        <f t="shared" ca="1" si="101"/>
        <v>0</v>
      </c>
      <c r="GK21" s="259">
        <f t="shared" ca="1" si="102"/>
        <v>0</v>
      </c>
      <c r="GL21" s="259">
        <f t="shared" ca="1" si="103"/>
        <v>0</v>
      </c>
      <c r="GM21" s="259">
        <f ca="1">IF(OR(GK21&gt;0,GL21&gt;0),MAX($GM$2:GM20)+1,0)</f>
        <v>0</v>
      </c>
      <c r="GN21" s="259" t="str">
        <f ca="1">IFERROR(INDEX($GD$3:$GM$400,MATCH(ROWS($GN$3:GN21),$GM$3:$GM$400,0),1),"")</f>
        <v/>
      </c>
      <c r="GO21" s="259" t="str">
        <f ca="1">IFERROR(INDEX($GD$3:$GM$400,MATCH(ROWS($GO$3:GO21),$GM$3:$GM$400,0),8),"")</f>
        <v/>
      </c>
      <c r="GP21" s="259" t="str">
        <f ca="1">IFERROR(INDEX($GD$3:$GM$400,MATCH(ROWS($GP$3:GP21),$GM$3:$GM$400,0),9),"")</f>
        <v/>
      </c>
      <c r="GQ21" s="259">
        <f t="shared" ca="1" si="28"/>
        <v>0</v>
      </c>
      <c r="GR21" s="259">
        <f t="shared" ca="1" si="104"/>
        <v>0</v>
      </c>
      <c r="GS21" s="259" t="str">
        <f t="shared" si="105"/>
        <v>epilogo a Conto economico</v>
      </c>
      <c r="GT21" s="259" t="str">
        <f ca="1">IFERROR(INDEX($GD$3:$GS$400,MATCH(ROWS($GT$3:GT21),$GM$3:$GM$400,0),16),"")</f>
        <v/>
      </c>
      <c r="GU21" s="259">
        <f ca="1">IF(GQ21&lt;&gt;0,MAX($GU$2:$GU20)+1,0)</f>
        <v>0</v>
      </c>
      <c r="GV21" s="259">
        <f t="shared" ca="1" si="106"/>
        <v>0</v>
      </c>
      <c r="GW21" s="259" t="str">
        <f ca="1">IF(AND(IFERROR(INDEX($GU$3:$GV$400,MATCH(ROWS($GW$3:GW21),$GU$3:$GU$400,0),2),"")&lt;&gt;"",GW22&lt;&gt;""),CONCATENATE(IFERROR(INDEX($GU$3:$GV$400,MATCH(ROWS($GW$3:GW21),$GU$3:$GU$400,0),2),"")," - "),IFERROR(INDEX($GU$3:$GV$400,MATCH(ROWS($GW$3:GW21),$GU$3:$GU$400,0),2),""))</f>
        <v/>
      </c>
      <c r="GX21" s="259">
        <f ca="1">IF(OR(GN21="IVA NS/CREDITO",GN21="IVA NS/DEBITO",GN21="IVA C/ACCONTO",GN21="IMPOSTE C/ACCONTO"),MAX($GX$2:GX20)+1,0)</f>
        <v>0</v>
      </c>
      <c r="GY21" s="259" t="str">
        <f ca="1">IF(AND(IFERROR(INDEX($GN$3:$GX$200,MATCH(ROWS($GY$3:GY21),$GX$3:$GX$200,0),1),"")&lt;&gt;"",GY22&lt;&gt;""),CONCATENATE(IFERROR(INDEX($GN$3:$GX$200,MATCH(ROWS($GY$3:GY21),$GX$3:$GX$200,0),1),"")," - "),IFERROR(INDEX($GN$3:$GX$200,MATCH(ROWS($GY$3:GY21),$GX$3:$GX$200,0),1),""))</f>
        <v/>
      </c>
      <c r="GZ21" s="259" t="s">
        <v>35</v>
      </c>
      <c r="HA21" s="259" t="s">
        <v>27</v>
      </c>
      <c r="HB21" s="269" t="s">
        <v>256</v>
      </c>
      <c r="HC21" s="269" t="s">
        <v>211</v>
      </c>
      <c r="HD21" s="269" t="s">
        <v>266</v>
      </c>
      <c r="HE21" s="269" t="s">
        <v>212</v>
      </c>
      <c r="HL21" s="259" t="str">
        <f t="shared" ca="1" si="29"/>
        <v/>
      </c>
      <c r="HM21" s="259" t="str">
        <f t="shared" ca="1" si="30"/>
        <v/>
      </c>
      <c r="HN21" s="259" t="str">
        <f t="shared" ca="1" si="31"/>
        <v/>
      </c>
      <c r="HO21" s="259">
        <f ca="1">IF(HL21&lt;&gt;"",MAX($HO$2:HO20)+1,0)</f>
        <v>0</v>
      </c>
      <c r="HP21" s="259">
        <f ca="1">IF(HM21&lt;&gt;"",MAX($HP$2:HP20)+1,0)</f>
        <v>0</v>
      </c>
      <c r="HQ21" s="259">
        <f ca="1">IF(HN21&lt;&gt;"",MAX($HQ$2:HQ20)+1,0)</f>
        <v>0</v>
      </c>
      <c r="HR21" s="259" t="str">
        <f t="shared" ca="1" si="107"/>
        <v/>
      </c>
      <c r="HS21" s="259" t="str">
        <f t="shared" ca="1" si="108"/>
        <v/>
      </c>
      <c r="HT21" s="259">
        <f t="shared" ca="1" si="109"/>
        <v>0</v>
      </c>
      <c r="HU21" s="259">
        <f t="shared" ca="1" si="110"/>
        <v>0</v>
      </c>
      <c r="HV21" s="259" t="str">
        <f ca="1">CONCATENATE(IFERROR(INDEX($HS$3:$HT$102,MATCH(ROWS($HV$3:HV21),$HT$3:$HT$102,0),1),""),HR21)</f>
        <v/>
      </c>
      <c r="IA21" s="259" t="s">
        <v>356</v>
      </c>
      <c r="IB21" s="259" t="s">
        <v>405</v>
      </c>
      <c r="IC21" s="259">
        <f ca="1">IFERROR(INDEX(PIANO_DEI_CONTI,MATCH(ROWS(DL$3:DL21),$DK$3:DK248,0),2),0)</f>
        <v>0</v>
      </c>
      <c r="ID21" s="259">
        <f t="shared" ca="1" si="111"/>
        <v>0</v>
      </c>
      <c r="IE21" s="259">
        <f t="shared" ca="1" si="112"/>
        <v>0</v>
      </c>
      <c r="IF21" s="259">
        <f t="shared" ca="1" si="113"/>
        <v>0</v>
      </c>
      <c r="IG21" s="259">
        <f ca="1">IF(SUMIFS($ID$3:$ID$200,$IF$3:$IF$200,IA21)&lt;=SUMIFS($IE$3:$IE$200,$IF$3:$IF$200,IA21),ROUND(SUMIFS($IE$3:$IE$200,$IF$3:$IF$200,IA21)-SUMIFS($ID$3:$ID$200,$IF$3:$IF$200,IA21),0),0)</f>
        <v>0</v>
      </c>
      <c r="IH21" s="259">
        <f ca="1">IF(IG21&lt;&gt;0,MAX($IH$19:IH20)+1,0)</f>
        <v>0</v>
      </c>
      <c r="II21" s="259">
        <f>IF(AD21="costi pluriennali",MAX($II$2:II20)+1,0)</f>
        <v>0</v>
      </c>
      <c r="IJ21" s="259">
        <f>IF($AD21="rettifiche costi pluriennali",MAX($IJ$2:IJ20)+1,0)</f>
        <v>7</v>
      </c>
      <c r="IK21" s="259">
        <f t="shared" si="114"/>
        <v>7</v>
      </c>
      <c r="IL21" s="259" t="str">
        <f t="shared" si="115"/>
        <v>FONDO AMMORT. ATTREZZATURE COMMERCIALI</v>
      </c>
      <c r="IM21" s="259">
        <f t="shared" ca="1" si="116"/>
        <v>0</v>
      </c>
      <c r="IN21" s="259">
        <f t="shared" ca="1" si="141"/>
        <v>0</v>
      </c>
      <c r="IO21" s="259">
        <f>SUMIFS($IM$3:$IM$200,$IK$3:$IK$200,ROWS($IO$3:IO21))-SUMIFS($IN$3:$IN$200,$IK$3:$IK$200,ROWS($IO$3:IO21))</f>
        <v>0</v>
      </c>
      <c r="IP21" s="259" t="str">
        <f>IF(IO21&lt;0,INDEX($IJ$3:$IL$200,MATCH(ROWS($IP$3:IP21),$IJ$3:$IJ$200,0),3),"")</f>
        <v/>
      </c>
      <c r="IQ21" s="259">
        <f>IF(IP21&lt;&gt;"",MAX($IQ$2:IQ20)+1,0)</f>
        <v>0</v>
      </c>
      <c r="IR21" s="259" t="str">
        <f ca="1">IFERROR(INDEX($IP$3:$IQ$200,MATCH(ROWS($IR$3:IR21),$IQ$3:$IQ$200,0),1),"")</f>
        <v/>
      </c>
      <c r="IS21" s="259" t="str">
        <f t="shared" ca="1" si="117"/>
        <v/>
      </c>
      <c r="IT21" s="259" t="str">
        <f t="shared" ca="1" si="118"/>
        <v/>
      </c>
      <c r="IU21" s="259" t="str">
        <f t="shared" ca="1" si="119"/>
        <v/>
      </c>
      <c r="IV21" s="259" t="str">
        <f t="shared" ca="1" si="120"/>
        <v/>
      </c>
      <c r="IW21" s="259" t="str">
        <f t="shared" ca="1" si="121"/>
        <v/>
      </c>
      <c r="IX21" s="259" t="str">
        <f t="shared" ca="1" si="122"/>
        <v/>
      </c>
      <c r="IY21" s="259" t="str">
        <f t="shared" ca="1" si="123"/>
        <v/>
      </c>
      <c r="IZ21" s="259" t="str">
        <f t="shared" ca="1" si="124"/>
        <v/>
      </c>
      <c r="JA21" s="259" t="str">
        <f t="shared" ca="1" si="125"/>
        <v/>
      </c>
      <c r="JB21" s="259">
        <f t="shared" ca="1" si="32"/>
        <v>0</v>
      </c>
      <c r="JC21" s="259">
        <f t="shared" ca="1" si="126"/>
        <v>0</v>
      </c>
      <c r="JE21" s="259">
        <f ca="1">IFERROR(INDEX(LIBRO_GIORNALE!$N$11:$O$408,MATCH(ROWS($JE$2:JE20),LIBRO_GIORNALE!$O$11:$O$408,0),1),0)</f>
        <v>0</v>
      </c>
      <c r="JF21" s="259" t="str">
        <f t="shared" ca="1" si="127"/>
        <v>0</v>
      </c>
      <c r="JG21" s="259">
        <f t="shared" ca="1" si="128"/>
        <v>0</v>
      </c>
      <c r="JH21" s="259">
        <f ca="1">IF(JJ21&gt;0,0,MAX($JH$2:JH20)+1)</f>
        <v>19</v>
      </c>
      <c r="JI21" s="259">
        <f ca="1">IF(JG21&gt;0,MAX($JI$2:JI20)+1,0)</f>
        <v>0</v>
      </c>
      <c r="JJ21" s="259">
        <f ca="1">IFERROR(INDEX($JG$3:$JI$124,MATCH(ROWS($JJ$3:JJ21),$JI$3:$JI$124,0),1),0)</f>
        <v>0</v>
      </c>
      <c r="JK21" s="259">
        <f t="shared" ca="1" si="129"/>
        <v>0</v>
      </c>
      <c r="JL21" s="259">
        <f t="shared" ca="1" si="130"/>
        <v>19</v>
      </c>
      <c r="JM21" s="259">
        <v>18</v>
      </c>
    </row>
    <row r="22" spans="1:273">
      <c r="A22" s="259" t="str">
        <f t="shared" si="33"/>
        <v>02.12</v>
      </c>
      <c r="B22" s="259" t="str">
        <f t="shared" si="34"/>
        <v>FONDO AMMORT. IMPIANTI E MACCHINARI</v>
      </c>
      <c r="C22" s="259" t="str">
        <f t="shared" si="35"/>
        <v>E</v>
      </c>
      <c r="D22" s="259" t="str">
        <f t="shared" si="36"/>
        <v>A</v>
      </c>
      <c r="E22" s="259" t="str">
        <f t="shared" si="37"/>
        <v>RETTIFICHE COSTI PLURIENNALI</v>
      </c>
      <c r="F22" s="259" t="str">
        <f t="shared" si="38"/>
        <v>SP AVERE</v>
      </c>
      <c r="G22" s="259">
        <f t="shared" ca="1" si="39"/>
        <v>0</v>
      </c>
      <c r="H22" s="259">
        <f t="shared" ca="1" si="40"/>
        <v>1</v>
      </c>
      <c r="I22" s="259">
        <f t="shared" ca="1" si="41"/>
        <v>1</v>
      </c>
      <c r="J22" s="259">
        <v>19</v>
      </c>
      <c r="K22" s="259" t="str">
        <f ca="1">IFERROR(IF($I$1=1,INDEX($AA$3:$AS$220,MATCH(ROWS($K$3:K22),$AQ$3:$AQ$220,0),1),IF($I$1=2,INDEX($AA$3:$AS$220,MATCH(ROWS($K$3:K22),$AR$3:$AR$220,0),1),IF($I$1=3,INDEX($AA$3:$AS$220,MATCH(ROWS($K$3:K22),$AS$3:$AS$220,0),1),""))),"")</f>
        <v>FONDO AMMORT. MACCHINE D'UFFICIO</v>
      </c>
      <c r="L22" s="259">
        <f ca="1">IF(AND($L$1="VISUALIZZA TUTTI I CONTI",K22&lt;&gt;""),MAX(L21:L21)+1,IFERROR(IF($J$1=1,IF(INDEX(PIANO_DEI_CONTI,MATCH($K22,DENOMINAZIONE,0),5)=$L$1,MAX($L$2:L21)+1,0),IF($J$1=2,IF(INDEX(PIANO_DEI_CONTI,MATCH($K22,DENOMINAZIONE,0),7)=$L$1,MAX($L$2:L21)+1,0))),0))</f>
        <v>20</v>
      </c>
      <c r="M22" s="259" t="str">
        <f ca="1">IFERROR(INDEX($K$3:$K$220,MATCH(ROWS($M$3:M22),$L$3:$L$220,0),1),"")</f>
        <v>FONDO AMMORT. MACCHINE D'UFFICIO</v>
      </c>
      <c r="N22" s="259" t="str">
        <f t="shared" si="143"/>
        <v>RIMANENZE</v>
      </c>
      <c r="O22" s="259" t="str">
        <f t="shared" ca="1" si="142"/>
        <v>RIMANENZE</v>
      </c>
      <c r="P22" s="259">
        <f ca="1">IF(AND(N22=O22,O22&lt;&gt;""),MAX(P$2:P21)+1,0)</f>
        <v>5</v>
      </c>
      <c r="Q22" s="259" t="str">
        <f ca="1">IF(IFERROR(INDEX($O$3:$P$220,MATCH(ROWS(Q$3:Q22),$P$3:$P$220,0),1),"")=0,"",IFERROR(INDEX($O$3:$P$220,MATCH(ROWS(Q$3:Q22),$P$3:$P$220,0),1),""))</f>
        <v>COSTI PER MERCI E MATERIE DI CONSUMO</v>
      </c>
      <c r="R22" s="259" t="str">
        <f t="shared" si="1"/>
        <v/>
      </c>
      <c r="S22" s="259">
        <f ca="1">IF(IFERROR(MATCH(R22,DENOMINAZIONE_GIORNALE,0),0)&gt;0,MAX(S$2:S21)+1,0)</f>
        <v>0</v>
      </c>
      <c r="T22" s="259" t="str">
        <f ca="1">IFERROR(INDEX($R$3:$S$220,MATCH(ROWS($T$3:T22),$S$3:$S$220,0),1),"")</f>
        <v/>
      </c>
      <c r="U22" s="259">
        <f t="shared" ca="1" si="2"/>
        <v>0</v>
      </c>
      <c r="V22" s="259">
        <f ca="1">IF(IF(U22&lt;&gt;0,MAX($V$2:V21)+1,0)=0,0,IF(U22&lt;&gt;0,MAX($V$2:V21)+1,0))</f>
        <v>0</v>
      </c>
      <c r="W22" s="259" t="str">
        <f t="shared" si="43"/>
        <v>02.12</v>
      </c>
      <c r="X22" s="259" t="str">
        <f t="shared" si="44"/>
        <v>FONDO AMMORT. IMPIANTI E MACCHINARI</v>
      </c>
      <c r="Y22" s="259">
        <f>IF(W22="",0,MAX($Y$2:Y21)+1)</f>
        <v>18</v>
      </c>
      <c r="Z22" s="259" t="str">
        <f>IFERROR(INDEX($W$3:$Y$220,MATCH(ROWS($Z$2:Z21),$Y$3:$Y$220,0),1),"")</f>
        <v>02.15</v>
      </c>
      <c r="AA22" s="259" t="str">
        <f t="shared" si="45"/>
        <v>FONDO AMMORT. MACCHINE D'UFFICIO</v>
      </c>
      <c r="AB22" s="259" t="str">
        <f t="shared" si="46"/>
        <v>E</v>
      </c>
      <c r="AC22" s="259" t="str">
        <f t="shared" si="47"/>
        <v>A</v>
      </c>
      <c r="AD22" s="259" t="str">
        <f t="shared" si="48"/>
        <v>RETTIFICHE COSTI PLURIENNALI</v>
      </c>
      <c r="AE22" s="259" t="str">
        <f t="shared" si="49"/>
        <v>SP AVERE</v>
      </c>
      <c r="AF22" s="259" t="str">
        <f t="shared" si="50"/>
        <v>IMMOBILIZZAZIONI MATERIALI</v>
      </c>
      <c r="AG22" s="259">
        <f t="shared" ca="1" si="51"/>
        <v>0</v>
      </c>
      <c r="AH22" s="259">
        <f t="shared" ca="1" si="52"/>
        <v>1</v>
      </c>
      <c r="AI22" s="259">
        <f t="shared" ca="1" si="53"/>
        <v>1</v>
      </c>
      <c r="AJ22" s="259" t="str">
        <f t="shared" si="54"/>
        <v>02</v>
      </c>
      <c r="AK22" s="259" t="str">
        <f t="shared" si="55"/>
        <v/>
      </c>
      <c r="AL22" s="259">
        <f>IF(AK22&lt;&gt;"",MAX($AL$2:AL21)+1,0)</f>
        <v>0</v>
      </c>
      <c r="AM22" s="259" t="str">
        <f>IFERROR(INDEX($AK$3:$AL$220,MATCH(ROWS($AM$3:AM22),$AL$3:$AL$220,0),1),"")</f>
        <v>31</v>
      </c>
      <c r="AN22" s="259" t="str">
        <f t="shared" si="56"/>
        <v>31.00</v>
      </c>
      <c r="AO22" s="259" t="str">
        <f t="shared" si="57"/>
        <v>COSTI PER SERVIZI</v>
      </c>
      <c r="AP22" s="259" t="str">
        <f t="shared" si="58"/>
        <v>IMMOBILIZZAZIONI MATERIALI</v>
      </c>
      <c r="AQ22" s="259">
        <f ca="1">IF(OR(AG22=0,AG22=""),0,MAX(AQ$2:AQ21)+1)</f>
        <v>0</v>
      </c>
      <c r="AR22" s="259">
        <f ca="1">IF(OR(AH22=0,AH22=""),0,MAX(AR$2:AR21)+1)</f>
        <v>17</v>
      </c>
      <c r="AS22" s="259">
        <f ca="1">IF(OR(AI22=0,AI22=""),0,MAX(AS$2:AS21)+1)</f>
        <v>20</v>
      </c>
      <c r="AT22" s="259" t="str">
        <f ca="1">IFERROR(INDEX($AD$3:$AS$220,MATCH(ROWS(AT$3:AT22),AQ$3:AQ$220,0),1),"")</f>
        <v>CREDITI</v>
      </c>
      <c r="AU22" s="259" t="str">
        <f ca="1">IFERROR(INDEX($AD$3:$AS$220,MATCH(ROWS(AU$3:AU22),AR$3:AR$220,0),1),"")</f>
        <v>RETTIFICHE COSTI PLURIENNALI</v>
      </c>
      <c r="AV22" s="259" t="str">
        <f ca="1">IFERROR(INDEX($AD$3:$AS$220,MATCH(ROWS(AV$3:AV22),AS$3:AS$220,0),1),"")</f>
        <v>RETTIFICHE COSTI PLURIENNALI</v>
      </c>
      <c r="AW22" s="259" t="str">
        <f ca="1">IFERROR(INDEX($AP$3:$AS$220,MATCH(ROWS(AW$3:AW22),AQ$3:AQ$220,0),1),"")</f>
        <v>CREDITI COMMERCIALI</v>
      </c>
      <c r="AX22" s="259" t="str">
        <f ca="1">IFERROR(INDEX($AP$3:$AS$220,MATCH(ROWS(AX$3:AX22),AR$3:AR$220,0),1),"")</f>
        <v>IMMOBILIZZAZIONI MATERIALI</v>
      </c>
      <c r="AY22" s="259" t="str">
        <f ca="1">IFERROR(INDEX($AP$3:$AS$220,MATCH(ROWS(AY$3:AY22),AS$3:AS$220,0),1),"")</f>
        <v>IMMOBILIZZAZIONI MATERIALI</v>
      </c>
      <c r="AZ22" s="276" t="str">
        <f t="shared" ca="1" si="59"/>
        <v/>
      </c>
      <c r="BA22" s="259">
        <f t="shared" ca="1" si="3"/>
        <v>0</v>
      </c>
      <c r="BB22" s="259">
        <f ca="1">IFERROR(INDEX($FG$3:$FL$400,MATCH(ROWS($BB$3:BB22),$FL$3:$FL$400,0),1),0)</f>
        <v>0</v>
      </c>
      <c r="BC22" s="259" t="str">
        <f t="shared" ca="1" si="60"/>
        <v/>
      </c>
      <c r="BD22" s="259">
        <f ca="1">IFERROR(INDEX($FG$3:$FL$400,MATCH(ROWS($BD$3:BD22),$FL$3:$FL$400,0),4),0)</f>
        <v>0</v>
      </c>
      <c r="BE22" s="259">
        <f ca="1">IFERROR(INDEX($FG$3:$FL$400,MATCH(ROWS($BE$3:BE22),$FL$3:$FL$400,0),5),0)</f>
        <v>0</v>
      </c>
      <c r="BG22" s="259" t="str">
        <f t="shared" si="4"/>
        <v>FONDO AMMORT. MACCHINE D'UFFICIO</v>
      </c>
      <c r="BH22" s="259">
        <f ca="1">IF(IFERROR(MATCH(BG22,DENOMINAZIONE_GIORNALE,0),0)&gt;0,MAX(BH$2:BH21)+1,0)</f>
        <v>0</v>
      </c>
      <c r="BI22" s="259" t="str">
        <f ca="1">IFERROR(INDEX($BG$3:$BH$220,MATCH(ROWS($BI$3:BI22),$BH$3:$BH$220,0),1),"")</f>
        <v/>
      </c>
      <c r="BJ22" s="259" t="str">
        <f t="shared" ca="1" si="5"/>
        <v/>
      </c>
      <c r="BK22" s="259" t="str">
        <f ca="1">IF(IF(BJ22&lt;&gt;"",MAX($BK$2:BK21)+1,0)=0,"",IF(BJ22&lt;&gt;"",MAX($BK$2:BK21)+1,0))</f>
        <v/>
      </c>
      <c r="BL22" s="259" t="str">
        <f ca="1">IFERROR(INDEX($T$3:$U$220, MATCH(ROWS(BL$3:BL22),$V$3:$V$220,0),1),"")</f>
        <v/>
      </c>
      <c r="BM22" s="259" t="str">
        <f ca="1">IFERROR(INDEX($T$3:$U$220, MATCH(ROWS(BM$3:BM22),$V$3:$V$220,0),2),"")</f>
        <v/>
      </c>
      <c r="BN22" s="259" t="str">
        <f ca="1">IF(IFERROR(INDEX($BI$3:$BJ$220,MATCH(ROWS(BN$3:BN22),$BK$3:$BK$220,0),1),"")="PATRIMONIO NETTO","",IFERROR(INDEX($BI$3:$BJ$220,MATCH(ROWS(BN$3:BN22),$BK$3:$BK$220,0),1),""))</f>
        <v/>
      </c>
      <c r="BO22" s="259" t="str">
        <f ca="1">IFERROR(INDEX($BI$3:$BJ$220,MATCH(ROWS(BO$3:BO22),$BK$3:$BK$220,0),2),"")</f>
        <v/>
      </c>
      <c r="BP22" s="259">
        <f ca="1">IF(BN22&lt;&gt;"",MAX(BP$2:$BP21)+1,0)</f>
        <v>0</v>
      </c>
      <c r="BQ22" s="259" t="str">
        <f ca="1">IFERROR(INDEX($BN$3:$BO$200,MATCH(ROWS(BQ$3:BQ22),$BP$3:$BP$220,0),1),"")</f>
        <v/>
      </c>
      <c r="BR22" s="259" t="str">
        <f ca="1">IFERROR(INDEX($BN$3:$BO$220,MATCH(ROWS(BR$3:BR22),$BP$3:$BP$220,0),2),"")</f>
        <v/>
      </c>
      <c r="BS22" s="259" t="str">
        <f ca="1">IFERROR(IF(OR(INDEX($T$3:$U$220,MATCH(ROWS(BL$3:BL22),$V$3:$V$220,0),1)="PRELEVAMENTI EXTRAGESTIONE",INDEX($T$3:$U$220,MATCH(ROWS(BL$3:BL22),$V$3:$V$220,0),1)="TITOLARE C/RITENUTE SUBITE"),"",INDEX($T$3:$U$220,MATCH(ROWS(BL$3:BL22),$V$3:$V$220,0),1)),"")</f>
        <v/>
      </c>
      <c r="BT22" s="259">
        <f t="shared" ca="1" si="61"/>
        <v>0</v>
      </c>
      <c r="BU22" s="259">
        <f ca="1">IF(BS22&lt;&gt;"",MAX(BU$2:BU21)+1,0)</f>
        <v>0</v>
      </c>
      <c r="BV22" s="259" t="str">
        <f ca="1">IFERROR(INDEX($BS$3:$BT$223,MATCH(ROWS(BV$3:BV22),$BU$3:$BU$223,0),1),"")</f>
        <v/>
      </c>
      <c r="BW22" s="259">
        <f t="shared" ca="1" si="62"/>
        <v>0</v>
      </c>
      <c r="BX22" s="259" t="str">
        <f t="shared" ca="1" si="63"/>
        <v/>
      </c>
      <c r="BY22" s="259" t="str">
        <f t="shared" ca="1" si="64"/>
        <v/>
      </c>
      <c r="BZ22" s="259" t="str">
        <f ca="1">IFERROR(IF(OR($DS$231&lt;&gt;$DT$231,$DU$231&lt;&gt;$DV$231,$EO$25&lt;&gt;0,$EO$26&lt;&gt;0),INDEX($T$3:$V$220,MATCH(ROWS($BV$3:BV22),$V$3:$V$220,0),1),CONCATENATE(BV22,BY22)),"")</f>
        <v/>
      </c>
      <c r="CA22" s="259">
        <f t="shared" ca="1" si="65"/>
        <v>0</v>
      </c>
      <c r="CB22" s="259" t="str">
        <f ca="1">IFERROR(IF(OR($BB$1&lt;&gt;$BD$1,$BC$1&lt;&gt;$BE$1,$DS$231&lt;&gt;$DT$231,$DU$231&lt;&gt;$DV$231,$EO$25&lt;&gt;0,$EO$26&lt;&gt;0),INDEX($BI$3:$BK$220,MATCH(ROWS($CB$3:CB22),$BK$3:$BK$220,0),1),CONCATENATE(BQ22,BX22)),"")</f>
        <v/>
      </c>
      <c r="CC22" s="259" t="str">
        <f t="shared" ca="1" si="66"/>
        <v/>
      </c>
      <c r="CD22" s="259" t="str">
        <f t="shared" si="6"/>
        <v/>
      </c>
      <c r="CE22" s="259">
        <f ca="1">IF(IFERROR(MATCH(CD22,DENOMINAZIONE_GIORNALE,0),0)&gt;0,MAX(CE$2:CE21)+1,0)</f>
        <v>0</v>
      </c>
      <c r="CF22" s="259" t="str">
        <f ca="1">IFERROR(INDEX($CD$3:$CE$220,MATCH(ROWS($CF$3:CF22),$CE$3:$CE$220,0),1),"")</f>
        <v/>
      </c>
      <c r="CG22" s="259">
        <f t="shared" ca="1" si="7"/>
        <v>0</v>
      </c>
      <c r="CH22" s="259" t="str">
        <f ca="1">IF(IF(CG22&lt;&gt;0,MAX($CH$2:CH21)+1,0)=0,"",IF(CG22&lt;&gt;"",MAX($CH$2:CH21)+1,0))</f>
        <v/>
      </c>
      <c r="CI22" s="259" t="str">
        <f ca="1">IFERROR(INDEX($CF$3:$CG$220,MATCH(ROWS($CI$3:CI22),$CH$3:$CH$220,0),1),"")</f>
        <v/>
      </c>
      <c r="CJ22" s="259" t="str">
        <f t="shared" ca="1" si="67"/>
        <v/>
      </c>
      <c r="CK22" s="259" t="str">
        <f t="shared" si="8"/>
        <v/>
      </c>
      <c r="CL22" s="259">
        <f ca="1">IF(IFERROR(MATCH(CK22,DENOMINAZIONE_GIORNALE,0),0)&gt;0,MAX(CL$2:CL21)+1,0)</f>
        <v>0</v>
      </c>
      <c r="CM22" s="259" t="str">
        <f ca="1">IFERROR(INDEX($CK$3:$CL$220,MATCH(ROWS($CM$3:CM22),$CL$3:$CL$220,0),1),"")</f>
        <v/>
      </c>
      <c r="CN22" s="259" t="str">
        <f t="shared" ca="1" si="9"/>
        <v/>
      </c>
      <c r="CO22" s="259">
        <f ca="1">IF(IF(CN22&lt;&gt;0,MAX($CO$2:CO21)+1,0)=0,"",IF(CN22&lt;&gt;"",MAX($CO$2:CO21)+1,0))</f>
        <v>0</v>
      </c>
      <c r="CP22" s="259" t="str">
        <f ca="1">IFERROR(INDEX($CM$3:$CN$220,MATCH(ROWS(CP$3:CP22),$CO$3:$CO$220,0),1),"")</f>
        <v/>
      </c>
      <c r="CQ22" s="259" t="str">
        <f ca="1">IFERROR(INDEX($CM$3:$CN$220,MATCH(ROWS(CQ$3:CQ22),$CO$3:$CO$220,0),2),"")</f>
        <v/>
      </c>
      <c r="CR22" s="259" t="str">
        <f t="shared" ca="1" si="10"/>
        <v/>
      </c>
      <c r="CS22" s="259">
        <f t="shared" ca="1" si="11"/>
        <v>0</v>
      </c>
      <c r="CT22" s="259">
        <f t="shared" ca="1" si="12"/>
        <v>0</v>
      </c>
      <c r="CU22" s="259">
        <f ca="1">IF(OR(CS22&gt;0,CT22&gt;0),MAX($CU$2:CU21)+1,0)</f>
        <v>0</v>
      </c>
      <c r="CV22" s="259" t="str">
        <f ca="1">IFERROR(INDEX(PIANO_DEI_CONTI,MATCH(ROWS($CV$3:CV22),$CU$3:$CU$200,0),2),"")</f>
        <v/>
      </c>
      <c r="CW22" s="259">
        <f ca="1">IFERROR(IF(CV22&lt;&gt;"",MAX($CW$2:CW21)+1,0),0)</f>
        <v>0</v>
      </c>
      <c r="CX22" s="259">
        <f t="shared" ref="CX22:CX37" ca="1" si="145">$EA$4</f>
        <v>2</v>
      </c>
      <c r="CY22" s="259" t="str">
        <f t="shared" ca="1" si="144"/>
        <v>MASTRO</v>
      </c>
      <c r="DA22" s="259" t="str">
        <f ca="1">IF(DB21="","","Num. riga")</f>
        <v/>
      </c>
      <c r="DB22" s="259" t="str">
        <f t="shared" ref="DB22" ca="1" si="146">IF(DB21="","","Data")</f>
        <v/>
      </c>
      <c r="DC22" s="259" t="str">
        <f ca="1">IF(DB21="","","Operazioni")</f>
        <v/>
      </c>
      <c r="DD22" s="259" t="str">
        <f ca="1">IF(DB21="","","Dare        ")</f>
        <v/>
      </c>
      <c r="DE22" s="259" t="str">
        <f ca="1">IF(DB21="","","Avere        ")</f>
        <v/>
      </c>
      <c r="DF22" s="259">
        <f ca="1">IF(AND(CX22=$DE$2,$DF$2&lt;&gt;0),0,IF(AND(DB22&lt;&gt;"",OR(DB21&lt;&gt;"",DB23&lt;&gt;"")),MAX($DF$2:DF21)+1,0))</f>
        <v>0</v>
      </c>
      <c r="DG22" s="259" t="str">
        <f>IF(OR(VALORI_INIZIALI!E27="",AND(VALORI_INIZIALI!E27&lt;&gt;"",VALORI_INIZIALI!H27=0,VALORI_INIZIALI!I27=0)),"",IFERROR(INDEX(PIANO_DEI_CONTI,MATCH(BB22,DENOMINAZIONE,0),1),0))</f>
        <v/>
      </c>
      <c r="DH22" s="259">
        <f ca="1">IFERROR(IF($J$1=1,IF(INDEX(PIANO_DEI_CONTI,MATCH($K22,DENOMINAZIONE,0),5)=$DF$1,MAX($DH$2:DH21)+1,0),IF($J$1=2,IF(INDEX(PIANO_DEI_CONTI,MATCH($K22,DENOMINAZIONE,0),7)=$DF$1,MAX($DH$2:DH21)+1,0))),0)</f>
        <v>0</v>
      </c>
      <c r="DI22" s="259">
        <f ca="1">IFERROR(INDEX($K$3:$K$220,MATCH(ROWS($DI$3:DI22),$DH$3:$DH$220,0),1),0)</f>
        <v>0</v>
      </c>
      <c r="DJ22" s="259">
        <f t="shared" ca="1" si="14"/>
        <v>0</v>
      </c>
      <c r="DK22" s="259">
        <f ca="1">IF(DJ22=0,0,MAX(DK$2:DK21)+1)</f>
        <v>0</v>
      </c>
      <c r="DL22" s="259">
        <f ca="1">IFERROR(INDEX(PIANO_DEI_CONTI,MATCH(ROWS(DL$3:DL22),$DK$3:DK249,0),2),0)</f>
        <v>0</v>
      </c>
      <c r="DM22" s="259">
        <f t="shared" ca="1" si="15"/>
        <v>0</v>
      </c>
      <c r="DN22" s="259">
        <f t="shared" ca="1" si="16"/>
        <v>0</v>
      </c>
      <c r="DO22" s="259">
        <f t="shared" ca="1" si="69"/>
        <v>0</v>
      </c>
      <c r="DP22" s="259">
        <f t="shared" ca="1" si="70"/>
        <v>0</v>
      </c>
      <c r="DQ22" s="259">
        <f ca="1">IF(OR($DQ$1="TOTALI",$DQ$1="TOTALI ED ECCEDENZE"),IF(OR(DM22&gt;0,DN22&gt;0),MAX(DQ$2:DQ21)+1,0),IF($DQ$1="ECCEDENZE",IF(OR(DO22&gt;0,DP22&gt;0),MAX(DQ$2:DQ21)+1,0),""))</f>
        <v>0</v>
      </c>
      <c r="DR22" s="259" t="str">
        <f ca="1">IFERROR(INDEX($DL$3:$DQ$230,MATCH(ROWS(DR$3:DR22),$DQ$3:$DQ$230,0),1),"")</f>
        <v/>
      </c>
      <c r="DS22" s="259" t="str">
        <f t="shared" ca="1" si="71"/>
        <v/>
      </c>
      <c r="DT22" s="259" t="str">
        <f t="shared" ca="1" si="72"/>
        <v/>
      </c>
      <c r="DU22" s="259" t="str">
        <f t="shared" ca="1" si="73"/>
        <v/>
      </c>
      <c r="DV22" s="259" t="str">
        <f t="shared" ca="1" si="74"/>
        <v/>
      </c>
      <c r="DW22" s="259">
        <f t="shared" ca="1" si="75"/>
        <v>0</v>
      </c>
      <c r="DX22" s="259" t="str">
        <f t="shared" ca="1" si="76"/>
        <v/>
      </c>
      <c r="DY22" s="259" t="str">
        <f t="shared" ca="1" si="77"/>
        <v/>
      </c>
      <c r="DZ22" s="259" t="str">
        <f t="shared" ca="1" si="78"/>
        <v/>
      </c>
      <c r="EA22" s="259">
        <f t="shared" ca="1" si="79"/>
        <v>20</v>
      </c>
      <c r="EB22" s="259" t="s">
        <v>349</v>
      </c>
      <c r="ED22" s="259">
        <f t="shared" ca="1" si="17"/>
        <v>0</v>
      </c>
      <c r="EE22" s="259" t="str">
        <f t="shared" ca="1" si="18"/>
        <v/>
      </c>
      <c r="EF22" s="259" t="str">
        <f t="shared" ca="1" si="19"/>
        <v/>
      </c>
      <c r="EG22" s="259" t="str">
        <f t="shared" ca="1" si="136"/>
        <v/>
      </c>
      <c r="EH22" s="259" t="str">
        <f t="shared" ca="1" si="80"/>
        <v/>
      </c>
      <c r="EI22" s="260" t="b">
        <f t="shared" ca="1" si="137"/>
        <v>0</v>
      </c>
      <c r="EJ22" s="260" t="b">
        <f t="shared" ca="1" si="138"/>
        <v>1</v>
      </c>
      <c r="EK22" s="260" t="b">
        <f t="shared" ca="1" si="139"/>
        <v>1</v>
      </c>
      <c r="EL22" s="259">
        <f t="shared" si="81"/>
        <v>20</v>
      </c>
      <c r="EM22" s="259">
        <f ca="1">IF(AND(BA22&gt;0,BA22&lt;=$EM$1),MAX($EM$2:EM21)+1,0)</f>
        <v>0</v>
      </c>
      <c r="EN22" s="259">
        <f t="shared" ca="1" si="82"/>
        <v>22</v>
      </c>
      <c r="EP22" s="259" t="str">
        <f t="shared" ca="1" si="20"/>
        <v/>
      </c>
      <c r="EQ22" s="259">
        <f t="shared" ca="1" si="21"/>
        <v>0</v>
      </c>
      <c r="ER22" s="259">
        <f ca="1">IF(ISNA(EQ22),MAX(ER$2:ER21)+1,0)</f>
        <v>0</v>
      </c>
      <c r="ES22" s="259" t="str">
        <f t="shared" ca="1" si="83"/>
        <v/>
      </c>
      <c r="ET22" s="259" t="str">
        <f ca="1">IFERROR(UPPER(INDEX($ER$3:$ES$500,MATCH(ROWS(ET$3:ET22),$ER$3:$ER$500,0),2)),"")</f>
        <v/>
      </c>
      <c r="EU22" s="259" t="s">
        <v>460</v>
      </c>
      <c r="EV22" s="259">
        <f ca="1">IF(SUMIFS($FB$3:$FB$400,$EZ$3:$EZ$400,"="&amp;"CONTO DI RISULTATO ECONOMICO",$EY$3:$EY$400,"&lt;="&amp;FINE_AC,$EY$3:$EY$400,"&gt;="&amp;INIZIO_A_PC)+SUMIFS($FC$3:$FC$400,$EZ$3:$EZ$400,"="&amp;"CONTO DI RISULTATO ECONOMICO",$EY$3:$EY$400,"&lt;="&amp;FINE_AC,$EY$3:$EY$400,"&gt;="&amp;INIZIO_A_PC)=0,0,MAX($EV$3:EV21)+1)</f>
        <v>0</v>
      </c>
      <c r="EW22" s="259" t="str">
        <f ca="1">IF(AND(IFERROR(INDEX($EU$3:$EV$30,MATCH(ROWS($EX$3:EX22),$EV$3:$EV$30,0),1),"")&lt;&gt;"",EW23&lt;&gt;""),CONCATENATE(IFERROR(INDEX($EU$3:$EV$30,MATCH(ROWS($EX$3:EX22),$EV$3:$EV$30,0),1),"")," - "),IFERROR(INDEX($EU$3:$EV$30,MATCH(ROWS($EX$3:EX22),$EV$3:$EV$30,0),1),""))</f>
        <v/>
      </c>
      <c r="EY22" s="259">
        <f t="shared" ca="1" si="84"/>
        <v>0</v>
      </c>
      <c r="EZ22" s="259">
        <f t="shared" ca="1" si="84"/>
        <v>0</v>
      </c>
      <c r="FA22" s="259" t="str">
        <f t="shared" ca="1" si="85"/>
        <v/>
      </c>
      <c r="FB22" s="259">
        <f t="shared" ca="1" si="86"/>
        <v>0</v>
      </c>
      <c r="FC22" s="259">
        <f t="shared" ca="1" si="87"/>
        <v>0</v>
      </c>
      <c r="FD22" s="259">
        <f t="shared" ca="1" si="22"/>
        <v>0</v>
      </c>
      <c r="FE22" s="259" t="str">
        <f t="shared" ca="1" si="23"/>
        <v/>
      </c>
      <c r="FF22" s="259" t="str">
        <f t="shared" ca="1" si="88"/>
        <v/>
      </c>
      <c r="FG22" s="259" t="str">
        <f t="shared" si="89"/>
        <v>FONDO AMMORT. MACCHINE D'UFFICIO</v>
      </c>
      <c r="FH22" s="259">
        <f t="shared" ca="1" si="24"/>
        <v>0</v>
      </c>
      <c r="FI22" s="259">
        <f t="shared" ca="1" si="25"/>
        <v>0</v>
      </c>
      <c r="FJ22" s="259">
        <f t="shared" ca="1" si="90"/>
        <v>0</v>
      </c>
      <c r="FK22" s="259">
        <f t="shared" ca="1" si="91"/>
        <v>0</v>
      </c>
      <c r="FL22" s="259">
        <f ca="1">IF(OR(FJ22&gt;0,FK22&gt;0),MAX($FL$2:FL21)+1,0)</f>
        <v>0</v>
      </c>
      <c r="FM22" s="259">
        <f t="shared" ca="1" si="26"/>
        <v>0</v>
      </c>
      <c r="FN22" s="259">
        <f ca="1">IF(FM22&lt;0,MAX($FN$2:FN21)+1,0)</f>
        <v>0</v>
      </c>
      <c r="FO22" s="259" t="str">
        <f t="shared" ca="1" si="92"/>
        <v/>
      </c>
      <c r="FP22" s="259" t="str">
        <f ca="1">IFERROR(INDEX($FN$3:$FO$400,MATCH(ROWS($FP$3:FP22),$FN$3:$FN$400,0),2),"")</f>
        <v/>
      </c>
      <c r="FQ22" s="259" t="str">
        <f>IF(AE22="SE AVERE",MAX($FQ$2:FQ21)+1,"")</f>
        <v/>
      </c>
      <c r="FR22" s="259" t="str">
        <f>IF(AE22="SE DARE",MAX($FR$2:FR21)+1,"")</f>
        <v/>
      </c>
      <c r="FS22" s="259" t="str">
        <f ca="1">IF(AND(AE22="SP DARE",AA22&lt;&gt;$FS$1,AA22&lt;&gt;$FT$1),MAX($FS$2:FS21)+1,IF(AND(GQ22="SP DARE",AA22&lt;&gt;$FS$1,AA22&lt;&gt;$FT$1),MAX($FS$2:FS21)+1,""))</f>
        <v/>
      </c>
      <c r="FT22" s="259">
        <f ca="1">IF(AND(AE22="SP AVERE",AA22&lt;&gt;$FU$1),MAX($FT$2:FT21)+1,IF(AND(GQ22="SP AVERE",AA22&lt;&gt;$FU$1),MAX($FT$2:FT21)+1,""))</f>
        <v>139</v>
      </c>
      <c r="FU22" s="259">
        <f t="shared" ca="1" si="93"/>
        <v>139</v>
      </c>
      <c r="FV22" s="259" t="str">
        <f t="shared" si="94"/>
        <v>FONDO AMMORT. MACCHINE D'UFFICIO</v>
      </c>
      <c r="FW22" s="259">
        <f ca="1">IFERROR(INDEX($FU$3:$FV$500,MATCH(ROWS($FW$3:FW22),$FU$3:$FU$500,0),2),0)</f>
        <v>0</v>
      </c>
      <c r="FX22" s="259">
        <f t="shared" ca="1" si="95"/>
        <v>0</v>
      </c>
      <c r="FY22" s="259">
        <f t="shared" ca="1" si="96"/>
        <v>20</v>
      </c>
      <c r="FZ22" s="259">
        <f ca="1">IF(FY22&gt;0,MAX($FZ$2:FZ21)+1,0)</f>
        <v>1</v>
      </c>
      <c r="GA22" s="259">
        <f ca="1">IFERROR(INDEX($FY$3:$FZ$500,MATCH(ROWS($GA$3:GA22),$FZ$3:$FZ$500,0),1),0)</f>
        <v>0</v>
      </c>
      <c r="GC22" s="259">
        <f t="shared" ca="1" si="97"/>
        <v>20</v>
      </c>
      <c r="GD22" s="259" t="str">
        <f t="shared" ca="1" si="98"/>
        <v>CONTO DI RISULTATO ECONOMICO</v>
      </c>
      <c r="GG22" s="259">
        <f t="shared" ca="1" si="27"/>
        <v>0</v>
      </c>
      <c r="GH22" s="259">
        <f t="shared" ca="1" si="99"/>
        <v>0</v>
      </c>
      <c r="GI22" s="259">
        <f t="shared" ca="1" si="100"/>
        <v>0</v>
      </c>
      <c r="GJ22" s="259">
        <f t="shared" ca="1" si="101"/>
        <v>0</v>
      </c>
      <c r="GK22" s="259">
        <f t="shared" ca="1" si="102"/>
        <v>0</v>
      </c>
      <c r="GL22" s="259">
        <f t="shared" ca="1" si="103"/>
        <v>0</v>
      </c>
      <c r="GM22" s="259">
        <f ca="1">IF(OR(GK22&gt;0,GL22&gt;0),MAX($GM$2:GM21)+1,0)</f>
        <v>0</v>
      </c>
      <c r="GN22" s="259" t="str">
        <f ca="1">IFERROR(INDEX($GD$3:$GM$400,MATCH(ROWS($GN$3:GN22),$GM$3:$GM$400,0),1),"")</f>
        <v/>
      </c>
      <c r="GO22" s="259" t="str">
        <f ca="1">IFERROR(INDEX($GD$3:$GM$400,MATCH(ROWS($GO$3:GO22),$GM$3:$GM$400,0),8),"")</f>
        <v/>
      </c>
      <c r="GP22" s="259" t="str">
        <f ca="1">IFERROR(INDEX($GD$3:$GM$400,MATCH(ROWS($GP$3:GP22),$GM$3:$GM$400,0),9),"")</f>
        <v/>
      </c>
      <c r="GQ22" s="259">
        <f t="shared" ca="1" si="28"/>
        <v>0</v>
      </c>
      <c r="GR22" s="259">
        <f t="shared" ca="1" si="104"/>
        <v>0</v>
      </c>
      <c r="GS22" s="259" t="str">
        <f t="shared" ca="1" si="105"/>
        <v>epilogo componenti positivi</v>
      </c>
      <c r="GT22" s="259" t="str">
        <f ca="1">IFERROR(INDEX($GD$3:$GS$400,MATCH(ROWS($GT$3:GT22),$GM$3:$GM$400,0),16),"")</f>
        <v/>
      </c>
      <c r="GU22" s="259">
        <f ca="1">IF(GQ22&lt;&gt;0,MAX($GU$2:$GU21)+1,0)</f>
        <v>0</v>
      </c>
      <c r="GV22" s="259">
        <f t="shared" ca="1" si="106"/>
        <v>0</v>
      </c>
      <c r="GW22" s="259" t="str">
        <f ca="1">IF(AND(IFERROR(INDEX($GU$3:$GV$400,MATCH(ROWS($GW$3:GW22),$GU$3:$GU$400,0),2),"")&lt;&gt;"",GW23&lt;&gt;""),CONCATENATE(IFERROR(INDEX($GU$3:$GV$400,MATCH(ROWS($GW$3:GW22),$GU$3:$GU$400,0),2),"")," - "),IFERROR(INDEX($GU$3:$GV$400,MATCH(ROWS($GW$3:GW22),$GU$3:$GU$400,0),2),""))</f>
        <v/>
      </c>
      <c r="GX22" s="259">
        <f ca="1">IF(OR(GN22="IVA NS/CREDITO",GN22="IVA NS/DEBITO",GN22="IVA C/ACCONTO",GN22="IMPOSTE C/ACCONTO"),MAX($GX$2:GX21)+1,0)</f>
        <v>0</v>
      </c>
      <c r="GY22" s="259" t="str">
        <f ca="1">IF(AND(IFERROR(INDEX($GN$3:$GX$200,MATCH(ROWS($GY$3:GY22),$GX$3:$GX$200,0),1),"")&lt;&gt;"",GY23&lt;&gt;""),CONCATENATE(IFERROR(INDEX($GN$3:$GX$200,MATCH(ROWS($GY$3:GY22),$GX$3:$GX$200,0),1),"")," - "),IFERROR(INDEX($GN$3:$GX$200,MATCH(ROWS($GY$3:GY22),$GX$3:$GX$200,0),1),""))</f>
        <v/>
      </c>
      <c r="GZ22" s="259" t="s">
        <v>36</v>
      </c>
      <c r="HA22" s="259" t="s">
        <v>495</v>
      </c>
      <c r="HB22" s="269" t="s">
        <v>256</v>
      </c>
      <c r="HC22" s="269" t="s">
        <v>211</v>
      </c>
      <c r="HD22" s="269" t="s">
        <v>266</v>
      </c>
      <c r="HE22" s="269" t="s">
        <v>212</v>
      </c>
      <c r="HL22" s="259" t="str">
        <f t="shared" ca="1" si="29"/>
        <v/>
      </c>
      <c r="HM22" s="259" t="str">
        <f t="shared" ca="1" si="30"/>
        <v/>
      </c>
      <c r="HN22" s="259" t="str">
        <f t="shared" ca="1" si="31"/>
        <v/>
      </c>
      <c r="HO22" s="259">
        <f ca="1">IF(HL22&lt;&gt;"",MAX($HO$2:HO21)+1,0)</f>
        <v>0</v>
      </c>
      <c r="HP22" s="259">
        <f ca="1">IF(HM22&lt;&gt;"",MAX($HP$2:HP21)+1,0)</f>
        <v>0</v>
      </c>
      <c r="HQ22" s="259">
        <f ca="1">IF(HN22&lt;&gt;"",MAX($HQ$2:HQ21)+1,0)</f>
        <v>0</v>
      </c>
      <c r="HR22" s="259" t="str">
        <f t="shared" ca="1" si="107"/>
        <v/>
      </c>
      <c r="HS22" s="259" t="str">
        <f t="shared" ca="1" si="108"/>
        <v/>
      </c>
      <c r="HT22" s="259">
        <f t="shared" ca="1" si="109"/>
        <v>0</v>
      </c>
      <c r="HU22" s="259">
        <f t="shared" ca="1" si="110"/>
        <v>0</v>
      </c>
      <c r="HV22" s="259" t="str">
        <f ca="1">CONCATENATE(IFERROR(INDEX($HS$3:$HT$102,MATCH(ROWS($HV$3:HV22),$HT$3:$HT$102,0),1),""),HR22)</f>
        <v/>
      </c>
      <c r="IA22" s="259" t="s">
        <v>357</v>
      </c>
      <c r="IB22" s="259" t="s">
        <v>406</v>
      </c>
      <c r="IC22" s="259">
        <f ca="1">IFERROR(INDEX(PIANO_DEI_CONTI,MATCH(ROWS(DL$3:DL22),$DK$3:DK249,0),2),0)</f>
        <v>0</v>
      </c>
      <c r="ID22" s="259">
        <f t="shared" ca="1" si="111"/>
        <v>0</v>
      </c>
      <c r="IE22" s="259">
        <f t="shared" ca="1" si="112"/>
        <v>0</v>
      </c>
      <c r="IF22" s="259">
        <f t="shared" ca="1" si="113"/>
        <v>0</v>
      </c>
      <c r="IG22" s="259">
        <f ca="1">IF(EV1=0,IB2-IB1,0)</f>
        <v>0</v>
      </c>
      <c r="IH22" s="259">
        <f ca="1">IF(IG22&lt;&gt;0,MAX($IH$19:IH21)+1,0)</f>
        <v>0</v>
      </c>
      <c r="II22" s="259">
        <f>IF(AD22="costi pluriennali",MAX($II$2:II21)+1,0)</f>
        <v>0</v>
      </c>
      <c r="IJ22" s="259">
        <f>IF($AD22="rettifiche costi pluriennali",MAX($IJ$2:IJ21)+1,0)</f>
        <v>8</v>
      </c>
      <c r="IK22" s="259">
        <f t="shared" si="114"/>
        <v>8</v>
      </c>
      <c r="IL22" s="259" t="str">
        <f t="shared" si="115"/>
        <v>FONDO AMMORT. MACCHINE D'UFFICIO</v>
      </c>
      <c r="IM22" s="259">
        <f t="shared" ca="1" si="116"/>
        <v>0</v>
      </c>
      <c r="IN22" s="259">
        <f t="shared" ca="1" si="141"/>
        <v>0</v>
      </c>
      <c r="IO22" s="259">
        <f>SUMIFS($IM$3:$IM$200,$IK$3:$IK$200,ROWS($IO$3:IO22))-SUMIFS($IN$3:$IN$200,$IK$3:$IK$200,ROWS($IO$3:IO22))</f>
        <v>0</v>
      </c>
      <c r="IP22" s="259" t="str">
        <f>IF(IO22&lt;0,INDEX($IJ$3:$IL$200,MATCH(ROWS($IP$3:IP22),$IJ$3:$IJ$200,0),3),"")</f>
        <v/>
      </c>
      <c r="IQ22" s="259">
        <f>IF(IP22&lt;&gt;"",MAX($IQ$2:IQ21)+1,0)</f>
        <v>0</v>
      </c>
      <c r="IR22" s="259" t="str">
        <f ca="1">IFERROR(INDEX($IP$3:$IQ$200,MATCH(ROWS($IR$3:IR22),$IQ$3:$IQ$200,0),1),"")</f>
        <v/>
      </c>
      <c r="IS22" s="259" t="str">
        <f t="shared" ca="1" si="117"/>
        <v/>
      </c>
      <c r="IT22" s="259" t="str">
        <f t="shared" ca="1" si="118"/>
        <v/>
      </c>
      <c r="IU22" s="259" t="str">
        <f t="shared" ca="1" si="119"/>
        <v/>
      </c>
      <c r="IV22" s="259" t="str">
        <f t="shared" ca="1" si="120"/>
        <v/>
      </c>
      <c r="IW22" s="259" t="str">
        <f t="shared" ca="1" si="121"/>
        <v/>
      </c>
      <c r="IX22" s="259" t="str">
        <f t="shared" ca="1" si="122"/>
        <v/>
      </c>
      <c r="IY22" s="259" t="str">
        <f t="shared" ca="1" si="123"/>
        <v/>
      </c>
      <c r="IZ22" s="259" t="str">
        <f t="shared" ca="1" si="124"/>
        <v/>
      </c>
      <c r="JA22" s="259" t="str">
        <f t="shared" ca="1" si="125"/>
        <v/>
      </c>
      <c r="JB22" s="259">
        <f t="shared" ca="1" si="32"/>
        <v>0</v>
      </c>
      <c r="JC22" s="259">
        <f t="shared" ca="1" si="126"/>
        <v>0</v>
      </c>
      <c r="JE22" s="259">
        <f ca="1">IFERROR(INDEX(LIBRO_GIORNALE!$N$11:$O$408,MATCH(ROWS($JE$2:JE21),LIBRO_GIORNALE!$O$11:$O$408,0),1),0)</f>
        <v>0</v>
      </c>
      <c r="JF22" s="259" t="str">
        <f t="shared" ca="1" si="127"/>
        <v>0</v>
      </c>
      <c r="JG22" s="259">
        <f t="shared" ca="1" si="128"/>
        <v>0</v>
      </c>
      <c r="JH22" s="259">
        <f ca="1">IF(JJ22&gt;0,0,MAX($JH$2:JH21)+1)</f>
        <v>20</v>
      </c>
      <c r="JI22" s="259">
        <f ca="1">IF(JG22&gt;0,MAX($JI$2:JI21)+1,0)</f>
        <v>0</v>
      </c>
      <c r="JJ22" s="259">
        <f ca="1">IFERROR(INDEX($JG$3:$JI$124,MATCH(ROWS($JJ$3:JJ22),$JI$3:$JI$124,0),1),0)</f>
        <v>0</v>
      </c>
      <c r="JK22" s="259">
        <f t="shared" ca="1" si="129"/>
        <v>0</v>
      </c>
      <c r="JL22" s="259">
        <f t="shared" ca="1" si="130"/>
        <v>20</v>
      </c>
      <c r="JM22" s="259">
        <v>19</v>
      </c>
    </row>
    <row r="23" spans="1:273">
      <c r="A23" s="259" t="str">
        <f t="shared" si="33"/>
        <v>02.14</v>
      </c>
      <c r="B23" s="259" t="str">
        <f t="shared" si="34"/>
        <v>FONDO AMMORT. ATTREZZATURE COMMERCIALI</v>
      </c>
      <c r="C23" s="259" t="str">
        <f t="shared" si="35"/>
        <v>E</v>
      </c>
      <c r="D23" s="259" t="str">
        <f t="shared" si="36"/>
        <v>A</v>
      </c>
      <c r="E23" s="259" t="str">
        <f t="shared" si="37"/>
        <v>RETTIFICHE COSTI PLURIENNALI</v>
      </c>
      <c r="F23" s="259" t="str">
        <f t="shared" si="38"/>
        <v>SP AVERE</v>
      </c>
      <c r="G23" s="259">
        <f t="shared" ca="1" si="39"/>
        <v>0</v>
      </c>
      <c r="H23" s="259">
        <f t="shared" ca="1" si="40"/>
        <v>1</v>
      </c>
      <c r="I23" s="259">
        <f t="shared" ca="1" si="41"/>
        <v>1</v>
      </c>
      <c r="J23" s="259">
        <v>20</v>
      </c>
      <c r="K23" s="259" t="str">
        <f ca="1">IFERROR(IF($I$1=1,INDEX($AA$3:$AS$220,MATCH(ROWS($K$3:K23),$AQ$3:$AQ$220,0),1),IF($I$1=2,INDEX($AA$3:$AS$220,MATCH(ROWS($K$3:K23),$AR$3:$AR$220,0),1),IF($I$1=3,INDEX($AA$3:$AS$220,MATCH(ROWS($K$3:K23),$AS$3:$AS$220,0),1),""))),"")</f>
        <v>FONDO AMMORT. ARREDAMENTO</v>
      </c>
      <c r="L23" s="259">
        <f ca="1">IF(AND($L$1="VISUALIZZA TUTTI I CONTI",K23&lt;&gt;""),MAX(L22:L22)+1,IFERROR(IF($J$1=1,IF(INDEX(PIANO_DEI_CONTI,MATCH($K23,DENOMINAZIONE,0),5)=$L$1,MAX($L$2:L22)+1,0),IF($J$1=2,IF(INDEX(PIANO_DEI_CONTI,MATCH($K23,DENOMINAZIONE,0),7)=$L$1,MAX($L$2:L22)+1,0))),0))</f>
        <v>21</v>
      </c>
      <c r="M23" s="259" t="str">
        <f ca="1">IFERROR(INDEX($K$3:$K$220,MATCH(ROWS($M$3:M23),$L$3:$L$220,0),1),"")</f>
        <v>FONDO AMMORT. ARREDAMENTO</v>
      </c>
      <c r="N23" s="259" t="str">
        <f t="shared" si="143"/>
        <v>CREDITI COMMERCIALI</v>
      </c>
      <c r="O23" s="259" t="str">
        <f t="shared" ca="1" si="142"/>
        <v>CREDITI COMMERCIALI</v>
      </c>
      <c r="P23" s="259">
        <f ca="1">IF(AND(N23=O23,O23&lt;&gt;""),MAX(P$2:P22)+1,0)</f>
        <v>6</v>
      </c>
      <c r="Q23" s="259" t="str">
        <f ca="1">IF(IFERROR(INDEX($O$3:$P$220,MATCH(ROWS(Q$3:Q23),$P$3:$P$220,0),1),"")=0,"",IFERROR(INDEX($O$3:$P$220,MATCH(ROWS(Q$3:Q23),$P$3:$P$220,0),1),""))</f>
        <v>COSTI PER SERVIZI</v>
      </c>
      <c r="R23" s="259" t="str">
        <f t="shared" si="1"/>
        <v/>
      </c>
      <c r="S23" s="259">
        <f ca="1">IF(IFERROR(MATCH(R23,DENOMINAZIONE_GIORNALE,0),0)&gt;0,MAX(S$2:S22)+1,0)</f>
        <v>0</v>
      </c>
      <c r="T23" s="259" t="str">
        <f ca="1">IFERROR(INDEX($R$3:$S$220,MATCH(ROWS($T$3:T23),$S$3:$S$220,0),1),"")</f>
        <v/>
      </c>
      <c r="U23" s="259">
        <f t="shared" ca="1" si="2"/>
        <v>0</v>
      </c>
      <c r="V23" s="259">
        <f ca="1">IF(IF(U23&lt;&gt;0,MAX($V$2:V22)+1,0)=0,0,IF(U23&lt;&gt;0,MAX($V$2:V22)+1,0))</f>
        <v>0</v>
      </c>
      <c r="W23" s="259" t="str">
        <f t="shared" si="43"/>
        <v>02.14</v>
      </c>
      <c r="X23" s="259" t="str">
        <f t="shared" si="44"/>
        <v>FONDO AMMORT. ATTREZZATURE COMMERCIALI</v>
      </c>
      <c r="Y23" s="259">
        <f>IF(W23="",0,MAX($Y$2:Y22)+1)</f>
        <v>19</v>
      </c>
      <c r="Z23" s="259" t="str">
        <f>IFERROR(INDEX($W$3:$Y$220,MATCH(ROWS($Z$2:Z22),$Y$3:$Y$220,0),1),"")</f>
        <v>02.16</v>
      </c>
      <c r="AA23" s="259" t="str">
        <f t="shared" si="45"/>
        <v>FONDO AMMORT. ARREDAMENTO</v>
      </c>
      <c r="AB23" s="259" t="str">
        <f t="shared" si="46"/>
        <v>E</v>
      </c>
      <c r="AC23" s="259" t="str">
        <f t="shared" si="47"/>
        <v>A</v>
      </c>
      <c r="AD23" s="259" t="str">
        <f t="shared" si="48"/>
        <v>RETTIFICHE COSTI PLURIENNALI</v>
      </c>
      <c r="AE23" s="259" t="str">
        <f t="shared" si="49"/>
        <v>SP AVERE</v>
      </c>
      <c r="AF23" s="259" t="str">
        <f t="shared" si="50"/>
        <v>IMMOBILIZZAZIONI MATERIALI</v>
      </c>
      <c r="AG23" s="259">
        <f t="shared" ca="1" si="51"/>
        <v>0</v>
      </c>
      <c r="AH23" s="259">
        <f t="shared" ca="1" si="52"/>
        <v>1</v>
      </c>
      <c r="AI23" s="259">
        <f t="shared" ca="1" si="53"/>
        <v>1</v>
      </c>
      <c r="AJ23" s="259" t="str">
        <f t="shared" si="54"/>
        <v>02</v>
      </c>
      <c r="AK23" s="259" t="str">
        <f t="shared" si="55"/>
        <v/>
      </c>
      <c r="AL23" s="259">
        <f>IF(AK23&lt;&gt;"",MAX($AL$2:AL22)+1,0)</f>
        <v>0</v>
      </c>
      <c r="AM23" s="259" t="str">
        <f>IFERROR(INDEX($AK$3:$AL$220,MATCH(ROWS($AM$3:AM23),$AL$3:$AL$220,0),1),"")</f>
        <v>32</v>
      </c>
      <c r="AN23" s="259" t="str">
        <f t="shared" si="56"/>
        <v>32.00</v>
      </c>
      <c r="AO23" s="259" t="str">
        <f t="shared" si="57"/>
        <v>COSTI PER GODIMENTO BENI DI TERZI</v>
      </c>
      <c r="AP23" s="259" t="str">
        <f t="shared" si="58"/>
        <v>IMMOBILIZZAZIONI MATERIALI</v>
      </c>
      <c r="AQ23" s="259">
        <f ca="1">IF(OR(AG23=0,AG23=""),0,MAX(AQ$2:AQ22)+1)</f>
        <v>0</v>
      </c>
      <c r="AR23" s="259">
        <f ca="1">IF(OR(AH23=0,AH23=""),0,MAX(AR$2:AR22)+1)</f>
        <v>18</v>
      </c>
      <c r="AS23" s="259">
        <f ca="1">IF(OR(AI23=0,AI23=""),0,MAX(AS$2:AS22)+1)</f>
        <v>21</v>
      </c>
      <c r="AT23" s="259" t="str">
        <f ca="1">IFERROR(INDEX($AD$3:$AS$220,MATCH(ROWS(AT$3:AT23),AQ$3:AQ$220,0),1),"")</f>
        <v>CREDITI</v>
      </c>
      <c r="AU23" s="259" t="str">
        <f ca="1">IFERROR(INDEX($AD$3:$AS$220,MATCH(ROWS(AU$3:AU23),AR$3:AR$220,0),1),"")</f>
        <v>CREDITI</v>
      </c>
      <c r="AV23" s="259" t="str">
        <f ca="1">IFERROR(INDEX($AD$3:$AS$220,MATCH(ROWS(AV$3:AV23),AS$3:AS$220,0),1),"")</f>
        <v>RETTIFICHE COSTI PLURIENNALI</v>
      </c>
      <c r="AW23" s="259" t="str">
        <f ca="1">IFERROR(INDEX($AP$3:$AS$220,MATCH(ROWS(AW$3:AW23),AQ$3:AQ$220,0),1),"")</f>
        <v>CREDITI COMMERCIALI</v>
      </c>
      <c r="AX23" s="259" t="str">
        <f ca="1">IFERROR(INDEX($AP$3:$AS$220,MATCH(ROWS(AX$3:AX23),AR$3:AR$220,0),1),"")</f>
        <v>IMMOBILIZZAZIONI MATERIALI</v>
      </c>
      <c r="AY23" s="259" t="str">
        <f ca="1">IFERROR(INDEX($AP$3:$AS$220,MATCH(ROWS(AY$3:AY23),AS$3:AS$220,0),1),"")</f>
        <v>IMMOBILIZZAZIONI MATERIALI</v>
      </c>
      <c r="AZ23" s="276" t="str">
        <f t="shared" ca="1" si="59"/>
        <v/>
      </c>
      <c r="BA23" s="259">
        <f t="shared" ca="1" si="3"/>
        <v>0</v>
      </c>
      <c r="BB23" s="259">
        <f ca="1">IFERROR(INDEX($FG$3:$FL$400,MATCH(ROWS($BB$3:BB23),$FL$3:$FL$400,0),1),0)</f>
        <v>0</v>
      </c>
      <c r="BC23" s="259" t="str">
        <f t="shared" ca="1" si="60"/>
        <v/>
      </c>
      <c r="BD23" s="259">
        <f ca="1">IFERROR(INDEX($FG$3:$FL$400,MATCH(ROWS($BD$3:BD23),$FL$3:$FL$400,0),4),0)</f>
        <v>0</v>
      </c>
      <c r="BE23" s="259">
        <f ca="1">IFERROR(INDEX($FG$3:$FL$400,MATCH(ROWS($BE$3:BE23),$FL$3:$FL$400,0),5),0)</f>
        <v>0</v>
      </c>
      <c r="BG23" s="259" t="str">
        <f t="shared" si="4"/>
        <v>FONDO AMMORT. ARREDAMENTO</v>
      </c>
      <c r="BH23" s="259">
        <f ca="1">IF(IFERROR(MATCH(BG23,DENOMINAZIONE_GIORNALE,0),0)&gt;0,MAX(BH$2:BH22)+1,0)</f>
        <v>0</v>
      </c>
      <c r="BI23" s="259" t="str">
        <f ca="1">IFERROR(INDEX($BG$3:$BH$220,MATCH(ROWS($BI$3:BI23),$BH$3:$BH$220,0),1),"")</f>
        <v/>
      </c>
      <c r="BJ23" s="259" t="str">
        <f t="shared" ca="1" si="5"/>
        <v/>
      </c>
      <c r="BK23" s="259" t="str">
        <f ca="1">IF(IF(BJ23&lt;&gt;"",MAX($BK$2:BK22)+1,0)=0,"",IF(BJ23&lt;&gt;"",MAX($BK$2:BK22)+1,0))</f>
        <v/>
      </c>
      <c r="BL23" s="259" t="str">
        <f ca="1">IFERROR(INDEX($T$3:$U$220, MATCH(ROWS(BL$3:BL23),$V$3:$V$220,0),1),"")</f>
        <v/>
      </c>
      <c r="BM23" s="259" t="str">
        <f ca="1">IFERROR(INDEX($T$3:$U$220, MATCH(ROWS(BM$3:BM23),$V$3:$V$220,0),2),"")</f>
        <v/>
      </c>
      <c r="BN23" s="259" t="str">
        <f ca="1">IF(IFERROR(INDEX($BI$3:$BJ$220,MATCH(ROWS(BN$3:BN23),$BK$3:$BK$220,0),1),"")="PATRIMONIO NETTO","",IFERROR(INDEX($BI$3:$BJ$220,MATCH(ROWS(BN$3:BN23),$BK$3:$BK$220,0),1),""))</f>
        <v/>
      </c>
      <c r="BO23" s="259" t="str">
        <f ca="1">IFERROR(INDEX($BI$3:$BJ$220,MATCH(ROWS(BO$3:BO23),$BK$3:$BK$220,0),2),"")</f>
        <v/>
      </c>
      <c r="BP23" s="259">
        <f ca="1">IF(BN23&lt;&gt;"",MAX(BP$2:$BP22)+1,0)</f>
        <v>0</v>
      </c>
      <c r="BQ23" s="259" t="str">
        <f ca="1">IFERROR(INDEX($BN$3:$BO$200,MATCH(ROWS(BQ$3:BQ23),$BP$3:$BP$220,0),1),"")</f>
        <v/>
      </c>
      <c r="BR23" s="259" t="str">
        <f ca="1">IFERROR(INDEX($BN$3:$BO$220,MATCH(ROWS(BR$3:BR23),$BP$3:$BP$220,0),2),"")</f>
        <v/>
      </c>
      <c r="BS23" s="259" t="str">
        <f ca="1">IFERROR(IF(OR(INDEX($T$3:$U$220,MATCH(ROWS(BL$3:BL23),$V$3:$V$220,0),1)="PRELEVAMENTI EXTRAGESTIONE",INDEX($T$3:$U$220,MATCH(ROWS(BL$3:BL23),$V$3:$V$220,0),1)="TITOLARE C/RITENUTE SUBITE"),"",INDEX($T$3:$U$220,MATCH(ROWS(BL$3:BL23),$V$3:$V$220,0),1)),"")</f>
        <v/>
      </c>
      <c r="BT23" s="259">
        <f t="shared" ca="1" si="61"/>
        <v>0</v>
      </c>
      <c r="BU23" s="259">
        <f ca="1">IF(BS23&lt;&gt;"",MAX(BU$2:BU22)+1,0)</f>
        <v>0</v>
      </c>
      <c r="BV23" s="259" t="str">
        <f ca="1">IFERROR(INDEX($BS$3:$BT$223,MATCH(ROWS(BV$3:BV23),$BU$3:$BU$223,0),1),"")</f>
        <v/>
      </c>
      <c r="BW23" s="259">
        <f t="shared" ca="1" si="62"/>
        <v>0</v>
      </c>
      <c r="BX23" s="259" t="str">
        <f t="shared" ca="1" si="63"/>
        <v/>
      </c>
      <c r="BY23" s="259" t="str">
        <f t="shared" ca="1" si="64"/>
        <v/>
      </c>
      <c r="BZ23" s="259" t="str">
        <f ca="1">IFERROR(IF(OR($DS$231&lt;&gt;$DT$231,$DU$231&lt;&gt;$DV$231,$EO$25&lt;&gt;0,$EO$26&lt;&gt;0),INDEX($T$3:$V$220,MATCH(ROWS($BV$3:BV23),$V$3:$V$220,0),1),CONCATENATE(BV23,BY23)),"")</f>
        <v/>
      </c>
      <c r="CA23" s="259">
        <f t="shared" ca="1" si="65"/>
        <v>0</v>
      </c>
      <c r="CB23" s="259" t="str">
        <f ca="1">IFERROR(IF(OR($BB$1&lt;&gt;$BD$1,$BC$1&lt;&gt;$BE$1,$DS$231&lt;&gt;$DT$231,$DU$231&lt;&gt;$DV$231,$EO$25&lt;&gt;0,$EO$26&lt;&gt;0),INDEX($BI$3:$BK$220,MATCH(ROWS($CB$3:CB23),$BK$3:$BK$220,0),1),CONCATENATE(BQ23,BX23)),"")</f>
        <v/>
      </c>
      <c r="CC23" s="259" t="str">
        <f t="shared" ca="1" si="66"/>
        <v/>
      </c>
      <c r="CD23" s="259" t="str">
        <f t="shared" si="6"/>
        <v/>
      </c>
      <c r="CE23" s="259">
        <f ca="1">IF(IFERROR(MATCH(CD23,DENOMINAZIONE_GIORNALE,0),0)&gt;0,MAX(CE$2:CE22)+1,0)</f>
        <v>0</v>
      </c>
      <c r="CF23" s="259" t="str">
        <f ca="1">IFERROR(INDEX($CD$3:$CE$220,MATCH(ROWS($CF$3:CF23),$CE$3:$CE$220,0),1),"")</f>
        <v/>
      </c>
      <c r="CG23" s="259">
        <f t="shared" ca="1" si="7"/>
        <v>0</v>
      </c>
      <c r="CH23" s="259" t="str">
        <f ca="1">IF(IF(CG23&lt;&gt;0,MAX($CH$2:CH22)+1,0)=0,"",IF(CG23&lt;&gt;"",MAX($CH$2:CH22)+1,0))</f>
        <v/>
      </c>
      <c r="CI23" s="259" t="str">
        <f ca="1">IFERROR(INDEX($CF$3:$CG$220,MATCH(ROWS($CI$3:CI23),$CH$3:$CH$220,0),1),"")</f>
        <v/>
      </c>
      <c r="CJ23" s="259" t="str">
        <f t="shared" ca="1" si="67"/>
        <v/>
      </c>
      <c r="CK23" s="259" t="str">
        <f t="shared" si="8"/>
        <v/>
      </c>
      <c r="CL23" s="259">
        <f ca="1">IF(IFERROR(MATCH(CK23,DENOMINAZIONE_GIORNALE,0),0)&gt;0,MAX(CL$2:CL22)+1,0)</f>
        <v>0</v>
      </c>
      <c r="CM23" s="259" t="str">
        <f ca="1">IFERROR(INDEX($CK$3:$CL$220,MATCH(ROWS($CM$3:CM23),$CL$3:$CL$220,0),1),"")</f>
        <v/>
      </c>
      <c r="CN23" s="259" t="str">
        <f t="shared" ca="1" si="9"/>
        <v/>
      </c>
      <c r="CO23" s="259">
        <f ca="1">IF(IF(CN23&lt;&gt;0,MAX($CO$2:CO22)+1,0)=0,"",IF(CN23&lt;&gt;"",MAX($CO$2:CO22)+1,0))</f>
        <v>0</v>
      </c>
      <c r="CP23" s="259" t="str">
        <f ca="1">IFERROR(INDEX($CM$3:$CN$220,MATCH(ROWS(CP$3:CP23),$CO$3:$CO$220,0),1),"")</f>
        <v/>
      </c>
      <c r="CQ23" s="259" t="str">
        <f ca="1">IFERROR(INDEX($CM$3:$CN$220,MATCH(ROWS(CQ$3:CQ23),$CO$3:$CO$220,0),2),"")</f>
        <v/>
      </c>
      <c r="CR23" s="259" t="str">
        <f t="shared" ca="1" si="10"/>
        <v/>
      </c>
      <c r="CS23" s="259">
        <f t="shared" ca="1" si="11"/>
        <v>0</v>
      </c>
      <c r="CT23" s="259">
        <f t="shared" ca="1" si="12"/>
        <v>0</v>
      </c>
      <c r="CU23" s="259">
        <f ca="1">IF(OR(CS23&gt;0,CT23&gt;0),MAX($CU$2:CU22)+1,0)</f>
        <v>0</v>
      </c>
      <c r="CV23" s="259" t="str">
        <f ca="1">IFERROR(INDEX(PIANO_DEI_CONTI,MATCH(ROWS($CV$3:CV23),$CU$3:$CU$200,0),2),"")</f>
        <v/>
      </c>
      <c r="CW23" s="259">
        <f ca="1">IFERROR(IF(CV23&lt;&gt;"",MAX($CW$2:CW22)+1,0),0)</f>
        <v>0</v>
      </c>
      <c r="CX23" s="259">
        <f t="shared" ca="1" si="145"/>
        <v>2</v>
      </c>
      <c r="CY23" s="259" t="str">
        <f t="shared" ca="1" si="144"/>
        <v>MASTRO</v>
      </c>
      <c r="CZ23" s="259" t="e">
        <f t="shared" ref="CZ23:CZ37" ca="1" si="147">SUM(MATCH($CY23,INDIRECT(ADDRESS(SUM(CZ22)+3,54)&amp;":"&amp;ADDRESS(400,54)),0),CZ22)</f>
        <v>#N/A</v>
      </c>
      <c r="DA23" s="259" t="str">
        <f ca="1">IFERROR(INDEX(LIBRO_GIORNALE,CZ23,1),"")</f>
        <v/>
      </c>
      <c r="DB23" s="259" t="str">
        <f t="shared" ref="DB23:DB37" ca="1" si="148">IF(RIGHT(TEXT(IFERROR(INDEX(LIBRO_GIORNALE,CZ23,2),""),"gg/mm/aa"),1)="a",TEXT(IFERROR(INDEX(LIBRO_GIORNALE,CZ23,2),""),"dd/mm/yy"),TEXT(IFERROR(INDEX(LIBRO_GIORNALE,CZ23,2),""),"gg/mm/aa"))</f>
        <v/>
      </c>
      <c r="DC23" s="259" t="str">
        <f t="shared" ref="DC23:DC37" ca="1" si="149">IF(IFERROR(INDEX(LIBRO_GIORNALE,CZ23,4),"")=0,"manca la descrizione dell'operazione",IFERROR(INDEX(LIBRO_GIORNALE,CZ23,4),""))</f>
        <v/>
      </c>
      <c r="DD23" s="259" t="str">
        <f t="shared" ref="DD23:DD37" ca="1" si="150">IFERROR(IF(INDEX(LIBRO_GIORNALE,CZ23,5)&gt;0,INDEX(LIBRO_GIORNALE,CZ23,5),""),"")</f>
        <v/>
      </c>
      <c r="DE23" s="259" t="str">
        <f t="shared" ref="DE23:DE37" ca="1" si="151">IFERROR(IF(INDEX(LIBRO_GIORNALE,CZ23,6)&gt;0,INDEX(LIBRO_GIORNALE,CZ23,6),""),"")</f>
        <v/>
      </c>
      <c r="DF23" s="259">
        <f ca="1">IF(AND(CX23=$DE$2,$DF$2&lt;&gt;0),0,IF(AND(DB23&lt;&gt;"",OR(DB22&lt;&gt;"",DB24&lt;&gt;"")),MAX($DF$2:DF22)+1,0))</f>
        <v>0</v>
      </c>
      <c r="DG23" s="259" t="str">
        <f>IF(OR(VALORI_INIZIALI!E28="",AND(VALORI_INIZIALI!E28&lt;&gt;"",VALORI_INIZIALI!H28=0,VALORI_INIZIALI!I28=0)),"",IFERROR(INDEX(PIANO_DEI_CONTI,MATCH(BB23,DENOMINAZIONE,0),1),0))</f>
        <v/>
      </c>
      <c r="DH23" s="259">
        <f ca="1">IFERROR(IF($J$1=1,IF(INDEX(PIANO_DEI_CONTI,MATCH($K23,DENOMINAZIONE,0),5)=$DF$1,MAX($DH$2:DH22)+1,0),IF($J$1=2,IF(INDEX(PIANO_DEI_CONTI,MATCH($K23,DENOMINAZIONE,0),7)=$DF$1,MAX($DH$2:DH22)+1,0))),0)</f>
        <v>0</v>
      </c>
      <c r="DI23" s="259">
        <f ca="1">IFERROR(INDEX($K$3:$K$220,MATCH(ROWS($DI$3:DI23),$DH$3:$DH$220,0),1),0)</f>
        <v>0</v>
      </c>
      <c r="DJ23" s="259">
        <f t="shared" ca="1" si="14"/>
        <v>0</v>
      </c>
      <c r="DK23" s="259">
        <f ca="1">IF(DJ23=0,0,MAX(DK$2:DK22)+1)</f>
        <v>0</v>
      </c>
      <c r="DL23" s="259">
        <f ca="1">IFERROR(INDEX(PIANO_DEI_CONTI,MATCH(ROWS(DL$3:DL23),$DK$3:DK250,0),2),0)</f>
        <v>0</v>
      </c>
      <c r="DM23" s="259">
        <f t="shared" ca="1" si="15"/>
        <v>0</v>
      </c>
      <c r="DN23" s="259">
        <f t="shared" ca="1" si="16"/>
        <v>0</v>
      </c>
      <c r="DO23" s="259">
        <f t="shared" ca="1" si="69"/>
        <v>0</v>
      </c>
      <c r="DP23" s="259">
        <f t="shared" ca="1" si="70"/>
        <v>0</v>
      </c>
      <c r="DQ23" s="259">
        <f ca="1">IF(OR($DQ$1="TOTALI",$DQ$1="TOTALI ED ECCEDENZE"),IF(OR(DM23&gt;0,DN23&gt;0),MAX(DQ$2:DQ22)+1,0),IF($DQ$1="ECCEDENZE",IF(OR(DO23&gt;0,DP23&gt;0),MAX(DQ$2:DQ22)+1,0),""))</f>
        <v>0</v>
      </c>
      <c r="DR23" s="259" t="str">
        <f ca="1">IFERROR(INDEX($DL$3:$DQ$230,MATCH(ROWS(DR$3:DR23),$DQ$3:$DQ$230,0),1),"")</f>
        <v/>
      </c>
      <c r="DS23" s="259" t="str">
        <f t="shared" ca="1" si="71"/>
        <v/>
      </c>
      <c r="DT23" s="259" t="str">
        <f t="shared" ca="1" si="72"/>
        <v/>
      </c>
      <c r="DU23" s="259" t="str">
        <f t="shared" ca="1" si="73"/>
        <v/>
      </c>
      <c r="DV23" s="259" t="str">
        <f t="shared" ca="1" si="74"/>
        <v/>
      </c>
      <c r="DW23" s="259">
        <f t="shared" ca="1" si="75"/>
        <v>0</v>
      </c>
      <c r="DX23" s="259" t="str">
        <f t="shared" ca="1" si="76"/>
        <v/>
      </c>
      <c r="DY23" s="259" t="str">
        <f t="shared" ca="1" si="77"/>
        <v/>
      </c>
      <c r="DZ23" s="259" t="str">
        <f t="shared" ca="1" si="78"/>
        <v/>
      </c>
      <c r="EA23" s="259">
        <f t="shared" ca="1" si="79"/>
        <v>21</v>
      </c>
      <c r="EB23" s="259" t="s">
        <v>349</v>
      </c>
      <c r="ED23" s="259">
        <f t="shared" ca="1" si="17"/>
        <v>0</v>
      </c>
      <c r="EE23" s="259" t="str">
        <f t="shared" ca="1" si="18"/>
        <v/>
      </c>
      <c r="EF23" s="259" t="str">
        <f t="shared" ca="1" si="19"/>
        <v/>
      </c>
      <c r="EG23" s="259" t="str">
        <f t="shared" ca="1" si="136"/>
        <v/>
      </c>
      <c r="EH23" s="259" t="str">
        <f t="shared" ca="1" si="80"/>
        <v/>
      </c>
      <c r="EI23" s="260" t="b">
        <f t="shared" ca="1" si="137"/>
        <v>0</v>
      </c>
      <c r="EJ23" s="260" t="b">
        <f t="shared" ca="1" si="138"/>
        <v>1</v>
      </c>
      <c r="EK23" s="260" t="b">
        <f t="shared" ca="1" si="139"/>
        <v>1</v>
      </c>
      <c r="EL23" s="259">
        <f t="shared" si="81"/>
        <v>21</v>
      </c>
      <c r="EM23" s="259">
        <f ca="1">IF(AND(BA23&gt;0,BA23&lt;=$EM$1),MAX($EM$2:EM22)+1,0)</f>
        <v>0</v>
      </c>
      <c r="EN23" s="259">
        <f t="shared" ca="1" si="82"/>
        <v>23</v>
      </c>
      <c r="EP23" s="259" t="str">
        <f t="shared" ca="1" si="20"/>
        <v/>
      </c>
      <c r="EQ23" s="259">
        <f t="shared" ca="1" si="21"/>
        <v>0</v>
      </c>
      <c r="ER23" s="259">
        <f ca="1">IF(ISNA(EQ23),MAX(ER$2:ER22)+1,0)</f>
        <v>0</v>
      </c>
      <c r="ES23" s="259" t="str">
        <f t="shared" ca="1" si="83"/>
        <v/>
      </c>
      <c r="ET23" s="259" t="str">
        <f ca="1">IFERROR(UPPER(INDEX($ER$3:$ES$500,MATCH(ROWS(ET$3:ET23),$ER$3:$ER$500,0),2)),"")</f>
        <v/>
      </c>
      <c r="EU23" s="259" t="s">
        <v>462</v>
      </c>
      <c r="EV23" s="259">
        <f ca="1">IF(SUMIFS($FB$3:$FB$400,$EZ$3:$EZ$400,"="&amp;"UTILE D'ESERCIZIO",$EY$3:$EY$400,"&lt;="&amp;FINE_AC,$EY$3:$EY$400,"&gt;="&amp;INIZIO_A_PC)+SUMIFS($FC$3:$FC$400,$EZ$3:$EZ$400,"="&amp;"UTILE D'ESERCIZIO",$EY$3:$EY$400,"&lt;="&amp;FINE_AC,$EY$3:$EY$400,"&gt;="&amp;INIZIO_A_PC)=0,0,MAX($EV$3:EV22)+1)</f>
        <v>0</v>
      </c>
      <c r="EW23" s="259" t="str">
        <f ca="1">IF(AND(IFERROR(INDEX($EU$3:$EV$30,MATCH(ROWS($EX$3:EX23),$EV$3:$EV$30,0),1),"")&lt;&gt;"",EW24&lt;&gt;""),CONCATENATE(IFERROR(INDEX($EU$3:$EV$30,MATCH(ROWS($EX$3:EX23),$EV$3:$EV$30,0),1),"")," - "),IFERROR(INDEX($EU$3:$EV$30,MATCH(ROWS($EX$3:EX23),$EV$3:$EV$30,0),1),""))</f>
        <v/>
      </c>
      <c r="EY23" s="259">
        <f t="shared" ca="1" si="84"/>
        <v>0</v>
      </c>
      <c r="EZ23" s="259">
        <f t="shared" ca="1" si="84"/>
        <v>0</v>
      </c>
      <c r="FA23" s="259" t="str">
        <f t="shared" ca="1" si="85"/>
        <v/>
      </c>
      <c r="FB23" s="259">
        <f t="shared" ca="1" si="86"/>
        <v>0</v>
      </c>
      <c r="FC23" s="259">
        <f t="shared" ca="1" si="87"/>
        <v>0</v>
      </c>
      <c r="FD23" s="259">
        <f t="shared" ca="1" si="22"/>
        <v>0</v>
      </c>
      <c r="FE23" s="259" t="str">
        <f t="shared" ca="1" si="23"/>
        <v/>
      </c>
      <c r="FF23" s="259" t="str">
        <f t="shared" ca="1" si="88"/>
        <v/>
      </c>
      <c r="FG23" s="259" t="str">
        <f t="shared" si="89"/>
        <v>FONDO AMMORT. ARREDAMENTO</v>
      </c>
      <c r="FH23" s="259">
        <f t="shared" ca="1" si="24"/>
        <v>0</v>
      </c>
      <c r="FI23" s="259">
        <f t="shared" ca="1" si="25"/>
        <v>0</v>
      </c>
      <c r="FJ23" s="259">
        <f t="shared" ca="1" si="90"/>
        <v>0</v>
      </c>
      <c r="FK23" s="259">
        <f t="shared" ca="1" si="91"/>
        <v>0</v>
      </c>
      <c r="FL23" s="259">
        <f ca="1">IF(OR(FJ23&gt;0,FK23&gt;0),MAX($FL$2:FL22)+1,0)</f>
        <v>0</v>
      </c>
      <c r="FM23" s="259">
        <f t="shared" ca="1" si="26"/>
        <v>0</v>
      </c>
      <c r="FN23" s="259">
        <f ca="1">IF(FM23&lt;0,MAX($FN$2:FN22)+1,0)</f>
        <v>0</v>
      </c>
      <c r="FO23" s="259" t="str">
        <f t="shared" ca="1" si="92"/>
        <v/>
      </c>
      <c r="FP23" s="259" t="str">
        <f ca="1">IFERROR(INDEX($FN$3:$FO$400,MATCH(ROWS($FP$3:FP23),$FN$3:$FN$400,0),2),"")</f>
        <v/>
      </c>
      <c r="FQ23" s="259" t="str">
        <f>IF(AE23="SE AVERE",MAX($FQ$2:FQ22)+1,"")</f>
        <v/>
      </c>
      <c r="FR23" s="259" t="str">
        <f>IF(AE23="SE DARE",MAX($FR$2:FR22)+1,"")</f>
        <v/>
      </c>
      <c r="FS23" s="259" t="str">
        <f ca="1">IF(AND(AE23="SP DARE",AA23&lt;&gt;$FS$1,AA23&lt;&gt;$FT$1),MAX($FS$2:FS22)+1,IF(AND(GQ23="SP DARE",AA23&lt;&gt;$FS$1,AA23&lt;&gt;$FT$1),MAX($FS$2:FS22)+1,""))</f>
        <v/>
      </c>
      <c r="FT23" s="259">
        <f ca="1">IF(AND(AE23="SP AVERE",AA23&lt;&gt;$FU$1),MAX($FT$2:FT22)+1,IF(AND(GQ23="SP AVERE",AA23&lt;&gt;$FU$1),MAX($FT$2:FT22)+1,""))</f>
        <v>140</v>
      </c>
      <c r="FU23" s="259">
        <f t="shared" ca="1" si="93"/>
        <v>140</v>
      </c>
      <c r="FV23" s="259" t="str">
        <f t="shared" si="94"/>
        <v>FONDO AMMORT. ARREDAMENTO</v>
      </c>
      <c r="FW23" s="259">
        <f ca="1">IFERROR(INDEX($FU$3:$FV$500,MATCH(ROWS($FW$3:FW23),$FU$3:$FU$500,0),2),0)</f>
        <v>0</v>
      </c>
      <c r="FX23" s="259">
        <f t="shared" ca="1" si="95"/>
        <v>0</v>
      </c>
      <c r="FY23" s="259">
        <f t="shared" ca="1" si="96"/>
        <v>21</v>
      </c>
      <c r="FZ23" s="259">
        <f ca="1">IF(FY23&gt;0,MAX($FZ$2:FZ22)+1,0)</f>
        <v>2</v>
      </c>
      <c r="GA23" s="259">
        <f ca="1">IFERROR(INDEX($FY$3:$FZ$500,MATCH(ROWS($GA$3:GA23),$FZ$3:$FZ$500,0),1),0)</f>
        <v>0</v>
      </c>
      <c r="GC23" s="259">
        <f t="shared" ca="1" si="97"/>
        <v>21</v>
      </c>
      <c r="GD23" s="259" t="str">
        <f t="shared" ca="1" si="98"/>
        <v>CONTO DI RISULTATO ECONOMICO</v>
      </c>
      <c r="GG23" s="259">
        <f t="shared" ca="1" si="27"/>
        <v>0</v>
      </c>
      <c r="GH23" s="259">
        <f t="shared" ca="1" si="99"/>
        <v>0</v>
      </c>
      <c r="GI23" s="259">
        <f t="shared" ca="1" si="100"/>
        <v>0</v>
      </c>
      <c r="GJ23" s="259">
        <f t="shared" ca="1" si="101"/>
        <v>0</v>
      </c>
      <c r="GK23" s="259">
        <f t="shared" ca="1" si="102"/>
        <v>0</v>
      </c>
      <c r="GL23" s="259">
        <f t="shared" ca="1" si="103"/>
        <v>0</v>
      </c>
      <c r="GM23" s="259">
        <f ca="1">IF(OR(GK23&gt;0,GL23&gt;0),MAX($GM$2:GM22)+1,0)</f>
        <v>0</v>
      </c>
      <c r="GN23" s="259" t="str">
        <f ca="1">IFERROR(INDEX($GD$3:$GM$400,MATCH(ROWS($GN$3:GN23),$GM$3:$GM$400,0),1),"")</f>
        <v/>
      </c>
      <c r="GO23" s="259" t="str">
        <f ca="1">IFERROR(INDEX($GD$3:$GM$400,MATCH(ROWS($GO$3:GO23),$GM$3:$GM$400,0),8),"")</f>
        <v/>
      </c>
      <c r="GP23" s="259" t="str">
        <f ca="1">IFERROR(INDEX($GD$3:$GM$400,MATCH(ROWS($GP$3:GP23),$GM$3:$GM$400,0),9),"")</f>
        <v/>
      </c>
      <c r="GQ23" s="259">
        <f t="shared" ca="1" si="28"/>
        <v>0</v>
      </c>
      <c r="GR23" s="259">
        <f t="shared" ca="1" si="104"/>
        <v>0</v>
      </c>
      <c r="GS23" s="259" t="str">
        <f t="shared" ca="1" si="105"/>
        <v>epilogo componenti negativi</v>
      </c>
      <c r="GT23" s="259" t="str">
        <f ca="1">IFERROR(INDEX($GD$3:$GS$400,MATCH(ROWS($GT$3:GT23),$GM$3:$GM$400,0),16),"")</f>
        <v/>
      </c>
      <c r="GU23" s="259">
        <f ca="1">IF(GQ23&lt;&gt;0,MAX($GU$2:$GU22)+1,0)</f>
        <v>0</v>
      </c>
      <c r="GV23" s="259">
        <f t="shared" ca="1" si="106"/>
        <v>0</v>
      </c>
      <c r="GW23" s="259" t="str">
        <f ca="1">IF(AND(IFERROR(INDEX($GU$3:$GV$400,MATCH(ROWS($GW$3:GW23),$GU$3:$GU$400,0),2),"")&lt;&gt;"",GW24&lt;&gt;""),CONCATENATE(IFERROR(INDEX($GU$3:$GV$400,MATCH(ROWS($GW$3:GW23),$GU$3:$GU$400,0),2),"")," - "),IFERROR(INDEX($GU$3:$GV$400,MATCH(ROWS($GW$3:GW23),$GU$3:$GU$400,0),2),""))</f>
        <v/>
      </c>
      <c r="GX23" s="259">
        <f ca="1">IF(OR(GN23="IVA NS/CREDITO",GN23="IVA NS/DEBITO",GN23="IVA C/ACCONTO",GN23="IMPOSTE C/ACCONTO"),MAX($GX$2:GX22)+1,0)</f>
        <v>0</v>
      </c>
      <c r="GY23" s="259" t="str">
        <f ca="1">IF(AND(IFERROR(INDEX($GN$3:$GX$200,MATCH(ROWS($GY$3:GY23),$GX$3:$GX$200,0),1),"")&lt;&gt;"",GY24&lt;&gt;""),CONCATENATE(IFERROR(INDEX($GN$3:$GX$200,MATCH(ROWS($GY$3:GY23),$GX$3:$GX$200,0),1),"")," - "),IFERROR(INDEX($GN$3:$GX$200,MATCH(ROWS($GY$3:GY23),$GX$3:$GX$200,0),1),""))</f>
        <v/>
      </c>
      <c r="GZ23" s="259" t="s">
        <v>37</v>
      </c>
      <c r="HA23" s="259" t="s">
        <v>627</v>
      </c>
      <c r="HB23" s="269" t="s">
        <v>256</v>
      </c>
      <c r="HC23" s="269" t="s">
        <v>211</v>
      </c>
      <c r="HD23" s="269" t="s">
        <v>266</v>
      </c>
      <c r="HE23" s="269" t="s">
        <v>212</v>
      </c>
      <c r="HG23" s="270"/>
      <c r="HL23" s="259" t="str">
        <f t="shared" ca="1" si="29"/>
        <v/>
      </c>
      <c r="HM23" s="259" t="str">
        <f t="shared" ca="1" si="30"/>
        <v/>
      </c>
      <c r="HN23" s="259" t="str">
        <f t="shared" ca="1" si="31"/>
        <v/>
      </c>
      <c r="HO23" s="259">
        <f ca="1">IF(HL23&lt;&gt;"",MAX($HO$2:HO22)+1,0)</f>
        <v>0</v>
      </c>
      <c r="HP23" s="259">
        <f ca="1">IF(HM23&lt;&gt;"",MAX($HP$2:HP22)+1,0)</f>
        <v>0</v>
      </c>
      <c r="HQ23" s="259">
        <f ca="1">IF(HN23&lt;&gt;"",MAX($HQ$2:HQ22)+1,0)</f>
        <v>0</v>
      </c>
      <c r="HR23" s="259" t="str">
        <f t="shared" ca="1" si="107"/>
        <v/>
      </c>
      <c r="HS23" s="259" t="str">
        <f t="shared" ca="1" si="108"/>
        <v/>
      </c>
      <c r="HT23" s="259">
        <f t="shared" ca="1" si="109"/>
        <v>0</v>
      </c>
      <c r="HU23" s="259">
        <f t="shared" ca="1" si="110"/>
        <v>0</v>
      </c>
      <c r="HV23" s="259" t="str">
        <f ca="1">CONCATENATE(IFERROR(INDEX($HS$3:$HT$102,MATCH(ROWS($HV$3:HV23),$HT$3:$HT$102,0),1),""),HR23)</f>
        <v/>
      </c>
      <c r="IA23" s="259" t="s">
        <v>358</v>
      </c>
      <c r="IB23" s="259" t="str">
        <f ca="1">IF(IG23&gt;0,"Utile dell'esercizio",IF(IG23&lt;0,"Perdita dell'esercizio",""))</f>
        <v/>
      </c>
      <c r="IC23" s="259">
        <f ca="1">IFERROR(INDEX(PIANO_DEI_CONTI,MATCH(ROWS(DL$3:DL23),$DK$3:DK250,0),2),0)</f>
        <v>0</v>
      </c>
      <c r="ID23" s="259">
        <f t="shared" ca="1" si="111"/>
        <v>0</v>
      </c>
      <c r="IE23" s="259">
        <f t="shared" ca="1" si="112"/>
        <v>0</v>
      </c>
      <c r="IF23" s="259">
        <f t="shared" ca="1" si="113"/>
        <v>0</v>
      </c>
      <c r="IG23" s="259">
        <f ca="1">IF(EV1&gt;0,0,ROUND(CM1-CP1,0))</f>
        <v>0</v>
      </c>
      <c r="IH23" s="259">
        <f ca="1">IF(IG23&lt;&gt;0,MAX($IH$19:IH22)+1,0)</f>
        <v>0</v>
      </c>
      <c r="II23" s="259">
        <f>IF(AD23="costi pluriennali",MAX($II$2:II22)+1,0)</f>
        <v>0</v>
      </c>
      <c r="IJ23" s="259">
        <f>IF($AD23="rettifiche costi pluriennali",MAX($IJ$2:IJ22)+1,0)</f>
        <v>9</v>
      </c>
      <c r="IK23" s="259">
        <f t="shared" si="114"/>
        <v>9</v>
      </c>
      <c r="IL23" s="259" t="str">
        <f t="shared" si="115"/>
        <v>FONDO AMMORT. ARREDAMENTO</v>
      </c>
      <c r="IM23" s="259">
        <f t="shared" ca="1" si="116"/>
        <v>0</v>
      </c>
      <c r="IN23" s="259">
        <f t="shared" ca="1" si="141"/>
        <v>0</v>
      </c>
      <c r="IO23" s="259">
        <f>SUMIFS($IM$3:$IM$200,$IK$3:$IK$200,ROWS($IO$3:IO23))-SUMIFS($IN$3:$IN$200,$IK$3:$IK$200,ROWS($IO$3:IO23))</f>
        <v>0</v>
      </c>
      <c r="IP23" s="259" t="str">
        <f>IF(IO23&lt;0,INDEX($IJ$3:$IL$200,MATCH(ROWS($IP$3:IP23),$IJ$3:$IJ$200,0),3),"")</f>
        <v/>
      </c>
      <c r="IQ23" s="259">
        <f>IF(IP23&lt;&gt;"",MAX($IQ$2:IQ22)+1,0)</f>
        <v>0</v>
      </c>
      <c r="IR23" s="259" t="str">
        <f ca="1">IFERROR(INDEX($IP$3:$IQ$200,MATCH(ROWS($IR$3:IR23),$IQ$3:$IQ$200,0),1),"")</f>
        <v/>
      </c>
      <c r="IS23" s="259" t="str">
        <f t="shared" ca="1" si="117"/>
        <v/>
      </c>
      <c r="IT23" s="259" t="str">
        <f t="shared" ca="1" si="118"/>
        <v/>
      </c>
      <c r="IU23" s="259" t="str">
        <f t="shared" ca="1" si="119"/>
        <v/>
      </c>
      <c r="IV23" s="259" t="str">
        <f t="shared" ca="1" si="120"/>
        <v/>
      </c>
      <c r="IW23" s="259" t="str">
        <f t="shared" ca="1" si="121"/>
        <v/>
      </c>
      <c r="IX23" s="259" t="str">
        <f t="shared" ca="1" si="122"/>
        <v/>
      </c>
      <c r="IY23" s="259" t="str">
        <f t="shared" ca="1" si="123"/>
        <v/>
      </c>
      <c r="IZ23" s="259" t="str">
        <f t="shared" ca="1" si="124"/>
        <v/>
      </c>
      <c r="JA23" s="259" t="str">
        <f t="shared" ca="1" si="125"/>
        <v/>
      </c>
      <c r="JB23" s="259">
        <f t="shared" ca="1" si="32"/>
        <v>0</v>
      </c>
      <c r="JC23" s="259">
        <f t="shared" ca="1" si="126"/>
        <v>0</v>
      </c>
      <c r="JE23" s="259">
        <f ca="1">IFERROR(INDEX(LIBRO_GIORNALE!$N$11:$O$408,MATCH(ROWS($JE$2:JE22),LIBRO_GIORNALE!$O$11:$O$408,0),1),0)</f>
        <v>0</v>
      </c>
      <c r="JF23" s="259" t="str">
        <f t="shared" ca="1" si="127"/>
        <v>0</v>
      </c>
      <c r="JG23" s="259">
        <f t="shared" ca="1" si="128"/>
        <v>0</v>
      </c>
      <c r="JH23" s="259">
        <f ca="1">IF(JJ23&gt;0,0,MAX($JH$2:JH22)+1)</f>
        <v>21</v>
      </c>
      <c r="JI23" s="259">
        <f ca="1">IF(JG23&gt;0,MAX($JI$2:JI22)+1,0)</f>
        <v>0</v>
      </c>
      <c r="JJ23" s="259">
        <f ca="1">IFERROR(INDEX($JG$3:$JI$124,MATCH(ROWS($JJ$3:JJ23),$JI$3:$JI$124,0),1),0)</f>
        <v>0</v>
      </c>
      <c r="JK23" s="259">
        <f t="shared" ca="1" si="129"/>
        <v>0</v>
      </c>
      <c r="JL23" s="259">
        <f t="shared" ca="1" si="130"/>
        <v>21</v>
      </c>
      <c r="JM23" s="259">
        <v>20</v>
      </c>
    </row>
    <row r="24" spans="1:273">
      <c r="A24" s="259" t="str">
        <f t="shared" si="33"/>
        <v>02.15</v>
      </c>
      <c r="B24" s="259" t="str">
        <f t="shared" si="34"/>
        <v>FONDO AMMORT. MACCHINE D'UFFICIO</v>
      </c>
      <c r="C24" s="259" t="str">
        <f t="shared" si="35"/>
        <v>E</v>
      </c>
      <c r="D24" s="259" t="str">
        <f t="shared" si="36"/>
        <v>A</v>
      </c>
      <c r="E24" s="259" t="str">
        <f t="shared" si="37"/>
        <v>RETTIFICHE COSTI PLURIENNALI</v>
      </c>
      <c r="F24" s="259" t="str">
        <f t="shared" si="38"/>
        <v>SP AVERE</v>
      </c>
      <c r="G24" s="259">
        <f t="shared" ca="1" si="39"/>
        <v>0</v>
      </c>
      <c r="H24" s="259">
        <f t="shared" ca="1" si="40"/>
        <v>1</v>
      </c>
      <c r="I24" s="259">
        <f t="shared" ca="1" si="41"/>
        <v>1</v>
      </c>
      <c r="J24" s="259">
        <v>21</v>
      </c>
      <c r="K24" s="259" t="str">
        <f ca="1">IFERROR(IF($I$1=1,INDEX($AA$3:$AS$220,MATCH(ROWS($K$3:K24),$AQ$3:$AQ$220,0),1),IF($I$1=2,INDEX($AA$3:$AS$220,MATCH(ROWS($K$3:K24),$AR$3:$AR$220,0),1),IF($I$1=3,INDEX($AA$3:$AS$220,MATCH(ROWS($K$3:K24),$AS$3:$AS$220,0),1),""))),"")</f>
        <v>FONDO AMMORT. AUTOMEZZI</v>
      </c>
      <c r="L24" s="259">
        <f ca="1">IF(AND($L$1="VISUALIZZA TUTTI I CONTI",K24&lt;&gt;""),MAX(L23:L23)+1,IFERROR(IF($J$1=1,IF(INDEX(PIANO_DEI_CONTI,MATCH($K24,DENOMINAZIONE,0),5)=$L$1,MAX($L$2:L23)+1,0),IF($J$1=2,IF(INDEX(PIANO_DEI_CONTI,MATCH($K24,DENOMINAZIONE,0),7)=$L$1,MAX($L$2:L23)+1,0))),0))</f>
        <v>22</v>
      </c>
      <c r="M24" s="259" t="str">
        <f ca="1">IFERROR(INDEX($K$3:$K$220,MATCH(ROWS($M$3:M24),$L$3:$L$220,0),1),"")</f>
        <v>FONDO AMMORT. AUTOMEZZI</v>
      </c>
      <c r="N24" s="259" t="str">
        <f t="shared" si="143"/>
        <v>CREDITI DIVERSI</v>
      </c>
      <c r="O24" s="259" t="str">
        <f t="shared" ca="1" si="142"/>
        <v>CREDITI DIVERSI</v>
      </c>
      <c r="P24" s="259">
        <f ca="1">IF(AND(N24=O24,O24&lt;&gt;""),MAX(P$2:P23)+1,0)</f>
        <v>7</v>
      </c>
      <c r="Q24" s="259" t="str">
        <f ca="1">IF(IFERROR(INDEX($O$3:$P$220,MATCH(ROWS(Q$3:Q24),$P$3:$P$220,0),1),"")=0,"",IFERROR(INDEX($O$3:$P$220,MATCH(ROWS(Q$3:Q24),$P$3:$P$220,0),1),""))</f>
        <v>COSTI PER GODIMENTO BENI DI TERZI</v>
      </c>
      <c r="R24" s="259" t="str">
        <f t="shared" si="1"/>
        <v/>
      </c>
      <c r="S24" s="259">
        <f ca="1">IF(IFERROR(MATCH(R24,DENOMINAZIONE_GIORNALE,0),0)&gt;0,MAX(S$2:S23)+1,0)</f>
        <v>0</v>
      </c>
      <c r="T24" s="259" t="str">
        <f ca="1">IFERROR(INDEX($R$3:$S$220,MATCH(ROWS($T$3:T24),$S$3:$S$220,0),1),"")</f>
        <v/>
      </c>
      <c r="U24" s="259">
        <f t="shared" ca="1" si="2"/>
        <v>0</v>
      </c>
      <c r="V24" s="259">
        <f ca="1">IF(IF(U24&lt;&gt;0,MAX($V$2:V23)+1,0)=0,0,IF(U24&lt;&gt;0,MAX($V$2:V23)+1,0))</f>
        <v>0</v>
      </c>
      <c r="W24" s="259" t="str">
        <f t="shared" si="43"/>
        <v>02.15</v>
      </c>
      <c r="X24" s="259" t="str">
        <f t="shared" si="44"/>
        <v>FONDO AMMORT. MACCHINE D'UFFICIO</v>
      </c>
      <c r="Y24" s="259">
        <f>IF(W24="",0,MAX($Y$2:Y23)+1)</f>
        <v>20</v>
      </c>
      <c r="Z24" s="259" t="str">
        <f>IFERROR(INDEX($W$3:$Y$220,MATCH(ROWS($Z$2:Z23),$Y$3:$Y$220,0),1),"")</f>
        <v>02.17</v>
      </c>
      <c r="AA24" s="259" t="str">
        <f t="shared" si="45"/>
        <v>FONDO AMMORT. AUTOMEZZI</v>
      </c>
      <c r="AB24" s="259" t="str">
        <f t="shared" si="46"/>
        <v>E</v>
      </c>
      <c r="AC24" s="259" t="str">
        <f t="shared" si="47"/>
        <v>A</v>
      </c>
      <c r="AD24" s="259" t="str">
        <f t="shared" si="48"/>
        <v>RETTIFICHE COSTI PLURIENNALI</v>
      </c>
      <c r="AE24" s="259" t="str">
        <f t="shared" si="49"/>
        <v>SP AVERE</v>
      </c>
      <c r="AF24" s="259" t="str">
        <f t="shared" si="50"/>
        <v>IMMOBILIZZAZIONI MATERIALI</v>
      </c>
      <c r="AG24" s="259">
        <f t="shared" ca="1" si="51"/>
        <v>0</v>
      </c>
      <c r="AH24" s="259">
        <f t="shared" ca="1" si="52"/>
        <v>1</v>
      </c>
      <c r="AI24" s="259">
        <f t="shared" ca="1" si="53"/>
        <v>1</v>
      </c>
      <c r="AJ24" s="259" t="str">
        <f t="shared" si="54"/>
        <v>02</v>
      </c>
      <c r="AK24" s="259" t="str">
        <f t="shared" si="55"/>
        <v/>
      </c>
      <c r="AL24" s="259">
        <f>IF(AK24&lt;&gt;"",MAX($AL$2:AL23)+1,0)</f>
        <v>0</v>
      </c>
      <c r="AM24" s="259" t="str">
        <f>IFERROR(INDEX($AK$3:$AL$220,MATCH(ROWS($AM$3:AM24),$AL$3:$AL$220,0),1),"")</f>
        <v>33</v>
      </c>
      <c r="AN24" s="259" t="str">
        <f t="shared" si="56"/>
        <v>33.00</v>
      </c>
      <c r="AO24" s="259" t="str">
        <f t="shared" si="57"/>
        <v>COSTI PER IL PERSONALE</v>
      </c>
      <c r="AP24" s="259" t="str">
        <f t="shared" si="58"/>
        <v>IMMOBILIZZAZIONI MATERIALI</v>
      </c>
      <c r="AQ24" s="259">
        <f ca="1">IF(OR(AG24=0,AG24=""),0,MAX(AQ$2:AQ23)+1)</f>
        <v>0</v>
      </c>
      <c r="AR24" s="259">
        <f ca="1">IF(OR(AH24=0,AH24=""),0,MAX(AR$2:AR23)+1)</f>
        <v>19</v>
      </c>
      <c r="AS24" s="259">
        <f ca="1">IF(OR(AI24=0,AI24=""),0,MAX(AS$2:AS23)+1)</f>
        <v>22</v>
      </c>
      <c r="AT24" s="259" t="str">
        <f ca="1">IFERROR(INDEX($AD$3:$AS$220,MATCH(ROWS(AT$3:AT24),AQ$3:AQ$220,0),1),"")</f>
        <v>CREDITI</v>
      </c>
      <c r="AU24" s="259" t="str">
        <f ca="1">IFERROR(INDEX($AD$3:$AS$220,MATCH(ROWS(AU$3:AU24),AR$3:AR$220,0),1),"")</f>
        <v>CREDITI</v>
      </c>
      <c r="AV24" s="259" t="str">
        <f ca="1">IFERROR(INDEX($AD$3:$AS$220,MATCH(ROWS(AV$3:AV24),AS$3:AS$220,0),1),"")</f>
        <v>RETTIFICHE COSTI PLURIENNALI</v>
      </c>
      <c r="AW24" s="259" t="str">
        <f ca="1">IFERROR(INDEX($AP$3:$AS$220,MATCH(ROWS(AW$3:AW24),AQ$3:AQ$220,0),1),"")</f>
        <v>CREDITI COMMERCIALI</v>
      </c>
      <c r="AX24" s="259" t="str">
        <f ca="1">IFERROR(INDEX($AP$3:$AS$220,MATCH(ROWS(AX$3:AX24),AR$3:AR$220,0),1),"")</f>
        <v>IMMOBILIZZAZIONI FINANZIARIE</v>
      </c>
      <c r="AY24" s="259" t="str">
        <f ca="1">IFERROR(INDEX($AP$3:$AS$220,MATCH(ROWS(AY$3:AY24),AS$3:AS$220,0),1),"")</f>
        <v>IMMOBILIZZAZIONI MATERIALI</v>
      </c>
      <c r="AZ24" s="276" t="str">
        <f t="shared" ca="1" si="59"/>
        <v/>
      </c>
      <c r="BA24" s="259">
        <f t="shared" ca="1" si="3"/>
        <v>0</v>
      </c>
      <c r="BB24" s="259">
        <f ca="1">IFERROR(INDEX($FG$3:$FL$400,MATCH(ROWS($BB$3:BB24),$FL$3:$FL$400,0),1),0)</f>
        <v>0</v>
      </c>
      <c r="BC24" s="259" t="str">
        <f t="shared" ca="1" si="60"/>
        <v/>
      </c>
      <c r="BD24" s="259">
        <f ca="1">IFERROR(INDEX($FG$3:$FL$400,MATCH(ROWS($BD$3:BD24),$FL$3:$FL$400,0),4),0)</f>
        <v>0</v>
      </c>
      <c r="BE24" s="259">
        <f ca="1">IFERROR(INDEX($FG$3:$FL$400,MATCH(ROWS($BE$3:BE24),$FL$3:$FL$400,0),5),0)</f>
        <v>0</v>
      </c>
      <c r="BG24" s="259" t="str">
        <f t="shared" si="4"/>
        <v>FONDO AMMORT. AUTOMEZZI</v>
      </c>
      <c r="BH24" s="259">
        <f ca="1">IF(IFERROR(MATCH(BG24,DENOMINAZIONE_GIORNALE,0),0)&gt;0,MAX(BH$2:BH23)+1,0)</f>
        <v>0</v>
      </c>
      <c r="BI24" s="259" t="str">
        <f ca="1">IFERROR(INDEX($BG$3:$BH$220,MATCH(ROWS($BI$3:BI24),$BH$3:$BH$220,0),1),"")</f>
        <v/>
      </c>
      <c r="BJ24" s="259" t="str">
        <f t="shared" ca="1" si="5"/>
        <v/>
      </c>
      <c r="BK24" s="259" t="str">
        <f ca="1">IF(IF(BJ24&lt;&gt;"",MAX($BK$2:BK23)+1,0)=0,"",IF(BJ24&lt;&gt;"",MAX($BK$2:BK23)+1,0))</f>
        <v/>
      </c>
      <c r="BL24" s="259" t="str">
        <f ca="1">IFERROR(INDEX($T$3:$U$220, MATCH(ROWS(BL$3:BL24),$V$3:$V$220,0),1),"")</f>
        <v/>
      </c>
      <c r="BM24" s="259" t="str">
        <f ca="1">IFERROR(INDEX($T$3:$U$220, MATCH(ROWS(BM$3:BM24),$V$3:$V$220,0),2),"")</f>
        <v/>
      </c>
      <c r="BN24" s="259" t="str">
        <f ca="1">IF(IFERROR(INDEX($BI$3:$BJ$220,MATCH(ROWS(BN$3:BN24),$BK$3:$BK$220,0),1),"")="PATRIMONIO NETTO","",IFERROR(INDEX($BI$3:$BJ$220,MATCH(ROWS(BN$3:BN24),$BK$3:$BK$220,0),1),""))</f>
        <v/>
      </c>
      <c r="BO24" s="259" t="str">
        <f ca="1">IFERROR(INDEX($BI$3:$BJ$220,MATCH(ROWS(BO$3:BO24),$BK$3:$BK$220,0),2),"")</f>
        <v/>
      </c>
      <c r="BP24" s="259">
        <f ca="1">IF(BN24&lt;&gt;"",MAX(BP$2:$BP23)+1,0)</f>
        <v>0</v>
      </c>
      <c r="BQ24" s="259" t="str">
        <f ca="1">IFERROR(INDEX($BN$3:$BO$200,MATCH(ROWS(BQ$3:BQ24),$BP$3:$BP$220,0),1),"")</f>
        <v/>
      </c>
      <c r="BR24" s="259" t="str">
        <f ca="1">IFERROR(INDEX($BN$3:$BO$220,MATCH(ROWS(BR$3:BR24),$BP$3:$BP$220,0),2),"")</f>
        <v/>
      </c>
      <c r="BS24" s="259" t="str">
        <f ca="1">IFERROR(IF(OR(INDEX($T$3:$U$220,MATCH(ROWS(BL$3:BL24),$V$3:$V$220,0),1)="PRELEVAMENTI EXTRAGESTIONE",INDEX($T$3:$U$220,MATCH(ROWS(BL$3:BL24),$V$3:$V$220,0),1)="TITOLARE C/RITENUTE SUBITE"),"",INDEX($T$3:$U$220,MATCH(ROWS(BL$3:BL24),$V$3:$V$220,0),1)),"")</f>
        <v/>
      </c>
      <c r="BT24" s="259">
        <f t="shared" ca="1" si="61"/>
        <v>0</v>
      </c>
      <c r="BU24" s="259">
        <f ca="1">IF(BS24&lt;&gt;"",MAX(BU$2:BU23)+1,0)</f>
        <v>0</v>
      </c>
      <c r="BV24" s="259" t="str">
        <f ca="1">IFERROR(INDEX($BS$3:$BT$223,MATCH(ROWS(BV$3:BV24),$BU$3:$BU$223,0),1),"")</f>
        <v/>
      </c>
      <c r="BW24" s="259">
        <f t="shared" ca="1" si="62"/>
        <v>0</v>
      </c>
      <c r="BX24" s="259" t="str">
        <f t="shared" ca="1" si="63"/>
        <v/>
      </c>
      <c r="BY24" s="259" t="str">
        <f t="shared" ca="1" si="64"/>
        <v/>
      </c>
      <c r="BZ24" s="259" t="str">
        <f ca="1">IFERROR(IF(OR($DS$231&lt;&gt;$DT$231,$DU$231&lt;&gt;$DV$231,$EO$25&lt;&gt;0,$EO$26&lt;&gt;0),INDEX($T$3:$V$220,MATCH(ROWS($BV$3:BV24),$V$3:$V$220,0),1),CONCATENATE(BV24,BY24)),"")</f>
        <v/>
      </c>
      <c r="CA24" s="259">
        <f t="shared" ca="1" si="65"/>
        <v>0</v>
      </c>
      <c r="CB24" s="259" t="str">
        <f ca="1">IFERROR(IF(OR($BB$1&lt;&gt;$BD$1,$BC$1&lt;&gt;$BE$1,$DS$231&lt;&gt;$DT$231,$DU$231&lt;&gt;$DV$231,$EO$25&lt;&gt;0,$EO$26&lt;&gt;0),INDEX($BI$3:$BK$220,MATCH(ROWS($CB$3:CB24),$BK$3:$BK$220,0),1),CONCATENATE(BQ24,BX24)),"")</f>
        <v/>
      </c>
      <c r="CC24" s="259" t="str">
        <f t="shared" ca="1" si="66"/>
        <v/>
      </c>
      <c r="CD24" s="259" t="str">
        <f t="shared" si="6"/>
        <v/>
      </c>
      <c r="CE24" s="259">
        <f ca="1">IF(IFERROR(MATCH(CD24,DENOMINAZIONE_GIORNALE,0),0)&gt;0,MAX(CE$2:CE23)+1,0)</f>
        <v>0</v>
      </c>
      <c r="CF24" s="259" t="str">
        <f ca="1">IFERROR(INDEX($CD$3:$CE$220,MATCH(ROWS($CF$3:CF24),$CE$3:$CE$220,0),1),"")</f>
        <v/>
      </c>
      <c r="CG24" s="259">
        <f t="shared" ca="1" si="7"/>
        <v>0</v>
      </c>
      <c r="CH24" s="259" t="str">
        <f ca="1">IF(IF(CG24&lt;&gt;0,MAX($CH$2:CH23)+1,0)=0,"",IF(CG24&lt;&gt;"",MAX($CH$2:CH23)+1,0))</f>
        <v/>
      </c>
      <c r="CI24" s="259" t="str">
        <f ca="1">IFERROR(INDEX($CF$3:$CG$220,MATCH(ROWS($CI$3:CI24),$CH$3:$CH$220,0),1),"")</f>
        <v/>
      </c>
      <c r="CJ24" s="259" t="str">
        <f t="shared" ca="1" si="67"/>
        <v/>
      </c>
      <c r="CK24" s="259" t="str">
        <f t="shared" si="8"/>
        <v/>
      </c>
      <c r="CL24" s="259">
        <f ca="1">IF(IFERROR(MATCH(CK24,DENOMINAZIONE_GIORNALE,0),0)&gt;0,MAX(CL$2:CL23)+1,0)</f>
        <v>0</v>
      </c>
      <c r="CM24" s="259" t="str">
        <f ca="1">IFERROR(INDEX($CK$3:$CL$220,MATCH(ROWS($CM$3:CM24),$CL$3:$CL$220,0),1),"")</f>
        <v/>
      </c>
      <c r="CN24" s="259" t="str">
        <f t="shared" ca="1" si="9"/>
        <v/>
      </c>
      <c r="CO24" s="259">
        <f ca="1">IF(IF(CN24&lt;&gt;0,MAX($CO$2:CO23)+1,0)=0,"",IF(CN24&lt;&gt;"",MAX($CO$2:CO23)+1,0))</f>
        <v>0</v>
      </c>
      <c r="CP24" s="259" t="str">
        <f ca="1">IFERROR(INDEX($CM$3:$CN$220,MATCH(ROWS(CP$3:CP24),$CO$3:$CO$220,0),1),"")</f>
        <v/>
      </c>
      <c r="CQ24" s="259" t="str">
        <f ca="1">IFERROR(INDEX($CM$3:$CN$220,MATCH(ROWS(CQ$3:CQ24),$CO$3:$CO$220,0),2),"")</f>
        <v/>
      </c>
      <c r="CR24" s="259" t="str">
        <f t="shared" ca="1" si="10"/>
        <v/>
      </c>
      <c r="CS24" s="259">
        <f t="shared" ca="1" si="11"/>
        <v>0</v>
      </c>
      <c r="CT24" s="259">
        <f t="shared" ca="1" si="12"/>
        <v>0</v>
      </c>
      <c r="CU24" s="259">
        <f ca="1">IF(OR(CS24&gt;0,CT24&gt;0),MAX($CU$2:CU23)+1,0)</f>
        <v>0</v>
      </c>
      <c r="CV24" s="259" t="str">
        <f ca="1">IFERROR(INDEX(PIANO_DEI_CONTI,MATCH(ROWS($CV$3:CV24),$CU$3:$CU$200,0),2),"")</f>
        <v/>
      </c>
      <c r="CW24" s="259">
        <f ca="1">IFERROR(IF(CV24&lt;&gt;"",MAX($CW$2:CW23)+1,0),0)</f>
        <v>0</v>
      </c>
      <c r="CX24" s="259">
        <f t="shared" ca="1" si="145"/>
        <v>2</v>
      </c>
      <c r="CY24" s="259" t="str">
        <f t="shared" ca="1" si="144"/>
        <v>MASTRO</v>
      </c>
      <c r="CZ24" s="259" t="e">
        <f t="shared" ca="1" si="147"/>
        <v>#N/A</v>
      </c>
      <c r="DA24" s="259" t="str">
        <f t="shared" ref="DA24:DA37" ca="1" si="152">IFERROR(INDEX(LIBRO_GIORNALE,CZ24,1),"")</f>
        <v/>
      </c>
      <c r="DB24" s="259" t="str">
        <f t="shared" ca="1" si="148"/>
        <v/>
      </c>
      <c r="DC24" s="259" t="str">
        <f t="shared" ca="1" si="149"/>
        <v/>
      </c>
      <c r="DD24" s="259" t="str">
        <f t="shared" ca="1" si="150"/>
        <v/>
      </c>
      <c r="DE24" s="259" t="str">
        <f t="shared" ca="1" si="151"/>
        <v/>
      </c>
      <c r="DF24" s="259">
        <f ca="1">IF(AND(CX24=$DE$2,$DF$2&lt;&gt;0),0,IF(AND(DB24&lt;&gt;"",OR(DB23&lt;&gt;"",DB25&lt;&gt;"")),MAX($DF$2:DF23)+1,0))</f>
        <v>0</v>
      </c>
      <c r="DG24" s="259" t="str">
        <f>IF(OR(VALORI_INIZIALI!E29="",AND(VALORI_INIZIALI!E29&lt;&gt;"",VALORI_INIZIALI!H29=0,VALORI_INIZIALI!I29=0)),"",IFERROR(INDEX(PIANO_DEI_CONTI,MATCH(BB24,DENOMINAZIONE,0),1),0))</f>
        <v/>
      </c>
      <c r="DH24" s="259">
        <f ca="1">IFERROR(IF($J$1=1,IF(INDEX(PIANO_DEI_CONTI,MATCH($K24,DENOMINAZIONE,0),5)=$DF$1,MAX($DH$2:DH23)+1,0),IF($J$1=2,IF(INDEX(PIANO_DEI_CONTI,MATCH($K24,DENOMINAZIONE,0),7)=$DF$1,MAX($DH$2:DH23)+1,0))),0)</f>
        <v>0</v>
      </c>
      <c r="DI24" s="259">
        <f ca="1">IFERROR(INDEX($K$3:$K$220,MATCH(ROWS($DI$3:DI24),$DH$3:$DH$220,0),1),0)</f>
        <v>0</v>
      </c>
      <c r="DJ24" s="259">
        <f t="shared" ca="1" si="14"/>
        <v>0</v>
      </c>
      <c r="DK24" s="259">
        <f ca="1">IF(DJ24=0,0,MAX(DK$2:DK23)+1)</f>
        <v>0</v>
      </c>
      <c r="DL24" s="259">
        <f ca="1">IFERROR(INDEX(PIANO_DEI_CONTI,MATCH(ROWS(DL$3:DL24),$DK$3:DK251,0),2),0)</f>
        <v>0</v>
      </c>
      <c r="DM24" s="259">
        <f t="shared" ca="1" si="15"/>
        <v>0</v>
      </c>
      <c r="DN24" s="259">
        <f t="shared" ca="1" si="16"/>
        <v>0</v>
      </c>
      <c r="DO24" s="259">
        <f t="shared" ca="1" si="69"/>
        <v>0</v>
      </c>
      <c r="DP24" s="259">
        <f t="shared" ca="1" si="70"/>
        <v>0</v>
      </c>
      <c r="DQ24" s="259">
        <f ca="1">IF(OR($DQ$1="TOTALI",$DQ$1="TOTALI ED ECCEDENZE"),IF(OR(DM24&gt;0,DN24&gt;0),MAX(DQ$2:DQ23)+1,0),IF($DQ$1="ECCEDENZE",IF(OR(DO24&gt;0,DP24&gt;0),MAX(DQ$2:DQ23)+1,0),""))</f>
        <v>0</v>
      </c>
      <c r="DR24" s="259" t="str">
        <f ca="1">IFERROR(INDEX($DL$3:$DQ$230,MATCH(ROWS(DR$3:DR24),$DQ$3:$DQ$230,0),1),"")</f>
        <v/>
      </c>
      <c r="DS24" s="259" t="str">
        <f t="shared" ca="1" si="71"/>
        <v/>
      </c>
      <c r="DT24" s="259" t="str">
        <f t="shared" ca="1" si="72"/>
        <v/>
      </c>
      <c r="DU24" s="259" t="str">
        <f t="shared" ca="1" si="73"/>
        <v/>
      </c>
      <c r="DV24" s="259" t="str">
        <f t="shared" ca="1" si="74"/>
        <v/>
      </c>
      <c r="DW24" s="259">
        <f t="shared" ca="1" si="75"/>
        <v>0</v>
      </c>
      <c r="DX24" s="259" t="str">
        <f t="shared" ca="1" si="76"/>
        <v/>
      </c>
      <c r="DY24" s="259" t="str">
        <f t="shared" ca="1" si="77"/>
        <v/>
      </c>
      <c r="DZ24" s="259" t="str">
        <f t="shared" ca="1" si="78"/>
        <v/>
      </c>
      <c r="EA24" s="259">
        <f t="shared" ca="1" si="79"/>
        <v>22</v>
      </c>
      <c r="EB24" s="259" t="s">
        <v>349</v>
      </c>
      <c r="ED24" s="259">
        <f t="shared" ca="1" si="17"/>
        <v>0</v>
      </c>
      <c r="EE24" s="259" t="str">
        <f t="shared" ca="1" si="18"/>
        <v/>
      </c>
      <c r="EF24" s="259" t="str">
        <f t="shared" ca="1" si="19"/>
        <v/>
      </c>
      <c r="EG24" s="259" t="str">
        <f t="shared" ca="1" si="136"/>
        <v/>
      </c>
      <c r="EH24" s="259" t="str">
        <f t="shared" ca="1" si="80"/>
        <v/>
      </c>
      <c r="EI24" s="260" t="b">
        <f t="shared" ca="1" si="137"/>
        <v>0</v>
      </c>
      <c r="EJ24" s="260" t="b">
        <f t="shared" ca="1" si="138"/>
        <v>1</v>
      </c>
      <c r="EK24" s="260" t="b">
        <f t="shared" ca="1" si="139"/>
        <v>1</v>
      </c>
      <c r="EL24" s="259">
        <f t="shared" si="81"/>
        <v>22</v>
      </c>
      <c r="EM24" s="259">
        <f ca="1">IF(AND(BA24&gt;0,BA24&lt;=$EM$1),MAX($EM$2:EM23)+1,0)</f>
        <v>0</v>
      </c>
      <c r="EN24" s="259">
        <f t="shared" ca="1" si="82"/>
        <v>24</v>
      </c>
      <c r="EP24" s="259" t="str">
        <f t="shared" ca="1" si="20"/>
        <v/>
      </c>
      <c r="EQ24" s="259">
        <f t="shared" ca="1" si="21"/>
        <v>0</v>
      </c>
      <c r="ER24" s="259">
        <f ca="1">IF(ISNA(EQ24),MAX(ER$2:ER23)+1,0)</f>
        <v>0</v>
      </c>
      <c r="ES24" s="259" t="str">
        <f t="shared" ca="1" si="83"/>
        <v/>
      </c>
      <c r="ET24" s="259" t="str">
        <f ca="1">IFERROR(UPPER(INDEX($ER$3:$ES$500,MATCH(ROWS(ET$3:ET24),$ER$3:$ER$500,0),2)),"")</f>
        <v/>
      </c>
      <c r="EU24" s="259" t="s">
        <v>463</v>
      </c>
      <c r="EV24" s="259">
        <f ca="1">IF(SUMIFS($FB$3:$FB$400,$EZ$3:$EZ$400,"="&amp;"PERDITA D'ESERCIZIO",$EY$3:$EY$400,"&lt;="&amp;FINE_AC,$EY$3:$EY$400,"&gt;="&amp;INIZIO_A_PC)+SUMIFS($FC$3:$FC$400,$EZ$3:$EZ$400,"="&amp;"PERDITA D'ESERCIZIO",$EY$3:$EY$400,"&lt;="&amp;FINE_AC,$EY$3:$EY$400,"&gt;="&amp;INIZIO_A_PC)=0,0,MAX($EV$3:EV23)+1)</f>
        <v>0</v>
      </c>
      <c r="EW24" s="259" t="str">
        <f ca="1">IF(AND(IFERROR(INDEX($EU$3:$EV$30,MATCH(ROWS($EX$3:EX24),$EV$3:$EV$30,0),1),"")&lt;&gt;"",EW25&lt;&gt;""),CONCATENATE(IFERROR(INDEX($EU$3:$EV$30,MATCH(ROWS($EX$3:EX24),$EV$3:$EV$30,0),1),"")," - "),IFERROR(INDEX($EU$3:$EV$30,MATCH(ROWS($EX$3:EX24),$EV$3:$EV$30,0),1),""))</f>
        <v/>
      </c>
      <c r="EY24" s="259">
        <f t="shared" ca="1" si="84"/>
        <v>0</v>
      </c>
      <c r="EZ24" s="259">
        <f t="shared" ca="1" si="84"/>
        <v>0</v>
      </c>
      <c r="FA24" s="259" t="str">
        <f t="shared" ca="1" si="85"/>
        <v/>
      </c>
      <c r="FB24" s="259">
        <f t="shared" ca="1" si="86"/>
        <v>0</v>
      </c>
      <c r="FC24" s="259">
        <f t="shared" ca="1" si="87"/>
        <v>0</v>
      </c>
      <c r="FD24" s="259">
        <f t="shared" ca="1" si="22"/>
        <v>0</v>
      </c>
      <c r="FE24" s="259" t="str">
        <f t="shared" ca="1" si="23"/>
        <v/>
      </c>
      <c r="FF24" s="259" t="str">
        <f t="shared" ca="1" si="88"/>
        <v/>
      </c>
      <c r="FG24" s="259" t="str">
        <f t="shared" si="89"/>
        <v>FONDO AMMORT. AUTOMEZZI</v>
      </c>
      <c r="FH24" s="259">
        <f t="shared" ca="1" si="24"/>
        <v>0</v>
      </c>
      <c r="FI24" s="259">
        <f t="shared" ca="1" si="25"/>
        <v>0</v>
      </c>
      <c r="FJ24" s="259">
        <f t="shared" ca="1" si="90"/>
        <v>0</v>
      </c>
      <c r="FK24" s="259">
        <f t="shared" ca="1" si="91"/>
        <v>0</v>
      </c>
      <c r="FL24" s="259">
        <f ca="1">IF(OR(FJ24&gt;0,FK24&gt;0),MAX($FL$2:FL23)+1,0)</f>
        <v>0</v>
      </c>
      <c r="FM24" s="259">
        <f t="shared" ca="1" si="26"/>
        <v>0</v>
      </c>
      <c r="FN24" s="259">
        <f ca="1">IF(FM24&lt;0,MAX($FN$2:FN23)+1,0)</f>
        <v>0</v>
      </c>
      <c r="FO24" s="259" t="str">
        <f t="shared" ca="1" si="92"/>
        <v/>
      </c>
      <c r="FP24" s="259" t="str">
        <f ca="1">IFERROR(INDEX($FN$3:$FO$400,MATCH(ROWS($FP$3:FP24),$FN$3:$FN$400,0),2),"")</f>
        <v/>
      </c>
      <c r="FQ24" s="259" t="str">
        <f>IF(AE24="SE AVERE",MAX($FQ$2:FQ23)+1,"")</f>
        <v/>
      </c>
      <c r="FR24" s="259" t="str">
        <f>IF(AE24="SE DARE",MAX($FR$2:FR23)+1,"")</f>
        <v/>
      </c>
      <c r="FS24" s="259" t="str">
        <f ca="1">IF(AND(AE24="SP DARE",AA24&lt;&gt;$FS$1,AA24&lt;&gt;$FT$1),MAX($FS$2:FS23)+1,IF(AND(GQ24="SP DARE",AA24&lt;&gt;$FS$1,AA24&lt;&gt;$FT$1),MAX($FS$2:FS23)+1,""))</f>
        <v/>
      </c>
      <c r="FT24" s="259">
        <f ca="1">IF(AND(AE24="SP AVERE",AA24&lt;&gt;$FU$1),MAX($FT$2:FT23)+1,IF(AND(GQ24="SP AVERE",AA24&lt;&gt;$FU$1),MAX($FT$2:FT23)+1,""))</f>
        <v>141</v>
      </c>
      <c r="FU24" s="259">
        <f t="shared" ca="1" si="93"/>
        <v>141</v>
      </c>
      <c r="FV24" s="259" t="str">
        <f t="shared" si="94"/>
        <v>FONDO AMMORT. AUTOMEZZI</v>
      </c>
      <c r="FW24" s="259" t="str">
        <f ca="1">IFERROR(INDEX($FU$3:$FV$500,MATCH(ROWS($FW$3:FW24),$FU$3:$FU$500,0),2),0)</f>
        <v>RESI SU VENDITE</v>
      </c>
      <c r="FX24" s="259">
        <f t="shared" ca="1" si="95"/>
        <v>22</v>
      </c>
      <c r="FY24" s="259">
        <f t="shared" ca="1" si="96"/>
        <v>0</v>
      </c>
      <c r="FZ24" s="259">
        <f ca="1">IF(FY24&gt;0,MAX($FZ$2:FZ23)+1,0)</f>
        <v>0</v>
      </c>
      <c r="GA24" s="259">
        <f ca="1">IFERROR(INDEX($FY$3:$FZ$500,MATCH(ROWS($GA$3:GA24),$FZ$3:$FZ$500,0),1),0)</f>
        <v>0</v>
      </c>
      <c r="GC24" s="259">
        <f t="shared" ca="1" si="97"/>
        <v>22</v>
      </c>
      <c r="GD24" s="259" t="str">
        <f t="shared" ca="1" si="98"/>
        <v>RESI SU VENDITE</v>
      </c>
      <c r="GG24" s="259">
        <f t="shared" ca="1" si="27"/>
        <v>0</v>
      </c>
      <c r="GH24" s="259">
        <f t="shared" ca="1" si="99"/>
        <v>0</v>
      </c>
      <c r="GI24" s="259">
        <f t="shared" ca="1" si="100"/>
        <v>0</v>
      </c>
      <c r="GJ24" s="259">
        <f t="shared" ca="1" si="101"/>
        <v>0</v>
      </c>
      <c r="GK24" s="259">
        <f t="shared" ca="1" si="102"/>
        <v>0</v>
      </c>
      <c r="GL24" s="259">
        <f t="shared" ca="1" si="103"/>
        <v>0</v>
      </c>
      <c r="GM24" s="259">
        <f ca="1">IF(OR(GK24&gt;0,GL24&gt;0),MAX($GM$2:GM23)+1,0)</f>
        <v>0</v>
      </c>
      <c r="GN24" s="259" t="str">
        <f ca="1">IFERROR(INDEX($GD$3:$GM$400,MATCH(ROWS($GN$3:GN24),$GM$3:$GM$400,0),1),"")</f>
        <v/>
      </c>
      <c r="GO24" s="259" t="str">
        <f ca="1">IFERROR(INDEX($GD$3:$GM$400,MATCH(ROWS($GO$3:GO24),$GM$3:$GM$400,0),8),"")</f>
        <v/>
      </c>
      <c r="GP24" s="259" t="str">
        <f ca="1">IFERROR(INDEX($GD$3:$GM$400,MATCH(ROWS($GP$3:GP24),$GM$3:$GM$400,0),9),"")</f>
        <v/>
      </c>
      <c r="GQ24" s="259">
        <f t="shared" ca="1" si="28"/>
        <v>0</v>
      </c>
      <c r="GR24" s="259">
        <f t="shared" ca="1" si="104"/>
        <v>0</v>
      </c>
      <c r="GS24" s="259" t="str">
        <f t="shared" si="105"/>
        <v>epilogo a Conto economico</v>
      </c>
      <c r="GT24" s="259" t="str">
        <f ca="1">IFERROR(INDEX($GD$3:$GS$400,MATCH(ROWS($GT$3:GT24),$GM$3:$GM$400,0),16),"")</f>
        <v/>
      </c>
      <c r="GU24" s="259">
        <f ca="1">IF(GQ24&lt;&gt;0,MAX($GU$2:$GU23)+1,0)</f>
        <v>0</v>
      </c>
      <c r="GV24" s="259">
        <f t="shared" ca="1" si="106"/>
        <v>0</v>
      </c>
      <c r="GW24" s="259" t="str">
        <f ca="1">IF(AND(IFERROR(INDEX($GU$3:$GV$400,MATCH(ROWS($GW$3:GW24),$GU$3:$GU$400,0),2),"")&lt;&gt;"",GW25&lt;&gt;""),CONCATENATE(IFERROR(INDEX($GU$3:$GV$400,MATCH(ROWS($GW$3:GW24),$GU$3:$GU$400,0),2),"")," - "),IFERROR(INDEX($GU$3:$GV$400,MATCH(ROWS($GW$3:GW24),$GU$3:$GU$400,0),2),""))</f>
        <v/>
      </c>
      <c r="GX24" s="259">
        <f ca="1">IF(OR(GN24="IVA NS/CREDITO",GN24="IVA NS/DEBITO",GN24="IVA C/ACCONTO",GN24="IMPOSTE C/ACCONTO"),MAX($GX$2:GX23)+1,0)</f>
        <v>0</v>
      </c>
      <c r="GY24" s="259" t="str">
        <f ca="1">IF(AND(IFERROR(INDEX($GN$3:$GX$200,MATCH(ROWS($GY$3:GY24),$GX$3:$GX$200,0),1),"")&lt;&gt;"",GY25&lt;&gt;""),CONCATENATE(IFERROR(INDEX($GN$3:$GX$200,MATCH(ROWS($GY$3:GY24),$GX$3:$GX$200,0),1),"")," - "),IFERROR(INDEX($GN$3:$GX$200,MATCH(ROWS($GY$3:GY24),$GX$3:$GX$200,0),1),""))</f>
        <v/>
      </c>
      <c r="GZ24" s="259" t="s">
        <v>496</v>
      </c>
      <c r="HA24" s="259" t="s">
        <v>497</v>
      </c>
      <c r="HB24" s="269" t="s">
        <v>256</v>
      </c>
      <c r="HC24" s="269" t="s">
        <v>211</v>
      </c>
      <c r="HD24" s="269" t="s">
        <v>266</v>
      </c>
      <c r="HE24" s="269" t="s">
        <v>212</v>
      </c>
      <c r="HL24" s="259" t="str">
        <f t="shared" ca="1" si="29"/>
        <v/>
      </c>
      <c r="HM24" s="259" t="str">
        <f t="shared" ca="1" si="30"/>
        <v/>
      </c>
      <c r="HN24" s="259" t="str">
        <f t="shared" ca="1" si="31"/>
        <v/>
      </c>
      <c r="HO24" s="259">
        <f ca="1">IF(HL24&lt;&gt;"",MAX($HO$2:HO23)+1,0)</f>
        <v>0</v>
      </c>
      <c r="HP24" s="259">
        <f ca="1">IF(HM24&lt;&gt;"",MAX($HP$2:HP23)+1,0)</f>
        <v>0</v>
      </c>
      <c r="HQ24" s="259">
        <f ca="1">IF(HN24&lt;&gt;"",MAX($HQ$2:HQ23)+1,0)</f>
        <v>0</v>
      </c>
      <c r="HR24" s="259" t="str">
        <f t="shared" ca="1" si="107"/>
        <v/>
      </c>
      <c r="HS24" s="259" t="str">
        <f t="shared" ca="1" si="108"/>
        <v/>
      </c>
      <c r="HT24" s="259">
        <f t="shared" ca="1" si="109"/>
        <v>0</v>
      </c>
      <c r="HU24" s="259">
        <f t="shared" ca="1" si="110"/>
        <v>0</v>
      </c>
      <c r="HV24" s="259" t="str">
        <f ca="1">CONCATENATE(IFERROR(INDEX($HS$3:$HT$102,MATCH(ROWS($HV$3:HV24),$HT$3:$HT$102,0),1),""),HR24)</f>
        <v/>
      </c>
      <c r="IB24" s="259" t="s">
        <v>407</v>
      </c>
      <c r="IC24" s="259">
        <f ca="1">IFERROR(INDEX(PIANO_DEI_CONTI,MATCH(ROWS(DL$3:DL24),$DK$3:DK251,0),2),0)</f>
        <v>0</v>
      </c>
      <c r="ID24" s="259">
        <f t="shared" ca="1" si="111"/>
        <v>0</v>
      </c>
      <c r="IE24" s="259">
        <f t="shared" ca="1" si="112"/>
        <v>0</v>
      </c>
      <c r="IF24" s="259">
        <f t="shared" ca="1" si="113"/>
        <v>0</v>
      </c>
      <c r="IG24" s="259">
        <f ca="1">ROUND(SUM(IG21:IG23),0)</f>
        <v>0</v>
      </c>
      <c r="IH24" s="259">
        <f ca="1">IF(OR(IG24&lt;&gt;0,IG21&lt;&gt;0),MAX($IH$19:IH23)+1,0)</f>
        <v>0</v>
      </c>
      <c r="II24" s="259">
        <f>IF(AD24="costi pluriennali",MAX($II$2:II23)+1,0)</f>
        <v>0</v>
      </c>
      <c r="IJ24" s="259">
        <f>IF($AD24="rettifiche costi pluriennali",MAX($IJ$2:IJ23)+1,0)</f>
        <v>10</v>
      </c>
      <c r="IK24" s="259">
        <f t="shared" si="114"/>
        <v>10</v>
      </c>
      <c r="IL24" s="259" t="str">
        <f t="shared" si="115"/>
        <v>FONDO AMMORT. AUTOMEZZI</v>
      </c>
      <c r="IM24" s="259">
        <f t="shared" ca="1" si="116"/>
        <v>0</v>
      </c>
      <c r="IN24" s="259">
        <f t="shared" ca="1" si="141"/>
        <v>0</v>
      </c>
      <c r="IO24" s="259">
        <f>SUMIFS($IM$3:$IM$200,$IK$3:$IK$200,ROWS($IO$3:IO24))-SUMIFS($IN$3:$IN$200,$IK$3:$IK$200,ROWS($IO$3:IO24))</f>
        <v>0</v>
      </c>
      <c r="IP24" s="259" t="str">
        <f>IF(IO24&lt;0,INDEX($IJ$3:$IL$200,MATCH(ROWS($IP$3:IP24),$IJ$3:$IJ$200,0),3),"")</f>
        <v/>
      </c>
      <c r="IQ24" s="259">
        <f>IF(IP24&lt;&gt;"",MAX($IQ$2:IQ23)+1,0)</f>
        <v>0</v>
      </c>
      <c r="IR24" s="259" t="str">
        <f ca="1">IFERROR(INDEX($IP$3:$IQ$200,MATCH(ROWS($IR$3:IR24),$IQ$3:$IQ$200,0),1),"")</f>
        <v/>
      </c>
      <c r="IS24" s="259" t="str">
        <f t="shared" ca="1" si="117"/>
        <v/>
      </c>
      <c r="IT24" s="259" t="str">
        <f t="shared" ca="1" si="118"/>
        <v/>
      </c>
      <c r="IU24" s="259" t="str">
        <f t="shared" ca="1" si="119"/>
        <v/>
      </c>
      <c r="IV24" s="259" t="str">
        <f t="shared" ca="1" si="120"/>
        <v/>
      </c>
      <c r="IW24" s="259" t="str">
        <f t="shared" ca="1" si="121"/>
        <v/>
      </c>
      <c r="IX24" s="259" t="str">
        <f t="shared" ca="1" si="122"/>
        <v/>
      </c>
      <c r="IY24" s="259" t="str">
        <f t="shared" ca="1" si="123"/>
        <v/>
      </c>
      <c r="IZ24" s="259" t="str">
        <f t="shared" ca="1" si="124"/>
        <v/>
      </c>
      <c r="JA24" s="259" t="str">
        <f t="shared" ca="1" si="125"/>
        <v/>
      </c>
      <c r="JB24" s="259">
        <f t="shared" ca="1" si="32"/>
        <v>0</v>
      </c>
      <c r="JC24" s="259">
        <f t="shared" ca="1" si="126"/>
        <v>0</v>
      </c>
      <c r="JE24" s="259">
        <f ca="1">IFERROR(INDEX(LIBRO_GIORNALE!$N$11:$O$408,MATCH(ROWS($JE$2:JE23),LIBRO_GIORNALE!$O$11:$O$408,0),1),0)</f>
        <v>0</v>
      </c>
      <c r="JF24" s="259" t="str">
        <f t="shared" ca="1" si="127"/>
        <v>0</v>
      </c>
      <c r="JG24" s="259">
        <f t="shared" ca="1" si="128"/>
        <v>0</v>
      </c>
      <c r="JH24" s="259">
        <f ca="1">IF(JJ24&gt;0,0,MAX($JH$2:JH23)+1)</f>
        <v>22</v>
      </c>
      <c r="JI24" s="259">
        <f ca="1">IF(JG24&gt;0,MAX($JI$2:JI23)+1,0)</f>
        <v>0</v>
      </c>
      <c r="JJ24" s="259">
        <f ca="1">IFERROR(INDEX($JG$3:$JI$124,MATCH(ROWS($JJ$3:JJ24),$JI$3:$JI$124,0),1),0)</f>
        <v>0</v>
      </c>
      <c r="JK24" s="259">
        <f t="shared" ca="1" si="129"/>
        <v>0</v>
      </c>
      <c r="JL24" s="259">
        <f t="shared" ca="1" si="130"/>
        <v>22</v>
      </c>
      <c r="JM24" s="259">
        <v>21</v>
      </c>
    </row>
    <row r="25" spans="1:273">
      <c r="A25" s="259" t="str">
        <f t="shared" si="33"/>
        <v>02.16</v>
      </c>
      <c r="B25" s="259" t="str">
        <f t="shared" si="34"/>
        <v>FONDO AMMORT. ARREDAMENTO</v>
      </c>
      <c r="C25" s="259" t="str">
        <f t="shared" si="35"/>
        <v>E</v>
      </c>
      <c r="D25" s="259" t="str">
        <f t="shared" si="36"/>
        <v>A</v>
      </c>
      <c r="E25" s="259" t="str">
        <f t="shared" si="37"/>
        <v>RETTIFICHE COSTI PLURIENNALI</v>
      </c>
      <c r="F25" s="259" t="str">
        <f t="shared" si="38"/>
        <v>SP AVERE</v>
      </c>
      <c r="G25" s="259">
        <f t="shared" ca="1" si="39"/>
        <v>0</v>
      </c>
      <c r="H25" s="259">
        <f t="shared" ca="1" si="40"/>
        <v>1</v>
      </c>
      <c r="I25" s="259">
        <f t="shared" ca="1" si="41"/>
        <v>1</v>
      </c>
      <c r="J25" s="259">
        <v>22</v>
      </c>
      <c r="K25" s="259" t="str">
        <f ca="1">IFERROR(IF($I$1=1,INDEX($AA$3:$AS$220,MATCH(ROWS($K$3:K25),$AQ$3:$AQ$220,0),1),IF($I$1=2,INDEX($AA$3:$AS$220,MATCH(ROWS($K$3:K25),$AR$3:$AR$220,0),1),IF($I$1=3,INDEX($AA$3:$AS$220,MATCH(ROWS($K$3:K25),$AS$3:$AS$220,0),1),""))),"")</f>
        <v>FONDO AMMORT. IMBALLAGGI DUREVOLI</v>
      </c>
      <c r="L25" s="259">
        <f ca="1">IF(AND($L$1="VISUALIZZA TUTTI I CONTI",K25&lt;&gt;""),MAX(L24:L24)+1,IFERROR(IF($J$1=1,IF(INDEX(PIANO_DEI_CONTI,MATCH($K25,DENOMINAZIONE,0),5)=$L$1,MAX($L$2:L24)+1,0),IF($J$1=2,IF(INDEX(PIANO_DEI_CONTI,MATCH($K25,DENOMINAZIONE,0),7)=$L$1,MAX($L$2:L24)+1,0))),0))</f>
        <v>23</v>
      </c>
      <c r="M25" s="259" t="str">
        <f ca="1">IFERROR(INDEX($K$3:$K$220,MATCH(ROWS($M$3:M25),$L$3:$L$220,0),1),"")</f>
        <v>FONDO AMMORT. IMBALLAGGI DUREVOLI</v>
      </c>
      <c r="N25" s="259" t="str">
        <f t="shared" si="143"/>
        <v>DISPONIBILITÀ LIQUIDE</v>
      </c>
      <c r="O25" s="259" t="str">
        <f t="shared" ca="1" si="142"/>
        <v>DISPONIBILITÀ LIQUIDE</v>
      </c>
      <c r="P25" s="259">
        <f ca="1">IF(AND(N25=O25,O25&lt;&gt;""),MAX(P$2:P24)+1,0)</f>
        <v>8</v>
      </c>
      <c r="Q25" s="259" t="str">
        <f ca="1">IF(IFERROR(INDEX($O$3:$P$220,MATCH(ROWS(Q$3:Q25),$P$3:$P$220,0),1),"")=0,"",IFERROR(INDEX($O$3:$P$220,MATCH(ROWS(Q$3:Q25),$P$3:$P$220,0),1),""))</f>
        <v>COSTI PER IL PERSONALE</v>
      </c>
      <c r="R25" s="259" t="str">
        <f t="shared" si="1"/>
        <v/>
      </c>
      <c r="S25" s="259">
        <f ca="1">IF(IFERROR(MATCH(R25,DENOMINAZIONE_GIORNALE,0),0)&gt;0,MAX(S$2:S24)+1,0)</f>
        <v>0</v>
      </c>
      <c r="T25" s="259" t="str">
        <f ca="1">IFERROR(INDEX($R$3:$S$220,MATCH(ROWS($T$3:T25),$S$3:$S$220,0),1),"")</f>
        <v/>
      </c>
      <c r="U25" s="259">
        <f t="shared" ca="1" si="2"/>
        <v>0</v>
      </c>
      <c r="V25" s="259">
        <f ca="1">IF(IF(U25&lt;&gt;0,MAX($V$2:V24)+1,0)=0,0,IF(U25&lt;&gt;0,MAX($V$2:V24)+1,0))</f>
        <v>0</v>
      </c>
      <c r="W25" s="259" t="str">
        <f t="shared" si="43"/>
        <v>02.16</v>
      </c>
      <c r="X25" s="259" t="str">
        <f t="shared" si="44"/>
        <v>FONDO AMMORT. ARREDAMENTO</v>
      </c>
      <c r="Y25" s="259">
        <f>IF(W25="",0,MAX($Y$2:Y24)+1)</f>
        <v>21</v>
      </c>
      <c r="Z25" s="259" t="str">
        <f>IFERROR(INDEX($W$3:$Y$220,MATCH(ROWS($Z$2:Z24),$Y$3:$Y$220,0),1),"")</f>
        <v>02.18</v>
      </c>
      <c r="AA25" s="259" t="str">
        <f t="shared" si="45"/>
        <v>FONDO AMMORT. IMBALLAGGI DUREVOLI</v>
      </c>
      <c r="AB25" s="259" t="str">
        <f t="shared" si="46"/>
        <v>E</v>
      </c>
      <c r="AC25" s="259" t="str">
        <f t="shared" si="47"/>
        <v>A</v>
      </c>
      <c r="AD25" s="259" t="str">
        <f t="shared" si="48"/>
        <v>RETTIFICHE COSTI PLURIENNALI</v>
      </c>
      <c r="AE25" s="259" t="str">
        <f t="shared" si="49"/>
        <v>SP AVERE</v>
      </c>
      <c r="AF25" s="259" t="str">
        <f t="shared" si="50"/>
        <v>IMMOBILIZZAZIONI MATERIALI</v>
      </c>
      <c r="AG25" s="259">
        <f t="shared" ca="1" si="51"/>
        <v>0</v>
      </c>
      <c r="AH25" s="259">
        <f t="shared" ca="1" si="52"/>
        <v>1</v>
      </c>
      <c r="AI25" s="259">
        <f t="shared" ca="1" si="53"/>
        <v>1</v>
      </c>
      <c r="AJ25" s="259" t="str">
        <f t="shared" si="54"/>
        <v>02</v>
      </c>
      <c r="AK25" s="259" t="str">
        <f t="shared" si="55"/>
        <v/>
      </c>
      <c r="AL25" s="259">
        <f>IF(AK25&lt;&gt;"",MAX($AL$2:AL24)+1,0)</f>
        <v>0</v>
      </c>
      <c r="AM25" s="259" t="str">
        <f>IFERROR(INDEX($AK$3:$AL$220,MATCH(ROWS($AM$3:AM25),$AL$3:$AL$220,0),1),"")</f>
        <v>34</v>
      </c>
      <c r="AN25" s="259" t="str">
        <f t="shared" si="56"/>
        <v>34.00</v>
      </c>
      <c r="AO25" s="259" t="str">
        <f t="shared" si="57"/>
        <v>AMMORTAMENTI IMMOBILIZZAZIONI IMMATERIALI</v>
      </c>
      <c r="AP25" s="259" t="str">
        <f t="shared" si="58"/>
        <v>IMMOBILIZZAZIONI MATERIALI</v>
      </c>
      <c r="AQ25" s="259">
        <f ca="1">IF(OR(AG25=0,AG25=""),0,MAX(AQ$2:AQ24)+1)</f>
        <v>0</v>
      </c>
      <c r="AR25" s="259">
        <f ca="1">IF(OR(AH25=0,AH25=""),0,MAX(AR$2:AR24)+1)</f>
        <v>20</v>
      </c>
      <c r="AS25" s="259">
        <f ca="1">IF(OR(AI25=0,AI25=""),0,MAX(AS$2:AS24)+1)</f>
        <v>23</v>
      </c>
      <c r="AT25" s="259" t="str">
        <f ca="1">IFERROR(INDEX($AD$3:$AS$220,MATCH(ROWS(AT$3:AT25),AQ$3:AQ$220,0),1),"")</f>
        <v>CREDITI</v>
      </c>
      <c r="AU25" s="259" t="str">
        <f ca="1">IFERROR(INDEX($AD$3:$AS$220,MATCH(ROWS(AU$3:AU25),AR$3:AR$220,0),1),"")</f>
        <v>COSTI SOSPESI</v>
      </c>
      <c r="AV25" s="259" t="str">
        <f ca="1">IFERROR(INDEX($AD$3:$AS$220,MATCH(ROWS(AV$3:AV25),AS$3:AS$220,0),1),"")</f>
        <v>RETTIFICHE COSTI PLURIENNALI</v>
      </c>
      <c r="AW25" s="259" t="str">
        <f ca="1">IFERROR(INDEX($AP$3:$AS$220,MATCH(ROWS(AW$3:AW25),AQ$3:AQ$220,0),1),"")</f>
        <v>CREDITI COMMERCIALI</v>
      </c>
      <c r="AX25" s="259" t="str">
        <f ca="1">IFERROR(INDEX($AP$3:$AS$220,MATCH(ROWS(AX$3:AX25),AR$3:AR$220,0),1),"")</f>
        <v>RIMANENZE</v>
      </c>
      <c r="AY25" s="259" t="str">
        <f ca="1">IFERROR(INDEX($AP$3:$AS$220,MATCH(ROWS(AY$3:AY25),AS$3:AS$220,0),1),"")</f>
        <v>IMMOBILIZZAZIONI MATERIALI</v>
      </c>
      <c r="AZ25" s="276" t="str">
        <f t="shared" ca="1" si="59"/>
        <v/>
      </c>
      <c r="BA25" s="259">
        <f t="shared" ca="1" si="3"/>
        <v>0</v>
      </c>
      <c r="BB25" s="259">
        <f ca="1">IFERROR(INDEX($FG$3:$FL$400,MATCH(ROWS($BB$3:BB25),$FL$3:$FL$400,0),1),0)</f>
        <v>0</v>
      </c>
      <c r="BC25" s="259" t="str">
        <f t="shared" ca="1" si="60"/>
        <v/>
      </c>
      <c r="BD25" s="259">
        <f ca="1">IFERROR(INDEX($FG$3:$FL$400,MATCH(ROWS($BD$3:BD25),$FL$3:$FL$400,0),4),0)</f>
        <v>0</v>
      </c>
      <c r="BE25" s="259">
        <f ca="1">IFERROR(INDEX($FG$3:$FL$400,MATCH(ROWS($BE$3:BE25),$FL$3:$FL$400,0),5),0)</f>
        <v>0</v>
      </c>
      <c r="BG25" s="259" t="str">
        <f t="shared" si="4"/>
        <v>FONDO AMMORT. IMBALLAGGI DUREVOLI</v>
      </c>
      <c r="BH25" s="259">
        <f ca="1">IF(IFERROR(MATCH(BG25,DENOMINAZIONE_GIORNALE,0),0)&gt;0,MAX(BH$2:BH24)+1,0)</f>
        <v>0</v>
      </c>
      <c r="BI25" s="259" t="str">
        <f ca="1">IFERROR(INDEX($BG$3:$BH$220,MATCH(ROWS($BI$3:BI25),$BH$3:$BH$220,0),1),"")</f>
        <v/>
      </c>
      <c r="BJ25" s="259" t="str">
        <f t="shared" ca="1" si="5"/>
        <v/>
      </c>
      <c r="BK25" s="259" t="str">
        <f ca="1">IF(IF(BJ25&lt;&gt;"",MAX($BK$2:BK24)+1,0)=0,"",IF(BJ25&lt;&gt;"",MAX($BK$2:BK24)+1,0))</f>
        <v/>
      </c>
      <c r="BL25" s="259" t="str">
        <f ca="1">IFERROR(INDEX($T$3:$U$220, MATCH(ROWS(BL$3:BL25),$V$3:$V$220,0),1),"")</f>
        <v/>
      </c>
      <c r="BM25" s="259" t="str">
        <f ca="1">IFERROR(INDEX($T$3:$U$220, MATCH(ROWS(BM$3:BM25),$V$3:$V$220,0),2),"")</f>
        <v/>
      </c>
      <c r="BN25" s="259" t="str">
        <f ca="1">IF(IFERROR(INDEX($BI$3:$BJ$220,MATCH(ROWS(BN$3:BN25),$BK$3:$BK$220,0),1),"")="PATRIMONIO NETTO","",IFERROR(INDEX($BI$3:$BJ$220,MATCH(ROWS(BN$3:BN25),$BK$3:$BK$220,0),1),""))</f>
        <v/>
      </c>
      <c r="BO25" s="259" t="str">
        <f ca="1">IFERROR(INDEX($BI$3:$BJ$220,MATCH(ROWS(BO$3:BO25),$BK$3:$BK$220,0),2),"")</f>
        <v/>
      </c>
      <c r="BP25" s="259">
        <f ca="1">IF(BN25&lt;&gt;"",MAX(BP$2:$BP24)+1,0)</f>
        <v>0</v>
      </c>
      <c r="BQ25" s="259" t="str">
        <f ca="1">IFERROR(INDEX($BN$3:$BO$200,MATCH(ROWS(BQ$3:BQ25),$BP$3:$BP$220,0),1),"")</f>
        <v/>
      </c>
      <c r="BR25" s="259" t="str">
        <f ca="1">IFERROR(INDEX($BN$3:$BO$220,MATCH(ROWS(BR$3:BR25),$BP$3:$BP$220,0),2),"")</f>
        <v/>
      </c>
      <c r="BS25" s="259" t="str">
        <f ca="1">IFERROR(IF(OR(INDEX($T$3:$U$220,MATCH(ROWS(BL$3:BL25),$V$3:$V$220,0),1)="PRELEVAMENTI EXTRAGESTIONE",INDEX($T$3:$U$220,MATCH(ROWS(BL$3:BL25),$V$3:$V$220,0),1)="TITOLARE C/RITENUTE SUBITE"),"",INDEX($T$3:$U$220,MATCH(ROWS(BL$3:BL25),$V$3:$V$220,0),1)),"")</f>
        <v/>
      </c>
      <c r="BT25" s="259">
        <f t="shared" ca="1" si="61"/>
        <v>0</v>
      </c>
      <c r="BU25" s="259">
        <f ca="1">IF(BS25&lt;&gt;"",MAX(BU$2:BU24)+1,0)</f>
        <v>0</v>
      </c>
      <c r="BV25" s="259" t="str">
        <f ca="1">IFERROR(INDEX($BS$3:$BT$223,MATCH(ROWS(BV$3:BV25),$BU$3:$BU$223,0),1),"")</f>
        <v/>
      </c>
      <c r="BW25" s="259">
        <f t="shared" ca="1" si="62"/>
        <v>0</v>
      </c>
      <c r="BX25" s="259" t="str">
        <f t="shared" ca="1" si="63"/>
        <v/>
      </c>
      <c r="BY25" s="259" t="str">
        <f t="shared" ca="1" si="64"/>
        <v/>
      </c>
      <c r="BZ25" s="259" t="str">
        <f ca="1">IFERROR(IF(OR($DS$231&lt;&gt;$DT$231,$DU$231&lt;&gt;$DV$231,$EO$25&lt;&gt;0,$EO$26&lt;&gt;0),INDEX($T$3:$V$220,MATCH(ROWS($BV$3:BV25),$V$3:$V$220,0),1),CONCATENATE(BV25,BY25)),"")</f>
        <v/>
      </c>
      <c r="CA25" s="259">
        <f t="shared" ca="1" si="65"/>
        <v>0</v>
      </c>
      <c r="CB25" s="259" t="str">
        <f ca="1">IFERROR(IF(OR($BB$1&lt;&gt;$BD$1,$BC$1&lt;&gt;$BE$1,$DS$231&lt;&gt;$DT$231,$DU$231&lt;&gt;$DV$231,$EO$25&lt;&gt;0,$EO$26&lt;&gt;0),INDEX($BI$3:$BK$220,MATCH(ROWS($CB$3:CB25),$BK$3:$BK$220,0),1),CONCATENATE(BQ25,BX25)),"")</f>
        <v/>
      </c>
      <c r="CC25" s="259" t="str">
        <f t="shared" ca="1" si="66"/>
        <v/>
      </c>
      <c r="CD25" s="259" t="str">
        <f t="shared" si="6"/>
        <v/>
      </c>
      <c r="CE25" s="259">
        <f ca="1">IF(IFERROR(MATCH(CD25,DENOMINAZIONE_GIORNALE,0),0)&gt;0,MAX(CE$2:CE24)+1,0)</f>
        <v>0</v>
      </c>
      <c r="CF25" s="259" t="str">
        <f ca="1">IFERROR(INDEX($CD$3:$CE$220,MATCH(ROWS($CF$3:CF25),$CE$3:$CE$220,0),1),"")</f>
        <v/>
      </c>
      <c r="CG25" s="259">
        <f t="shared" ca="1" si="7"/>
        <v>0</v>
      </c>
      <c r="CH25" s="259" t="str">
        <f ca="1">IF(IF(CG25&lt;&gt;0,MAX($CH$2:CH24)+1,0)=0,"",IF(CG25&lt;&gt;"",MAX($CH$2:CH24)+1,0))</f>
        <v/>
      </c>
      <c r="CI25" s="259" t="str">
        <f ca="1">IFERROR(INDEX($CF$3:$CG$220,MATCH(ROWS($CI$3:CI25),$CH$3:$CH$220,0),1),"")</f>
        <v/>
      </c>
      <c r="CJ25" s="259" t="str">
        <f t="shared" ca="1" si="67"/>
        <v/>
      </c>
      <c r="CK25" s="259" t="str">
        <f t="shared" si="8"/>
        <v/>
      </c>
      <c r="CL25" s="259">
        <f ca="1">IF(IFERROR(MATCH(CK25,DENOMINAZIONE_GIORNALE,0),0)&gt;0,MAX(CL$2:CL24)+1,0)</f>
        <v>0</v>
      </c>
      <c r="CM25" s="259" t="str">
        <f ca="1">IFERROR(INDEX($CK$3:$CL$220,MATCH(ROWS($CM$3:CM25),$CL$3:$CL$220,0),1),"")</f>
        <v/>
      </c>
      <c r="CN25" s="259" t="str">
        <f t="shared" ca="1" si="9"/>
        <v/>
      </c>
      <c r="CO25" s="259">
        <f ca="1">IF(IF(CN25&lt;&gt;0,MAX($CO$2:CO24)+1,0)=0,"",IF(CN25&lt;&gt;"",MAX($CO$2:CO24)+1,0))</f>
        <v>0</v>
      </c>
      <c r="CP25" s="259" t="str">
        <f ca="1">IFERROR(INDEX($CM$3:$CN$220,MATCH(ROWS(CP$3:CP25),$CO$3:$CO$220,0),1),"")</f>
        <v/>
      </c>
      <c r="CQ25" s="259" t="str">
        <f ca="1">IFERROR(INDEX($CM$3:$CN$220,MATCH(ROWS(CQ$3:CQ25),$CO$3:$CO$220,0),2),"")</f>
        <v/>
      </c>
      <c r="CR25" s="259" t="str">
        <f t="shared" ca="1" si="10"/>
        <v/>
      </c>
      <c r="CS25" s="259">
        <f t="shared" ca="1" si="11"/>
        <v>0</v>
      </c>
      <c r="CT25" s="259">
        <f t="shared" ca="1" si="12"/>
        <v>0</v>
      </c>
      <c r="CU25" s="259">
        <f ca="1">IF(OR(CS25&gt;0,CT25&gt;0),MAX($CU$2:CU24)+1,0)</f>
        <v>0</v>
      </c>
      <c r="CV25" s="259" t="str">
        <f ca="1">IFERROR(INDEX(PIANO_DEI_CONTI,MATCH(ROWS($CV$3:CV25),$CU$3:$CU$200,0),2),"")</f>
        <v/>
      </c>
      <c r="CW25" s="259">
        <f ca="1">IFERROR(IF(CV25&lt;&gt;"",MAX($CW$2:CW24)+1,0),0)</f>
        <v>0</v>
      </c>
      <c r="CX25" s="259">
        <f t="shared" ca="1" si="145"/>
        <v>2</v>
      </c>
      <c r="CY25" s="259" t="str">
        <f t="shared" ca="1" si="144"/>
        <v>MASTRO</v>
      </c>
      <c r="CZ25" s="259" t="e">
        <f t="shared" ca="1" si="147"/>
        <v>#N/A</v>
      </c>
      <c r="DA25" s="259" t="str">
        <f t="shared" ca="1" si="152"/>
        <v/>
      </c>
      <c r="DB25" s="259" t="str">
        <f t="shared" ca="1" si="148"/>
        <v/>
      </c>
      <c r="DC25" s="259" t="str">
        <f t="shared" ca="1" si="149"/>
        <v/>
      </c>
      <c r="DD25" s="259" t="str">
        <f t="shared" ca="1" si="150"/>
        <v/>
      </c>
      <c r="DE25" s="259" t="str">
        <f t="shared" ca="1" si="151"/>
        <v/>
      </c>
      <c r="DF25" s="259">
        <f ca="1">IF(AND(CX25=$DE$2,$DF$2&lt;&gt;0),0,IF(AND(DB25&lt;&gt;"",OR(DB24&lt;&gt;"",DB26&lt;&gt;"")),MAX($DF$2:DF24)+1,0))</f>
        <v>0</v>
      </c>
      <c r="DG25" s="259" t="str">
        <f>IF(OR(VALORI_INIZIALI!E30="",AND(VALORI_INIZIALI!E30&lt;&gt;"",VALORI_INIZIALI!H30=0,VALORI_INIZIALI!I30=0)),"",IFERROR(INDEX(PIANO_DEI_CONTI,MATCH(BB25,DENOMINAZIONE,0),1),0))</f>
        <v/>
      </c>
      <c r="DH25" s="259">
        <f ca="1">IFERROR(IF($J$1=1,IF(INDEX(PIANO_DEI_CONTI,MATCH($K25,DENOMINAZIONE,0),5)=$DF$1,MAX($DH$2:DH24)+1,0),IF($J$1=2,IF(INDEX(PIANO_DEI_CONTI,MATCH($K25,DENOMINAZIONE,0),7)=$DF$1,MAX($DH$2:DH24)+1,0))),0)</f>
        <v>0</v>
      </c>
      <c r="DI25" s="259">
        <f ca="1">IFERROR(INDEX($K$3:$K$220,MATCH(ROWS($DI$3:DI25),$DH$3:$DH$220,0),1),0)</f>
        <v>0</v>
      </c>
      <c r="DJ25" s="259">
        <f t="shared" ca="1" si="14"/>
        <v>0</v>
      </c>
      <c r="DK25" s="259">
        <f ca="1">IF(DJ25=0,0,MAX(DK$2:DK24)+1)</f>
        <v>0</v>
      </c>
      <c r="DL25" s="259">
        <f ca="1">IFERROR(INDEX(PIANO_DEI_CONTI,MATCH(ROWS(DL$3:DL25),$DK$3:DK252,0),2),0)</f>
        <v>0</v>
      </c>
      <c r="DM25" s="259">
        <f t="shared" ca="1" si="15"/>
        <v>0</v>
      </c>
      <c r="DN25" s="259">
        <f t="shared" ca="1" si="16"/>
        <v>0</v>
      </c>
      <c r="DO25" s="259">
        <f t="shared" ca="1" si="69"/>
        <v>0</v>
      </c>
      <c r="DP25" s="259">
        <f t="shared" ca="1" si="70"/>
        <v>0</v>
      </c>
      <c r="DQ25" s="259">
        <f ca="1">IF(OR($DQ$1="TOTALI",$DQ$1="TOTALI ED ECCEDENZE"),IF(OR(DM25&gt;0,DN25&gt;0),MAX(DQ$2:DQ24)+1,0),IF($DQ$1="ECCEDENZE",IF(OR(DO25&gt;0,DP25&gt;0),MAX(DQ$2:DQ24)+1,0),""))</f>
        <v>0</v>
      </c>
      <c r="DR25" s="259" t="str">
        <f ca="1">IFERROR(INDEX($DL$3:$DQ$230,MATCH(ROWS(DR$3:DR25),$DQ$3:$DQ$230,0),1),"")</f>
        <v/>
      </c>
      <c r="DS25" s="259" t="str">
        <f t="shared" ca="1" si="71"/>
        <v/>
      </c>
      <c r="DT25" s="259" t="str">
        <f t="shared" ca="1" si="72"/>
        <v/>
      </c>
      <c r="DU25" s="259" t="str">
        <f t="shared" ca="1" si="73"/>
        <v/>
      </c>
      <c r="DV25" s="259" t="str">
        <f t="shared" ca="1" si="74"/>
        <v/>
      </c>
      <c r="DW25" s="259">
        <f t="shared" ca="1" si="75"/>
        <v>0</v>
      </c>
      <c r="DX25" s="259" t="str">
        <f t="shared" ca="1" si="76"/>
        <v/>
      </c>
      <c r="DY25" s="259" t="str">
        <f t="shared" ca="1" si="77"/>
        <v/>
      </c>
      <c r="DZ25" s="259" t="str">
        <f t="shared" ca="1" si="78"/>
        <v/>
      </c>
      <c r="EA25" s="259">
        <f t="shared" ca="1" si="79"/>
        <v>23</v>
      </c>
      <c r="EB25" s="259" t="s">
        <v>349</v>
      </c>
      <c r="ED25" s="259">
        <f t="shared" ca="1" si="17"/>
        <v>0</v>
      </c>
      <c r="EE25" s="259" t="str">
        <f t="shared" ca="1" si="18"/>
        <v/>
      </c>
      <c r="EF25" s="259" t="str">
        <f t="shared" ca="1" si="19"/>
        <v/>
      </c>
      <c r="EG25" s="259" t="str">
        <f t="shared" ca="1" si="136"/>
        <v/>
      </c>
      <c r="EH25" s="259" t="str">
        <f t="shared" ca="1" si="80"/>
        <v/>
      </c>
      <c r="EI25" s="260" t="b">
        <f t="shared" ca="1" si="137"/>
        <v>0</v>
      </c>
      <c r="EJ25" s="260" t="b">
        <f t="shared" ca="1" si="138"/>
        <v>1</v>
      </c>
      <c r="EK25" s="260" t="b">
        <f t="shared" ca="1" si="139"/>
        <v>1</v>
      </c>
      <c r="EL25" s="259">
        <f t="shared" si="81"/>
        <v>23</v>
      </c>
      <c r="EM25" s="259">
        <f ca="1">IF(AND(BA25&gt;0,BA25&lt;=$EM$1),MAX($EM$2:EM24)+1,0)</f>
        <v>0</v>
      </c>
      <c r="EN25" s="259">
        <f t="shared" ca="1" si="82"/>
        <v>25</v>
      </c>
      <c r="EO25" s="277"/>
      <c r="EP25" s="259" t="str">
        <f t="shared" ca="1" si="20"/>
        <v/>
      </c>
      <c r="EQ25" s="259">
        <f t="shared" ca="1" si="21"/>
        <v>0</v>
      </c>
      <c r="ER25" s="259">
        <f ca="1">IF(ISNA(EQ25),MAX(ER$2:ER24)+1,0)</f>
        <v>0</v>
      </c>
      <c r="ES25" s="259" t="str">
        <f t="shared" ca="1" si="83"/>
        <v/>
      </c>
      <c r="ET25" s="259" t="str">
        <f ca="1">IFERROR(UPPER(INDEX($ER$3:$ES$500,MATCH(ROWS(ET$3:ET25),$ER$3:$ER$500,0),2)),"")</f>
        <v/>
      </c>
      <c r="EW25" s="259" t="str">
        <f ca="1">IF(AND(IFERROR(INDEX($EU$3:$EV$30,MATCH(ROWS($EX$3:EX25),$EV$3:$EV$30,0),1),"")&lt;&gt;"",EW26&lt;&gt;""),CONCATENATE(IFERROR(INDEX($EU$3:$EV$30,MATCH(ROWS($EX$3:EX25),$EV$3:$EV$30,0),1),"")," - "),IFERROR(INDEX($EU$3:$EV$30,MATCH(ROWS($EX$3:EX25),$EV$3:$EV$30,0),1),""))</f>
        <v/>
      </c>
      <c r="EY25" s="259">
        <f t="shared" ca="1" si="84"/>
        <v>0</v>
      </c>
      <c r="EZ25" s="259">
        <f t="shared" ca="1" si="84"/>
        <v>0</v>
      </c>
      <c r="FA25" s="259" t="str">
        <f t="shared" ca="1" si="85"/>
        <v/>
      </c>
      <c r="FB25" s="259">
        <f t="shared" ca="1" si="86"/>
        <v>0</v>
      </c>
      <c r="FC25" s="259">
        <f t="shared" ca="1" si="87"/>
        <v>0</v>
      </c>
      <c r="FD25" s="259">
        <f t="shared" ca="1" si="22"/>
        <v>0</v>
      </c>
      <c r="FE25" s="259" t="str">
        <f t="shared" ca="1" si="23"/>
        <v/>
      </c>
      <c r="FF25" s="259" t="str">
        <f t="shared" ca="1" si="88"/>
        <v/>
      </c>
      <c r="FG25" s="259" t="str">
        <f t="shared" si="89"/>
        <v>FONDO AMMORT. IMBALLAGGI DUREVOLI</v>
      </c>
      <c r="FH25" s="259">
        <f t="shared" ca="1" si="24"/>
        <v>0</v>
      </c>
      <c r="FI25" s="259">
        <f t="shared" ca="1" si="25"/>
        <v>0</v>
      </c>
      <c r="FJ25" s="259">
        <f t="shared" ca="1" si="90"/>
        <v>0</v>
      </c>
      <c r="FK25" s="259">
        <f t="shared" ca="1" si="91"/>
        <v>0</v>
      </c>
      <c r="FL25" s="259">
        <f ca="1">IF(OR(FJ25&gt;0,FK25&gt;0),MAX($FL$2:FL24)+1,0)</f>
        <v>0</v>
      </c>
      <c r="FM25" s="259">
        <f t="shared" ca="1" si="26"/>
        <v>0</v>
      </c>
      <c r="FN25" s="259">
        <f ca="1">IF(FM25&lt;0,MAX($FN$2:FN24)+1,0)</f>
        <v>0</v>
      </c>
      <c r="FO25" s="259" t="str">
        <f t="shared" ca="1" si="92"/>
        <v/>
      </c>
      <c r="FP25" s="259" t="str">
        <f ca="1">IFERROR(INDEX($FN$3:$FO$400,MATCH(ROWS($FP$3:FP25),$FN$3:$FN$400,0),2),"")</f>
        <v/>
      </c>
      <c r="FQ25" s="259" t="str">
        <f>IF(AE25="SE AVERE",MAX($FQ$2:FQ24)+1,"")</f>
        <v/>
      </c>
      <c r="FR25" s="259" t="str">
        <f>IF(AE25="SE DARE",MAX($FR$2:FR24)+1,"")</f>
        <v/>
      </c>
      <c r="FS25" s="259" t="str">
        <f ca="1">IF(AND(AE25="SP DARE",AA25&lt;&gt;$FS$1,AA25&lt;&gt;$FT$1),MAX($FS$2:FS24)+1,IF(AND(GQ25="SP DARE",AA25&lt;&gt;$FS$1,AA25&lt;&gt;$FT$1),MAX($FS$2:FS24)+1,""))</f>
        <v/>
      </c>
      <c r="FT25" s="259">
        <f ca="1">IF(AND(AE25="SP AVERE",AA25&lt;&gt;$FU$1),MAX($FT$2:FT24)+1,IF(AND(GQ25="SP AVERE",AA25&lt;&gt;$FU$1),MAX($FT$2:FT24)+1,""))</f>
        <v>142</v>
      </c>
      <c r="FU25" s="259">
        <f t="shared" ca="1" si="93"/>
        <v>142</v>
      </c>
      <c r="FV25" s="259" t="str">
        <f t="shared" si="94"/>
        <v>FONDO AMMORT. IMBALLAGGI DUREVOLI</v>
      </c>
      <c r="FW25" s="259" t="str">
        <f ca="1">IFERROR(INDEX($FU$3:$FV$500,MATCH(ROWS($FW$3:FW25),$FU$3:$FU$500,0),2),0)</f>
        <v>RIBASSI E ABBUONI PASSIVI</v>
      </c>
      <c r="FX25" s="259">
        <f t="shared" ca="1" si="95"/>
        <v>23</v>
      </c>
      <c r="FY25" s="259">
        <f t="shared" ca="1" si="96"/>
        <v>0</v>
      </c>
      <c r="FZ25" s="259">
        <f ca="1">IF(FY25&gt;0,MAX($FZ$2:FZ24)+1,0)</f>
        <v>0</v>
      </c>
      <c r="GA25" s="259">
        <f ca="1">IFERROR(INDEX($FY$3:$FZ$500,MATCH(ROWS($GA$3:GA25),$FZ$3:$FZ$500,0),1),0)</f>
        <v>0</v>
      </c>
      <c r="GC25" s="259">
        <f t="shared" ca="1" si="97"/>
        <v>23</v>
      </c>
      <c r="GD25" s="259" t="str">
        <f t="shared" ca="1" si="98"/>
        <v>RIBASSI E ABBUONI PASSIVI</v>
      </c>
      <c r="GG25" s="259">
        <f t="shared" ca="1" si="27"/>
        <v>0</v>
      </c>
      <c r="GH25" s="259">
        <f t="shared" ca="1" si="99"/>
        <v>0</v>
      </c>
      <c r="GI25" s="259">
        <f t="shared" ca="1" si="100"/>
        <v>0</v>
      </c>
      <c r="GJ25" s="259">
        <f t="shared" ca="1" si="101"/>
        <v>0</v>
      </c>
      <c r="GK25" s="259">
        <f t="shared" ca="1" si="102"/>
        <v>0</v>
      </c>
      <c r="GL25" s="259">
        <f t="shared" ca="1" si="103"/>
        <v>0</v>
      </c>
      <c r="GM25" s="259">
        <f ca="1">IF(OR(GK25&gt;0,GL25&gt;0),MAX($GM$2:GM24)+1,0)</f>
        <v>0</v>
      </c>
      <c r="GN25" s="259" t="str">
        <f ca="1">IFERROR(INDEX($GD$3:$GM$400,MATCH(ROWS($GN$3:GN25),$GM$3:$GM$400,0),1),"")</f>
        <v/>
      </c>
      <c r="GO25" s="259" t="str">
        <f ca="1">IFERROR(INDEX($GD$3:$GM$400,MATCH(ROWS($GO$3:GO25),$GM$3:$GM$400,0),8),"")</f>
        <v/>
      </c>
      <c r="GP25" s="259" t="str">
        <f ca="1">IFERROR(INDEX($GD$3:$GM$400,MATCH(ROWS($GP$3:GP25),$GM$3:$GM$400,0),9),"")</f>
        <v/>
      </c>
      <c r="GQ25" s="259">
        <f t="shared" ca="1" si="28"/>
        <v>0</v>
      </c>
      <c r="GR25" s="259">
        <f t="shared" ca="1" si="104"/>
        <v>0</v>
      </c>
      <c r="GS25" s="259" t="str">
        <f t="shared" si="105"/>
        <v>epilogo a Conto economico</v>
      </c>
      <c r="GT25" s="259" t="str">
        <f ca="1">IFERROR(INDEX($GD$3:$GS$400,MATCH(ROWS($GT$3:GT25),$GM$3:$GM$400,0),16),"")</f>
        <v/>
      </c>
      <c r="GU25" s="259">
        <f ca="1">IF(GQ25&lt;&gt;0,MAX($GU$2:$GU24)+1,0)</f>
        <v>0</v>
      </c>
      <c r="GV25" s="259">
        <f t="shared" ca="1" si="106"/>
        <v>0</v>
      </c>
      <c r="GW25" s="259" t="str">
        <f ca="1">IF(AND(IFERROR(INDEX($GU$3:$GV$400,MATCH(ROWS($GW$3:GW25),$GU$3:$GU$400,0),2),"")&lt;&gt;"",GW26&lt;&gt;""),CONCATENATE(IFERROR(INDEX($GU$3:$GV$400,MATCH(ROWS($GW$3:GW25),$GU$3:$GU$400,0),2),"")," - "),IFERROR(INDEX($GU$3:$GV$400,MATCH(ROWS($GW$3:GW25),$GU$3:$GU$400,0),2),""))</f>
        <v/>
      </c>
      <c r="GX25" s="259">
        <f ca="1">IF(OR(GN25="IVA NS/CREDITO",GN25="IVA NS/DEBITO",GN25="IVA C/ACCONTO",GN25="IMPOSTE C/ACCONTO"),MAX($GX$2:GX24)+1,0)</f>
        <v>0</v>
      </c>
      <c r="GY25" s="259" t="str">
        <f ca="1">IF(AND(IFERROR(INDEX($GN$3:$GX$200,MATCH(ROWS($GY$3:GY25),$GX$3:$GX$200,0),1),"")&lt;&gt;"",GY26&lt;&gt;""),CONCATENATE(IFERROR(INDEX($GN$3:$GX$200,MATCH(ROWS($GY$3:GY25),$GX$3:$GX$200,0),1),"")," - "),IFERROR(INDEX($GN$3:$GX$200,MATCH(ROWS($GY$3:GY25),$GX$3:$GX$200,0),1),""))</f>
        <v/>
      </c>
      <c r="GZ25" s="259" t="s">
        <v>498</v>
      </c>
      <c r="HA25" s="259" t="s">
        <v>499</v>
      </c>
      <c r="HB25" s="269" t="s">
        <v>256</v>
      </c>
      <c r="HC25" s="269" t="s">
        <v>211</v>
      </c>
      <c r="HD25" s="269" t="s">
        <v>266</v>
      </c>
      <c r="HE25" s="269" t="s">
        <v>212</v>
      </c>
      <c r="HG25" s="270"/>
      <c r="HL25" s="259" t="str">
        <f t="shared" ca="1" si="29"/>
        <v/>
      </c>
      <c r="HM25" s="259" t="str">
        <f t="shared" ca="1" si="30"/>
        <v/>
      </c>
      <c r="HN25" s="259" t="str">
        <f t="shared" ca="1" si="31"/>
        <v/>
      </c>
      <c r="HO25" s="259">
        <f ca="1">IF(HL25&lt;&gt;"",MAX($HO$2:HO24)+1,0)</f>
        <v>0</v>
      </c>
      <c r="HP25" s="259">
        <f ca="1">IF(HM25&lt;&gt;"",MAX($HP$2:HP24)+1,0)</f>
        <v>0</v>
      </c>
      <c r="HQ25" s="259">
        <f ca="1">IF(HN25&lt;&gt;"",MAX($HQ$2:HQ24)+1,0)</f>
        <v>0</v>
      </c>
      <c r="HR25" s="259" t="str">
        <f t="shared" ca="1" si="107"/>
        <v/>
      </c>
      <c r="HS25" s="259" t="str">
        <f t="shared" ca="1" si="108"/>
        <v/>
      </c>
      <c r="HT25" s="259">
        <f t="shared" ca="1" si="109"/>
        <v>0</v>
      </c>
      <c r="HU25" s="259">
        <f t="shared" ca="1" si="110"/>
        <v>0</v>
      </c>
      <c r="HV25" s="259" t="str">
        <f ca="1">CONCATENATE(IFERROR(INDEX($HS$3:$HT$102,MATCH(ROWS($HV$3:HV25),$HT$3:$HT$102,0),1),""),HR25)</f>
        <v/>
      </c>
      <c r="IC25" s="259">
        <f ca="1">IFERROR(INDEX(PIANO_DEI_CONTI,MATCH(ROWS(DL$3:DL25),$DK$3:DK252,0),2),0)</f>
        <v>0</v>
      </c>
      <c r="ID25" s="259">
        <f t="shared" ca="1" si="111"/>
        <v>0</v>
      </c>
      <c r="IE25" s="259">
        <f t="shared" ca="1" si="112"/>
        <v>0</v>
      </c>
      <c r="IF25" s="259">
        <f t="shared" ca="1" si="113"/>
        <v>0</v>
      </c>
      <c r="IG25" s="259">
        <f ca="1">IF(IG26&gt;0,"",0)</f>
        <v>0</v>
      </c>
      <c r="IH25" s="259">
        <f ca="1">IF(IG25&lt;&gt;0,MAX($IH$19:IH24)+1,0)</f>
        <v>0</v>
      </c>
      <c r="II25" s="259">
        <f>IF(AD25="costi pluriennali",MAX($II$2:II24)+1,0)</f>
        <v>0</v>
      </c>
      <c r="IJ25" s="259">
        <f>IF($AD25="rettifiche costi pluriennali",MAX($IJ$2:IJ24)+1,0)</f>
        <v>11</v>
      </c>
      <c r="IK25" s="259">
        <f t="shared" si="114"/>
        <v>11</v>
      </c>
      <c r="IL25" s="259" t="str">
        <f t="shared" si="115"/>
        <v>FONDO AMMORT. IMBALLAGGI DUREVOLI</v>
      </c>
      <c r="IM25" s="259">
        <f t="shared" ca="1" si="116"/>
        <v>0</v>
      </c>
      <c r="IN25" s="259">
        <f t="shared" ca="1" si="141"/>
        <v>0</v>
      </c>
      <c r="IO25" s="259">
        <f>SUMIFS($IM$3:$IM$200,$IK$3:$IK$200,ROWS($IO$3:IO25))-SUMIFS($IN$3:$IN$200,$IK$3:$IK$200,ROWS($IO$3:IO25))</f>
        <v>0</v>
      </c>
      <c r="IP25" s="259" t="str">
        <f>IF(IO25&lt;0,INDEX($IJ$3:$IL$200,MATCH(ROWS($IP$3:IP25),$IJ$3:$IJ$200,0),3),"")</f>
        <v/>
      </c>
      <c r="IQ25" s="259">
        <f>IF(IP25&lt;&gt;"",MAX($IQ$2:IQ24)+1,0)</f>
        <v>0</v>
      </c>
      <c r="IR25" s="259" t="str">
        <f ca="1">IFERROR(INDEX($IP$3:$IQ$200,MATCH(ROWS($IR$3:IR25),$IQ$3:$IQ$200,0),1),"")</f>
        <v/>
      </c>
      <c r="IS25" s="259" t="str">
        <f t="shared" ca="1" si="117"/>
        <v/>
      </c>
      <c r="IT25" s="259" t="str">
        <f t="shared" ca="1" si="118"/>
        <v/>
      </c>
      <c r="IU25" s="259" t="str">
        <f t="shared" ca="1" si="119"/>
        <v/>
      </c>
      <c r="IV25" s="259" t="str">
        <f t="shared" ca="1" si="120"/>
        <v/>
      </c>
      <c r="IW25" s="259" t="str">
        <f t="shared" ca="1" si="121"/>
        <v/>
      </c>
      <c r="IX25" s="259" t="str">
        <f t="shared" ca="1" si="122"/>
        <v/>
      </c>
      <c r="IY25" s="259" t="str">
        <f t="shared" ca="1" si="123"/>
        <v/>
      </c>
      <c r="IZ25" s="259" t="str">
        <f t="shared" ca="1" si="124"/>
        <v/>
      </c>
      <c r="JA25" s="259" t="str">
        <f t="shared" ca="1" si="125"/>
        <v/>
      </c>
      <c r="JB25" s="259">
        <f t="shared" ca="1" si="32"/>
        <v>0</v>
      </c>
      <c r="JC25" s="259">
        <f t="shared" ca="1" si="126"/>
        <v>0</v>
      </c>
      <c r="JE25" s="259">
        <f ca="1">IFERROR(INDEX(LIBRO_GIORNALE!$N$11:$O$408,MATCH(ROWS($JE$2:JE24),LIBRO_GIORNALE!$O$11:$O$408,0),1),0)</f>
        <v>0</v>
      </c>
      <c r="JF25" s="259" t="str">
        <f t="shared" ca="1" si="127"/>
        <v>0</v>
      </c>
      <c r="JG25" s="259">
        <f t="shared" ca="1" si="128"/>
        <v>0</v>
      </c>
      <c r="JH25" s="259">
        <f ca="1">IF(JJ25&gt;0,0,MAX($JH$2:JH24)+1)</f>
        <v>23</v>
      </c>
      <c r="JI25" s="259">
        <f ca="1">IF(JG25&gt;0,MAX($JI$2:JI24)+1,0)</f>
        <v>0</v>
      </c>
      <c r="JJ25" s="259">
        <f ca="1">IFERROR(INDEX($JG$3:$JI$124,MATCH(ROWS($JJ$3:JJ25),$JI$3:$JI$124,0),1),0)</f>
        <v>0</v>
      </c>
      <c r="JK25" s="259">
        <f t="shared" ca="1" si="129"/>
        <v>0</v>
      </c>
      <c r="JL25" s="259">
        <f t="shared" ca="1" si="130"/>
        <v>23</v>
      </c>
      <c r="JM25" s="259">
        <v>22</v>
      </c>
    </row>
    <row r="26" spans="1:273">
      <c r="A26" s="259" t="str">
        <f t="shared" si="33"/>
        <v>02.17</v>
      </c>
      <c r="B26" s="259" t="str">
        <f t="shared" si="34"/>
        <v>FONDO AMMORT. AUTOMEZZI</v>
      </c>
      <c r="C26" s="259" t="str">
        <f t="shared" si="35"/>
        <v>E</v>
      </c>
      <c r="D26" s="259" t="str">
        <f t="shared" si="36"/>
        <v>A</v>
      </c>
      <c r="E26" s="259" t="str">
        <f t="shared" si="37"/>
        <v>RETTIFICHE COSTI PLURIENNALI</v>
      </c>
      <c r="F26" s="259" t="str">
        <f t="shared" si="38"/>
        <v>SP AVERE</v>
      </c>
      <c r="G26" s="259">
        <f t="shared" ca="1" si="39"/>
        <v>0</v>
      </c>
      <c r="H26" s="259">
        <f t="shared" ca="1" si="40"/>
        <v>1</v>
      </c>
      <c r="I26" s="259">
        <f t="shared" ca="1" si="41"/>
        <v>1</v>
      </c>
      <c r="J26" s="259">
        <v>23</v>
      </c>
      <c r="K26" s="259" t="str">
        <f ca="1">IFERROR(IF($I$1=1,INDEX($AA$3:$AS$220,MATCH(ROWS($K$3:K26),$AQ$3:$AQ$220,0),1),IF($I$1=2,INDEX($AA$3:$AS$220,MATCH(ROWS($K$3:K26),$AR$3:$AR$220,0),1),IF($I$1=3,INDEX($AA$3:$AS$220,MATCH(ROWS($K$3:K26),$AS$3:$AS$220,0),1),""))),"")</f>
        <v>FORNITORI IMMOBILIZZ. MATERIALI C/ACCONTI</v>
      </c>
      <c r="L26" s="259">
        <f ca="1">IF(AND($L$1="VISUALIZZA TUTTI I CONTI",K26&lt;&gt;""),MAX(L25:L25)+1,IFERROR(IF($J$1=1,IF(INDEX(PIANO_DEI_CONTI,MATCH($K26,DENOMINAZIONE,0),5)=$L$1,MAX($L$2:L25)+1,0),IF($J$1=2,IF(INDEX(PIANO_DEI_CONTI,MATCH($K26,DENOMINAZIONE,0),7)=$L$1,MAX($L$2:L25)+1,0))),0))</f>
        <v>24</v>
      </c>
      <c r="M26" s="259" t="str">
        <f ca="1">IFERROR(INDEX($K$3:$K$220,MATCH(ROWS($M$3:M26),$L$3:$L$220,0),1),"")</f>
        <v>FORNITORI IMMOBILIZZ. MATERIALI C/ACCONTI</v>
      </c>
      <c r="N26" s="259" t="str">
        <f t="shared" si="143"/>
        <v>RATEI E RISCONTI ATTIVI</v>
      </c>
      <c r="O26" s="259" t="str">
        <f t="shared" ca="1" si="142"/>
        <v>RATEI E RISCONTI ATTIVI</v>
      </c>
      <c r="P26" s="259">
        <f ca="1">IF(AND(N26=O26,O26&lt;&gt;""),MAX(P$2:P25)+1,0)</f>
        <v>9</v>
      </c>
      <c r="Q26" s="259" t="str">
        <f ca="1">IF(IFERROR(INDEX($O$3:$P$220,MATCH(ROWS(Q$3:Q26),$P$3:$P$220,0),1),"")=0,"",IFERROR(INDEX($O$3:$P$220,MATCH(ROWS(Q$3:Q26),$P$3:$P$220,0),1),""))</f>
        <v>AMMORTAMENTI IMMOBILIZZAZIONI IMMATERIALI</v>
      </c>
      <c r="R26" s="259" t="str">
        <f t="shared" si="1"/>
        <v>FORNITORI IMMOBILIZZ. MATERIALI C/ACCONTI</v>
      </c>
      <c r="S26" s="259">
        <f ca="1">IF(IFERROR(MATCH(R26,DENOMINAZIONE_GIORNALE,0),0)&gt;0,MAX(S$2:S25)+1,0)</f>
        <v>0</v>
      </c>
      <c r="T26" s="259" t="str">
        <f ca="1">IFERROR(INDEX($R$3:$S$220,MATCH(ROWS($T$3:T26),$S$3:$S$220,0),1),"")</f>
        <v/>
      </c>
      <c r="U26" s="259">
        <f t="shared" ca="1" si="2"/>
        <v>0</v>
      </c>
      <c r="V26" s="259">
        <f ca="1">IF(IF(U26&lt;&gt;0,MAX($V$2:V25)+1,0)=0,0,IF(U26&lt;&gt;0,MAX($V$2:V25)+1,0))</f>
        <v>0</v>
      </c>
      <c r="W26" s="259" t="str">
        <f t="shared" si="43"/>
        <v>02.17</v>
      </c>
      <c r="X26" s="259" t="str">
        <f t="shared" si="44"/>
        <v>FONDO AMMORT. AUTOMEZZI</v>
      </c>
      <c r="Y26" s="259">
        <f>IF(W26="",0,MAX($Y$2:Y25)+1)</f>
        <v>22</v>
      </c>
      <c r="Z26" s="259" t="str">
        <f>IFERROR(INDEX($W$3:$Y$220,MATCH(ROWS($Z$2:Z25),$Y$3:$Y$220,0),1),"")</f>
        <v>02.30</v>
      </c>
      <c r="AA26" s="259" t="str">
        <f t="shared" si="45"/>
        <v>FORNITORI IMMOBILIZZ. MATERIALI C/ACCONTI</v>
      </c>
      <c r="AB26" s="259" t="str">
        <f t="shared" si="46"/>
        <v>F</v>
      </c>
      <c r="AC26" s="259" t="str">
        <f t="shared" si="47"/>
        <v>D</v>
      </c>
      <c r="AD26" s="259" t="str">
        <f t="shared" si="48"/>
        <v>CREDITI</v>
      </c>
      <c r="AE26" s="259" t="str">
        <f t="shared" si="49"/>
        <v>SP DARE</v>
      </c>
      <c r="AF26" s="259" t="str">
        <f t="shared" si="50"/>
        <v>IMMOBILIZZAZIONI MATERIALI</v>
      </c>
      <c r="AG26" s="259">
        <f t="shared" ca="1" si="51"/>
        <v>1</v>
      </c>
      <c r="AH26" s="259">
        <f t="shared" ca="1" si="52"/>
        <v>1</v>
      </c>
      <c r="AI26" s="259">
        <f t="shared" ca="1" si="53"/>
        <v>1</v>
      </c>
      <c r="AJ26" s="259" t="str">
        <f t="shared" si="54"/>
        <v>02</v>
      </c>
      <c r="AK26" s="259" t="str">
        <f t="shared" si="55"/>
        <v/>
      </c>
      <c r="AL26" s="259">
        <f>IF(AK26&lt;&gt;"",MAX($AL$2:AL25)+1,0)</f>
        <v>0</v>
      </c>
      <c r="AM26" s="259" t="str">
        <f>IFERROR(INDEX($AK$3:$AL$220,MATCH(ROWS($AM$3:AM26),$AL$3:$AL$220,0),1),"")</f>
        <v>35</v>
      </c>
      <c r="AN26" s="259" t="str">
        <f t="shared" si="56"/>
        <v>35.00</v>
      </c>
      <c r="AO26" s="259" t="str">
        <f t="shared" si="57"/>
        <v>AMMORTAMENTI IMMOBILIZZAZIONI MATERIALI</v>
      </c>
      <c r="AP26" s="259" t="str">
        <f t="shared" si="58"/>
        <v>IMMOBILIZZAZIONI MATERIALI</v>
      </c>
      <c r="AQ26" s="259">
        <f ca="1">IF(OR(AG26=0,AG26=""),0,MAX(AQ$2:AQ25)+1)</f>
        <v>12</v>
      </c>
      <c r="AR26" s="259">
        <f ca="1">IF(OR(AH26=0,AH26=""),0,MAX(AR$2:AR25)+1)</f>
        <v>21</v>
      </c>
      <c r="AS26" s="259">
        <f ca="1">IF(OR(AI26=0,AI26=""),0,MAX(AS$2:AS25)+1)</f>
        <v>24</v>
      </c>
      <c r="AT26" s="259" t="str">
        <f ca="1">IFERROR(INDEX($AD$3:$AS$220,MATCH(ROWS(AT$3:AT26),AQ$3:AQ$220,0),1),"")</f>
        <v>CREDITI</v>
      </c>
      <c r="AU26" s="259" t="str">
        <f ca="1">IFERROR(INDEX($AD$3:$AS$220,MATCH(ROWS(AU$3:AU26),AR$3:AR$220,0),1),"")</f>
        <v>COSTI SOSPESI</v>
      </c>
      <c r="AV26" s="259" t="str">
        <f ca="1">IFERROR(INDEX($AD$3:$AS$220,MATCH(ROWS(AV$3:AV26),AS$3:AS$220,0),1),"")</f>
        <v>CREDITI</v>
      </c>
      <c r="AW26" s="259" t="str">
        <f ca="1">IFERROR(INDEX($AP$3:$AS$220,MATCH(ROWS(AW$3:AW26),AQ$3:AQ$220,0),1),"")</f>
        <v>CREDITI DIVERSI</v>
      </c>
      <c r="AX26" s="259" t="str">
        <f ca="1">IFERROR(INDEX($AP$3:$AS$220,MATCH(ROWS(AX$3:AX26),AR$3:AR$220,0),1),"")</f>
        <v>RIMANENZE</v>
      </c>
      <c r="AY26" s="259" t="str">
        <f ca="1">IFERROR(INDEX($AP$3:$AS$220,MATCH(ROWS(AY$3:AY26),AS$3:AS$220,0),1),"")</f>
        <v>IMMOBILIZZAZIONI MATERIALI</v>
      </c>
      <c r="AZ26" s="276" t="str">
        <f t="shared" ca="1" si="59"/>
        <v/>
      </c>
      <c r="BA26" s="259">
        <f t="shared" ca="1" si="3"/>
        <v>0</v>
      </c>
      <c r="BB26" s="259">
        <f ca="1">IFERROR(INDEX($FG$3:$FL$400,MATCH(ROWS($BB$3:BB26),$FL$3:$FL$400,0),1),0)</f>
        <v>0</v>
      </c>
      <c r="BC26" s="259" t="str">
        <f t="shared" ca="1" si="60"/>
        <v/>
      </c>
      <c r="BD26" s="259">
        <f ca="1">IFERROR(INDEX($FG$3:$FL$400,MATCH(ROWS($BD$3:BD26),$FL$3:$FL$400,0),4),0)</f>
        <v>0</v>
      </c>
      <c r="BE26" s="259">
        <f ca="1">IFERROR(INDEX($FG$3:$FL$400,MATCH(ROWS($BE$3:BE26),$FL$3:$FL$400,0),5),0)</f>
        <v>0</v>
      </c>
      <c r="BG26" s="259" t="str">
        <f t="shared" si="4"/>
        <v/>
      </c>
      <c r="BH26" s="259">
        <f ca="1">IF(IFERROR(MATCH(BG26,DENOMINAZIONE_GIORNALE,0),0)&gt;0,MAX(BH$2:BH25)+1,0)</f>
        <v>0</v>
      </c>
      <c r="BI26" s="259" t="str">
        <f ca="1">IFERROR(INDEX($BG$3:$BH$220,MATCH(ROWS($BI$3:BI26),$BH$3:$BH$220,0),1),"")</f>
        <v/>
      </c>
      <c r="BJ26" s="259" t="str">
        <f t="shared" ca="1" si="5"/>
        <v/>
      </c>
      <c r="BK26" s="259" t="str">
        <f ca="1">IF(IF(BJ26&lt;&gt;"",MAX($BK$2:BK25)+1,0)=0,"",IF(BJ26&lt;&gt;"",MAX($BK$2:BK25)+1,0))</f>
        <v/>
      </c>
      <c r="BL26" s="259" t="str">
        <f ca="1">IFERROR(INDEX($T$3:$U$220, MATCH(ROWS(BL$3:BL26),$V$3:$V$220,0),1),"")</f>
        <v/>
      </c>
      <c r="BM26" s="259" t="str">
        <f ca="1">IFERROR(INDEX($T$3:$U$220, MATCH(ROWS(BM$3:BM26),$V$3:$V$220,0),2),"")</f>
        <v/>
      </c>
      <c r="BN26" s="259" t="str">
        <f ca="1">IF(IFERROR(INDEX($BI$3:$BJ$220,MATCH(ROWS(BN$3:BN26),$BK$3:$BK$220,0),1),"")="PATRIMONIO NETTO","",IFERROR(INDEX($BI$3:$BJ$220,MATCH(ROWS(BN$3:BN26),$BK$3:$BK$220,0),1),""))</f>
        <v/>
      </c>
      <c r="BO26" s="259" t="str">
        <f ca="1">IFERROR(INDEX($BI$3:$BJ$220,MATCH(ROWS(BO$3:BO26),$BK$3:$BK$220,0),2),"")</f>
        <v/>
      </c>
      <c r="BP26" s="259">
        <f ca="1">IF(BN26&lt;&gt;"",MAX(BP$2:$BP25)+1,0)</f>
        <v>0</v>
      </c>
      <c r="BQ26" s="259" t="str">
        <f ca="1">IFERROR(INDEX($BN$3:$BO$200,MATCH(ROWS(BQ$3:BQ26),$BP$3:$BP$220,0),1),"")</f>
        <v/>
      </c>
      <c r="BR26" s="259" t="str">
        <f ca="1">IFERROR(INDEX($BN$3:$BO$220,MATCH(ROWS(BR$3:BR26),$BP$3:$BP$220,0),2),"")</f>
        <v/>
      </c>
      <c r="BS26" s="259" t="str">
        <f ca="1">IFERROR(IF(OR(INDEX($T$3:$U$220,MATCH(ROWS(BL$3:BL26),$V$3:$V$220,0),1)="PRELEVAMENTI EXTRAGESTIONE",INDEX($T$3:$U$220,MATCH(ROWS(BL$3:BL26),$V$3:$V$220,0),1)="TITOLARE C/RITENUTE SUBITE"),"",INDEX($T$3:$U$220,MATCH(ROWS(BL$3:BL26),$V$3:$V$220,0),1)),"")</f>
        <v/>
      </c>
      <c r="BT26" s="259">
        <f t="shared" ca="1" si="61"/>
        <v>0</v>
      </c>
      <c r="BU26" s="259">
        <f ca="1">IF(BS26&lt;&gt;"",MAX(BU$2:BU25)+1,0)</f>
        <v>0</v>
      </c>
      <c r="BV26" s="259" t="str">
        <f ca="1">IFERROR(INDEX($BS$3:$BT$223,MATCH(ROWS(BV$3:BV26),$BU$3:$BU$223,0),1),"")</f>
        <v/>
      </c>
      <c r="BW26" s="259">
        <f t="shared" ca="1" si="62"/>
        <v>0</v>
      </c>
      <c r="BX26" s="259" t="str">
        <f t="shared" ca="1" si="63"/>
        <v/>
      </c>
      <c r="BY26" s="259" t="str">
        <f t="shared" ca="1" si="64"/>
        <v/>
      </c>
      <c r="BZ26" s="259" t="str">
        <f ca="1">IFERROR(IF(OR($DS$231&lt;&gt;$DT$231,$DU$231&lt;&gt;$DV$231,$EO$25&lt;&gt;0,$EO$26&lt;&gt;0),INDEX($T$3:$V$220,MATCH(ROWS($BV$3:BV26),$V$3:$V$220,0),1),CONCATENATE(BV26,BY26)),"")</f>
        <v/>
      </c>
      <c r="CA26" s="259">
        <f t="shared" ca="1" si="65"/>
        <v>0</v>
      </c>
      <c r="CB26" s="259" t="str">
        <f ca="1">IFERROR(IF(OR($BB$1&lt;&gt;$BD$1,$BC$1&lt;&gt;$BE$1,$DS$231&lt;&gt;$DT$231,$DU$231&lt;&gt;$DV$231,$EO$25&lt;&gt;0,$EO$26&lt;&gt;0),INDEX($BI$3:$BK$220,MATCH(ROWS($CB$3:CB26),$BK$3:$BK$220,0),1),CONCATENATE(BQ26,BX26)),"")</f>
        <v/>
      </c>
      <c r="CC26" s="259" t="str">
        <f t="shared" ca="1" si="66"/>
        <v/>
      </c>
      <c r="CD26" s="259" t="str">
        <f t="shared" si="6"/>
        <v/>
      </c>
      <c r="CE26" s="259">
        <f ca="1">IF(IFERROR(MATCH(CD26,DENOMINAZIONE_GIORNALE,0),0)&gt;0,MAX(CE$2:CE25)+1,0)</f>
        <v>0</v>
      </c>
      <c r="CF26" s="259" t="str">
        <f ca="1">IFERROR(INDEX($CD$3:$CE$220,MATCH(ROWS($CF$3:CF26),$CE$3:$CE$220,0),1),"")</f>
        <v/>
      </c>
      <c r="CG26" s="259">
        <f t="shared" ca="1" si="7"/>
        <v>0</v>
      </c>
      <c r="CH26" s="259" t="str">
        <f ca="1">IF(IF(CG26&lt;&gt;0,MAX($CH$2:CH25)+1,0)=0,"",IF(CG26&lt;&gt;"",MAX($CH$2:CH25)+1,0))</f>
        <v/>
      </c>
      <c r="CI26" s="259" t="str">
        <f ca="1">IFERROR(INDEX($CF$3:$CG$220,MATCH(ROWS($CI$3:CI26),$CH$3:$CH$220,0),1),"")</f>
        <v/>
      </c>
      <c r="CJ26" s="259" t="str">
        <f t="shared" ca="1" si="67"/>
        <v/>
      </c>
      <c r="CK26" s="259" t="str">
        <f t="shared" si="8"/>
        <v/>
      </c>
      <c r="CL26" s="259">
        <f ca="1">IF(IFERROR(MATCH(CK26,DENOMINAZIONE_GIORNALE,0),0)&gt;0,MAX(CL$2:CL25)+1,0)</f>
        <v>0</v>
      </c>
      <c r="CM26" s="259" t="str">
        <f ca="1">IFERROR(INDEX($CK$3:$CL$220,MATCH(ROWS($CM$3:CM26),$CL$3:$CL$220,0),1),"")</f>
        <v/>
      </c>
      <c r="CN26" s="259" t="str">
        <f t="shared" ca="1" si="9"/>
        <v/>
      </c>
      <c r="CO26" s="259">
        <f ca="1">IF(IF(CN26&lt;&gt;0,MAX($CO$2:CO25)+1,0)=0,"",IF(CN26&lt;&gt;"",MAX($CO$2:CO25)+1,0))</f>
        <v>0</v>
      </c>
      <c r="CP26" s="259" t="str">
        <f ca="1">IFERROR(INDEX($CM$3:$CN$220,MATCH(ROWS(CP$3:CP26),$CO$3:$CO$220,0),1),"")</f>
        <v/>
      </c>
      <c r="CQ26" s="259" t="str">
        <f ca="1">IFERROR(INDEX($CM$3:$CN$220,MATCH(ROWS(CQ$3:CQ26),$CO$3:$CO$220,0),2),"")</f>
        <v/>
      </c>
      <c r="CR26" s="259" t="str">
        <f t="shared" ca="1" si="10"/>
        <v/>
      </c>
      <c r="CS26" s="259">
        <f t="shared" ca="1" si="11"/>
        <v>0</v>
      </c>
      <c r="CT26" s="259">
        <f t="shared" ca="1" si="12"/>
        <v>0</v>
      </c>
      <c r="CU26" s="259">
        <f ca="1">IF(OR(CS26&gt;0,CT26&gt;0),MAX($CU$2:CU25)+1,0)</f>
        <v>0</v>
      </c>
      <c r="CV26" s="259" t="str">
        <f ca="1">IFERROR(INDEX(PIANO_DEI_CONTI,MATCH(ROWS($CV$3:CV26),$CU$3:$CU$200,0),2),"")</f>
        <v/>
      </c>
      <c r="CW26" s="259">
        <f ca="1">IFERROR(IF(CV26&lt;&gt;"",MAX($CW$2:CW25)+1,0),0)</f>
        <v>0</v>
      </c>
      <c r="CX26" s="259">
        <f t="shared" ca="1" si="145"/>
        <v>2</v>
      </c>
      <c r="CY26" s="259" t="str">
        <f t="shared" ca="1" si="144"/>
        <v>MASTRO</v>
      </c>
      <c r="CZ26" s="259" t="e">
        <f t="shared" ca="1" si="147"/>
        <v>#N/A</v>
      </c>
      <c r="DA26" s="259" t="str">
        <f t="shared" ca="1" si="152"/>
        <v/>
      </c>
      <c r="DB26" s="259" t="str">
        <f t="shared" ca="1" si="148"/>
        <v/>
      </c>
      <c r="DC26" s="259" t="str">
        <f t="shared" ca="1" si="149"/>
        <v/>
      </c>
      <c r="DD26" s="259" t="str">
        <f t="shared" ca="1" si="150"/>
        <v/>
      </c>
      <c r="DE26" s="259" t="str">
        <f t="shared" ca="1" si="151"/>
        <v/>
      </c>
      <c r="DF26" s="259">
        <f ca="1">IF(AND(CX26=$DE$2,$DF$2&lt;&gt;0),0,IF(AND(DB26&lt;&gt;"",OR(DB25&lt;&gt;"",DB27&lt;&gt;"")),MAX($DF$2:DF25)+1,0))</f>
        <v>0</v>
      </c>
      <c r="DG26" s="259" t="str">
        <f>IF(OR(VALORI_INIZIALI!E31="",AND(VALORI_INIZIALI!E31&lt;&gt;"",VALORI_INIZIALI!H31=0,VALORI_INIZIALI!I31=0)),"",IFERROR(INDEX(PIANO_DEI_CONTI,MATCH(BB26,DENOMINAZIONE,0),1),0))</f>
        <v/>
      </c>
      <c r="DH26" s="259">
        <f ca="1">IFERROR(IF($J$1=1,IF(INDEX(PIANO_DEI_CONTI,MATCH($K26,DENOMINAZIONE,0),5)=$DF$1,MAX($DH$2:DH25)+1,0),IF($J$1=2,IF(INDEX(PIANO_DEI_CONTI,MATCH($K26,DENOMINAZIONE,0),7)=$DF$1,MAX($DH$2:DH25)+1,0))),0)</f>
        <v>0</v>
      </c>
      <c r="DI26" s="259">
        <f ca="1">IFERROR(INDEX($K$3:$K$220,MATCH(ROWS($DI$3:DI26),$DH$3:$DH$220,0),1),0)</f>
        <v>0</v>
      </c>
      <c r="DJ26" s="259">
        <f t="shared" ca="1" si="14"/>
        <v>0</v>
      </c>
      <c r="DK26" s="259">
        <f ca="1">IF(DJ26=0,0,MAX(DK$2:DK25)+1)</f>
        <v>0</v>
      </c>
      <c r="DL26" s="259">
        <f ca="1">IFERROR(INDEX(PIANO_DEI_CONTI,MATCH(ROWS(DL$3:DL26),$DK$3:DK253,0),2),0)</f>
        <v>0</v>
      </c>
      <c r="DM26" s="259">
        <f t="shared" ca="1" si="15"/>
        <v>0</v>
      </c>
      <c r="DN26" s="259">
        <f t="shared" ca="1" si="16"/>
        <v>0</v>
      </c>
      <c r="DO26" s="259">
        <f t="shared" ca="1" si="69"/>
        <v>0</v>
      </c>
      <c r="DP26" s="259">
        <f t="shared" ca="1" si="70"/>
        <v>0</v>
      </c>
      <c r="DQ26" s="259">
        <f ca="1">IF(OR($DQ$1="TOTALI",$DQ$1="TOTALI ED ECCEDENZE"),IF(OR(DM26&gt;0,DN26&gt;0),MAX(DQ$2:DQ25)+1,0),IF($DQ$1="ECCEDENZE",IF(OR(DO26&gt;0,DP26&gt;0),MAX(DQ$2:DQ25)+1,0),""))</f>
        <v>0</v>
      </c>
      <c r="DR26" s="259" t="str">
        <f ca="1">IFERROR(INDEX($DL$3:$DQ$230,MATCH(ROWS(DR$3:DR26),$DQ$3:$DQ$230,0),1),"")</f>
        <v/>
      </c>
      <c r="DS26" s="259" t="str">
        <f t="shared" ca="1" si="71"/>
        <v/>
      </c>
      <c r="DT26" s="259" t="str">
        <f t="shared" ca="1" si="72"/>
        <v/>
      </c>
      <c r="DU26" s="259" t="str">
        <f t="shared" ca="1" si="73"/>
        <v/>
      </c>
      <c r="DV26" s="259" t="str">
        <f t="shared" ca="1" si="74"/>
        <v/>
      </c>
      <c r="DW26" s="259">
        <f t="shared" ca="1" si="75"/>
        <v>0</v>
      </c>
      <c r="DX26" s="259" t="str">
        <f t="shared" ca="1" si="76"/>
        <v/>
      </c>
      <c r="DY26" s="259" t="str">
        <f t="shared" ca="1" si="77"/>
        <v/>
      </c>
      <c r="DZ26" s="259" t="str">
        <f t="shared" ca="1" si="78"/>
        <v/>
      </c>
      <c r="EA26" s="259">
        <f t="shared" ca="1" si="79"/>
        <v>24</v>
      </c>
      <c r="EB26" s="259" t="s">
        <v>349</v>
      </c>
      <c r="ED26" s="259">
        <f t="shared" ca="1" si="17"/>
        <v>0</v>
      </c>
      <c r="EE26" s="259" t="str">
        <f t="shared" ca="1" si="18"/>
        <v/>
      </c>
      <c r="EF26" s="259" t="str">
        <f t="shared" ca="1" si="19"/>
        <v/>
      </c>
      <c r="EG26" s="259" t="str">
        <f t="shared" ca="1" si="136"/>
        <v/>
      </c>
      <c r="EH26" s="259" t="str">
        <f t="shared" ca="1" si="80"/>
        <v/>
      </c>
      <c r="EI26" s="260" t="b">
        <f t="shared" ca="1" si="137"/>
        <v>0</v>
      </c>
      <c r="EJ26" s="260" t="b">
        <f t="shared" ca="1" si="138"/>
        <v>1</v>
      </c>
      <c r="EK26" s="260" t="b">
        <f t="shared" ca="1" si="139"/>
        <v>1</v>
      </c>
      <c r="EL26" s="259">
        <f t="shared" si="81"/>
        <v>24</v>
      </c>
      <c r="EM26" s="259">
        <f ca="1">IF(AND(BA26&gt;0,BA26&lt;=$EM$1),MAX($EM$2:EM25)+1,0)</f>
        <v>0</v>
      </c>
      <c r="EN26" s="259">
        <f t="shared" ca="1" si="82"/>
        <v>26</v>
      </c>
      <c r="EO26" s="277"/>
      <c r="EP26" s="259" t="str">
        <f t="shared" ca="1" si="20"/>
        <v/>
      </c>
      <c r="EQ26" s="259">
        <f t="shared" ca="1" si="21"/>
        <v>0</v>
      </c>
      <c r="ER26" s="259">
        <f ca="1">IF(ISNA(EQ26),MAX(ER$2:ER25)+1,0)</f>
        <v>0</v>
      </c>
      <c r="ES26" s="259" t="str">
        <f t="shared" ca="1" si="83"/>
        <v/>
      </c>
      <c r="ET26" s="259" t="str">
        <f ca="1">IFERROR(UPPER(INDEX($ER$3:$ES$500,MATCH(ROWS(ET$3:ET26),$ER$3:$ER$500,0),2)),"")</f>
        <v/>
      </c>
      <c r="EW26" s="259" t="str">
        <f ca="1">IF(AND(IFERROR(INDEX($EU$3:$EV$30,MATCH(ROWS($EX$3:EX26),$EV$3:$EV$30,0),1),"")&lt;&gt;"",EW27&lt;&gt;""),CONCATENATE(IFERROR(INDEX($EU$3:$EV$30,MATCH(ROWS($EX$3:EX26),$EV$3:$EV$30,0),1),"")," - "),IFERROR(INDEX($EU$3:$EV$30,MATCH(ROWS($EX$3:EX26),$EV$3:$EV$30,0),1),""))</f>
        <v/>
      </c>
      <c r="EY26" s="259">
        <f t="shared" ca="1" si="84"/>
        <v>0</v>
      </c>
      <c r="EZ26" s="259">
        <f t="shared" ca="1" si="84"/>
        <v>0</v>
      </c>
      <c r="FA26" s="259" t="str">
        <f t="shared" ca="1" si="85"/>
        <v/>
      </c>
      <c r="FB26" s="259">
        <f t="shared" ca="1" si="86"/>
        <v>0</v>
      </c>
      <c r="FC26" s="259">
        <f t="shared" ca="1" si="87"/>
        <v>0</v>
      </c>
      <c r="FD26" s="259">
        <f t="shared" ca="1" si="22"/>
        <v>0</v>
      </c>
      <c r="FE26" s="259" t="str">
        <f t="shared" ca="1" si="23"/>
        <v/>
      </c>
      <c r="FF26" s="259" t="str">
        <f t="shared" ca="1" si="88"/>
        <v/>
      </c>
      <c r="FG26" s="259" t="str">
        <f t="shared" si="89"/>
        <v>FORNITORI IMMOBILIZZ. MATERIALI C/ACCONTI</v>
      </c>
      <c r="FH26" s="259">
        <f t="shared" ca="1" si="24"/>
        <v>0</v>
      </c>
      <c r="FI26" s="259">
        <f t="shared" ca="1" si="25"/>
        <v>0</v>
      </c>
      <c r="FJ26" s="259">
        <f t="shared" ca="1" si="90"/>
        <v>0</v>
      </c>
      <c r="FK26" s="259">
        <f t="shared" ca="1" si="91"/>
        <v>0</v>
      </c>
      <c r="FL26" s="259">
        <f ca="1">IF(OR(FJ26&gt;0,FK26&gt;0),MAX($FL$2:FL25)+1,0)</f>
        <v>0</v>
      </c>
      <c r="FM26" s="259">
        <f t="shared" ca="1" si="26"/>
        <v>0</v>
      </c>
      <c r="FN26" s="259">
        <f ca="1">IF(FM26&lt;0,MAX($FN$2:FN25)+1,0)</f>
        <v>0</v>
      </c>
      <c r="FO26" s="259" t="str">
        <f t="shared" ca="1" si="92"/>
        <v/>
      </c>
      <c r="FP26" s="259" t="str">
        <f ca="1">IFERROR(INDEX($FN$3:$FO$400,MATCH(ROWS($FP$3:FP26),$FN$3:$FN$400,0),2),"")</f>
        <v/>
      </c>
      <c r="FQ26" s="259" t="str">
        <f>IF(AE26="SE AVERE",MAX($FQ$2:FQ25)+1,"")</f>
        <v/>
      </c>
      <c r="FR26" s="259" t="str">
        <f>IF(AE26="SE DARE",MAX($FR$2:FR25)+1,"")</f>
        <v/>
      </c>
      <c r="FS26" s="259">
        <f ca="1">IF(AND(AE26="SP DARE",AA26&lt;&gt;$FS$1,AA26&lt;&gt;$FT$1),MAX($FS$2:FS25)+1,IF(AND(GQ26="SP DARE",AA26&lt;&gt;$FS$1,AA26&lt;&gt;$FT$1),MAX($FS$2:FS25)+1,""))</f>
        <v>102</v>
      </c>
      <c r="FT26" s="259" t="str">
        <f ca="1">IF(AND(AE26="SP AVERE",AA26&lt;&gt;$FU$1),MAX($FT$2:FT25)+1,IF(AND(GQ26="SP AVERE",AA26&lt;&gt;$FU$1),MAX($FT$2:FT25)+1,""))</f>
        <v/>
      </c>
      <c r="FU26" s="259">
        <f t="shared" ca="1" si="93"/>
        <v>102</v>
      </c>
      <c r="FV26" s="259" t="str">
        <f t="shared" si="94"/>
        <v>FORNITORI IMMOBILIZZ. MATERIALI C/ACCONTI</v>
      </c>
      <c r="FW26" s="259" t="str">
        <f ca="1">IFERROR(INDEX($FU$3:$FV$500,MATCH(ROWS($FW$3:FW26),$FU$3:$FU$500,0),2),0)</f>
        <v>PREMI SU VENDITE</v>
      </c>
      <c r="FX26" s="259">
        <f t="shared" ca="1" si="95"/>
        <v>24</v>
      </c>
      <c r="FY26" s="259">
        <f t="shared" ca="1" si="96"/>
        <v>0</v>
      </c>
      <c r="FZ26" s="259">
        <f ca="1">IF(FY26&gt;0,MAX($FZ$2:FZ25)+1,0)</f>
        <v>0</v>
      </c>
      <c r="GA26" s="259">
        <f ca="1">IFERROR(INDEX($FY$3:$FZ$500,MATCH(ROWS($GA$3:GA26),$FZ$3:$FZ$500,0),1),0)</f>
        <v>0</v>
      </c>
      <c r="GC26" s="259">
        <f t="shared" ca="1" si="97"/>
        <v>24</v>
      </c>
      <c r="GD26" s="259" t="str">
        <f t="shared" ca="1" si="98"/>
        <v>PREMI SU VENDITE</v>
      </c>
      <c r="GG26" s="259">
        <f t="shared" ca="1" si="27"/>
        <v>0</v>
      </c>
      <c r="GH26" s="259">
        <f t="shared" ca="1" si="99"/>
        <v>0</v>
      </c>
      <c r="GI26" s="259">
        <f t="shared" ca="1" si="100"/>
        <v>0</v>
      </c>
      <c r="GJ26" s="259">
        <f t="shared" ca="1" si="101"/>
        <v>0</v>
      </c>
      <c r="GK26" s="259">
        <f t="shared" ca="1" si="102"/>
        <v>0</v>
      </c>
      <c r="GL26" s="259">
        <f t="shared" ca="1" si="103"/>
        <v>0</v>
      </c>
      <c r="GM26" s="259">
        <f ca="1">IF(OR(GK26&gt;0,GL26&gt;0),MAX($GM$2:GM25)+1,0)</f>
        <v>0</v>
      </c>
      <c r="GN26" s="259" t="str">
        <f ca="1">IFERROR(INDEX($GD$3:$GM$400,MATCH(ROWS($GN$3:GN26),$GM$3:$GM$400,0),1),"")</f>
        <v/>
      </c>
      <c r="GO26" s="259" t="str">
        <f ca="1">IFERROR(INDEX($GD$3:$GM$400,MATCH(ROWS($GO$3:GO26),$GM$3:$GM$400,0),8),"")</f>
        <v/>
      </c>
      <c r="GP26" s="259" t="str">
        <f ca="1">IFERROR(INDEX($GD$3:$GM$400,MATCH(ROWS($GP$3:GP26),$GM$3:$GM$400,0),9),"")</f>
        <v/>
      </c>
      <c r="GQ26" s="259">
        <f t="shared" ca="1" si="28"/>
        <v>0</v>
      </c>
      <c r="GR26" s="259">
        <f t="shared" ca="1" si="104"/>
        <v>0</v>
      </c>
      <c r="GS26" s="259" t="str">
        <f t="shared" si="105"/>
        <v>epilogo a Conto economico</v>
      </c>
      <c r="GT26" s="259" t="str">
        <f ca="1">IFERROR(INDEX($GD$3:$GS$400,MATCH(ROWS($GT$3:GT26),$GM$3:$GM$400,0),16),"")</f>
        <v/>
      </c>
      <c r="GU26" s="259">
        <f ca="1">IF(GQ26&lt;&gt;0,MAX($GU$2:$GU25)+1,0)</f>
        <v>0</v>
      </c>
      <c r="GV26" s="259">
        <f t="shared" ca="1" si="106"/>
        <v>0</v>
      </c>
      <c r="GW26" s="259" t="str">
        <f ca="1">IF(AND(IFERROR(INDEX($GU$3:$GV$400,MATCH(ROWS($GW$3:GW26),$GU$3:$GU$400,0),2),"")&lt;&gt;"",GW27&lt;&gt;""),CONCATENATE(IFERROR(INDEX($GU$3:$GV$400,MATCH(ROWS($GW$3:GW26),$GU$3:$GU$400,0),2),"")," - "),IFERROR(INDEX($GU$3:$GV$400,MATCH(ROWS($GW$3:GW26),$GU$3:$GU$400,0),2),""))</f>
        <v/>
      </c>
      <c r="GX26" s="259">
        <f ca="1">IF(OR(GN26="IVA NS/CREDITO",GN26="IVA NS/DEBITO",GN26="IVA C/ACCONTO",GN26="IMPOSTE C/ACCONTO"),MAX($GX$2:GX25)+1,0)</f>
        <v>0</v>
      </c>
      <c r="GY26" s="259" t="str">
        <f ca="1">IF(AND(IFERROR(INDEX($GN$3:$GX$200,MATCH(ROWS($GY$3:GY26),$GX$3:$GX$200,0),1),"")&lt;&gt;"",GY27&lt;&gt;""),CONCATENATE(IFERROR(INDEX($GN$3:$GX$200,MATCH(ROWS($GY$3:GY26),$GX$3:$GX$200,0),1),"")," - "),IFERROR(INDEX($GN$3:$GX$200,MATCH(ROWS($GY$3:GY26),$GX$3:$GX$200,0),1),""))</f>
        <v/>
      </c>
      <c r="GZ26" s="259" t="s">
        <v>500</v>
      </c>
      <c r="HA26" s="259" t="s">
        <v>501</v>
      </c>
      <c r="HB26" s="269" t="s">
        <v>256</v>
      </c>
      <c r="HC26" s="269" t="s">
        <v>211</v>
      </c>
      <c r="HD26" s="269" t="s">
        <v>266</v>
      </c>
      <c r="HE26" s="269" t="s">
        <v>212</v>
      </c>
      <c r="HL26" s="259" t="str">
        <f t="shared" ca="1" si="29"/>
        <v/>
      </c>
      <c r="HM26" s="259" t="str">
        <f t="shared" ca="1" si="30"/>
        <v/>
      </c>
      <c r="HN26" s="259" t="str">
        <f t="shared" ca="1" si="31"/>
        <v/>
      </c>
      <c r="HO26" s="259">
        <f ca="1">IF(HL26&lt;&gt;"",MAX($HO$2:HO25)+1,0)</f>
        <v>0</v>
      </c>
      <c r="HP26" s="259">
        <f ca="1">IF(HM26&lt;&gt;"",MAX($HP$2:HP25)+1,0)</f>
        <v>0</v>
      </c>
      <c r="HQ26" s="259">
        <f ca="1">IF(HN26&lt;&gt;"",MAX($HQ$2:HQ25)+1,0)</f>
        <v>0</v>
      </c>
      <c r="HR26" s="259" t="str">
        <f t="shared" ca="1" si="107"/>
        <v/>
      </c>
      <c r="HS26" s="259" t="str">
        <f t="shared" ca="1" si="108"/>
        <v/>
      </c>
      <c r="HT26" s="259">
        <f t="shared" ca="1" si="109"/>
        <v>0</v>
      </c>
      <c r="HU26" s="259">
        <f t="shared" ca="1" si="110"/>
        <v>0</v>
      </c>
      <c r="HV26" s="259" t="str">
        <f ca="1">CONCATENATE(IFERROR(INDEX($HS$3:$HT$102,MATCH(ROWS($HV$3:HV26),$HT$3:$HT$102,0),1),""),HR26)</f>
        <v/>
      </c>
      <c r="IA26" s="259" t="s">
        <v>359</v>
      </c>
      <c r="IB26" s="259" t="s">
        <v>296</v>
      </c>
      <c r="IC26" s="259">
        <f ca="1">IFERROR(INDEX(PIANO_DEI_CONTI,MATCH(ROWS(DL$3:DL26),$DK$3:DK253,0),2),0)</f>
        <v>0</v>
      </c>
      <c r="ID26" s="259">
        <f t="shared" ca="1" si="111"/>
        <v>0</v>
      </c>
      <c r="IE26" s="259">
        <f t="shared" ca="1" si="112"/>
        <v>0</v>
      </c>
      <c r="IF26" s="259">
        <f t="shared" ca="1" si="113"/>
        <v>0</v>
      </c>
      <c r="IG26" s="259">
        <f ca="1">IF(SUMIFS($ID$3:$ID$200,$IF$3:$IF$200,IA26)&lt;=SUMIFS($IE$3:$IE$200,$IF$3:$IF$200,IA26),ROUND(SUMIFS($IE$3:$IE$200,$IF$3:$IF$200,IA26)-SUMIFS($ID$3:$ID$200,$IF$3:$IF$200,IA26),0),0)</f>
        <v>0</v>
      </c>
      <c r="IH26" s="259">
        <f ca="1">IF(IG26&lt;&gt;0,MAX($IH$19:IH25)+1,0)</f>
        <v>0</v>
      </c>
      <c r="II26" s="259">
        <f>IF(AD26="costi pluriennali",MAX($II$2:II25)+1,0)</f>
        <v>0</v>
      </c>
      <c r="IJ26" s="259">
        <f>IF($AD26="rettifiche costi pluriennali",MAX($IJ$2:IJ25)+1,0)</f>
        <v>0</v>
      </c>
      <c r="IK26" s="259">
        <f t="shared" si="114"/>
        <v>0</v>
      </c>
      <c r="IL26" s="259" t="str">
        <f t="shared" si="115"/>
        <v/>
      </c>
      <c r="IM26" s="259">
        <f t="shared" ca="1" si="116"/>
        <v>0</v>
      </c>
      <c r="IN26" s="259">
        <f t="shared" ca="1" si="141"/>
        <v>0</v>
      </c>
      <c r="IO26" s="259">
        <f>SUMIFS($IM$3:$IM$200,$IK$3:$IK$200,ROWS($IO$3:IO26))-SUMIFS($IN$3:$IN$200,$IK$3:$IK$200,ROWS($IO$3:IO26))</f>
        <v>0</v>
      </c>
      <c r="IP26" s="259" t="str">
        <f>IF(IO26&lt;0,INDEX($IJ$3:$IL$200,MATCH(ROWS($IP$3:IP26),$IJ$3:$IJ$200,0),3),"")</f>
        <v/>
      </c>
      <c r="IQ26" s="259">
        <f>IF(IP26&lt;&gt;"",MAX($IQ$2:IQ25)+1,0)</f>
        <v>0</v>
      </c>
      <c r="IR26" s="259" t="str">
        <f ca="1">IFERROR(INDEX($IP$3:$IQ$200,MATCH(ROWS($IR$3:IR26),$IQ$3:$IQ$200,0),1),"")</f>
        <v/>
      </c>
      <c r="IS26" s="259" t="str">
        <f t="shared" ca="1" si="117"/>
        <v/>
      </c>
      <c r="IT26" s="259" t="str">
        <f t="shared" ca="1" si="118"/>
        <v/>
      </c>
      <c r="IU26" s="259" t="str">
        <f t="shared" ca="1" si="119"/>
        <v/>
      </c>
      <c r="IV26" s="259" t="str">
        <f t="shared" ca="1" si="120"/>
        <v/>
      </c>
      <c r="IW26" s="259" t="str">
        <f t="shared" ca="1" si="121"/>
        <v/>
      </c>
      <c r="IX26" s="259" t="str">
        <f t="shared" ca="1" si="122"/>
        <v/>
      </c>
      <c r="IY26" s="259" t="str">
        <f t="shared" ca="1" si="123"/>
        <v/>
      </c>
      <c r="IZ26" s="259" t="str">
        <f t="shared" ca="1" si="124"/>
        <v/>
      </c>
      <c r="JA26" s="259" t="str">
        <f t="shared" ca="1" si="125"/>
        <v/>
      </c>
      <c r="JB26" s="259">
        <f t="shared" ca="1" si="32"/>
        <v>0</v>
      </c>
      <c r="JC26" s="259">
        <f t="shared" ca="1" si="126"/>
        <v>0</v>
      </c>
      <c r="JE26" s="259">
        <f ca="1">IFERROR(INDEX(LIBRO_GIORNALE!$N$11:$O$408,MATCH(ROWS($JE$2:JE25),LIBRO_GIORNALE!$O$11:$O$408,0),1),0)</f>
        <v>0</v>
      </c>
      <c r="JF26" s="259" t="str">
        <f t="shared" ca="1" si="127"/>
        <v>0</v>
      </c>
      <c r="JG26" s="259">
        <f t="shared" ca="1" si="128"/>
        <v>0</v>
      </c>
      <c r="JH26" s="259">
        <f ca="1">IF(JJ26&gt;0,0,MAX($JH$2:JH25)+1)</f>
        <v>24</v>
      </c>
      <c r="JI26" s="259">
        <f ca="1">IF(JG26&gt;0,MAX($JI$2:JI25)+1,0)</f>
        <v>0</v>
      </c>
      <c r="JJ26" s="259">
        <f ca="1">IFERROR(INDEX($JG$3:$JI$124,MATCH(ROWS($JJ$3:JJ26),$JI$3:$JI$124,0),1),0)</f>
        <v>0</v>
      </c>
      <c r="JK26" s="259">
        <f t="shared" ca="1" si="129"/>
        <v>0</v>
      </c>
      <c r="JL26" s="259">
        <f t="shared" ca="1" si="130"/>
        <v>24</v>
      </c>
      <c r="JM26" s="259">
        <v>23</v>
      </c>
    </row>
    <row r="27" spans="1:273">
      <c r="A27" s="259" t="str">
        <f t="shared" si="33"/>
        <v>02.18</v>
      </c>
      <c r="B27" s="259" t="str">
        <f t="shared" si="34"/>
        <v>FONDO AMMORT. IMBALLAGGI DUREVOLI</v>
      </c>
      <c r="C27" s="259" t="str">
        <f t="shared" si="35"/>
        <v>E</v>
      </c>
      <c r="D27" s="259" t="str">
        <f t="shared" si="36"/>
        <v>A</v>
      </c>
      <c r="E27" s="259" t="str">
        <f t="shared" si="37"/>
        <v>RETTIFICHE COSTI PLURIENNALI</v>
      </c>
      <c r="F27" s="259" t="str">
        <f t="shared" si="38"/>
        <v>SP AVERE</v>
      </c>
      <c r="G27" s="259">
        <f t="shared" ca="1" si="39"/>
        <v>0</v>
      </c>
      <c r="H27" s="259">
        <f t="shared" ca="1" si="40"/>
        <v>1</v>
      </c>
      <c r="I27" s="259">
        <f t="shared" ca="1" si="41"/>
        <v>1</v>
      </c>
      <c r="J27" s="259">
        <v>24</v>
      </c>
      <c r="K27" s="259" t="str">
        <f ca="1">IFERROR(IF($I$1=1,INDEX($AA$3:$AS$220,MATCH(ROWS($K$3:K27),$AQ$3:$AQ$220,0),1),IF($I$1=2,INDEX($AA$3:$AS$220,MATCH(ROWS($K$3:K27),$AR$3:$AR$220,0),1),IF($I$1=3,INDEX($AA$3:$AS$220,MATCH(ROWS($K$3:K27),$AS$3:$AS$220,0),1),""))),"")</f>
        <v>MUTUI ATTIVI</v>
      </c>
      <c r="L27" s="259">
        <f ca="1">IF(AND($L$1="VISUALIZZA TUTTI I CONTI",K27&lt;&gt;""),MAX(L26:L26)+1,IFERROR(IF($J$1=1,IF(INDEX(PIANO_DEI_CONTI,MATCH($K27,DENOMINAZIONE,0),5)=$L$1,MAX($L$2:L26)+1,0),IF($J$1=2,IF(INDEX(PIANO_DEI_CONTI,MATCH($K27,DENOMINAZIONE,0),7)=$L$1,MAX($L$2:L26)+1,0))),0))</f>
        <v>25</v>
      </c>
      <c r="M27" s="259" t="str">
        <f ca="1">IFERROR(INDEX($K$3:$K$220,MATCH(ROWS($M$3:M27),$L$3:$L$220,0),1),"")</f>
        <v>MUTUI ATTIVI</v>
      </c>
      <c r="N27" s="259" t="str">
        <f t="shared" si="143"/>
        <v>PATRIMONIO NETTO</v>
      </c>
      <c r="O27" s="259" t="str">
        <f t="shared" ca="1" si="142"/>
        <v>PATRIMONIO NETTO</v>
      </c>
      <c r="P27" s="259">
        <f ca="1">IF(AND(N27=O27,O27&lt;&gt;""),MAX(P$2:P26)+1,0)</f>
        <v>10</v>
      </c>
      <c r="Q27" s="259" t="str">
        <f ca="1">IF(IFERROR(INDEX($O$3:$P$220,MATCH(ROWS(Q$3:Q27),$P$3:$P$220,0),1),"")=0,"",IFERROR(INDEX($O$3:$P$220,MATCH(ROWS(Q$3:Q27),$P$3:$P$220,0),1),""))</f>
        <v>AMMORTAMENTI IMMOBILIZZAZIONI MATERIALI</v>
      </c>
      <c r="R27" s="259" t="str">
        <f t="shared" si="1"/>
        <v>MUTUI ATTIVI</v>
      </c>
      <c r="S27" s="259">
        <f ca="1">IF(IFERROR(MATCH(R27,DENOMINAZIONE_GIORNALE,0),0)&gt;0,MAX(S$2:S26)+1,0)</f>
        <v>0</v>
      </c>
      <c r="T27" s="259" t="str">
        <f ca="1">IFERROR(INDEX($R$3:$S$220,MATCH(ROWS($T$3:T27),$S$3:$S$220,0),1),"")</f>
        <v/>
      </c>
      <c r="U27" s="259">
        <f t="shared" ca="1" si="2"/>
        <v>0</v>
      </c>
      <c r="V27" s="259">
        <f ca="1">IF(IF(U27&lt;&gt;0,MAX($V$2:V26)+1,0)=0,0,IF(U27&lt;&gt;0,MAX($V$2:V26)+1,0))</f>
        <v>0</v>
      </c>
      <c r="W27" s="259" t="str">
        <f t="shared" si="43"/>
        <v>02.18</v>
      </c>
      <c r="X27" s="259" t="str">
        <f t="shared" si="44"/>
        <v>FONDO AMMORT. IMBALLAGGI DUREVOLI</v>
      </c>
      <c r="Y27" s="259">
        <f>IF(W27="",0,MAX($Y$2:Y26)+1)</f>
        <v>23</v>
      </c>
      <c r="Z27" s="259" t="str">
        <f>IFERROR(INDEX($W$3:$Y$220,MATCH(ROWS($Z$2:Z26),$Y$3:$Y$220,0),1),"")</f>
        <v>03.01</v>
      </c>
      <c r="AA27" s="259" t="str">
        <f t="shared" si="45"/>
        <v>MUTUI ATTIVI</v>
      </c>
      <c r="AB27" s="259" t="str">
        <f t="shared" si="46"/>
        <v>F</v>
      </c>
      <c r="AC27" s="259" t="str">
        <f t="shared" si="47"/>
        <v>D</v>
      </c>
      <c r="AD27" s="259" t="str">
        <f t="shared" si="48"/>
        <v>CREDITI</v>
      </c>
      <c r="AE27" s="259" t="str">
        <f t="shared" si="49"/>
        <v>SP DARE</v>
      </c>
      <c r="AF27" s="259" t="str">
        <f t="shared" si="50"/>
        <v>IMMOBILIZZAZIONI FINANZIARIE</v>
      </c>
      <c r="AG27" s="259">
        <f t="shared" ca="1" si="51"/>
        <v>1</v>
      </c>
      <c r="AH27" s="259">
        <f t="shared" ca="1" si="52"/>
        <v>1</v>
      </c>
      <c r="AI27" s="259">
        <f t="shared" ca="1" si="53"/>
        <v>1</v>
      </c>
      <c r="AJ27" s="259" t="str">
        <f t="shared" si="54"/>
        <v>03</v>
      </c>
      <c r="AK27" s="259" t="str">
        <f t="shared" si="55"/>
        <v/>
      </c>
      <c r="AL27" s="259">
        <f>IF(AK27&lt;&gt;"",MAX($AL$2:AL26)+1,0)</f>
        <v>0</v>
      </c>
      <c r="AM27" s="259" t="str">
        <f>IFERROR(INDEX($AK$3:$AL$220,MATCH(ROWS($AM$3:AM27),$AL$3:$AL$220,0),1),"")</f>
        <v>36</v>
      </c>
      <c r="AN27" s="259" t="str">
        <f t="shared" si="56"/>
        <v>36.00</v>
      </c>
      <c r="AO27" s="259" t="str">
        <f t="shared" si="57"/>
        <v>SVALUTAZIONI</v>
      </c>
      <c r="AP27" s="259" t="str">
        <f t="shared" si="58"/>
        <v>IMMOBILIZZAZIONI FINANZIARIE</v>
      </c>
      <c r="AQ27" s="259">
        <f ca="1">IF(OR(AG27=0,AG27=""),0,MAX(AQ$2:AQ26)+1)</f>
        <v>13</v>
      </c>
      <c r="AR27" s="259">
        <f ca="1">IF(OR(AH27=0,AH27=""),0,MAX(AR$2:AR26)+1)</f>
        <v>22</v>
      </c>
      <c r="AS27" s="259">
        <f ca="1">IF(OR(AI27=0,AI27=""),0,MAX(AS$2:AS26)+1)</f>
        <v>25</v>
      </c>
      <c r="AT27" s="259" t="str">
        <f ca="1">IFERROR(INDEX($AD$3:$AS$220,MATCH(ROWS(AT$3:AT27),AQ$3:AQ$220,0),1),"")</f>
        <v>CREDITI</v>
      </c>
      <c r="AU27" s="259" t="str">
        <f ca="1">IFERROR(INDEX($AD$3:$AS$220,MATCH(ROWS(AU$3:AU27),AR$3:AR$220,0),1),"")</f>
        <v>CREDITI</v>
      </c>
      <c r="AV27" s="259" t="str">
        <f ca="1">IFERROR(INDEX($AD$3:$AS$220,MATCH(ROWS(AV$3:AV27),AS$3:AS$220,0),1),"")</f>
        <v>CREDITI</v>
      </c>
      <c r="AW27" s="259" t="str">
        <f ca="1">IFERROR(INDEX($AP$3:$AS$220,MATCH(ROWS(AW$3:AW27),AQ$3:AQ$220,0),1),"")</f>
        <v>CREDITI DIVERSI</v>
      </c>
      <c r="AX27" s="259" t="str">
        <f ca="1">IFERROR(INDEX($AP$3:$AS$220,MATCH(ROWS(AX$3:AX27),AR$3:AR$220,0),1),"")</f>
        <v>RIMANENZE</v>
      </c>
      <c r="AY27" s="259" t="str">
        <f ca="1">IFERROR(INDEX($AP$3:$AS$220,MATCH(ROWS(AY$3:AY27),AS$3:AS$220,0),1),"")</f>
        <v>IMMOBILIZZAZIONI FINANZIARIE</v>
      </c>
      <c r="AZ27" s="276" t="str">
        <f t="shared" ca="1" si="59"/>
        <v/>
      </c>
      <c r="BA27" s="259">
        <f t="shared" ca="1" si="3"/>
        <v>0</v>
      </c>
      <c r="BB27" s="259">
        <f ca="1">IFERROR(INDEX($FG$3:$FL$400,MATCH(ROWS($BB$3:BB27),$FL$3:$FL$400,0),1),0)</f>
        <v>0</v>
      </c>
      <c r="BC27" s="259" t="str">
        <f t="shared" ca="1" si="60"/>
        <v/>
      </c>
      <c r="BD27" s="259">
        <f ca="1">IFERROR(INDEX($FG$3:$FL$400,MATCH(ROWS($BD$3:BD27),$FL$3:$FL$400,0),4),0)</f>
        <v>0</v>
      </c>
      <c r="BE27" s="259">
        <f ca="1">IFERROR(INDEX($FG$3:$FL$400,MATCH(ROWS($BE$3:BE27),$FL$3:$FL$400,0),5),0)</f>
        <v>0</v>
      </c>
      <c r="BG27" s="259" t="str">
        <f t="shared" si="4"/>
        <v/>
      </c>
      <c r="BH27" s="259">
        <f ca="1">IF(IFERROR(MATCH(BG27,DENOMINAZIONE_GIORNALE,0),0)&gt;0,MAX(BH$2:BH26)+1,0)</f>
        <v>0</v>
      </c>
      <c r="BI27" s="259" t="str">
        <f ca="1">IFERROR(INDEX($BG$3:$BH$220,MATCH(ROWS($BI$3:BI27),$BH$3:$BH$220,0),1),"")</f>
        <v/>
      </c>
      <c r="BJ27" s="259" t="str">
        <f t="shared" ca="1" si="5"/>
        <v/>
      </c>
      <c r="BK27" s="259" t="str">
        <f ca="1">IF(IF(BJ27&lt;&gt;"",MAX($BK$2:BK26)+1,0)=0,"",IF(BJ27&lt;&gt;"",MAX($BK$2:BK26)+1,0))</f>
        <v/>
      </c>
      <c r="BL27" s="259" t="str">
        <f ca="1">IFERROR(INDEX($T$3:$U$220, MATCH(ROWS(BL$3:BL27),$V$3:$V$220,0),1),"")</f>
        <v/>
      </c>
      <c r="BM27" s="259" t="str">
        <f ca="1">IFERROR(INDEX($T$3:$U$220, MATCH(ROWS(BM$3:BM27),$V$3:$V$220,0),2),"")</f>
        <v/>
      </c>
      <c r="BN27" s="259" t="str">
        <f ca="1">IF(IFERROR(INDEX($BI$3:$BJ$220,MATCH(ROWS(BN$3:BN27),$BK$3:$BK$220,0),1),"")="PATRIMONIO NETTO","",IFERROR(INDEX($BI$3:$BJ$220,MATCH(ROWS(BN$3:BN27),$BK$3:$BK$220,0),1),""))</f>
        <v/>
      </c>
      <c r="BO27" s="259" t="str">
        <f ca="1">IFERROR(INDEX($BI$3:$BJ$220,MATCH(ROWS(BO$3:BO27),$BK$3:$BK$220,0),2),"")</f>
        <v/>
      </c>
      <c r="BP27" s="259">
        <f ca="1">IF(BN27&lt;&gt;"",MAX(BP$2:$BP26)+1,0)</f>
        <v>0</v>
      </c>
      <c r="BQ27" s="259" t="str">
        <f ca="1">IFERROR(INDEX($BN$3:$BO$200,MATCH(ROWS(BQ$3:BQ27),$BP$3:$BP$220,0),1),"")</f>
        <v/>
      </c>
      <c r="BR27" s="259" t="str">
        <f ca="1">IFERROR(INDEX($BN$3:$BO$220,MATCH(ROWS(BR$3:BR27),$BP$3:$BP$220,0),2),"")</f>
        <v/>
      </c>
      <c r="BS27" s="259" t="str">
        <f ca="1">IFERROR(IF(OR(INDEX($T$3:$U$220,MATCH(ROWS(BL$3:BL27),$V$3:$V$220,0),1)="PRELEVAMENTI EXTRAGESTIONE",INDEX($T$3:$U$220,MATCH(ROWS(BL$3:BL27),$V$3:$V$220,0),1)="TITOLARE C/RITENUTE SUBITE"),"",INDEX($T$3:$U$220,MATCH(ROWS(BL$3:BL27),$V$3:$V$220,0),1)),"")</f>
        <v/>
      </c>
      <c r="BT27" s="259">
        <f t="shared" ca="1" si="61"/>
        <v>0</v>
      </c>
      <c r="BU27" s="259">
        <f ca="1">IF(BS27&lt;&gt;"",MAX(BU$2:BU26)+1,0)</f>
        <v>0</v>
      </c>
      <c r="BV27" s="259" t="str">
        <f ca="1">IFERROR(INDEX($BS$3:$BT$223,MATCH(ROWS(BV$3:BV27),$BU$3:$BU$223,0),1),"")</f>
        <v/>
      </c>
      <c r="BW27" s="259">
        <f t="shared" ca="1" si="62"/>
        <v>0</v>
      </c>
      <c r="BX27" s="259" t="str">
        <f t="shared" ca="1" si="63"/>
        <v/>
      </c>
      <c r="BY27" s="259" t="str">
        <f t="shared" ca="1" si="64"/>
        <v/>
      </c>
      <c r="BZ27" s="259" t="str">
        <f ca="1">IFERROR(IF(OR($DS$231&lt;&gt;$DT$231,$DU$231&lt;&gt;$DV$231,$EO$25&lt;&gt;0,$EO$26&lt;&gt;0),INDEX($T$3:$V$220,MATCH(ROWS($BV$3:BV27),$V$3:$V$220,0),1),CONCATENATE(BV27,BY27)),"")</f>
        <v/>
      </c>
      <c r="CA27" s="259">
        <f t="shared" ca="1" si="65"/>
        <v>0</v>
      </c>
      <c r="CB27" s="259" t="str">
        <f ca="1">IFERROR(IF(OR($BB$1&lt;&gt;$BD$1,$BC$1&lt;&gt;$BE$1,$DS$231&lt;&gt;$DT$231,$DU$231&lt;&gt;$DV$231,$EO$25&lt;&gt;0,$EO$26&lt;&gt;0),INDEX($BI$3:$BK$220,MATCH(ROWS($CB$3:CB27),$BK$3:$BK$220,0),1),CONCATENATE(BQ27,BX27)),"")</f>
        <v/>
      </c>
      <c r="CC27" s="259" t="str">
        <f t="shared" ca="1" si="66"/>
        <v/>
      </c>
      <c r="CD27" s="259" t="str">
        <f t="shared" si="6"/>
        <v/>
      </c>
      <c r="CE27" s="259">
        <f ca="1">IF(IFERROR(MATCH(CD27,DENOMINAZIONE_GIORNALE,0),0)&gt;0,MAX(CE$2:CE26)+1,0)</f>
        <v>0</v>
      </c>
      <c r="CF27" s="259" t="str">
        <f ca="1">IFERROR(INDEX($CD$3:$CE$220,MATCH(ROWS($CF$3:CF27),$CE$3:$CE$220,0),1),"")</f>
        <v/>
      </c>
      <c r="CG27" s="259">
        <f t="shared" ca="1" si="7"/>
        <v>0</v>
      </c>
      <c r="CH27" s="259" t="str">
        <f ca="1">IF(IF(CG27&lt;&gt;0,MAX($CH$2:CH26)+1,0)=0,"",IF(CG27&lt;&gt;"",MAX($CH$2:CH26)+1,0))</f>
        <v/>
      </c>
      <c r="CI27" s="259" t="str">
        <f ca="1">IFERROR(INDEX($CF$3:$CG$220,MATCH(ROWS($CI$3:CI27),$CH$3:$CH$220,0),1),"")</f>
        <v/>
      </c>
      <c r="CJ27" s="259" t="str">
        <f t="shared" ca="1" si="67"/>
        <v/>
      </c>
      <c r="CK27" s="259" t="str">
        <f t="shared" si="8"/>
        <v/>
      </c>
      <c r="CL27" s="259">
        <f ca="1">IF(IFERROR(MATCH(CK27,DENOMINAZIONE_GIORNALE,0),0)&gt;0,MAX(CL$2:CL26)+1,0)</f>
        <v>0</v>
      </c>
      <c r="CM27" s="259" t="str">
        <f ca="1">IFERROR(INDEX($CK$3:$CL$220,MATCH(ROWS($CM$3:CM27),$CL$3:$CL$220,0),1),"")</f>
        <v/>
      </c>
      <c r="CN27" s="259" t="str">
        <f t="shared" ca="1" si="9"/>
        <v/>
      </c>
      <c r="CO27" s="259">
        <f ca="1">IF(IF(CN27&lt;&gt;0,MAX($CO$2:CO26)+1,0)=0,"",IF(CN27&lt;&gt;"",MAX($CO$2:CO26)+1,0))</f>
        <v>0</v>
      </c>
      <c r="CP27" s="259" t="str">
        <f ca="1">IFERROR(INDEX($CM$3:$CN$220,MATCH(ROWS(CP$3:CP27),$CO$3:$CO$220,0),1),"")</f>
        <v/>
      </c>
      <c r="CQ27" s="259" t="str">
        <f ca="1">IFERROR(INDEX($CM$3:$CN$220,MATCH(ROWS(CQ$3:CQ27),$CO$3:$CO$220,0),2),"")</f>
        <v/>
      </c>
      <c r="CR27" s="259" t="str">
        <f t="shared" ca="1" si="10"/>
        <v/>
      </c>
      <c r="CS27" s="259">
        <f t="shared" ca="1" si="11"/>
        <v>0</v>
      </c>
      <c r="CT27" s="259">
        <f t="shared" ca="1" si="12"/>
        <v>0</v>
      </c>
      <c r="CU27" s="259">
        <f ca="1">IF(OR(CS27&gt;0,CT27&gt;0),MAX($CU$2:CU26)+1,0)</f>
        <v>0</v>
      </c>
      <c r="CV27" s="259" t="str">
        <f ca="1">IFERROR(INDEX(PIANO_DEI_CONTI,MATCH(ROWS($CV$3:CV27),$CU$3:$CU$200,0),2),"")</f>
        <v/>
      </c>
      <c r="CW27" s="259">
        <f ca="1">IFERROR(IF(CV27&lt;&gt;"",MAX($CW$2:CW26)+1,0),0)</f>
        <v>0</v>
      </c>
      <c r="CX27" s="259">
        <f t="shared" ca="1" si="145"/>
        <v>2</v>
      </c>
      <c r="CY27" s="259" t="str">
        <f t="shared" ca="1" si="144"/>
        <v>MASTRO</v>
      </c>
      <c r="CZ27" s="259" t="e">
        <f t="shared" ca="1" si="147"/>
        <v>#N/A</v>
      </c>
      <c r="DA27" s="259" t="str">
        <f t="shared" ca="1" si="152"/>
        <v/>
      </c>
      <c r="DB27" s="259" t="str">
        <f t="shared" ca="1" si="148"/>
        <v/>
      </c>
      <c r="DC27" s="259" t="str">
        <f t="shared" ca="1" si="149"/>
        <v/>
      </c>
      <c r="DD27" s="259" t="str">
        <f t="shared" ca="1" si="150"/>
        <v/>
      </c>
      <c r="DE27" s="259" t="str">
        <f t="shared" ca="1" si="151"/>
        <v/>
      </c>
      <c r="DF27" s="259">
        <f ca="1">IF(AND(CX27=$DE$2,$DF$2&lt;&gt;0),0,IF(AND(DB27&lt;&gt;"",OR(DB26&lt;&gt;"",DB28&lt;&gt;"")),MAX($DF$2:DF26)+1,0))</f>
        <v>0</v>
      </c>
      <c r="DG27" s="259" t="str">
        <f>IF(OR(VALORI_INIZIALI!E32="",AND(VALORI_INIZIALI!E32&lt;&gt;"",VALORI_INIZIALI!H32=0,VALORI_INIZIALI!I32=0)),"",IFERROR(INDEX(PIANO_DEI_CONTI,MATCH(BB27,DENOMINAZIONE,0),1),0))</f>
        <v/>
      </c>
      <c r="DH27" s="259">
        <f ca="1">IFERROR(IF($J$1=1,IF(INDEX(PIANO_DEI_CONTI,MATCH($K27,DENOMINAZIONE,0),5)=$DF$1,MAX($DH$2:DH26)+1,0),IF($J$1=2,IF(INDEX(PIANO_DEI_CONTI,MATCH($K27,DENOMINAZIONE,0),7)=$DF$1,MAX($DH$2:DH26)+1,0))),0)</f>
        <v>0</v>
      </c>
      <c r="DI27" s="259">
        <f ca="1">IFERROR(INDEX($K$3:$K$220,MATCH(ROWS($DI$3:DI27),$DH$3:$DH$220,0),1),0)</f>
        <v>0</v>
      </c>
      <c r="DJ27" s="259">
        <f t="shared" ca="1" si="14"/>
        <v>0</v>
      </c>
      <c r="DK27" s="259">
        <f ca="1">IF(DJ27=0,0,MAX(DK$2:DK26)+1)</f>
        <v>0</v>
      </c>
      <c r="DL27" s="259">
        <f ca="1">IFERROR(INDEX(PIANO_DEI_CONTI,MATCH(ROWS(DL$3:DL27),$DK$3:DK254,0),2),0)</f>
        <v>0</v>
      </c>
      <c r="DM27" s="259">
        <f t="shared" ca="1" si="15"/>
        <v>0</v>
      </c>
      <c r="DN27" s="259">
        <f t="shared" ca="1" si="16"/>
        <v>0</v>
      </c>
      <c r="DO27" s="259">
        <f t="shared" ca="1" si="69"/>
        <v>0</v>
      </c>
      <c r="DP27" s="259">
        <f t="shared" ca="1" si="70"/>
        <v>0</v>
      </c>
      <c r="DQ27" s="259">
        <f ca="1">IF(OR($DQ$1="TOTALI",$DQ$1="TOTALI ED ECCEDENZE"),IF(OR(DM27&gt;0,DN27&gt;0),MAX(DQ$2:DQ26)+1,0),IF($DQ$1="ECCEDENZE",IF(OR(DO27&gt;0,DP27&gt;0),MAX(DQ$2:DQ26)+1,0),""))</f>
        <v>0</v>
      </c>
      <c r="DR27" s="259" t="str">
        <f ca="1">IFERROR(INDEX($DL$3:$DQ$230,MATCH(ROWS(DR$3:DR27),$DQ$3:$DQ$230,0),1),"")</f>
        <v/>
      </c>
      <c r="DS27" s="259" t="str">
        <f t="shared" ca="1" si="71"/>
        <v/>
      </c>
      <c r="DT27" s="259" t="str">
        <f t="shared" ca="1" si="72"/>
        <v/>
      </c>
      <c r="DU27" s="259" t="str">
        <f t="shared" ca="1" si="73"/>
        <v/>
      </c>
      <c r="DV27" s="259" t="str">
        <f t="shared" ca="1" si="74"/>
        <v/>
      </c>
      <c r="DW27" s="259">
        <f t="shared" ca="1" si="75"/>
        <v>0</v>
      </c>
      <c r="DX27" s="259" t="str">
        <f t="shared" ca="1" si="76"/>
        <v/>
      </c>
      <c r="DY27" s="259" t="str">
        <f t="shared" ca="1" si="77"/>
        <v/>
      </c>
      <c r="DZ27" s="259" t="str">
        <f t="shared" ca="1" si="78"/>
        <v/>
      </c>
      <c r="EA27" s="259">
        <f t="shared" ca="1" si="79"/>
        <v>25</v>
      </c>
      <c r="EB27" s="259" t="s">
        <v>350</v>
      </c>
      <c r="ED27" s="259">
        <f t="shared" ca="1" si="17"/>
        <v>0</v>
      </c>
      <c r="EE27" s="259" t="str">
        <f t="shared" ca="1" si="18"/>
        <v/>
      </c>
      <c r="EF27" s="259" t="str">
        <f t="shared" ca="1" si="19"/>
        <v/>
      </c>
      <c r="EG27" s="259" t="str">
        <f t="shared" ca="1" si="136"/>
        <v/>
      </c>
      <c r="EH27" s="259" t="str">
        <f t="shared" ca="1" si="80"/>
        <v/>
      </c>
      <c r="EI27" s="260" t="b">
        <f t="shared" ca="1" si="137"/>
        <v>0</v>
      </c>
      <c r="EJ27" s="260" t="b">
        <f t="shared" ca="1" si="138"/>
        <v>1</v>
      </c>
      <c r="EK27" s="260" t="b">
        <f t="shared" ca="1" si="139"/>
        <v>1</v>
      </c>
      <c r="EL27" s="259">
        <f t="shared" si="81"/>
        <v>25</v>
      </c>
      <c r="EM27" s="259">
        <f ca="1">IF(AND(BA27&gt;0,BA27&lt;=$EM$1),MAX($EM$2:EM26)+1,0)</f>
        <v>0</v>
      </c>
      <c r="EN27" s="259">
        <f t="shared" ca="1" si="82"/>
        <v>27</v>
      </c>
      <c r="EP27" s="259" t="str">
        <f t="shared" ca="1" si="20"/>
        <v/>
      </c>
      <c r="EQ27" s="259">
        <f t="shared" ca="1" si="21"/>
        <v>0</v>
      </c>
      <c r="ER27" s="259">
        <f ca="1">IF(ISNA(EQ27),MAX(ER$2:ER26)+1,0)</f>
        <v>0</v>
      </c>
      <c r="ES27" s="259" t="str">
        <f t="shared" ca="1" si="83"/>
        <v/>
      </c>
      <c r="ET27" s="259" t="str">
        <f ca="1">IFERROR(UPPER(INDEX($ER$3:$ES$500,MATCH(ROWS(ET$3:ET27),$ER$3:$ER$500,0),2)),"")</f>
        <v/>
      </c>
      <c r="EW27" s="259" t="str">
        <f ca="1">IF(AND(IFERROR(INDEX($EU$3:$EV$30,MATCH(ROWS($EX$3:EX27),$EV$3:$EV$30,0),1),"")&lt;&gt;"",EW28&lt;&gt;""),CONCATENATE(IFERROR(INDEX($EU$3:$EV$30,MATCH(ROWS($EX$3:EX27),$EV$3:$EV$30,0),1),"")," - "),IFERROR(INDEX($EU$3:$EV$30,MATCH(ROWS($EX$3:EX27),$EV$3:$EV$30,0),1),""))</f>
        <v/>
      </c>
      <c r="EY27" s="259">
        <f t="shared" ca="1" si="84"/>
        <v>0</v>
      </c>
      <c r="EZ27" s="259">
        <f t="shared" ca="1" si="84"/>
        <v>0</v>
      </c>
      <c r="FA27" s="259" t="str">
        <f t="shared" ca="1" si="85"/>
        <v/>
      </c>
      <c r="FB27" s="259">
        <f t="shared" ca="1" si="86"/>
        <v>0</v>
      </c>
      <c r="FC27" s="259">
        <f t="shared" ca="1" si="87"/>
        <v>0</v>
      </c>
      <c r="FD27" s="259">
        <f t="shared" ca="1" si="22"/>
        <v>0</v>
      </c>
      <c r="FE27" s="259" t="str">
        <f t="shared" ca="1" si="23"/>
        <v/>
      </c>
      <c r="FF27" s="259" t="str">
        <f t="shared" ca="1" si="88"/>
        <v/>
      </c>
      <c r="FG27" s="259" t="str">
        <f t="shared" si="89"/>
        <v>MUTUI ATTIVI</v>
      </c>
      <c r="FH27" s="259">
        <f t="shared" ca="1" si="24"/>
        <v>0</v>
      </c>
      <c r="FI27" s="259">
        <f t="shared" ca="1" si="25"/>
        <v>0</v>
      </c>
      <c r="FJ27" s="259">
        <f t="shared" ca="1" si="90"/>
        <v>0</v>
      </c>
      <c r="FK27" s="259">
        <f t="shared" ca="1" si="91"/>
        <v>0</v>
      </c>
      <c r="FL27" s="259">
        <f ca="1">IF(OR(FJ27&gt;0,FK27&gt;0),MAX($FL$2:FL26)+1,0)</f>
        <v>0</v>
      </c>
      <c r="FM27" s="259">
        <f t="shared" ca="1" si="26"/>
        <v>0</v>
      </c>
      <c r="FN27" s="259">
        <f ca="1">IF(FM27&lt;0,MAX($FN$2:FN26)+1,0)</f>
        <v>0</v>
      </c>
      <c r="FO27" s="259" t="str">
        <f t="shared" ca="1" si="92"/>
        <v/>
      </c>
      <c r="FP27" s="259" t="str">
        <f ca="1">IFERROR(INDEX($FN$3:$FO$400,MATCH(ROWS($FP$3:FP27),$FN$3:$FN$400,0),2),"")</f>
        <v/>
      </c>
      <c r="FQ27" s="259" t="str">
        <f>IF(AE27="SE AVERE",MAX($FQ$2:FQ26)+1,"")</f>
        <v/>
      </c>
      <c r="FR27" s="259" t="str">
        <f>IF(AE27="SE DARE",MAX($FR$2:FR26)+1,"")</f>
        <v/>
      </c>
      <c r="FS27" s="259">
        <f ca="1">IF(AND(AE27="SP DARE",AA27&lt;&gt;$FS$1,AA27&lt;&gt;$FT$1),MAX($FS$2:FS26)+1,IF(AND(GQ27="SP DARE",AA27&lt;&gt;$FS$1,AA27&lt;&gt;$FT$1),MAX($FS$2:FS26)+1,""))</f>
        <v>103</v>
      </c>
      <c r="FT27" s="259" t="str">
        <f ca="1">IF(AND(AE27="SP AVERE",AA27&lt;&gt;$FU$1),MAX($FT$2:FT26)+1,IF(AND(GQ27="SP AVERE",AA27&lt;&gt;$FU$1),MAX($FT$2:FT26)+1,""))</f>
        <v/>
      </c>
      <c r="FU27" s="259">
        <f t="shared" ca="1" si="93"/>
        <v>103</v>
      </c>
      <c r="FV27" s="259" t="str">
        <f t="shared" si="94"/>
        <v>MUTUI ATTIVI</v>
      </c>
      <c r="FW27" s="259" t="str">
        <f ca="1">IFERROR(INDEX($FU$3:$FV$500,MATCH(ROWS($FW$3:FW27),$FU$3:$FU$500,0),2),0)</f>
        <v>MERCI C/ACQUISTI</v>
      </c>
      <c r="FX27" s="259">
        <f t="shared" ca="1" si="95"/>
        <v>25</v>
      </c>
      <c r="FY27" s="259">
        <f t="shared" ca="1" si="96"/>
        <v>0</v>
      </c>
      <c r="FZ27" s="259">
        <f ca="1">IF(FY27&gt;0,MAX($FZ$2:FZ26)+1,0)</f>
        <v>0</v>
      </c>
      <c r="GA27" s="259">
        <f ca="1">IFERROR(INDEX($FY$3:$FZ$500,MATCH(ROWS($GA$3:GA27),$FZ$3:$FZ$500,0),1),0)</f>
        <v>0</v>
      </c>
      <c r="GC27" s="259">
        <f t="shared" ca="1" si="97"/>
        <v>25</v>
      </c>
      <c r="GD27" s="259" t="str">
        <f t="shared" ca="1" si="98"/>
        <v>MERCI C/ACQUISTI</v>
      </c>
      <c r="GG27" s="259">
        <f t="shared" ca="1" si="27"/>
        <v>0</v>
      </c>
      <c r="GH27" s="259">
        <f t="shared" ca="1" si="99"/>
        <v>0</v>
      </c>
      <c r="GI27" s="259">
        <f t="shared" ca="1" si="100"/>
        <v>0</v>
      </c>
      <c r="GJ27" s="259">
        <f t="shared" ca="1" si="101"/>
        <v>0</v>
      </c>
      <c r="GK27" s="259">
        <f t="shared" ca="1" si="102"/>
        <v>0</v>
      </c>
      <c r="GL27" s="259">
        <f t="shared" ca="1" si="103"/>
        <v>0</v>
      </c>
      <c r="GM27" s="259">
        <f ca="1">IF(OR(GK27&gt;0,GL27&gt;0),MAX($GM$2:GM26)+1,0)</f>
        <v>0</v>
      </c>
      <c r="GN27" s="259" t="str">
        <f ca="1">IFERROR(INDEX($GD$3:$GM$400,MATCH(ROWS($GN$3:GN27),$GM$3:$GM$400,0),1),"")</f>
        <v/>
      </c>
      <c r="GO27" s="259" t="str">
        <f ca="1">IFERROR(INDEX($GD$3:$GM$400,MATCH(ROWS($GO$3:GO27),$GM$3:$GM$400,0),8),"")</f>
        <v/>
      </c>
      <c r="GP27" s="259" t="str">
        <f ca="1">IFERROR(INDEX($GD$3:$GM$400,MATCH(ROWS($GP$3:GP27),$GM$3:$GM$400,0),9),"")</f>
        <v/>
      </c>
      <c r="GQ27" s="259">
        <f t="shared" ca="1" si="28"/>
        <v>0</v>
      </c>
      <c r="GR27" s="259">
        <f t="shared" ca="1" si="104"/>
        <v>0</v>
      </c>
      <c r="GS27" s="259" t="str">
        <f t="shared" si="105"/>
        <v>epilogo a Conto economico</v>
      </c>
      <c r="GT27" s="259" t="str">
        <f ca="1">IFERROR(INDEX($GD$3:$GS$400,MATCH(ROWS($GT$3:GT27),$GM$3:$GM$400,0),16),"")</f>
        <v/>
      </c>
      <c r="GU27" s="259">
        <f ca="1">IF(GQ27&lt;&gt;0,MAX($GU$2:$GU26)+1,0)</f>
        <v>0</v>
      </c>
      <c r="GV27" s="259">
        <f t="shared" ca="1" si="106"/>
        <v>0</v>
      </c>
      <c r="GW27" s="259" t="str">
        <f ca="1">IF(AND(IFERROR(INDEX($GU$3:$GV$400,MATCH(ROWS($GW$3:GW27),$GU$3:$GU$400,0),2),"")&lt;&gt;"",GW28&lt;&gt;""),CONCATENATE(IFERROR(INDEX($GU$3:$GV$400,MATCH(ROWS($GW$3:GW27),$GU$3:$GU$400,0),2),"")," - "),IFERROR(INDEX($GU$3:$GV$400,MATCH(ROWS($GW$3:GW27),$GU$3:$GU$400,0),2),""))</f>
        <v/>
      </c>
      <c r="GX27" s="259">
        <f ca="1">IF(OR(GN27="IVA NS/CREDITO",GN27="IVA NS/DEBITO",GN27="IVA C/ACCONTO",GN27="IMPOSTE C/ACCONTO"),MAX($GX$2:GX26)+1,0)</f>
        <v>0</v>
      </c>
      <c r="GY27" s="259" t="str">
        <f ca="1">IF(AND(IFERROR(INDEX($GN$3:$GX$200,MATCH(ROWS($GY$3:GY27),$GX$3:$GX$200,0),1),"")&lt;&gt;"",GY28&lt;&gt;""),CONCATENATE(IFERROR(INDEX($GN$3:$GX$200,MATCH(ROWS($GY$3:GY27),$GX$3:$GX$200,0),1),"")," - "),IFERROR(INDEX($GN$3:$GX$200,MATCH(ROWS($GY$3:GY27),$GX$3:$GX$200,0),1),""))</f>
        <v/>
      </c>
      <c r="GZ27" s="259" t="s">
        <v>502</v>
      </c>
      <c r="HA27" s="259" t="s">
        <v>503</v>
      </c>
      <c r="HB27" s="269" t="s">
        <v>256</v>
      </c>
      <c r="HC27" s="269" t="s">
        <v>211</v>
      </c>
      <c r="HD27" s="269" t="s">
        <v>266</v>
      </c>
      <c r="HE27" s="269" t="s">
        <v>212</v>
      </c>
      <c r="HL27" s="259" t="str">
        <f t="shared" ca="1" si="29"/>
        <v/>
      </c>
      <c r="HM27" s="259" t="str">
        <f t="shared" ca="1" si="30"/>
        <v/>
      </c>
      <c r="HN27" s="259" t="str">
        <f t="shared" ca="1" si="31"/>
        <v/>
      </c>
      <c r="HO27" s="259">
        <f ca="1">IF(HL27&lt;&gt;"",MAX($HO$2:HO26)+1,0)</f>
        <v>0</v>
      </c>
      <c r="HP27" s="259">
        <f ca="1">IF(HM27&lt;&gt;"",MAX($HP$2:HP26)+1,0)</f>
        <v>0</v>
      </c>
      <c r="HQ27" s="259">
        <f ca="1">IF(HN27&lt;&gt;"",MAX($HQ$2:HQ26)+1,0)</f>
        <v>0</v>
      </c>
      <c r="HR27" s="259" t="str">
        <f t="shared" ca="1" si="107"/>
        <v/>
      </c>
      <c r="HS27" s="259" t="str">
        <f t="shared" ca="1" si="108"/>
        <v/>
      </c>
      <c r="HT27" s="259">
        <f t="shared" ca="1" si="109"/>
        <v>0</v>
      </c>
      <c r="HU27" s="259">
        <f t="shared" ca="1" si="110"/>
        <v>0</v>
      </c>
      <c r="HV27" s="259" t="str">
        <f ca="1">CONCATENATE(IFERROR(INDEX($HS$3:$HT$102,MATCH(ROWS($HV$3:HV27),$HT$3:$HT$102,0),1),""),HR27)</f>
        <v/>
      </c>
      <c r="IC27" s="259">
        <f ca="1">IFERROR(INDEX(PIANO_DEI_CONTI,MATCH(ROWS(DL$3:DL27),$DK$3:DK254,0),2),0)</f>
        <v>0</v>
      </c>
      <c r="ID27" s="259">
        <f t="shared" ca="1" si="111"/>
        <v>0</v>
      </c>
      <c r="IE27" s="259">
        <f t="shared" ca="1" si="112"/>
        <v>0</v>
      </c>
      <c r="IF27" s="259">
        <f t="shared" ca="1" si="113"/>
        <v>0</v>
      </c>
      <c r="IG27" s="259">
        <f ca="1">IF(IG28&gt;0,"",0)</f>
        <v>0</v>
      </c>
      <c r="IH27" s="259">
        <f ca="1">IF(IG27&lt;&gt;0,MAX($IH$19:IH26)+1,0)</f>
        <v>0</v>
      </c>
      <c r="II27" s="259">
        <f>IF(AD27="costi pluriennali",MAX($II$2:II26)+1,0)</f>
        <v>0</v>
      </c>
      <c r="IJ27" s="259">
        <f>IF($AD27="rettifiche costi pluriennali",MAX($IJ$2:IJ26)+1,0)</f>
        <v>0</v>
      </c>
      <c r="IK27" s="259">
        <f t="shared" si="114"/>
        <v>0</v>
      </c>
      <c r="IL27" s="259" t="str">
        <f t="shared" si="115"/>
        <v/>
      </c>
      <c r="IM27" s="259">
        <f t="shared" ca="1" si="116"/>
        <v>0</v>
      </c>
      <c r="IN27" s="259">
        <f t="shared" ca="1" si="141"/>
        <v>0</v>
      </c>
      <c r="IO27" s="259">
        <f>SUMIFS($IM$3:$IM$200,$IK$3:$IK$200,ROWS($IO$3:IO27))-SUMIFS($IN$3:$IN$200,$IK$3:$IK$200,ROWS($IO$3:IO27))</f>
        <v>0</v>
      </c>
      <c r="IP27" s="259" t="str">
        <f>IF(IO27&lt;0,INDEX($IJ$3:$IL$200,MATCH(ROWS($IP$3:IP27),$IJ$3:$IJ$200,0),3),"")</f>
        <v/>
      </c>
      <c r="IQ27" s="259">
        <f>IF(IP27&lt;&gt;"",MAX($IQ$2:IQ26)+1,0)</f>
        <v>0</v>
      </c>
      <c r="IR27" s="259" t="str">
        <f ca="1">IFERROR(INDEX($IP$3:$IQ$200,MATCH(ROWS($IR$3:IR27),$IQ$3:$IQ$200,0),1),"")</f>
        <v/>
      </c>
      <c r="IS27" s="259" t="str">
        <f t="shared" ca="1" si="117"/>
        <v/>
      </c>
      <c r="IT27" s="259" t="str">
        <f t="shared" ca="1" si="118"/>
        <v/>
      </c>
      <c r="IU27" s="259" t="str">
        <f t="shared" ca="1" si="119"/>
        <v/>
      </c>
      <c r="IV27" s="259" t="str">
        <f t="shared" ca="1" si="120"/>
        <v/>
      </c>
      <c r="IW27" s="259" t="str">
        <f t="shared" ca="1" si="121"/>
        <v/>
      </c>
      <c r="IX27" s="259" t="str">
        <f t="shared" ca="1" si="122"/>
        <v/>
      </c>
      <c r="IY27" s="259" t="str">
        <f t="shared" ca="1" si="123"/>
        <v/>
      </c>
      <c r="IZ27" s="259" t="str">
        <f t="shared" ca="1" si="124"/>
        <v/>
      </c>
      <c r="JA27" s="259" t="str">
        <f t="shared" ca="1" si="125"/>
        <v/>
      </c>
      <c r="JB27" s="259">
        <f t="shared" ca="1" si="32"/>
        <v>0</v>
      </c>
      <c r="JC27" s="259">
        <f t="shared" ca="1" si="126"/>
        <v>0</v>
      </c>
      <c r="JE27" s="259">
        <f ca="1">IFERROR(INDEX(LIBRO_GIORNALE!$N$11:$O$408,MATCH(ROWS($JE$2:JE26),LIBRO_GIORNALE!$O$11:$O$408,0),1),0)</f>
        <v>0</v>
      </c>
      <c r="JF27" s="259" t="str">
        <f t="shared" ca="1" si="127"/>
        <v>0</v>
      </c>
      <c r="JG27" s="259">
        <f t="shared" ca="1" si="128"/>
        <v>0</v>
      </c>
      <c r="JH27" s="259">
        <f ca="1">IF(JJ27&gt;0,0,MAX($JH$2:JH26)+1)</f>
        <v>25</v>
      </c>
      <c r="JI27" s="259">
        <f ca="1">IF(JG27&gt;0,MAX($JI$2:JI26)+1,0)</f>
        <v>0</v>
      </c>
      <c r="JJ27" s="259">
        <f ca="1">IFERROR(INDEX($JG$3:$JI$124,MATCH(ROWS($JJ$3:JJ27),$JI$3:$JI$124,0),1),0)</f>
        <v>0</v>
      </c>
      <c r="JK27" s="259">
        <f t="shared" ca="1" si="129"/>
        <v>0</v>
      </c>
      <c r="JL27" s="259">
        <f t="shared" ca="1" si="130"/>
        <v>25</v>
      </c>
      <c r="JM27" s="259">
        <v>24</v>
      </c>
    </row>
    <row r="28" spans="1:273">
      <c r="A28" s="259" t="str">
        <f t="shared" si="33"/>
        <v>02.30</v>
      </c>
      <c r="B28" s="259" t="str">
        <f t="shared" si="34"/>
        <v>FORNITORI IMMOBILIZZ. MATERIALI C/ACCONTI</v>
      </c>
      <c r="C28" s="259" t="str">
        <f t="shared" si="35"/>
        <v>F</v>
      </c>
      <c r="D28" s="259" t="str">
        <f t="shared" si="36"/>
        <v>D</v>
      </c>
      <c r="E28" s="259" t="str">
        <f t="shared" si="37"/>
        <v>CREDITI</v>
      </c>
      <c r="F28" s="259" t="str">
        <f t="shared" si="38"/>
        <v>SP DARE</v>
      </c>
      <c r="G28" s="259">
        <f t="shared" ca="1" si="39"/>
        <v>1</v>
      </c>
      <c r="H28" s="259">
        <f t="shared" ca="1" si="40"/>
        <v>1</v>
      </c>
      <c r="I28" s="259">
        <f t="shared" ca="1" si="41"/>
        <v>1</v>
      </c>
      <c r="J28" s="259">
        <v>25</v>
      </c>
      <c r="K28" s="259" t="str">
        <f ca="1">IFERROR(IF($I$1=1,INDEX($AA$3:$AS$220,MATCH(ROWS($K$3:K28),$AQ$3:$AQ$220,0),1),IF($I$1=2,INDEX($AA$3:$AS$220,MATCH(ROWS($K$3:K28),$AR$3:$AR$220,0),1),IF($I$1=3,INDEX($AA$3:$AS$220,MATCH(ROWS($K$3:K28),$AS$3:$AS$220,0),1),""))),"")</f>
        <v>MATERIE DI CONSUMO</v>
      </c>
      <c r="L28" s="259">
        <f ca="1">IF(AND($L$1="VISUALIZZA TUTTI I CONTI",K28&lt;&gt;""),MAX(L27:L27)+1,IFERROR(IF($J$1=1,IF(INDEX(PIANO_DEI_CONTI,MATCH($K28,DENOMINAZIONE,0),5)=$L$1,MAX($L$2:L27)+1,0),IF($J$1=2,IF(INDEX(PIANO_DEI_CONTI,MATCH($K28,DENOMINAZIONE,0),7)=$L$1,MAX($L$2:L27)+1,0))),0))</f>
        <v>26</v>
      </c>
      <c r="M28" s="259" t="str">
        <f ca="1">IFERROR(INDEX($K$3:$K$220,MATCH(ROWS($M$3:M28),$L$3:$L$220,0),1),"")</f>
        <v>MATERIE DI CONSUMO</v>
      </c>
      <c r="N28" s="259" t="str">
        <f t="shared" si="143"/>
        <v>FONDI PER RISCHI E ONERI</v>
      </c>
      <c r="O28" s="259" t="str">
        <f t="shared" ca="1" si="142"/>
        <v>FONDI PER RISCHI E ONERI</v>
      </c>
      <c r="P28" s="259">
        <f ca="1">IF(AND(N28=O28,O28&lt;&gt;""),MAX(P$2:P27)+1,0)</f>
        <v>11</v>
      </c>
      <c r="Q28" s="259" t="str">
        <f ca="1">IF(IFERROR(INDEX($O$3:$P$220,MATCH(ROWS(Q$3:Q28),$P$3:$P$220,0),1),"")=0,"",IFERROR(INDEX($O$3:$P$220,MATCH(ROWS(Q$3:Q28),$P$3:$P$220,0),1),""))</f>
        <v>SVALUTAZIONI</v>
      </c>
      <c r="R28" s="259" t="str">
        <f t="shared" si="1"/>
        <v>MATERIE DI CONSUMO</v>
      </c>
      <c r="S28" s="259">
        <f ca="1">IF(IFERROR(MATCH(R28,DENOMINAZIONE_GIORNALE,0),0)&gt;0,MAX(S$2:S27)+1,0)</f>
        <v>0</v>
      </c>
      <c r="T28" s="259" t="str">
        <f ca="1">IFERROR(INDEX($R$3:$S$220,MATCH(ROWS($T$3:T28),$S$3:$S$220,0),1),"")</f>
        <v/>
      </c>
      <c r="U28" s="259">
        <f t="shared" ca="1" si="2"/>
        <v>0</v>
      </c>
      <c r="V28" s="259">
        <f ca="1">IF(IF(U28&lt;&gt;0,MAX($V$2:V27)+1,0)=0,0,IF(U28&lt;&gt;0,MAX($V$2:V27)+1,0))</f>
        <v>0</v>
      </c>
      <c r="W28" s="259" t="str">
        <f t="shared" si="43"/>
        <v>02.30</v>
      </c>
      <c r="X28" s="259" t="str">
        <f t="shared" si="44"/>
        <v>FORNITORI IMMOBILIZZ. MATERIALI C/ACCONTI</v>
      </c>
      <c r="Y28" s="259">
        <f>IF(W28="",0,MAX($Y$2:Y27)+1)</f>
        <v>24</v>
      </c>
      <c r="Z28" s="259" t="str">
        <f>IFERROR(INDEX($W$3:$Y$220,MATCH(ROWS($Z$2:Z27),$Y$3:$Y$220,0),1),"")</f>
        <v>04.01</v>
      </c>
      <c r="AA28" s="259" t="str">
        <f t="shared" si="45"/>
        <v>MATERIE DI CONSUMO</v>
      </c>
      <c r="AB28" s="259" t="str">
        <f t="shared" si="46"/>
        <v>E</v>
      </c>
      <c r="AC28" s="259" t="str">
        <f t="shared" si="47"/>
        <v>D</v>
      </c>
      <c r="AD28" s="259" t="str">
        <f t="shared" si="48"/>
        <v>COSTI SOSPESI</v>
      </c>
      <c r="AE28" s="259" t="str">
        <f t="shared" si="49"/>
        <v>SP DARE</v>
      </c>
      <c r="AF28" s="259" t="str">
        <f t="shared" si="50"/>
        <v>RIMANENZE</v>
      </c>
      <c r="AG28" s="259">
        <f t="shared" ca="1" si="51"/>
        <v>1</v>
      </c>
      <c r="AH28" s="259">
        <f t="shared" ca="1" si="52"/>
        <v>1</v>
      </c>
      <c r="AI28" s="259">
        <f t="shared" ca="1" si="53"/>
        <v>1</v>
      </c>
      <c r="AJ28" s="259" t="str">
        <f t="shared" si="54"/>
        <v>04</v>
      </c>
      <c r="AK28" s="259" t="str">
        <f t="shared" si="55"/>
        <v/>
      </c>
      <c r="AL28" s="259">
        <f>IF(AK28&lt;&gt;"",MAX($AL$2:AL27)+1,0)</f>
        <v>0</v>
      </c>
      <c r="AM28" s="259" t="str">
        <f>IFERROR(INDEX($AK$3:$AL$220,MATCH(ROWS($AM$3:AM28),$AL$3:$AL$220,0),1),"")</f>
        <v>37</v>
      </c>
      <c r="AN28" s="259" t="str">
        <f t="shared" si="56"/>
        <v>37.00</v>
      </c>
      <c r="AO28" s="259" t="str">
        <f t="shared" si="57"/>
        <v>VARIAZIONI RIMANENZE MERCI E MATERIE DI CONSUMO</v>
      </c>
      <c r="AP28" s="259" t="str">
        <f t="shared" si="58"/>
        <v>RIMANENZE</v>
      </c>
      <c r="AQ28" s="259">
        <f ca="1">IF(OR(AG28=0,AG28=""),0,MAX(AQ$2:AQ27)+1)</f>
        <v>14</v>
      </c>
      <c r="AR28" s="259">
        <f ca="1">IF(OR(AH28=0,AH28=""),0,MAX(AR$2:AR27)+1)</f>
        <v>23</v>
      </c>
      <c r="AS28" s="259">
        <f ca="1">IF(OR(AI28=0,AI28=""),0,MAX(AS$2:AS27)+1)</f>
        <v>26</v>
      </c>
      <c r="AT28" s="259" t="str">
        <f ca="1">IFERROR(INDEX($AD$3:$AS$220,MATCH(ROWS(AT$3:AT28),AQ$3:AQ$220,0),1),"")</f>
        <v>CREDITI</v>
      </c>
      <c r="AU28" s="259" t="str">
        <f ca="1">IFERROR(INDEX($AD$3:$AS$220,MATCH(ROWS(AU$3:AU28),AR$3:AR$220,0),1),"")</f>
        <v>CREDITI</v>
      </c>
      <c r="AV28" s="259" t="str">
        <f ca="1">IFERROR(INDEX($AD$3:$AS$220,MATCH(ROWS(AV$3:AV28),AS$3:AS$220,0),1),"")</f>
        <v>COSTI SOSPESI</v>
      </c>
      <c r="AW28" s="259" t="str">
        <f ca="1">IFERROR(INDEX($AP$3:$AS$220,MATCH(ROWS(AW$3:AW28),AQ$3:AQ$220,0),1),"")</f>
        <v>CREDITI DIVERSI</v>
      </c>
      <c r="AX28" s="259" t="str">
        <f ca="1">IFERROR(INDEX($AP$3:$AS$220,MATCH(ROWS(AX$3:AX28),AR$3:AR$220,0),1),"")</f>
        <v>CREDITI COMMERCIALI</v>
      </c>
      <c r="AY28" s="259" t="str">
        <f ca="1">IFERROR(INDEX($AP$3:$AS$220,MATCH(ROWS(AY$3:AY28),AS$3:AS$220,0),1),"")</f>
        <v>RIMANENZE</v>
      </c>
      <c r="AZ28" s="276" t="str">
        <f t="shared" ca="1" si="59"/>
        <v/>
      </c>
      <c r="BA28" s="259">
        <f t="shared" ca="1" si="3"/>
        <v>0</v>
      </c>
      <c r="BB28" s="259">
        <f ca="1">IFERROR(INDEX($FG$3:$FL$400,MATCH(ROWS($BB$3:BB28),$FL$3:$FL$400,0),1),0)</f>
        <v>0</v>
      </c>
      <c r="BC28" s="259" t="str">
        <f t="shared" ca="1" si="60"/>
        <v/>
      </c>
      <c r="BD28" s="259">
        <f ca="1">IFERROR(INDEX($FG$3:$FL$400,MATCH(ROWS($BD$3:BD28),$FL$3:$FL$400,0),4),0)</f>
        <v>0</v>
      </c>
      <c r="BE28" s="259">
        <f ca="1">IFERROR(INDEX($FG$3:$FL$400,MATCH(ROWS($BE$3:BE28),$FL$3:$FL$400,0),5),0)</f>
        <v>0</v>
      </c>
      <c r="BG28" s="259" t="str">
        <f t="shared" si="4"/>
        <v/>
      </c>
      <c r="BH28" s="259">
        <f ca="1">IF(IFERROR(MATCH(BG28,DENOMINAZIONE_GIORNALE,0),0)&gt;0,MAX(BH$2:BH27)+1,0)</f>
        <v>0</v>
      </c>
      <c r="BI28" s="259" t="str">
        <f ca="1">IFERROR(INDEX($BG$3:$BH$220,MATCH(ROWS($BI$3:BI28),$BH$3:$BH$220,0),1),"")</f>
        <v/>
      </c>
      <c r="BJ28" s="259" t="str">
        <f t="shared" ca="1" si="5"/>
        <v/>
      </c>
      <c r="BK28" s="259" t="str">
        <f ca="1">IF(IF(BJ28&lt;&gt;"",MAX($BK$2:BK27)+1,0)=0,"",IF(BJ28&lt;&gt;"",MAX($BK$2:BK27)+1,0))</f>
        <v/>
      </c>
      <c r="BL28" s="259" t="str">
        <f ca="1">IFERROR(INDEX($T$3:$U$220, MATCH(ROWS(BL$3:BL28),$V$3:$V$220,0),1),"")</f>
        <v/>
      </c>
      <c r="BM28" s="259" t="str">
        <f ca="1">IFERROR(INDEX($T$3:$U$220, MATCH(ROWS(BM$3:BM28),$V$3:$V$220,0),2),"")</f>
        <v/>
      </c>
      <c r="BN28" s="259" t="str">
        <f ca="1">IF(IFERROR(INDEX($BI$3:$BJ$220,MATCH(ROWS(BN$3:BN28),$BK$3:$BK$220,0),1),"")="PATRIMONIO NETTO","",IFERROR(INDEX($BI$3:$BJ$220,MATCH(ROWS(BN$3:BN28),$BK$3:$BK$220,0),1),""))</f>
        <v/>
      </c>
      <c r="BO28" s="259" t="str">
        <f ca="1">IFERROR(INDEX($BI$3:$BJ$220,MATCH(ROWS(BO$3:BO28),$BK$3:$BK$220,0),2),"")</f>
        <v/>
      </c>
      <c r="BP28" s="259">
        <f ca="1">IF(BN28&lt;&gt;"",MAX(BP$2:$BP27)+1,0)</f>
        <v>0</v>
      </c>
      <c r="BQ28" s="259" t="str">
        <f ca="1">IFERROR(INDEX($BN$3:$BO$200,MATCH(ROWS(BQ$3:BQ28),$BP$3:$BP$220,0),1),"")</f>
        <v/>
      </c>
      <c r="BR28" s="259" t="str">
        <f ca="1">IFERROR(INDEX($BN$3:$BO$220,MATCH(ROWS(BR$3:BR28),$BP$3:$BP$220,0),2),"")</f>
        <v/>
      </c>
      <c r="BS28" s="259" t="str">
        <f ca="1">IFERROR(IF(OR(INDEX($T$3:$U$220,MATCH(ROWS(BL$3:BL28),$V$3:$V$220,0),1)="PRELEVAMENTI EXTRAGESTIONE",INDEX($T$3:$U$220,MATCH(ROWS(BL$3:BL28),$V$3:$V$220,0),1)="TITOLARE C/RITENUTE SUBITE"),"",INDEX($T$3:$U$220,MATCH(ROWS(BL$3:BL28),$V$3:$V$220,0),1)),"")</f>
        <v/>
      </c>
      <c r="BT28" s="259">
        <f t="shared" ca="1" si="61"/>
        <v>0</v>
      </c>
      <c r="BU28" s="259">
        <f ca="1">IF(BS28&lt;&gt;"",MAX(BU$2:BU27)+1,0)</f>
        <v>0</v>
      </c>
      <c r="BV28" s="259" t="str">
        <f ca="1">IFERROR(INDEX($BS$3:$BT$223,MATCH(ROWS(BV$3:BV28),$BU$3:$BU$223,0),1),"")</f>
        <v/>
      </c>
      <c r="BW28" s="259">
        <f t="shared" ca="1" si="62"/>
        <v>0</v>
      </c>
      <c r="BX28" s="259" t="str">
        <f t="shared" ca="1" si="63"/>
        <v/>
      </c>
      <c r="BY28" s="259" t="str">
        <f t="shared" ca="1" si="64"/>
        <v/>
      </c>
      <c r="BZ28" s="259" t="str">
        <f ca="1">IFERROR(IF(OR($DS$231&lt;&gt;$DT$231,$DU$231&lt;&gt;$DV$231,$EO$25&lt;&gt;0,$EO$26&lt;&gt;0),INDEX($T$3:$V$220,MATCH(ROWS($BV$3:BV28),$V$3:$V$220,0),1),CONCATENATE(BV28,BY28)),"")</f>
        <v/>
      </c>
      <c r="CA28" s="259">
        <f t="shared" ca="1" si="65"/>
        <v>0</v>
      </c>
      <c r="CB28" s="259" t="str">
        <f ca="1">IFERROR(IF(OR($BB$1&lt;&gt;$BD$1,$BC$1&lt;&gt;$BE$1,$DS$231&lt;&gt;$DT$231,$DU$231&lt;&gt;$DV$231,$EO$25&lt;&gt;0,$EO$26&lt;&gt;0),INDEX($BI$3:$BK$220,MATCH(ROWS($CB$3:CB28),$BK$3:$BK$220,0),1),CONCATENATE(BQ28,BX28)),"")</f>
        <v/>
      </c>
      <c r="CC28" s="259" t="str">
        <f t="shared" ca="1" si="66"/>
        <v/>
      </c>
      <c r="CD28" s="259" t="str">
        <f t="shared" si="6"/>
        <v/>
      </c>
      <c r="CE28" s="259">
        <f ca="1">IF(IFERROR(MATCH(CD28,DENOMINAZIONE_GIORNALE,0),0)&gt;0,MAX(CE$2:CE27)+1,0)</f>
        <v>0</v>
      </c>
      <c r="CF28" s="259" t="str">
        <f ca="1">IFERROR(INDEX($CD$3:$CE$220,MATCH(ROWS($CF$3:CF28),$CE$3:$CE$220,0),1),"")</f>
        <v/>
      </c>
      <c r="CG28" s="259">
        <f t="shared" ca="1" si="7"/>
        <v>0</v>
      </c>
      <c r="CH28" s="259" t="str">
        <f ca="1">IF(IF(CG28&lt;&gt;0,MAX($CH$2:CH27)+1,0)=0,"",IF(CG28&lt;&gt;"",MAX($CH$2:CH27)+1,0))</f>
        <v/>
      </c>
      <c r="CI28" s="259" t="str">
        <f ca="1">IFERROR(INDEX($CF$3:$CG$220,MATCH(ROWS($CI$3:CI28),$CH$3:$CH$220,0),1),"")</f>
        <v/>
      </c>
      <c r="CJ28" s="259" t="str">
        <f t="shared" ca="1" si="67"/>
        <v/>
      </c>
      <c r="CK28" s="259" t="str">
        <f t="shared" si="8"/>
        <v/>
      </c>
      <c r="CL28" s="259">
        <f ca="1">IF(IFERROR(MATCH(CK28,DENOMINAZIONE_GIORNALE,0),0)&gt;0,MAX(CL$2:CL27)+1,0)</f>
        <v>0</v>
      </c>
      <c r="CM28" s="259" t="str">
        <f ca="1">IFERROR(INDEX($CK$3:$CL$220,MATCH(ROWS($CM$3:CM28),$CL$3:$CL$220,0),1),"")</f>
        <v/>
      </c>
      <c r="CN28" s="259" t="str">
        <f t="shared" ca="1" si="9"/>
        <v/>
      </c>
      <c r="CO28" s="259">
        <f ca="1">IF(IF(CN28&lt;&gt;0,MAX($CO$2:CO27)+1,0)=0,"",IF(CN28&lt;&gt;"",MAX($CO$2:CO27)+1,0))</f>
        <v>0</v>
      </c>
      <c r="CP28" s="259" t="str">
        <f ca="1">IFERROR(INDEX($CM$3:$CN$220,MATCH(ROWS(CP$3:CP28),$CO$3:$CO$220,0),1),"")</f>
        <v/>
      </c>
      <c r="CQ28" s="259" t="str">
        <f ca="1">IFERROR(INDEX($CM$3:$CN$220,MATCH(ROWS(CQ$3:CQ28),$CO$3:$CO$220,0),2),"")</f>
        <v/>
      </c>
      <c r="CR28" s="259" t="str">
        <f t="shared" ca="1" si="10"/>
        <v/>
      </c>
      <c r="CS28" s="259">
        <f t="shared" ca="1" si="11"/>
        <v>0</v>
      </c>
      <c r="CT28" s="259">
        <f t="shared" ca="1" si="12"/>
        <v>0</v>
      </c>
      <c r="CU28" s="259">
        <f ca="1">IF(OR(CS28&gt;0,CT28&gt;0),MAX($CU$2:CU27)+1,0)</f>
        <v>0</v>
      </c>
      <c r="CV28" s="259" t="str">
        <f ca="1">IFERROR(INDEX(PIANO_DEI_CONTI,MATCH(ROWS($CV$3:CV28),$CU$3:$CU$200,0),2),"")</f>
        <v/>
      </c>
      <c r="CW28" s="259">
        <f ca="1">IFERROR(IF(CV28&lt;&gt;"",MAX($CW$2:CW27)+1,0),0)</f>
        <v>0</v>
      </c>
      <c r="CX28" s="259">
        <f t="shared" ca="1" si="145"/>
        <v>2</v>
      </c>
      <c r="CY28" s="259" t="str">
        <f t="shared" ca="1" si="144"/>
        <v>MASTRO</v>
      </c>
      <c r="CZ28" s="259" t="e">
        <f t="shared" ca="1" si="147"/>
        <v>#N/A</v>
      </c>
      <c r="DA28" s="259" t="str">
        <f t="shared" ca="1" si="152"/>
        <v/>
      </c>
      <c r="DB28" s="259" t="str">
        <f t="shared" ca="1" si="148"/>
        <v/>
      </c>
      <c r="DC28" s="259" t="str">
        <f t="shared" ca="1" si="149"/>
        <v/>
      </c>
      <c r="DD28" s="259" t="str">
        <f ca="1">IFERROR(IF(INDEX(LIBRO_GIORNALE,CZ28,5)&gt;0,INDEX(LIBRO_GIORNALE,CZ28,5),""),"")</f>
        <v/>
      </c>
      <c r="DE28" s="259" t="str">
        <f t="shared" ca="1" si="151"/>
        <v/>
      </c>
      <c r="DF28" s="259">
        <f ca="1">IF(AND(CX28=$DE$2,$DF$2&lt;&gt;0),0,IF(AND(DB28&lt;&gt;"",OR(DB27&lt;&gt;"",DB29&lt;&gt;"")),MAX($DF$2:DF27)+1,0))</f>
        <v>0</v>
      </c>
      <c r="DG28" s="259" t="str">
        <f>IF(OR(VALORI_INIZIALI!E33="",AND(VALORI_INIZIALI!E33&lt;&gt;"",VALORI_INIZIALI!H33=0,VALORI_INIZIALI!I33=0)),"",IFERROR(INDEX(PIANO_DEI_CONTI,MATCH(BB28,DENOMINAZIONE,0),1),0))</f>
        <v/>
      </c>
      <c r="DH28" s="259">
        <f ca="1">IFERROR(IF($J$1=1,IF(INDEX(PIANO_DEI_CONTI,MATCH($K28,DENOMINAZIONE,0),5)=$DF$1,MAX($DH$2:DH27)+1,0),IF($J$1=2,IF(INDEX(PIANO_DEI_CONTI,MATCH($K28,DENOMINAZIONE,0),7)=$DF$1,MAX($DH$2:DH27)+1,0))),0)</f>
        <v>0</v>
      </c>
      <c r="DI28" s="259">
        <f ca="1">IFERROR(INDEX($K$3:$K$220,MATCH(ROWS($DI$3:DI28),$DH$3:$DH$220,0),1),0)</f>
        <v>0</v>
      </c>
      <c r="DJ28" s="259">
        <f t="shared" ca="1" si="14"/>
        <v>0</v>
      </c>
      <c r="DK28" s="259">
        <f ca="1">IF(DJ28=0,0,MAX(DK$2:DK27)+1)</f>
        <v>0</v>
      </c>
      <c r="DL28" s="259">
        <f ca="1">IFERROR(INDEX(PIANO_DEI_CONTI,MATCH(ROWS(DL$3:DL28),$DK$3:DK255,0),2),0)</f>
        <v>0</v>
      </c>
      <c r="DM28" s="259">
        <f t="shared" ca="1" si="15"/>
        <v>0</v>
      </c>
      <c r="DN28" s="259">
        <f t="shared" ca="1" si="16"/>
        <v>0</v>
      </c>
      <c r="DO28" s="259">
        <f t="shared" ca="1" si="69"/>
        <v>0</v>
      </c>
      <c r="DP28" s="259">
        <f t="shared" ca="1" si="70"/>
        <v>0</v>
      </c>
      <c r="DQ28" s="259">
        <f ca="1">IF(OR($DQ$1="TOTALI",$DQ$1="TOTALI ED ECCEDENZE"),IF(OR(DM28&gt;0,DN28&gt;0),MAX(DQ$2:DQ27)+1,0),IF($DQ$1="ECCEDENZE",IF(OR(DO28&gt;0,DP28&gt;0),MAX(DQ$2:DQ27)+1,0),""))</f>
        <v>0</v>
      </c>
      <c r="DR28" s="259" t="str">
        <f ca="1">IFERROR(INDEX($DL$3:$DQ$230,MATCH(ROWS(DR$3:DR28),$DQ$3:$DQ$230,0),1),"")</f>
        <v/>
      </c>
      <c r="DS28" s="259" t="str">
        <f t="shared" ca="1" si="71"/>
        <v/>
      </c>
      <c r="DT28" s="259" t="str">
        <f t="shared" ca="1" si="72"/>
        <v/>
      </c>
      <c r="DU28" s="259" t="str">
        <f t="shared" ca="1" si="73"/>
        <v/>
      </c>
      <c r="DV28" s="259" t="str">
        <f t="shared" ca="1" si="74"/>
        <v/>
      </c>
      <c r="DW28" s="259">
        <f t="shared" ca="1" si="75"/>
        <v>0</v>
      </c>
      <c r="DX28" s="259" t="str">
        <f t="shared" ca="1" si="76"/>
        <v/>
      </c>
      <c r="DY28" s="259" t="str">
        <f t="shared" ca="1" si="77"/>
        <v/>
      </c>
      <c r="DZ28" s="259" t="str">
        <f t="shared" ca="1" si="78"/>
        <v/>
      </c>
      <c r="EA28" s="259">
        <f t="shared" ca="1" si="79"/>
        <v>26</v>
      </c>
      <c r="EB28" s="259" t="s">
        <v>352</v>
      </c>
      <c r="ED28" s="259">
        <f t="shared" ca="1" si="17"/>
        <v>0</v>
      </c>
      <c r="EE28" s="259" t="str">
        <f t="shared" ca="1" si="18"/>
        <v/>
      </c>
      <c r="EF28" s="259" t="str">
        <f t="shared" ca="1" si="19"/>
        <v/>
      </c>
      <c r="EG28" s="259" t="str">
        <f t="shared" ca="1" si="136"/>
        <v/>
      </c>
      <c r="EH28" s="259" t="str">
        <f t="shared" ca="1" si="80"/>
        <v/>
      </c>
      <c r="EI28" s="260" t="b">
        <f t="shared" ca="1" si="137"/>
        <v>1</v>
      </c>
      <c r="EJ28" s="260" t="b">
        <f t="shared" ca="1" si="138"/>
        <v>1</v>
      </c>
      <c r="EK28" s="260" t="b">
        <f t="shared" ca="1" si="139"/>
        <v>1</v>
      </c>
      <c r="EL28" s="259">
        <f t="shared" si="81"/>
        <v>26</v>
      </c>
      <c r="EM28" s="259">
        <f ca="1">IF(AND(BA28&gt;0,BA28&lt;=$EM$1),MAX($EM$2:EM27)+1,0)</f>
        <v>0</v>
      </c>
      <c r="EN28" s="259">
        <f t="shared" ca="1" si="82"/>
        <v>28</v>
      </c>
      <c r="EP28" s="259" t="str">
        <f t="shared" ca="1" si="20"/>
        <v/>
      </c>
      <c r="EQ28" s="259">
        <f t="shared" ca="1" si="21"/>
        <v>0</v>
      </c>
      <c r="ER28" s="259">
        <f ca="1">IF(ISNA(EQ28),MAX(ER$2:ER27)+1,0)</f>
        <v>0</v>
      </c>
      <c r="ES28" s="259" t="str">
        <f t="shared" ca="1" si="83"/>
        <v/>
      </c>
      <c r="ET28" s="259" t="str">
        <f ca="1">IFERROR(UPPER(INDEX($ER$3:$ES$500,MATCH(ROWS(ET$3:ET28),$ER$3:$ER$500,0),2)),"")</f>
        <v/>
      </c>
      <c r="EW28" s="259" t="str">
        <f ca="1">IF(AND(IFERROR(INDEX($EU$3:$EV$30,MATCH(ROWS($EX$3:EX28),$EV$3:$EV$30,0),1),"")&lt;&gt;"",EW29&lt;&gt;""),CONCATENATE(IFERROR(INDEX($EU$3:$EV$30,MATCH(ROWS($EX$3:EX28),$EV$3:$EV$30,0),1),"")," - "),IFERROR(INDEX($EU$3:$EV$30,MATCH(ROWS($EX$3:EX28),$EV$3:$EV$30,0),1),""))</f>
        <v/>
      </c>
      <c r="EY28" s="259">
        <f t="shared" ca="1" si="84"/>
        <v>0</v>
      </c>
      <c r="EZ28" s="259">
        <f t="shared" ca="1" si="84"/>
        <v>0</v>
      </c>
      <c r="FA28" s="259" t="str">
        <f t="shared" ca="1" si="85"/>
        <v/>
      </c>
      <c r="FB28" s="259">
        <f t="shared" ca="1" si="86"/>
        <v>0</v>
      </c>
      <c r="FC28" s="259">
        <f t="shared" ca="1" si="87"/>
        <v>0</v>
      </c>
      <c r="FD28" s="259">
        <f t="shared" ca="1" si="22"/>
        <v>0</v>
      </c>
      <c r="FE28" s="259" t="str">
        <f t="shared" ca="1" si="23"/>
        <v/>
      </c>
      <c r="FF28" s="259" t="str">
        <f t="shared" ca="1" si="88"/>
        <v/>
      </c>
      <c r="FG28" s="259" t="str">
        <f t="shared" si="89"/>
        <v>MATERIE DI CONSUMO</v>
      </c>
      <c r="FH28" s="259">
        <f t="shared" ca="1" si="24"/>
        <v>0</v>
      </c>
      <c r="FI28" s="259">
        <f t="shared" ca="1" si="25"/>
        <v>0</v>
      </c>
      <c r="FJ28" s="259">
        <f t="shared" ca="1" si="90"/>
        <v>0</v>
      </c>
      <c r="FK28" s="259">
        <f t="shared" ca="1" si="91"/>
        <v>0</v>
      </c>
      <c r="FL28" s="259">
        <f ca="1">IF(OR(FJ28&gt;0,FK28&gt;0),MAX($FL$2:FL27)+1,0)</f>
        <v>0</v>
      </c>
      <c r="FM28" s="259">
        <f t="shared" ca="1" si="26"/>
        <v>0</v>
      </c>
      <c r="FN28" s="259">
        <f ca="1">IF(FM28&lt;0,MAX($FN$2:FN27)+1,0)</f>
        <v>0</v>
      </c>
      <c r="FO28" s="259" t="str">
        <f t="shared" ca="1" si="92"/>
        <v/>
      </c>
      <c r="FP28" s="259" t="str">
        <f ca="1">IFERROR(INDEX($FN$3:$FO$400,MATCH(ROWS($FP$3:FP28),$FN$3:$FN$400,0),2),"")</f>
        <v/>
      </c>
      <c r="FQ28" s="259" t="str">
        <f>IF(AE28="SE AVERE",MAX($FQ$2:FQ27)+1,"")</f>
        <v/>
      </c>
      <c r="FR28" s="259" t="str">
        <f>IF(AE28="SE DARE",MAX($FR$2:FR27)+1,"")</f>
        <v/>
      </c>
      <c r="FS28" s="259">
        <f ca="1">IF(AND(AE28="SP DARE",AA28&lt;&gt;$FS$1,AA28&lt;&gt;$FT$1),MAX($FS$2:FS27)+1,IF(AND(GQ28="SP DARE",AA28&lt;&gt;$FS$1,AA28&lt;&gt;$FT$1),MAX($FS$2:FS27)+1,""))</f>
        <v>104</v>
      </c>
      <c r="FT28" s="259" t="str">
        <f ca="1">IF(AND(AE28="SP AVERE",AA28&lt;&gt;$FU$1),MAX($FT$2:FT27)+1,IF(AND(GQ28="SP AVERE",AA28&lt;&gt;$FU$1),MAX($FT$2:FT27)+1,""))</f>
        <v/>
      </c>
      <c r="FU28" s="259">
        <f t="shared" ca="1" si="93"/>
        <v>104</v>
      </c>
      <c r="FV28" s="259" t="str">
        <f t="shared" si="94"/>
        <v>MATERIE DI CONSUMO</v>
      </c>
      <c r="FW28" s="259" t="str">
        <f ca="1">IFERROR(INDEX($FU$3:$FV$500,MATCH(ROWS($FW$3:FW28),$FU$3:$FU$500,0),2),0)</f>
        <v>MATERIE DI CONSUMO C/ACQUISTI</v>
      </c>
      <c r="FX28" s="259">
        <f t="shared" ca="1" si="95"/>
        <v>26</v>
      </c>
      <c r="FY28" s="259">
        <f t="shared" ca="1" si="96"/>
        <v>0</v>
      </c>
      <c r="FZ28" s="259">
        <f ca="1">IF(FY28&gt;0,MAX($FZ$2:FZ27)+1,0)</f>
        <v>0</v>
      </c>
      <c r="GA28" s="259">
        <f ca="1">IFERROR(INDEX($FY$3:$FZ$500,MATCH(ROWS($GA$3:GA28),$FZ$3:$FZ$500,0),1),0)</f>
        <v>0</v>
      </c>
      <c r="GC28" s="259">
        <f t="shared" ca="1" si="97"/>
        <v>26</v>
      </c>
      <c r="GD28" s="259" t="str">
        <f t="shared" ca="1" si="98"/>
        <v>MATERIE DI CONSUMO C/ACQUISTI</v>
      </c>
      <c r="GG28" s="259">
        <f t="shared" ca="1" si="27"/>
        <v>0</v>
      </c>
      <c r="GH28" s="259">
        <f t="shared" ca="1" si="99"/>
        <v>0</v>
      </c>
      <c r="GI28" s="259">
        <f t="shared" ca="1" si="100"/>
        <v>0</v>
      </c>
      <c r="GJ28" s="259">
        <f t="shared" ca="1" si="101"/>
        <v>0</v>
      </c>
      <c r="GK28" s="259">
        <f t="shared" ca="1" si="102"/>
        <v>0</v>
      </c>
      <c r="GL28" s="259">
        <f t="shared" ca="1" si="103"/>
        <v>0</v>
      </c>
      <c r="GM28" s="259">
        <f ca="1">IF(OR(GK28&gt;0,GL28&gt;0),MAX($GM$2:GM27)+1,0)</f>
        <v>0</v>
      </c>
      <c r="GN28" s="259" t="str">
        <f ca="1">IFERROR(INDEX($GD$3:$GM$400,MATCH(ROWS($GN$3:GN28),$GM$3:$GM$400,0),1),"")</f>
        <v/>
      </c>
      <c r="GO28" s="259" t="str">
        <f ca="1">IFERROR(INDEX($GD$3:$GM$400,MATCH(ROWS($GO$3:GO28),$GM$3:$GM$400,0),8),"")</f>
        <v/>
      </c>
      <c r="GP28" s="259" t="str">
        <f ca="1">IFERROR(INDEX($GD$3:$GM$400,MATCH(ROWS($GP$3:GP28),$GM$3:$GM$400,0),9),"")</f>
        <v/>
      </c>
      <c r="GQ28" s="259">
        <f t="shared" ca="1" si="28"/>
        <v>0</v>
      </c>
      <c r="GR28" s="259">
        <f t="shared" ca="1" si="104"/>
        <v>0</v>
      </c>
      <c r="GS28" s="259" t="str">
        <f t="shared" si="105"/>
        <v>epilogo a Conto economico</v>
      </c>
      <c r="GT28" s="259" t="str">
        <f ca="1">IFERROR(INDEX($GD$3:$GS$400,MATCH(ROWS($GT$3:GT28),$GM$3:$GM$400,0),16),"")</f>
        <v/>
      </c>
      <c r="GU28" s="259">
        <f ca="1">IF(GQ28&lt;&gt;0,MAX($GU$2:$GU27)+1,0)</f>
        <v>0</v>
      </c>
      <c r="GV28" s="259">
        <f t="shared" ca="1" si="106"/>
        <v>0</v>
      </c>
      <c r="GW28" s="259" t="str">
        <f ca="1">IF(AND(IFERROR(INDEX($GU$3:$GV$400,MATCH(ROWS($GW$3:GW28),$GU$3:$GU$400,0),2),"")&lt;&gt;"",GW29&lt;&gt;""),CONCATENATE(IFERROR(INDEX($GU$3:$GV$400,MATCH(ROWS($GW$3:GW28),$GU$3:$GU$400,0),2),"")," - "),IFERROR(INDEX($GU$3:$GV$400,MATCH(ROWS($GW$3:GW28),$GU$3:$GU$400,0),2),""))</f>
        <v/>
      </c>
      <c r="GX28" s="259">
        <f ca="1">IF(OR(GN28="IVA NS/CREDITO",GN28="IVA NS/DEBITO",GN28="IVA C/ACCONTO",GN28="IMPOSTE C/ACCONTO"),MAX($GX$2:GX27)+1,0)</f>
        <v>0</v>
      </c>
      <c r="GY28" s="259" t="str">
        <f ca="1">IF(AND(IFERROR(INDEX($GN$3:$GX$200,MATCH(ROWS($GY$3:GY28),$GX$3:$GX$200,0),1),"")&lt;&gt;"",GY29&lt;&gt;""),CONCATENATE(IFERROR(INDEX($GN$3:$GX$200,MATCH(ROWS($GY$3:GY28),$GX$3:$GX$200,0),1),"")," - "),IFERROR(INDEX($GN$3:$GX$200,MATCH(ROWS($GY$3:GY28),$GX$3:$GX$200,0),1),""))</f>
        <v/>
      </c>
      <c r="GZ28" s="259" t="s">
        <v>628</v>
      </c>
      <c r="HA28" s="259" t="s">
        <v>504</v>
      </c>
      <c r="HB28" s="269" t="s">
        <v>257</v>
      </c>
      <c r="HC28" s="269" t="s">
        <v>276</v>
      </c>
      <c r="HD28" s="269" t="s">
        <v>6</v>
      </c>
      <c r="HE28" s="269" t="s">
        <v>206</v>
      </c>
      <c r="HG28" s="270"/>
      <c r="HL28" s="259" t="str">
        <f t="shared" ca="1" si="29"/>
        <v/>
      </c>
      <c r="HM28" s="259" t="str">
        <f t="shared" ca="1" si="30"/>
        <v/>
      </c>
      <c r="HN28" s="259" t="str">
        <f t="shared" ca="1" si="31"/>
        <v/>
      </c>
      <c r="HO28" s="259">
        <f ca="1">IF(HL28&lt;&gt;"",MAX($HO$2:HO27)+1,0)</f>
        <v>0</v>
      </c>
      <c r="HP28" s="259">
        <f ca="1">IF(HM28&lt;&gt;"",MAX($HP$2:HP27)+1,0)</f>
        <v>0</v>
      </c>
      <c r="HQ28" s="259">
        <f ca="1">IF(HN28&lt;&gt;"",MAX($HQ$2:HQ27)+1,0)</f>
        <v>0</v>
      </c>
      <c r="HR28" s="259" t="str">
        <f t="shared" ca="1" si="107"/>
        <v/>
      </c>
      <c r="HS28" s="259" t="str">
        <f t="shared" ca="1" si="108"/>
        <v/>
      </c>
      <c r="HT28" s="259">
        <f t="shared" ca="1" si="109"/>
        <v>0</v>
      </c>
      <c r="HU28" s="259">
        <f t="shared" ca="1" si="110"/>
        <v>0</v>
      </c>
      <c r="HV28" s="259" t="str">
        <f ca="1">CONCATENATE(IFERROR(INDEX($HS$3:$HT$102,MATCH(ROWS($HV$3:HV28),$HT$3:$HT$102,0),1),""),HR28)</f>
        <v/>
      </c>
      <c r="IA28" s="259" t="s">
        <v>360</v>
      </c>
      <c r="IB28" s="259" t="s">
        <v>297</v>
      </c>
      <c r="IC28" s="259">
        <f ca="1">IFERROR(INDEX(PIANO_DEI_CONTI,MATCH(ROWS(DL$3:DL28),$DK$3:DK255,0),2),0)</f>
        <v>0</v>
      </c>
      <c r="ID28" s="259">
        <f t="shared" ca="1" si="111"/>
        <v>0</v>
      </c>
      <c r="IE28" s="259">
        <f t="shared" ca="1" si="112"/>
        <v>0</v>
      </c>
      <c r="IF28" s="259">
        <f t="shared" ca="1" si="113"/>
        <v>0</v>
      </c>
      <c r="IG28" s="259">
        <f ca="1">IF(SUMIFS($ID$3:$ID$200,$IF$3:$IF$200,IA28)&lt;=SUMIFS($IE$3:$IE$200,$IF$3:$IF$200,IA28),ROUND(SUMIFS($IE$3:$IE$200,$IF$3:$IF$200,IA28)-SUMIFS($ID$3:$ID$200,$IF$3:$IF$200,IA28),0),0)</f>
        <v>0</v>
      </c>
      <c r="IH28" s="259">
        <f ca="1">IF(IG28&lt;&gt;0,MAX($IH$19:IH27)+1,0)</f>
        <v>0</v>
      </c>
      <c r="II28" s="259">
        <f>IF(AD28="costi pluriennali",MAX($II$2:II27)+1,0)</f>
        <v>0</v>
      </c>
      <c r="IJ28" s="259">
        <f>IF($AD28="rettifiche costi pluriennali",MAX($IJ$2:IJ27)+1,0)</f>
        <v>0</v>
      </c>
      <c r="IK28" s="259">
        <f t="shared" si="114"/>
        <v>0</v>
      </c>
      <c r="IL28" s="259" t="str">
        <f t="shared" si="115"/>
        <v/>
      </c>
      <c r="IM28" s="259">
        <f t="shared" ca="1" si="116"/>
        <v>0</v>
      </c>
      <c r="IN28" s="259">
        <f t="shared" ca="1" si="141"/>
        <v>0</v>
      </c>
      <c r="IO28" s="259">
        <f>SUMIFS($IM$3:$IM$200,$IK$3:$IK$200,ROWS($IO$3:IO28))-SUMIFS($IN$3:$IN$200,$IK$3:$IK$200,ROWS($IO$3:IO28))</f>
        <v>0</v>
      </c>
      <c r="IP28" s="259" t="str">
        <f>IF(IO28&lt;0,INDEX($IJ$3:$IL$200,MATCH(ROWS($IP$3:IP28),$IJ$3:$IJ$200,0),3),"")</f>
        <v/>
      </c>
      <c r="IQ28" s="259">
        <f>IF(IP28&lt;&gt;"",MAX($IQ$2:IQ27)+1,0)</f>
        <v>0</v>
      </c>
      <c r="IR28" s="259" t="str">
        <f ca="1">IFERROR(INDEX($IP$3:$IQ$200,MATCH(ROWS($IR$3:IR28),$IQ$3:$IQ$200,0),1),"")</f>
        <v/>
      </c>
      <c r="IS28" s="259" t="str">
        <f t="shared" ca="1" si="117"/>
        <v/>
      </c>
      <c r="IT28" s="259" t="str">
        <f t="shared" ca="1" si="118"/>
        <v/>
      </c>
      <c r="IU28" s="259" t="str">
        <f t="shared" ca="1" si="119"/>
        <v/>
      </c>
      <c r="IV28" s="259" t="str">
        <f t="shared" ca="1" si="120"/>
        <v/>
      </c>
      <c r="IW28" s="259" t="str">
        <f t="shared" ca="1" si="121"/>
        <v/>
      </c>
      <c r="IX28" s="259" t="str">
        <f t="shared" ca="1" si="122"/>
        <v/>
      </c>
      <c r="IY28" s="259" t="str">
        <f t="shared" ca="1" si="123"/>
        <v/>
      </c>
      <c r="IZ28" s="259" t="str">
        <f t="shared" ca="1" si="124"/>
        <v/>
      </c>
      <c r="JA28" s="259" t="str">
        <f t="shared" ca="1" si="125"/>
        <v/>
      </c>
      <c r="JB28" s="259">
        <f t="shared" ca="1" si="32"/>
        <v>0</v>
      </c>
      <c r="JC28" s="259">
        <f t="shared" ca="1" si="126"/>
        <v>0</v>
      </c>
      <c r="JE28" s="259">
        <f ca="1">IFERROR(INDEX(LIBRO_GIORNALE!$N$11:$O$408,MATCH(ROWS($JE$2:JE27),LIBRO_GIORNALE!$O$11:$O$408,0),1),0)</f>
        <v>0</v>
      </c>
      <c r="JF28" s="259" t="str">
        <f t="shared" ca="1" si="127"/>
        <v>0</v>
      </c>
      <c r="JG28" s="259">
        <f t="shared" ca="1" si="128"/>
        <v>0</v>
      </c>
      <c r="JH28" s="259">
        <f ca="1">IF(JJ28&gt;0,0,MAX($JH$2:JH27)+1)</f>
        <v>26</v>
      </c>
      <c r="JI28" s="259">
        <f ca="1">IF(JG28&gt;0,MAX($JI$2:JI27)+1,0)</f>
        <v>0</v>
      </c>
      <c r="JJ28" s="259">
        <f ca="1">IFERROR(INDEX($JG$3:$JI$124,MATCH(ROWS($JJ$3:JJ28),$JI$3:$JI$124,0),1),0)</f>
        <v>0</v>
      </c>
      <c r="JK28" s="259">
        <f t="shared" ca="1" si="129"/>
        <v>0</v>
      </c>
      <c r="JL28" s="259">
        <f t="shared" ca="1" si="130"/>
        <v>26</v>
      </c>
      <c r="JM28" s="259">
        <v>25</v>
      </c>
    </row>
    <row r="29" spans="1:273">
      <c r="A29" s="259" t="str">
        <f t="shared" si="33"/>
        <v>03.00</v>
      </c>
      <c r="B29" s="259" t="str">
        <f t="shared" si="34"/>
        <v>IMMOBILIZZAZIONI FINANZIARIE</v>
      </c>
      <c r="C29" s="259">
        <f t="shared" si="35"/>
        <v>0</v>
      </c>
      <c r="D29" s="259">
        <f t="shared" si="36"/>
        <v>0</v>
      </c>
      <c r="E29" s="259">
        <f t="shared" si="37"/>
        <v>0</v>
      </c>
      <c r="F29" s="259">
        <f t="shared" si="38"/>
        <v>0</v>
      </c>
      <c r="G29" s="259">
        <f t="shared" ca="1" si="39"/>
        <v>0</v>
      </c>
      <c r="H29" s="259">
        <f t="shared" ca="1" si="40"/>
        <v>0</v>
      </c>
      <c r="I29" s="259">
        <f t="shared" ca="1" si="41"/>
        <v>0</v>
      </c>
      <c r="J29" s="259">
        <v>26</v>
      </c>
      <c r="K29" s="259" t="str">
        <f ca="1">IFERROR(IF($I$1=1,INDEX($AA$3:$AS$220,MATCH(ROWS($K$3:K29),$AQ$3:$AQ$220,0),1),IF($I$1=2,INDEX($AA$3:$AS$220,MATCH(ROWS($K$3:K29),$AR$3:$AR$220,0),1),IF($I$1=3,INDEX($AA$3:$AS$220,MATCH(ROWS($K$3:K29),$AS$3:$AS$220,0),1),""))),"")</f>
        <v>MERCI</v>
      </c>
      <c r="L29" s="259">
        <f ca="1">IF(AND($L$1="VISUALIZZA TUTTI I CONTI",K29&lt;&gt;""),MAX(L28:L28)+1,IFERROR(IF($J$1=1,IF(INDEX(PIANO_DEI_CONTI,MATCH($K29,DENOMINAZIONE,0),5)=$L$1,MAX($L$2:L28)+1,0),IF($J$1=2,IF(INDEX(PIANO_DEI_CONTI,MATCH($K29,DENOMINAZIONE,0),7)=$L$1,MAX($L$2:L28)+1,0))),0))</f>
        <v>27</v>
      </c>
      <c r="M29" s="259" t="str">
        <f ca="1">IFERROR(INDEX($K$3:$K$220,MATCH(ROWS($M$3:M29),$L$3:$L$220,0),1),"")</f>
        <v>MERCI</v>
      </c>
      <c r="N29" s="259" t="str">
        <f t="shared" si="143"/>
        <v>TRATTAMENTO FINE RAPPORTO</v>
      </c>
      <c r="O29" s="259" t="str">
        <f t="shared" ca="1" si="142"/>
        <v>TRATTAMENTO FINE RAPPORTO</v>
      </c>
      <c r="P29" s="259">
        <f ca="1">IF(AND(N29=O29,O29&lt;&gt;""),MAX(P$2:P28)+1,0)</f>
        <v>12</v>
      </c>
      <c r="Q29" s="259" t="str">
        <f ca="1">IF(IFERROR(INDEX($O$3:$P$220,MATCH(ROWS(Q$3:Q29),$P$3:$P$220,0),1),"")=0,"",IFERROR(INDEX($O$3:$P$220,MATCH(ROWS(Q$3:Q29),$P$3:$P$220,0),1),""))</f>
        <v>VARIAZIONI RIMANENZE MERCI E MATERIE DI CONSUMO</v>
      </c>
      <c r="R29" s="259" t="str">
        <f t="shared" si="1"/>
        <v>MERCI</v>
      </c>
      <c r="S29" s="259">
        <f ca="1">IF(IFERROR(MATCH(R29,DENOMINAZIONE_GIORNALE,0),0)&gt;0,MAX(S$2:S28)+1,0)</f>
        <v>0</v>
      </c>
      <c r="T29" s="259" t="str">
        <f ca="1">IFERROR(INDEX($R$3:$S$220,MATCH(ROWS($T$3:T29),$S$3:$S$220,0),1),"")</f>
        <v/>
      </c>
      <c r="U29" s="259">
        <f t="shared" ca="1" si="2"/>
        <v>0</v>
      </c>
      <c r="V29" s="259">
        <f ca="1">IF(IF(U29&lt;&gt;0,MAX($V$2:V28)+1,0)=0,0,IF(U29&lt;&gt;0,MAX($V$2:V28)+1,0))</f>
        <v>0</v>
      </c>
      <c r="W29" s="259" t="str">
        <f t="shared" si="43"/>
        <v/>
      </c>
      <c r="X29" s="259" t="str">
        <f t="shared" si="44"/>
        <v/>
      </c>
      <c r="Y29" s="259">
        <f>IF(W29="",0,MAX($Y$2:Y28)+1)</f>
        <v>0</v>
      </c>
      <c r="Z29" s="259" t="str">
        <f>IFERROR(INDEX($W$3:$Y$220,MATCH(ROWS($Z$2:Z28),$Y$3:$Y$220,0),1),"")</f>
        <v>04.04</v>
      </c>
      <c r="AA29" s="259" t="str">
        <f t="shared" si="45"/>
        <v>MERCI</v>
      </c>
      <c r="AB29" s="259" t="str">
        <f t="shared" si="46"/>
        <v>E</v>
      </c>
      <c r="AC29" s="259" t="str">
        <f t="shared" si="47"/>
        <v>D</v>
      </c>
      <c r="AD29" s="259" t="str">
        <f t="shared" si="48"/>
        <v>COSTI SOSPESI</v>
      </c>
      <c r="AE29" s="259" t="str">
        <f t="shared" si="49"/>
        <v>SP DARE</v>
      </c>
      <c r="AF29" s="259" t="str">
        <f t="shared" si="50"/>
        <v>RIMANENZE</v>
      </c>
      <c r="AG29" s="259">
        <f t="shared" ca="1" si="51"/>
        <v>1</v>
      </c>
      <c r="AH29" s="259">
        <f t="shared" ca="1" si="52"/>
        <v>1</v>
      </c>
      <c r="AI29" s="259">
        <f t="shared" ca="1" si="53"/>
        <v>1</v>
      </c>
      <c r="AJ29" s="259" t="str">
        <f t="shared" si="54"/>
        <v>04</v>
      </c>
      <c r="AK29" s="259" t="str">
        <f t="shared" si="55"/>
        <v>03</v>
      </c>
      <c r="AL29" s="259">
        <f>IF(AK29&lt;&gt;"",MAX($AL$2:AL28)+1,0)</f>
        <v>3</v>
      </c>
      <c r="AM29" s="259" t="str">
        <f>IFERROR(INDEX($AK$3:$AL$220,MATCH(ROWS($AM$3:AM29),$AL$3:$AL$220,0),1),"")</f>
        <v>38</v>
      </c>
      <c r="AN29" s="259" t="str">
        <f t="shared" si="56"/>
        <v>38.00</v>
      </c>
      <c r="AO29" s="259" t="str">
        <f t="shared" si="57"/>
        <v xml:space="preserve">ACCANTONAMENTI </v>
      </c>
      <c r="AP29" s="259" t="str">
        <f t="shared" si="58"/>
        <v>RIMANENZE</v>
      </c>
      <c r="AQ29" s="259">
        <f ca="1">IF(OR(AG29=0,AG29=""),0,MAX(AQ$2:AQ28)+1)</f>
        <v>15</v>
      </c>
      <c r="AR29" s="259">
        <f ca="1">IF(OR(AH29=0,AH29=""),0,MAX(AR$2:AR28)+1)</f>
        <v>24</v>
      </c>
      <c r="AS29" s="259">
        <f ca="1">IF(OR(AI29=0,AI29=""),0,MAX(AS$2:AS28)+1)</f>
        <v>27</v>
      </c>
      <c r="AT29" s="259" t="str">
        <f ca="1">IFERROR(INDEX($AD$3:$AS$220,MATCH(ROWS(AT$3:AT29),AQ$3:AQ$220,0),1),"")</f>
        <v>DISPONIBILITÀ LIQUIDE</v>
      </c>
      <c r="AU29" s="259" t="str">
        <f ca="1">IFERROR(INDEX($AD$3:$AS$220,MATCH(ROWS(AU$3:AU29),AR$3:AR$220,0),1),"")</f>
        <v>CREDITI</v>
      </c>
      <c r="AV29" s="259" t="str">
        <f ca="1">IFERROR(INDEX($AD$3:$AS$220,MATCH(ROWS(AV$3:AV29),AS$3:AS$220,0),1),"")</f>
        <v>COSTI SOSPESI</v>
      </c>
      <c r="AW29" s="259" t="str">
        <f ca="1">IFERROR(INDEX($AP$3:$AS$220,MATCH(ROWS(AW$3:AW29),AQ$3:AQ$220,0),1),"")</f>
        <v>DISPONIBILITÀ LIQUIDE</v>
      </c>
      <c r="AX29" s="259" t="str">
        <f ca="1">IFERROR(INDEX($AP$3:$AS$220,MATCH(ROWS(AX$3:AX29),AR$3:AR$220,0),1),"")</f>
        <v>CREDITI COMMERCIALI</v>
      </c>
      <c r="AY29" s="259" t="str">
        <f ca="1">IFERROR(INDEX($AP$3:$AS$220,MATCH(ROWS(AY$3:AY29),AS$3:AS$220,0),1),"")</f>
        <v>RIMANENZE</v>
      </c>
      <c r="AZ29" s="276" t="str">
        <f t="shared" ca="1" si="59"/>
        <v/>
      </c>
      <c r="BA29" s="259">
        <f t="shared" ca="1" si="3"/>
        <v>0</v>
      </c>
      <c r="BB29" s="259">
        <f ca="1">IFERROR(INDEX($FG$3:$FL$400,MATCH(ROWS($BB$3:BB29),$FL$3:$FL$400,0),1),0)</f>
        <v>0</v>
      </c>
      <c r="BC29" s="259" t="str">
        <f t="shared" ca="1" si="60"/>
        <v/>
      </c>
      <c r="BD29" s="259">
        <f ca="1">IFERROR(INDEX($FG$3:$FL$400,MATCH(ROWS($BD$3:BD29),$FL$3:$FL$400,0),4),0)</f>
        <v>0</v>
      </c>
      <c r="BE29" s="259">
        <f ca="1">IFERROR(INDEX($FG$3:$FL$400,MATCH(ROWS($BE$3:BE29),$FL$3:$FL$400,0),5),0)</f>
        <v>0</v>
      </c>
      <c r="BG29" s="259" t="str">
        <f t="shared" si="4"/>
        <v/>
      </c>
      <c r="BH29" s="259">
        <f ca="1">IF(IFERROR(MATCH(BG29,DENOMINAZIONE_GIORNALE,0),0)&gt;0,MAX(BH$2:BH28)+1,0)</f>
        <v>0</v>
      </c>
      <c r="BI29" s="259" t="str">
        <f ca="1">IFERROR(INDEX($BG$3:$BH$220,MATCH(ROWS($BI$3:BI29),$BH$3:$BH$220,0),1),"")</f>
        <v/>
      </c>
      <c r="BJ29" s="259" t="str">
        <f t="shared" ca="1" si="5"/>
        <v/>
      </c>
      <c r="BK29" s="259" t="str">
        <f ca="1">IF(IF(BJ29&lt;&gt;"",MAX($BK$2:BK28)+1,0)=0,"",IF(BJ29&lt;&gt;"",MAX($BK$2:BK28)+1,0))</f>
        <v/>
      </c>
      <c r="BL29" s="259" t="str">
        <f ca="1">IFERROR(INDEX($T$3:$U$220, MATCH(ROWS(BL$3:BL29),$V$3:$V$220,0),1),"")</f>
        <v/>
      </c>
      <c r="BM29" s="259" t="str">
        <f ca="1">IFERROR(INDEX($T$3:$U$220, MATCH(ROWS(BM$3:BM29),$V$3:$V$220,0),2),"")</f>
        <v/>
      </c>
      <c r="BN29" s="259" t="str">
        <f ca="1">IF(IFERROR(INDEX($BI$3:$BJ$220,MATCH(ROWS(BN$3:BN29),$BK$3:$BK$220,0),1),"")="PATRIMONIO NETTO","",IFERROR(INDEX($BI$3:$BJ$220,MATCH(ROWS(BN$3:BN29),$BK$3:$BK$220,0),1),""))</f>
        <v/>
      </c>
      <c r="BO29" s="259" t="str">
        <f ca="1">IFERROR(INDEX($BI$3:$BJ$220,MATCH(ROWS(BO$3:BO29),$BK$3:$BK$220,0),2),"")</f>
        <v/>
      </c>
      <c r="BP29" s="259">
        <f ca="1">IF(BN29&lt;&gt;"",MAX(BP$2:$BP28)+1,0)</f>
        <v>0</v>
      </c>
      <c r="BQ29" s="259" t="str">
        <f ca="1">IFERROR(INDEX($BN$3:$BO$200,MATCH(ROWS(BQ$3:BQ29),$BP$3:$BP$220,0),1),"")</f>
        <v/>
      </c>
      <c r="BR29" s="259" t="str">
        <f ca="1">IFERROR(INDEX($BN$3:$BO$220,MATCH(ROWS(BR$3:BR29),$BP$3:$BP$220,0),2),"")</f>
        <v/>
      </c>
      <c r="BS29" s="259" t="str">
        <f ca="1">IFERROR(IF(OR(INDEX($T$3:$U$220,MATCH(ROWS(BL$3:BL29),$V$3:$V$220,0),1)="PRELEVAMENTI EXTRAGESTIONE",INDEX($T$3:$U$220,MATCH(ROWS(BL$3:BL29),$V$3:$V$220,0),1)="TITOLARE C/RITENUTE SUBITE"),"",INDEX($T$3:$U$220,MATCH(ROWS(BL$3:BL29),$V$3:$V$220,0),1)),"")</f>
        <v/>
      </c>
      <c r="BT29" s="259">
        <f t="shared" ca="1" si="61"/>
        <v>0</v>
      </c>
      <c r="BU29" s="259">
        <f ca="1">IF(BS29&lt;&gt;"",MAX(BU$2:BU28)+1,0)</f>
        <v>0</v>
      </c>
      <c r="BV29" s="259" t="str">
        <f ca="1">IFERROR(INDEX($BS$3:$BT$223,MATCH(ROWS(BV$3:BV29),$BU$3:$BU$223,0),1),"")</f>
        <v/>
      </c>
      <c r="BW29" s="259">
        <f t="shared" ca="1" si="62"/>
        <v>0</v>
      </c>
      <c r="BX29" s="259" t="str">
        <f t="shared" ca="1" si="63"/>
        <v/>
      </c>
      <c r="BY29" s="259" t="str">
        <f t="shared" ca="1" si="64"/>
        <v/>
      </c>
      <c r="BZ29" s="259" t="str">
        <f ca="1">IFERROR(IF(OR($DS$231&lt;&gt;$DT$231,$DU$231&lt;&gt;$DV$231,$EO$25&lt;&gt;0,$EO$26&lt;&gt;0),INDEX($T$3:$V$220,MATCH(ROWS($BV$3:BV29),$V$3:$V$220,0),1),CONCATENATE(BV29,BY29)),"")</f>
        <v/>
      </c>
      <c r="CA29" s="259">
        <f t="shared" ca="1" si="65"/>
        <v>0</v>
      </c>
      <c r="CB29" s="259" t="str">
        <f ca="1">IFERROR(IF(OR($BB$1&lt;&gt;$BD$1,$BC$1&lt;&gt;$BE$1,$DS$231&lt;&gt;$DT$231,$DU$231&lt;&gt;$DV$231,$EO$25&lt;&gt;0,$EO$26&lt;&gt;0),INDEX($BI$3:$BK$220,MATCH(ROWS($CB$3:CB29),$BK$3:$BK$220,0),1),CONCATENATE(BQ29,BX29)),"")</f>
        <v/>
      </c>
      <c r="CC29" s="259" t="str">
        <f t="shared" ca="1" si="66"/>
        <v/>
      </c>
      <c r="CD29" s="259" t="str">
        <f t="shared" si="6"/>
        <v/>
      </c>
      <c r="CE29" s="259">
        <f ca="1">IF(IFERROR(MATCH(CD29,DENOMINAZIONE_GIORNALE,0),0)&gt;0,MAX(CE$2:CE28)+1,0)</f>
        <v>0</v>
      </c>
      <c r="CF29" s="259" t="str">
        <f ca="1">IFERROR(INDEX($CD$3:$CE$220,MATCH(ROWS($CF$3:CF29),$CE$3:$CE$220,0),1),"")</f>
        <v/>
      </c>
      <c r="CG29" s="259">
        <f t="shared" ca="1" si="7"/>
        <v>0</v>
      </c>
      <c r="CH29" s="259" t="str">
        <f ca="1">IF(IF(CG29&lt;&gt;0,MAX($CH$2:CH28)+1,0)=0,"",IF(CG29&lt;&gt;"",MAX($CH$2:CH28)+1,0))</f>
        <v/>
      </c>
      <c r="CI29" s="259" t="str">
        <f ca="1">IFERROR(INDEX($CF$3:$CG$220,MATCH(ROWS($CI$3:CI29),$CH$3:$CH$220,0),1),"")</f>
        <v/>
      </c>
      <c r="CJ29" s="259" t="str">
        <f t="shared" ca="1" si="67"/>
        <v/>
      </c>
      <c r="CK29" s="259" t="str">
        <f t="shared" si="8"/>
        <v/>
      </c>
      <c r="CL29" s="259">
        <f ca="1">IF(IFERROR(MATCH(CK29,DENOMINAZIONE_GIORNALE,0),0)&gt;0,MAX(CL$2:CL28)+1,0)</f>
        <v>0</v>
      </c>
      <c r="CM29" s="259" t="str">
        <f ca="1">IFERROR(INDEX($CK$3:$CL$220,MATCH(ROWS($CM$3:CM29),$CL$3:$CL$220,0),1),"")</f>
        <v/>
      </c>
      <c r="CN29" s="259" t="str">
        <f t="shared" ca="1" si="9"/>
        <v/>
      </c>
      <c r="CO29" s="259">
        <f ca="1">IF(IF(CN29&lt;&gt;0,MAX($CO$2:CO28)+1,0)=0,"",IF(CN29&lt;&gt;"",MAX($CO$2:CO28)+1,0))</f>
        <v>0</v>
      </c>
      <c r="CP29" s="259" t="str">
        <f ca="1">IFERROR(INDEX($CM$3:$CN$220,MATCH(ROWS(CP$3:CP29),$CO$3:$CO$220,0),1),"")</f>
        <v/>
      </c>
      <c r="CQ29" s="259" t="str">
        <f ca="1">IFERROR(INDEX($CM$3:$CN$220,MATCH(ROWS(CQ$3:CQ29),$CO$3:$CO$220,0),2),"")</f>
        <v/>
      </c>
      <c r="CR29" s="259" t="str">
        <f t="shared" ca="1" si="10"/>
        <v/>
      </c>
      <c r="CS29" s="259">
        <f t="shared" ca="1" si="11"/>
        <v>0</v>
      </c>
      <c r="CT29" s="259">
        <f t="shared" ca="1" si="12"/>
        <v>0</v>
      </c>
      <c r="CU29" s="259">
        <f ca="1">IF(OR(CS29&gt;0,CT29&gt;0),MAX($CU$2:CU28)+1,0)</f>
        <v>0</v>
      </c>
      <c r="CV29" s="259" t="str">
        <f ca="1">IFERROR(INDEX(PIANO_DEI_CONTI,MATCH(ROWS($CV$3:CV29),$CU$3:$CU$200,0),2),"")</f>
        <v/>
      </c>
      <c r="CW29" s="259">
        <f ca="1">IFERROR(IF(CV29&lt;&gt;"",MAX($CW$2:CW28)+1,0),0)</f>
        <v>0</v>
      </c>
      <c r="CX29" s="259">
        <f t="shared" ca="1" si="145"/>
        <v>2</v>
      </c>
      <c r="CY29" s="259" t="str">
        <f t="shared" ca="1" si="144"/>
        <v>MASTRO</v>
      </c>
      <c r="CZ29" s="259" t="e">
        <f t="shared" ca="1" si="147"/>
        <v>#N/A</v>
      </c>
      <c r="DA29" s="259" t="str">
        <f t="shared" ca="1" si="152"/>
        <v/>
      </c>
      <c r="DB29" s="259" t="str">
        <f t="shared" ca="1" si="148"/>
        <v/>
      </c>
      <c r="DC29" s="259" t="str">
        <f t="shared" ca="1" si="149"/>
        <v/>
      </c>
      <c r="DD29" s="259" t="str">
        <f t="shared" ca="1" si="150"/>
        <v/>
      </c>
      <c r="DE29" s="259" t="str">
        <f t="shared" ca="1" si="151"/>
        <v/>
      </c>
      <c r="DF29" s="259">
        <f ca="1">IF(AND(CX29=$DE$2,$DF$2&lt;&gt;0),0,IF(AND(DB29&lt;&gt;"",OR(DB28&lt;&gt;"",DB30&lt;&gt;"")),MAX($DF$2:DF28)+1,0))</f>
        <v>0</v>
      </c>
      <c r="DG29" s="259" t="str">
        <f>IF(OR(VALORI_INIZIALI!E34="",AND(VALORI_INIZIALI!E34&lt;&gt;"",VALORI_INIZIALI!H34=0,VALORI_INIZIALI!I34=0)),"",IFERROR(INDEX(PIANO_DEI_CONTI,MATCH(BB29,DENOMINAZIONE,0),1),0))</f>
        <v/>
      </c>
      <c r="DH29" s="259">
        <f ca="1">IFERROR(IF($J$1=1,IF(INDEX(PIANO_DEI_CONTI,MATCH($K29,DENOMINAZIONE,0),5)=$DF$1,MAX($DH$2:DH28)+1,0),IF($J$1=2,IF(INDEX(PIANO_DEI_CONTI,MATCH($K29,DENOMINAZIONE,0),7)=$DF$1,MAX($DH$2:DH28)+1,0))),0)</f>
        <v>0</v>
      </c>
      <c r="DI29" s="259">
        <f ca="1">IFERROR(INDEX($K$3:$K$220,MATCH(ROWS($DI$3:DI29),$DH$3:$DH$220,0),1),0)</f>
        <v>0</v>
      </c>
      <c r="DJ29" s="259">
        <f t="shared" ca="1" si="14"/>
        <v>0</v>
      </c>
      <c r="DK29" s="259">
        <f ca="1">IF(DJ29=0,0,MAX(DK$2:DK28)+1)</f>
        <v>0</v>
      </c>
      <c r="DL29" s="259">
        <f ca="1">IFERROR(INDEX(PIANO_DEI_CONTI,MATCH(ROWS(DL$3:DL29),$DK$3:DK256,0),2),0)</f>
        <v>0</v>
      </c>
      <c r="DM29" s="259">
        <f t="shared" ca="1" si="15"/>
        <v>0</v>
      </c>
      <c r="DN29" s="259">
        <f t="shared" ca="1" si="16"/>
        <v>0</v>
      </c>
      <c r="DO29" s="259">
        <f t="shared" ca="1" si="69"/>
        <v>0</v>
      </c>
      <c r="DP29" s="259">
        <f t="shared" ca="1" si="70"/>
        <v>0</v>
      </c>
      <c r="DQ29" s="259">
        <f ca="1">IF(OR($DQ$1="TOTALI",$DQ$1="TOTALI ED ECCEDENZE"),IF(OR(DM29&gt;0,DN29&gt;0),MAX(DQ$2:DQ28)+1,0),IF($DQ$1="ECCEDENZE",IF(OR(DO29&gt;0,DP29&gt;0),MAX(DQ$2:DQ28)+1,0),""))</f>
        <v>0</v>
      </c>
      <c r="DR29" s="259" t="str">
        <f ca="1">IFERROR(INDEX($DL$3:$DQ$230,MATCH(ROWS(DR$3:DR29),$DQ$3:$DQ$230,0),1),"")</f>
        <v/>
      </c>
      <c r="DS29" s="259" t="str">
        <f t="shared" ca="1" si="71"/>
        <v/>
      </c>
      <c r="DT29" s="259" t="str">
        <f t="shared" ca="1" si="72"/>
        <v/>
      </c>
      <c r="DU29" s="259" t="str">
        <f t="shared" ca="1" si="73"/>
        <v/>
      </c>
      <c r="DV29" s="259" t="str">
        <f t="shared" ca="1" si="74"/>
        <v/>
      </c>
      <c r="DW29" s="259">
        <f t="shared" ca="1" si="75"/>
        <v>0</v>
      </c>
      <c r="DX29" s="259" t="str">
        <f t="shared" ca="1" si="76"/>
        <v/>
      </c>
      <c r="DY29" s="259" t="str">
        <f t="shared" ca="1" si="77"/>
        <v/>
      </c>
      <c r="DZ29" s="259" t="str">
        <f t="shared" ca="1" si="78"/>
        <v/>
      </c>
      <c r="EA29" s="259">
        <f t="shared" ca="1" si="79"/>
        <v>27</v>
      </c>
      <c r="EB29" s="259" t="s">
        <v>352</v>
      </c>
      <c r="ED29" s="259">
        <f t="shared" ca="1" si="17"/>
        <v>0</v>
      </c>
      <c r="EE29" s="259" t="str">
        <f t="shared" ca="1" si="18"/>
        <v/>
      </c>
      <c r="EF29" s="259" t="str">
        <f t="shared" ca="1" si="19"/>
        <v/>
      </c>
      <c r="EG29" s="259" t="str">
        <f t="shared" ca="1" si="136"/>
        <v/>
      </c>
      <c r="EH29" s="259" t="str">
        <f t="shared" ca="1" si="80"/>
        <v/>
      </c>
      <c r="EI29" s="260" t="b">
        <f t="shared" ca="1" si="137"/>
        <v>0</v>
      </c>
      <c r="EJ29" s="260" t="b">
        <f t="shared" ca="1" si="138"/>
        <v>0</v>
      </c>
      <c r="EK29" s="260" t="b">
        <f t="shared" ca="1" si="139"/>
        <v>0</v>
      </c>
      <c r="EL29" s="259">
        <f t="shared" si="81"/>
        <v>27</v>
      </c>
      <c r="EM29" s="259">
        <f ca="1">IF(AND(BA29&gt;0,BA29&lt;=$EM$1),MAX($EM$2:EM28)+1,0)</f>
        <v>0</v>
      </c>
      <c r="EN29" s="259">
        <f t="shared" ca="1" si="82"/>
        <v>29</v>
      </c>
      <c r="EP29" s="259" t="str">
        <f t="shared" ca="1" si="20"/>
        <v/>
      </c>
      <c r="EQ29" s="259">
        <f t="shared" ca="1" si="21"/>
        <v>0</v>
      </c>
      <c r="ER29" s="259">
        <f ca="1">IF(ISNA(EQ29),MAX(ER$2:ER28)+1,0)</f>
        <v>0</v>
      </c>
      <c r="ES29" s="259" t="str">
        <f t="shared" ca="1" si="83"/>
        <v/>
      </c>
      <c r="ET29" s="259" t="str">
        <f ca="1">IFERROR(UPPER(INDEX($ER$3:$ES$500,MATCH(ROWS(ET$3:ET29),$ER$3:$ER$500,0),2)),"")</f>
        <v/>
      </c>
      <c r="EW29" s="259" t="str">
        <f ca="1">IF(AND(IFERROR(INDEX($EU$3:$EV$30,MATCH(ROWS($EX$3:EX29),$EV$3:$EV$30,0),1),"")&lt;&gt;"",EW30&lt;&gt;""),CONCATENATE(IFERROR(INDEX($EU$3:$EV$30,MATCH(ROWS($EX$3:EX29),$EV$3:$EV$30,0),1),"")," - "),IFERROR(INDEX($EU$3:$EV$30,MATCH(ROWS($EX$3:EX29),$EV$3:$EV$30,0),1),""))</f>
        <v/>
      </c>
      <c r="EY29" s="259">
        <f t="shared" ca="1" si="84"/>
        <v>0</v>
      </c>
      <c r="EZ29" s="259">
        <f t="shared" ca="1" si="84"/>
        <v>0</v>
      </c>
      <c r="FA29" s="259" t="str">
        <f t="shared" ca="1" si="85"/>
        <v/>
      </c>
      <c r="FB29" s="259">
        <f t="shared" ca="1" si="86"/>
        <v>0</v>
      </c>
      <c r="FC29" s="259">
        <f t="shared" ca="1" si="87"/>
        <v>0</v>
      </c>
      <c r="FD29" s="259">
        <f t="shared" ca="1" si="22"/>
        <v>0</v>
      </c>
      <c r="FE29" s="259" t="str">
        <f t="shared" ca="1" si="23"/>
        <v/>
      </c>
      <c r="FF29" s="259" t="str">
        <f t="shared" ca="1" si="88"/>
        <v/>
      </c>
      <c r="FG29" s="259" t="str">
        <f t="shared" si="89"/>
        <v>MERCI</v>
      </c>
      <c r="FH29" s="259">
        <f t="shared" ca="1" si="24"/>
        <v>0</v>
      </c>
      <c r="FI29" s="259">
        <f t="shared" ca="1" si="25"/>
        <v>0</v>
      </c>
      <c r="FJ29" s="259">
        <f t="shared" ca="1" si="90"/>
        <v>0</v>
      </c>
      <c r="FK29" s="259">
        <f t="shared" ca="1" si="91"/>
        <v>0</v>
      </c>
      <c r="FL29" s="259">
        <f ca="1">IF(OR(FJ29&gt;0,FK29&gt;0),MAX($FL$2:FL28)+1,0)</f>
        <v>0</v>
      </c>
      <c r="FM29" s="259">
        <f t="shared" ca="1" si="26"/>
        <v>0</v>
      </c>
      <c r="FN29" s="259">
        <f ca="1">IF(FM29&lt;0,MAX($FN$2:FN28)+1,0)</f>
        <v>0</v>
      </c>
      <c r="FO29" s="259" t="str">
        <f t="shared" ca="1" si="92"/>
        <v/>
      </c>
      <c r="FP29" s="259" t="str">
        <f ca="1">IFERROR(INDEX($FN$3:$FO$400,MATCH(ROWS($FP$3:FP29),$FN$3:$FN$400,0),2),"")</f>
        <v/>
      </c>
      <c r="FQ29" s="259" t="str">
        <f>IF(AE29="SE AVERE",MAX($FQ$2:FQ28)+1,"")</f>
        <v/>
      </c>
      <c r="FR29" s="259" t="str">
        <f>IF(AE29="SE DARE",MAX($FR$2:FR28)+1,"")</f>
        <v/>
      </c>
      <c r="FS29" s="259">
        <f ca="1">IF(AND(AE29="SP DARE",AA29&lt;&gt;$FS$1,AA29&lt;&gt;$FT$1),MAX($FS$2:FS28)+1,IF(AND(GQ29="SP DARE",AA29&lt;&gt;$FS$1,AA29&lt;&gt;$FT$1),MAX($FS$2:FS28)+1,""))</f>
        <v>105</v>
      </c>
      <c r="FT29" s="259" t="str">
        <f ca="1">IF(AND(AE29="SP AVERE",AA29&lt;&gt;$FU$1),MAX($FT$2:FT28)+1,IF(AND(GQ29="SP AVERE",AA29&lt;&gt;$FU$1),MAX($FT$2:FT28)+1,""))</f>
        <v/>
      </c>
      <c r="FU29" s="259">
        <f t="shared" ca="1" si="93"/>
        <v>105</v>
      </c>
      <c r="FV29" s="259" t="str">
        <f t="shared" si="94"/>
        <v>MERCI</v>
      </c>
      <c r="FW29" s="259" t="str">
        <f ca="1">IFERROR(INDEX($FU$3:$FV$500,MATCH(ROWS($FW$3:FW29),$FU$3:$FU$500,0),2),0)</f>
        <v>MERCI C/APPORTI</v>
      </c>
      <c r="FX29" s="259">
        <f t="shared" ca="1" si="95"/>
        <v>27</v>
      </c>
      <c r="FY29" s="259">
        <f t="shared" ca="1" si="96"/>
        <v>0</v>
      </c>
      <c r="FZ29" s="259">
        <f ca="1">IF(FY29&gt;0,MAX($FZ$2:FZ28)+1,0)</f>
        <v>0</v>
      </c>
      <c r="GA29" s="259">
        <f ca="1">IFERROR(INDEX($FY$3:$FZ$500,MATCH(ROWS($GA$3:GA29),$FZ$3:$FZ$500,0),1),0)</f>
        <v>0</v>
      </c>
      <c r="GC29" s="259">
        <f t="shared" ca="1" si="97"/>
        <v>27</v>
      </c>
      <c r="GD29" s="259" t="str">
        <f t="shared" ca="1" si="98"/>
        <v>MERCI C/APPORTI</v>
      </c>
      <c r="GG29" s="259">
        <f t="shared" ca="1" si="27"/>
        <v>0</v>
      </c>
      <c r="GH29" s="259">
        <f t="shared" ca="1" si="99"/>
        <v>0</v>
      </c>
      <c r="GI29" s="259">
        <f t="shared" ca="1" si="100"/>
        <v>0</v>
      </c>
      <c r="GJ29" s="259">
        <f t="shared" ca="1" si="101"/>
        <v>0</v>
      </c>
      <c r="GK29" s="259">
        <f t="shared" ca="1" si="102"/>
        <v>0</v>
      </c>
      <c r="GL29" s="259">
        <f t="shared" ca="1" si="103"/>
        <v>0</v>
      </c>
      <c r="GM29" s="259">
        <f ca="1">IF(OR(GK29&gt;0,GL29&gt;0),MAX($GM$2:GM28)+1,0)</f>
        <v>0</v>
      </c>
      <c r="GN29" s="259" t="str">
        <f ca="1">IFERROR(INDEX($GD$3:$GM$400,MATCH(ROWS($GN$3:GN29),$GM$3:$GM$400,0),1),"")</f>
        <v/>
      </c>
      <c r="GO29" s="259" t="str">
        <f ca="1">IFERROR(INDEX($GD$3:$GM$400,MATCH(ROWS($GO$3:GO29),$GM$3:$GM$400,0),8),"")</f>
        <v/>
      </c>
      <c r="GP29" s="259" t="str">
        <f ca="1">IFERROR(INDEX($GD$3:$GM$400,MATCH(ROWS($GP$3:GP29),$GM$3:$GM$400,0),9),"")</f>
        <v/>
      </c>
      <c r="GQ29" s="259">
        <f t="shared" ca="1" si="28"/>
        <v>0</v>
      </c>
      <c r="GR29" s="259">
        <f t="shared" ca="1" si="104"/>
        <v>0</v>
      </c>
      <c r="GS29" s="259" t="str">
        <f t="shared" si="105"/>
        <v>epilogo a Conto economico</v>
      </c>
      <c r="GT29" s="259" t="str">
        <f ca="1">IFERROR(INDEX($GD$3:$GS$400,MATCH(ROWS($GT$3:GT29),$GM$3:$GM$400,0),16),"")</f>
        <v/>
      </c>
      <c r="GU29" s="259">
        <f ca="1">IF(GQ29&lt;&gt;0,MAX($GU$2:$GU28)+1,0)</f>
        <v>0</v>
      </c>
      <c r="GV29" s="259">
        <f t="shared" ca="1" si="106"/>
        <v>0</v>
      </c>
      <c r="GW29" s="259" t="str">
        <f ca="1">IF(AND(IFERROR(INDEX($GU$3:$GV$400,MATCH(ROWS($GW$3:GW29),$GU$3:$GU$400,0),2),"")&lt;&gt;"",GW30&lt;&gt;""),CONCATENATE(IFERROR(INDEX($GU$3:$GV$400,MATCH(ROWS($GW$3:GW29),$GU$3:$GU$400,0),2),"")," - "),IFERROR(INDEX($GU$3:$GV$400,MATCH(ROWS($GW$3:GW29),$GU$3:$GU$400,0),2),""))</f>
        <v/>
      </c>
      <c r="GX29" s="259">
        <f ca="1">IF(OR(GN29="IVA NS/CREDITO",GN29="IVA NS/DEBITO",GN29="IVA C/ACCONTO",GN29="IMPOSTE C/ACCONTO"),MAX($GX$2:GX28)+1,0)</f>
        <v>0</v>
      </c>
      <c r="GY29" s="259" t="str">
        <f ca="1">IF(AND(IFERROR(INDEX($GN$3:$GX$200,MATCH(ROWS($GY$3:GY29),$GX$3:$GX$200,0),1),"")&lt;&gt;"",GY30&lt;&gt;""),CONCATENATE(IFERROR(INDEX($GN$3:$GX$200,MATCH(ROWS($GY$3:GY29),$GX$3:$GX$200,0),1),"")," - "),IFERROR(INDEX($GN$3:$GX$200,MATCH(ROWS($GY$3:GY29),$GX$3:$GX$200,0),1),""))</f>
        <v/>
      </c>
      <c r="GZ29" s="259" t="s">
        <v>38</v>
      </c>
      <c r="HA29" s="270" t="s">
        <v>39</v>
      </c>
      <c r="HL29" s="259" t="str">
        <f t="shared" ca="1" si="29"/>
        <v/>
      </c>
      <c r="HM29" s="259" t="str">
        <f t="shared" ca="1" si="30"/>
        <v/>
      </c>
      <c r="HN29" s="259" t="str">
        <f t="shared" ca="1" si="31"/>
        <v/>
      </c>
      <c r="HO29" s="259">
        <f ca="1">IF(HL29&lt;&gt;"",MAX($HO$2:HO28)+1,0)</f>
        <v>0</v>
      </c>
      <c r="HP29" s="259">
        <f ca="1">IF(HM29&lt;&gt;"",MAX($HP$2:HP28)+1,0)</f>
        <v>0</v>
      </c>
      <c r="HQ29" s="259">
        <f ca="1">IF(HN29&lt;&gt;"",MAX($HQ$2:HQ28)+1,0)</f>
        <v>0</v>
      </c>
      <c r="HR29" s="259" t="str">
        <f t="shared" ca="1" si="107"/>
        <v/>
      </c>
      <c r="HS29" s="259" t="str">
        <f t="shared" ca="1" si="108"/>
        <v/>
      </c>
      <c r="HT29" s="259">
        <f t="shared" ca="1" si="109"/>
        <v>0</v>
      </c>
      <c r="HU29" s="259">
        <f t="shared" ca="1" si="110"/>
        <v>0</v>
      </c>
      <c r="HV29" s="259" t="str">
        <f ca="1">CONCATENATE(IFERROR(INDEX($HS$3:$HT$102,MATCH(ROWS($HV$3:HV29),$HT$3:$HT$102,0),1),""),HR29)</f>
        <v/>
      </c>
      <c r="IC29" s="259">
        <f ca="1">IFERROR(INDEX(PIANO_DEI_CONTI,MATCH(ROWS(DL$3:DL29),$DK$3:DK256,0),2),0)</f>
        <v>0</v>
      </c>
      <c r="ID29" s="259">
        <f t="shared" ca="1" si="111"/>
        <v>0</v>
      </c>
      <c r="IE29" s="259">
        <f t="shared" ca="1" si="112"/>
        <v>0</v>
      </c>
      <c r="IF29" s="259">
        <f t="shared" ca="1" si="113"/>
        <v>0</v>
      </c>
      <c r="IG29" s="259">
        <f ca="1">IF(IG30&gt;0,"",0)</f>
        <v>0</v>
      </c>
      <c r="IH29" s="259">
        <f ca="1">IF(IG29&lt;&gt;0,MAX($IH$19:IH28)+1,0)</f>
        <v>0</v>
      </c>
      <c r="II29" s="259">
        <f>IF(AD29="costi pluriennali",MAX($II$2:II28)+1,0)</f>
        <v>0</v>
      </c>
      <c r="IJ29" s="259">
        <f>IF($AD29="rettifiche costi pluriennali",MAX($IJ$2:IJ28)+1,0)</f>
        <v>0</v>
      </c>
      <c r="IK29" s="259">
        <f t="shared" si="114"/>
        <v>0</v>
      </c>
      <c r="IL29" s="259" t="str">
        <f t="shared" si="115"/>
        <v/>
      </c>
      <c r="IM29" s="259">
        <f t="shared" ca="1" si="116"/>
        <v>0</v>
      </c>
      <c r="IN29" s="259">
        <f t="shared" ca="1" si="141"/>
        <v>0</v>
      </c>
      <c r="IO29" s="259">
        <f>SUMIFS($IM$3:$IM$200,$IK$3:$IK$200,ROWS($IO$3:IO29))-SUMIFS($IN$3:$IN$200,$IK$3:$IK$200,ROWS($IO$3:IO29))</f>
        <v>0</v>
      </c>
      <c r="IP29" s="259" t="str">
        <f>IF(IO29&lt;0,INDEX($IJ$3:$IL$200,MATCH(ROWS($IP$3:IP29),$IJ$3:$IJ$200,0),3),"")</f>
        <v/>
      </c>
      <c r="IQ29" s="259">
        <f>IF(IP29&lt;&gt;"",MAX($IQ$2:IQ28)+1,0)</f>
        <v>0</v>
      </c>
      <c r="IR29" s="259" t="str">
        <f ca="1">IFERROR(INDEX($IP$3:$IQ$200,MATCH(ROWS($IR$3:IR29),$IQ$3:$IQ$200,0),1),"")</f>
        <v/>
      </c>
      <c r="IS29" s="259" t="str">
        <f t="shared" ca="1" si="117"/>
        <v/>
      </c>
      <c r="IT29" s="259" t="str">
        <f t="shared" ca="1" si="118"/>
        <v/>
      </c>
      <c r="IU29" s="259" t="str">
        <f t="shared" ca="1" si="119"/>
        <v/>
      </c>
      <c r="IV29" s="259" t="str">
        <f t="shared" ca="1" si="120"/>
        <v/>
      </c>
      <c r="IW29" s="259" t="str">
        <f t="shared" ca="1" si="121"/>
        <v/>
      </c>
      <c r="IX29" s="259" t="str">
        <f t="shared" ca="1" si="122"/>
        <v/>
      </c>
      <c r="IY29" s="259" t="str">
        <f t="shared" ca="1" si="123"/>
        <v/>
      </c>
      <c r="IZ29" s="259" t="str">
        <f t="shared" ca="1" si="124"/>
        <v/>
      </c>
      <c r="JA29" s="259" t="str">
        <f t="shared" ca="1" si="125"/>
        <v/>
      </c>
      <c r="JB29" s="259">
        <f t="shared" ca="1" si="32"/>
        <v>0</v>
      </c>
      <c r="JC29" s="259">
        <f t="shared" ca="1" si="126"/>
        <v>0</v>
      </c>
      <c r="JE29" s="259">
        <f ca="1">IFERROR(INDEX(LIBRO_GIORNALE!$N$11:$O$408,MATCH(ROWS($JE$2:JE28),LIBRO_GIORNALE!$O$11:$O$408,0),1),0)</f>
        <v>0</v>
      </c>
      <c r="JF29" s="259" t="str">
        <f t="shared" ca="1" si="127"/>
        <v>0</v>
      </c>
      <c r="JG29" s="259">
        <f t="shared" ca="1" si="128"/>
        <v>0</v>
      </c>
      <c r="JH29" s="259">
        <f ca="1">IF(JJ29&gt;0,0,MAX($JH$2:JH28)+1)</f>
        <v>27</v>
      </c>
      <c r="JI29" s="259">
        <f ca="1">IF(JG29&gt;0,MAX($JI$2:JI28)+1,0)</f>
        <v>0</v>
      </c>
      <c r="JJ29" s="259">
        <f ca="1">IFERROR(INDEX($JG$3:$JI$124,MATCH(ROWS($JJ$3:JJ29),$JI$3:$JI$124,0),1),0)</f>
        <v>0</v>
      </c>
      <c r="JK29" s="259">
        <f t="shared" ca="1" si="129"/>
        <v>0</v>
      </c>
      <c r="JL29" s="259">
        <f t="shared" ca="1" si="130"/>
        <v>27</v>
      </c>
      <c r="JM29" s="259">
        <v>26</v>
      </c>
    </row>
    <row r="30" spans="1:273">
      <c r="A30" s="259" t="str">
        <f t="shared" si="33"/>
        <v>03.01</v>
      </c>
      <c r="B30" s="259" t="str">
        <f t="shared" si="34"/>
        <v>MUTUI ATTIVI</v>
      </c>
      <c r="C30" s="259" t="str">
        <f t="shared" si="35"/>
        <v>F</v>
      </c>
      <c r="D30" s="259" t="str">
        <f t="shared" si="36"/>
        <v>D</v>
      </c>
      <c r="E30" s="259" t="str">
        <f t="shared" si="37"/>
        <v>CREDITI</v>
      </c>
      <c r="F30" s="259" t="str">
        <f t="shared" si="38"/>
        <v>SP DARE</v>
      </c>
      <c r="G30" s="259">
        <f t="shared" ca="1" si="39"/>
        <v>1</v>
      </c>
      <c r="H30" s="259">
        <f t="shared" ca="1" si="40"/>
        <v>1</v>
      </c>
      <c r="I30" s="259">
        <f t="shared" ca="1" si="41"/>
        <v>1</v>
      </c>
      <c r="J30" s="259">
        <v>27</v>
      </c>
      <c r="K30" s="259" t="str">
        <f ca="1">IFERROR(IF($I$1=1,INDEX($AA$3:$AS$220,MATCH(ROWS($K$3:K30),$AQ$3:$AQ$220,0),1),IF($I$1=2,INDEX($AA$3:$AS$220,MATCH(ROWS($K$3:K30),$AR$3:$AR$220,0),1),IF($I$1=3,INDEX($AA$3:$AS$220,MATCH(ROWS($K$3:K30),$AS$3:$AS$220,0),1),""))),"")</f>
        <v>FORNITORI C/ACCONTI</v>
      </c>
      <c r="L30" s="259">
        <f ca="1">IF(AND($L$1="VISUALIZZA TUTTI I CONTI",K30&lt;&gt;""),MAX(L29:L29)+1,IFERROR(IF($J$1=1,IF(INDEX(PIANO_DEI_CONTI,MATCH($K30,DENOMINAZIONE,0),5)=$L$1,MAX($L$2:L29)+1,0),IF($J$1=2,IF(INDEX(PIANO_DEI_CONTI,MATCH($K30,DENOMINAZIONE,0),7)=$L$1,MAX($L$2:L29)+1,0))),0))</f>
        <v>28</v>
      </c>
      <c r="M30" s="259" t="str">
        <f ca="1">IFERROR(INDEX($K$3:$K$220,MATCH(ROWS($M$3:M30),$L$3:$L$220,0),1),"")</f>
        <v>FORNITORI C/ACCONTI</v>
      </c>
      <c r="N30" s="259" t="str">
        <f t="shared" si="143"/>
        <v>DEBITI FINANZIARI</v>
      </c>
      <c r="O30" s="259" t="str">
        <f t="shared" ca="1" si="142"/>
        <v>DEBITI FINANZIARI</v>
      </c>
      <c r="P30" s="259">
        <f ca="1">IF(AND(N30=O30,O30&lt;&gt;""),MAX(P$2:P29)+1,0)</f>
        <v>13</v>
      </c>
      <c r="Q30" s="259" t="str">
        <f ca="1">IF(IFERROR(INDEX($O$3:$P$220,MATCH(ROWS(Q$3:Q30),$P$3:$P$220,0),1),"")=0,"",IFERROR(INDEX($O$3:$P$220,MATCH(ROWS(Q$3:Q30),$P$3:$P$220,0),1),""))</f>
        <v xml:space="preserve">ACCANTONAMENTI </v>
      </c>
      <c r="R30" s="259" t="str">
        <f t="shared" si="1"/>
        <v>FORNITORI C/ACCONTI</v>
      </c>
      <c r="S30" s="259">
        <f ca="1">IF(IFERROR(MATCH(R30,DENOMINAZIONE_GIORNALE,0),0)&gt;0,MAX(S$2:S29)+1,0)</f>
        <v>0</v>
      </c>
      <c r="T30" s="259" t="str">
        <f ca="1">IFERROR(INDEX($R$3:$S$220,MATCH(ROWS($T$3:T30),$S$3:$S$220,0),1),"")</f>
        <v/>
      </c>
      <c r="U30" s="259">
        <f t="shared" ca="1" si="2"/>
        <v>0</v>
      </c>
      <c r="V30" s="259">
        <f ca="1">IF(IF(U30&lt;&gt;0,MAX($V$2:V29)+1,0)=0,0,IF(U30&lt;&gt;0,MAX($V$2:V29)+1,0))</f>
        <v>0</v>
      </c>
      <c r="W30" s="259" t="str">
        <f t="shared" si="43"/>
        <v>03.01</v>
      </c>
      <c r="X30" s="259" t="str">
        <f t="shared" si="44"/>
        <v>MUTUI ATTIVI</v>
      </c>
      <c r="Y30" s="259">
        <f>IF(W30="",0,MAX($Y$2:Y29)+1)</f>
        <v>25</v>
      </c>
      <c r="Z30" s="259" t="str">
        <f>IFERROR(INDEX($W$3:$Y$220,MATCH(ROWS($Z$2:Z29),$Y$3:$Y$220,0),1),"")</f>
        <v>04.10</v>
      </c>
      <c r="AA30" s="259" t="str">
        <f t="shared" si="45"/>
        <v>FORNITORI C/ACCONTI</v>
      </c>
      <c r="AB30" s="259" t="str">
        <f t="shared" si="46"/>
        <v>F</v>
      </c>
      <c r="AC30" s="259" t="str">
        <f t="shared" si="47"/>
        <v>D</v>
      </c>
      <c r="AD30" s="259" t="str">
        <f t="shared" si="48"/>
        <v>CREDITI</v>
      </c>
      <c r="AE30" s="259" t="str">
        <f t="shared" si="49"/>
        <v>SP DARE</v>
      </c>
      <c r="AF30" s="259" t="str">
        <f t="shared" si="50"/>
        <v>RIMANENZE</v>
      </c>
      <c r="AG30" s="259">
        <f t="shared" ca="1" si="51"/>
        <v>1</v>
      </c>
      <c r="AH30" s="259">
        <f t="shared" ca="1" si="52"/>
        <v>1</v>
      </c>
      <c r="AI30" s="259">
        <f t="shared" ca="1" si="53"/>
        <v>1</v>
      </c>
      <c r="AJ30" s="259" t="str">
        <f t="shared" si="54"/>
        <v>04</v>
      </c>
      <c r="AK30" s="259" t="str">
        <f t="shared" si="55"/>
        <v/>
      </c>
      <c r="AL30" s="259">
        <f>IF(AK30&lt;&gt;"",MAX($AL$2:AL29)+1,0)</f>
        <v>0</v>
      </c>
      <c r="AM30" s="259" t="str">
        <f>IFERROR(INDEX($AK$3:$AL$220,MATCH(ROWS($AM$3:AM30),$AL$3:$AL$220,0),1),"")</f>
        <v>39</v>
      </c>
      <c r="AN30" s="259" t="str">
        <f t="shared" si="56"/>
        <v>39.00</v>
      </c>
      <c r="AO30" s="259" t="str">
        <f t="shared" si="57"/>
        <v>ONERI DIVERSI</v>
      </c>
      <c r="AP30" s="259" t="str">
        <f t="shared" si="58"/>
        <v>RIMANENZE</v>
      </c>
      <c r="AQ30" s="259">
        <f ca="1">IF(OR(AG30=0,AG30=""),0,MAX(AQ$2:AQ29)+1)</f>
        <v>16</v>
      </c>
      <c r="AR30" s="259">
        <f ca="1">IF(OR(AH30=0,AH30=""),0,MAX(AR$2:AR29)+1)</f>
        <v>25</v>
      </c>
      <c r="AS30" s="259">
        <f ca="1">IF(OR(AI30=0,AI30=""),0,MAX(AS$2:AS29)+1)</f>
        <v>28</v>
      </c>
      <c r="AT30" s="259" t="str">
        <f ca="1">IFERROR(INDEX($AD$3:$AS$220,MATCH(ROWS(AT$3:AT30),AQ$3:AQ$220,0),1),"")</f>
        <v>DISPONIBILITÀ LIQUIDE</v>
      </c>
      <c r="AU30" s="259" t="str">
        <f ca="1">IFERROR(INDEX($AD$3:$AS$220,MATCH(ROWS(AU$3:AU30),AR$3:AR$220,0),1),"")</f>
        <v>CREDITI</v>
      </c>
      <c r="AV30" s="259" t="str">
        <f ca="1">IFERROR(INDEX($AD$3:$AS$220,MATCH(ROWS(AV$3:AV30),AS$3:AS$220,0),1),"")</f>
        <v>CREDITI</v>
      </c>
      <c r="AW30" s="259" t="str">
        <f ca="1">IFERROR(INDEX($AP$3:$AS$220,MATCH(ROWS(AW$3:AW30),AQ$3:AQ$220,0),1),"")</f>
        <v>DISPONIBILITÀ LIQUIDE</v>
      </c>
      <c r="AX30" s="259" t="str">
        <f ca="1">IFERROR(INDEX($AP$3:$AS$220,MATCH(ROWS(AX$3:AX30),AR$3:AR$220,0),1),"")</f>
        <v>CREDITI COMMERCIALI</v>
      </c>
      <c r="AY30" s="259" t="str">
        <f ca="1">IFERROR(INDEX($AP$3:$AS$220,MATCH(ROWS(AY$3:AY30),AS$3:AS$220,0),1),"")</f>
        <v>RIMANENZE</v>
      </c>
      <c r="AZ30" s="276" t="str">
        <f t="shared" ca="1" si="59"/>
        <v/>
      </c>
      <c r="BA30" s="259">
        <f t="shared" ca="1" si="3"/>
        <v>0</v>
      </c>
      <c r="BB30" s="259">
        <f ca="1">IFERROR(INDEX($FG$3:$FL$400,MATCH(ROWS($BB$3:BB30),$FL$3:$FL$400,0),1),0)</f>
        <v>0</v>
      </c>
      <c r="BC30" s="259" t="str">
        <f t="shared" ca="1" si="60"/>
        <v/>
      </c>
      <c r="BD30" s="259">
        <f ca="1">IFERROR(INDEX($FG$3:$FL$400,MATCH(ROWS($BD$3:BD30),$FL$3:$FL$400,0),4),0)</f>
        <v>0</v>
      </c>
      <c r="BE30" s="259">
        <f ca="1">IFERROR(INDEX($FG$3:$FL$400,MATCH(ROWS($BE$3:BE30),$FL$3:$FL$400,0),5),0)</f>
        <v>0</v>
      </c>
      <c r="BG30" s="259" t="str">
        <f t="shared" si="4"/>
        <v/>
      </c>
      <c r="BH30" s="259">
        <f ca="1">IF(IFERROR(MATCH(BG30,DENOMINAZIONE_GIORNALE,0),0)&gt;0,MAX(BH$2:BH29)+1,0)</f>
        <v>0</v>
      </c>
      <c r="BI30" s="259" t="str">
        <f ca="1">IFERROR(INDEX($BG$3:$BH$220,MATCH(ROWS($BI$3:BI30),$BH$3:$BH$220,0),1),"")</f>
        <v/>
      </c>
      <c r="BJ30" s="259" t="str">
        <f t="shared" ca="1" si="5"/>
        <v/>
      </c>
      <c r="BK30" s="259" t="str">
        <f ca="1">IF(IF(BJ30&lt;&gt;"",MAX($BK$2:BK29)+1,0)=0,"",IF(BJ30&lt;&gt;"",MAX($BK$2:BK29)+1,0))</f>
        <v/>
      </c>
      <c r="BL30" s="259" t="str">
        <f ca="1">IFERROR(INDEX($T$3:$U$220, MATCH(ROWS(BL$3:BL30),$V$3:$V$220,0),1),"")</f>
        <v/>
      </c>
      <c r="BM30" s="259" t="str">
        <f ca="1">IFERROR(INDEX($T$3:$U$220, MATCH(ROWS(BM$3:BM30),$V$3:$V$220,0),2),"")</f>
        <v/>
      </c>
      <c r="BN30" s="259" t="str">
        <f ca="1">IF(IFERROR(INDEX($BI$3:$BJ$220,MATCH(ROWS(BN$3:BN30),$BK$3:$BK$220,0),1),"")="PATRIMONIO NETTO","",IFERROR(INDEX($BI$3:$BJ$220,MATCH(ROWS(BN$3:BN30),$BK$3:$BK$220,0),1),""))</f>
        <v/>
      </c>
      <c r="BO30" s="259" t="str">
        <f ca="1">IFERROR(INDEX($BI$3:$BJ$220,MATCH(ROWS(BO$3:BO30),$BK$3:$BK$220,0),2),"")</f>
        <v/>
      </c>
      <c r="BP30" s="259">
        <f ca="1">IF(BN30&lt;&gt;"",MAX(BP$2:$BP29)+1,0)</f>
        <v>0</v>
      </c>
      <c r="BQ30" s="259" t="str">
        <f ca="1">IFERROR(INDEX($BN$3:$BO$200,MATCH(ROWS(BQ$3:BQ30),$BP$3:$BP$220,0),1),"")</f>
        <v/>
      </c>
      <c r="BR30" s="259" t="str">
        <f ca="1">IFERROR(INDEX($BN$3:$BO$220,MATCH(ROWS(BR$3:BR30),$BP$3:$BP$220,0),2),"")</f>
        <v/>
      </c>
      <c r="BS30" s="259" t="str">
        <f ca="1">IFERROR(IF(OR(INDEX($T$3:$U$220,MATCH(ROWS(BL$3:BL30),$V$3:$V$220,0),1)="PRELEVAMENTI EXTRAGESTIONE",INDEX($T$3:$U$220,MATCH(ROWS(BL$3:BL30),$V$3:$V$220,0),1)="TITOLARE C/RITENUTE SUBITE"),"",INDEX($T$3:$U$220,MATCH(ROWS(BL$3:BL30),$V$3:$V$220,0),1)),"")</f>
        <v/>
      </c>
      <c r="BT30" s="259">
        <f t="shared" ca="1" si="61"/>
        <v>0</v>
      </c>
      <c r="BU30" s="259">
        <f ca="1">IF(BS30&lt;&gt;"",MAX(BU$2:BU29)+1,0)</f>
        <v>0</v>
      </c>
      <c r="BV30" s="259" t="str">
        <f ca="1">IFERROR(INDEX($BS$3:$BT$223,MATCH(ROWS(BV$3:BV30),$BU$3:$BU$223,0),1),"")</f>
        <v/>
      </c>
      <c r="BW30" s="259">
        <f t="shared" ca="1" si="62"/>
        <v>0</v>
      </c>
      <c r="BX30" s="259" t="str">
        <f t="shared" ca="1" si="63"/>
        <v/>
      </c>
      <c r="BY30" s="259" t="str">
        <f t="shared" ca="1" si="64"/>
        <v/>
      </c>
      <c r="BZ30" s="259" t="str">
        <f ca="1">IFERROR(IF(OR($DS$231&lt;&gt;$DT$231,$DU$231&lt;&gt;$DV$231,$EO$25&lt;&gt;0,$EO$26&lt;&gt;0),INDEX($T$3:$V$220,MATCH(ROWS($BV$3:BV30),$V$3:$V$220,0),1),CONCATENATE(BV30,BY30)),"")</f>
        <v/>
      </c>
      <c r="CA30" s="259">
        <f t="shared" ca="1" si="65"/>
        <v>0</v>
      </c>
      <c r="CB30" s="259" t="str">
        <f ca="1">IFERROR(IF(OR($BB$1&lt;&gt;$BD$1,$BC$1&lt;&gt;$BE$1,$DS$231&lt;&gt;$DT$231,$DU$231&lt;&gt;$DV$231,$EO$25&lt;&gt;0,$EO$26&lt;&gt;0),INDEX($BI$3:$BK$220,MATCH(ROWS($CB$3:CB30),$BK$3:$BK$220,0),1),CONCATENATE(BQ30,BX30)),"")</f>
        <v/>
      </c>
      <c r="CC30" s="259" t="str">
        <f t="shared" ca="1" si="66"/>
        <v/>
      </c>
      <c r="CD30" s="259" t="str">
        <f t="shared" si="6"/>
        <v/>
      </c>
      <c r="CE30" s="259">
        <f ca="1">IF(IFERROR(MATCH(CD30,DENOMINAZIONE_GIORNALE,0),0)&gt;0,MAX(CE$2:CE29)+1,0)</f>
        <v>0</v>
      </c>
      <c r="CF30" s="259" t="str">
        <f ca="1">IFERROR(INDEX($CD$3:$CE$220,MATCH(ROWS($CF$3:CF30),$CE$3:$CE$220,0),1),"")</f>
        <v/>
      </c>
      <c r="CG30" s="259">
        <f t="shared" ca="1" si="7"/>
        <v>0</v>
      </c>
      <c r="CH30" s="259" t="str">
        <f ca="1">IF(IF(CG30&lt;&gt;0,MAX($CH$2:CH29)+1,0)=0,"",IF(CG30&lt;&gt;"",MAX($CH$2:CH29)+1,0))</f>
        <v/>
      </c>
      <c r="CI30" s="259" t="str">
        <f ca="1">IFERROR(INDEX($CF$3:$CG$220,MATCH(ROWS($CI$3:CI30),$CH$3:$CH$220,0),1),"")</f>
        <v/>
      </c>
      <c r="CJ30" s="259" t="str">
        <f t="shared" ca="1" si="67"/>
        <v/>
      </c>
      <c r="CK30" s="259" t="str">
        <f t="shared" si="8"/>
        <v/>
      </c>
      <c r="CL30" s="259">
        <f ca="1">IF(IFERROR(MATCH(CK30,DENOMINAZIONE_GIORNALE,0),0)&gt;0,MAX(CL$2:CL29)+1,0)</f>
        <v>0</v>
      </c>
      <c r="CM30" s="259" t="str">
        <f ca="1">IFERROR(INDEX($CK$3:$CL$220,MATCH(ROWS($CM$3:CM30),$CL$3:$CL$220,0),1),"")</f>
        <v/>
      </c>
      <c r="CN30" s="259" t="str">
        <f t="shared" ca="1" si="9"/>
        <v/>
      </c>
      <c r="CO30" s="259">
        <f ca="1">IF(IF(CN30&lt;&gt;0,MAX($CO$2:CO29)+1,0)=0,"",IF(CN30&lt;&gt;"",MAX($CO$2:CO29)+1,0))</f>
        <v>0</v>
      </c>
      <c r="CP30" s="259" t="str">
        <f ca="1">IFERROR(INDEX($CM$3:$CN$220,MATCH(ROWS(CP$3:CP30),$CO$3:$CO$220,0),1),"")</f>
        <v/>
      </c>
      <c r="CQ30" s="259" t="str">
        <f ca="1">IFERROR(INDEX($CM$3:$CN$220,MATCH(ROWS(CQ$3:CQ30),$CO$3:$CO$220,0),2),"")</f>
        <v/>
      </c>
      <c r="CR30" s="259" t="str">
        <f t="shared" ca="1" si="10"/>
        <v/>
      </c>
      <c r="CS30" s="259">
        <f t="shared" ca="1" si="11"/>
        <v>0</v>
      </c>
      <c r="CT30" s="259">
        <f t="shared" ca="1" si="12"/>
        <v>0</v>
      </c>
      <c r="CU30" s="259">
        <f ca="1">IF(OR(CS30&gt;0,CT30&gt;0),MAX($CU$2:CU29)+1,0)</f>
        <v>0</v>
      </c>
      <c r="CV30" s="259" t="str">
        <f ca="1">IFERROR(INDEX(PIANO_DEI_CONTI,MATCH(ROWS($CV$3:CV30),$CU$3:$CU$200,0),2),"")</f>
        <v/>
      </c>
      <c r="CW30" s="259">
        <f ca="1">IFERROR(IF(CV30&lt;&gt;"",MAX($CW$2:CW29)+1,0),0)</f>
        <v>0</v>
      </c>
      <c r="CX30" s="259">
        <f t="shared" ca="1" si="145"/>
        <v>2</v>
      </c>
      <c r="CY30" s="259" t="str">
        <f t="shared" ca="1" si="144"/>
        <v>MASTRO</v>
      </c>
      <c r="CZ30" s="259" t="e">
        <f t="shared" ca="1" si="147"/>
        <v>#N/A</v>
      </c>
      <c r="DA30" s="259" t="str">
        <f t="shared" ca="1" si="152"/>
        <v/>
      </c>
      <c r="DB30" s="259" t="str">
        <f t="shared" ca="1" si="148"/>
        <v/>
      </c>
      <c r="DC30" s="259" t="str">
        <f t="shared" ca="1" si="149"/>
        <v/>
      </c>
      <c r="DD30" s="259" t="str">
        <f t="shared" ca="1" si="150"/>
        <v/>
      </c>
      <c r="DE30" s="259" t="str">
        <f t="shared" ca="1" si="151"/>
        <v/>
      </c>
      <c r="DF30" s="259">
        <f ca="1">IF(AND(CX30=$DE$2,$DF$2&lt;&gt;0),0,IF(AND(DB30&lt;&gt;"",OR(DB29&lt;&gt;"",DB31&lt;&gt;"")),MAX($DF$2:DF29)+1,0))</f>
        <v>0</v>
      </c>
      <c r="DG30" s="259" t="str">
        <f>IF(OR(VALORI_INIZIALI!E35="",AND(VALORI_INIZIALI!E35&lt;&gt;"",VALORI_INIZIALI!H35=0,VALORI_INIZIALI!I35=0)),"",IFERROR(INDEX(PIANO_DEI_CONTI,MATCH(BB30,DENOMINAZIONE,0),1),0))</f>
        <v/>
      </c>
      <c r="DH30" s="259">
        <f ca="1">IFERROR(IF($J$1=1,IF(INDEX(PIANO_DEI_CONTI,MATCH($K30,DENOMINAZIONE,0),5)=$DF$1,MAX($DH$2:DH29)+1,0),IF($J$1=2,IF(INDEX(PIANO_DEI_CONTI,MATCH($K30,DENOMINAZIONE,0),7)=$DF$1,MAX($DH$2:DH29)+1,0))),0)</f>
        <v>0</v>
      </c>
      <c r="DI30" s="259">
        <f ca="1">IFERROR(INDEX($K$3:$K$220,MATCH(ROWS($DI$3:DI30),$DH$3:$DH$220,0),1),0)</f>
        <v>0</v>
      </c>
      <c r="DJ30" s="259">
        <f t="shared" ca="1" si="14"/>
        <v>0</v>
      </c>
      <c r="DK30" s="259">
        <f ca="1">IF(DJ30=0,0,MAX(DK$2:DK29)+1)</f>
        <v>0</v>
      </c>
      <c r="DL30" s="259">
        <f ca="1">IFERROR(INDEX(PIANO_DEI_CONTI,MATCH(ROWS(DL$3:DL30),$DK$3:DK257,0),2),0)</f>
        <v>0</v>
      </c>
      <c r="DM30" s="259">
        <f t="shared" ca="1" si="15"/>
        <v>0</v>
      </c>
      <c r="DN30" s="259">
        <f t="shared" ca="1" si="16"/>
        <v>0</v>
      </c>
      <c r="DO30" s="259">
        <f t="shared" ca="1" si="69"/>
        <v>0</v>
      </c>
      <c r="DP30" s="259">
        <f t="shared" ca="1" si="70"/>
        <v>0</v>
      </c>
      <c r="DQ30" s="259">
        <f ca="1">IF(OR($DQ$1="TOTALI",$DQ$1="TOTALI ED ECCEDENZE"),IF(OR(DM30&gt;0,DN30&gt;0),MAX(DQ$2:DQ29)+1,0),IF($DQ$1="ECCEDENZE",IF(OR(DO30&gt;0,DP30&gt;0),MAX(DQ$2:DQ29)+1,0),""))</f>
        <v>0</v>
      </c>
      <c r="DR30" s="259" t="str">
        <f ca="1">IFERROR(INDEX($DL$3:$DQ$230,MATCH(ROWS(DR$3:DR30),$DQ$3:$DQ$230,0),1),"")</f>
        <v/>
      </c>
      <c r="DS30" s="259" t="str">
        <f t="shared" ca="1" si="71"/>
        <v/>
      </c>
      <c r="DT30" s="259" t="str">
        <f t="shared" ca="1" si="72"/>
        <v/>
      </c>
      <c r="DU30" s="259" t="str">
        <f t="shared" ca="1" si="73"/>
        <v/>
      </c>
      <c r="DV30" s="259" t="str">
        <f t="shared" ca="1" si="74"/>
        <v/>
      </c>
      <c r="DW30" s="259">
        <f t="shared" ca="1" si="75"/>
        <v>0</v>
      </c>
      <c r="DX30" s="259" t="str">
        <f t="shared" ca="1" si="76"/>
        <v/>
      </c>
      <c r="DY30" s="259" t="str">
        <f t="shared" ca="1" si="77"/>
        <v/>
      </c>
      <c r="DZ30" s="259" t="str">
        <f t="shared" ca="1" si="78"/>
        <v/>
      </c>
      <c r="EA30" s="259">
        <f t="shared" ca="1" si="79"/>
        <v>28</v>
      </c>
      <c r="EB30" s="259" t="s">
        <v>352</v>
      </c>
      <c r="ED30" s="259">
        <f t="shared" ca="1" si="17"/>
        <v>0</v>
      </c>
      <c r="EE30" s="259" t="str">
        <f t="shared" ca="1" si="18"/>
        <v/>
      </c>
      <c r="EF30" s="259" t="str">
        <f t="shared" ca="1" si="19"/>
        <v/>
      </c>
      <c r="EG30" s="259" t="str">
        <f t="shared" ca="1" si="136"/>
        <v/>
      </c>
      <c r="EH30" s="259" t="str">
        <f t="shared" ca="1" si="80"/>
        <v/>
      </c>
      <c r="EI30" s="260" t="b">
        <f t="shared" ca="1" si="137"/>
        <v>1</v>
      </c>
      <c r="EJ30" s="260" t="b">
        <f t="shared" ca="1" si="138"/>
        <v>1</v>
      </c>
      <c r="EK30" s="260" t="b">
        <f t="shared" ca="1" si="139"/>
        <v>1</v>
      </c>
      <c r="EL30" s="259">
        <f t="shared" si="81"/>
        <v>28</v>
      </c>
      <c r="EM30" s="259">
        <f ca="1">IF(AND(BA30&gt;0,BA30&lt;=$EM$1),MAX($EM$2:EM29)+1,0)</f>
        <v>0</v>
      </c>
      <c r="EN30" s="259">
        <f t="shared" ca="1" si="82"/>
        <v>30</v>
      </c>
      <c r="EP30" s="259" t="str">
        <f t="shared" ca="1" si="20"/>
        <v/>
      </c>
      <c r="EQ30" s="259">
        <f t="shared" ca="1" si="21"/>
        <v>0</v>
      </c>
      <c r="ER30" s="259">
        <f ca="1">IF(ISNA(EQ30),MAX(ER$2:ER29)+1,0)</f>
        <v>0</v>
      </c>
      <c r="ES30" s="259" t="str">
        <f t="shared" ca="1" si="83"/>
        <v/>
      </c>
      <c r="ET30" s="259" t="str">
        <f ca="1">IFERROR(UPPER(INDEX($ER$3:$ES$500,MATCH(ROWS(ET$3:ET30),$ER$3:$ER$500,0),2)),"")</f>
        <v/>
      </c>
      <c r="EW30" s="259" t="str">
        <f ca="1">IFERROR(INDEX($EU$3:$EV$30,MATCH(ROWS($EX$3:EX30),$EV$3:$EV$30,0),1),"")</f>
        <v/>
      </c>
      <c r="EY30" s="259">
        <f t="shared" ca="1" si="84"/>
        <v>0</v>
      </c>
      <c r="EZ30" s="259">
        <f t="shared" ca="1" si="84"/>
        <v>0</v>
      </c>
      <c r="FA30" s="259" t="str">
        <f t="shared" ca="1" si="85"/>
        <v/>
      </c>
      <c r="FB30" s="259">
        <f t="shared" ca="1" si="86"/>
        <v>0</v>
      </c>
      <c r="FC30" s="259">
        <f t="shared" ca="1" si="87"/>
        <v>0</v>
      </c>
      <c r="FD30" s="259">
        <f t="shared" ca="1" si="22"/>
        <v>0</v>
      </c>
      <c r="FE30" s="259" t="str">
        <f t="shared" ca="1" si="23"/>
        <v/>
      </c>
      <c r="FF30" s="259" t="str">
        <f t="shared" ca="1" si="88"/>
        <v/>
      </c>
      <c r="FG30" s="259" t="str">
        <f t="shared" si="89"/>
        <v>FORNITORI C/ACCONTI</v>
      </c>
      <c r="FH30" s="259">
        <f t="shared" ca="1" si="24"/>
        <v>0</v>
      </c>
      <c r="FI30" s="259">
        <f t="shared" ca="1" si="25"/>
        <v>0</v>
      </c>
      <c r="FJ30" s="259">
        <f t="shared" ca="1" si="90"/>
        <v>0</v>
      </c>
      <c r="FK30" s="259">
        <f t="shared" ca="1" si="91"/>
        <v>0</v>
      </c>
      <c r="FL30" s="259">
        <f ca="1">IF(OR(FJ30&gt;0,FK30&gt;0),MAX($FL$2:FL29)+1,0)</f>
        <v>0</v>
      </c>
      <c r="FM30" s="259">
        <f t="shared" ca="1" si="26"/>
        <v>0</v>
      </c>
      <c r="FN30" s="259">
        <f ca="1">IF(FM30&lt;0,MAX($FN$2:FN29)+1,0)</f>
        <v>0</v>
      </c>
      <c r="FO30" s="259" t="str">
        <f t="shared" ca="1" si="92"/>
        <v/>
      </c>
      <c r="FP30" s="259" t="str">
        <f ca="1">IFERROR(INDEX($FN$3:$FO$400,MATCH(ROWS($FP$3:FP30),$FN$3:$FN$400,0),2),"")</f>
        <v/>
      </c>
      <c r="FQ30" s="259" t="str">
        <f>IF(AE30="SE AVERE",MAX($FQ$2:FQ29)+1,"")</f>
        <v/>
      </c>
      <c r="FR30" s="259" t="str">
        <f>IF(AE30="SE DARE",MAX($FR$2:FR29)+1,"")</f>
        <v/>
      </c>
      <c r="FS30" s="259">
        <f ca="1">IF(AND(AE30="SP DARE",AA30&lt;&gt;$FS$1,AA30&lt;&gt;$FT$1),MAX($FS$2:FS29)+1,IF(AND(GQ30="SP DARE",AA30&lt;&gt;$FS$1,AA30&lt;&gt;$FT$1),MAX($FS$2:FS29)+1,""))</f>
        <v>106</v>
      </c>
      <c r="FT30" s="259" t="str">
        <f ca="1">IF(AND(AE30="SP AVERE",AA30&lt;&gt;$FU$1),MAX($FT$2:FT29)+1,IF(AND(GQ30="SP AVERE",AA30&lt;&gt;$FU$1),MAX($FT$2:FT29)+1,""))</f>
        <v/>
      </c>
      <c r="FU30" s="259">
        <f t="shared" ca="1" si="93"/>
        <v>106</v>
      </c>
      <c r="FV30" s="259" t="str">
        <f t="shared" si="94"/>
        <v>FORNITORI C/ACCONTI</v>
      </c>
      <c r="FW30" s="259" t="str">
        <f ca="1">IFERROR(INDEX($FU$3:$FV$500,MATCH(ROWS($FW$3:FW30),$FU$3:$FU$500,0),2),0)</f>
        <v>COSTI DI TRASPORTO</v>
      </c>
      <c r="FX30" s="259">
        <f t="shared" ca="1" si="95"/>
        <v>28</v>
      </c>
      <c r="FY30" s="259">
        <f t="shared" ca="1" si="96"/>
        <v>0</v>
      </c>
      <c r="FZ30" s="259">
        <f ca="1">IF(FY30&gt;0,MAX($FZ$2:FZ29)+1,0)</f>
        <v>0</v>
      </c>
      <c r="GA30" s="259">
        <f ca="1">IFERROR(INDEX($FY$3:$FZ$500,MATCH(ROWS($GA$3:GA30),$FZ$3:$FZ$500,0),1),0)</f>
        <v>0</v>
      </c>
      <c r="GC30" s="259">
        <f t="shared" ca="1" si="97"/>
        <v>28</v>
      </c>
      <c r="GD30" s="259" t="str">
        <f t="shared" ca="1" si="98"/>
        <v>COSTI DI TRASPORTO</v>
      </c>
      <c r="GG30" s="259">
        <f t="shared" ca="1" si="27"/>
        <v>0</v>
      </c>
      <c r="GH30" s="259">
        <f t="shared" ca="1" si="99"/>
        <v>0</v>
      </c>
      <c r="GI30" s="259">
        <f t="shared" ca="1" si="100"/>
        <v>0</v>
      </c>
      <c r="GJ30" s="259">
        <f t="shared" ca="1" si="101"/>
        <v>0</v>
      </c>
      <c r="GK30" s="259">
        <f t="shared" ca="1" si="102"/>
        <v>0</v>
      </c>
      <c r="GL30" s="259">
        <f t="shared" ca="1" si="103"/>
        <v>0</v>
      </c>
      <c r="GM30" s="259">
        <f ca="1">IF(OR(GK30&gt;0,GL30&gt;0),MAX($GM$2:GM29)+1,0)</f>
        <v>0</v>
      </c>
      <c r="GN30" s="259" t="str">
        <f ca="1">IFERROR(INDEX($GD$3:$GM$400,MATCH(ROWS($GN$3:GN30),$GM$3:$GM$400,0),1),"")</f>
        <v/>
      </c>
      <c r="GO30" s="259" t="str">
        <f ca="1">IFERROR(INDEX($GD$3:$GM$400,MATCH(ROWS($GO$3:GO30),$GM$3:$GM$400,0),8),"")</f>
        <v/>
      </c>
      <c r="GP30" s="259" t="str">
        <f ca="1">IFERROR(INDEX($GD$3:$GM$400,MATCH(ROWS($GP$3:GP30),$GM$3:$GM$400,0),9),"")</f>
        <v/>
      </c>
      <c r="GQ30" s="259">
        <f t="shared" ca="1" si="28"/>
        <v>0</v>
      </c>
      <c r="GR30" s="259">
        <f t="shared" ca="1" si="104"/>
        <v>0</v>
      </c>
      <c r="GS30" s="259" t="str">
        <f t="shared" si="105"/>
        <v>epilogo a Conto economico</v>
      </c>
      <c r="GT30" s="259" t="str">
        <f ca="1">IFERROR(INDEX($GD$3:$GS$400,MATCH(ROWS($GT$3:GT30),$GM$3:$GM$400,0),16),"")</f>
        <v/>
      </c>
      <c r="GU30" s="259">
        <f ca="1">IF(GQ30&lt;&gt;0,MAX($GU$2:$GU29)+1,0)</f>
        <v>0</v>
      </c>
      <c r="GV30" s="259">
        <f t="shared" ca="1" si="106"/>
        <v>0</v>
      </c>
      <c r="GW30" s="259" t="str">
        <f ca="1">IF(AND(IFERROR(INDEX($GU$3:$GV$400,MATCH(ROWS($GW$3:GW30),$GU$3:$GU$400,0),2),"")&lt;&gt;"",GW31&lt;&gt;""),CONCATENATE(IFERROR(INDEX($GU$3:$GV$400,MATCH(ROWS($GW$3:GW30),$GU$3:$GU$400,0),2),"")," - "),IFERROR(INDEX($GU$3:$GV$400,MATCH(ROWS($GW$3:GW30),$GU$3:$GU$400,0),2),""))</f>
        <v/>
      </c>
      <c r="GX30" s="259">
        <f ca="1">IF(OR(GN30="IVA NS/CREDITO",GN30="IVA NS/DEBITO",GN30="IVA C/ACCONTO",GN30="IMPOSTE C/ACCONTO"),MAX($GX$2:GX29)+1,0)</f>
        <v>0</v>
      </c>
      <c r="GY30" s="259" t="str">
        <f ca="1">IF(AND(IFERROR(INDEX($GN$3:$GX$200,MATCH(ROWS($GY$3:GY30),$GX$3:$GX$200,0),1),"")&lt;&gt;"",GY31&lt;&gt;""),CONCATENATE(IFERROR(INDEX($GN$3:$GX$200,MATCH(ROWS($GY$3:GY30),$GX$3:$GX$200,0),1),"")," - "),IFERROR(INDEX($GN$3:$GX$200,MATCH(ROWS($GY$3:GY30),$GX$3:$GX$200,0),1),""))</f>
        <v/>
      </c>
      <c r="GZ30" s="259" t="s">
        <v>41</v>
      </c>
      <c r="HA30" s="259" t="s">
        <v>40</v>
      </c>
      <c r="HB30" s="269" t="s">
        <v>257</v>
      </c>
      <c r="HC30" s="269" t="s">
        <v>276</v>
      </c>
      <c r="HD30" s="269" t="s">
        <v>6</v>
      </c>
      <c r="HE30" s="269" t="s">
        <v>206</v>
      </c>
      <c r="HL30" s="259" t="str">
        <f t="shared" ca="1" si="29"/>
        <v/>
      </c>
      <c r="HM30" s="259" t="str">
        <f t="shared" ca="1" si="30"/>
        <v/>
      </c>
      <c r="HN30" s="259" t="str">
        <f t="shared" ca="1" si="31"/>
        <v/>
      </c>
      <c r="HO30" s="259">
        <f ca="1">IF(HL30&lt;&gt;"",MAX($HO$2:HO29)+1,0)</f>
        <v>0</v>
      </c>
      <c r="HP30" s="259">
        <f ca="1">IF(HM30&lt;&gt;"",MAX($HP$2:HP29)+1,0)</f>
        <v>0</v>
      </c>
      <c r="HQ30" s="259">
        <f ca="1">IF(HN30&lt;&gt;"",MAX($HQ$2:HQ29)+1,0)</f>
        <v>0</v>
      </c>
      <c r="HR30" s="259" t="str">
        <f t="shared" ca="1" si="107"/>
        <v/>
      </c>
      <c r="HS30" s="259" t="str">
        <f t="shared" ca="1" si="108"/>
        <v/>
      </c>
      <c r="HT30" s="259">
        <f t="shared" ca="1" si="109"/>
        <v>0</v>
      </c>
      <c r="HU30" s="259">
        <f t="shared" ca="1" si="110"/>
        <v>0</v>
      </c>
      <c r="HV30" s="259" t="str">
        <f ca="1">CONCATENATE(IFERROR(INDEX($HS$3:$HT$102,MATCH(ROWS($HV$3:HV30),$HT$3:$HT$102,0),1),""),HR30)</f>
        <v/>
      </c>
      <c r="IA30" s="259" t="s">
        <v>361</v>
      </c>
      <c r="IB30" s="259" t="s">
        <v>298</v>
      </c>
      <c r="IC30" s="259">
        <f ca="1">IFERROR(INDEX(PIANO_DEI_CONTI,MATCH(ROWS(DL$3:DL30),$DK$3:DK257,0),2),0)</f>
        <v>0</v>
      </c>
      <c r="ID30" s="259">
        <f t="shared" ca="1" si="111"/>
        <v>0</v>
      </c>
      <c r="IE30" s="259">
        <f t="shared" ca="1" si="112"/>
        <v>0</v>
      </c>
      <c r="IF30" s="259">
        <f t="shared" ca="1" si="113"/>
        <v>0</v>
      </c>
      <c r="IG30" s="259">
        <f ca="1">IF(SUMIFS($ID$3:$ID$200,$IF$3:$IF$200,IA30)&lt;=SUMIFS($IE$3:$IE$200,$IF$3:$IF$200,IA30),ROUND(SUMIFS($IE$3:$IE$200,$IF$3:$IF$200,IA30)-SUMIFS($ID$3:$ID$200,$IF$3:$IF$200,IA30),0),0)</f>
        <v>0</v>
      </c>
      <c r="IH30" s="259">
        <f ca="1">IF(IG30&lt;&gt;0,MAX($IH$19:IH29)+1,0)</f>
        <v>0</v>
      </c>
      <c r="II30" s="259">
        <f>IF(AD30="costi pluriennali",MAX($II$2:II29)+1,0)</f>
        <v>0</v>
      </c>
      <c r="IJ30" s="259">
        <f>IF($AD30="rettifiche costi pluriennali",MAX($IJ$2:IJ29)+1,0)</f>
        <v>0</v>
      </c>
      <c r="IK30" s="259">
        <f t="shared" si="114"/>
        <v>0</v>
      </c>
      <c r="IL30" s="259" t="str">
        <f t="shared" si="115"/>
        <v/>
      </c>
      <c r="IM30" s="259">
        <f t="shared" ca="1" si="116"/>
        <v>0</v>
      </c>
      <c r="IN30" s="259">
        <f t="shared" ca="1" si="141"/>
        <v>0</v>
      </c>
      <c r="IO30" s="259">
        <f>SUMIFS($IM$3:$IM$200,$IK$3:$IK$200,ROWS($IO$3:IO30))-SUMIFS($IN$3:$IN$200,$IK$3:$IK$200,ROWS($IO$3:IO30))</f>
        <v>0</v>
      </c>
      <c r="IP30" s="259" t="str">
        <f>IF(IO30&lt;0,INDEX($IJ$3:$IL$200,MATCH(ROWS($IP$3:IP30),$IJ$3:$IJ$200,0),3),"")</f>
        <v/>
      </c>
      <c r="IQ30" s="259">
        <f>IF(IP30&lt;&gt;"",MAX($IQ$2:IQ29)+1,0)</f>
        <v>0</v>
      </c>
      <c r="IR30" s="259" t="str">
        <f ca="1">IFERROR(INDEX($IP$3:$IQ$200,MATCH(ROWS($IR$3:IR30),$IQ$3:$IQ$200,0),1),"")</f>
        <v/>
      </c>
      <c r="IS30" s="259" t="str">
        <f t="shared" ca="1" si="117"/>
        <v/>
      </c>
      <c r="IT30" s="259" t="str">
        <f t="shared" ca="1" si="118"/>
        <v/>
      </c>
      <c r="IU30" s="259" t="str">
        <f t="shared" ca="1" si="119"/>
        <v/>
      </c>
      <c r="IV30" s="259" t="str">
        <f t="shared" ca="1" si="120"/>
        <v/>
      </c>
      <c r="IW30" s="259" t="str">
        <f t="shared" ca="1" si="121"/>
        <v/>
      </c>
      <c r="IX30" s="259" t="str">
        <f t="shared" ca="1" si="122"/>
        <v/>
      </c>
      <c r="IY30" s="259" t="str">
        <f t="shared" ca="1" si="123"/>
        <v/>
      </c>
      <c r="IZ30" s="259" t="str">
        <f t="shared" ca="1" si="124"/>
        <v/>
      </c>
      <c r="JA30" s="259" t="str">
        <f t="shared" ca="1" si="125"/>
        <v/>
      </c>
      <c r="JB30" s="259">
        <f t="shared" ca="1" si="32"/>
        <v>0</v>
      </c>
      <c r="JC30" s="259">
        <f t="shared" ca="1" si="126"/>
        <v>0</v>
      </c>
      <c r="JE30" s="259">
        <f ca="1">IFERROR(INDEX(LIBRO_GIORNALE!$N$11:$O$408,MATCH(ROWS($JE$2:JE29),LIBRO_GIORNALE!$O$11:$O$408,0),1),0)</f>
        <v>0</v>
      </c>
      <c r="JF30" s="259" t="str">
        <f t="shared" ca="1" si="127"/>
        <v>0</v>
      </c>
      <c r="JG30" s="259">
        <f t="shared" ca="1" si="128"/>
        <v>0</v>
      </c>
      <c r="JH30" s="259">
        <f ca="1">IF(JJ30&gt;0,0,MAX($JH$2:JH29)+1)</f>
        <v>28</v>
      </c>
      <c r="JI30" s="259">
        <f ca="1">IF(JG30&gt;0,MAX($JI$2:JI29)+1,0)</f>
        <v>0</v>
      </c>
      <c r="JJ30" s="259">
        <f ca="1">IFERROR(INDEX($JG$3:$JI$124,MATCH(ROWS($JJ$3:JJ30),$JI$3:$JI$124,0),1),0)</f>
        <v>0</v>
      </c>
      <c r="JK30" s="259">
        <f t="shared" ca="1" si="129"/>
        <v>0</v>
      </c>
      <c r="JL30" s="259">
        <f t="shared" ca="1" si="130"/>
        <v>28</v>
      </c>
      <c r="JM30" s="259">
        <v>27</v>
      </c>
    </row>
    <row r="31" spans="1:273">
      <c r="A31" s="259" t="str">
        <f t="shared" si="33"/>
        <v>04.00</v>
      </c>
      <c r="B31" s="259" t="str">
        <f t="shared" si="34"/>
        <v>RIMANENZE</v>
      </c>
      <c r="C31" s="259">
        <f t="shared" si="35"/>
        <v>0</v>
      </c>
      <c r="D31" s="259">
        <f t="shared" si="36"/>
        <v>0</v>
      </c>
      <c r="E31" s="259">
        <f t="shared" si="37"/>
        <v>0</v>
      </c>
      <c r="F31" s="259">
        <f t="shared" si="38"/>
        <v>0</v>
      </c>
      <c r="G31" s="259">
        <f t="shared" ca="1" si="39"/>
        <v>0</v>
      </c>
      <c r="H31" s="259">
        <f t="shared" ca="1" si="40"/>
        <v>0</v>
      </c>
      <c r="I31" s="259">
        <f t="shared" ca="1" si="41"/>
        <v>0</v>
      </c>
      <c r="J31" s="259">
        <v>28</v>
      </c>
      <c r="K31" s="259" t="str">
        <f ca="1">IFERROR(IF($I$1=1,INDEX($AA$3:$AS$220,MATCH(ROWS($K$3:K31),$AQ$3:$AQ$220,0),1),IF($I$1=2,INDEX($AA$3:$AS$220,MATCH(ROWS($K$3:K31),$AR$3:$AR$220,0),1),IF($I$1=3,INDEX($AA$3:$AS$220,MATCH(ROWS($K$3:K31),$AS$3:$AS$220,0),1),""))),"")</f>
        <v>CREDITI V/CLIENTI</v>
      </c>
      <c r="L31" s="259">
        <f ca="1">IF(AND($L$1="VISUALIZZA TUTTI I CONTI",K31&lt;&gt;""),MAX(L30:L30)+1,IFERROR(IF($J$1=1,IF(INDEX(PIANO_DEI_CONTI,MATCH($K31,DENOMINAZIONE,0),5)=$L$1,MAX($L$2:L30)+1,0),IF($J$1=2,IF(INDEX(PIANO_DEI_CONTI,MATCH($K31,DENOMINAZIONE,0),7)=$L$1,MAX($L$2:L30)+1,0))),0))</f>
        <v>29</v>
      </c>
      <c r="M31" s="259" t="str">
        <f ca="1">IFERROR(INDEX($K$3:$K$220,MATCH(ROWS($M$3:M31),$L$3:$L$220,0),1),"")</f>
        <v>CREDITI V/CLIENTI</v>
      </c>
      <c r="N31" s="259" t="str">
        <f t="shared" si="143"/>
        <v>DEBITI COMMERCIALI</v>
      </c>
      <c r="O31" s="259" t="str">
        <f t="shared" ca="1" si="142"/>
        <v>DEBITI COMMERCIALI</v>
      </c>
      <c r="P31" s="259">
        <f ca="1">IF(AND(N31=O31,O31&lt;&gt;""),MAX(P$2:P30)+1,0)</f>
        <v>14</v>
      </c>
      <c r="Q31" s="259" t="str">
        <f ca="1">IF(IFERROR(INDEX($O$3:$P$220,MATCH(ROWS(Q$3:Q31),$P$3:$P$220,0),1),"")=0,"",IFERROR(INDEX($O$3:$P$220,MATCH(ROWS(Q$3:Q31),$P$3:$P$220,0),1),""))</f>
        <v>ONERI DIVERSI</v>
      </c>
      <c r="R31" s="259" t="str">
        <f t="shared" si="1"/>
        <v>CREDITI V/CLIENTI</v>
      </c>
      <c r="S31" s="259">
        <f ca="1">IF(IFERROR(MATCH(R31,DENOMINAZIONE_GIORNALE,0),0)&gt;0,MAX(S$2:S30)+1,0)</f>
        <v>0</v>
      </c>
      <c r="T31" s="259" t="str">
        <f ca="1">IFERROR(INDEX($R$3:$S$220,MATCH(ROWS($T$3:T31),$S$3:$S$220,0),1),"")</f>
        <v/>
      </c>
      <c r="U31" s="259">
        <f t="shared" ca="1" si="2"/>
        <v>0</v>
      </c>
      <c r="V31" s="259">
        <f ca="1">IF(IF(U31&lt;&gt;0,MAX($V$2:V30)+1,0)=0,0,IF(U31&lt;&gt;0,MAX($V$2:V30)+1,0))</f>
        <v>0</v>
      </c>
      <c r="W31" s="259" t="str">
        <f t="shared" si="43"/>
        <v/>
      </c>
      <c r="X31" s="259" t="str">
        <f t="shared" si="44"/>
        <v/>
      </c>
      <c r="Y31" s="259">
        <f>IF(W31="",0,MAX($Y$2:Y30)+1)</f>
        <v>0</v>
      </c>
      <c r="Z31" s="259" t="str">
        <f>IFERROR(INDEX($W$3:$Y$220,MATCH(ROWS($Z$2:Z30),$Y$3:$Y$220,0),1),"")</f>
        <v>05.01</v>
      </c>
      <c r="AA31" s="259" t="str">
        <f t="shared" si="45"/>
        <v>CREDITI V/CLIENTI</v>
      </c>
      <c r="AB31" s="259" t="str">
        <f t="shared" si="46"/>
        <v>F</v>
      </c>
      <c r="AC31" s="259" t="str">
        <f t="shared" si="47"/>
        <v>D</v>
      </c>
      <c r="AD31" s="259" t="str">
        <f t="shared" si="48"/>
        <v>CREDITI</v>
      </c>
      <c r="AE31" s="259" t="str">
        <f t="shared" si="49"/>
        <v>SP DARE</v>
      </c>
      <c r="AF31" s="259" t="str">
        <f t="shared" si="50"/>
        <v>CREDITI COMMERCIALI</v>
      </c>
      <c r="AG31" s="259">
        <f t="shared" ca="1" si="51"/>
        <v>1</v>
      </c>
      <c r="AH31" s="259">
        <f t="shared" ca="1" si="52"/>
        <v>1</v>
      </c>
      <c r="AI31" s="259">
        <f t="shared" ca="1" si="53"/>
        <v>1</v>
      </c>
      <c r="AJ31" s="259" t="str">
        <f t="shared" si="54"/>
        <v>05</v>
      </c>
      <c r="AK31" s="259" t="str">
        <f t="shared" si="55"/>
        <v>04</v>
      </c>
      <c r="AL31" s="259">
        <f>IF(AK31&lt;&gt;"",MAX($AL$2:AL30)+1,0)</f>
        <v>4</v>
      </c>
      <c r="AM31" s="259" t="str">
        <f>IFERROR(INDEX($AK$3:$AL$220,MATCH(ROWS($AM$3:AM31),$AL$3:$AL$220,0),1),"")</f>
        <v>40</v>
      </c>
      <c r="AN31" s="259" t="str">
        <f t="shared" si="56"/>
        <v>40.00</v>
      </c>
      <c r="AO31" s="259" t="str">
        <f t="shared" si="57"/>
        <v>PROVENTI FINANZIARI</v>
      </c>
      <c r="AP31" s="259" t="str">
        <f t="shared" si="58"/>
        <v>CREDITI COMMERCIALI</v>
      </c>
      <c r="AQ31" s="259">
        <f ca="1">IF(OR(AG31=0,AG31=""),0,MAX(AQ$2:AQ30)+1)</f>
        <v>17</v>
      </c>
      <c r="AR31" s="259">
        <f ca="1">IF(OR(AH31=0,AH31=""),0,MAX(AR$2:AR30)+1)</f>
        <v>26</v>
      </c>
      <c r="AS31" s="259">
        <f ca="1">IF(OR(AI31=0,AI31=""),0,MAX(AS$2:AS30)+1)</f>
        <v>29</v>
      </c>
      <c r="AT31" s="259" t="str">
        <f ca="1">IFERROR(INDEX($AD$3:$AS$220,MATCH(ROWS(AT$3:AT31),AQ$3:AQ$220,0),1),"")</f>
        <v>DISPONIBILITÀ LIQUIDE</v>
      </c>
      <c r="AU31" s="259" t="str">
        <f ca="1">IFERROR(INDEX($AD$3:$AS$220,MATCH(ROWS(AU$3:AU31),AR$3:AR$220,0),1),"")</f>
        <v>CREDITI</v>
      </c>
      <c r="AV31" s="259" t="str">
        <f ca="1">IFERROR(INDEX($AD$3:$AS$220,MATCH(ROWS(AV$3:AV31),AS$3:AS$220,0),1),"")</f>
        <v>CREDITI</v>
      </c>
      <c r="AW31" s="259" t="str">
        <f ca="1">IFERROR(INDEX($AP$3:$AS$220,MATCH(ROWS(AW$3:AW31),AQ$3:AQ$220,0),1),"")</f>
        <v>DISPONIBILITÀ LIQUIDE</v>
      </c>
      <c r="AX31" s="259" t="str">
        <f ca="1">IFERROR(INDEX($AP$3:$AS$220,MATCH(ROWS(AX$3:AX31),AR$3:AR$220,0),1),"")</f>
        <v>CREDITI COMMERCIALI</v>
      </c>
      <c r="AY31" s="259" t="str">
        <f ca="1">IFERROR(INDEX($AP$3:$AS$220,MATCH(ROWS(AY$3:AY31),AS$3:AS$220,0),1),"")</f>
        <v>CREDITI COMMERCIALI</v>
      </c>
      <c r="AZ31" s="276" t="str">
        <f t="shared" ca="1" si="59"/>
        <v/>
      </c>
      <c r="BA31" s="259">
        <f t="shared" ca="1" si="3"/>
        <v>0</v>
      </c>
      <c r="BB31" s="259">
        <f ca="1">IFERROR(INDEX($FG$3:$FL$400,MATCH(ROWS($BB$3:BB31),$FL$3:$FL$400,0),1),0)</f>
        <v>0</v>
      </c>
      <c r="BC31" s="259" t="str">
        <f t="shared" ca="1" si="60"/>
        <v/>
      </c>
      <c r="BD31" s="259">
        <f ca="1">IFERROR(INDEX($FG$3:$FL$400,MATCH(ROWS($BD$3:BD31),$FL$3:$FL$400,0),4),0)</f>
        <v>0</v>
      </c>
      <c r="BE31" s="259">
        <f ca="1">IFERROR(INDEX($FG$3:$FL$400,MATCH(ROWS($BE$3:BE31),$FL$3:$FL$400,0),5),0)</f>
        <v>0</v>
      </c>
      <c r="BG31" s="259" t="str">
        <f t="shared" si="4"/>
        <v/>
      </c>
      <c r="BH31" s="259">
        <f ca="1">IF(IFERROR(MATCH(BG31,DENOMINAZIONE_GIORNALE,0),0)&gt;0,MAX(BH$2:BH30)+1,0)</f>
        <v>0</v>
      </c>
      <c r="BI31" s="259" t="str">
        <f ca="1">IFERROR(INDEX($BG$3:$BH$220,MATCH(ROWS($BI$3:BI31),$BH$3:$BH$220,0),1),"")</f>
        <v/>
      </c>
      <c r="BJ31" s="259" t="str">
        <f t="shared" ca="1" si="5"/>
        <v/>
      </c>
      <c r="BK31" s="259" t="str">
        <f ca="1">IF(IF(BJ31&lt;&gt;"",MAX($BK$2:BK30)+1,0)=0,"",IF(BJ31&lt;&gt;"",MAX($BK$2:BK30)+1,0))</f>
        <v/>
      </c>
      <c r="BL31" s="259" t="str">
        <f ca="1">IFERROR(INDEX($T$3:$U$220, MATCH(ROWS(BL$3:BL31),$V$3:$V$220,0),1),"")</f>
        <v/>
      </c>
      <c r="BM31" s="259" t="str">
        <f ca="1">IFERROR(INDEX($T$3:$U$220, MATCH(ROWS(BM$3:BM31),$V$3:$V$220,0),2),"")</f>
        <v/>
      </c>
      <c r="BN31" s="259" t="str">
        <f ca="1">IF(IFERROR(INDEX($BI$3:$BJ$220,MATCH(ROWS(BN$3:BN31),$BK$3:$BK$220,0),1),"")="PATRIMONIO NETTO","",IFERROR(INDEX($BI$3:$BJ$220,MATCH(ROWS(BN$3:BN31),$BK$3:$BK$220,0),1),""))</f>
        <v/>
      </c>
      <c r="BO31" s="259" t="str">
        <f ca="1">IFERROR(INDEX($BI$3:$BJ$220,MATCH(ROWS(BO$3:BO31),$BK$3:$BK$220,0),2),"")</f>
        <v/>
      </c>
      <c r="BP31" s="259">
        <f ca="1">IF(BN31&lt;&gt;"",MAX(BP$2:$BP30)+1,0)</f>
        <v>0</v>
      </c>
      <c r="BQ31" s="259" t="str">
        <f ca="1">IFERROR(INDEX($BN$3:$BO$200,MATCH(ROWS(BQ$3:BQ31),$BP$3:$BP$220,0),1),"")</f>
        <v/>
      </c>
      <c r="BR31" s="259" t="str">
        <f ca="1">IFERROR(INDEX($BN$3:$BO$220,MATCH(ROWS(BR$3:BR31),$BP$3:$BP$220,0),2),"")</f>
        <v/>
      </c>
      <c r="BS31" s="259" t="str">
        <f ca="1">IFERROR(IF(OR(INDEX($T$3:$U$220,MATCH(ROWS(BL$3:BL31),$V$3:$V$220,0),1)="PRELEVAMENTI EXTRAGESTIONE",INDEX($T$3:$U$220,MATCH(ROWS(BL$3:BL31),$V$3:$V$220,0),1)="TITOLARE C/RITENUTE SUBITE"),"",INDEX($T$3:$U$220,MATCH(ROWS(BL$3:BL31),$V$3:$V$220,0),1)),"")</f>
        <v/>
      </c>
      <c r="BT31" s="259">
        <f t="shared" ca="1" si="61"/>
        <v>0</v>
      </c>
      <c r="BU31" s="259">
        <f ca="1">IF(BS31&lt;&gt;"",MAX(BU$2:BU30)+1,0)</f>
        <v>0</v>
      </c>
      <c r="BV31" s="259" t="str">
        <f ca="1">IFERROR(INDEX($BS$3:$BT$223,MATCH(ROWS(BV$3:BV31),$BU$3:$BU$223,0),1),"")</f>
        <v/>
      </c>
      <c r="BW31" s="259">
        <f t="shared" ca="1" si="62"/>
        <v>0</v>
      </c>
      <c r="BX31" s="259" t="str">
        <f t="shared" ca="1" si="63"/>
        <v/>
      </c>
      <c r="BY31" s="259" t="str">
        <f t="shared" ca="1" si="64"/>
        <v/>
      </c>
      <c r="BZ31" s="259" t="str">
        <f ca="1">IFERROR(IF(OR($DS$231&lt;&gt;$DT$231,$DU$231&lt;&gt;$DV$231,$EO$25&lt;&gt;0,$EO$26&lt;&gt;0),INDEX($T$3:$V$220,MATCH(ROWS($BV$3:BV31),$V$3:$V$220,0),1),CONCATENATE(BV31,BY31)),"")</f>
        <v/>
      </c>
      <c r="CA31" s="259">
        <f t="shared" ca="1" si="65"/>
        <v>0</v>
      </c>
      <c r="CB31" s="259" t="str">
        <f ca="1">IFERROR(IF(OR($BB$1&lt;&gt;$BD$1,$BC$1&lt;&gt;$BE$1,$DS$231&lt;&gt;$DT$231,$DU$231&lt;&gt;$DV$231,$EO$25&lt;&gt;0,$EO$26&lt;&gt;0),INDEX($BI$3:$BK$220,MATCH(ROWS($CB$3:CB31),$BK$3:$BK$220,0),1),CONCATENATE(BQ31,BX31)),"")</f>
        <v/>
      </c>
      <c r="CC31" s="259" t="str">
        <f t="shared" ca="1" si="66"/>
        <v/>
      </c>
      <c r="CD31" s="259" t="str">
        <f t="shared" si="6"/>
        <v/>
      </c>
      <c r="CE31" s="259">
        <f ca="1">IF(IFERROR(MATCH(CD31,DENOMINAZIONE_GIORNALE,0),0)&gt;0,MAX(CE$2:CE30)+1,0)</f>
        <v>0</v>
      </c>
      <c r="CF31" s="259" t="str">
        <f ca="1">IFERROR(INDEX($CD$3:$CE$220,MATCH(ROWS($CF$3:CF31),$CE$3:$CE$220,0),1),"")</f>
        <v/>
      </c>
      <c r="CG31" s="259">
        <f t="shared" ca="1" si="7"/>
        <v>0</v>
      </c>
      <c r="CH31" s="259" t="str">
        <f ca="1">IF(IF(CG31&lt;&gt;0,MAX($CH$2:CH30)+1,0)=0,"",IF(CG31&lt;&gt;"",MAX($CH$2:CH30)+1,0))</f>
        <v/>
      </c>
      <c r="CI31" s="259" t="str">
        <f ca="1">IFERROR(INDEX($CF$3:$CG$220,MATCH(ROWS($CI$3:CI31),$CH$3:$CH$220,0),1),"")</f>
        <v/>
      </c>
      <c r="CJ31" s="259" t="str">
        <f t="shared" ca="1" si="67"/>
        <v/>
      </c>
      <c r="CK31" s="259" t="str">
        <f t="shared" si="8"/>
        <v/>
      </c>
      <c r="CL31" s="259">
        <f ca="1">IF(IFERROR(MATCH(CK31,DENOMINAZIONE_GIORNALE,0),0)&gt;0,MAX(CL$2:CL30)+1,0)</f>
        <v>0</v>
      </c>
      <c r="CM31" s="259" t="str">
        <f ca="1">IFERROR(INDEX($CK$3:$CL$220,MATCH(ROWS($CM$3:CM31),$CL$3:$CL$220,0),1),"")</f>
        <v/>
      </c>
      <c r="CN31" s="259" t="str">
        <f t="shared" ca="1" si="9"/>
        <v/>
      </c>
      <c r="CO31" s="259">
        <f ca="1">IF(IF(CN31&lt;&gt;0,MAX($CO$2:CO30)+1,0)=0,"",IF(CN31&lt;&gt;"",MAX($CO$2:CO30)+1,0))</f>
        <v>0</v>
      </c>
      <c r="CP31" s="259" t="str">
        <f ca="1">IFERROR(INDEX($CM$3:$CN$220,MATCH(ROWS(CP$3:CP31),$CO$3:$CO$220,0),1),"")</f>
        <v/>
      </c>
      <c r="CQ31" s="259" t="str">
        <f ca="1">IFERROR(INDEX($CM$3:$CN$220,MATCH(ROWS(CQ$3:CQ31),$CO$3:$CO$220,0),2),"")</f>
        <v/>
      </c>
      <c r="CR31" s="259" t="str">
        <f t="shared" ca="1" si="10"/>
        <v/>
      </c>
      <c r="CS31" s="259">
        <f t="shared" ca="1" si="11"/>
        <v>0</v>
      </c>
      <c r="CT31" s="259">
        <f t="shared" ca="1" si="12"/>
        <v>0</v>
      </c>
      <c r="CU31" s="259">
        <f ca="1">IF(OR(CS31&gt;0,CT31&gt;0),MAX($CU$2:CU30)+1,0)</f>
        <v>0</v>
      </c>
      <c r="CV31" s="259" t="str">
        <f ca="1">IFERROR(INDEX(PIANO_DEI_CONTI,MATCH(ROWS($CV$3:CV31),$CU$3:$CU$200,0),2),"")</f>
        <v/>
      </c>
      <c r="CW31" s="259">
        <f ca="1">IFERROR(IF(CV31&lt;&gt;"",MAX($CW$2:CW30)+1,0),0)</f>
        <v>0</v>
      </c>
      <c r="CX31" s="259">
        <f t="shared" ca="1" si="145"/>
        <v>2</v>
      </c>
      <c r="CY31" s="259" t="str">
        <f t="shared" ca="1" si="144"/>
        <v>MASTRO</v>
      </c>
      <c r="CZ31" s="259" t="e">
        <f t="shared" ca="1" si="147"/>
        <v>#N/A</v>
      </c>
      <c r="DA31" s="259" t="str">
        <f t="shared" ca="1" si="152"/>
        <v/>
      </c>
      <c r="DB31" s="259" t="str">
        <f t="shared" ca="1" si="148"/>
        <v/>
      </c>
      <c r="DC31" s="259" t="str">
        <f t="shared" ca="1" si="149"/>
        <v/>
      </c>
      <c r="DD31" s="259" t="str">
        <f t="shared" ca="1" si="150"/>
        <v/>
      </c>
      <c r="DE31" s="259" t="str">
        <f t="shared" ca="1" si="151"/>
        <v/>
      </c>
      <c r="DF31" s="259">
        <f ca="1">IF(AND(CX31=$DE$2,$DF$2&lt;&gt;0),0,IF(AND(DB31&lt;&gt;"",OR(DB30&lt;&gt;"",DB32&lt;&gt;"")),MAX($DF$2:DF30)+1,0))</f>
        <v>0</v>
      </c>
      <c r="DG31" s="259" t="str">
        <f>IF(OR(VALORI_INIZIALI!E36="",AND(VALORI_INIZIALI!E36&lt;&gt;"",VALORI_INIZIALI!H36=0,VALORI_INIZIALI!I36=0)),"",IFERROR(INDEX(PIANO_DEI_CONTI,MATCH(BB31,DENOMINAZIONE,0),1),0))</f>
        <v/>
      </c>
      <c r="DH31" s="259">
        <f ca="1">IFERROR(IF($J$1=1,IF(INDEX(PIANO_DEI_CONTI,MATCH($K31,DENOMINAZIONE,0),5)=$DF$1,MAX($DH$2:DH30)+1,0),IF($J$1=2,IF(INDEX(PIANO_DEI_CONTI,MATCH($K31,DENOMINAZIONE,0),7)=$DF$1,MAX($DH$2:DH30)+1,0))),0)</f>
        <v>0</v>
      </c>
      <c r="DI31" s="259">
        <f ca="1">IFERROR(INDEX($K$3:$K$220,MATCH(ROWS($DI$3:DI31),$DH$3:$DH$220,0),1),0)</f>
        <v>0</v>
      </c>
      <c r="DJ31" s="259">
        <f t="shared" ca="1" si="14"/>
        <v>0</v>
      </c>
      <c r="DK31" s="259">
        <f ca="1">IF(DJ31=0,0,MAX(DK$2:DK30)+1)</f>
        <v>0</v>
      </c>
      <c r="DL31" s="259">
        <f ca="1">IFERROR(INDEX(PIANO_DEI_CONTI,MATCH(ROWS(DL$3:DL31),$DK$3:DK258,0),2),0)</f>
        <v>0</v>
      </c>
      <c r="DM31" s="259">
        <f t="shared" ca="1" si="15"/>
        <v>0</v>
      </c>
      <c r="DN31" s="259">
        <f t="shared" ca="1" si="16"/>
        <v>0</v>
      </c>
      <c r="DO31" s="259">
        <f t="shared" ca="1" si="69"/>
        <v>0</v>
      </c>
      <c r="DP31" s="259">
        <f t="shared" ca="1" si="70"/>
        <v>0</v>
      </c>
      <c r="DQ31" s="259">
        <f ca="1">IF(OR($DQ$1="TOTALI",$DQ$1="TOTALI ED ECCEDENZE"),IF(OR(DM31&gt;0,DN31&gt;0),MAX(DQ$2:DQ30)+1,0),IF($DQ$1="ECCEDENZE",IF(OR(DO31&gt;0,DP31&gt;0),MAX(DQ$2:DQ30)+1,0),""))</f>
        <v>0</v>
      </c>
      <c r="DR31" s="259" t="str">
        <f ca="1">IFERROR(INDEX($DL$3:$DQ$230,MATCH(ROWS(DR$3:DR31),$DQ$3:$DQ$230,0),1),"")</f>
        <v/>
      </c>
      <c r="DS31" s="259" t="str">
        <f t="shared" ca="1" si="71"/>
        <v/>
      </c>
      <c r="DT31" s="259" t="str">
        <f t="shared" ca="1" si="72"/>
        <v/>
      </c>
      <c r="DU31" s="259" t="str">
        <f t="shared" ca="1" si="73"/>
        <v/>
      </c>
      <c r="DV31" s="259" t="str">
        <f t="shared" ca="1" si="74"/>
        <v/>
      </c>
      <c r="DW31" s="259">
        <f t="shared" ca="1" si="75"/>
        <v>0</v>
      </c>
      <c r="DX31" s="259" t="str">
        <f t="shared" ca="1" si="76"/>
        <v/>
      </c>
      <c r="DY31" s="259" t="str">
        <f t="shared" ca="1" si="77"/>
        <v/>
      </c>
      <c r="DZ31" s="259" t="str">
        <f t="shared" ca="1" si="78"/>
        <v/>
      </c>
      <c r="EA31" s="259">
        <f t="shared" ca="1" si="79"/>
        <v>29</v>
      </c>
      <c r="EB31" s="259" t="s">
        <v>353</v>
      </c>
      <c r="ED31" s="259">
        <f t="shared" ca="1" si="17"/>
        <v>0</v>
      </c>
      <c r="EE31" s="259" t="str">
        <f t="shared" ca="1" si="18"/>
        <v/>
      </c>
      <c r="EF31" s="259" t="str">
        <f t="shared" ca="1" si="19"/>
        <v/>
      </c>
      <c r="EG31" s="259" t="str">
        <f t="shared" ca="1" si="136"/>
        <v/>
      </c>
      <c r="EH31" s="259" t="str">
        <f t="shared" ca="1" si="80"/>
        <v/>
      </c>
      <c r="EI31" s="260" t="b">
        <f t="shared" ca="1" si="137"/>
        <v>0</v>
      </c>
      <c r="EJ31" s="260" t="b">
        <f t="shared" ca="1" si="138"/>
        <v>0</v>
      </c>
      <c r="EK31" s="260" t="b">
        <f t="shared" ca="1" si="139"/>
        <v>0</v>
      </c>
      <c r="EL31" s="259">
        <f t="shared" si="81"/>
        <v>29</v>
      </c>
      <c r="EM31" s="259">
        <f ca="1">IF(AND(BA31&gt;0,BA31&lt;=$EM$1),MAX($EM$2:EM30)+1,0)</f>
        <v>0</v>
      </c>
      <c r="EN31" s="259">
        <f t="shared" ca="1" si="82"/>
        <v>31</v>
      </c>
      <c r="EP31" s="259" t="str">
        <f t="shared" ca="1" si="20"/>
        <v/>
      </c>
      <c r="EQ31" s="259">
        <f t="shared" ca="1" si="21"/>
        <v>0</v>
      </c>
      <c r="ER31" s="259">
        <f ca="1">IF(ISNA(EQ31),MAX(ER$2:ER30)+1,0)</f>
        <v>0</v>
      </c>
      <c r="ES31" s="259" t="str">
        <f t="shared" ca="1" si="83"/>
        <v/>
      </c>
      <c r="ET31" s="259" t="str">
        <f ca="1">IFERROR(UPPER(INDEX($ER$3:$ES$500,MATCH(ROWS(ET$3:ET31),$ER$3:$ER$500,0),2)),"")</f>
        <v/>
      </c>
      <c r="EU31" s="259" t="s">
        <v>412</v>
      </c>
      <c r="EV31" s="259">
        <f ca="1">SUM(MAX($CM$2,$CP$2),MAX($BV$2,$BW$2),10)+BZ2+3</f>
        <v>14</v>
      </c>
      <c r="EY31" s="259">
        <f t="shared" ca="1" si="84"/>
        <v>0</v>
      </c>
      <c r="EZ31" s="259">
        <f t="shared" ca="1" si="84"/>
        <v>0</v>
      </c>
      <c r="FA31" s="259" t="str">
        <f t="shared" ca="1" si="85"/>
        <v/>
      </c>
      <c r="FB31" s="259">
        <f t="shared" ca="1" si="86"/>
        <v>0</v>
      </c>
      <c r="FC31" s="259">
        <f t="shared" ca="1" si="87"/>
        <v>0</v>
      </c>
      <c r="FD31" s="259">
        <f t="shared" ca="1" si="22"/>
        <v>0</v>
      </c>
      <c r="FE31" s="259" t="str">
        <f t="shared" ca="1" si="23"/>
        <v/>
      </c>
      <c r="FF31" s="259" t="str">
        <f t="shared" ca="1" si="88"/>
        <v/>
      </c>
      <c r="FG31" s="259" t="str">
        <f t="shared" si="89"/>
        <v>CREDITI V/CLIENTI</v>
      </c>
      <c r="FH31" s="259">
        <f t="shared" ca="1" si="24"/>
        <v>0</v>
      </c>
      <c r="FI31" s="259">
        <f t="shared" ca="1" si="25"/>
        <v>0</v>
      </c>
      <c r="FJ31" s="259">
        <f t="shared" ca="1" si="90"/>
        <v>0</v>
      </c>
      <c r="FK31" s="259">
        <f t="shared" ca="1" si="91"/>
        <v>0</v>
      </c>
      <c r="FL31" s="259">
        <f ca="1">IF(OR(FJ31&gt;0,FK31&gt;0),MAX($FL$2:FL30)+1,0)</f>
        <v>0</v>
      </c>
      <c r="FM31" s="259">
        <f t="shared" ca="1" si="26"/>
        <v>0</v>
      </c>
      <c r="FN31" s="259">
        <f ca="1">IF(FM31&lt;0,MAX($FN$2:FN30)+1,0)</f>
        <v>0</v>
      </c>
      <c r="FO31" s="259" t="str">
        <f t="shared" ca="1" si="92"/>
        <v/>
      </c>
      <c r="FP31" s="259" t="str">
        <f ca="1">IFERROR(INDEX($FN$3:$FO$400,MATCH(ROWS($FP$3:FP31),$FN$3:$FN$400,0),2),"")</f>
        <v/>
      </c>
      <c r="FQ31" s="259" t="str">
        <f>IF(AE31="SE AVERE",MAX($FQ$2:FQ30)+1,"")</f>
        <v/>
      </c>
      <c r="FR31" s="259" t="str">
        <f>IF(AE31="SE DARE",MAX($FR$2:FR30)+1,"")</f>
        <v/>
      </c>
      <c r="FS31" s="259">
        <f ca="1">IF(AND(AE31="SP DARE",AA31&lt;&gt;$FS$1,AA31&lt;&gt;$FT$1),MAX($FS$2:FS30)+1,IF(AND(GQ31="SP DARE",AA31&lt;&gt;$FS$1,AA31&lt;&gt;$FT$1),MAX($FS$2:FS30)+1,""))</f>
        <v>107</v>
      </c>
      <c r="FT31" s="259" t="str">
        <f ca="1">IF(AND(AE31="SP AVERE",AA31&lt;&gt;$FU$1),MAX($FT$2:FT30)+1,IF(AND(GQ31="SP AVERE",AA31&lt;&gt;$FU$1),MAX($FT$2:FT30)+1,""))</f>
        <v/>
      </c>
      <c r="FU31" s="259">
        <f t="shared" ca="1" si="93"/>
        <v>107</v>
      </c>
      <c r="FV31" s="259" t="str">
        <f t="shared" si="94"/>
        <v>CREDITI V/CLIENTI</v>
      </c>
      <c r="FW31" s="259" t="str">
        <f ca="1">IFERROR(INDEX($FU$3:$FV$500,MATCH(ROWS($FW$3:FW31),$FU$3:$FU$500,0),2),0)</f>
        <v>COSTI PER ENERGIA</v>
      </c>
      <c r="FX31" s="259">
        <f t="shared" ca="1" si="95"/>
        <v>29</v>
      </c>
      <c r="FY31" s="259">
        <f t="shared" ca="1" si="96"/>
        <v>0</v>
      </c>
      <c r="FZ31" s="259">
        <f ca="1">IF(FY31&gt;0,MAX($FZ$2:FZ30)+1,0)</f>
        <v>0</v>
      </c>
      <c r="GA31" s="259">
        <f ca="1">IFERROR(INDEX($FY$3:$FZ$500,MATCH(ROWS($GA$3:GA31),$FZ$3:$FZ$500,0),1),0)</f>
        <v>0</v>
      </c>
      <c r="GC31" s="259">
        <f t="shared" ca="1" si="97"/>
        <v>29</v>
      </c>
      <c r="GD31" s="259" t="str">
        <f t="shared" ca="1" si="98"/>
        <v>COSTI PER ENERGIA</v>
      </c>
      <c r="GG31" s="259">
        <f t="shared" ca="1" si="27"/>
        <v>0</v>
      </c>
      <c r="GH31" s="259">
        <f t="shared" ca="1" si="99"/>
        <v>0</v>
      </c>
      <c r="GI31" s="259">
        <f t="shared" ca="1" si="100"/>
        <v>0</v>
      </c>
      <c r="GJ31" s="259">
        <f t="shared" ca="1" si="101"/>
        <v>0</v>
      </c>
      <c r="GK31" s="259">
        <f t="shared" ca="1" si="102"/>
        <v>0</v>
      </c>
      <c r="GL31" s="259">
        <f t="shared" ca="1" si="103"/>
        <v>0</v>
      </c>
      <c r="GM31" s="259">
        <f ca="1">IF(OR(GK31&gt;0,GL31&gt;0),MAX($GM$2:GM30)+1,0)</f>
        <v>0</v>
      </c>
      <c r="GN31" s="259" t="str">
        <f ca="1">IFERROR(INDEX($GD$3:$GM$400,MATCH(ROWS($GN$3:GN31),$GM$3:$GM$400,0),1),"")</f>
        <v/>
      </c>
      <c r="GO31" s="259" t="str">
        <f ca="1">IFERROR(INDEX($GD$3:$GM$400,MATCH(ROWS($GO$3:GO31),$GM$3:$GM$400,0),8),"")</f>
        <v/>
      </c>
      <c r="GP31" s="259" t="str">
        <f ca="1">IFERROR(INDEX($GD$3:$GM$400,MATCH(ROWS($GP$3:GP31),$GM$3:$GM$400,0),9),"")</f>
        <v/>
      </c>
      <c r="GQ31" s="259">
        <f t="shared" ca="1" si="28"/>
        <v>0</v>
      </c>
      <c r="GR31" s="259">
        <f t="shared" ca="1" si="104"/>
        <v>0</v>
      </c>
      <c r="GS31" s="259" t="str">
        <f t="shared" si="105"/>
        <v>epilogo a Conto economico</v>
      </c>
      <c r="GT31" s="259" t="str">
        <f ca="1">IFERROR(INDEX($GD$3:$GS$400,MATCH(ROWS($GT$3:GT31),$GM$3:$GM$400,0),16),"")</f>
        <v/>
      </c>
      <c r="GU31" s="259">
        <f ca="1">IF(GQ31&lt;&gt;0,MAX($GU$2:$GU30)+1,0)</f>
        <v>0</v>
      </c>
      <c r="GV31" s="259">
        <f t="shared" ca="1" si="106"/>
        <v>0</v>
      </c>
      <c r="GW31" s="259" t="str">
        <f ca="1">IF(AND(IFERROR(INDEX($GU$3:$GV$400,MATCH(ROWS($GW$3:GW31),$GU$3:$GU$400,0),2),"")&lt;&gt;"",GW32&lt;&gt;""),CONCATENATE(IFERROR(INDEX($GU$3:$GV$400,MATCH(ROWS($GW$3:GW31),$GU$3:$GU$400,0),2),"")," - "),IFERROR(INDEX($GU$3:$GV$400,MATCH(ROWS($GW$3:GW31),$GU$3:$GU$400,0),2),""))</f>
        <v/>
      </c>
      <c r="GX31" s="259">
        <f ca="1">IF(OR(GN31="IVA NS/CREDITO",GN31="IVA NS/DEBITO",GN31="IVA C/ACCONTO",GN31="IMPOSTE C/ACCONTO"),MAX($GX$2:GX30)+1,0)</f>
        <v>0</v>
      </c>
      <c r="GY31" s="259" t="str">
        <f ca="1">IF(AND(IFERROR(INDEX($GN$3:$GX$200,MATCH(ROWS($GY$3:GY31),$GX$3:$GX$200,0),1),"")&lt;&gt;"",GY32&lt;&gt;""),CONCATENATE(IFERROR(INDEX($GN$3:$GX$200,MATCH(ROWS($GY$3:GY31),$GX$3:$GX$200,0),1),"")," - "),IFERROR(INDEX($GN$3:$GX$200,MATCH(ROWS($GY$3:GY31),$GX$3:$GX$200,0),1),""))</f>
        <v/>
      </c>
      <c r="GZ31" s="259" t="s">
        <v>42</v>
      </c>
      <c r="HA31" s="270" t="s">
        <v>43</v>
      </c>
      <c r="HL31" s="259" t="str">
        <f t="shared" ca="1" si="29"/>
        <v/>
      </c>
      <c r="HM31" s="259" t="str">
        <f t="shared" ca="1" si="30"/>
        <v/>
      </c>
      <c r="HN31" s="259" t="str">
        <f t="shared" ca="1" si="31"/>
        <v/>
      </c>
      <c r="HO31" s="259">
        <f ca="1">IF(HL31&lt;&gt;"",MAX($HO$2:HO30)+1,0)</f>
        <v>0</v>
      </c>
      <c r="HP31" s="259">
        <f ca="1">IF(HM31&lt;&gt;"",MAX($HP$2:HP30)+1,0)</f>
        <v>0</v>
      </c>
      <c r="HQ31" s="259">
        <f ca="1">IF(HN31&lt;&gt;"",MAX($HQ$2:HQ30)+1,0)</f>
        <v>0</v>
      </c>
      <c r="HR31" s="259" t="str">
        <f t="shared" ca="1" si="107"/>
        <v/>
      </c>
      <c r="HS31" s="259" t="str">
        <f t="shared" ca="1" si="108"/>
        <v/>
      </c>
      <c r="HT31" s="259">
        <f t="shared" ca="1" si="109"/>
        <v>0</v>
      </c>
      <c r="HU31" s="259">
        <f t="shared" ca="1" si="110"/>
        <v>0</v>
      </c>
      <c r="HV31" s="259" t="str">
        <f ca="1">CONCATENATE(IFERROR(INDEX($HS$3:$HT$102,MATCH(ROWS($HV$3:HV31),$HT$3:$HT$102,0),1),""),HR31)</f>
        <v/>
      </c>
      <c r="IB31" s="259" t="str">
        <f ca="1">CONCATENATE("_______di cui esigibili oltre l'esercizio ",FIXED(INDIRECT(ADDRESS(4,6,1,,"BILANCIO")),2,0))</f>
        <v>_______di cui esigibili oltre l'esercizio 0,00</v>
      </c>
      <c r="IC31" s="259">
        <f ca="1">IFERROR(INDEX(PIANO_DEI_CONTI,MATCH(ROWS(DL$3:DL31),$DK$3:DK258,0),2),0)</f>
        <v>0</v>
      </c>
      <c r="ID31" s="259">
        <f t="shared" ca="1" si="111"/>
        <v>0</v>
      </c>
      <c r="IE31" s="259">
        <f t="shared" ca="1" si="112"/>
        <v>0</v>
      </c>
      <c r="IF31" s="259">
        <f t="shared" ca="1" si="113"/>
        <v>0</v>
      </c>
      <c r="IG31" s="259">
        <f ca="1">IF(IH31&gt;0,"",0)</f>
        <v>0</v>
      </c>
      <c r="IH31" s="259">
        <f ca="1">IF(AND(INDIRECT(ADDRESS(4,6,,,"BILANCIO"))&gt;0,INDIRECT(ADDRESS(4,6,,,"BILANCIO"))&lt;=IG30),IH30+1,0)</f>
        <v>0</v>
      </c>
      <c r="II31" s="259">
        <f>IF(AD31="costi pluriennali",MAX($II$2:II30)+1,0)</f>
        <v>0</v>
      </c>
      <c r="IJ31" s="259">
        <f>IF($AD31="rettifiche costi pluriennali",MAX($IJ$2:IJ30)+1,0)</f>
        <v>0</v>
      </c>
      <c r="IK31" s="259">
        <f t="shared" si="114"/>
        <v>0</v>
      </c>
      <c r="IL31" s="259" t="str">
        <f t="shared" si="115"/>
        <v/>
      </c>
      <c r="IM31" s="259">
        <f t="shared" ca="1" si="116"/>
        <v>0</v>
      </c>
      <c r="IN31" s="259">
        <f t="shared" ca="1" si="141"/>
        <v>0</v>
      </c>
      <c r="IO31" s="259">
        <f>SUMIFS($IM$3:$IM$200,$IK$3:$IK$200,ROWS($IO$3:IO31))-SUMIFS($IN$3:$IN$200,$IK$3:$IK$200,ROWS($IO$3:IO31))</f>
        <v>0</v>
      </c>
      <c r="IP31" s="259" t="str">
        <f>IF(IO31&lt;0,INDEX($IJ$3:$IL$200,MATCH(ROWS($IP$3:IP31),$IJ$3:$IJ$200,0),3),"")</f>
        <v/>
      </c>
      <c r="IQ31" s="259">
        <f>IF(IP31&lt;&gt;"",MAX($IQ$2:IQ30)+1,0)</f>
        <v>0</v>
      </c>
      <c r="IR31" s="259" t="str">
        <f ca="1">IFERROR(INDEX($IP$3:$IQ$200,MATCH(ROWS($IR$3:IR31),$IQ$3:$IQ$200,0),1),"")</f>
        <v/>
      </c>
      <c r="IS31" s="259" t="str">
        <f t="shared" ca="1" si="117"/>
        <v/>
      </c>
      <c r="IT31" s="259" t="str">
        <f t="shared" ca="1" si="118"/>
        <v/>
      </c>
      <c r="IU31" s="259" t="str">
        <f t="shared" ca="1" si="119"/>
        <v/>
      </c>
      <c r="IV31" s="259" t="str">
        <f t="shared" ca="1" si="120"/>
        <v/>
      </c>
      <c r="IW31" s="259" t="str">
        <f t="shared" ca="1" si="121"/>
        <v/>
      </c>
      <c r="IX31" s="259" t="str">
        <f t="shared" ca="1" si="122"/>
        <v/>
      </c>
      <c r="IY31" s="259" t="str">
        <f t="shared" ca="1" si="123"/>
        <v/>
      </c>
      <c r="IZ31" s="259" t="str">
        <f t="shared" ca="1" si="124"/>
        <v/>
      </c>
      <c r="JA31" s="259" t="str">
        <f t="shared" ca="1" si="125"/>
        <v/>
      </c>
      <c r="JB31" s="259">
        <f t="shared" ca="1" si="32"/>
        <v>0</v>
      </c>
      <c r="JC31" s="259">
        <f t="shared" ca="1" si="126"/>
        <v>0</v>
      </c>
      <c r="JE31" s="259">
        <f ca="1">IFERROR(INDEX(LIBRO_GIORNALE!$N$11:$O$408,MATCH(ROWS($JE$2:JE30),LIBRO_GIORNALE!$O$11:$O$408,0),1),0)</f>
        <v>0</v>
      </c>
      <c r="JF31" s="259" t="str">
        <f t="shared" ca="1" si="127"/>
        <v>0</v>
      </c>
      <c r="JG31" s="259">
        <f t="shared" ca="1" si="128"/>
        <v>0</v>
      </c>
      <c r="JH31" s="259">
        <f ca="1">IF(JJ31&gt;0,0,MAX($JH$2:JH30)+1)</f>
        <v>29</v>
      </c>
      <c r="JI31" s="259">
        <f ca="1">IF(JG31&gt;0,MAX($JI$2:JI30)+1,0)</f>
        <v>0</v>
      </c>
      <c r="JJ31" s="259">
        <f ca="1">IFERROR(INDEX($JG$3:$JI$124,MATCH(ROWS($JJ$3:JJ31),$JI$3:$JI$124,0),1),0)</f>
        <v>0</v>
      </c>
      <c r="JK31" s="259">
        <f t="shared" ca="1" si="129"/>
        <v>0</v>
      </c>
      <c r="JL31" s="259">
        <f t="shared" ca="1" si="130"/>
        <v>29</v>
      </c>
      <c r="JM31" s="259">
        <v>28</v>
      </c>
    </row>
    <row r="32" spans="1:273">
      <c r="A32" s="259" t="str">
        <f t="shared" si="33"/>
        <v>04.01</v>
      </c>
      <c r="B32" s="259" t="str">
        <f t="shared" si="34"/>
        <v>MATERIE DI CONSUMO</v>
      </c>
      <c r="C32" s="259" t="str">
        <f t="shared" si="35"/>
        <v>E</v>
      </c>
      <c r="D32" s="259" t="str">
        <f t="shared" si="36"/>
        <v>D</v>
      </c>
      <c r="E32" s="259" t="str">
        <f t="shared" si="37"/>
        <v>COSTI SOSPESI</v>
      </c>
      <c r="F32" s="259" t="str">
        <f t="shared" si="38"/>
        <v>SP DARE</v>
      </c>
      <c r="G32" s="259">
        <f t="shared" ca="1" si="39"/>
        <v>1</v>
      </c>
      <c r="H32" s="259">
        <f t="shared" ca="1" si="40"/>
        <v>1</v>
      </c>
      <c r="I32" s="259">
        <f t="shared" ca="1" si="41"/>
        <v>1</v>
      </c>
      <c r="J32" s="259">
        <v>29</v>
      </c>
      <c r="K32" s="259" t="str">
        <f ca="1">IFERROR(IF($I$1=1,INDEX($AA$3:$AS$220,MATCH(ROWS($K$3:K32),$AQ$3:$AQ$220,0),1),IF($I$1=2,INDEX($AA$3:$AS$220,MATCH(ROWS($K$3:K32),$AR$3:$AR$220,0),1),IF($I$1=3,INDEX($AA$3:$AS$220,MATCH(ROWS($K$3:K32),$AS$3:$AS$220,0),1),""))),"")</f>
        <v>FATTURE DA EMETTERE</v>
      </c>
      <c r="L32" s="259">
        <f ca="1">IF(AND($L$1="VISUALIZZA TUTTI I CONTI",K32&lt;&gt;""),MAX(L31:L31)+1,IFERROR(IF($J$1=1,IF(INDEX(PIANO_DEI_CONTI,MATCH($K32,DENOMINAZIONE,0),5)=$L$1,MAX($L$2:L31)+1,0),IF($J$1=2,IF(INDEX(PIANO_DEI_CONTI,MATCH($K32,DENOMINAZIONE,0),7)=$L$1,MAX($L$2:L31)+1,0))),0))</f>
        <v>30</v>
      </c>
      <c r="M32" s="259" t="str">
        <f ca="1">IFERROR(INDEX($K$3:$K$220,MATCH(ROWS($M$3:M32),$L$3:$L$220,0),1),"")</f>
        <v>FATTURE DA EMETTERE</v>
      </c>
      <c r="N32" s="259" t="str">
        <f t="shared" si="143"/>
        <v>DEBITI DIVERSI</v>
      </c>
      <c r="O32" s="259" t="str">
        <f t="shared" ca="1" si="142"/>
        <v>DEBITI DIVERSI</v>
      </c>
      <c r="P32" s="259">
        <f ca="1">IF(AND(N32=O32,O32&lt;&gt;""),MAX(P$2:P31)+1,0)</f>
        <v>15</v>
      </c>
      <c r="Q32" s="259" t="str">
        <f ca="1">IF(IFERROR(INDEX($O$3:$P$220,MATCH(ROWS(Q$3:Q32),$P$3:$P$220,0),1),"")=0,"",IFERROR(INDEX($O$3:$P$220,MATCH(ROWS(Q$3:Q32),$P$3:$P$220,0),1),""))</f>
        <v>PROVENTI FINANZIARI</v>
      </c>
      <c r="R32" s="259" t="str">
        <f t="shared" si="1"/>
        <v>FATTURE DA EMETTERE</v>
      </c>
      <c r="S32" s="259">
        <f ca="1">IF(IFERROR(MATCH(R32,DENOMINAZIONE_GIORNALE,0),0)&gt;0,MAX(S$2:S31)+1,0)</f>
        <v>0</v>
      </c>
      <c r="T32" s="259" t="str">
        <f ca="1">IFERROR(INDEX($R$3:$S$220,MATCH(ROWS($T$3:T32),$S$3:$S$220,0),1),"")</f>
        <v/>
      </c>
      <c r="U32" s="259">
        <f t="shared" ca="1" si="2"/>
        <v>0</v>
      </c>
      <c r="V32" s="259">
        <f ca="1">IF(IF(U32&lt;&gt;0,MAX($V$2:V31)+1,0)=0,0,IF(U32&lt;&gt;0,MAX($V$2:V31)+1,0))</f>
        <v>0</v>
      </c>
      <c r="W32" s="259" t="str">
        <f t="shared" si="43"/>
        <v>04.01</v>
      </c>
      <c r="X32" s="259" t="str">
        <f t="shared" si="44"/>
        <v>MATERIE DI CONSUMO</v>
      </c>
      <c r="Y32" s="259">
        <f>IF(W32="",0,MAX($Y$2:Y31)+1)</f>
        <v>26</v>
      </c>
      <c r="Z32" s="259" t="str">
        <f>IFERROR(INDEX($W$3:$Y$220,MATCH(ROWS($Z$2:Z31),$Y$3:$Y$220,0),1),"")</f>
        <v>05.02</v>
      </c>
      <c r="AA32" s="259" t="str">
        <f t="shared" si="45"/>
        <v>FATTURE DA EMETTERE</v>
      </c>
      <c r="AB32" s="259" t="str">
        <f t="shared" si="46"/>
        <v>F</v>
      </c>
      <c r="AC32" s="259" t="str">
        <f t="shared" si="47"/>
        <v>D</v>
      </c>
      <c r="AD32" s="259" t="str">
        <f t="shared" si="48"/>
        <v>CREDITI</v>
      </c>
      <c r="AE32" s="259" t="str">
        <f t="shared" si="49"/>
        <v>SP DARE</v>
      </c>
      <c r="AF32" s="259" t="str">
        <f t="shared" si="50"/>
        <v>CREDITI COMMERCIALI</v>
      </c>
      <c r="AG32" s="259">
        <f t="shared" ca="1" si="51"/>
        <v>0</v>
      </c>
      <c r="AH32" s="259">
        <f t="shared" ca="1" si="52"/>
        <v>0</v>
      </c>
      <c r="AI32" s="259">
        <f t="shared" ca="1" si="53"/>
        <v>1</v>
      </c>
      <c r="AJ32" s="259" t="str">
        <f t="shared" si="54"/>
        <v>05</v>
      </c>
      <c r="AK32" s="259" t="str">
        <f t="shared" si="55"/>
        <v/>
      </c>
      <c r="AL32" s="259">
        <f>IF(AK32&lt;&gt;"",MAX($AL$2:AL31)+1,0)</f>
        <v>0</v>
      </c>
      <c r="AM32" s="259" t="str">
        <f>IFERROR(INDEX($AK$3:$AL$220,MATCH(ROWS($AM$3:AM32),$AL$3:$AL$220,0),1),"")</f>
        <v>41</v>
      </c>
      <c r="AN32" s="259" t="str">
        <f t="shared" si="56"/>
        <v>41.00</v>
      </c>
      <c r="AO32" s="259" t="str">
        <f t="shared" si="57"/>
        <v>ONERI FINANZIARI</v>
      </c>
      <c r="AP32" s="259" t="str">
        <f t="shared" si="58"/>
        <v>CREDITI COMMERCIALI</v>
      </c>
      <c r="AQ32" s="259">
        <f ca="1">IF(OR(AG32=0,AG32=""),0,MAX(AQ$2:AQ31)+1)</f>
        <v>0</v>
      </c>
      <c r="AR32" s="259">
        <f ca="1">IF(OR(AH32=0,AH32=""),0,MAX(AR$2:AR31)+1)</f>
        <v>0</v>
      </c>
      <c r="AS32" s="259">
        <f ca="1">IF(OR(AI32=0,AI32=""),0,MAX(AS$2:AS31)+1)</f>
        <v>30</v>
      </c>
      <c r="AT32" s="259" t="str">
        <f ca="1">IFERROR(INDEX($AD$3:$AS$220,MATCH(ROWS(AT$3:AT32),AQ$3:AQ$220,0),1),"")</f>
        <v>PATRIMONIO NETTO</v>
      </c>
      <c r="AU32" s="259" t="str">
        <f ca="1">IFERROR(INDEX($AD$3:$AS$220,MATCH(ROWS(AU$3:AU32),AR$3:AR$220,0),1),"")</f>
        <v>CREDITI</v>
      </c>
      <c r="AV32" s="259" t="str">
        <f ca="1">IFERROR(INDEX($AD$3:$AS$220,MATCH(ROWS(AV$3:AV32),AS$3:AS$220,0),1),"")</f>
        <v>CREDITI</v>
      </c>
      <c r="AW32" s="259" t="str">
        <f ca="1">IFERROR(INDEX($AP$3:$AS$220,MATCH(ROWS(AW$3:AW32),AQ$3:AQ$220,0),1),"")</f>
        <v>PATRIMONIO NETTO</v>
      </c>
      <c r="AX32" s="259" t="str">
        <f ca="1">IFERROR(INDEX($AP$3:$AS$220,MATCH(ROWS(AX$3:AX32),AR$3:AR$220,0),1),"")</f>
        <v>CREDITI COMMERCIALI</v>
      </c>
      <c r="AY32" s="259" t="str">
        <f ca="1">IFERROR(INDEX($AP$3:$AS$220,MATCH(ROWS(AY$3:AY32),AS$3:AS$220,0),1),"")</f>
        <v>CREDITI COMMERCIALI</v>
      </c>
      <c r="AZ32" s="276" t="str">
        <f t="shared" ca="1" si="59"/>
        <v/>
      </c>
      <c r="BA32" s="259">
        <f t="shared" ca="1" si="3"/>
        <v>0</v>
      </c>
      <c r="BB32" s="259">
        <f ca="1">IFERROR(INDEX($FG$3:$FL$400,MATCH(ROWS($BB$3:BB32),$FL$3:$FL$400,0),1),0)</f>
        <v>0</v>
      </c>
      <c r="BC32" s="259" t="str">
        <f t="shared" ca="1" si="60"/>
        <v/>
      </c>
      <c r="BD32" s="259">
        <f ca="1">IFERROR(INDEX($FG$3:$FL$400,MATCH(ROWS($BD$3:BD32),$FL$3:$FL$400,0),4),0)</f>
        <v>0</v>
      </c>
      <c r="BE32" s="259">
        <f ca="1">IFERROR(INDEX($FG$3:$FL$400,MATCH(ROWS($BE$3:BE32),$FL$3:$FL$400,0),5),0)</f>
        <v>0</v>
      </c>
      <c r="BG32" s="259" t="str">
        <f t="shared" si="4"/>
        <v/>
      </c>
      <c r="BH32" s="259">
        <f ca="1">IF(IFERROR(MATCH(BG32,DENOMINAZIONE_GIORNALE,0),0)&gt;0,MAX(BH$2:BH31)+1,0)</f>
        <v>0</v>
      </c>
      <c r="BI32" s="259" t="str">
        <f ca="1">IFERROR(INDEX($BG$3:$BH$220,MATCH(ROWS($BI$3:BI32),$BH$3:$BH$220,0),1),"")</f>
        <v/>
      </c>
      <c r="BJ32" s="259" t="str">
        <f t="shared" ca="1" si="5"/>
        <v/>
      </c>
      <c r="BK32" s="259" t="str">
        <f ca="1">IF(IF(BJ32&lt;&gt;"",MAX($BK$2:BK31)+1,0)=0,"",IF(BJ32&lt;&gt;"",MAX($BK$2:BK31)+1,0))</f>
        <v/>
      </c>
      <c r="BL32" s="259" t="str">
        <f ca="1">IFERROR(INDEX($T$3:$U$220, MATCH(ROWS(BL$3:BL32),$V$3:$V$220,0),1),"")</f>
        <v/>
      </c>
      <c r="BM32" s="259" t="str">
        <f ca="1">IFERROR(INDEX($T$3:$U$220, MATCH(ROWS(BM$3:BM32),$V$3:$V$220,0),2),"")</f>
        <v/>
      </c>
      <c r="BN32" s="259" t="str">
        <f ca="1">IF(IFERROR(INDEX($BI$3:$BJ$220,MATCH(ROWS(BN$3:BN32),$BK$3:$BK$220,0),1),"")="PATRIMONIO NETTO","",IFERROR(INDEX($BI$3:$BJ$220,MATCH(ROWS(BN$3:BN32),$BK$3:$BK$220,0),1),""))</f>
        <v/>
      </c>
      <c r="BO32" s="259" t="str">
        <f ca="1">IFERROR(INDEX($BI$3:$BJ$220,MATCH(ROWS(BO$3:BO32),$BK$3:$BK$220,0),2),"")</f>
        <v/>
      </c>
      <c r="BP32" s="259">
        <f ca="1">IF(BN32&lt;&gt;"",MAX(BP$2:$BP31)+1,0)</f>
        <v>0</v>
      </c>
      <c r="BQ32" s="259" t="str">
        <f ca="1">IFERROR(INDEX($BN$3:$BO$200,MATCH(ROWS(BQ$3:BQ32),$BP$3:$BP$220,0),1),"")</f>
        <v/>
      </c>
      <c r="BR32" s="259" t="str">
        <f ca="1">IFERROR(INDEX($BN$3:$BO$220,MATCH(ROWS(BR$3:BR32),$BP$3:$BP$220,0),2),"")</f>
        <v/>
      </c>
      <c r="BS32" s="259" t="str">
        <f ca="1">IFERROR(IF(OR(INDEX($T$3:$U$220,MATCH(ROWS(BL$3:BL32),$V$3:$V$220,0),1)="PRELEVAMENTI EXTRAGESTIONE",INDEX($T$3:$U$220,MATCH(ROWS(BL$3:BL32),$V$3:$V$220,0),1)="TITOLARE C/RITENUTE SUBITE"),"",INDEX($T$3:$U$220,MATCH(ROWS(BL$3:BL32),$V$3:$V$220,0),1)),"")</f>
        <v/>
      </c>
      <c r="BT32" s="259">
        <f t="shared" ca="1" si="61"/>
        <v>0</v>
      </c>
      <c r="BU32" s="259">
        <f ca="1">IF(BS32&lt;&gt;"",MAX(BU$2:BU31)+1,0)</f>
        <v>0</v>
      </c>
      <c r="BV32" s="259" t="str">
        <f ca="1">IFERROR(INDEX($BS$3:$BT$223,MATCH(ROWS(BV$3:BV32),$BU$3:$BU$223,0),1),"")</f>
        <v/>
      </c>
      <c r="BW32" s="259">
        <f t="shared" ca="1" si="62"/>
        <v>0</v>
      </c>
      <c r="BX32" s="259" t="str">
        <f t="shared" ca="1" si="63"/>
        <v/>
      </c>
      <c r="BY32" s="259" t="str">
        <f t="shared" ca="1" si="64"/>
        <v/>
      </c>
      <c r="BZ32" s="259" t="str">
        <f ca="1">IFERROR(IF(OR($DS$231&lt;&gt;$DT$231,$DU$231&lt;&gt;$DV$231,$EO$25&lt;&gt;0,$EO$26&lt;&gt;0),INDEX($T$3:$V$220,MATCH(ROWS($BV$3:BV32),$V$3:$V$220,0),1),CONCATENATE(BV32,BY32)),"")</f>
        <v/>
      </c>
      <c r="CA32" s="259">
        <f t="shared" ca="1" si="65"/>
        <v>0</v>
      </c>
      <c r="CB32" s="259" t="str">
        <f ca="1">IFERROR(IF(OR($BB$1&lt;&gt;$BD$1,$BC$1&lt;&gt;$BE$1,$DS$231&lt;&gt;$DT$231,$DU$231&lt;&gt;$DV$231,$EO$25&lt;&gt;0,$EO$26&lt;&gt;0),INDEX($BI$3:$BK$220,MATCH(ROWS($CB$3:CB32),$BK$3:$BK$220,0),1),CONCATENATE(BQ32,BX32)),"")</f>
        <v/>
      </c>
      <c r="CC32" s="259" t="str">
        <f t="shared" ca="1" si="66"/>
        <v/>
      </c>
      <c r="CD32" s="259" t="str">
        <f t="shared" si="6"/>
        <v/>
      </c>
      <c r="CE32" s="259">
        <f ca="1">IF(IFERROR(MATCH(CD32,DENOMINAZIONE_GIORNALE,0),0)&gt;0,MAX(CE$2:CE31)+1,0)</f>
        <v>0</v>
      </c>
      <c r="CF32" s="259" t="str">
        <f ca="1">IFERROR(INDEX($CD$3:$CE$220,MATCH(ROWS($CF$3:CF32),$CE$3:$CE$220,0),1),"")</f>
        <v/>
      </c>
      <c r="CG32" s="259">
        <f t="shared" ca="1" si="7"/>
        <v>0</v>
      </c>
      <c r="CH32" s="259" t="str">
        <f ca="1">IF(IF(CG32&lt;&gt;0,MAX($CH$2:CH31)+1,0)=0,"",IF(CG32&lt;&gt;"",MAX($CH$2:CH31)+1,0))</f>
        <v/>
      </c>
      <c r="CI32" s="259" t="str">
        <f ca="1">IFERROR(INDEX($CF$3:$CG$220,MATCH(ROWS($CI$3:CI32),$CH$3:$CH$220,0),1),"")</f>
        <v/>
      </c>
      <c r="CJ32" s="259" t="str">
        <f t="shared" ca="1" si="67"/>
        <v/>
      </c>
      <c r="CK32" s="259" t="str">
        <f t="shared" si="8"/>
        <v/>
      </c>
      <c r="CL32" s="259">
        <f ca="1">IF(IFERROR(MATCH(CK32,DENOMINAZIONE_GIORNALE,0),0)&gt;0,MAX(CL$2:CL31)+1,0)</f>
        <v>0</v>
      </c>
      <c r="CM32" s="259" t="str">
        <f ca="1">IFERROR(INDEX($CK$3:$CL$220,MATCH(ROWS($CM$3:CM32),$CL$3:$CL$220,0),1),"")</f>
        <v/>
      </c>
      <c r="CN32" s="259" t="str">
        <f t="shared" ca="1" si="9"/>
        <v/>
      </c>
      <c r="CO32" s="259">
        <f ca="1">IF(IF(CN32&lt;&gt;0,MAX($CO$2:CO31)+1,0)=0,"",IF(CN32&lt;&gt;"",MAX($CO$2:CO31)+1,0))</f>
        <v>0</v>
      </c>
      <c r="CP32" s="259" t="str">
        <f ca="1">IFERROR(INDEX($CM$3:$CN$220,MATCH(ROWS(CP$3:CP32),$CO$3:$CO$220,0),1),"")</f>
        <v/>
      </c>
      <c r="CQ32" s="259" t="str">
        <f ca="1">IFERROR(INDEX($CM$3:$CN$220,MATCH(ROWS(CQ$3:CQ32),$CO$3:$CO$220,0),2),"")</f>
        <v/>
      </c>
      <c r="CR32" s="259" t="str">
        <f t="shared" ca="1" si="10"/>
        <v/>
      </c>
      <c r="CS32" s="259">
        <f t="shared" ca="1" si="11"/>
        <v>0</v>
      </c>
      <c r="CT32" s="259">
        <f t="shared" ca="1" si="12"/>
        <v>0</v>
      </c>
      <c r="CU32" s="259">
        <f ca="1">IF(OR(CS32&gt;0,CT32&gt;0),MAX($CU$2:CU31)+1,0)</f>
        <v>0</v>
      </c>
      <c r="CV32" s="259" t="str">
        <f ca="1">IFERROR(INDEX(PIANO_DEI_CONTI,MATCH(ROWS($CV$3:CV32),$CU$3:$CU$200,0),2),"")</f>
        <v/>
      </c>
      <c r="CW32" s="259">
        <f ca="1">IFERROR(IF(CV32&lt;&gt;"",MAX($CW$2:CW31)+1,0),0)</f>
        <v>0</v>
      </c>
      <c r="CX32" s="259">
        <f t="shared" ca="1" si="145"/>
        <v>2</v>
      </c>
      <c r="CY32" s="259" t="str">
        <f t="shared" ca="1" si="144"/>
        <v>MASTRO</v>
      </c>
      <c r="CZ32" s="259" t="e">
        <f t="shared" ca="1" si="147"/>
        <v>#N/A</v>
      </c>
      <c r="DA32" s="259" t="str">
        <f t="shared" ca="1" si="152"/>
        <v/>
      </c>
      <c r="DB32" s="259" t="str">
        <f t="shared" ca="1" si="148"/>
        <v/>
      </c>
      <c r="DC32" s="259" t="str">
        <f t="shared" ca="1" si="149"/>
        <v/>
      </c>
      <c r="DD32" s="259" t="str">
        <f t="shared" ca="1" si="150"/>
        <v/>
      </c>
      <c r="DE32" s="259" t="str">
        <f t="shared" ca="1" si="151"/>
        <v/>
      </c>
      <c r="DF32" s="259">
        <f ca="1">IF(AND(CX32=$DE$2,$DF$2&lt;&gt;0),0,IF(AND(DB32&lt;&gt;"",OR(DB31&lt;&gt;"",DB33&lt;&gt;"")),MAX($DF$2:DF31)+1,0))</f>
        <v>0</v>
      </c>
      <c r="DG32" s="259" t="str">
        <f>IF(OR(VALORI_INIZIALI!E37="",AND(VALORI_INIZIALI!E37&lt;&gt;"",VALORI_INIZIALI!H37=0,VALORI_INIZIALI!I37=0)),"",IFERROR(INDEX(PIANO_DEI_CONTI,MATCH(BB32,DENOMINAZIONE,0),1),0))</f>
        <v/>
      </c>
      <c r="DH32" s="259">
        <f ca="1">IFERROR(IF($J$1=1,IF(INDEX(PIANO_DEI_CONTI,MATCH($K32,DENOMINAZIONE,0),5)=$DF$1,MAX($DH$2:DH31)+1,0),IF($J$1=2,IF(INDEX(PIANO_DEI_CONTI,MATCH($K32,DENOMINAZIONE,0),7)=$DF$1,MAX($DH$2:DH31)+1,0))),0)</f>
        <v>0</v>
      </c>
      <c r="DI32" s="259">
        <f ca="1">IFERROR(INDEX($K$3:$K$220,MATCH(ROWS($DI$3:DI32),$DH$3:$DH$220,0),1),0)</f>
        <v>0</v>
      </c>
      <c r="DJ32" s="259">
        <f t="shared" ca="1" si="14"/>
        <v>0</v>
      </c>
      <c r="DK32" s="259">
        <f ca="1">IF(DJ32=0,0,MAX(DK$2:DK31)+1)</f>
        <v>0</v>
      </c>
      <c r="DL32" s="259">
        <f ca="1">IFERROR(INDEX(PIANO_DEI_CONTI,MATCH(ROWS(DL$3:DL32),$DK$3:DK259,0),2),0)</f>
        <v>0</v>
      </c>
      <c r="DM32" s="259">
        <f t="shared" ca="1" si="15"/>
        <v>0</v>
      </c>
      <c r="DN32" s="259">
        <f t="shared" ca="1" si="16"/>
        <v>0</v>
      </c>
      <c r="DO32" s="259">
        <f t="shared" ca="1" si="69"/>
        <v>0</v>
      </c>
      <c r="DP32" s="259">
        <f t="shared" ca="1" si="70"/>
        <v>0</v>
      </c>
      <c r="DQ32" s="259">
        <f ca="1">IF(OR($DQ$1="TOTALI",$DQ$1="TOTALI ED ECCEDENZE"),IF(OR(DM32&gt;0,DN32&gt;0),MAX(DQ$2:DQ31)+1,0),IF($DQ$1="ECCEDENZE",IF(OR(DO32&gt;0,DP32&gt;0),MAX(DQ$2:DQ31)+1,0),""))</f>
        <v>0</v>
      </c>
      <c r="DR32" s="259" t="str">
        <f ca="1">IFERROR(INDEX($DL$3:$DQ$230,MATCH(ROWS(DR$3:DR32),$DQ$3:$DQ$230,0),1),"")</f>
        <v/>
      </c>
      <c r="DS32" s="259" t="str">
        <f t="shared" ca="1" si="71"/>
        <v/>
      </c>
      <c r="DT32" s="259" t="str">
        <f t="shared" ca="1" si="72"/>
        <v/>
      </c>
      <c r="DU32" s="259" t="str">
        <f t="shared" ca="1" si="73"/>
        <v/>
      </c>
      <c r="DV32" s="259" t="str">
        <f t="shared" ca="1" si="74"/>
        <v/>
      </c>
      <c r="DW32" s="259">
        <f t="shared" ca="1" si="75"/>
        <v>0</v>
      </c>
      <c r="DX32" s="259" t="str">
        <f t="shared" ca="1" si="76"/>
        <v/>
      </c>
      <c r="DY32" s="259" t="str">
        <f t="shared" ca="1" si="77"/>
        <v/>
      </c>
      <c r="DZ32" s="259" t="str">
        <f t="shared" ca="1" si="78"/>
        <v/>
      </c>
      <c r="EA32" s="259">
        <f t="shared" ca="1" si="79"/>
        <v>30</v>
      </c>
      <c r="EB32" s="259" t="s">
        <v>353</v>
      </c>
      <c r="ED32" s="259">
        <f t="shared" ca="1" si="17"/>
        <v>0</v>
      </c>
      <c r="EE32" s="259" t="str">
        <f t="shared" ca="1" si="18"/>
        <v/>
      </c>
      <c r="EF32" s="259" t="str">
        <f t="shared" ca="1" si="19"/>
        <v/>
      </c>
      <c r="EG32" s="259" t="str">
        <f t="shared" ca="1" si="136"/>
        <v/>
      </c>
      <c r="EH32" s="259" t="str">
        <f t="shared" ca="1" si="80"/>
        <v/>
      </c>
      <c r="EI32" s="260" t="b">
        <f t="shared" ca="1" si="137"/>
        <v>1</v>
      </c>
      <c r="EJ32" s="260" t="b">
        <f t="shared" ca="1" si="138"/>
        <v>1</v>
      </c>
      <c r="EK32" s="260" t="b">
        <f t="shared" ca="1" si="139"/>
        <v>1</v>
      </c>
      <c r="EL32" s="259">
        <f t="shared" si="81"/>
        <v>30</v>
      </c>
      <c r="EM32" s="259">
        <f ca="1">IF(AND(BA32&gt;0,BA32&lt;=$EM$1),MAX($EM$2:EM31)+1,0)</f>
        <v>0</v>
      </c>
      <c r="EN32" s="259">
        <f t="shared" ca="1" si="82"/>
        <v>32</v>
      </c>
      <c r="EP32" s="259" t="str">
        <f t="shared" ca="1" si="20"/>
        <v/>
      </c>
      <c r="EQ32" s="259">
        <f t="shared" ca="1" si="21"/>
        <v>0</v>
      </c>
      <c r="ER32" s="259">
        <f ca="1">IF(ISNA(EQ32),MAX(ER$2:ER31)+1,0)</f>
        <v>0</v>
      </c>
      <c r="ES32" s="259" t="str">
        <f t="shared" ca="1" si="83"/>
        <v/>
      </c>
      <c r="ET32" s="259" t="str">
        <f ca="1">IFERROR(UPPER(INDEX($ER$3:$ES$500,MATCH(ROWS(ET$3:ET32),$ER$3:$ER$500,0),2)),"")</f>
        <v/>
      </c>
      <c r="EU32" s="259" t="s">
        <v>413</v>
      </c>
      <c r="EV32" s="259">
        <v>30</v>
      </c>
      <c r="EY32" s="259">
        <f t="shared" ca="1" si="84"/>
        <v>0</v>
      </c>
      <c r="EZ32" s="259">
        <f t="shared" ca="1" si="84"/>
        <v>0</v>
      </c>
      <c r="FA32" s="259" t="str">
        <f t="shared" ca="1" si="85"/>
        <v/>
      </c>
      <c r="FB32" s="259">
        <f t="shared" ca="1" si="86"/>
        <v>0</v>
      </c>
      <c r="FC32" s="259">
        <f t="shared" ca="1" si="87"/>
        <v>0</v>
      </c>
      <c r="FD32" s="259">
        <f t="shared" ca="1" si="22"/>
        <v>0</v>
      </c>
      <c r="FE32" s="259" t="str">
        <f t="shared" ca="1" si="23"/>
        <v/>
      </c>
      <c r="FF32" s="259" t="str">
        <f t="shared" ca="1" si="88"/>
        <v/>
      </c>
      <c r="FG32" s="259" t="str">
        <f t="shared" si="89"/>
        <v>FATTURE DA EMETTERE</v>
      </c>
      <c r="FH32" s="259">
        <f t="shared" ca="1" si="24"/>
        <v>0</v>
      </c>
      <c r="FI32" s="259">
        <f t="shared" ca="1" si="25"/>
        <v>0</v>
      </c>
      <c r="FJ32" s="259">
        <f t="shared" ca="1" si="90"/>
        <v>0</v>
      </c>
      <c r="FK32" s="259">
        <f t="shared" ca="1" si="91"/>
        <v>0</v>
      </c>
      <c r="FL32" s="259">
        <f ca="1">IF(OR(FJ32&gt;0,FK32&gt;0),MAX($FL$2:FL31)+1,0)</f>
        <v>0</v>
      </c>
      <c r="FM32" s="259">
        <f t="shared" ca="1" si="26"/>
        <v>0</v>
      </c>
      <c r="FN32" s="259">
        <f ca="1">IF(FM32&lt;0,MAX($FN$2:FN31)+1,0)</f>
        <v>0</v>
      </c>
      <c r="FO32" s="259" t="str">
        <f t="shared" ca="1" si="92"/>
        <v/>
      </c>
      <c r="FP32" s="259" t="str">
        <f ca="1">IFERROR(INDEX($FN$3:$FO$400,MATCH(ROWS($FP$3:FP32),$FN$3:$FN$400,0),2),"")</f>
        <v/>
      </c>
      <c r="FQ32" s="259" t="str">
        <f>IF(AE32="SE AVERE",MAX($FQ$2:FQ31)+1,"")</f>
        <v/>
      </c>
      <c r="FR32" s="259" t="str">
        <f>IF(AE32="SE DARE",MAX($FR$2:FR31)+1,"")</f>
        <v/>
      </c>
      <c r="FS32" s="259">
        <f ca="1">IF(AND(AE32="SP DARE",AA32&lt;&gt;$FS$1,AA32&lt;&gt;$FT$1),MAX($FS$2:FS31)+1,IF(AND(GQ32="SP DARE",AA32&lt;&gt;$FS$1,AA32&lt;&gt;$FT$1),MAX($FS$2:FS31)+1,""))</f>
        <v>108</v>
      </c>
      <c r="FT32" s="259" t="str">
        <f ca="1">IF(AND(AE32="SP AVERE",AA32&lt;&gt;$FU$1),MAX($FT$2:FT31)+1,IF(AND(GQ32="SP AVERE",AA32&lt;&gt;$FU$1),MAX($FT$2:FT31)+1,""))</f>
        <v/>
      </c>
      <c r="FU32" s="259">
        <f t="shared" ca="1" si="93"/>
        <v>108</v>
      </c>
      <c r="FV32" s="259" t="str">
        <f t="shared" si="94"/>
        <v>FATTURE DA EMETTERE</v>
      </c>
      <c r="FW32" s="259" t="str">
        <f ca="1">IFERROR(INDEX($FU$3:$FV$500,MATCH(ROWS($FW$3:FW32),$FU$3:$FU$500,0),2),0)</f>
        <v>PUBBLICITÀ</v>
      </c>
      <c r="FX32" s="259">
        <f t="shared" ca="1" si="95"/>
        <v>30</v>
      </c>
      <c r="FY32" s="259">
        <f t="shared" ca="1" si="96"/>
        <v>0</v>
      </c>
      <c r="FZ32" s="259">
        <f ca="1">IF(FY32&gt;0,MAX($FZ$2:FZ31)+1,0)</f>
        <v>0</v>
      </c>
      <c r="GA32" s="259">
        <f ca="1">IFERROR(INDEX($FY$3:$FZ$500,MATCH(ROWS($GA$3:GA32),$FZ$3:$FZ$500,0),1),0)</f>
        <v>0</v>
      </c>
      <c r="GC32" s="259">
        <f t="shared" ca="1" si="97"/>
        <v>30</v>
      </c>
      <c r="GD32" s="259" t="str">
        <f t="shared" ca="1" si="98"/>
        <v>PUBBLICITÀ</v>
      </c>
      <c r="GG32" s="259">
        <f t="shared" ca="1" si="27"/>
        <v>0</v>
      </c>
      <c r="GH32" s="259">
        <f t="shared" ca="1" si="99"/>
        <v>0</v>
      </c>
      <c r="GI32" s="259">
        <f t="shared" ca="1" si="100"/>
        <v>0</v>
      </c>
      <c r="GJ32" s="259">
        <f t="shared" ca="1" si="101"/>
        <v>0</v>
      </c>
      <c r="GK32" s="259">
        <f t="shared" ca="1" si="102"/>
        <v>0</v>
      </c>
      <c r="GL32" s="259">
        <f t="shared" ca="1" si="103"/>
        <v>0</v>
      </c>
      <c r="GM32" s="259">
        <f ca="1">IF(OR(GK32&gt;0,GL32&gt;0),MAX($GM$2:GM31)+1,0)</f>
        <v>0</v>
      </c>
      <c r="GN32" s="259" t="str">
        <f ca="1">IFERROR(INDEX($GD$3:$GM$400,MATCH(ROWS($GN$3:GN32),$GM$3:$GM$400,0),1),"")</f>
        <v/>
      </c>
      <c r="GO32" s="259" t="str">
        <f ca="1">IFERROR(INDEX($GD$3:$GM$400,MATCH(ROWS($GO$3:GO32),$GM$3:$GM$400,0),8),"")</f>
        <v/>
      </c>
      <c r="GP32" s="259" t="str">
        <f ca="1">IFERROR(INDEX($GD$3:$GM$400,MATCH(ROWS($GP$3:GP32),$GM$3:$GM$400,0),9),"")</f>
        <v/>
      </c>
      <c r="GQ32" s="259">
        <f t="shared" ca="1" si="28"/>
        <v>0</v>
      </c>
      <c r="GR32" s="259">
        <f t="shared" ca="1" si="104"/>
        <v>0</v>
      </c>
      <c r="GS32" s="259" t="str">
        <f t="shared" si="105"/>
        <v>epilogo a Conto economico</v>
      </c>
      <c r="GT32" s="259" t="str">
        <f ca="1">IFERROR(INDEX($GD$3:$GS$400,MATCH(ROWS($GT$3:GT32),$GM$3:$GM$400,0),16),"")</f>
        <v/>
      </c>
      <c r="GU32" s="259">
        <f ca="1">IF(GQ32&lt;&gt;0,MAX($GU$2:$GU31)+1,0)</f>
        <v>0</v>
      </c>
      <c r="GV32" s="259">
        <f t="shared" ca="1" si="106"/>
        <v>0</v>
      </c>
      <c r="GW32" s="259" t="str">
        <f ca="1">IF(AND(IFERROR(INDEX($GU$3:$GV$400,MATCH(ROWS($GW$3:GW32),$GU$3:$GU$400,0),2),"")&lt;&gt;"",GW33&lt;&gt;""),CONCATENATE(IFERROR(INDEX($GU$3:$GV$400,MATCH(ROWS($GW$3:GW32),$GU$3:$GU$400,0),2),"")," - "),IFERROR(INDEX($GU$3:$GV$400,MATCH(ROWS($GW$3:GW32),$GU$3:$GU$400,0),2),""))</f>
        <v/>
      </c>
      <c r="GX32" s="259">
        <f ca="1">IF(OR(GN32="IVA NS/CREDITO",GN32="IVA NS/DEBITO",GN32="IVA C/ACCONTO",GN32="IMPOSTE C/ACCONTO"),MAX($GX$2:GX31)+1,0)</f>
        <v>0</v>
      </c>
      <c r="GY32" s="259" t="str">
        <f ca="1">IF(AND(IFERROR(INDEX($GN$3:$GX$200,MATCH(ROWS($GY$3:GY32),$GX$3:$GX$200,0),1),"")&lt;&gt;"",GY33&lt;&gt;""),CONCATENATE(IFERROR(INDEX($GN$3:$GX$200,MATCH(ROWS($GY$3:GY32),$GX$3:$GX$200,0),1),"")," - "),IFERROR(INDEX($GN$3:$GX$200,MATCH(ROWS($GY$3:GY32),$GX$3:$GX$200,0),1),""))</f>
        <v/>
      </c>
      <c r="GZ32" s="259" t="s">
        <v>45</v>
      </c>
      <c r="HA32" s="259" t="s">
        <v>44</v>
      </c>
      <c r="HB32" s="269" t="s">
        <v>256</v>
      </c>
      <c r="HC32" s="269" t="s">
        <v>276</v>
      </c>
      <c r="HD32" s="269" t="s">
        <v>14</v>
      </c>
      <c r="HE32" s="269" t="s">
        <v>206</v>
      </c>
      <c r="HL32" s="259" t="str">
        <f t="shared" ca="1" si="29"/>
        <v/>
      </c>
      <c r="HM32" s="259" t="str">
        <f t="shared" ca="1" si="30"/>
        <v/>
      </c>
      <c r="HN32" s="259" t="str">
        <f t="shared" ca="1" si="31"/>
        <v/>
      </c>
      <c r="HO32" s="259">
        <f ca="1">IF(HL32&lt;&gt;"",MAX($HO$2:HO31)+1,0)</f>
        <v>0</v>
      </c>
      <c r="HP32" s="259">
        <f ca="1">IF(HM32&lt;&gt;"",MAX($HP$2:HP31)+1,0)</f>
        <v>0</v>
      </c>
      <c r="HQ32" s="259">
        <f ca="1">IF(HN32&lt;&gt;"",MAX($HQ$2:HQ31)+1,0)</f>
        <v>0</v>
      </c>
      <c r="HR32" s="259" t="str">
        <f t="shared" ca="1" si="107"/>
        <v/>
      </c>
      <c r="HS32" s="259" t="str">
        <f t="shared" ca="1" si="108"/>
        <v/>
      </c>
      <c r="HT32" s="259">
        <f t="shared" ca="1" si="109"/>
        <v>0</v>
      </c>
      <c r="HU32" s="259">
        <f t="shared" ca="1" si="110"/>
        <v>0</v>
      </c>
      <c r="HV32" s="259" t="str">
        <f ca="1">CONCATENATE(IFERROR(INDEX($HS$3:$HT$102,MATCH(ROWS($HV$3:HV32),$HT$3:$HT$102,0),1),""),HR32)</f>
        <v/>
      </c>
      <c r="IC32" s="259">
        <f ca="1">IFERROR(INDEX(PIANO_DEI_CONTI,MATCH(ROWS(DL$3:DL32),$DK$3:DK259,0),2),0)</f>
        <v>0</v>
      </c>
      <c r="ID32" s="259">
        <f t="shared" ca="1" si="111"/>
        <v>0</v>
      </c>
      <c r="IE32" s="259">
        <f t="shared" ca="1" si="112"/>
        <v>0</v>
      </c>
      <c r="IF32" s="259">
        <f t="shared" ca="1" si="113"/>
        <v>0</v>
      </c>
      <c r="IG32" s="259">
        <f ca="1">IF(IG33&gt;0,"",0)</f>
        <v>0</v>
      </c>
      <c r="IH32" s="259">
        <f ca="1">IF(IG32&lt;&gt;0,MAX($IH$19:IH31)+1,0)</f>
        <v>0</v>
      </c>
      <c r="II32" s="259">
        <f>IF(AD32="costi pluriennali",MAX($II$2:II31)+1,0)</f>
        <v>0</v>
      </c>
      <c r="IJ32" s="259">
        <f>IF($AD32="rettifiche costi pluriennali",MAX($IJ$2:IJ31)+1,0)</f>
        <v>0</v>
      </c>
      <c r="IK32" s="259">
        <f t="shared" si="114"/>
        <v>0</v>
      </c>
      <c r="IL32" s="259" t="str">
        <f t="shared" si="115"/>
        <v/>
      </c>
      <c r="IM32" s="259">
        <f t="shared" ca="1" si="116"/>
        <v>0</v>
      </c>
      <c r="IN32" s="259">
        <f t="shared" ca="1" si="141"/>
        <v>0</v>
      </c>
      <c r="IO32" s="259">
        <f>SUMIFS($IM$3:$IM$200,$IK$3:$IK$200,ROWS($IO$3:IO32))-SUMIFS($IN$3:$IN$200,$IK$3:$IK$200,ROWS($IO$3:IO32))</f>
        <v>0</v>
      </c>
      <c r="IP32" s="259" t="str">
        <f>IF(IO32&lt;0,INDEX($IJ$3:$IL$200,MATCH(ROWS($IP$3:IP32),$IJ$3:$IJ$200,0),3),"")</f>
        <v/>
      </c>
      <c r="IQ32" s="259">
        <f>IF(IP32&lt;&gt;"",MAX($IQ$2:IQ31)+1,0)</f>
        <v>0</v>
      </c>
      <c r="IR32" s="259" t="str">
        <f ca="1">IFERROR(INDEX($IP$3:$IQ$200,MATCH(ROWS($IR$3:IR32),$IQ$3:$IQ$200,0),1),"")</f>
        <v/>
      </c>
      <c r="IS32" s="259" t="str">
        <f t="shared" ca="1" si="117"/>
        <v/>
      </c>
      <c r="IT32" s="259" t="str">
        <f t="shared" ca="1" si="118"/>
        <v/>
      </c>
      <c r="IU32" s="259" t="str">
        <f t="shared" ca="1" si="119"/>
        <v/>
      </c>
      <c r="IV32" s="259" t="str">
        <f t="shared" ca="1" si="120"/>
        <v/>
      </c>
      <c r="IW32" s="259" t="str">
        <f t="shared" ca="1" si="121"/>
        <v/>
      </c>
      <c r="IX32" s="259" t="str">
        <f t="shared" ca="1" si="122"/>
        <v/>
      </c>
      <c r="IY32" s="259" t="str">
        <f t="shared" ca="1" si="123"/>
        <v/>
      </c>
      <c r="IZ32" s="259" t="str">
        <f t="shared" ca="1" si="124"/>
        <v/>
      </c>
      <c r="JA32" s="259" t="str">
        <f t="shared" ca="1" si="125"/>
        <v/>
      </c>
      <c r="JB32" s="259">
        <f t="shared" ca="1" si="32"/>
        <v>0</v>
      </c>
      <c r="JC32" s="259">
        <f t="shared" ca="1" si="126"/>
        <v>0</v>
      </c>
      <c r="JE32" s="259">
        <f ca="1">IFERROR(INDEX(LIBRO_GIORNALE!$N$11:$O$408,MATCH(ROWS($JE$2:JE31),LIBRO_GIORNALE!$O$11:$O$408,0),1),0)</f>
        <v>0</v>
      </c>
      <c r="JF32" s="259" t="str">
        <f t="shared" ca="1" si="127"/>
        <v>0</v>
      </c>
      <c r="JG32" s="259">
        <f t="shared" ca="1" si="128"/>
        <v>0</v>
      </c>
      <c r="JH32" s="259">
        <f ca="1">IF(JJ32&gt;0,0,MAX($JH$2:JH31)+1)</f>
        <v>30</v>
      </c>
      <c r="JI32" s="259">
        <f ca="1">IF(JG32&gt;0,MAX($JI$2:JI31)+1,0)</f>
        <v>0</v>
      </c>
      <c r="JJ32" s="259">
        <f ca="1">IFERROR(INDEX($JG$3:$JI$124,MATCH(ROWS($JJ$3:JJ32),$JI$3:$JI$124,0),1),0)</f>
        <v>0</v>
      </c>
      <c r="JK32" s="259">
        <f t="shared" ca="1" si="129"/>
        <v>0</v>
      </c>
      <c r="JL32" s="259">
        <f t="shared" ca="1" si="130"/>
        <v>30</v>
      </c>
      <c r="JM32" s="259">
        <v>29</v>
      </c>
    </row>
    <row r="33" spans="1:273">
      <c r="A33" s="259" t="str">
        <f t="shared" si="33"/>
        <v>04.04</v>
      </c>
      <c r="B33" s="259" t="str">
        <f t="shared" si="34"/>
        <v>MERCI</v>
      </c>
      <c r="C33" s="259" t="str">
        <f t="shared" si="35"/>
        <v>E</v>
      </c>
      <c r="D33" s="259" t="str">
        <f t="shared" si="36"/>
        <v>D</v>
      </c>
      <c r="E33" s="259" t="str">
        <f t="shared" si="37"/>
        <v>COSTI SOSPESI</v>
      </c>
      <c r="F33" s="259" t="str">
        <f t="shared" si="38"/>
        <v>SP DARE</v>
      </c>
      <c r="G33" s="259">
        <f t="shared" ca="1" si="39"/>
        <v>1</v>
      </c>
      <c r="H33" s="259">
        <f t="shared" ca="1" si="40"/>
        <v>1</v>
      </c>
      <c r="I33" s="259">
        <f t="shared" ca="1" si="41"/>
        <v>1</v>
      </c>
      <c r="J33" s="259">
        <v>30</v>
      </c>
      <c r="K33" s="259" t="str">
        <f ca="1">IFERROR(IF($I$1=1,INDEX($AA$3:$AS$220,MATCH(ROWS($K$3:K33),$AQ$3:$AQ$220,0),1),IF($I$1=2,INDEX($AA$3:$AS$220,MATCH(ROWS($K$3:K33),$AR$3:$AR$220,0),1),IF($I$1=3,INDEX($AA$3:$AS$220,MATCH(ROWS($K$3:K33),$AS$3:$AS$220,0),1),""))),"")</f>
        <v>CREDITI COMMERCIALI DIVERSI</v>
      </c>
      <c r="L33" s="259">
        <f ca="1">IF(AND($L$1="VISUALIZZA TUTTI I CONTI",K33&lt;&gt;""),MAX(L32:L32)+1,IFERROR(IF($J$1=1,IF(INDEX(PIANO_DEI_CONTI,MATCH($K33,DENOMINAZIONE,0),5)=$L$1,MAX($L$2:L32)+1,0),IF($J$1=2,IF(INDEX(PIANO_DEI_CONTI,MATCH($K33,DENOMINAZIONE,0),7)=$L$1,MAX($L$2:L32)+1,0))),0))</f>
        <v>31</v>
      </c>
      <c r="M33" s="259" t="str">
        <f ca="1">IFERROR(INDEX($K$3:$K$220,MATCH(ROWS($M$3:M33),$L$3:$L$220,0),1),"")</f>
        <v>CREDITI COMMERCIALI DIVERSI</v>
      </c>
      <c r="N33" s="259" t="str">
        <f t="shared" si="143"/>
        <v>RATEI E RISCONTI PASSIVI</v>
      </c>
      <c r="O33" s="259" t="str">
        <f t="shared" ca="1" si="142"/>
        <v>RATEI E RISCONTI PASSIVI</v>
      </c>
      <c r="P33" s="259">
        <f ca="1">IF(AND(N33=O33,O33&lt;&gt;""),MAX(P$2:P32)+1,0)</f>
        <v>16</v>
      </c>
      <c r="Q33" s="259" t="str">
        <f ca="1">IF(IFERROR(INDEX($O$3:$P$220,MATCH(ROWS(Q$3:Q33),$P$3:$P$220,0),1),"")=0,"",IFERROR(INDEX($O$3:$P$220,MATCH(ROWS(Q$3:Q33),$P$3:$P$220,0),1),""))</f>
        <v>ONERI FINANZIARI</v>
      </c>
      <c r="R33" s="259" t="str">
        <f t="shared" si="1"/>
        <v>CREDITI COMMERCIALI DIVERSI</v>
      </c>
      <c r="S33" s="259">
        <f ca="1">IF(IFERROR(MATCH(R33,DENOMINAZIONE_GIORNALE,0),0)&gt;0,MAX(S$2:S32)+1,0)</f>
        <v>0</v>
      </c>
      <c r="T33" s="259" t="str">
        <f ca="1">IFERROR(INDEX($R$3:$S$220,MATCH(ROWS($T$3:T33),$S$3:$S$220,0),1),"")</f>
        <v/>
      </c>
      <c r="U33" s="259">
        <f t="shared" ca="1" si="2"/>
        <v>0</v>
      </c>
      <c r="V33" s="259">
        <f ca="1">IF(IF(U33&lt;&gt;0,MAX($V$2:V32)+1,0)=0,0,IF(U33&lt;&gt;0,MAX($V$2:V32)+1,0))</f>
        <v>0</v>
      </c>
      <c r="W33" s="259" t="str">
        <f t="shared" si="43"/>
        <v>04.04</v>
      </c>
      <c r="X33" s="259" t="str">
        <f t="shared" si="44"/>
        <v>MERCI</v>
      </c>
      <c r="Y33" s="259">
        <f>IF(W33="",0,MAX($Y$2:Y32)+1)</f>
        <v>27</v>
      </c>
      <c r="Z33" s="259" t="str">
        <f>IFERROR(INDEX($W$3:$Y$220,MATCH(ROWS($Z$2:Z32),$Y$3:$Y$220,0),1),"")</f>
        <v>05.03</v>
      </c>
      <c r="AA33" s="259" t="str">
        <f t="shared" si="45"/>
        <v>CREDITI COMMERCIALI DIVERSI</v>
      </c>
      <c r="AB33" s="259" t="str">
        <f t="shared" si="46"/>
        <v>F</v>
      </c>
      <c r="AC33" s="259" t="str">
        <f t="shared" si="47"/>
        <v>D</v>
      </c>
      <c r="AD33" s="259" t="str">
        <f t="shared" si="48"/>
        <v>CREDITI</v>
      </c>
      <c r="AE33" s="259" t="str">
        <f t="shared" si="49"/>
        <v>SP DARE</v>
      </c>
      <c r="AF33" s="259" t="str">
        <f t="shared" si="50"/>
        <v>CREDITI COMMERCIALI</v>
      </c>
      <c r="AG33" s="259">
        <f t="shared" ca="1" si="51"/>
        <v>0</v>
      </c>
      <c r="AH33" s="259">
        <f t="shared" ca="1" si="52"/>
        <v>1</v>
      </c>
      <c r="AI33" s="259">
        <f t="shared" ca="1" si="53"/>
        <v>1</v>
      </c>
      <c r="AJ33" s="259" t="str">
        <f t="shared" si="54"/>
        <v>05</v>
      </c>
      <c r="AK33" s="259" t="str">
        <f t="shared" si="55"/>
        <v/>
      </c>
      <c r="AL33" s="259">
        <f>IF(AK33&lt;&gt;"",MAX($AL$2:AL32)+1,0)</f>
        <v>0</v>
      </c>
      <c r="AM33" s="259" t="str">
        <f>IFERROR(INDEX($AK$3:$AL$220,MATCH(ROWS($AM$3:AM33),$AL$3:$AL$220,0),1),"")</f>
        <v>90</v>
      </c>
      <c r="AN33" s="259" t="str">
        <f t="shared" si="56"/>
        <v>90.00</v>
      </c>
      <c r="AO33" s="259" t="str">
        <f t="shared" si="57"/>
        <v>CONTI DI RISULTATO</v>
      </c>
      <c r="AP33" s="259" t="str">
        <f t="shared" si="58"/>
        <v>CREDITI COMMERCIALI</v>
      </c>
      <c r="AQ33" s="259">
        <f ca="1">IF(OR(AG33=0,AG33=""),0,MAX(AQ$2:AQ32)+1)</f>
        <v>0</v>
      </c>
      <c r="AR33" s="259">
        <f ca="1">IF(OR(AH33=0,AH33=""),0,MAX(AR$2:AR32)+1)</f>
        <v>27</v>
      </c>
      <c r="AS33" s="259">
        <f ca="1">IF(OR(AI33=0,AI33=""),0,MAX(AS$2:AS32)+1)</f>
        <v>31</v>
      </c>
      <c r="AT33" s="259" t="str">
        <f ca="1">IFERROR(INDEX($AD$3:$AS$220,MATCH(ROWS(AT$3:AT33),AQ$3:AQ$220,0),1),"")</f>
        <v>PATRIMONIO NETTO</v>
      </c>
      <c r="AU33" s="259" t="str">
        <f ca="1">IFERROR(INDEX($AD$3:$AS$220,MATCH(ROWS(AU$3:AU33),AR$3:AR$220,0),1),"")</f>
        <v>CREDITI</v>
      </c>
      <c r="AV33" s="259" t="str">
        <f ca="1">IFERROR(INDEX($AD$3:$AS$220,MATCH(ROWS(AV$3:AV33),AS$3:AS$220,0),1),"")</f>
        <v>CREDITI</v>
      </c>
      <c r="AW33" s="259" t="str">
        <f ca="1">IFERROR(INDEX($AP$3:$AS$220,MATCH(ROWS(AW$3:AW33),AQ$3:AQ$220,0),1),"")</f>
        <v>PATRIMONIO NETTO</v>
      </c>
      <c r="AX33" s="259" t="str">
        <f ca="1">IFERROR(INDEX($AP$3:$AS$220,MATCH(ROWS(AX$3:AX33),AR$3:AR$220,0),1),"")</f>
        <v>CREDITI COMMERCIALI</v>
      </c>
      <c r="AY33" s="259" t="str">
        <f ca="1">IFERROR(INDEX($AP$3:$AS$220,MATCH(ROWS(AY$3:AY33),AS$3:AS$220,0),1),"")</f>
        <v>CREDITI COMMERCIALI</v>
      </c>
      <c r="AZ33" s="276" t="str">
        <f t="shared" ca="1" si="59"/>
        <v/>
      </c>
      <c r="BA33" s="259">
        <f t="shared" ca="1" si="3"/>
        <v>0</v>
      </c>
      <c r="BB33" s="259">
        <f ca="1">IFERROR(INDEX($FG$3:$FL$400,MATCH(ROWS($BB$3:BB33),$FL$3:$FL$400,0),1),0)</f>
        <v>0</v>
      </c>
      <c r="BC33" s="259" t="str">
        <f t="shared" ca="1" si="60"/>
        <v/>
      </c>
      <c r="BD33" s="259">
        <f ca="1">IFERROR(INDEX($FG$3:$FL$400,MATCH(ROWS($BD$3:BD33),$FL$3:$FL$400,0),4),0)</f>
        <v>0</v>
      </c>
      <c r="BE33" s="259">
        <f ca="1">IFERROR(INDEX($FG$3:$FL$400,MATCH(ROWS($BE$3:BE33),$FL$3:$FL$400,0),5),0)</f>
        <v>0</v>
      </c>
      <c r="BG33" s="259" t="str">
        <f t="shared" si="4"/>
        <v/>
      </c>
      <c r="BH33" s="259">
        <f ca="1">IF(IFERROR(MATCH(BG33,DENOMINAZIONE_GIORNALE,0),0)&gt;0,MAX(BH$2:BH32)+1,0)</f>
        <v>0</v>
      </c>
      <c r="BI33" s="259" t="str">
        <f ca="1">IFERROR(INDEX($BG$3:$BH$220,MATCH(ROWS($BI$3:BI33),$BH$3:$BH$220,0),1),"")</f>
        <v/>
      </c>
      <c r="BJ33" s="259" t="str">
        <f t="shared" ca="1" si="5"/>
        <v/>
      </c>
      <c r="BK33" s="259" t="str">
        <f ca="1">IF(IF(BJ33&lt;&gt;"",MAX($BK$2:BK32)+1,0)=0,"",IF(BJ33&lt;&gt;"",MAX($BK$2:BK32)+1,0))</f>
        <v/>
      </c>
      <c r="BL33" s="259" t="str">
        <f ca="1">IFERROR(INDEX($T$3:$U$220, MATCH(ROWS(BL$3:BL33),$V$3:$V$220,0),1),"")</f>
        <v/>
      </c>
      <c r="BM33" s="259" t="str">
        <f ca="1">IFERROR(INDEX($T$3:$U$220, MATCH(ROWS(BM$3:BM33),$V$3:$V$220,0),2),"")</f>
        <v/>
      </c>
      <c r="BN33" s="259" t="str">
        <f ca="1">IF(IFERROR(INDEX($BI$3:$BJ$220,MATCH(ROWS(BN$3:BN33),$BK$3:$BK$220,0),1),"")="PATRIMONIO NETTO","",IFERROR(INDEX($BI$3:$BJ$220,MATCH(ROWS(BN$3:BN33),$BK$3:$BK$220,0),1),""))</f>
        <v/>
      </c>
      <c r="BO33" s="259" t="str">
        <f ca="1">IFERROR(INDEX($BI$3:$BJ$220,MATCH(ROWS(BO$3:BO33),$BK$3:$BK$220,0),2),"")</f>
        <v/>
      </c>
      <c r="BP33" s="259">
        <f ca="1">IF(BN33&lt;&gt;"",MAX(BP$2:$BP32)+1,0)</f>
        <v>0</v>
      </c>
      <c r="BQ33" s="259" t="str">
        <f ca="1">IFERROR(INDEX($BN$3:$BO$200,MATCH(ROWS(BQ$3:BQ33),$BP$3:$BP$220,0),1),"")</f>
        <v/>
      </c>
      <c r="BR33" s="259" t="str">
        <f ca="1">IFERROR(INDEX($BN$3:$BO$220,MATCH(ROWS(BR$3:BR33),$BP$3:$BP$220,0),2),"")</f>
        <v/>
      </c>
      <c r="BS33" s="259" t="str">
        <f ca="1">IFERROR(IF(OR(INDEX($T$3:$U$220,MATCH(ROWS(BL$3:BL33),$V$3:$V$220,0),1)="PRELEVAMENTI EXTRAGESTIONE",INDEX($T$3:$U$220,MATCH(ROWS(BL$3:BL33),$V$3:$V$220,0),1)="TITOLARE C/RITENUTE SUBITE"),"",INDEX($T$3:$U$220,MATCH(ROWS(BL$3:BL33),$V$3:$V$220,0),1)),"")</f>
        <v/>
      </c>
      <c r="BT33" s="259">
        <f t="shared" ca="1" si="61"/>
        <v>0</v>
      </c>
      <c r="BU33" s="259">
        <f ca="1">IF(BS33&lt;&gt;"",MAX(BU$2:BU32)+1,0)</f>
        <v>0</v>
      </c>
      <c r="BV33" s="259" t="str">
        <f ca="1">IFERROR(INDEX($BS$3:$BT$223,MATCH(ROWS(BV$3:BV33),$BU$3:$BU$223,0),1),"")</f>
        <v/>
      </c>
      <c r="BW33" s="259">
        <f t="shared" ca="1" si="62"/>
        <v>0</v>
      </c>
      <c r="BX33" s="259" t="str">
        <f t="shared" ca="1" si="63"/>
        <v/>
      </c>
      <c r="BY33" s="259" t="str">
        <f t="shared" ca="1" si="64"/>
        <v/>
      </c>
      <c r="BZ33" s="259" t="str">
        <f ca="1">IFERROR(IF(OR($DS$231&lt;&gt;$DT$231,$DU$231&lt;&gt;$DV$231,$EO$25&lt;&gt;0,$EO$26&lt;&gt;0),INDEX($T$3:$V$220,MATCH(ROWS($BV$3:BV33),$V$3:$V$220,0),1),CONCATENATE(BV33,BY33)),"")</f>
        <v/>
      </c>
      <c r="CA33" s="259">
        <f t="shared" ca="1" si="65"/>
        <v>0</v>
      </c>
      <c r="CB33" s="259" t="str">
        <f ca="1">IFERROR(IF(OR($BB$1&lt;&gt;$BD$1,$BC$1&lt;&gt;$BE$1,$DS$231&lt;&gt;$DT$231,$DU$231&lt;&gt;$DV$231,$EO$25&lt;&gt;0,$EO$26&lt;&gt;0),INDEX($BI$3:$BK$220,MATCH(ROWS($CB$3:CB33),$BK$3:$BK$220,0),1),CONCATENATE(BQ33,BX33)),"")</f>
        <v/>
      </c>
      <c r="CC33" s="259" t="str">
        <f t="shared" ca="1" si="66"/>
        <v/>
      </c>
      <c r="CD33" s="259" t="str">
        <f t="shared" si="6"/>
        <v/>
      </c>
      <c r="CE33" s="259">
        <f ca="1">IF(IFERROR(MATCH(CD33,DENOMINAZIONE_GIORNALE,0),0)&gt;0,MAX(CE$2:CE32)+1,0)</f>
        <v>0</v>
      </c>
      <c r="CF33" s="259" t="str">
        <f ca="1">IFERROR(INDEX($CD$3:$CE$220,MATCH(ROWS($CF$3:CF33),$CE$3:$CE$220,0),1),"")</f>
        <v/>
      </c>
      <c r="CG33" s="259">
        <f t="shared" ca="1" si="7"/>
        <v>0</v>
      </c>
      <c r="CH33" s="259" t="str">
        <f ca="1">IF(IF(CG33&lt;&gt;0,MAX($CH$2:CH32)+1,0)=0,"",IF(CG33&lt;&gt;"",MAX($CH$2:CH32)+1,0))</f>
        <v/>
      </c>
      <c r="CI33" s="259" t="str">
        <f ca="1">IFERROR(INDEX($CF$3:$CG$220,MATCH(ROWS($CI$3:CI33),$CH$3:$CH$220,0),1),"")</f>
        <v/>
      </c>
      <c r="CJ33" s="259" t="str">
        <f t="shared" ca="1" si="67"/>
        <v/>
      </c>
      <c r="CK33" s="259" t="str">
        <f t="shared" si="8"/>
        <v/>
      </c>
      <c r="CL33" s="259">
        <f ca="1">IF(IFERROR(MATCH(CK33,DENOMINAZIONE_GIORNALE,0),0)&gt;0,MAX(CL$2:CL32)+1,0)</f>
        <v>0</v>
      </c>
      <c r="CM33" s="259" t="str">
        <f ca="1">IFERROR(INDEX($CK$3:$CL$220,MATCH(ROWS($CM$3:CM33),$CL$3:$CL$220,0),1),"")</f>
        <v/>
      </c>
      <c r="CN33" s="259" t="str">
        <f t="shared" ca="1" si="9"/>
        <v/>
      </c>
      <c r="CO33" s="259">
        <f ca="1">IF(IF(CN33&lt;&gt;0,MAX($CO$2:CO32)+1,0)=0,"",IF(CN33&lt;&gt;"",MAX($CO$2:CO32)+1,0))</f>
        <v>0</v>
      </c>
      <c r="CP33" s="259" t="str">
        <f ca="1">IFERROR(INDEX($CM$3:$CN$220,MATCH(ROWS(CP$3:CP33),$CO$3:$CO$220,0),1),"")</f>
        <v/>
      </c>
      <c r="CQ33" s="259" t="str">
        <f ca="1">IFERROR(INDEX($CM$3:$CN$220,MATCH(ROWS(CQ$3:CQ33),$CO$3:$CO$220,0),2),"")</f>
        <v/>
      </c>
      <c r="CR33" s="259" t="str">
        <f t="shared" ca="1" si="10"/>
        <v/>
      </c>
      <c r="CS33" s="259">
        <f t="shared" ca="1" si="11"/>
        <v>0</v>
      </c>
      <c r="CT33" s="259">
        <f t="shared" ca="1" si="12"/>
        <v>0</v>
      </c>
      <c r="CU33" s="259">
        <f ca="1">IF(OR(CS33&gt;0,CT33&gt;0),MAX($CU$2:CU32)+1,0)</f>
        <v>0</v>
      </c>
      <c r="CV33" s="259" t="str">
        <f ca="1">IFERROR(INDEX(PIANO_DEI_CONTI,MATCH(ROWS($CV$3:CV33),$CU$3:$CU$200,0),2),"")</f>
        <v/>
      </c>
      <c r="CW33" s="259">
        <f ca="1">IFERROR(IF(CV33&lt;&gt;"",MAX($CW$2:CW32)+1,0),0)</f>
        <v>0</v>
      </c>
      <c r="CX33" s="259">
        <f t="shared" ca="1" si="145"/>
        <v>2</v>
      </c>
      <c r="CY33" s="259" t="str">
        <f t="shared" ca="1" si="144"/>
        <v>MASTRO</v>
      </c>
      <c r="CZ33" s="259" t="e">
        <f t="shared" ca="1" si="147"/>
        <v>#N/A</v>
      </c>
      <c r="DA33" s="259" t="str">
        <f t="shared" ca="1" si="152"/>
        <v/>
      </c>
      <c r="DB33" s="259" t="str">
        <f t="shared" ca="1" si="148"/>
        <v/>
      </c>
      <c r="DC33" s="259" t="str">
        <f t="shared" ca="1" si="149"/>
        <v/>
      </c>
      <c r="DD33" s="259" t="str">
        <f t="shared" ca="1" si="150"/>
        <v/>
      </c>
      <c r="DE33" s="259" t="str">
        <f t="shared" ca="1" si="151"/>
        <v/>
      </c>
      <c r="DF33" s="259">
        <f ca="1">IF(AND(CX33=$DE$2,$DF$2&lt;&gt;0),0,IF(AND(DB33&lt;&gt;"",OR(DB32&lt;&gt;"",DB34&lt;&gt;"")),MAX($DF$2:DF32)+1,0))</f>
        <v>0</v>
      </c>
      <c r="DG33" s="259" t="str">
        <f>IF(OR(VALORI_INIZIALI!E38="",AND(VALORI_INIZIALI!E38&lt;&gt;"",VALORI_INIZIALI!H38=0,VALORI_INIZIALI!I38=0)),"",IFERROR(INDEX(PIANO_DEI_CONTI,MATCH(BB33,DENOMINAZIONE,0),1),0))</f>
        <v/>
      </c>
      <c r="DH33" s="259">
        <f ca="1">IFERROR(IF($J$1=1,IF(INDEX(PIANO_DEI_CONTI,MATCH($K33,DENOMINAZIONE,0),5)=$DF$1,MAX($DH$2:DH32)+1,0),IF($J$1=2,IF(INDEX(PIANO_DEI_CONTI,MATCH($K33,DENOMINAZIONE,0),7)=$DF$1,MAX($DH$2:DH32)+1,0))),0)</f>
        <v>0</v>
      </c>
      <c r="DI33" s="259">
        <f ca="1">IFERROR(INDEX($K$3:$K$220,MATCH(ROWS($DI$3:DI33),$DH$3:$DH$220,0),1),0)</f>
        <v>0</v>
      </c>
      <c r="DJ33" s="259">
        <f t="shared" ca="1" si="14"/>
        <v>0</v>
      </c>
      <c r="DK33" s="259">
        <f ca="1">IF(DJ33=0,0,MAX(DK$2:DK32)+1)</f>
        <v>0</v>
      </c>
      <c r="DL33" s="259">
        <f ca="1">IFERROR(INDEX(PIANO_DEI_CONTI,MATCH(ROWS(DL$3:DL33),$DK$3:DK260,0),2),0)</f>
        <v>0</v>
      </c>
      <c r="DM33" s="259">
        <f t="shared" ca="1" si="15"/>
        <v>0</v>
      </c>
      <c r="DN33" s="259">
        <f t="shared" ca="1" si="16"/>
        <v>0</v>
      </c>
      <c r="DO33" s="259">
        <f t="shared" ca="1" si="69"/>
        <v>0</v>
      </c>
      <c r="DP33" s="259">
        <f t="shared" ca="1" si="70"/>
        <v>0</v>
      </c>
      <c r="DQ33" s="259">
        <f ca="1">IF(OR($DQ$1="TOTALI",$DQ$1="TOTALI ED ECCEDENZE"),IF(OR(DM33&gt;0,DN33&gt;0),MAX(DQ$2:DQ32)+1,0),IF($DQ$1="ECCEDENZE",IF(OR(DO33&gt;0,DP33&gt;0),MAX(DQ$2:DQ32)+1,0),""))</f>
        <v>0</v>
      </c>
      <c r="DR33" s="259" t="str">
        <f ca="1">IFERROR(INDEX($DL$3:$DQ$230,MATCH(ROWS(DR$3:DR33),$DQ$3:$DQ$230,0),1),"")</f>
        <v/>
      </c>
      <c r="DS33" s="259" t="str">
        <f t="shared" ca="1" si="71"/>
        <v/>
      </c>
      <c r="DT33" s="259" t="str">
        <f t="shared" ca="1" si="72"/>
        <v/>
      </c>
      <c r="DU33" s="259" t="str">
        <f t="shared" ca="1" si="73"/>
        <v/>
      </c>
      <c r="DV33" s="259" t="str">
        <f t="shared" ca="1" si="74"/>
        <v/>
      </c>
      <c r="DW33" s="259">
        <f t="shared" ca="1" si="75"/>
        <v>0</v>
      </c>
      <c r="DX33" s="259" t="str">
        <f t="shared" ca="1" si="76"/>
        <v/>
      </c>
      <c r="DY33" s="259" t="str">
        <f t="shared" ca="1" si="77"/>
        <v/>
      </c>
      <c r="DZ33" s="259" t="str">
        <f t="shared" ca="1" si="78"/>
        <v/>
      </c>
      <c r="EA33" s="259">
        <f t="shared" ca="1" si="79"/>
        <v>31</v>
      </c>
      <c r="EB33" s="259" t="s">
        <v>353</v>
      </c>
      <c r="ED33" s="259">
        <f t="shared" ca="1" si="17"/>
        <v>0</v>
      </c>
      <c r="EE33" s="259" t="str">
        <f t="shared" ca="1" si="18"/>
        <v/>
      </c>
      <c r="EF33" s="259" t="str">
        <f t="shared" ca="1" si="19"/>
        <v/>
      </c>
      <c r="EG33" s="259" t="str">
        <f t="shared" ca="1" si="136"/>
        <v/>
      </c>
      <c r="EH33" s="259" t="str">
        <f t="shared" ca="1" si="80"/>
        <v/>
      </c>
      <c r="EI33" s="260" t="b">
        <f t="shared" ca="1" si="137"/>
        <v>1</v>
      </c>
      <c r="EJ33" s="260" t="b">
        <f t="shared" ca="1" si="138"/>
        <v>1</v>
      </c>
      <c r="EK33" s="260" t="b">
        <f t="shared" ca="1" si="139"/>
        <v>1</v>
      </c>
      <c r="EL33" s="259">
        <f t="shared" si="81"/>
        <v>31</v>
      </c>
      <c r="EM33" s="259">
        <f ca="1">IF(AND(BA33&gt;0,BA33&lt;=$EM$1),MAX($EM$2:EM32)+1,0)</f>
        <v>0</v>
      </c>
      <c r="EN33" s="259">
        <f t="shared" ca="1" si="82"/>
        <v>33</v>
      </c>
      <c r="EP33" s="259" t="str">
        <f t="shared" ca="1" si="20"/>
        <v/>
      </c>
      <c r="EQ33" s="259">
        <f t="shared" ca="1" si="21"/>
        <v>0</v>
      </c>
      <c r="ER33" s="259">
        <f ca="1">IF(ISNA(EQ33),MAX(ER$2:ER32)+1,0)</f>
        <v>0</v>
      </c>
      <c r="ES33" s="259" t="str">
        <f t="shared" ca="1" si="83"/>
        <v/>
      </c>
      <c r="ET33" s="259" t="str">
        <f ca="1">IFERROR(UPPER(INDEX($ER$3:$ES$500,MATCH(ROWS(ET$3:ET33),$ER$3:$ER$500,0),2)),"")</f>
        <v/>
      </c>
      <c r="EY33" s="259">
        <f t="shared" ca="1" si="84"/>
        <v>0</v>
      </c>
      <c r="EZ33" s="259">
        <f t="shared" ca="1" si="84"/>
        <v>0</v>
      </c>
      <c r="FA33" s="259" t="str">
        <f t="shared" ca="1" si="85"/>
        <v/>
      </c>
      <c r="FB33" s="259">
        <f t="shared" ca="1" si="86"/>
        <v>0</v>
      </c>
      <c r="FC33" s="259">
        <f t="shared" ca="1" si="87"/>
        <v>0</v>
      </c>
      <c r="FD33" s="259">
        <f t="shared" ca="1" si="22"/>
        <v>0</v>
      </c>
      <c r="FE33" s="259" t="str">
        <f t="shared" ca="1" si="23"/>
        <v/>
      </c>
      <c r="FF33" s="259" t="str">
        <f t="shared" ca="1" si="88"/>
        <v/>
      </c>
      <c r="FG33" s="259" t="str">
        <f t="shared" si="89"/>
        <v>CREDITI COMMERCIALI DIVERSI</v>
      </c>
      <c r="FH33" s="259">
        <f t="shared" ca="1" si="24"/>
        <v>0</v>
      </c>
      <c r="FI33" s="259">
        <f t="shared" ca="1" si="25"/>
        <v>0</v>
      </c>
      <c r="FJ33" s="259">
        <f t="shared" ca="1" si="90"/>
        <v>0</v>
      </c>
      <c r="FK33" s="259">
        <f t="shared" ca="1" si="91"/>
        <v>0</v>
      </c>
      <c r="FL33" s="259">
        <f ca="1">IF(OR(FJ33&gt;0,FK33&gt;0),MAX($FL$2:FL32)+1,0)</f>
        <v>0</v>
      </c>
      <c r="FM33" s="259">
        <f t="shared" ca="1" si="26"/>
        <v>0</v>
      </c>
      <c r="FN33" s="259">
        <f ca="1">IF(FM33&lt;0,MAX($FN$2:FN32)+1,0)</f>
        <v>0</v>
      </c>
      <c r="FO33" s="259" t="str">
        <f t="shared" ca="1" si="92"/>
        <v/>
      </c>
      <c r="FP33" s="259" t="str">
        <f ca="1">IFERROR(INDEX($FN$3:$FO$400,MATCH(ROWS($FP$3:FP33),$FN$3:$FN$400,0),2),"")</f>
        <v/>
      </c>
      <c r="FQ33" s="259" t="str">
        <f>IF(AE33="SE AVERE",MAX($FQ$2:FQ32)+1,"")</f>
        <v/>
      </c>
      <c r="FR33" s="259" t="str">
        <f>IF(AE33="SE DARE",MAX($FR$2:FR32)+1,"")</f>
        <v/>
      </c>
      <c r="FS33" s="259">
        <f ca="1">IF(AND(AE33="SP DARE",AA33&lt;&gt;$FS$1,AA33&lt;&gt;$FT$1),MAX($FS$2:FS32)+1,IF(AND(GQ33="SP DARE",AA33&lt;&gt;$FS$1,AA33&lt;&gt;$FT$1),MAX($FS$2:FS32)+1,""))</f>
        <v>109</v>
      </c>
      <c r="FT33" s="259" t="str">
        <f ca="1">IF(AND(AE33="SP AVERE",AA33&lt;&gt;$FU$1),MAX($FT$2:FT32)+1,IF(AND(GQ33="SP AVERE",AA33&lt;&gt;$FU$1),MAX($FT$2:FT32)+1,""))</f>
        <v/>
      </c>
      <c r="FU33" s="259">
        <f t="shared" ca="1" si="93"/>
        <v>109</v>
      </c>
      <c r="FV33" s="259" t="str">
        <f t="shared" si="94"/>
        <v>CREDITI COMMERCIALI DIVERSI</v>
      </c>
      <c r="FW33" s="259" t="str">
        <f ca="1">IFERROR(INDEX($FU$3:$FV$500,MATCH(ROWS($FW$3:FW33),$FU$3:$FU$500,0),2),0)</f>
        <v>CONSULENZE</v>
      </c>
      <c r="FX33" s="259">
        <f t="shared" ca="1" si="95"/>
        <v>31</v>
      </c>
      <c r="FY33" s="259">
        <f t="shared" ca="1" si="96"/>
        <v>0</v>
      </c>
      <c r="FZ33" s="259">
        <f ca="1">IF(FY33&gt;0,MAX($FZ$2:FZ32)+1,0)</f>
        <v>0</v>
      </c>
      <c r="GA33" s="259">
        <f ca="1">IFERROR(INDEX($FY$3:$FZ$500,MATCH(ROWS($GA$3:GA33),$FZ$3:$FZ$500,0),1),0)</f>
        <v>0</v>
      </c>
      <c r="GC33" s="259">
        <f t="shared" ca="1" si="97"/>
        <v>31</v>
      </c>
      <c r="GD33" s="259" t="str">
        <f t="shared" ca="1" si="98"/>
        <v>CONSULENZE</v>
      </c>
      <c r="GG33" s="259">
        <f t="shared" ca="1" si="27"/>
        <v>0</v>
      </c>
      <c r="GH33" s="259">
        <f t="shared" ca="1" si="99"/>
        <v>0</v>
      </c>
      <c r="GI33" s="259">
        <f t="shared" ca="1" si="100"/>
        <v>0</v>
      </c>
      <c r="GJ33" s="259">
        <f t="shared" ca="1" si="101"/>
        <v>0</v>
      </c>
      <c r="GK33" s="259">
        <f t="shared" ca="1" si="102"/>
        <v>0</v>
      </c>
      <c r="GL33" s="259">
        <f t="shared" ca="1" si="103"/>
        <v>0</v>
      </c>
      <c r="GM33" s="259">
        <f ca="1">IF(OR(GK33&gt;0,GL33&gt;0),MAX($GM$2:GM32)+1,0)</f>
        <v>0</v>
      </c>
      <c r="GN33" s="259" t="str">
        <f ca="1">IFERROR(INDEX($GD$3:$GM$400,MATCH(ROWS($GN$3:GN33),$GM$3:$GM$400,0),1),"")</f>
        <v/>
      </c>
      <c r="GO33" s="259" t="str">
        <f ca="1">IFERROR(INDEX($GD$3:$GM$400,MATCH(ROWS($GO$3:GO33),$GM$3:$GM$400,0),8),"")</f>
        <v/>
      </c>
      <c r="GP33" s="259" t="str">
        <f ca="1">IFERROR(INDEX($GD$3:$GM$400,MATCH(ROWS($GP$3:GP33),$GM$3:$GM$400,0),9),"")</f>
        <v/>
      </c>
      <c r="GQ33" s="259">
        <f t="shared" ca="1" si="28"/>
        <v>0</v>
      </c>
      <c r="GR33" s="259">
        <f t="shared" ca="1" si="104"/>
        <v>0</v>
      </c>
      <c r="GS33" s="259" t="str">
        <f t="shared" si="105"/>
        <v>epilogo a Conto economico</v>
      </c>
      <c r="GT33" s="259" t="str">
        <f ca="1">IFERROR(INDEX($GD$3:$GS$400,MATCH(ROWS($GT$3:GT33),$GM$3:$GM$400,0),16),"")</f>
        <v/>
      </c>
      <c r="GU33" s="259">
        <f ca="1">IF(GQ33&lt;&gt;0,MAX($GU$2:$GU32)+1,0)</f>
        <v>0</v>
      </c>
      <c r="GV33" s="259">
        <f t="shared" ca="1" si="106"/>
        <v>0</v>
      </c>
      <c r="GW33" s="259" t="str">
        <f ca="1">IF(AND(IFERROR(INDEX($GU$3:$GV$400,MATCH(ROWS($GW$3:GW33),$GU$3:$GU$400,0),2),"")&lt;&gt;"",GW34&lt;&gt;""),CONCATENATE(IFERROR(INDEX($GU$3:$GV$400,MATCH(ROWS($GW$3:GW33),$GU$3:$GU$400,0),2),"")," - "),IFERROR(INDEX($GU$3:$GV$400,MATCH(ROWS($GW$3:GW33),$GU$3:$GU$400,0),2),""))</f>
        <v/>
      </c>
      <c r="GX33" s="259">
        <f ca="1">IF(OR(GN33="IVA NS/CREDITO",GN33="IVA NS/DEBITO",GN33="IVA C/ACCONTO",GN33="IMPOSTE C/ACCONTO"),MAX($GX$2:GX32)+1,0)</f>
        <v>0</v>
      </c>
      <c r="GY33" s="259" t="str">
        <f ca="1">IF(AND(IFERROR(INDEX($GN$3:$GX$200,MATCH(ROWS($GY$3:GY33),$GX$3:$GX$200,0),1),"")&lt;&gt;"",GY34&lt;&gt;""),CONCATENATE(IFERROR(INDEX($GN$3:$GX$200,MATCH(ROWS($GY$3:GY33),$GX$3:$GX$200,0),1),"")," - "),IFERROR(INDEX($GN$3:$GX$200,MATCH(ROWS($GY$3:GY33),$GX$3:$GX$200,0),1),""))</f>
        <v/>
      </c>
      <c r="GZ33" s="259" t="s">
        <v>505</v>
      </c>
      <c r="HA33" s="259" t="s">
        <v>506</v>
      </c>
      <c r="HB33" s="269" t="s">
        <v>256</v>
      </c>
      <c r="HC33" s="269" t="s">
        <v>276</v>
      </c>
      <c r="HD33" s="269" t="s">
        <v>14</v>
      </c>
      <c r="HE33" s="269" t="s">
        <v>206</v>
      </c>
      <c r="HL33" s="259" t="str">
        <f t="shared" ca="1" si="29"/>
        <v/>
      </c>
      <c r="HM33" s="259" t="str">
        <f t="shared" ca="1" si="30"/>
        <v/>
      </c>
      <c r="HN33" s="259" t="str">
        <f t="shared" ca="1" si="31"/>
        <v/>
      </c>
      <c r="HO33" s="259">
        <f ca="1">IF(HL33&lt;&gt;"",MAX($HO$2:HO32)+1,0)</f>
        <v>0</v>
      </c>
      <c r="HP33" s="259">
        <f ca="1">IF(HM33&lt;&gt;"",MAX($HP$2:HP32)+1,0)</f>
        <v>0</v>
      </c>
      <c r="HQ33" s="259">
        <f ca="1">IF(HN33&lt;&gt;"",MAX($HQ$2:HQ32)+1,0)</f>
        <v>0</v>
      </c>
      <c r="HR33" s="259" t="str">
        <f t="shared" ca="1" si="107"/>
        <v/>
      </c>
      <c r="HS33" s="259" t="str">
        <f t="shared" ca="1" si="108"/>
        <v/>
      </c>
      <c r="HT33" s="259">
        <f t="shared" ca="1" si="109"/>
        <v>0</v>
      </c>
      <c r="HU33" s="259">
        <f t="shared" ca="1" si="110"/>
        <v>0</v>
      </c>
      <c r="HV33" s="259" t="str">
        <f ca="1">CONCATENATE(IFERROR(INDEX($HS$3:$HT$102,MATCH(ROWS($HV$3:HV33),$HT$3:$HT$102,0),1),""),HR33)</f>
        <v/>
      </c>
      <c r="IA33" s="259" t="s">
        <v>362</v>
      </c>
      <c r="IB33" s="259" t="s">
        <v>299</v>
      </c>
      <c r="IC33" s="259">
        <f ca="1">IFERROR(INDEX(PIANO_DEI_CONTI,MATCH(ROWS(DL$3:DL33),$DK$3:DK260,0),2),0)</f>
        <v>0</v>
      </c>
      <c r="ID33" s="259">
        <f t="shared" ca="1" si="111"/>
        <v>0</v>
      </c>
      <c r="IE33" s="259">
        <f t="shared" ca="1" si="112"/>
        <v>0</v>
      </c>
      <c r="IF33" s="259">
        <f t="shared" ca="1" si="113"/>
        <v>0</v>
      </c>
      <c r="IG33" s="259">
        <f ca="1">IF(SUMIFS($ID$3:$ID$200,$IF$3:$IF$200,IA33)&lt;=SUMIFS($IE$3:$IE$200,$IF$3:$IF$200,IA33),SUMIFS($IE$3:$IE$200,$IF$3:$IF$200,IA33)-SUMIFS($ID$3:$ID$200,$IF$3:$IF$200,IA33),0)</f>
        <v>0</v>
      </c>
      <c r="IH33" s="259">
        <f ca="1">IF(IG33&lt;&gt;0,MAX($IH$19:IH32)+1,0)</f>
        <v>0</v>
      </c>
      <c r="II33" s="259">
        <f>IF(AD33="costi pluriennali",MAX($II$2:II32)+1,0)</f>
        <v>0</v>
      </c>
      <c r="IJ33" s="259">
        <f>IF($AD33="rettifiche costi pluriennali",MAX($IJ$2:IJ32)+1,0)</f>
        <v>0</v>
      </c>
      <c r="IK33" s="259">
        <f t="shared" si="114"/>
        <v>0</v>
      </c>
      <c r="IL33" s="259" t="str">
        <f t="shared" si="115"/>
        <v/>
      </c>
      <c r="IM33" s="259">
        <f t="shared" ca="1" si="116"/>
        <v>0</v>
      </c>
      <c r="IN33" s="259">
        <f t="shared" ca="1" si="141"/>
        <v>0</v>
      </c>
      <c r="IO33" s="259">
        <f>SUMIFS($IM$3:$IM$200,$IK$3:$IK$200,ROWS($IO$3:IO33))-SUMIFS($IN$3:$IN$200,$IK$3:$IK$200,ROWS($IO$3:IO33))</f>
        <v>0</v>
      </c>
      <c r="IP33" s="259" t="str">
        <f>IF(IO33&lt;0,INDEX($IJ$3:$IL$200,MATCH(ROWS($IP$3:IP33),$IJ$3:$IJ$200,0),3),"")</f>
        <v/>
      </c>
      <c r="IQ33" s="259">
        <f>IF(IP33&lt;&gt;"",MAX($IQ$2:IQ32)+1,0)</f>
        <v>0</v>
      </c>
      <c r="IR33" s="259" t="str">
        <f ca="1">IFERROR(INDEX($IP$3:$IQ$200,MATCH(ROWS($IR$3:IR33),$IQ$3:$IQ$200,0),1),"")</f>
        <v/>
      </c>
      <c r="IS33" s="259" t="str">
        <f t="shared" ca="1" si="117"/>
        <v/>
      </c>
      <c r="IT33" s="259" t="str">
        <f t="shared" ca="1" si="118"/>
        <v/>
      </c>
      <c r="IU33" s="259" t="str">
        <f t="shared" ca="1" si="119"/>
        <v/>
      </c>
      <c r="IV33" s="259" t="str">
        <f t="shared" ca="1" si="120"/>
        <v/>
      </c>
      <c r="IW33" s="259" t="str">
        <f t="shared" ca="1" si="121"/>
        <v/>
      </c>
      <c r="IX33" s="259" t="str">
        <f t="shared" ca="1" si="122"/>
        <v/>
      </c>
      <c r="IY33" s="259" t="str">
        <f t="shared" ca="1" si="123"/>
        <v/>
      </c>
      <c r="IZ33" s="259" t="str">
        <f t="shared" ca="1" si="124"/>
        <v/>
      </c>
      <c r="JA33" s="259" t="str">
        <f t="shared" ca="1" si="125"/>
        <v/>
      </c>
      <c r="JB33" s="259">
        <f t="shared" ca="1" si="32"/>
        <v>0</v>
      </c>
      <c r="JC33" s="259">
        <f t="shared" ca="1" si="126"/>
        <v>0</v>
      </c>
      <c r="JE33" s="259">
        <f ca="1">IFERROR(INDEX(LIBRO_GIORNALE!$N$11:$O$408,MATCH(ROWS($JE$2:JE32),LIBRO_GIORNALE!$O$11:$O$408,0),1),0)</f>
        <v>0</v>
      </c>
      <c r="JF33" s="259" t="str">
        <f t="shared" ca="1" si="127"/>
        <v>0</v>
      </c>
      <c r="JG33" s="259">
        <f t="shared" ca="1" si="128"/>
        <v>0</v>
      </c>
      <c r="JH33" s="259">
        <f ca="1">IF(JJ33&gt;0,0,MAX($JH$2:JH32)+1)</f>
        <v>31</v>
      </c>
      <c r="JI33" s="259">
        <f ca="1">IF(JG33&gt;0,MAX($JI$2:JI32)+1,0)</f>
        <v>0</v>
      </c>
      <c r="JJ33" s="259">
        <f ca="1">IFERROR(INDEX($JG$3:$JI$124,MATCH(ROWS($JJ$3:JJ33),$JI$3:$JI$124,0),1),0)</f>
        <v>0</v>
      </c>
      <c r="JK33" s="259">
        <f t="shared" ca="1" si="129"/>
        <v>0</v>
      </c>
      <c r="JL33" s="259">
        <f t="shared" ca="1" si="130"/>
        <v>31</v>
      </c>
      <c r="JM33" s="259">
        <v>30</v>
      </c>
    </row>
    <row r="34" spans="1:273">
      <c r="A34" s="259" t="str">
        <f t="shared" si="33"/>
        <v>04.10</v>
      </c>
      <c r="B34" s="259" t="str">
        <f t="shared" si="34"/>
        <v>FORNITORI C/ACCONTI</v>
      </c>
      <c r="C34" s="259" t="str">
        <f t="shared" si="35"/>
        <v>F</v>
      </c>
      <c r="D34" s="259" t="str">
        <f t="shared" si="36"/>
        <v>D</v>
      </c>
      <c r="E34" s="259" t="str">
        <f t="shared" si="37"/>
        <v>CREDITI</v>
      </c>
      <c r="F34" s="259" t="str">
        <f t="shared" si="38"/>
        <v>SP DARE</v>
      </c>
      <c r="G34" s="259">
        <f t="shared" ca="1" si="39"/>
        <v>1</v>
      </c>
      <c r="H34" s="259">
        <f t="shared" ca="1" si="40"/>
        <v>1</v>
      </c>
      <c r="I34" s="259">
        <f t="shared" ca="1" si="41"/>
        <v>1</v>
      </c>
      <c r="J34" s="259">
        <v>31</v>
      </c>
      <c r="K34" s="259" t="str">
        <f ca="1">IFERROR(IF($I$1=1,INDEX($AA$3:$AS$220,MATCH(ROWS($K$3:K34),$AQ$3:$AQ$220,0),1),IF($I$1=2,INDEX($AA$3:$AS$220,MATCH(ROWS($K$3:K34),$AR$3:$AR$220,0),1),IF($I$1=3,INDEX($AA$3:$AS$220,MATCH(ROWS($K$3:K34),$AS$3:$AS$220,0),1),""))),"")</f>
        <v>CLIENTI C/COSTI ANTICIPATI</v>
      </c>
      <c r="L34" s="259">
        <f ca="1">IF(AND($L$1="VISUALIZZA TUTTI I CONTI",K34&lt;&gt;""),MAX(L33:L33)+1,IFERROR(IF($J$1=1,IF(INDEX(PIANO_DEI_CONTI,MATCH($K34,DENOMINAZIONE,0),5)=$L$1,MAX($L$2:L33)+1,0),IF($J$1=2,IF(INDEX(PIANO_DEI_CONTI,MATCH($K34,DENOMINAZIONE,0),7)=$L$1,MAX($L$2:L33)+1,0))),0))</f>
        <v>32</v>
      </c>
      <c r="M34" s="259" t="str">
        <f ca="1">IFERROR(INDEX($K$3:$K$220,MATCH(ROWS($M$3:M34),$L$3:$L$220,0),1),"")</f>
        <v>CLIENTI C/COSTI ANTICIPATI</v>
      </c>
      <c r="N34" s="259" t="str">
        <f t="shared" si="143"/>
        <v>CONTI TRANSITORI E DIVERSI</v>
      </c>
      <c r="O34" s="259" t="str">
        <f t="shared" ca="1" si="142"/>
        <v>CONTI TRANSITORI E DIVERSI</v>
      </c>
      <c r="P34" s="259">
        <f ca="1">IF(AND(N34=O34,O34&lt;&gt;""),MAX(P$2:P33)+1,0)</f>
        <v>17</v>
      </c>
      <c r="Q34" s="259" t="str">
        <f ca="1">IF(IFERROR(INDEX($O$3:$P$220,MATCH(ROWS(Q$3:Q34),$P$3:$P$220,0),1),"")=0,"",IFERROR(INDEX($O$3:$P$220,MATCH(ROWS(Q$3:Q34),$P$3:$P$220,0),1),""))</f>
        <v/>
      </c>
      <c r="R34" s="259" t="str">
        <f t="shared" si="1"/>
        <v>CLIENTI C/COSTI ANTICIPATI</v>
      </c>
      <c r="S34" s="259">
        <f ca="1">IF(IFERROR(MATCH(R34,DENOMINAZIONE_GIORNALE,0),0)&gt;0,MAX(S$2:S33)+1,0)</f>
        <v>0</v>
      </c>
      <c r="T34" s="259" t="str">
        <f ca="1">IFERROR(INDEX($R$3:$S$220,MATCH(ROWS($T$3:T34),$S$3:$S$220,0),1),"")</f>
        <v/>
      </c>
      <c r="U34" s="259">
        <f t="shared" ca="1" si="2"/>
        <v>0</v>
      </c>
      <c r="V34" s="259">
        <f ca="1">IF(IF(U34&lt;&gt;0,MAX($V$2:V33)+1,0)=0,0,IF(U34&lt;&gt;0,MAX($V$2:V33)+1,0))</f>
        <v>0</v>
      </c>
      <c r="W34" s="259" t="str">
        <f t="shared" si="43"/>
        <v>04.10</v>
      </c>
      <c r="X34" s="259" t="str">
        <f t="shared" si="44"/>
        <v>FORNITORI C/ACCONTI</v>
      </c>
      <c r="Y34" s="259">
        <f>IF(W34="",0,MAX($Y$2:Y33)+1)</f>
        <v>28</v>
      </c>
      <c r="Z34" s="259" t="str">
        <f>IFERROR(INDEX($W$3:$Y$220,MATCH(ROWS($Z$2:Z33),$Y$3:$Y$220,0),1),"")</f>
        <v>05.05</v>
      </c>
      <c r="AA34" s="259" t="str">
        <f t="shared" si="45"/>
        <v>CLIENTI C/COSTI ANTICIPATI</v>
      </c>
      <c r="AB34" s="259" t="str">
        <f t="shared" si="46"/>
        <v>F</v>
      </c>
      <c r="AC34" s="259" t="str">
        <f t="shared" si="47"/>
        <v>D</v>
      </c>
      <c r="AD34" s="259" t="str">
        <f t="shared" si="48"/>
        <v>CREDITI</v>
      </c>
      <c r="AE34" s="259" t="str">
        <f t="shared" si="49"/>
        <v>SP DARE</v>
      </c>
      <c r="AF34" s="259" t="str">
        <f t="shared" si="50"/>
        <v>CREDITI COMMERCIALI</v>
      </c>
      <c r="AG34" s="259">
        <f t="shared" ca="1" si="51"/>
        <v>1</v>
      </c>
      <c r="AH34" s="259">
        <f t="shared" ca="1" si="52"/>
        <v>1</v>
      </c>
      <c r="AI34" s="259">
        <f t="shared" ca="1" si="53"/>
        <v>1</v>
      </c>
      <c r="AJ34" s="259" t="str">
        <f t="shared" si="54"/>
        <v>05</v>
      </c>
      <c r="AK34" s="259" t="str">
        <f t="shared" si="55"/>
        <v/>
      </c>
      <c r="AL34" s="259">
        <f>IF(AK34&lt;&gt;"",MAX($AL$2:AL33)+1,0)</f>
        <v>0</v>
      </c>
      <c r="AM34" s="259" t="str">
        <f>IFERROR(INDEX($AK$3:$AL$220,MATCH(ROWS($AM$3:AM34),$AL$3:$AL$220,0),1),"")</f>
        <v/>
      </c>
      <c r="AN34" s="259" t="str">
        <f t="shared" si="56"/>
        <v/>
      </c>
      <c r="AO34" s="259" t="str">
        <f t="shared" si="57"/>
        <v/>
      </c>
      <c r="AP34" s="259" t="str">
        <f t="shared" si="58"/>
        <v>CREDITI COMMERCIALI</v>
      </c>
      <c r="AQ34" s="259">
        <f ca="1">IF(OR(AG34=0,AG34=""),0,MAX(AQ$2:AQ33)+1)</f>
        <v>18</v>
      </c>
      <c r="AR34" s="259">
        <f ca="1">IF(OR(AH34=0,AH34=""),0,MAX(AR$2:AR33)+1)</f>
        <v>28</v>
      </c>
      <c r="AS34" s="259">
        <f ca="1">IF(OR(AI34=0,AI34=""),0,MAX(AS$2:AS33)+1)</f>
        <v>32</v>
      </c>
      <c r="AT34" s="259" t="str">
        <f ca="1">IFERROR(INDEX($AD$3:$AS$220,MATCH(ROWS(AT$3:AT34),AQ$3:AQ$220,0),1),"")</f>
        <v>DEBITI</v>
      </c>
      <c r="AU34" s="259" t="str">
        <f ca="1">IFERROR(INDEX($AD$3:$AS$220,MATCH(ROWS(AU$3:AU34),AR$3:AR$220,0),1),"")</f>
        <v>CREDITI</v>
      </c>
      <c r="AV34" s="259" t="str">
        <f ca="1">IFERROR(INDEX($AD$3:$AS$220,MATCH(ROWS(AV$3:AV34),AS$3:AS$220,0),1),"")</f>
        <v>CREDITI</v>
      </c>
      <c r="AW34" s="259" t="str">
        <f ca="1">IFERROR(INDEX($AP$3:$AS$220,MATCH(ROWS(AW$3:AW34),AQ$3:AQ$220,0),1),"")</f>
        <v>DEBITI FINANZIARI</v>
      </c>
      <c r="AX34" s="259" t="str">
        <f ca="1">IFERROR(INDEX($AP$3:$AS$220,MATCH(ROWS(AX$3:AX34),AR$3:AR$220,0),1),"")</f>
        <v>CREDITI COMMERCIALI</v>
      </c>
      <c r="AY34" s="259" t="str">
        <f ca="1">IFERROR(INDEX($AP$3:$AS$220,MATCH(ROWS(AY$3:AY34),AS$3:AS$220,0),1),"")</f>
        <v>CREDITI COMMERCIALI</v>
      </c>
      <c r="AZ34" s="276" t="str">
        <f t="shared" ca="1" si="59"/>
        <v/>
      </c>
      <c r="BA34" s="259">
        <f t="shared" ca="1" si="3"/>
        <v>0</v>
      </c>
      <c r="BB34" s="259">
        <f ca="1">IFERROR(INDEX($FG$3:$FL$400,MATCH(ROWS($BB$3:BB34),$FL$3:$FL$400,0),1),0)</f>
        <v>0</v>
      </c>
      <c r="BC34" s="259" t="str">
        <f t="shared" ca="1" si="60"/>
        <v/>
      </c>
      <c r="BD34" s="259">
        <f ca="1">IFERROR(INDEX($FG$3:$FL$400,MATCH(ROWS($BD$3:BD34),$FL$3:$FL$400,0),4),0)</f>
        <v>0</v>
      </c>
      <c r="BE34" s="259">
        <f ca="1">IFERROR(INDEX($FG$3:$FL$400,MATCH(ROWS($BE$3:BE34),$FL$3:$FL$400,0),5),0)</f>
        <v>0</v>
      </c>
      <c r="BG34" s="259" t="str">
        <f t="shared" si="4"/>
        <v/>
      </c>
      <c r="BH34" s="259">
        <f ca="1">IF(IFERROR(MATCH(BG34,DENOMINAZIONE_GIORNALE,0),0)&gt;0,MAX(BH$2:BH33)+1,0)</f>
        <v>0</v>
      </c>
      <c r="BI34" s="259" t="str">
        <f ca="1">IFERROR(INDEX($BG$3:$BH$220,MATCH(ROWS($BI$3:BI34),$BH$3:$BH$220,0),1),"")</f>
        <v/>
      </c>
      <c r="BJ34" s="259" t="str">
        <f t="shared" ca="1" si="5"/>
        <v/>
      </c>
      <c r="BK34" s="259" t="str">
        <f ca="1">IF(IF(BJ34&lt;&gt;"",MAX($BK$2:BK33)+1,0)=0,"",IF(BJ34&lt;&gt;"",MAX($BK$2:BK33)+1,0))</f>
        <v/>
      </c>
      <c r="BL34" s="259" t="str">
        <f ca="1">IFERROR(INDEX($T$3:$U$220, MATCH(ROWS(BL$3:BL34),$V$3:$V$220,0),1),"")</f>
        <v/>
      </c>
      <c r="BM34" s="259" t="str">
        <f ca="1">IFERROR(INDEX($T$3:$U$220, MATCH(ROWS(BM$3:BM34),$V$3:$V$220,0),2),"")</f>
        <v/>
      </c>
      <c r="BN34" s="259" t="str">
        <f ca="1">IF(IFERROR(INDEX($BI$3:$BJ$220,MATCH(ROWS(BN$3:BN34),$BK$3:$BK$220,0),1),"")="PATRIMONIO NETTO","",IFERROR(INDEX($BI$3:$BJ$220,MATCH(ROWS(BN$3:BN34),$BK$3:$BK$220,0),1),""))</f>
        <v/>
      </c>
      <c r="BO34" s="259" t="str">
        <f ca="1">IFERROR(INDEX($BI$3:$BJ$220,MATCH(ROWS(BO$3:BO34),$BK$3:$BK$220,0),2),"")</f>
        <v/>
      </c>
      <c r="BP34" s="259">
        <f ca="1">IF(BN34&lt;&gt;"",MAX(BP$2:$BP33)+1,0)</f>
        <v>0</v>
      </c>
      <c r="BQ34" s="259" t="str">
        <f ca="1">IFERROR(INDEX($BN$3:$BO$200,MATCH(ROWS(BQ$3:BQ34),$BP$3:$BP$220,0),1),"")</f>
        <v/>
      </c>
      <c r="BR34" s="259" t="str">
        <f ca="1">IFERROR(INDEX($BN$3:$BO$220,MATCH(ROWS(BR$3:BR34),$BP$3:$BP$220,0),2),"")</f>
        <v/>
      </c>
      <c r="BS34" s="259" t="str">
        <f ca="1">IFERROR(IF(OR(INDEX($T$3:$U$220,MATCH(ROWS(BL$3:BL34),$V$3:$V$220,0),1)="PRELEVAMENTI EXTRAGESTIONE",INDEX($T$3:$U$220,MATCH(ROWS(BL$3:BL34),$V$3:$V$220,0),1)="TITOLARE C/RITENUTE SUBITE"),"",INDEX($T$3:$U$220,MATCH(ROWS(BL$3:BL34),$V$3:$V$220,0),1)),"")</f>
        <v/>
      </c>
      <c r="BT34" s="259">
        <f t="shared" ca="1" si="61"/>
        <v>0</v>
      </c>
      <c r="BU34" s="259">
        <f ca="1">IF(BS34&lt;&gt;"",MAX(BU$2:BU33)+1,0)</f>
        <v>0</v>
      </c>
      <c r="BV34" s="259" t="str">
        <f ca="1">IFERROR(INDEX($BS$3:$BT$223,MATCH(ROWS(BV$3:BV34),$BU$3:$BU$223,0),1),"")</f>
        <v/>
      </c>
      <c r="BW34" s="259">
        <f t="shared" ca="1" si="62"/>
        <v>0</v>
      </c>
      <c r="BX34" s="259" t="str">
        <f t="shared" ca="1" si="63"/>
        <v/>
      </c>
      <c r="BY34" s="259" t="str">
        <f t="shared" ca="1" si="64"/>
        <v/>
      </c>
      <c r="BZ34" s="259" t="str">
        <f ca="1">IFERROR(IF(OR($DS$231&lt;&gt;$DT$231,$DU$231&lt;&gt;$DV$231,$EO$25&lt;&gt;0,$EO$26&lt;&gt;0),INDEX($T$3:$V$220,MATCH(ROWS($BV$3:BV34),$V$3:$V$220,0),1),CONCATENATE(BV34,BY34)),"")</f>
        <v/>
      </c>
      <c r="CA34" s="259">
        <f t="shared" ca="1" si="65"/>
        <v>0</v>
      </c>
      <c r="CB34" s="259" t="str">
        <f ca="1">IFERROR(IF(OR($BB$1&lt;&gt;$BD$1,$BC$1&lt;&gt;$BE$1,$DS$231&lt;&gt;$DT$231,$DU$231&lt;&gt;$DV$231,$EO$25&lt;&gt;0,$EO$26&lt;&gt;0),INDEX($BI$3:$BK$220,MATCH(ROWS($CB$3:CB34),$BK$3:$BK$220,0),1),CONCATENATE(BQ34,BX34)),"")</f>
        <v/>
      </c>
      <c r="CC34" s="259" t="str">
        <f t="shared" ca="1" si="66"/>
        <v/>
      </c>
      <c r="CD34" s="259" t="str">
        <f t="shared" si="6"/>
        <v/>
      </c>
      <c r="CE34" s="259">
        <f ca="1">IF(IFERROR(MATCH(CD34,DENOMINAZIONE_GIORNALE,0),0)&gt;0,MAX(CE$2:CE33)+1,0)</f>
        <v>0</v>
      </c>
      <c r="CF34" s="259" t="str">
        <f ca="1">IFERROR(INDEX($CD$3:$CE$220,MATCH(ROWS($CF$3:CF34),$CE$3:$CE$220,0),1),"")</f>
        <v/>
      </c>
      <c r="CG34" s="259">
        <f t="shared" ca="1" si="7"/>
        <v>0</v>
      </c>
      <c r="CH34" s="259" t="str">
        <f ca="1">IF(IF(CG34&lt;&gt;0,MAX($CH$2:CH33)+1,0)=0,"",IF(CG34&lt;&gt;"",MAX($CH$2:CH33)+1,0))</f>
        <v/>
      </c>
      <c r="CI34" s="259" t="str">
        <f ca="1">IFERROR(INDEX($CF$3:$CG$220,MATCH(ROWS($CI$3:CI34),$CH$3:$CH$220,0),1),"")</f>
        <v/>
      </c>
      <c r="CJ34" s="259" t="str">
        <f t="shared" ca="1" si="67"/>
        <v/>
      </c>
      <c r="CK34" s="259" t="str">
        <f t="shared" si="8"/>
        <v/>
      </c>
      <c r="CL34" s="259">
        <f ca="1">IF(IFERROR(MATCH(CK34,DENOMINAZIONE_GIORNALE,0),0)&gt;0,MAX(CL$2:CL33)+1,0)</f>
        <v>0</v>
      </c>
      <c r="CM34" s="259" t="str">
        <f ca="1">IFERROR(INDEX($CK$3:$CL$220,MATCH(ROWS($CM$3:CM34),$CL$3:$CL$220,0),1),"")</f>
        <v/>
      </c>
      <c r="CN34" s="259" t="str">
        <f t="shared" ca="1" si="9"/>
        <v/>
      </c>
      <c r="CO34" s="259">
        <f ca="1">IF(IF(CN34&lt;&gt;0,MAX($CO$2:CO33)+1,0)=0,"",IF(CN34&lt;&gt;"",MAX($CO$2:CO33)+1,0))</f>
        <v>0</v>
      </c>
      <c r="CP34" s="259" t="str">
        <f ca="1">IFERROR(INDEX($CM$3:$CN$220,MATCH(ROWS(CP$3:CP34),$CO$3:$CO$220,0),1),"")</f>
        <v/>
      </c>
      <c r="CQ34" s="259" t="str">
        <f ca="1">IFERROR(INDEX($CM$3:$CN$220,MATCH(ROWS(CQ$3:CQ34),$CO$3:$CO$220,0),2),"")</f>
        <v/>
      </c>
      <c r="CR34" s="259" t="str">
        <f t="shared" ca="1" si="10"/>
        <v/>
      </c>
      <c r="CS34" s="259">
        <f t="shared" ca="1" si="11"/>
        <v>0</v>
      </c>
      <c r="CT34" s="259">
        <f t="shared" ca="1" si="12"/>
        <v>0</v>
      </c>
      <c r="CU34" s="259">
        <f ca="1">IF(OR(CS34&gt;0,CT34&gt;0),MAX($CU$2:CU33)+1,0)</f>
        <v>0</v>
      </c>
      <c r="CV34" s="259" t="str">
        <f ca="1">IFERROR(INDEX(PIANO_DEI_CONTI,MATCH(ROWS($CV$3:CV34),$CU$3:$CU$200,0),2),"")</f>
        <v/>
      </c>
      <c r="CW34" s="259">
        <f ca="1">IFERROR(IF(CV34&lt;&gt;"",MAX($CW$2:CW33)+1,0),0)</f>
        <v>0</v>
      </c>
      <c r="CX34" s="259">
        <f t="shared" ca="1" si="145"/>
        <v>2</v>
      </c>
      <c r="CY34" s="259" t="str">
        <f t="shared" ca="1" si="144"/>
        <v>MASTRO</v>
      </c>
      <c r="CZ34" s="259" t="e">
        <f t="shared" ca="1" si="147"/>
        <v>#N/A</v>
      </c>
      <c r="DA34" s="259" t="str">
        <f t="shared" ca="1" si="152"/>
        <v/>
      </c>
      <c r="DB34" s="259" t="str">
        <f t="shared" ca="1" si="148"/>
        <v/>
      </c>
      <c r="DC34" s="259" t="str">
        <f t="shared" ca="1" si="149"/>
        <v/>
      </c>
      <c r="DD34" s="259" t="str">
        <f t="shared" ca="1" si="150"/>
        <v/>
      </c>
      <c r="DE34" s="259" t="str">
        <f t="shared" ca="1" si="151"/>
        <v/>
      </c>
      <c r="DF34" s="259">
        <f ca="1">IF(AND(CX34=$DE$2,$DF$2&lt;&gt;0),0,IF(AND(DB34&lt;&gt;"",OR(DB33&lt;&gt;"",DB35&lt;&gt;"")),MAX($DF$2:DF33)+1,0))</f>
        <v>0</v>
      </c>
      <c r="DG34" s="259" t="str">
        <f>IF(OR(VALORI_INIZIALI!E39="",AND(VALORI_INIZIALI!E39&lt;&gt;"",VALORI_INIZIALI!H39=0,VALORI_INIZIALI!I39=0)),"",IFERROR(INDEX(PIANO_DEI_CONTI,MATCH(BB34,DENOMINAZIONE,0),1),0))</f>
        <v/>
      </c>
      <c r="DH34" s="259">
        <f ca="1">IFERROR(IF($J$1=1,IF(INDEX(PIANO_DEI_CONTI,MATCH($K34,DENOMINAZIONE,0),5)=$DF$1,MAX($DH$2:DH33)+1,0),IF($J$1=2,IF(INDEX(PIANO_DEI_CONTI,MATCH($K34,DENOMINAZIONE,0),7)=$DF$1,MAX($DH$2:DH33)+1,0))),0)</f>
        <v>0</v>
      </c>
      <c r="DI34" s="259">
        <f ca="1">IFERROR(INDEX($K$3:$K$220,MATCH(ROWS($DI$3:DI34),$DH$3:$DH$220,0),1),0)</f>
        <v>0</v>
      </c>
      <c r="DJ34" s="259">
        <f t="shared" ca="1" si="14"/>
        <v>0</v>
      </c>
      <c r="DK34" s="259">
        <f ca="1">IF(DJ34=0,0,MAX(DK$2:DK33)+1)</f>
        <v>0</v>
      </c>
      <c r="DL34" s="259">
        <f ca="1">IFERROR(INDEX(PIANO_DEI_CONTI,MATCH(ROWS(DL$3:DL34),$DK$3:DK261,0),2),0)</f>
        <v>0</v>
      </c>
      <c r="DM34" s="259">
        <f t="shared" ca="1" si="15"/>
        <v>0</v>
      </c>
      <c r="DN34" s="259">
        <f t="shared" ca="1" si="16"/>
        <v>0</v>
      </c>
      <c r="DO34" s="259">
        <f t="shared" ca="1" si="69"/>
        <v>0</v>
      </c>
      <c r="DP34" s="259">
        <f t="shared" ca="1" si="70"/>
        <v>0</v>
      </c>
      <c r="DQ34" s="259">
        <f ca="1">IF(OR($DQ$1="TOTALI",$DQ$1="TOTALI ED ECCEDENZE"),IF(OR(DM34&gt;0,DN34&gt;0),MAX(DQ$2:DQ33)+1,0),IF($DQ$1="ECCEDENZE",IF(OR(DO34&gt;0,DP34&gt;0),MAX(DQ$2:DQ33)+1,0),""))</f>
        <v>0</v>
      </c>
      <c r="DR34" s="259" t="str">
        <f ca="1">IFERROR(INDEX($DL$3:$DQ$230,MATCH(ROWS(DR$3:DR34),$DQ$3:$DQ$230,0),1),"")</f>
        <v/>
      </c>
      <c r="DS34" s="259" t="str">
        <f t="shared" ca="1" si="71"/>
        <v/>
      </c>
      <c r="DT34" s="259" t="str">
        <f t="shared" ca="1" si="72"/>
        <v/>
      </c>
      <c r="DU34" s="259" t="str">
        <f t="shared" ca="1" si="73"/>
        <v/>
      </c>
      <c r="DV34" s="259" t="str">
        <f t="shared" ca="1" si="74"/>
        <v/>
      </c>
      <c r="DW34" s="259">
        <f t="shared" ca="1" si="75"/>
        <v>0</v>
      </c>
      <c r="DX34" s="259" t="str">
        <f t="shared" ca="1" si="76"/>
        <v/>
      </c>
      <c r="DY34" s="259" t="str">
        <f t="shared" ca="1" si="77"/>
        <v/>
      </c>
      <c r="DZ34" s="259" t="str">
        <f t="shared" ca="1" si="78"/>
        <v/>
      </c>
      <c r="EA34" s="259">
        <f t="shared" ca="1" si="79"/>
        <v>32</v>
      </c>
      <c r="EB34" s="259" t="s">
        <v>353</v>
      </c>
      <c r="ED34" s="259">
        <f t="shared" ca="1" si="17"/>
        <v>0</v>
      </c>
      <c r="EE34" s="259" t="str">
        <f t="shared" ca="1" si="18"/>
        <v/>
      </c>
      <c r="EF34" s="259" t="str">
        <f t="shared" ca="1" si="19"/>
        <v/>
      </c>
      <c r="EG34" s="259" t="str">
        <f t="shared" ca="1" si="136"/>
        <v/>
      </c>
      <c r="EH34" s="259" t="str">
        <f t="shared" ca="1" si="80"/>
        <v/>
      </c>
      <c r="EI34" s="260" t="b">
        <f t="shared" ca="1" si="137"/>
        <v>1</v>
      </c>
      <c r="EJ34" s="260" t="b">
        <f t="shared" ca="1" si="138"/>
        <v>1</v>
      </c>
      <c r="EK34" s="260" t="b">
        <f t="shared" ca="1" si="139"/>
        <v>1</v>
      </c>
      <c r="EL34" s="259">
        <f t="shared" si="81"/>
        <v>32</v>
      </c>
      <c r="EM34" s="259">
        <f ca="1">IF(AND(BA34&gt;0,BA34&lt;=$EM$1),MAX($EM$2:EM33)+1,0)</f>
        <v>0</v>
      </c>
      <c r="EN34" s="259">
        <f t="shared" ca="1" si="82"/>
        <v>34</v>
      </c>
      <c r="EP34" s="259" t="str">
        <f t="shared" ca="1" si="20"/>
        <v/>
      </c>
      <c r="EQ34" s="259">
        <f t="shared" ca="1" si="21"/>
        <v>0</v>
      </c>
      <c r="ER34" s="259">
        <f ca="1">IF(ISNA(EQ34),MAX(ER$2:ER33)+1,0)</f>
        <v>0</v>
      </c>
      <c r="ES34" s="259" t="str">
        <f t="shared" ca="1" si="83"/>
        <v/>
      </c>
      <c r="ET34" s="259" t="str">
        <f ca="1">IFERROR(UPPER(INDEX($ER$3:$ES$500,MATCH(ROWS(ET$3:ET34),$ER$3:$ER$500,0),2)),"")</f>
        <v/>
      </c>
      <c r="EY34" s="259">
        <f t="shared" ca="1" si="84"/>
        <v>0</v>
      </c>
      <c r="EZ34" s="259">
        <f t="shared" ca="1" si="84"/>
        <v>0</v>
      </c>
      <c r="FA34" s="259" t="str">
        <f t="shared" ca="1" si="85"/>
        <v/>
      </c>
      <c r="FB34" s="259">
        <f t="shared" ca="1" si="86"/>
        <v>0</v>
      </c>
      <c r="FC34" s="259">
        <f t="shared" ca="1" si="87"/>
        <v>0</v>
      </c>
      <c r="FD34" s="259">
        <f t="shared" ca="1" si="22"/>
        <v>0</v>
      </c>
      <c r="FE34" s="259" t="str">
        <f t="shared" ca="1" si="23"/>
        <v/>
      </c>
      <c r="FF34" s="259" t="str">
        <f t="shared" ca="1" si="88"/>
        <v/>
      </c>
      <c r="FG34" s="259" t="str">
        <f t="shared" si="89"/>
        <v>CLIENTI C/COSTI ANTICIPATI</v>
      </c>
      <c r="FH34" s="259">
        <f t="shared" ca="1" si="24"/>
        <v>0</v>
      </c>
      <c r="FI34" s="259">
        <f t="shared" ca="1" si="25"/>
        <v>0</v>
      </c>
      <c r="FJ34" s="259">
        <f t="shared" ca="1" si="90"/>
        <v>0</v>
      </c>
      <c r="FK34" s="259">
        <f t="shared" ca="1" si="91"/>
        <v>0</v>
      </c>
      <c r="FL34" s="259">
        <f ca="1">IF(OR(FJ34&gt;0,FK34&gt;0),MAX($FL$2:FL33)+1,0)</f>
        <v>0</v>
      </c>
      <c r="FM34" s="259">
        <f t="shared" ca="1" si="26"/>
        <v>0</v>
      </c>
      <c r="FN34" s="259">
        <f ca="1">IF(FM34&lt;0,MAX($FN$2:FN33)+1,0)</f>
        <v>0</v>
      </c>
      <c r="FO34" s="259" t="str">
        <f t="shared" ca="1" si="92"/>
        <v/>
      </c>
      <c r="FP34" s="259" t="str">
        <f ca="1">IFERROR(INDEX($FN$3:$FO$400,MATCH(ROWS($FP$3:FP34),$FN$3:$FN$400,0),2),"")</f>
        <v/>
      </c>
      <c r="FQ34" s="259" t="str">
        <f>IF(AE34="SE AVERE",MAX($FQ$2:FQ33)+1,"")</f>
        <v/>
      </c>
      <c r="FR34" s="259" t="str">
        <f>IF(AE34="SE DARE",MAX($FR$2:FR33)+1,"")</f>
        <v/>
      </c>
      <c r="FS34" s="259">
        <f ca="1">IF(AND(AE34="SP DARE",AA34&lt;&gt;$FS$1,AA34&lt;&gt;$FT$1),MAX($FS$2:FS33)+1,IF(AND(GQ34="SP DARE",AA34&lt;&gt;$FS$1,AA34&lt;&gt;$FT$1),MAX($FS$2:FS33)+1,""))</f>
        <v>110</v>
      </c>
      <c r="FT34" s="259" t="str">
        <f ca="1">IF(AND(AE34="SP AVERE",AA34&lt;&gt;$FU$1),MAX($FT$2:FT33)+1,IF(AND(GQ34="SP AVERE",AA34&lt;&gt;$FU$1),MAX($FT$2:FT33)+1,""))</f>
        <v/>
      </c>
      <c r="FU34" s="259">
        <f t="shared" ca="1" si="93"/>
        <v>110</v>
      </c>
      <c r="FV34" s="259" t="str">
        <f t="shared" si="94"/>
        <v>CLIENTI C/COSTI ANTICIPATI</v>
      </c>
      <c r="FW34" s="259" t="str">
        <f ca="1">IFERROR(INDEX($FU$3:$FV$500,MATCH(ROWS($FW$3:FW34),$FU$3:$FU$500,0),2),0)</f>
        <v>COSTI TELEFONICI</v>
      </c>
      <c r="FX34" s="259">
        <f t="shared" ca="1" si="95"/>
        <v>32</v>
      </c>
      <c r="FY34" s="259">
        <f t="shared" ca="1" si="96"/>
        <v>0</v>
      </c>
      <c r="FZ34" s="259">
        <f ca="1">IF(FY34&gt;0,MAX($FZ$2:FZ33)+1,0)</f>
        <v>0</v>
      </c>
      <c r="GA34" s="259">
        <f ca="1">IFERROR(INDEX($FY$3:$FZ$500,MATCH(ROWS($GA$3:GA34),$FZ$3:$FZ$500,0),1),0)</f>
        <v>0</v>
      </c>
      <c r="GC34" s="259">
        <f t="shared" ca="1" si="97"/>
        <v>32</v>
      </c>
      <c r="GD34" s="259" t="str">
        <f t="shared" ca="1" si="98"/>
        <v>COSTI TELEFONICI</v>
      </c>
      <c r="GG34" s="259">
        <f t="shared" ca="1" si="27"/>
        <v>0</v>
      </c>
      <c r="GH34" s="259">
        <f t="shared" ca="1" si="99"/>
        <v>0</v>
      </c>
      <c r="GI34" s="259">
        <f t="shared" ca="1" si="100"/>
        <v>0</v>
      </c>
      <c r="GJ34" s="259">
        <f t="shared" ca="1" si="101"/>
        <v>0</v>
      </c>
      <c r="GK34" s="259">
        <f t="shared" ca="1" si="102"/>
        <v>0</v>
      </c>
      <c r="GL34" s="259">
        <f t="shared" ca="1" si="103"/>
        <v>0</v>
      </c>
      <c r="GM34" s="259">
        <f ca="1">IF(OR(GK34&gt;0,GL34&gt;0),MAX($GM$2:GM33)+1,0)</f>
        <v>0</v>
      </c>
      <c r="GN34" s="259" t="str">
        <f ca="1">IFERROR(INDEX($GD$3:$GM$400,MATCH(ROWS($GN$3:GN34),$GM$3:$GM$400,0),1),"")</f>
        <v/>
      </c>
      <c r="GO34" s="259" t="str">
        <f ca="1">IFERROR(INDEX($GD$3:$GM$400,MATCH(ROWS($GO$3:GO34),$GM$3:$GM$400,0),8),"")</f>
        <v/>
      </c>
      <c r="GP34" s="259" t="str">
        <f ca="1">IFERROR(INDEX($GD$3:$GM$400,MATCH(ROWS($GP$3:GP34),$GM$3:$GM$400,0),9),"")</f>
        <v/>
      </c>
      <c r="GQ34" s="259">
        <f t="shared" ca="1" si="28"/>
        <v>0</v>
      </c>
      <c r="GR34" s="259">
        <f t="shared" ca="1" si="104"/>
        <v>0</v>
      </c>
      <c r="GS34" s="259" t="str">
        <f t="shared" si="105"/>
        <v>epilogo a Conto economico</v>
      </c>
      <c r="GT34" s="259" t="str">
        <f ca="1">IFERROR(INDEX($GD$3:$GS$400,MATCH(ROWS($GT$3:GT34),$GM$3:$GM$400,0),16),"")</f>
        <v/>
      </c>
      <c r="GU34" s="259">
        <f ca="1">IF(GQ34&lt;&gt;0,MAX($GU$2:$GU33)+1,0)</f>
        <v>0</v>
      </c>
      <c r="GV34" s="259">
        <f t="shared" ca="1" si="106"/>
        <v>0</v>
      </c>
      <c r="GW34" s="259" t="str">
        <f ca="1">IF(AND(IFERROR(INDEX($GU$3:$GV$400,MATCH(ROWS($GW$3:GW34),$GU$3:$GU$400,0),2),"")&lt;&gt;"",GW35&lt;&gt;""),CONCATENATE(IFERROR(INDEX($GU$3:$GV$400,MATCH(ROWS($GW$3:GW34),$GU$3:$GU$400,0),2),"")," - "),IFERROR(INDEX($GU$3:$GV$400,MATCH(ROWS($GW$3:GW34),$GU$3:$GU$400,0),2),""))</f>
        <v/>
      </c>
      <c r="GX34" s="259">
        <f ca="1">IF(OR(GN34="IVA NS/CREDITO",GN34="IVA NS/DEBITO",GN34="IVA C/ACCONTO",GN34="IMPOSTE C/ACCONTO"),MAX($GX$2:GX33)+1,0)</f>
        <v>0</v>
      </c>
      <c r="GY34" s="259" t="str">
        <f ca="1">IF(AND(IFERROR(INDEX($GN$3:$GX$200,MATCH(ROWS($GY$3:GY34),$GX$3:$GX$200,0),1),"")&lt;&gt;"",GY35&lt;&gt;""),CONCATENATE(IFERROR(INDEX($GN$3:$GX$200,MATCH(ROWS($GY$3:GY34),$GX$3:$GX$200,0),1),"")," - "),IFERROR(INDEX($GN$3:$GX$200,MATCH(ROWS($GY$3:GY34),$GX$3:$GX$200,0),1),""))</f>
        <v/>
      </c>
      <c r="GZ34" s="259" t="s">
        <v>507</v>
      </c>
      <c r="HA34" s="259" t="s">
        <v>508</v>
      </c>
      <c r="HB34" s="269" t="s">
        <v>257</v>
      </c>
      <c r="HC34" s="269" t="s">
        <v>276</v>
      </c>
      <c r="HD34" s="269" t="s">
        <v>6</v>
      </c>
      <c r="HE34" s="269" t="s">
        <v>206</v>
      </c>
      <c r="HL34" s="259" t="str">
        <f t="shared" ca="1" si="29"/>
        <v/>
      </c>
      <c r="HM34" s="259" t="str">
        <f t="shared" ca="1" si="30"/>
        <v/>
      </c>
      <c r="HN34" s="259" t="str">
        <f t="shared" ca="1" si="31"/>
        <v/>
      </c>
      <c r="HO34" s="259">
        <f ca="1">IF(HL34&lt;&gt;"",MAX($HO$2:HO33)+1,0)</f>
        <v>0</v>
      </c>
      <c r="HP34" s="259">
        <f ca="1">IF(HM34&lt;&gt;"",MAX($HP$2:HP33)+1,0)</f>
        <v>0</v>
      </c>
      <c r="HQ34" s="259">
        <f ca="1">IF(HN34&lt;&gt;"",MAX($HQ$2:HQ33)+1,0)</f>
        <v>0</v>
      </c>
      <c r="HR34" s="259" t="str">
        <f t="shared" ca="1" si="107"/>
        <v/>
      </c>
      <c r="HS34" s="259" t="str">
        <f t="shared" ca="1" si="108"/>
        <v/>
      </c>
      <c r="HT34" s="259">
        <f t="shared" ca="1" si="109"/>
        <v>0</v>
      </c>
      <c r="HU34" s="259">
        <f t="shared" ca="1" si="110"/>
        <v>0</v>
      </c>
      <c r="HV34" s="259" t="str">
        <f ca="1">CONCATENATE(IFERROR(INDEX($HS$3:$HT$102,MATCH(ROWS($HV$3:HV34),$HT$3:$HT$102,0),1),""),HR34)</f>
        <v/>
      </c>
      <c r="IB34" s="259" t="str">
        <f ca="1">IF(EV1&gt;0,"","TOTALE PASSIVO")</f>
        <v/>
      </c>
      <c r="IC34" s="259">
        <f ca="1">IFERROR(INDEX(PIANO_DEI_CONTI,MATCH(ROWS(DL$3:DL34),$DK$3:DK261,0),2),0)</f>
        <v>0</v>
      </c>
      <c r="ID34" s="259">
        <f t="shared" ca="1" si="111"/>
        <v>0</v>
      </c>
      <c r="IE34" s="259">
        <f t="shared" ca="1" si="112"/>
        <v>0</v>
      </c>
      <c r="IF34" s="259">
        <f t="shared" ca="1" si="113"/>
        <v>0</v>
      </c>
      <c r="IG34" s="259" t="str">
        <f ca="1">IF(EV1=0,IG33+IG30+IG28+IG26+IG24,"")</f>
        <v/>
      </c>
      <c r="IH34" s="259">
        <f ca="1">IG1</f>
        <v>1</v>
      </c>
      <c r="II34" s="259">
        <f>IF(AD34="costi pluriennali",MAX($II$2:II33)+1,0)</f>
        <v>0</v>
      </c>
      <c r="IJ34" s="259">
        <f>IF($AD34="rettifiche costi pluriennali",MAX($IJ$2:IJ33)+1,0)</f>
        <v>0</v>
      </c>
      <c r="IK34" s="259">
        <f t="shared" si="114"/>
        <v>0</v>
      </c>
      <c r="IL34" s="259" t="str">
        <f t="shared" si="115"/>
        <v/>
      </c>
      <c r="IM34" s="259">
        <f t="shared" ca="1" si="116"/>
        <v>0</v>
      </c>
      <c r="IN34" s="259">
        <f t="shared" ca="1" si="141"/>
        <v>0</v>
      </c>
      <c r="IO34" s="259">
        <f>SUMIFS($IM$3:$IM$200,$IK$3:$IK$200,ROWS($IO$3:IO34))-SUMIFS($IN$3:$IN$200,$IK$3:$IK$200,ROWS($IO$3:IO34))</f>
        <v>0</v>
      </c>
      <c r="IP34" s="259" t="str">
        <f>IF(IO34&lt;0,INDEX($IJ$3:$IL$200,MATCH(ROWS($IP$3:IP34),$IJ$3:$IJ$200,0),3),"")</f>
        <v/>
      </c>
      <c r="IQ34" s="259">
        <f>IF(IP34&lt;&gt;"",MAX($IQ$2:IQ33)+1,0)</f>
        <v>0</v>
      </c>
      <c r="IR34" s="259" t="str">
        <f ca="1">IFERROR(INDEX($IP$3:$IQ$200,MATCH(ROWS($IR$3:IR34),$IQ$3:$IQ$200,0),1),"")</f>
        <v/>
      </c>
      <c r="IS34" s="259" t="str">
        <f t="shared" ca="1" si="117"/>
        <v/>
      </c>
      <c r="IT34" s="259" t="str">
        <f t="shared" ca="1" si="118"/>
        <v/>
      </c>
      <c r="IU34" s="259" t="str">
        <f t="shared" ca="1" si="119"/>
        <v/>
      </c>
      <c r="IV34" s="259" t="str">
        <f t="shared" ca="1" si="120"/>
        <v/>
      </c>
      <c r="IW34" s="259" t="str">
        <f t="shared" ca="1" si="121"/>
        <v/>
      </c>
      <c r="IX34" s="259" t="str">
        <f t="shared" ca="1" si="122"/>
        <v/>
      </c>
      <c r="IY34" s="259" t="str">
        <f t="shared" ca="1" si="123"/>
        <v/>
      </c>
      <c r="IZ34" s="259" t="str">
        <f t="shared" ca="1" si="124"/>
        <v/>
      </c>
      <c r="JA34" s="259" t="str">
        <f t="shared" ca="1" si="125"/>
        <v/>
      </c>
      <c r="JB34" s="259">
        <f t="shared" ca="1" si="32"/>
        <v>0</v>
      </c>
      <c r="JC34" s="259">
        <f t="shared" ca="1" si="126"/>
        <v>0</v>
      </c>
      <c r="JE34" s="259">
        <f ca="1">IFERROR(INDEX(LIBRO_GIORNALE!$N$11:$O$408,MATCH(ROWS($JE$2:JE33),LIBRO_GIORNALE!$O$11:$O$408,0),1),0)</f>
        <v>0</v>
      </c>
      <c r="JF34" s="259" t="str">
        <f t="shared" ca="1" si="127"/>
        <v>0</v>
      </c>
      <c r="JG34" s="259">
        <f t="shared" ca="1" si="128"/>
        <v>0</v>
      </c>
      <c r="JH34" s="259">
        <f ca="1">IF(JJ34&gt;0,0,MAX($JH$2:JH33)+1)</f>
        <v>32</v>
      </c>
      <c r="JI34" s="259">
        <f ca="1">IF(JG34&gt;0,MAX($JI$2:JI33)+1,0)</f>
        <v>0</v>
      </c>
      <c r="JJ34" s="259">
        <f ca="1">IFERROR(INDEX($JG$3:$JI$124,MATCH(ROWS($JJ$3:JJ34),$JI$3:$JI$124,0),1),0)</f>
        <v>0</v>
      </c>
      <c r="JK34" s="259">
        <f t="shared" ca="1" si="129"/>
        <v>0</v>
      </c>
      <c r="JL34" s="259">
        <f t="shared" ca="1" si="130"/>
        <v>32</v>
      </c>
    </row>
    <row r="35" spans="1:273">
      <c r="A35" s="259" t="str">
        <f t="shared" si="33"/>
        <v>05.00</v>
      </c>
      <c r="B35" s="259" t="str">
        <f t="shared" si="34"/>
        <v>CREDITI COMMERCIALI</v>
      </c>
      <c r="C35" s="259">
        <f t="shared" si="35"/>
        <v>0</v>
      </c>
      <c r="D35" s="259">
        <f t="shared" si="36"/>
        <v>0</v>
      </c>
      <c r="E35" s="259">
        <f t="shared" si="37"/>
        <v>0</v>
      </c>
      <c r="F35" s="259">
        <f t="shared" si="38"/>
        <v>0</v>
      </c>
      <c r="G35" s="259">
        <f t="shared" ca="1" si="39"/>
        <v>0</v>
      </c>
      <c r="H35" s="259">
        <f t="shared" ca="1" si="40"/>
        <v>0</v>
      </c>
      <c r="I35" s="259">
        <f t="shared" ca="1" si="41"/>
        <v>0</v>
      </c>
      <c r="K35" s="259" t="str">
        <f ca="1">IFERROR(IF($I$1=1,INDEX($AA$3:$AS$220,MATCH(ROWS($K$3:K35),$AQ$3:$AQ$220,0),1),IF($I$1=2,INDEX($AA$3:$AS$220,MATCH(ROWS($K$3:K35),$AR$3:$AR$220,0),1),IF($I$1=3,INDEX($AA$3:$AS$220,MATCH(ROWS($K$3:K35),$AS$3:$AS$220,0),1),""))),"")</f>
        <v>CAMBIALI ATTIVE</v>
      </c>
      <c r="L35" s="259">
        <f ca="1">IF(AND($L$1="VISUALIZZA TUTTI I CONTI",K35&lt;&gt;""),MAX(L34:L34)+1,IFERROR(IF($J$1=1,IF(INDEX(PIANO_DEI_CONTI,MATCH($K35,DENOMINAZIONE,0),5)=$L$1,MAX($L$2:L34)+1,0),IF($J$1=2,IF(INDEX(PIANO_DEI_CONTI,MATCH($K35,DENOMINAZIONE,0),7)=$L$1,MAX($L$2:L34)+1,0))),0))</f>
        <v>33</v>
      </c>
      <c r="M35" s="259" t="str">
        <f ca="1">IFERROR(INDEX($K$3:$K$220,MATCH(ROWS($M$3:M35),$L$3:$L$220,0),1),"")</f>
        <v>CAMBIALI ATTIVE</v>
      </c>
      <c r="N35" s="259" t="str">
        <f t="shared" si="143"/>
        <v>CONTI DEI SISTEMI MINORI</v>
      </c>
      <c r="O35" s="259" t="str">
        <f t="shared" ca="1" si="142"/>
        <v>CONTI DEI SISTEMI MINORI</v>
      </c>
      <c r="P35" s="259">
        <f ca="1">IF(AND(N35=O35,O35&lt;&gt;""),MAX(P$2:P34)+1,0)</f>
        <v>18</v>
      </c>
      <c r="Q35" s="259" t="str">
        <f ca="1">IF(IFERROR(INDEX($O$3:$P$220,MATCH(ROWS(Q$3:Q35),$P$3:$P$220,0),1),"")=0,"",IFERROR(INDEX($O$3:$P$220,MATCH(ROWS(Q$3:Q35),$P$3:$P$220,0),1),""))</f>
        <v/>
      </c>
      <c r="R35" s="259" t="str">
        <f t="shared" si="1"/>
        <v>CAMBIALI ATTIVE</v>
      </c>
      <c r="S35" s="259">
        <f ca="1">IF(IFERROR(MATCH(R35,DENOMINAZIONE_GIORNALE,0),0)&gt;0,MAX(S$2:S34)+1,0)</f>
        <v>0</v>
      </c>
      <c r="T35" s="259" t="str">
        <f ca="1">IFERROR(INDEX($R$3:$S$220,MATCH(ROWS($T$3:T35),$S$3:$S$220,0),1),"")</f>
        <v/>
      </c>
      <c r="U35" s="259">
        <f t="shared" ca="1" si="2"/>
        <v>0</v>
      </c>
      <c r="V35" s="259">
        <f ca="1">IF(IF(U35&lt;&gt;0,MAX($V$2:V34)+1,0)=0,0,IF(U35&lt;&gt;0,MAX($V$2:V34)+1,0))</f>
        <v>0</v>
      </c>
      <c r="W35" s="259" t="str">
        <f t="shared" si="43"/>
        <v/>
      </c>
      <c r="X35" s="259" t="str">
        <f t="shared" si="44"/>
        <v/>
      </c>
      <c r="Y35" s="259">
        <f>IF(W35="",0,MAX($Y$2:Y34)+1)</f>
        <v>0</v>
      </c>
      <c r="Z35" s="259" t="str">
        <f>IFERROR(INDEX($W$3:$Y$220,MATCH(ROWS($Z$2:Z34),$Y$3:$Y$220,0),1),"")</f>
        <v>05.06</v>
      </c>
      <c r="AA35" s="259" t="str">
        <f t="shared" si="45"/>
        <v>CAMBIALI ATTIVE</v>
      </c>
      <c r="AB35" s="259" t="str">
        <f t="shared" si="46"/>
        <v>F</v>
      </c>
      <c r="AC35" s="259" t="str">
        <f t="shared" si="47"/>
        <v>D</v>
      </c>
      <c r="AD35" s="259" t="str">
        <f t="shared" si="48"/>
        <v>CREDITI</v>
      </c>
      <c r="AE35" s="259" t="str">
        <f t="shared" si="49"/>
        <v>SP DARE</v>
      </c>
      <c r="AF35" s="259" t="str">
        <f t="shared" si="50"/>
        <v>CREDITI COMMERCIALI</v>
      </c>
      <c r="AG35" s="259">
        <f t="shared" ca="1" si="51"/>
        <v>1</v>
      </c>
      <c r="AH35" s="259">
        <f t="shared" ca="1" si="52"/>
        <v>1</v>
      </c>
      <c r="AI35" s="259">
        <f t="shared" ca="1" si="53"/>
        <v>1</v>
      </c>
      <c r="AJ35" s="259" t="str">
        <f t="shared" si="54"/>
        <v>05</v>
      </c>
      <c r="AK35" s="259" t="str">
        <f t="shared" si="55"/>
        <v>05</v>
      </c>
      <c r="AL35" s="259">
        <f>IF(AK35&lt;&gt;"",MAX($AL$2:AL34)+1,0)</f>
        <v>5</v>
      </c>
      <c r="AM35" s="259" t="str">
        <f>IFERROR(INDEX($AK$3:$AL$220,MATCH(ROWS($AM$3:AM35),$AL$3:$AL$220,0),1),"")</f>
        <v/>
      </c>
      <c r="AN35" s="259" t="str">
        <f t="shared" si="56"/>
        <v/>
      </c>
      <c r="AO35" s="259" t="str">
        <f t="shared" si="57"/>
        <v/>
      </c>
      <c r="AP35" s="259" t="str">
        <f t="shared" si="58"/>
        <v>CREDITI COMMERCIALI</v>
      </c>
      <c r="AQ35" s="259">
        <f ca="1">IF(OR(AG35=0,AG35=""),0,MAX(AQ$2:AQ34)+1)</f>
        <v>19</v>
      </c>
      <c r="AR35" s="259">
        <f ca="1">IF(OR(AH35=0,AH35=""),0,MAX(AR$2:AR34)+1)</f>
        <v>29</v>
      </c>
      <c r="AS35" s="259">
        <f ca="1">IF(OR(AI35=0,AI35=""),0,MAX(AS$2:AS34)+1)</f>
        <v>33</v>
      </c>
      <c r="AT35" s="259" t="str">
        <f ca="1">IFERROR(INDEX($AD$3:$AS$220,MATCH(ROWS(AT$3:AT35),AQ$3:AQ$220,0),1),"")</f>
        <v>DEBITI</v>
      </c>
      <c r="AU35" s="259" t="str">
        <f ca="1">IFERROR(INDEX($AD$3:$AS$220,MATCH(ROWS(AU$3:AU35),AR$3:AR$220,0),1),"")</f>
        <v>CREDITI</v>
      </c>
      <c r="AV35" s="259" t="str">
        <f ca="1">IFERROR(INDEX($AD$3:$AS$220,MATCH(ROWS(AV$3:AV35),AS$3:AS$220,0),1),"")</f>
        <v>CREDITI</v>
      </c>
      <c r="AW35" s="259" t="str">
        <f ca="1">IFERROR(INDEX($AP$3:$AS$220,MATCH(ROWS(AW$3:AW35),AQ$3:AQ$220,0),1),"")</f>
        <v>DEBITI COMMERCIALI</v>
      </c>
      <c r="AX35" s="259" t="str">
        <f ca="1">IFERROR(INDEX($AP$3:$AS$220,MATCH(ROWS(AX$3:AX35),AR$3:AR$220,0),1),"")</f>
        <v>CREDITI COMMERCIALI</v>
      </c>
      <c r="AY35" s="259" t="str">
        <f ca="1">IFERROR(INDEX($AP$3:$AS$220,MATCH(ROWS(AY$3:AY35),AS$3:AS$220,0),1),"")</f>
        <v>CREDITI COMMERCIALI</v>
      </c>
      <c r="AZ35" s="276" t="str">
        <f t="shared" ca="1" si="59"/>
        <v/>
      </c>
      <c r="BA35" s="259">
        <f t="shared" ref="BA35:BA66" ca="1" si="153">IF(BB35&lt;&gt;0,INIZIO_AC,0)</f>
        <v>0</v>
      </c>
      <c r="BB35" s="259">
        <f ca="1">IFERROR(INDEX($FG$3:$FL$400,MATCH(ROWS($BB$3:BB35),$FL$3:$FL$400,0),1),0)</f>
        <v>0</v>
      </c>
      <c r="BC35" s="259" t="str">
        <f t="shared" ca="1" si="60"/>
        <v/>
      </c>
      <c r="BD35" s="259">
        <f ca="1">IFERROR(INDEX($FG$3:$FL$400,MATCH(ROWS($BD$3:BD35),$FL$3:$FL$400,0),4),0)</f>
        <v>0</v>
      </c>
      <c r="BE35" s="259">
        <f ca="1">IFERROR(INDEX($FG$3:$FL$400,MATCH(ROWS($BE$3:BE35),$FL$3:$FL$400,0),5),0)</f>
        <v>0</v>
      </c>
      <c r="BG35" s="259" t="str">
        <f t="shared" si="4"/>
        <v/>
      </c>
      <c r="BH35" s="259">
        <f ca="1">IF(IFERROR(MATCH(BG35,DENOMINAZIONE_GIORNALE,0),0)&gt;0,MAX(BH$2:BH34)+1,0)</f>
        <v>0</v>
      </c>
      <c r="BI35" s="259" t="str">
        <f ca="1">IFERROR(INDEX($BG$3:$BH$220,MATCH(ROWS($BI$3:BI35),$BH$3:$BH$220,0),1),"")</f>
        <v/>
      </c>
      <c r="BJ35" s="259" t="str">
        <f t="shared" ca="1" si="5"/>
        <v/>
      </c>
      <c r="BK35" s="259" t="str">
        <f ca="1">IF(IF(BJ35&lt;&gt;"",MAX($BK$2:BK34)+1,0)=0,"",IF(BJ35&lt;&gt;"",MAX($BK$2:BK34)+1,0))</f>
        <v/>
      </c>
      <c r="BL35" s="259" t="str">
        <f ca="1">IFERROR(INDEX($T$3:$U$220, MATCH(ROWS(BL$3:BL35),$V$3:$V$220,0),1),"")</f>
        <v/>
      </c>
      <c r="BM35" s="259" t="str">
        <f ca="1">IFERROR(INDEX($T$3:$U$220, MATCH(ROWS(BM$3:BM35),$V$3:$V$220,0),2),"")</f>
        <v/>
      </c>
      <c r="BN35" s="259" t="str">
        <f ca="1">IF(IFERROR(INDEX($BI$3:$BJ$220,MATCH(ROWS(BN$3:BN35),$BK$3:$BK$220,0),1),"")="PATRIMONIO NETTO","",IFERROR(INDEX($BI$3:$BJ$220,MATCH(ROWS(BN$3:BN35),$BK$3:$BK$220,0),1),""))</f>
        <v/>
      </c>
      <c r="BO35" s="259" t="str">
        <f ca="1">IFERROR(INDEX($BI$3:$BJ$220,MATCH(ROWS(BO$3:BO35),$BK$3:$BK$220,0),2),"")</f>
        <v/>
      </c>
      <c r="BP35" s="259">
        <f ca="1">IF(BN35&lt;&gt;"",MAX(BP$2:$BP34)+1,0)</f>
        <v>0</v>
      </c>
      <c r="BQ35" s="259" t="str">
        <f ca="1">IFERROR(INDEX($BN$3:$BO$200,MATCH(ROWS(BQ$3:BQ35),$BP$3:$BP$220,0),1),"")</f>
        <v/>
      </c>
      <c r="BR35" s="259" t="str">
        <f ca="1">IFERROR(INDEX($BN$3:$BO$220,MATCH(ROWS(BR$3:BR35),$BP$3:$BP$220,0),2),"")</f>
        <v/>
      </c>
      <c r="BS35" s="259" t="str">
        <f ca="1">IFERROR(IF(OR(INDEX($T$3:$U$220,MATCH(ROWS(BL$3:BL35),$V$3:$V$220,0),1)="PRELEVAMENTI EXTRAGESTIONE",INDEX($T$3:$U$220,MATCH(ROWS(BL$3:BL35),$V$3:$V$220,0),1)="TITOLARE C/RITENUTE SUBITE"),"",INDEX($T$3:$U$220,MATCH(ROWS(BL$3:BL35),$V$3:$V$220,0),1)),"")</f>
        <v/>
      </c>
      <c r="BT35" s="259">
        <f t="shared" ca="1" si="61"/>
        <v>0</v>
      </c>
      <c r="BU35" s="259">
        <f ca="1">IF(BS35&lt;&gt;"",MAX(BU$2:BU34)+1,0)</f>
        <v>0</v>
      </c>
      <c r="BV35" s="259" t="str">
        <f ca="1">IFERROR(INDEX($BS$3:$BT$223,MATCH(ROWS(BV$3:BV35),$BU$3:$BU$223,0),1),"")</f>
        <v/>
      </c>
      <c r="BW35" s="259">
        <f t="shared" ca="1" si="62"/>
        <v>0</v>
      </c>
      <c r="BX35" s="259" t="str">
        <f t="shared" ca="1" si="63"/>
        <v/>
      </c>
      <c r="BY35" s="259" t="str">
        <f t="shared" ca="1" si="64"/>
        <v/>
      </c>
      <c r="BZ35" s="259" t="str">
        <f ca="1">IFERROR(IF(OR($DS$231&lt;&gt;$DT$231,$DU$231&lt;&gt;$DV$231,$EO$25&lt;&gt;0,$EO$26&lt;&gt;0),INDEX($T$3:$V$220,MATCH(ROWS($BV$3:BV35),$V$3:$V$220,0),1),CONCATENATE(BV35,BY35)),"")</f>
        <v/>
      </c>
      <c r="CA35" s="259">
        <f t="shared" ca="1" si="65"/>
        <v>0</v>
      </c>
      <c r="CB35" s="259" t="str">
        <f ca="1">IFERROR(IF(OR($BB$1&lt;&gt;$BD$1,$BC$1&lt;&gt;$BE$1,$DS$231&lt;&gt;$DT$231,$DU$231&lt;&gt;$DV$231,$EO$25&lt;&gt;0,$EO$26&lt;&gt;0),INDEX($BI$3:$BK$220,MATCH(ROWS($CB$3:CB35),$BK$3:$BK$220,0),1),CONCATENATE(BQ35,BX35)),"")</f>
        <v/>
      </c>
      <c r="CC35" s="259" t="str">
        <f t="shared" ca="1" si="66"/>
        <v/>
      </c>
      <c r="CD35" s="259" t="str">
        <f t="shared" si="6"/>
        <v/>
      </c>
      <c r="CE35" s="259">
        <f ca="1">IF(IFERROR(MATCH(CD35,DENOMINAZIONE_GIORNALE,0),0)&gt;0,MAX(CE$2:CE34)+1,0)</f>
        <v>0</v>
      </c>
      <c r="CF35" s="259" t="str">
        <f ca="1">IFERROR(INDEX($CD$3:$CE$220,MATCH(ROWS($CF$3:CF35),$CE$3:$CE$220,0),1),"")</f>
        <v/>
      </c>
      <c r="CG35" s="259">
        <f t="shared" ca="1" si="7"/>
        <v>0</v>
      </c>
      <c r="CH35" s="259" t="str">
        <f ca="1">IF(IF(CG35&lt;&gt;0,MAX($CH$2:CH34)+1,0)=0,"",IF(CG35&lt;&gt;"",MAX($CH$2:CH34)+1,0))</f>
        <v/>
      </c>
      <c r="CI35" s="259" t="str">
        <f ca="1">IFERROR(INDEX($CF$3:$CG$220,MATCH(ROWS($CI$3:CI35),$CH$3:$CH$220,0),1),"")</f>
        <v/>
      </c>
      <c r="CJ35" s="259" t="str">
        <f t="shared" ca="1" si="67"/>
        <v/>
      </c>
      <c r="CK35" s="259" t="str">
        <f t="shared" si="8"/>
        <v/>
      </c>
      <c r="CL35" s="259">
        <f ca="1">IF(IFERROR(MATCH(CK35,DENOMINAZIONE_GIORNALE,0),0)&gt;0,MAX(CL$2:CL34)+1,0)</f>
        <v>0</v>
      </c>
      <c r="CM35" s="259" t="str">
        <f ca="1">IFERROR(INDEX($CK$3:$CL$220,MATCH(ROWS($CM$3:CM35),$CL$3:$CL$220,0),1),"")</f>
        <v/>
      </c>
      <c r="CN35" s="259" t="str">
        <f t="shared" ca="1" si="9"/>
        <v/>
      </c>
      <c r="CO35" s="259">
        <f ca="1">IF(IF(CN35&lt;&gt;0,MAX($CO$2:CO34)+1,0)=0,"",IF(CN35&lt;&gt;"",MAX($CO$2:CO34)+1,0))</f>
        <v>0</v>
      </c>
      <c r="CP35" s="259" t="str">
        <f ca="1">IFERROR(INDEX($CM$3:$CN$220,MATCH(ROWS(CP$3:CP35),$CO$3:$CO$220,0),1),"")</f>
        <v/>
      </c>
      <c r="CQ35" s="259" t="str">
        <f ca="1">IFERROR(INDEX($CM$3:$CN$220,MATCH(ROWS(CQ$3:CQ35),$CO$3:$CO$220,0),2),"")</f>
        <v/>
      </c>
      <c r="CR35" s="259" t="str">
        <f t="shared" ref="CR35:CR66" ca="1" si="154">IF($EV$1&gt;0,"",IF($EO$1=TRUE,SUBSTITUTE(IF(OR($BX$1=0,$BB$1&lt;&gt;$BD$1,$BC$1&lt;&gt;$BE$1,$DS$232&lt;&gt;$DT$232,$EO$25&lt;&gt;0,$EO$26&lt;&gt;0),"",IFERROR(IF(AND(MATCH($BP$1,DENOMINAZIONE_GIORNALE,0)&gt;0,$DU$231=$DV$231,$DS$231=$DT$231),IF(AND($CP$1&gt;$CM$1,$CP$2&gt;$CM$2,(ROW()-2)=$CP$2+3),"TOTALE COSTI",IF(AND($CP$1&gt;$CM$1,$CM$2&gt;=$CP$2,(ROW()-2)=$CM$2+3),"TOTALE COSTI",IF(AND($CP$1&lt;$CM$1,$CP$2&gt;=$CM$2,(ROW()-2)=$CP$2+1),"TOTALE COSTI",IF(AND($CP$1&lt;$CM$1,$CP$2&lt;$CM$2,ROW()-2=$CM$2+1),"TOTALE COSTI",IF(AND($CP$1=$CM$1,$DU$231=$DV$231,OR($CM$2&gt;0,$CP$2&gt;0),(ROW()-2)=MAX($CP$2,$CM$2)+1),"TOTALE COSTI",IF(AND($CM$1&gt;$CP$1,$CP$2&gt;$CM$2,(ROW()-2)=$CP$2+2),"SALDO ECONOMICO POSITIVO",IF(AND($CM$1&gt;$CP$1,$CM$2&gt;=$CP$2,(ROW()-2)=$CM$2+2),"SALDO ECONOMICO POSITIVO",IF(AND($CM$1&gt;$CP$1,$CP$2&gt;$CM$2,(ROW()-2)=$CP$2+3),"TOTALE A PAREGGIO",IF(AND($CM$1&gt;$CP$1,$CM$2&gt;=$CP$2,(ROW()-2)=$CM$2+3),"TOTALE A PAREGGIO",""))))))))),""),"")),"SALDO ECONOMICO POSITIVO","UTILE D'ESERCIZIO"),IF(OR($BX$1=0,$BB$1&lt;&gt;$BD$1,$BC$1&lt;&gt;$BE$1,$DS$232&lt;&gt;$DT$232,$EO$25&lt;&gt;0,$EO$26&lt;&gt;0),"",IFERROR(IF(AND(MATCH($BP$1,DENOMINAZIONE_GIORNALE,0)&gt;0,$DU$231=$DV$231,$DS$231=$DT$231),IF(AND($CP$1&gt;$CM$1,$CP$2&gt;$CM$2,(ROW()-2)=$CP$2+3),"TOTALE COSTI",IF(AND($CP$1&gt;$CM$1,$CM$2&gt;=$CP$2,(ROW()-2)=$CM$2+3),"TOTALE COSTI",IF(AND($CP$1&lt;$CM$1,$CP$2&gt;=$CM$2,(ROW()-2)=$CP$2+1),"TOTALE COSTI",IF(AND($CP$1&lt;$CM$1,$CP$2&lt;$CM$2,ROW()-2=$CM$2+1),"TOTALE COSTI",IF(AND($CP$1=$CM$1,$DU$231=$DV$231,OR($CM$2&gt;0,$CP$2&gt;0),(ROW()-2)=MAX($CP$2,$CM$2)+1),"TOTALE COSTI",IF(AND($CM$1&gt;$CP$1,$CP$2&gt;$CM$2,(ROW()-2)=$CP$2+2),"SALDO ECONOMICO POSITIVO",IF(AND($CM$1&gt;$CP$1,$CM$2&gt;=$CP$2,(ROW()-2)=$CM$2+2),"SALDO ECONOMICO POSITIVO",IF(AND($CM$1&gt;$CP$1,$CP$2&gt;$CM$2,(ROW()-2)=$CP$2+3),"TOTALE A PAREGGIO",IF(AND($CM$1&gt;$CP$1,$CM$2&gt;=$CP$2,(ROW()-2)=$CM$2+3),"TOTALE A PAREGGIO",""))))))))),""),""))))</f>
        <v/>
      </c>
      <c r="CS35" s="259">
        <f t="shared" ca="1" si="11"/>
        <v>0</v>
      </c>
      <c r="CT35" s="259">
        <f t="shared" ca="1" si="12"/>
        <v>0</v>
      </c>
      <c r="CU35" s="259">
        <f ca="1">IF(OR(CS35&gt;0,CT35&gt;0),MAX($CU$2:CU34)+1,0)</f>
        <v>0</v>
      </c>
      <c r="CV35" s="259" t="str">
        <f ca="1">IFERROR(INDEX(PIANO_DEI_CONTI,MATCH(ROWS($CV$3:CV35),$CU$3:$CU$200,0),2),"")</f>
        <v/>
      </c>
      <c r="CW35" s="259">
        <f ca="1">IFERROR(IF(CV35&lt;&gt;"",MAX($CW$2:CW34)+1,0),0)</f>
        <v>0</v>
      </c>
      <c r="CX35" s="259">
        <f t="shared" ca="1" si="145"/>
        <v>2</v>
      </c>
      <c r="CY35" s="259" t="str">
        <f t="shared" ca="1" si="144"/>
        <v>MASTRO</v>
      </c>
      <c r="CZ35" s="259" t="e">
        <f t="shared" ca="1" si="147"/>
        <v>#N/A</v>
      </c>
      <c r="DA35" s="259" t="str">
        <f t="shared" ca="1" si="152"/>
        <v/>
      </c>
      <c r="DB35" s="259" t="str">
        <f t="shared" ca="1" si="148"/>
        <v/>
      </c>
      <c r="DC35" s="259" t="str">
        <f t="shared" ca="1" si="149"/>
        <v/>
      </c>
      <c r="DD35" s="259" t="str">
        <f t="shared" ca="1" si="150"/>
        <v/>
      </c>
      <c r="DE35" s="259" t="str">
        <f t="shared" ca="1" si="151"/>
        <v/>
      </c>
      <c r="DF35" s="259">
        <f ca="1">IF(AND(CX35=$DE$2,$DF$2&lt;&gt;0),0,IF(AND(DB35&lt;&gt;"",OR(DB34&lt;&gt;"",DB36&lt;&gt;"")),MAX($DF$2:DF34)+1,0))</f>
        <v>0</v>
      </c>
      <c r="DG35" s="259" t="str">
        <f>IF(OR(VALORI_INIZIALI!E40="",AND(VALORI_INIZIALI!E40&lt;&gt;"",VALORI_INIZIALI!H40=0,VALORI_INIZIALI!I40=0)),"",IFERROR(INDEX(PIANO_DEI_CONTI,MATCH(BB35,DENOMINAZIONE,0),1),0))</f>
        <v/>
      </c>
      <c r="DH35" s="259">
        <f ca="1">IFERROR(IF($J$1=1,IF(INDEX(PIANO_DEI_CONTI,MATCH($K35,DENOMINAZIONE,0),5)=$DF$1,MAX($DH$2:DH34)+1,0),IF($J$1=2,IF(INDEX(PIANO_DEI_CONTI,MATCH($K35,DENOMINAZIONE,0),7)=$DF$1,MAX($DH$2:DH34)+1,0))),0)</f>
        <v>0</v>
      </c>
      <c r="DI35" s="259">
        <f ca="1">IFERROR(INDEX($K$3:$K$220,MATCH(ROWS($DI$3:DI35),$DH$3:$DH$220,0),1),0)</f>
        <v>0</v>
      </c>
      <c r="DJ35" s="259">
        <f t="shared" ca="1" si="14"/>
        <v>0</v>
      </c>
      <c r="DK35" s="259">
        <f ca="1">IF(DJ35=0,0,MAX(DK$2:DK34)+1)</f>
        <v>0</v>
      </c>
      <c r="DL35" s="259">
        <f ca="1">IFERROR(INDEX(PIANO_DEI_CONTI,MATCH(ROWS(DL$3:DL35),$DK$3:DK262,0),2),0)</f>
        <v>0</v>
      </c>
      <c r="DM35" s="259">
        <f t="shared" ca="1" si="15"/>
        <v>0</v>
      </c>
      <c r="DN35" s="259">
        <f t="shared" ca="1" si="16"/>
        <v>0</v>
      </c>
      <c r="DO35" s="259">
        <f t="shared" ca="1" si="69"/>
        <v>0</v>
      </c>
      <c r="DP35" s="259">
        <f t="shared" ca="1" si="70"/>
        <v>0</v>
      </c>
      <c r="DQ35" s="259">
        <f ca="1">IF(OR($DQ$1="TOTALI",$DQ$1="TOTALI ED ECCEDENZE"),IF(OR(DM35&gt;0,DN35&gt;0),MAX(DQ$2:DQ34)+1,0),IF($DQ$1="ECCEDENZE",IF(OR(DO35&gt;0,DP35&gt;0),MAX(DQ$2:DQ34)+1,0),""))</f>
        <v>0</v>
      </c>
      <c r="DR35" s="259" t="str">
        <f ca="1">IFERROR(INDEX($DL$3:$DQ$230,MATCH(ROWS(DR$3:DR35),$DQ$3:$DQ$230,0),1),"")</f>
        <v/>
      </c>
      <c r="DS35" s="259" t="str">
        <f t="shared" ca="1" si="71"/>
        <v/>
      </c>
      <c r="DT35" s="259" t="str">
        <f t="shared" ca="1" si="72"/>
        <v/>
      </c>
      <c r="DU35" s="259" t="str">
        <f t="shared" ca="1" si="73"/>
        <v/>
      </c>
      <c r="DV35" s="259" t="str">
        <f t="shared" ca="1" si="74"/>
        <v/>
      </c>
      <c r="DW35" s="259">
        <f t="shared" ca="1" si="75"/>
        <v>0</v>
      </c>
      <c r="DX35" s="259" t="str">
        <f t="shared" ca="1" si="76"/>
        <v/>
      </c>
      <c r="DY35" s="259" t="str">
        <f t="shared" ca="1" si="77"/>
        <v/>
      </c>
      <c r="DZ35" s="259" t="str">
        <f t="shared" ca="1" si="78"/>
        <v/>
      </c>
      <c r="EA35" s="259">
        <f t="shared" ca="1" si="79"/>
        <v>33</v>
      </c>
      <c r="EB35" s="259" t="s">
        <v>353</v>
      </c>
      <c r="ED35" s="259">
        <f t="shared" ca="1" si="17"/>
        <v>0</v>
      </c>
      <c r="EE35" s="259" t="str">
        <f t="shared" ref="EE35:EE66" ca="1" si="155">IF($EV$1&gt;0,"",IF(AND(IF(OR($BX$1=0,$BB$1&lt;&gt;$BD$1,$BC$1&lt;&gt;$BE$1,$DS$232&lt;&gt;$DT$232,$EO$25&lt;&gt;0,$EO$26&lt;&gt;0)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RICAVI",IF(AND($DU$231=$DV$231,$CP$1=$CM$1,OR($CM$2&gt;0,$CP$2&gt;0),(ROW()-2)=MAX($CM$2,$CP$2)+1),"TOTALE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RICAVI","")))))))))),""),""))="SALDO ECONOMICO NEGATIVO",$EO$1=TRUE),SUBSTITUTE(IF($DS$232&lt;&gt;$DT$232,"",IFERROR(IF(AND(MATCH($BP$1,DENOMINAZIONE_GIORNALE,0)&gt;0,$DU$231=$DV$231,$DS$231=$DT$231),IF(AND($CP$1&gt;$CM$1,$CP$2&gt;$CM$2,(ROW()-2)=$CP$2+3),"TOTALE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RICAVI",IF(AND($DU$231=$DV$231,$CP$1=$CM$1,OR($CM$2&gt;0,$CP$2&gt;0),(ROW()-2)=MAX($CP$2,$CM$2)+1),"TOTALE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RICAVI","")))))))))),""),"")),"SALDO ECONOMICO NEGATIVO","PERDITA D'ESERCIZIO"),IF(OR($BX$1=0,$BB$1&lt;&gt;$BD$1,$BC$1&lt;&gt;$BE$1,$DS$232&lt;&gt;$DT$232,$EO$25&lt;&gt;0,$EO$26&lt;&gt;0),"",IFERROR(IF(AND(MATCH($BP$1,DENOMINAZIONE_GIORNALE,0)&gt;0,$DU$231=$DV$231,$DS$231=$DT$231),IF(AND($CP$1&gt;$CM$1,$CP$2&gt;$CM$2,(ROW()-2)=$CP$2+3),"TOTALE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RICAVI",IF(AND($DU$231=$DV$231,$CP$1=$CM$1,OR($CM$2&gt;0,$CP$2&gt;0),(ROW()-2)=MAX($CP$2,$CM$2)+1),"TOTALE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RICAVI","")))))))))),""),""))))</f>
        <v/>
      </c>
      <c r="EF35" s="259" t="str">
        <f t="shared" ca="1" si="19"/>
        <v/>
      </c>
      <c r="EG35" s="259" t="str">
        <f t="shared" ca="1" si="136"/>
        <v/>
      </c>
      <c r="EH35" s="259" t="str">
        <f t="shared" ca="1" si="80"/>
        <v/>
      </c>
      <c r="EI35" s="260" t="b">
        <f t="shared" ca="1" si="137"/>
        <v>0</v>
      </c>
      <c r="EJ35" s="260" t="b">
        <f t="shared" ca="1" si="138"/>
        <v>0</v>
      </c>
      <c r="EK35" s="260" t="b">
        <f t="shared" ca="1" si="139"/>
        <v>0</v>
      </c>
      <c r="EL35" s="259">
        <f t="shared" si="81"/>
        <v>33</v>
      </c>
      <c r="EM35" s="259">
        <f ca="1">IF(AND(BA35&gt;0,BA35&lt;=$EM$1),MAX($EM$2:EM34)+1,0)</f>
        <v>0</v>
      </c>
      <c r="EN35" s="259">
        <f t="shared" ca="1" si="82"/>
        <v>35</v>
      </c>
      <c r="EP35" s="259" t="str">
        <f t="shared" ca="1" si="20"/>
        <v/>
      </c>
      <c r="EQ35" s="259">
        <f t="shared" ca="1" si="21"/>
        <v>0</v>
      </c>
      <c r="ER35" s="259">
        <f ca="1">IF(ISNA(EQ35),MAX(ER$2:ER34)+1,0)</f>
        <v>0</v>
      </c>
      <c r="ES35" s="259" t="str">
        <f t="shared" ca="1" si="83"/>
        <v/>
      </c>
      <c r="ET35" s="259" t="str">
        <f ca="1">IFERROR(UPPER(INDEX($ER$3:$ES$500,MATCH(ROWS(ET$3:ET35),$ER$3:$ER$500,0),2)),"")</f>
        <v/>
      </c>
      <c r="EU35" s="259" t="str">
        <f ca="1">IF(AND(EO1=TRUE,EV35&gt;0),CONCATENATE("non sono state rilevate le imposte al 31/12/",EW1),"")</f>
        <v/>
      </c>
      <c r="EV35" s="259">
        <v>0</v>
      </c>
      <c r="EY35" s="259">
        <f t="shared" ca="1" si="84"/>
        <v>0</v>
      </c>
      <c r="EZ35" s="259">
        <f t="shared" ca="1" si="84"/>
        <v>0</v>
      </c>
      <c r="FA35" s="259" t="str">
        <f t="shared" ca="1" si="85"/>
        <v/>
      </c>
      <c r="FB35" s="259">
        <f t="shared" ca="1" si="86"/>
        <v>0</v>
      </c>
      <c r="FC35" s="259">
        <f t="shared" ca="1" si="87"/>
        <v>0</v>
      </c>
      <c r="FD35" s="259">
        <f t="shared" ca="1" si="22"/>
        <v>0</v>
      </c>
      <c r="FE35" s="259" t="str">
        <f t="shared" ca="1" si="23"/>
        <v/>
      </c>
      <c r="FF35" s="259" t="str">
        <f t="shared" ca="1" si="88"/>
        <v/>
      </c>
      <c r="FG35" s="259" t="str">
        <f t="shared" si="89"/>
        <v>CAMBIALI ATTIVE</v>
      </c>
      <c r="FH35" s="259">
        <f t="shared" ref="FH35:FH98" ca="1" si="156">IF(AND(INDEX(PIANO_DEI_CONTI,MATCH($FG35,DENOMINAZIONE,0),4)="D",SUMIFS(dare_grezzo,den_grezzo,$FG35,data_grezzo,"&lt;"&amp;INIZIO_AC,data_grezzo,"&gt;="&amp;INIZIO_A_PC)&gt;=SUMIFS(avere_grezzo,den_grezzo,$FG35,data_grezzo,"&lt;"&amp;INIZIO_AC,data_grezzo,"&gt;="&amp;INIZIO_A_PC)),SUMIFS(dare_grezzo,den_grezzo,$FG35,data_grezzo,"&lt;"&amp;INIZIO_AC,data_grezzo,"&gt;="&amp;INIZIO_A_PC),IF(AND(INDEX(PIANO_DEI_CONTI,MATCH($FG35,DENOMINAZIONE,0),4)="A",SUMIFS(avere_grezzo,den_grezzo,$FG35,data_grezzo,"&lt;"&amp;INIZIO_AC,data_grezzo,"&gt;="&amp;INIZIO_A_PC)&gt;=SUMIFS(dare_grezzo,den_grezzo,$FG35,data_grezzo,"&lt;"&amp;INIZIO_AC,data_grezzo,"&gt;="&amp;INIZIO_A_PC)),SUMIFS(dare_grezzo,den_grezzo,$FG35,data_grezzo,"&lt;"&amp;INIZIO_AC,data_grezzo,"&gt;="&amp;INIZIO_A_PC),IF(INDEX(PIANO_DEI_CONTI,MATCH($FG35,DENOMINAZIONE,0),4)="D/A",SUMIFS(dare_grezzo,den_grezzo,$FG35,data_grezzo,"&lt;"&amp;INIZIO_AC,data_grezzo,"&gt;="&amp;INIZIO_A_PC),0)))</f>
        <v>0</v>
      </c>
      <c r="FI35" s="259">
        <f t="shared" ca="1" si="25"/>
        <v>0</v>
      </c>
      <c r="FJ35" s="259">
        <f t="shared" ca="1" si="90"/>
        <v>0</v>
      </c>
      <c r="FK35" s="259">
        <f t="shared" ca="1" si="91"/>
        <v>0</v>
      </c>
      <c r="FL35" s="259">
        <f ca="1">IF(OR(FJ35&gt;0,FK35&gt;0),MAX($FL$2:FL34)+1,0)</f>
        <v>0</v>
      </c>
      <c r="FM35" s="259">
        <f t="shared" ca="1" si="26"/>
        <v>0</v>
      </c>
      <c r="FN35" s="259">
        <f ca="1">IF(FM35&lt;0,MAX($FN$2:FN34)+1,0)</f>
        <v>0</v>
      </c>
      <c r="FO35" s="259" t="str">
        <f t="shared" ca="1" si="92"/>
        <v/>
      </c>
      <c r="FP35" s="259" t="str">
        <f ca="1">IFERROR(INDEX($FN$3:$FO$400,MATCH(ROWS($FP$3:FP35),$FN$3:$FN$400,0),2),"")</f>
        <v/>
      </c>
      <c r="FQ35" s="259" t="str">
        <f>IF(AE35="SE AVERE",MAX($FQ$2:FQ34)+1,"")</f>
        <v/>
      </c>
      <c r="FR35" s="259" t="str">
        <f>IF(AE35="SE DARE",MAX($FR$2:FR34)+1,"")</f>
        <v/>
      </c>
      <c r="FS35" s="259">
        <f ca="1">IF(AND(AE35="SP DARE",AA35&lt;&gt;$FS$1,AA35&lt;&gt;$FT$1),MAX($FS$2:FS34)+1,IF(AND(GQ35="SP DARE",AA35&lt;&gt;$FS$1,AA35&lt;&gt;$FT$1),MAX($FS$2:FS34)+1,""))</f>
        <v>111</v>
      </c>
      <c r="FT35" s="259" t="str">
        <f ca="1">IF(AND(AE35="SP AVERE",AA35&lt;&gt;$FU$1),MAX($FT$2:FT34)+1,IF(AND(GQ35="SP AVERE",AA35&lt;&gt;$FU$1),MAX($FT$2:FT34)+1,""))</f>
        <v/>
      </c>
      <c r="FU35" s="259">
        <f t="shared" ca="1" si="93"/>
        <v>111</v>
      </c>
      <c r="FV35" s="259" t="str">
        <f t="shared" si="94"/>
        <v>CAMBIALI ATTIVE</v>
      </c>
      <c r="FW35" s="259" t="str">
        <f ca="1">IFERROR(INDEX($FU$3:$FV$500,MATCH(ROWS($FW$3:FW35),$FU$3:$FU$500,0),2),0)</f>
        <v>COSTI DI VIGILANZA</v>
      </c>
      <c r="FX35" s="259">
        <f t="shared" ca="1" si="95"/>
        <v>33</v>
      </c>
      <c r="FY35" s="259">
        <f t="shared" ca="1" si="96"/>
        <v>0</v>
      </c>
      <c r="FZ35" s="259">
        <f ca="1">IF(FY35&gt;0,MAX($FZ$2:FZ34)+1,0)</f>
        <v>0</v>
      </c>
      <c r="GA35" s="259">
        <f ca="1">IFERROR(INDEX($FY$3:$FZ$500,MATCH(ROWS($GA$3:GA35),$FZ$3:$FZ$500,0),1),0)</f>
        <v>0</v>
      </c>
      <c r="GC35" s="259">
        <f t="shared" ca="1" si="97"/>
        <v>33</v>
      </c>
      <c r="GD35" s="259" t="str">
        <f t="shared" ca="1" si="98"/>
        <v>COSTI DI VIGILANZA</v>
      </c>
      <c r="GG35" s="259">
        <f t="shared" ca="1" si="27"/>
        <v>0</v>
      </c>
      <c r="GH35" s="259">
        <f t="shared" ca="1" si="99"/>
        <v>0</v>
      </c>
      <c r="GI35" s="259">
        <f t="shared" ca="1" si="100"/>
        <v>0</v>
      </c>
      <c r="GJ35" s="259">
        <f t="shared" ca="1" si="101"/>
        <v>0</v>
      </c>
      <c r="GK35" s="259">
        <f t="shared" ca="1" si="102"/>
        <v>0</v>
      </c>
      <c r="GL35" s="259">
        <f t="shared" ca="1" si="103"/>
        <v>0</v>
      </c>
      <c r="GM35" s="259">
        <f ca="1">IF(OR(GK35&gt;0,GL35&gt;0),MAX($GM$2:GM34)+1,0)</f>
        <v>0</v>
      </c>
      <c r="GN35" s="259" t="str">
        <f ca="1">IFERROR(INDEX($GD$3:$GM$400,MATCH(ROWS($GN$3:GN35),$GM$3:$GM$400,0),1),"")</f>
        <v/>
      </c>
      <c r="GO35" s="259" t="str">
        <f ca="1">IFERROR(INDEX($GD$3:$GM$400,MATCH(ROWS($GO$3:GO35),$GM$3:$GM$400,0),8),"")</f>
        <v/>
      </c>
      <c r="GP35" s="259" t="str">
        <f ca="1">IFERROR(INDEX($GD$3:$GM$400,MATCH(ROWS($GP$3:GP35),$GM$3:$GM$400,0),9),"")</f>
        <v/>
      </c>
      <c r="GQ35" s="259">
        <f t="shared" ca="1" si="28"/>
        <v>0</v>
      </c>
      <c r="GR35" s="259">
        <f t="shared" ca="1" si="104"/>
        <v>0</v>
      </c>
      <c r="GS35" s="259" t="str">
        <f t="shared" si="105"/>
        <v>epilogo a Conto economico</v>
      </c>
      <c r="GT35" s="259" t="str">
        <f ca="1">IFERROR(INDEX($GD$3:$GS$400,MATCH(ROWS($GT$3:GT35),$GM$3:$GM$400,0),16),"")</f>
        <v/>
      </c>
      <c r="GU35" s="259">
        <f ca="1">IF(GQ35&lt;&gt;0,MAX($GU$2:$GU34)+1,0)</f>
        <v>0</v>
      </c>
      <c r="GV35" s="259">
        <f t="shared" ca="1" si="106"/>
        <v>0</v>
      </c>
      <c r="GW35" s="259" t="str">
        <f ca="1">IF(AND(IFERROR(INDEX($GU$3:$GV$400,MATCH(ROWS($GW$3:GW35),$GU$3:$GU$400,0),2),"")&lt;&gt;"",GW36&lt;&gt;""),CONCATENATE(IFERROR(INDEX($GU$3:$GV$400,MATCH(ROWS($GW$3:GW35),$GU$3:$GU$400,0),2),"")," - "),IFERROR(INDEX($GU$3:$GV$400,MATCH(ROWS($GW$3:GW35),$GU$3:$GU$400,0),2),""))</f>
        <v/>
      </c>
      <c r="GX35" s="259">
        <f ca="1">IF(OR(GN35="IVA NS/CREDITO",GN35="IVA NS/DEBITO",GN35="IVA C/ACCONTO",GN35="IMPOSTE C/ACCONTO"),MAX($GX$2:GX34)+1,0)</f>
        <v>0</v>
      </c>
      <c r="GY35" s="259" t="str">
        <f ca="1">IF(AND(IFERROR(INDEX($GN$3:$GX$200,MATCH(ROWS($GY$3:GY35),$GX$3:$GX$200,0),1),"")&lt;&gt;"",GY36&lt;&gt;""),CONCATENATE(IFERROR(INDEX($GN$3:$GX$200,MATCH(ROWS($GY$3:GY35),$GX$3:$GX$200,0),1),"")," - "),IFERROR(INDEX($GN$3:$GX$200,MATCH(ROWS($GY$3:GY35),$GX$3:$GX$200,0),1),""))</f>
        <v/>
      </c>
      <c r="GZ35" s="259" t="s">
        <v>46</v>
      </c>
      <c r="HA35" s="270" t="s">
        <v>47</v>
      </c>
      <c r="HL35" s="259" t="str">
        <f t="shared" ref="HL35:HL66" ca="1" si="157">IFERROR(IF(INDEX(PIANO_DEI_CONTI,MATCH($BB35,DENOMINAZIONE,0),6)="SP dare",$BB35,IF(AND(INDEX(PIANO_DEI_CONTI,MATCH($BB35,DENOMINAZIONE,0),6)="SP DARE/AVERE",$BD35&gt;=$BE35),$BB35,"")),"")</f>
        <v/>
      </c>
      <c r="HM35" s="259" t="str">
        <f t="shared" ref="HM35:HM66" ca="1" si="158">IFERROR(IF(AND(INDEX(PIANO_DEI_CONTI,MATCH($BB35,DENOMINAZIONE,0),6)="SP AVERE",$BB35&lt;&gt;"PATRIMONIO NETTO"),$BB35,IF(AND(INDEX(PIANO_DEI_CONTI,MATCH($BB35,DENOMINAZIONE,0),6)="SP DARE/AVERE",$BD35&lt;=$BE35),$BB35,"")),"")</f>
        <v/>
      </c>
      <c r="HN35" s="259" t="str">
        <f t="shared" ref="HN35:HN66" ca="1" si="159">IFERROR(IF(AND(INDEX(PIANO_DEI_CONTI,MATCH($BB35,DENOMINAZIONE,0),6)="SP AVERE",$BB35="PATRIMONIO NETTO"),$BB35,""),"")</f>
        <v/>
      </c>
      <c r="HO35" s="259">
        <f ca="1">IF(HL35&lt;&gt;"",MAX($HO$2:HO34)+1,0)</f>
        <v>0</v>
      </c>
      <c r="HP35" s="259">
        <f ca="1">IF(HM35&lt;&gt;"",MAX($HP$2:HP34)+1,0)</f>
        <v>0</v>
      </c>
      <c r="HQ35" s="259">
        <f ca="1">IF(HN35&lt;&gt;"",MAX($HQ$2:HQ34)+1,0)</f>
        <v>0</v>
      </c>
      <c r="HR35" s="259" t="str">
        <f t="shared" ca="1" si="107"/>
        <v/>
      </c>
      <c r="HS35" s="259" t="str">
        <f t="shared" ca="1" si="108"/>
        <v/>
      </c>
      <c r="HT35" s="259">
        <f t="shared" ca="1" si="109"/>
        <v>0</v>
      </c>
      <c r="HU35" s="259">
        <f t="shared" ca="1" si="110"/>
        <v>0</v>
      </c>
      <c r="HV35" s="259" t="str">
        <f ca="1">CONCATENATE(IFERROR(INDEX($HS$3:$HT$102,MATCH(ROWS($HV$3:HV35),$HT$3:$HT$102,0),1),""),HR35)</f>
        <v/>
      </c>
      <c r="IC35" s="259">
        <f ca="1">IFERROR(INDEX(PIANO_DEI_CONTI,MATCH(ROWS(DL$3:DL35),$DK$3:DK262,0),2),0)</f>
        <v>0</v>
      </c>
      <c r="ID35" s="259">
        <f t="shared" ca="1" si="111"/>
        <v>0</v>
      </c>
      <c r="IE35" s="259">
        <f t="shared" ca="1" si="112"/>
        <v>0</v>
      </c>
      <c r="IF35" s="259">
        <f t="shared" ca="1" si="113"/>
        <v>0</v>
      </c>
      <c r="IH35" s="259">
        <f>IF(IG35&lt;&gt;0,MAX($IH$2:IH34)+1,0)</f>
        <v>0</v>
      </c>
      <c r="II35" s="259">
        <f>IF(AD35="costi pluriennali",MAX($II$2:II34)+1,0)</f>
        <v>0</v>
      </c>
      <c r="IJ35" s="259">
        <f>IF($AD35="rettifiche costi pluriennali",MAX($IJ$2:IJ34)+1,0)</f>
        <v>0</v>
      </c>
      <c r="IK35" s="259">
        <f t="shared" si="114"/>
        <v>0</v>
      </c>
      <c r="IL35" s="259" t="str">
        <f t="shared" si="115"/>
        <v/>
      </c>
      <c r="IM35" s="259">
        <f t="shared" ca="1" si="116"/>
        <v>0</v>
      </c>
      <c r="IN35" s="259">
        <f t="shared" ca="1" si="141"/>
        <v>0</v>
      </c>
      <c r="IO35" s="259">
        <f>SUMIFS($IM$3:$IM$200,$IK$3:$IK$200,ROWS($IO$3:IO35))-SUMIFS($IN$3:$IN$200,$IK$3:$IK$200,ROWS($IO$3:IO35))</f>
        <v>0</v>
      </c>
      <c r="IP35" s="259" t="str">
        <f>IF(IO35&lt;0,INDEX($IJ$3:$IL$200,MATCH(ROWS($IP$3:IP35),$IJ$3:$IJ$200,0),3),"")</f>
        <v/>
      </c>
      <c r="IQ35" s="259">
        <f>IF(IP35&lt;&gt;"",MAX($IQ$2:IQ34)+1,0)</f>
        <v>0</v>
      </c>
      <c r="IR35" s="259" t="str">
        <f ca="1">IFERROR(INDEX($IP$3:$IQ$200,MATCH(ROWS($IR$3:IR35),$IQ$3:$IQ$200,0),1),"")</f>
        <v/>
      </c>
      <c r="IS35" s="259" t="str">
        <f t="shared" ca="1" si="117"/>
        <v/>
      </c>
      <c r="IT35" s="259" t="str">
        <f t="shared" ca="1" si="118"/>
        <v/>
      </c>
      <c r="IU35" s="259" t="str">
        <f t="shared" ca="1" si="119"/>
        <v/>
      </c>
      <c r="IV35" s="259" t="str">
        <f t="shared" ca="1" si="120"/>
        <v/>
      </c>
      <c r="IW35" s="259" t="str">
        <f t="shared" ca="1" si="121"/>
        <v/>
      </c>
      <c r="IX35" s="259" t="str">
        <f t="shared" ca="1" si="122"/>
        <v/>
      </c>
      <c r="IY35" s="259" t="str">
        <f t="shared" ca="1" si="123"/>
        <v/>
      </c>
      <c r="IZ35" s="259" t="str">
        <f t="shared" ca="1" si="124"/>
        <v/>
      </c>
      <c r="JA35" s="259" t="str">
        <f t="shared" ca="1" si="125"/>
        <v/>
      </c>
      <c r="JB35" s="259">
        <f t="shared" ca="1" si="32"/>
        <v>0</v>
      </c>
      <c r="JC35" s="259">
        <f t="shared" ca="1" si="126"/>
        <v>0</v>
      </c>
      <c r="JE35" s="259">
        <f ca="1">IFERROR(INDEX(LIBRO_GIORNALE!$N$11:$O$408,MATCH(ROWS($JE$2:JE34),LIBRO_GIORNALE!$O$11:$O$408,0),1),0)</f>
        <v>0</v>
      </c>
      <c r="JF35" s="259" t="str">
        <f t="shared" ca="1" si="127"/>
        <v>0</v>
      </c>
      <c r="JG35" s="259">
        <f t="shared" ca="1" si="128"/>
        <v>0</v>
      </c>
      <c r="JH35" s="259">
        <f ca="1">IF(JJ35&gt;0,0,MAX($JH$2:JH34)+1)</f>
        <v>33</v>
      </c>
      <c r="JI35" s="259">
        <f ca="1">IF(JG35&gt;0,MAX($JI$2:JI34)+1,0)</f>
        <v>0</v>
      </c>
      <c r="JJ35" s="259">
        <f ca="1">IFERROR(INDEX($JG$3:$JI$124,MATCH(ROWS($JJ$3:JJ35),$JI$3:$JI$124,0),1),0)</f>
        <v>0</v>
      </c>
      <c r="JK35" s="259">
        <f t="shared" ca="1" si="129"/>
        <v>0</v>
      </c>
      <c r="JL35" s="259">
        <f t="shared" ca="1" si="130"/>
        <v>33</v>
      </c>
    </row>
    <row r="36" spans="1:273">
      <c r="A36" s="259" t="str">
        <f t="shared" si="33"/>
        <v>05.01</v>
      </c>
      <c r="B36" s="259" t="str">
        <f t="shared" si="34"/>
        <v>CREDITI V/CLIENTI</v>
      </c>
      <c r="C36" s="259" t="str">
        <f t="shared" si="35"/>
        <v>F</v>
      </c>
      <c r="D36" s="259" t="str">
        <f t="shared" si="36"/>
        <v>D</v>
      </c>
      <c r="E36" s="259" t="str">
        <f t="shared" si="37"/>
        <v>CREDITI</v>
      </c>
      <c r="F36" s="259" t="str">
        <f t="shared" si="38"/>
        <v>SP DARE</v>
      </c>
      <c r="G36" s="259">
        <f t="shared" ca="1" si="39"/>
        <v>1</v>
      </c>
      <c r="H36" s="259">
        <f t="shared" ca="1" si="40"/>
        <v>1</v>
      </c>
      <c r="I36" s="259">
        <f t="shared" ca="1" si="41"/>
        <v>1</v>
      </c>
      <c r="J36" s="259" t="s">
        <v>415</v>
      </c>
      <c r="K36" s="259" t="str">
        <f ca="1">IFERROR(IF($I$1=1,INDEX($AA$3:$AS$220,MATCH(ROWS($K$3:K36),$AQ$3:$AQ$220,0),1),IF($I$1=2,INDEX($AA$3:$AS$220,MATCH(ROWS($K$3:K36),$AR$3:$AR$220,0),1),IF($I$1=3,INDEX($AA$3:$AS$220,MATCH(ROWS($K$3:K36),$AS$3:$AS$220,0),1),""))),"")</f>
        <v>CAMBIALI ALLO SCONTO</v>
      </c>
      <c r="L36" s="259">
        <f ca="1">IF(AND($L$1="VISUALIZZA TUTTI I CONTI",K36&lt;&gt;""),MAX(L35:L35)+1,IFERROR(IF($J$1=1,IF(INDEX(PIANO_DEI_CONTI,MATCH($K36,DENOMINAZIONE,0),5)=$L$1,MAX($L$2:L35)+1,0),IF($J$1=2,IF(INDEX(PIANO_DEI_CONTI,MATCH($K36,DENOMINAZIONE,0),7)=$L$1,MAX($L$2:L35)+1,0))),0))</f>
        <v>34</v>
      </c>
      <c r="M36" s="259" t="str">
        <f ca="1">IFERROR(INDEX($K$3:$K$220,MATCH(ROWS($M$3:M36),$L$3:$L$220,0),1),"")</f>
        <v>CAMBIALI ALLO SCONTO</v>
      </c>
      <c r="N36" s="259" t="str">
        <f t="shared" si="143"/>
        <v>VALORE DELLA PRODUZIONE</v>
      </c>
      <c r="O36" s="259" t="str">
        <f t="shared" ca="1" si="142"/>
        <v>VALORE DELLA PRODUZIONE</v>
      </c>
      <c r="P36" s="259">
        <f ca="1">IF(AND(N36=O36,O36&lt;&gt;""),MAX(P$2:P35)+1,0)</f>
        <v>19</v>
      </c>
      <c r="Q36" s="259" t="str">
        <f ca="1">IF(IFERROR(INDEX($O$3:$P$220,MATCH(ROWS(Q$3:Q36),$P$3:$P$220,0),1),"")=0,"",IFERROR(INDEX($O$3:$P$220,MATCH(ROWS(Q$3:Q36),$P$3:$P$220,0),1),""))</f>
        <v/>
      </c>
      <c r="R36" s="259" t="str">
        <f t="shared" si="1"/>
        <v>CAMBIALI ALLO SCONTO</v>
      </c>
      <c r="S36" s="259">
        <f ca="1">IF(IFERROR(MATCH(R36,DENOMINAZIONE_GIORNALE,0),0)&gt;0,MAX(S$2:S35)+1,0)</f>
        <v>0</v>
      </c>
      <c r="T36" s="259" t="str">
        <f ca="1">IFERROR(INDEX($R$3:$S$220,MATCH(ROWS($T$3:T36),$S$3:$S$220,0),1),"")</f>
        <v/>
      </c>
      <c r="U36" s="259">
        <f t="shared" ca="1" si="2"/>
        <v>0</v>
      </c>
      <c r="V36" s="259">
        <f ca="1">IF(IF(U36&lt;&gt;0,MAX($V$2:V35)+1,0)=0,0,IF(U36&lt;&gt;0,MAX($V$2:V35)+1,0))</f>
        <v>0</v>
      </c>
      <c r="W36" s="259" t="str">
        <f t="shared" si="43"/>
        <v>05.01</v>
      </c>
      <c r="X36" s="259" t="str">
        <f t="shared" si="44"/>
        <v>CREDITI V/CLIENTI</v>
      </c>
      <c r="Y36" s="259">
        <f>IF(W36="",0,MAX($Y$2:Y35)+1)</f>
        <v>29</v>
      </c>
      <c r="Z36" s="259" t="str">
        <f>IFERROR(INDEX($W$3:$Y$220,MATCH(ROWS($Z$2:Z35),$Y$3:$Y$220,0),1),"")</f>
        <v>05.07</v>
      </c>
      <c r="AA36" s="259" t="str">
        <f t="shared" si="45"/>
        <v>CAMBIALI ALLO SCONTO</v>
      </c>
      <c r="AB36" s="259" t="str">
        <f t="shared" si="46"/>
        <v>F</v>
      </c>
      <c r="AC36" s="259" t="str">
        <f t="shared" si="47"/>
        <v>D</v>
      </c>
      <c r="AD36" s="259" t="str">
        <f t="shared" si="48"/>
        <v>CREDITI</v>
      </c>
      <c r="AE36" s="259" t="str">
        <f t="shared" si="49"/>
        <v>SP DARE</v>
      </c>
      <c r="AF36" s="259" t="str">
        <f t="shared" si="50"/>
        <v>CREDITI COMMERCIALI</v>
      </c>
      <c r="AG36" s="259">
        <f t="shared" ca="1" si="51"/>
        <v>0</v>
      </c>
      <c r="AH36" s="259">
        <f t="shared" ca="1" si="52"/>
        <v>1</v>
      </c>
      <c r="AI36" s="259">
        <f t="shared" ca="1" si="53"/>
        <v>1</v>
      </c>
      <c r="AJ36" s="259" t="str">
        <f t="shared" si="54"/>
        <v>05</v>
      </c>
      <c r="AK36" s="259" t="str">
        <f t="shared" si="55"/>
        <v/>
      </c>
      <c r="AL36" s="259">
        <f>IF(AK36&lt;&gt;"",MAX($AL$2:AL35)+1,0)</f>
        <v>0</v>
      </c>
      <c r="AM36" s="259" t="str">
        <f>IFERROR(INDEX($AK$3:$AL$220,MATCH(ROWS($AM$3:AM36),$AL$3:$AL$220,0),1),"")</f>
        <v/>
      </c>
      <c r="AN36" s="259" t="str">
        <f t="shared" si="56"/>
        <v/>
      </c>
      <c r="AO36" s="259" t="str">
        <f t="shared" si="57"/>
        <v/>
      </c>
      <c r="AP36" s="259" t="str">
        <f t="shared" si="58"/>
        <v>CREDITI COMMERCIALI</v>
      </c>
      <c r="AQ36" s="259">
        <f ca="1">IF(OR(AG36=0,AG36=""),0,MAX(AQ$2:AQ35)+1)</f>
        <v>0</v>
      </c>
      <c r="AR36" s="259">
        <f ca="1">IF(OR(AH36=0,AH36=""),0,MAX(AR$2:AR35)+1)</f>
        <v>30</v>
      </c>
      <c r="AS36" s="259">
        <f ca="1">IF(OR(AI36=0,AI36=""),0,MAX(AS$2:AS35)+1)</f>
        <v>34</v>
      </c>
      <c r="AT36" s="259" t="str">
        <f ca="1">IFERROR(INDEX($AD$3:$AS$220,MATCH(ROWS(AT$3:AT36),AQ$3:AQ$220,0),1),"")</f>
        <v>DEBITI</v>
      </c>
      <c r="AU36" s="259" t="str">
        <f ca="1">IFERROR(INDEX($AD$3:$AS$220,MATCH(ROWS(AU$3:AU36),AR$3:AR$220,0),1),"")</f>
        <v>CREDITI</v>
      </c>
      <c r="AV36" s="259" t="str">
        <f ca="1">IFERROR(INDEX($AD$3:$AS$220,MATCH(ROWS(AV$3:AV36),AS$3:AS$220,0),1),"")</f>
        <v>CREDITI</v>
      </c>
      <c r="AW36" s="259" t="str">
        <f ca="1">IFERROR(INDEX($AP$3:$AS$220,MATCH(ROWS(AW$3:AW36),AQ$3:AQ$220,0),1),"")</f>
        <v>DEBITI COMMERCIALI</v>
      </c>
      <c r="AX36" s="259" t="str">
        <f ca="1">IFERROR(INDEX($AP$3:$AS$220,MATCH(ROWS(AX$3:AX36),AR$3:AR$220,0),1),"")</f>
        <v>CREDITI COMMERCIALI</v>
      </c>
      <c r="AY36" s="259" t="str">
        <f ca="1">IFERROR(INDEX($AP$3:$AS$220,MATCH(ROWS(AY$3:AY36),AS$3:AS$220,0),1),"")</f>
        <v>CREDITI COMMERCIALI</v>
      </c>
      <c r="AZ36" s="276" t="str">
        <f t="shared" ca="1" si="59"/>
        <v/>
      </c>
      <c r="BA36" s="259">
        <f t="shared" ca="1" si="153"/>
        <v>0</v>
      </c>
      <c r="BB36" s="259">
        <f ca="1">IFERROR(INDEX($FG$3:$FL$400,MATCH(ROWS($BB$3:BB36),$FL$3:$FL$400,0),1),0)</f>
        <v>0</v>
      </c>
      <c r="BC36" s="259" t="str">
        <f t="shared" ca="1" si="60"/>
        <v/>
      </c>
      <c r="BD36" s="259">
        <f ca="1">IFERROR(INDEX($FG$3:$FL$400,MATCH(ROWS($BD$3:BD36),$FL$3:$FL$400,0),4),0)</f>
        <v>0</v>
      </c>
      <c r="BE36" s="259">
        <f ca="1">IFERROR(INDEX($FG$3:$FL$400,MATCH(ROWS($BE$3:BE36),$FL$3:$FL$400,0),5),0)</f>
        <v>0</v>
      </c>
      <c r="BG36" s="259" t="str">
        <f t="shared" si="4"/>
        <v/>
      </c>
      <c r="BH36" s="259">
        <f ca="1">IF(IFERROR(MATCH(BG36,DENOMINAZIONE_GIORNALE,0),0)&gt;0,MAX(BH$2:BH35)+1,0)</f>
        <v>0</v>
      </c>
      <c r="BI36" s="259" t="str">
        <f ca="1">IFERROR(INDEX($BG$3:$BH$220,MATCH(ROWS($BI$3:BI36),$BH$3:$BH$220,0),1),"")</f>
        <v/>
      </c>
      <c r="BJ36" s="259" t="str">
        <f t="shared" ca="1" si="5"/>
        <v/>
      </c>
      <c r="BK36" s="259" t="str">
        <f ca="1">IF(IF(BJ36&lt;&gt;"",MAX($BK$2:BK35)+1,0)=0,"",IF(BJ36&lt;&gt;"",MAX($BK$2:BK35)+1,0))</f>
        <v/>
      </c>
      <c r="BL36" s="259" t="str">
        <f ca="1">IFERROR(INDEX($T$3:$U$220, MATCH(ROWS(BL$3:BL36),$V$3:$V$220,0),1),"")</f>
        <v/>
      </c>
      <c r="BM36" s="259" t="str">
        <f ca="1">IFERROR(INDEX($T$3:$U$220, MATCH(ROWS(BM$3:BM36),$V$3:$V$220,0),2),"")</f>
        <v/>
      </c>
      <c r="BN36" s="259" t="str">
        <f ca="1">IF(IFERROR(INDEX($BI$3:$BJ$220,MATCH(ROWS(BN$3:BN36),$BK$3:$BK$220,0),1),"")="PATRIMONIO NETTO","",IFERROR(INDEX($BI$3:$BJ$220,MATCH(ROWS(BN$3:BN36),$BK$3:$BK$220,0),1),""))</f>
        <v/>
      </c>
      <c r="BO36" s="259" t="str">
        <f ca="1">IFERROR(INDEX($BI$3:$BJ$220,MATCH(ROWS(BO$3:BO36),$BK$3:$BK$220,0),2),"")</f>
        <v/>
      </c>
      <c r="BP36" s="259">
        <f ca="1">IF(BN36&lt;&gt;"",MAX(BP$2:$BP35)+1,0)</f>
        <v>0</v>
      </c>
      <c r="BQ36" s="259" t="str">
        <f ca="1">IFERROR(INDEX($BN$3:$BO$200,MATCH(ROWS(BQ$3:BQ36),$BP$3:$BP$220,0),1),"")</f>
        <v/>
      </c>
      <c r="BR36" s="259" t="str">
        <f ca="1">IFERROR(INDEX($BN$3:$BO$220,MATCH(ROWS(BR$3:BR36),$BP$3:$BP$220,0),2),"")</f>
        <v/>
      </c>
      <c r="BS36" s="259" t="str">
        <f ca="1">IFERROR(IF(OR(INDEX($T$3:$U$220,MATCH(ROWS(BL$3:BL36),$V$3:$V$220,0),1)="PRELEVAMENTI EXTRAGESTIONE",INDEX($T$3:$U$220,MATCH(ROWS(BL$3:BL36),$V$3:$V$220,0),1)="TITOLARE C/RITENUTE SUBITE"),"",INDEX($T$3:$U$220,MATCH(ROWS(BL$3:BL36),$V$3:$V$220,0),1)),"")</f>
        <v/>
      </c>
      <c r="BT36" s="259">
        <f t="shared" ca="1" si="61"/>
        <v>0</v>
      </c>
      <c r="BU36" s="259">
        <f ca="1">IF(BS36&lt;&gt;"",MAX(BU$2:BU35)+1,0)</f>
        <v>0</v>
      </c>
      <c r="BV36" s="259" t="str">
        <f ca="1">IFERROR(INDEX($BS$3:$BT$223,MATCH(ROWS(BV$3:BV36),$BU$3:$BU$223,0),1),"")</f>
        <v/>
      </c>
      <c r="BW36" s="259">
        <f t="shared" ca="1" si="62"/>
        <v>0</v>
      </c>
      <c r="BX36" s="259" t="str">
        <f t="shared" ca="1" si="63"/>
        <v/>
      </c>
      <c r="BY36" s="259" t="str">
        <f t="shared" ca="1" si="64"/>
        <v/>
      </c>
      <c r="BZ36" s="259" t="str">
        <f ca="1">IFERROR(IF(OR($DS$231&lt;&gt;$DT$231,$DU$231&lt;&gt;$DV$231,$EO$25&lt;&gt;0,$EO$26&lt;&gt;0),INDEX($T$3:$V$220,MATCH(ROWS($BV$3:BV36),$V$3:$V$220,0),1),CONCATENATE(BV36,BY36)),"")</f>
        <v/>
      </c>
      <c r="CA36" s="259">
        <f t="shared" ca="1" si="65"/>
        <v>0</v>
      </c>
      <c r="CB36" s="259" t="str">
        <f ca="1">IFERROR(IF(OR($BB$1&lt;&gt;$BD$1,$BC$1&lt;&gt;$BE$1,$DS$231&lt;&gt;$DT$231,$DU$231&lt;&gt;$DV$231,$EO$25&lt;&gt;0,$EO$26&lt;&gt;0),INDEX($BI$3:$BK$220,MATCH(ROWS($CB$3:CB36),$BK$3:$BK$220,0),1),CONCATENATE(BQ36,BX36)),"")</f>
        <v/>
      </c>
      <c r="CC36" s="259" t="str">
        <f t="shared" ca="1" si="66"/>
        <v/>
      </c>
      <c r="CD36" s="259" t="str">
        <f t="shared" si="6"/>
        <v/>
      </c>
      <c r="CE36" s="259">
        <f ca="1">IF(IFERROR(MATCH(CD36,DENOMINAZIONE_GIORNALE,0),0)&gt;0,MAX(CE$2:CE35)+1,0)</f>
        <v>0</v>
      </c>
      <c r="CF36" s="259" t="str">
        <f ca="1">IFERROR(INDEX($CD$3:$CE$220,MATCH(ROWS($CF$3:CF36),$CE$3:$CE$220,0),1),"")</f>
        <v/>
      </c>
      <c r="CG36" s="259">
        <f t="shared" ca="1" si="7"/>
        <v>0</v>
      </c>
      <c r="CH36" s="259" t="str">
        <f ca="1">IF(IF(CG36&lt;&gt;0,MAX($CH$2:CH35)+1,0)=0,"",IF(CG36&lt;&gt;"",MAX($CH$2:CH35)+1,0))</f>
        <v/>
      </c>
      <c r="CI36" s="259" t="str">
        <f ca="1">IFERROR(INDEX($CF$3:$CG$220,MATCH(ROWS($CI$3:CI36),$CH$3:$CH$220,0),1),"")</f>
        <v/>
      </c>
      <c r="CJ36" s="259" t="str">
        <f t="shared" ca="1" si="67"/>
        <v/>
      </c>
      <c r="CK36" s="259" t="str">
        <f t="shared" si="8"/>
        <v/>
      </c>
      <c r="CL36" s="259">
        <f ca="1">IF(IFERROR(MATCH(CK36,DENOMINAZIONE_GIORNALE,0),0)&gt;0,MAX(CL$2:CL35)+1,0)</f>
        <v>0</v>
      </c>
      <c r="CM36" s="259" t="str">
        <f ca="1">IFERROR(INDEX($CK$3:$CL$220,MATCH(ROWS($CM$3:CM36),$CL$3:$CL$220,0),1),"")</f>
        <v/>
      </c>
      <c r="CN36" s="259" t="str">
        <f t="shared" ca="1" si="9"/>
        <v/>
      </c>
      <c r="CO36" s="259">
        <f ca="1">IF(IF(CN36&lt;&gt;0,MAX($CO$2:CO35)+1,0)=0,"",IF(CN36&lt;&gt;"",MAX($CO$2:CO35)+1,0))</f>
        <v>0</v>
      </c>
      <c r="CP36" s="259" t="str">
        <f ca="1">IFERROR(INDEX($CM$3:$CN$220,MATCH(ROWS(CP$3:CP36),$CO$3:$CO$220,0),1),"")</f>
        <v/>
      </c>
      <c r="CQ36" s="259" t="str">
        <f ca="1">IFERROR(INDEX($CM$3:$CN$220,MATCH(ROWS(CQ$3:CQ36),$CO$3:$CO$220,0),2),"")</f>
        <v/>
      </c>
      <c r="CR36" s="259" t="str">
        <f t="shared" ca="1" si="154"/>
        <v/>
      </c>
      <c r="CS36" s="259">
        <f t="shared" ca="1" si="11"/>
        <v>0</v>
      </c>
      <c r="CT36" s="259">
        <f t="shared" ca="1" si="12"/>
        <v>0</v>
      </c>
      <c r="CU36" s="259">
        <f ca="1">IF(OR(CS36&gt;0,CT36&gt;0),MAX($CU$2:CU35)+1,0)</f>
        <v>0</v>
      </c>
      <c r="CV36" s="259" t="str">
        <f ca="1">IFERROR(INDEX(PIANO_DEI_CONTI,MATCH(ROWS($CV$3:CV36),$CU$3:$CU$200,0),2),"")</f>
        <v/>
      </c>
      <c r="CW36" s="259">
        <f ca="1">IFERROR(IF(CV36&lt;&gt;"",MAX($CW$2:CW35)+1,0),0)</f>
        <v>0</v>
      </c>
      <c r="CX36" s="259">
        <f t="shared" ca="1" si="145"/>
        <v>2</v>
      </c>
      <c r="CY36" s="259" t="str">
        <f t="shared" ca="1" si="144"/>
        <v>MASTRO</v>
      </c>
      <c r="CZ36" s="259" t="e">
        <f t="shared" ca="1" si="147"/>
        <v>#N/A</v>
      </c>
      <c r="DA36" s="259" t="str">
        <f t="shared" ca="1" si="152"/>
        <v/>
      </c>
      <c r="DB36" s="259" t="str">
        <f t="shared" ca="1" si="148"/>
        <v/>
      </c>
      <c r="DC36" s="259" t="str">
        <f t="shared" ca="1" si="149"/>
        <v/>
      </c>
      <c r="DD36" s="259" t="str">
        <f t="shared" ca="1" si="150"/>
        <v/>
      </c>
      <c r="DE36" s="259" t="str">
        <f t="shared" ca="1" si="151"/>
        <v/>
      </c>
      <c r="DF36" s="259">
        <f ca="1">IF(AND(CX36=$DE$2,$DF$2&lt;&gt;0),0,IF(AND(DB36&lt;&gt;"",OR(DB35&lt;&gt;"",DB37&lt;&gt;"")),MAX($DF$2:DF35)+1,0))</f>
        <v>0</v>
      </c>
      <c r="DG36" s="259" t="str">
        <f>IF(OR(VALORI_INIZIALI!E41="",AND(VALORI_INIZIALI!E41&lt;&gt;"",VALORI_INIZIALI!H41=0,VALORI_INIZIALI!I41=0)),"",IFERROR(INDEX(PIANO_DEI_CONTI,MATCH(BB36,DENOMINAZIONE,0),1),0))</f>
        <v/>
      </c>
      <c r="DH36" s="259">
        <f ca="1">IFERROR(IF($J$1=1,IF(INDEX(PIANO_DEI_CONTI,MATCH($K36,DENOMINAZIONE,0),5)=$DF$1,MAX($DH$2:DH35)+1,0),IF($J$1=2,IF(INDEX(PIANO_DEI_CONTI,MATCH($K36,DENOMINAZIONE,0),7)=$DF$1,MAX($DH$2:DH35)+1,0))),0)</f>
        <v>0</v>
      </c>
      <c r="DI36" s="259">
        <f ca="1">IFERROR(INDEX($K$3:$K$220,MATCH(ROWS($DI$3:DI36),$DH$3:$DH$220,0),1),0)</f>
        <v>0</v>
      </c>
      <c r="DJ36" s="259">
        <f t="shared" ca="1" si="14"/>
        <v>0</v>
      </c>
      <c r="DK36" s="259">
        <f ca="1">IF(DJ36=0,0,MAX(DK$2:DK35)+1)</f>
        <v>0</v>
      </c>
      <c r="DL36" s="259">
        <f ca="1">IFERROR(INDEX(PIANO_DEI_CONTI,MATCH(ROWS(DL$3:DL36),$DK$3:DK263,0),2),0)</f>
        <v>0</v>
      </c>
      <c r="DM36" s="259">
        <f t="shared" ca="1" si="15"/>
        <v>0</v>
      </c>
      <c r="DN36" s="259">
        <f t="shared" ca="1" si="16"/>
        <v>0</v>
      </c>
      <c r="DO36" s="259">
        <f t="shared" ca="1" si="69"/>
        <v>0</v>
      </c>
      <c r="DP36" s="259">
        <f t="shared" ca="1" si="70"/>
        <v>0</v>
      </c>
      <c r="DQ36" s="259">
        <f ca="1">IF(OR($DQ$1="TOTALI",$DQ$1="TOTALI ED ECCEDENZE"),IF(OR(DM36&gt;0,DN36&gt;0),MAX(DQ$2:DQ35)+1,0),IF($DQ$1="ECCEDENZE",IF(OR(DO36&gt;0,DP36&gt;0),MAX(DQ$2:DQ35)+1,0),""))</f>
        <v>0</v>
      </c>
      <c r="DR36" s="259" t="str">
        <f ca="1">IFERROR(INDEX($DL$3:$DQ$230,MATCH(ROWS(DR$3:DR36),$DQ$3:$DQ$230,0),1),"")</f>
        <v/>
      </c>
      <c r="DS36" s="259" t="str">
        <f t="shared" ca="1" si="71"/>
        <v/>
      </c>
      <c r="DT36" s="259" t="str">
        <f t="shared" ca="1" si="72"/>
        <v/>
      </c>
      <c r="DU36" s="259" t="str">
        <f t="shared" ca="1" si="73"/>
        <v/>
      </c>
      <c r="DV36" s="259" t="str">
        <f t="shared" ca="1" si="74"/>
        <v/>
      </c>
      <c r="DW36" s="259">
        <f t="shared" ca="1" si="75"/>
        <v>0</v>
      </c>
      <c r="DX36" s="259" t="str">
        <f t="shared" ca="1" si="76"/>
        <v/>
      </c>
      <c r="DY36" s="259" t="str">
        <f t="shared" ca="1" si="77"/>
        <v/>
      </c>
      <c r="DZ36" s="259" t="str">
        <f t="shared" ca="1" si="78"/>
        <v/>
      </c>
      <c r="EA36" s="259">
        <f t="shared" ca="1" si="79"/>
        <v>34</v>
      </c>
      <c r="EB36" s="259" t="s">
        <v>353</v>
      </c>
      <c r="ED36" s="259">
        <f t="shared" ca="1" si="17"/>
        <v>0</v>
      </c>
      <c r="EE36" s="259" t="str">
        <f t="shared" ca="1" si="155"/>
        <v/>
      </c>
      <c r="EF36" s="259" t="str">
        <f t="shared" ca="1" si="19"/>
        <v/>
      </c>
      <c r="EG36" s="259" t="str">
        <f t="shared" ca="1" si="136"/>
        <v/>
      </c>
      <c r="EH36" s="259" t="str">
        <f t="shared" ca="1" si="80"/>
        <v/>
      </c>
      <c r="EI36" s="260" t="b">
        <f t="shared" ca="1" si="137"/>
        <v>1</v>
      </c>
      <c r="EJ36" s="260" t="b">
        <f t="shared" ca="1" si="138"/>
        <v>1</v>
      </c>
      <c r="EK36" s="260" t="b">
        <f t="shared" ca="1" si="139"/>
        <v>1</v>
      </c>
      <c r="EL36" s="259">
        <f t="shared" si="81"/>
        <v>34</v>
      </c>
      <c r="EM36" s="259">
        <f ca="1">IF(AND(BA36&gt;0,BA36&lt;=$EM$1),MAX($EM$2:EM35)+1,0)</f>
        <v>0</v>
      </c>
      <c r="EN36" s="259">
        <f t="shared" ca="1" si="82"/>
        <v>36</v>
      </c>
      <c r="EP36" s="259" t="str">
        <f t="shared" ca="1" si="20"/>
        <v/>
      </c>
      <c r="EQ36" s="259">
        <f t="shared" ca="1" si="21"/>
        <v>0</v>
      </c>
      <c r="ER36" s="259">
        <f ca="1">IF(ISNA(EQ36),MAX(ER$2:ER35)+1,0)</f>
        <v>0</v>
      </c>
      <c r="ES36" s="259" t="str">
        <f t="shared" ca="1" si="83"/>
        <v/>
      </c>
      <c r="ET36" s="259" t="str">
        <f ca="1">IFERROR(UPPER(INDEX($ER$3:$ES$500,MATCH(ROWS(ET$3:ET36),$ER$3:$ER$500,0),2)),"")</f>
        <v/>
      </c>
      <c r="EU36" s="259" t="str">
        <f ca="1">IF(AND(EO1=TRUE,EV36&gt;0),CONCATENATE("non ci sono rilevazioni riferite al 31/12/",EW1),"")</f>
        <v>non ci sono rilevazioni riferite al 31/12/n</v>
      </c>
      <c r="EV36" s="259">
        <f ca="1">IF(COUNTIFS($EY$3:$EY$400,"="&amp;FINE_AC)&gt;=2,0,MAX(EV35:EV35)+1)</f>
        <v>1</v>
      </c>
      <c r="EY36" s="259">
        <f t="shared" ca="1" si="84"/>
        <v>0</v>
      </c>
      <c r="EZ36" s="259">
        <f t="shared" ca="1" si="84"/>
        <v>0</v>
      </c>
      <c r="FA36" s="259" t="str">
        <f t="shared" ca="1" si="85"/>
        <v/>
      </c>
      <c r="FB36" s="259">
        <f t="shared" ca="1" si="86"/>
        <v>0</v>
      </c>
      <c r="FC36" s="259">
        <f t="shared" ca="1" si="87"/>
        <v>0</v>
      </c>
      <c r="FD36" s="259">
        <f t="shared" ca="1" si="22"/>
        <v>0</v>
      </c>
      <c r="FE36" s="259" t="str">
        <f t="shared" ca="1" si="23"/>
        <v/>
      </c>
      <c r="FF36" s="259" t="str">
        <f t="shared" ca="1" si="88"/>
        <v/>
      </c>
      <c r="FG36" s="259" t="str">
        <f t="shared" si="89"/>
        <v>CAMBIALI ALLO SCONTO</v>
      </c>
      <c r="FH36" s="259">
        <f t="shared" ca="1" si="156"/>
        <v>0</v>
      </c>
      <c r="FI36" s="259">
        <f t="shared" ca="1" si="25"/>
        <v>0</v>
      </c>
      <c r="FJ36" s="259">
        <f t="shared" ca="1" si="90"/>
        <v>0</v>
      </c>
      <c r="FK36" s="259">
        <f t="shared" ca="1" si="91"/>
        <v>0</v>
      </c>
      <c r="FL36" s="259">
        <f ca="1">IF(OR(FJ36&gt;0,FK36&gt;0),MAX($FL$2:FL35)+1,0)</f>
        <v>0</v>
      </c>
      <c r="FM36" s="259">
        <f t="shared" ca="1" si="26"/>
        <v>0</v>
      </c>
      <c r="FN36" s="259">
        <f ca="1">IF(FM36&lt;0,MAX($FN$2:FN35)+1,0)</f>
        <v>0</v>
      </c>
      <c r="FO36" s="259" t="str">
        <f t="shared" ca="1" si="92"/>
        <v/>
      </c>
      <c r="FP36" s="259" t="str">
        <f ca="1">IFERROR(INDEX($FN$3:$FO$400,MATCH(ROWS($FP$3:FP36),$FN$3:$FN$400,0),2),"")</f>
        <v/>
      </c>
      <c r="FQ36" s="259" t="str">
        <f>IF(AE36="SE AVERE",MAX($FQ$2:FQ35)+1,"")</f>
        <v/>
      </c>
      <c r="FR36" s="259" t="str">
        <f>IF(AE36="SE DARE",MAX($FR$2:FR35)+1,"")</f>
        <v/>
      </c>
      <c r="FS36" s="259">
        <f ca="1">IF(AND(AE36="SP DARE",AA36&lt;&gt;$FS$1,AA36&lt;&gt;$FT$1),MAX($FS$2:FS35)+1,IF(AND(GQ36="SP DARE",AA36&lt;&gt;$FS$1,AA36&lt;&gt;$FT$1),MAX($FS$2:FS35)+1,""))</f>
        <v>112</v>
      </c>
      <c r="FT36" s="259" t="str">
        <f ca="1">IF(AND(AE36="SP AVERE",AA36&lt;&gt;$FU$1),MAX($FT$2:FT35)+1,IF(AND(GQ36="SP AVERE",AA36&lt;&gt;$FU$1),MAX($FT$2:FT35)+1,""))</f>
        <v/>
      </c>
      <c r="FU36" s="259">
        <f t="shared" ca="1" si="93"/>
        <v>112</v>
      </c>
      <c r="FV36" s="259" t="str">
        <f t="shared" si="94"/>
        <v>CAMBIALI ALLO SCONTO</v>
      </c>
      <c r="FW36" s="259" t="str">
        <f ca="1">IFERROR(INDEX($FU$3:$FV$500,MATCH(ROWS($FW$3:FW36),$FU$3:$FU$500,0),2),0)</f>
        <v>COSTI POSTALI</v>
      </c>
      <c r="FX36" s="259">
        <f t="shared" ca="1" si="95"/>
        <v>34</v>
      </c>
      <c r="FY36" s="259">
        <f t="shared" ca="1" si="96"/>
        <v>0</v>
      </c>
      <c r="FZ36" s="259">
        <f ca="1">IF(FY36&gt;0,MAX($FZ$2:FZ35)+1,0)</f>
        <v>0</v>
      </c>
      <c r="GA36" s="259">
        <f ca="1">IFERROR(INDEX($FY$3:$FZ$500,MATCH(ROWS($GA$3:GA36),$FZ$3:$FZ$500,0),1),0)</f>
        <v>0</v>
      </c>
      <c r="GC36" s="259">
        <f t="shared" ca="1" si="97"/>
        <v>34</v>
      </c>
      <c r="GD36" s="259" t="str">
        <f t="shared" ca="1" si="98"/>
        <v>COSTI POSTALI</v>
      </c>
      <c r="GG36" s="259">
        <f t="shared" ca="1" si="27"/>
        <v>0</v>
      </c>
      <c r="GH36" s="259">
        <f t="shared" ca="1" si="99"/>
        <v>0</v>
      </c>
      <c r="GI36" s="259">
        <f t="shared" ca="1" si="100"/>
        <v>0</v>
      </c>
      <c r="GJ36" s="259">
        <f t="shared" ca="1" si="101"/>
        <v>0</v>
      </c>
      <c r="GK36" s="259">
        <f t="shared" ca="1" si="102"/>
        <v>0</v>
      </c>
      <c r="GL36" s="259">
        <f t="shared" ca="1" si="103"/>
        <v>0</v>
      </c>
      <c r="GM36" s="259">
        <f ca="1">IF(OR(GK36&gt;0,GL36&gt;0),MAX($GM$2:GM35)+1,0)</f>
        <v>0</v>
      </c>
      <c r="GN36" s="259" t="str">
        <f ca="1">IFERROR(INDEX($GD$3:$GM$400,MATCH(ROWS($GN$3:GN36),$GM$3:$GM$400,0),1),"")</f>
        <v/>
      </c>
      <c r="GO36" s="259" t="str">
        <f ca="1">IFERROR(INDEX($GD$3:$GM$400,MATCH(ROWS($GO$3:GO36),$GM$3:$GM$400,0),8),"")</f>
        <v/>
      </c>
      <c r="GP36" s="259" t="str">
        <f ca="1">IFERROR(INDEX($GD$3:$GM$400,MATCH(ROWS($GP$3:GP36),$GM$3:$GM$400,0),9),"")</f>
        <v/>
      </c>
      <c r="GQ36" s="259">
        <f t="shared" ca="1" si="28"/>
        <v>0</v>
      </c>
      <c r="GR36" s="259">
        <f t="shared" ca="1" si="104"/>
        <v>0</v>
      </c>
      <c r="GS36" s="259" t="str">
        <f t="shared" si="105"/>
        <v>epilogo a Conto economico</v>
      </c>
      <c r="GT36" s="259" t="str">
        <f ca="1">IFERROR(INDEX($GD$3:$GS$400,MATCH(ROWS($GT$3:GT36),$GM$3:$GM$400,0),16),"")</f>
        <v/>
      </c>
      <c r="GU36" s="259">
        <f ca="1">IF(GQ36&lt;&gt;0,MAX($GU$2:$GU35)+1,0)</f>
        <v>0</v>
      </c>
      <c r="GV36" s="259">
        <f t="shared" ca="1" si="106"/>
        <v>0</v>
      </c>
      <c r="GW36" s="259" t="str">
        <f ca="1">IF(AND(IFERROR(INDEX($GU$3:$GV$400,MATCH(ROWS($GW$3:GW36),$GU$3:$GU$400,0),2),"")&lt;&gt;"",GW37&lt;&gt;""),CONCATENATE(IFERROR(INDEX($GU$3:$GV$400,MATCH(ROWS($GW$3:GW36),$GU$3:$GU$400,0),2),"")," - "),IFERROR(INDEX($GU$3:$GV$400,MATCH(ROWS($GW$3:GW36),$GU$3:$GU$400,0),2),""))</f>
        <v/>
      </c>
      <c r="GX36" s="259">
        <f ca="1">IF(OR(GN36="IVA NS/CREDITO",GN36="IVA NS/DEBITO",GN36="IVA C/ACCONTO",GN36="IMPOSTE C/ACCONTO"),MAX($GX$2:GX35)+1,0)</f>
        <v>0</v>
      </c>
      <c r="GY36" s="259" t="str">
        <f ca="1">IF(AND(IFERROR(INDEX($GN$3:$GX$200,MATCH(ROWS($GY$3:GY36),$GX$3:$GX$200,0),1),"")&lt;&gt;"",GY37&lt;&gt;""),CONCATENATE(IFERROR(INDEX($GN$3:$GX$200,MATCH(ROWS($GY$3:GY36),$GX$3:$GX$200,0),1),"")," - "),IFERROR(INDEX($GN$3:$GX$200,MATCH(ROWS($GY$3:GY36),$GX$3:$GX$200,0),1),""))</f>
        <v/>
      </c>
      <c r="GZ36" s="259" t="s">
        <v>57</v>
      </c>
      <c r="HA36" s="259" t="s">
        <v>48</v>
      </c>
      <c r="HB36" s="269" t="s">
        <v>257</v>
      </c>
      <c r="HC36" s="269" t="s">
        <v>276</v>
      </c>
      <c r="HD36" s="269" t="s">
        <v>6</v>
      </c>
      <c r="HE36" s="269" t="s">
        <v>206</v>
      </c>
      <c r="HL36" s="259" t="str">
        <f t="shared" ca="1" si="157"/>
        <v/>
      </c>
      <c r="HM36" s="259" t="str">
        <f t="shared" ca="1" si="158"/>
        <v/>
      </c>
      <c r="HN36" s="259" t="str">
        <f t="shared" ca="1" si="159"/>
        <v/>
      </c>
      <c r="HO36" s="259">
        <f ca="1">IF(HL36&lt;&gt;"",MAX($HO$2:HO35)+1,0)</f>
        <v>0</v>
      </c>
      <c r="HP36" s="259">
        <f ca="1">IF(HM36&lt;&gt;"",MAX($HP$2:HP35)+1,0)</f>
        <v>0</v>
      </c>
      <c r="HQ36" s="259">
        <f ca="1">IF(HN36&lt;&gt;"",MAX($HQ$2:HQ35)+1,0)</f>
        <v>0</v>
      </c>
      <c r="HR36" s="259" t="str">
        <f t="shared" ca="1" si="107"/>
        <v/>
      </c>
      <c r="HS36" s="259" t="str">
        <f t="shared" ca="1" si="108"/>
        <v/>
      </c>
      <c r="HT36" s="259">
        <f t="shared" ca="1" si="109"/>
        <v>0</v>
      </c>
      <c r="HU36" s="259">
        <f t="shared" ca="1" si="110"/>
        <v>0</v>
      </c>
      <c r="HV36" s="259" t="str">
        <f ca="1">CONCATENATE(IFERROR(INDEX($HS$3:$HT$102,MATCH(ROWS($HV$3:HV36),$HT$3:$HT$102,0),1),""),HR36)</f>
        <v/>
      </c>
      <c r="IC36" s="259">
        <f ca="1">IFERROR(INDEX(PIANO_DEI_CONTI,MATCH(ROWS(DL$3:DL36),$DK$3:DK263,0),2),0)</f>
        <v>0</v>
      </c>
      <c r="ID36" s="259">
        <f t="shared" ca="1" si="111"/>
        <v>0</v>
      </c>
      <c r="IE36" s="259">
        <f t="shared" ca="1" si="112"/>
        <v>0</v>
      </c>
      <c r="IF36" s="259">
        <f t="shared" ca="1" si="113"/>
        <v>0</v>
      </c>
      <c r="IG36" s="259">
        <f ca="1">IG1+2</f>
        <v>3</v>
      </c>
      <c r="IH36" s="259">
        <f ca="1">IG1+3</f>
        <v>4</v>
      </c>
      <c r="II36" s="259">
        <f>IF(AD36="costi pluriennali",MAX($II$2:II35)+1,0)</f>
        <v>0</v>
      </c>
      <c r="IJ36" s="259">
        <f>IF($AD36="rettifiche costi pluriennali",MAX($IJ$2:IJ35)+1,0)</f>
        <v>0</v>
      </c>
      <c r="IK36" s="259">
        <f t="shared" si="114"/>
        <v>0</v>
      </c>
      <c r="IL36" s="259" t="str">
        <f t="shared" si="115"/>
        <v/>
      </c>
      <c r="IM36" s="259">
        <f t="shared" ca="1" si="116"/>
        <v>0</v>
      </c>
      <c r="IN36" s="259">
        <f t="shared" ca="1" si="141"/>
        <v>0</v>
      </c>
      <c r="IO36" s="259">
        <f>SUMIFS($IM$3:$IM$200,$IK$3:$IK$200,ROWS($IO$3:IO36))-SUMIFS($IN$3:$IN$200,$IK$3:$IK$200,ROWS($IO$3:IO36))</f>
        <v>0</v>
      </c>
      <c r="IP36" s="259" t="str">
        <f>IF(IO36&lt;0,INDEX($IJ$3:$IL$200,MATCH(ROWS($IP$3:IP36),$IJ$3:$IJ$200,0),3),"")</f>
        <v/>
      </c>
      <c r="IQ36" s="259">
        <f>IF(IP36&lt;&gt;"",MAX($IQ$2:IQ35)+1,0)</f>
        <v>0</v>
      </c>
      <c r="IR36" s="259" t="str">
        <f ca="1">IFERROR(INDEX($IP$3:$IQ$200,MATCH(ROWS($IR$3:IR36),$IQ$3:$IQ$200,0),1),"")</f>
        <v/>
      </c>
      <c r="IS36" s="259" t="str">
        <f t="shared" ca="1" si="117"/>
        <v/>
      </c>
      <c r="IT36" s="259" t="str">
        <f t="shared" ca="1" si="118"/>
        <v/>
      </c>
      <c r="IU36" s="259" t="str">
        <f t="shared" ca="1" si="119"/>
        <v/>
      </c>
      <c r="IV36" s="259" t="str">
        <f t="shared" ca="1" si="120"/>
        <v/>
      </c>
      <c r="IW36" s="259" t="str">
        <f t="shared" ca="1" si="121"/>
        <v/>
      </c>
      <c r="IX36" s="259" t="str">
        <f t="shared" ca="1" si="122"/>
        <v/>
      </c>
      <c r="IY36" s="259" t="str">
        <f t="shared" ca="1" si="123"/>
        <v/>
      </c>
      <c r="IZ36" s="259" t="str">
        <f t="shared" ca="1" si="124"/>
        <v/>
      </c>
      <c r="JA36" s="259" t="str">
        <f t="shared" ca="1" si="125"/>
        <v/>
      </c>
      <c r="JB36" s="259">
        <f t="shared" ca="1" si="32"/>
        <v>0</v>
      </c>
      <c r="JC36" s="259">
        <f t="shared" ca="1" si="126"/>
        <v>0</v>
      </c>
      <c r="JE36" s="259">
        <f ca="1">IFERROR(INDEX(LIBRO_GIORNALE!$N$11:$O$408,MATCH(ROWS($JE$2:JE35),LIBRO_GIORNALE!$O$11:$O$408,0),1),0)</f>
        <v>0</v>
      </c>
      <c r="JF36" s="259" t="str">
        <f t="shared" ca="1" si="127"/>
        <v>0</v>
      </c>
      <c r="JG36" s="259">
        <f t="shared" ca="1" si="128"/>
        <v>0</v>
      </c>
      <c r="JH36" s="259">
        <f ca="1">IF(JJ36&gt;0,0,MAX($JH$2:JH35)+1)</f>
        <v>34</v>
      </c>
      <c r="JI36" s="259">
        <f ca="1">IF(JG36&gt;0,MAX($JI$2:JI35)+1,0)</f>
        <v>0</v>
      </c>
      <c r="JJ36" s="259">
        <f ca="1">IFERROR(INDEX($JG$3:$JI$124,MATCH(ROWS($JJ$3:JJ36),$JI$3:$JI$124,0),1),0)</f>
        <v>0</v>
      </c>
      <c r="JK36" s="259">
        <f t="shared" ca="1" si="129"/>
        <v>0</v>
      </c>
      <c r="JL36" s="259">
        <f t="shared" ca="1" si="130"/>
        <v>34</v>
      </c>
    </row>
    <row r="37" spans="1:273">
      <c r="A37" s="259" t="str">
        <f t="shared" si="33"/>
        <v>05.02</v>
      </c>
      <c r="B37" s="259" t="str">
        <f t="shared" si="34"/>
        <v>FATTURE DA EMETTERE</v>
      </c>
      <c r="C37" s="259" t="str">
        <f t="shared" si="35"/>
        <v>F</v>
      </c>
      <c r="D37" s="259" t="str">
        <f t="shared" si="36"/>
        <v>D</v>
      </c>
      <c r="E37" s="259" t="str">
        <f t="shared" si="37"/>
        <v>CREDITI</v>
      </c>
      <c r="F37" s="259" t="str">
        <f t="shared" si="38"/>
        <v>SP DARE</v>
      </c>
      <c r="G37" s="259">
        <f t="shared" ca="1" si="39"/>
        <v>0</v>
      </c>
      <c r="H37" s="259">
        <f t="shared" ca="1" si="40"/>
        <v>0</v>
      </c>
      <c r="I37" s="259">
        <f t="shared" ca="1" si="41"/>
        <v>1</v>
      </c>
      <c r="J37" s="259" t="s">
        <v>416</v>
      </c>
      <c r="K37" s="259" t="str">
        <f ca="1">IFERROR(IF($I$1=1,INDEX($AA$3:$AS$220,MATCH(ROWS($K$3:K37),$AQ$3:$AQ$220,0),1),IF($I$1=2,INDEX($AA$3:$AS$220,MATCH(ROWS($K$3:K37),$AR$3:$AR$220,0),1),IF($I$1=3,INDEX($AA$3:$AS$220,MATCH(ROWS($K$3:K37),$AS$3:$AS$220,0),1),""))),"")</f>
        <v>CAMBIALI ALL'INCASSO</v>
      </c>
      <c r="L37" s="259">
        <f ca="1">IF(AND($L$1="VISUALIZZA TUTTI I CONTI",K37&lt;&gt;""),MAX(L36:L36)+1,IFERROR(IF($J$1=1,IF(INDEX(PIANO_DEI_CONTI,MATCH($K37,DENOMINAZIONE,0),5)=$L$1,MAX($L$2:L36)+1,0),IF($J$1=2,IF(INDEX(PIANO_DEI_CONTI,MATCH($K37,DENOMINAZIONE,0),7)=$L$1,MAX($L$2:L36)+1,0))),0))</f>
        <v>35</v>
      </c>
      <c r="M37" s="259" t="str">
        <f ca="1">IFERROR(INDEX($K$3:$K$220,MATCH(ROWS($M$3:M37),$L$3:$L$220,0),1),"")</f>
        <v>CAMBIALI ALL'INCASSO</v>
      </c>
      <c r="N37" s="259" t="str">
        <f t="shared" si="143"/>
        <v>COSTI PER MERCI E MATERIE DI CONSUMO</v>
      </c>
      <c r="O37" s="259" t="str">
        <f t="shared" ca="1" si="142"/>
        <v>COSTI PER MERCI E MATERIE DI CONSUMO</v>
      </c>
      <c r="P37" s="259">
        <f ca="1">IF(AND(N37=O37,O37&lt;&gt;""),MAX(P$2:P36)+1,0)</f>
        <v>20</v>
      </c>
      <c r="Q37" s="259" t="str">
        <f ca="1">IF(IFERROR(INDEX($O$3:$P$220,MATCH(ROWS(Q$3:Q37),$P$3:$P$220,0),1),"")=0,"",IFERROR(INDEX($O$3:$P$220,MATCH(ROWS(Q$3:Q37),$P$3:$P$220,0),1),""))</f>
        <v/>
      </c>
      <c r="R37" s="259" t="str">
        <f t="shared" si="1"/>
        <v>CAMBIALI ALL'INCASSO</v>
      </c>
      <c r="S37" s="259">
        <f ca="1">IF(IFERROR(MATCH(R37,DENOMINAZIONE_GIORNALE,0),0)&gt;0,MAX(S$2:S36)+1,0)</f>
        <v>0</v>
      </c>
      <c r="T37" s="259" t="str">
        <f ca="1">IFERROR(INDEX($R$3:$S$220,MATCH(ROWS($T$3:T37),$S$3:$S$220,0),1),"")</f>
        <v/>
      </c>
      <c r="U37" s="259">
        <f t="shared" ca="1" si="2"/>
        <v>0</v>
      </c>
      <c r="V37" s="259">
        <f ca="1">IF(IF(U37&lt;&gt;0,MAX($V$2:V36)+1,0)=0,0,IF(U37&lt;&gt;0,MAX($V$2:V36)+1,0))</f>
        <v>0</v>
      </c>
      <c r="W37" s="259" t="str">
        <f t="shared" si="43"/>
        <v>05.02</v>
      </c>
      <c r="X37" s="259" t="str">
        <f t="shared" si="44"/>
        <v>FATTURE DA EMETTERE</v>
      </c>
      <c r="Y37" s="259">
        <f>IF(W37="",0,MAX($Y$2:Y36)+1)</f>
        <v>30</v>
      </c>
      <c r="Z37" s="259" t="str">
        <f>IFERROR(INDEX($W$3:$Y$220,MATCH(ROWS($Z$2:Z36),$Y$3:$Y$220,0),1),"")</f>
        <v>05.08</v>
      </c>
      <c r="AA37" s="259" t="str">
        <f t="shared" si="45"/>
        <v>CAMBIALI ALL'INCASSO</v>
      </c>
      <c r="AB37" s="259" t="str">
        <f t="shared" si="46"/>
        <v>F</v>
      </c>
      <c r="AC37" s="259" t="str">
        <f t="shared" si="47"/>
        <v>D</v>
      </c>
      <c r="AD37" s="259" t="str">
        <f t="shared" si="48"/>
        <v>CREDITI</v>
      </c>
      <c r="AE37" s="259" t="str">
        <f t="shared" si="49"/>
        <v>SP DARE</v>
      </c>
      <c r="AF37" s="259" t="str">
        <f t="shared" si="50"/>
        <v>CREDITI COMMERCIALI</v>
      </c>
      <c r="AG37" s="259">
        <f t="shared" ca="1" si="51"/>
        <v>1</v>
      </c>
      <c r="AH37" s="259">
        <f t="shared" ca="1" si="52"/>
        <v>1</v>
      </c>
      <c r="AI37" s="259">
        <f t="shared" ca="1" si="53"/>
        <v>1</v>
      </c>
      <c r="AJ37" s="259" t="str">
        <f t="shared" si="54"/>
        <v>05</v>
      </c>
      <c r="AK37" s="259" t="str">
        <f t="shared" si="55"/>
        <v/>
      </c>
      <c r="AL37" s="259">
        <f>IF(AK37&lt;&gt;"",MAX($AL$2:AL36)+1,0)</f>
        <v>0</v>
      </c>
      <c r="AM37" s="259" t="str">
        <f>IFERROR(INDEX($AK$3:$AL$220,MATCH(ROWS($AM$3:AM37),$AL$3:$AL$220,0),1),"")</f>
        <v/>
      </c>
      <c r="AN37" s="259" t="str">
        <f t="shared" si="56"/>
        <v/>
      </c>
      <c r="AO37" s="259" t="str">
        <f t="shared" si="57"/>
        <v/>
      </c>
      <c r="AP37" s="259" t="str">
        <f t="shared" si="58"/>
        <v>CREDITI COMMERCIALI</v>
      </c>
      <c r="AQ37" s="259">
        <f ca="1">IF(OR(AG37=0,AG37=""),0,MAX(AQ$2:AQ36)+1)</f>
        <v>20</v>
      </c>
      <c r="AR37" s="259">
        <f ca="1">IF(OR(AH37=0,AH37=""),0,MAX(AR$2:AR36)+1)</f>
        <v>31</v>
      </c>
      <c r="AS37" s="259">
        <f ca="1">IF(OR(AI37=0,AI37=""),0,MAX(AS$2:AS36)+1)</f>
        <v>35</v>
      </c>
      <c r="AT37" s="259" t="str">
        <f ca="1">IFERROR(INDEX($AD$3:$AS$220,MATCH(ROWS(AT$3:AT37),AQ$3:AQ$220,0),1),"")</f>
        <v>DEBITI</v>
      </c>
      <c r="AU37" s="259" t="str">
        <f ca="1">IFERROR(INDEX($AD$3:$AS$220,MATCH(ROWS(AU$3:AU37),AR$3:AR$220,0),1),"")</f>
        <v>CREDITI</v>
      </c>
      <c r="AV37" s="259" t="str">
        <f ca="1">IFERROR(INDEX($AD$3:$AS$220,MATCH(ROWS(AV$3:AV37),AS$3:AS$220,0),1),"")</f>
        <v>CREDITI</v>
      </c>
      <c r="AW37" s="259" t="str">
        <f ca="1">IFERROR(INDEX($AP$3:$AS$220,MATCH(ROWS(AW$3:AW37),AQ$3:AQ$220,0),1),"")</f>
        <v>DEBITI COMMERCIALI</v>
      </c>
      <c r="AX37" s="259" t="str">
        <f ca="1">IFERROR(INDEX($AP$3:$AS$220,MATCH(ROWS(AX$3:AX37),AR$3:AR$220,0),1),"")</f>
        <v>CREDITI DIVERSI</v>
      </c>
      <c r="AY37" s="259" t="str">
        <f ca="1">IFERROR(INDEX($AP$3:$AS$220,MATCH(ROWS(AY$3:AY37),AS$3:AS$220,0),1),"")</f>
        <v>CREDITI COMMERCIALI</v>
      </c>
      <c r="AZ37" s="276" t="str">
        <f t="shared" ca="1" si="59"/>
        <v/>
      </c>
      <c r="BA37" s="259">
        <f t="shared" ca="1" si="153"/>
        <v>0</v>
      </c>
      <c r="BB37" s="259">
        <f ca="1">IFERROR(INDEX($FG$3:$FL$400,MATCH(ROWS($BB$3:BB37),$FL$3:$FL$400,0),1),0)</f>
        <v>0</v>
      </c>
      <c r="BC37" s="259" t="str">
        <f t="shared" ca="1" si="60"/>
        <v/>
      </c>
      <c r="BD37" s="259">
        <f ca="1">IFERROR(INDEX($FG$3:$FL$400,MATCH(ROWS($BD$3:BD37),$FL$3:$FL$400,0),4),0)</f>
        <v>0</v>
      </c>
      <c r="BE37" s="259">
        <f ca="1">IFERROR(INDEX($FG$3:$FL$400,MATCH(ROWS($BE$3:BE37),$FL$3:$FL$400,0),5),0)</f>
        <v>0</v>
      </c>
      <c r="BG37" s="259" t="str">
        <f t="shared" si="4"/>
        <v/>
      </c>
      <c r="BH37" s="259">
        <f ca="1">IF(IFERROR(MATCH(BG37,DENOMINAZIONE_GIORNALE,0),0)&gt;0,MAX(BH$2:BH36)+1,0)</f>
        <v>0</v>
      </c>
      <c r="BI37" s="259" t="str">
        <f ca="1">IFERROR(INDEX($BG$3:$BH$220,MATCH(ROWS($BI$3:BI37),$BH$3:$BH$220,0),1),"")</f>
        <v/>
      </c>
      <c r="BJ37" s="259" t="str">
        <f t="shared" ca="1" si="5"/>
        <v/>
      </c>
      <c r="BK37" s="259" t="str">
        <f ca="1">IF(IF(BJ37&lt;&gt;"",MAX($BK$2:BK36)+1,0)=0,"",IF(BJ37&lt;&gt;"",MAX($BK$2:BK36)+1,0))</f>
        <v/>
      </c>
      <c r="BL37" s="259" t="str">
        <f ca="1">IFERROR(INDEX($T$3:$U$220, MATCH(ROWS(BL$3:BL37),$V$3:$V$220,0),1),"")</f>
        <v/>
      </c>
      <c r="BM37" s="259" t="str">
        <f ca="1">IFERROR(INDEX($T$3:$U$220, MATCH(ROWS(BM$3:BM37),$V$3:$V$220,0),2),"")</f>
        <v/>
      </c>
      <c r="BN37" s="259" t="str">
        <f ca="1">IF(IFERROR(INDEX($BI$3:$BJ$220,MATCH(ROWS(BN$3:BN37),$BK$3:$BK$220,0),1),"")="PATRIMONIO NETTO","",IFERROR(INDEX($BI$3:$BJ$220,MATCH(ROWS(BN$3:BN37),$BK$3:$BK$220,0),1),""))</f>
        <v/>
      </c>
      <c r="BO37" s="259" t="str">
        <f ca="1">IFERROR(INDEX($BI$3:$BJ$220,MATCH(ROWS(BO$3:BO37),$BK$3:$BK$220,0),2),"")</f>
        <v/>
      </c>
      <c r="BP37" s="259">
        <f ca="1">IF(BN37&lt;&gt;"",MAX(BP$2:$BP36)+1,0)</f>
        <v>0</v>
      </c>
      <c r="BQ37" s="259" t="str">
        <f ca="1">IFERROR(INDEX($BN$3:$BO$200,MATCH(ROWS(BQ$3:BQ37),$BP$3:$BP$220,0),1),"")</f>
        <v/>
      </c>
      <c r="BR37" s="259" t="str">
        <f ca="1">IFERROR(INDEX($BN$3:$BO$220,MATCH(ROWS(BR$3:BR37),$BP$3:$BP$220,0),2),"")</f>
        <v/>
      </c>
      <c r="BS37" s="259" t="str">
        <f ca="1">IFERROR(IF(OR(INDEX($T$3:$U$220,MATCH(ROWS(BL$3:BL37),$V$3:$V$220,0),1)="PRELEVAMENTI EXTRAGESTIONE",INDEX($T$3:$U$220,MATCH(ROWS(BL$3:BL37),$V$3:$V$220,0),1)="TITOLARE C/RITENUTE SUBITE"),"",INDEX($T$3:$U$220,MATCH(ROWS(BL$3:BL37),$V$3:$V$220,0),1)),"")</f>
        <v/>
      </c>
      <c r="BT37" s="259">
        <f t="shared" ca="1" si="61"/>
        <v>0</v>
      </c>
      <c r="BU37" s="259">
        <f ca="1">IF(BS37&lt;&gt;"",MAX(BU$2:BU36)+1,0)</f>
        <v>0</v>
      </c>
      <c r="BV37" s="259" t="str">
        <f ca="1">IFERROR(INDEX($BS$3:$BT$223,MATCH(ROWS(BV$3:BV37),$BU$3:$BU$223,0),1),"")</f>
        <v/>
      </c>
      <c r="BW37" s="259">
        <f t="shared" ca="1" si="62"/>
        <v>0</v>
      </c>
      <c r="BX37" s="259" t="str">
        <f t="shared" ca="1" si="63"/>
        <v/>
      </c>
      <c r="BY37" s="259" t="str">
        <f t="shared" ca="1" si="64"/>
        <v/>
      </c>
      <c r="BZ37" s="259" t="str">
        <f ca="1">IFERROR(IF(OR($DS$231&lt;&gt;$DT$231,$DU$231&lt;&gt;$DV$231,$EO$25&lt;&gt;0,$EO$26&lt;&gt;0),INDEX($T$3:$V$220,MATCH(ROWS($BV$3:BV37),$V$3:$V$220,0),1),CONCATENATE(BV37,BY37)),"")</f>
        <v/>
      </c>
      <c r="CA37" s="259">
        <f t="shared" ca="1" si="65"/>
        <v>0</v>
      </c>
      <c r="CB37" s="259" t="str">
        <f ca="1">IFERROR(IF(OR($BB$1&lt;&gt;$BD$1,$BC$1&lt;&gt;$BE$1,$DS$231&lt;&gt;$DT$231,$DU$231&lt;&gt;$DV$231,$EO$25&lt;&gt;0,$EO$26&lt;&gt;0),INDEX($BI$3:$BK$220,MATCH(ROWS($CB$3:CB37),$BK$3:$BK$220,0),1),CONCATENATE(BQ37,BX37)),"")</f>
        <v/>
      </c>
      <c r="CC37" s="259" t="str">
        <f t="shared" ca="1" si="66"/>
        <v/>
      </c>
      <c r="CD37" s="259" t="str">
        <f t="shared" si="6"/>
        <v/>
      </c>
      <c r="CE37" s="259">
        <f ca="1">IF(IFERROR(MATCH(CD37,DENOMINAZIONE_GIORNALE,0),0)&gt;0,MAX(CE$2:CE36)+1,0)</f>
        <v>0</v>
      </c>
      <c r="CF37" s="259" t="str">
        <f ca="1">IFERROR(INDEX($CD$3:$CE$220,MATCH(ROWS($CF$3:CF37),$CE$3:$CE$220,0),1),"")</f>
        <v/>
      </c>
      <c r="CG37" s="259">
        <f t="shared" ca="1" si="7"/>
        <v>0</v>
      </c>
      <c r="CH37" s="259" t="str">
        <f ca="1">IF(IF(CG37&lt;&gt;0,MAX($CH$2:CH36)+1,0)=0,"",IF(CG37&lt;&gt;"",MAX($CH$2:CH36)+1,0))</f>
        <v/>
      </c>
      <c r="CI37" s="259" t="str">
        <f ca="1">IFERROR(INDEX($CF$3:$CG$220,MATCH(ROWS($CI$3:CI37),$CH$3:$CH$220,0),1),"")</f>
        <v/>
      </c>
      <c r="CJ37" s="259" t="str">
        <f t="shared" ca="1" si="67"/>
        <v/>
      </c>
      <c r="CK37" s="259" t="str">
        <f t="shared" si="8"/>
        <v/>
      </c>
      <c r="CL37" s="259">
        <f ca="1">IF(IFERROR(MATCH(CK37,DENOMINAZIONE_GIORNALE,0),0)&gt;0,MAX(CL$2:CL36)+1,0)</f>
        <v>0</v>
      </c>
      <c r="CM37" s="259" t="str">
        <f ca="1">IFERROR(INDEX($CK$3:$CL$220,MATCH(ROWS($CM$3:CM37),$CL$3:$CL$220,0),1),"")</f>
        <v/>
      </c>
      <c r="CN37" s="259" t="str">
        <f t="shared" ca="1" si="9"/>
        <v/>
      </c>
      <c r="CO37" s="259">
        <f ca="1">IF(IF(CN37&lt;&gt;0,MAX($CO$2:CO36)+1,0)=0,"",IF(CN37&lt;&gt;"",MAX($CO$2:CO36)+1,0))</f>
        <v>0</v>
      </c>
      <c r="CP37" s="259" t="str">
        <f ca="1">IFERROR(INDEX($CM$3:$CN$220,MATCH(ROWS(CP$3:CP37),$CO$3:$CO$220,0),1),"")</f>
        <v/>
      </c>
      <c r="CQ37" s="259" t="str">
        <f ca="1">IFERROR(INDEX($CM$3:$CN$220,MATCH(ROWS(CQ$3:CQ37),$CO$3:$CO$220,0),2),"")</f>
        <v/>
      </c>
      <c r="CR37" s="259" t="str">
        <f t="shared" ca="1" si="154"/>
        <v/>
      </c>
      <c r="CS37" s="259">
        <f t="shared" ca="1" si="11"/>
        <v>0</v>
      </c>
      <c r="CT37" s="259">
        <f t="shared" ca="1" si="12"/>
        <v>0</v>
      </c>
      <c r="CU37" s="259">
        <f ca="1">IF(OR(CS37&gt;0,CT37&gt;0),MAX($CU$2:CU36)+1,0)</f>
        <v>0</v>
      </c>
      <c r="CV37" s="259" t="str">
        <f ca="1">IFERROR(INDEX(PIANO_DEI_CONTI,MATCH(ROWS($CV$3:CV37),$CU$3:$CU$200,0),2),"")</f>
        <v/>
      </c>
      <c r="CW37" s="259">
        <f ca="1">IFERROR(IF(CV37&lt;&gt;"",MAX($CW$2:CW36)+1,0),0)</f>
        <v>0</v>
      </c>
      <c r="CX37" s="259">
        <f t="shared" ca="1" si="145"/>
        <v>2</v>
      </c>
      <c r="CY37" s="259" t="str">
        <f t="shared" ca="1" si="144"/>
        <v>MASTRO</v>
      </c>
      <c r="CZ37" s="259" t="e">
        <f t="shared" ca="1" si="147"/>
        <v>#N/A</v>
      </c>
      <c r="DA37" s="259" t="str">
        <f t="shared" ca="1" si="152"/>
        <v/>
      </c>
      <c r="DB37" s="259" t="str">
        <f t="shared" ca="1" si="148"/>
        <v/>
      </c>
      <c r="DC37" s="259" t="str">
        <f t="shared" ca="1" si="149"/>
        <v/>
      </c>
      <c r="DD37" s="259" t="str">
        <f t="shared" ca="1" si="150"/>
        <v/>
      </c>
      <c r="DE37" s="259" t="str">
        <f t="shared" ca="1" si="151"/>
        <v/>
      </c>
      <c r="DF37" s="259">
        <f ca="1">IF(AND(CX37=$DE$2,$DF$2&lt;&gt;0),0,IF(AND(DB37&lt;&gt;"",OR(DB36&lt;&gt;"",DB38&lt;&gt;"")),MAX($DF$2:DF36)+1,0))</f>
        <v>0</v>
      </c>
      <c r="DG37" s="259" t="str">
        <f>IF(OR(VALORI_INIZIALI!E42="",AND(VALORI_INIZIALI!E42&lt;&gt;"",VALORI_INIZIALI!H42=0,VALORI_INIZIALI!I42=0)),"",IFERROR(INDEX(PIANO_DEI_CONTI,MATCH(BB37,DENOMINAZIONE,0),1),0))</f>
        <v/>
      </c>
      <c r="DH37" s="259">
        <f ca="1">IFERROR(IF($J$1=1,IF(INDEX(PIANO_DEI_CONTI,MATCH($K37,DENOMINAZIONE,0),5)=$DF$1,MAX($DH$2:DH36)+1,0),IF($J$1=2,IF(INDEX(PIANO_DEI_CONTI,MATCH($K37,DENOMINAZIONE,0),7)=$DF$1,MAX($DH$2:DH36)+1,0))),0)</f>
        <v>0</v>
      </c>
      <c r="DI37" s="259">
        <f ca="1">IFERROR(INDEX($K$3:$K$220,MATCH(ROWS($DI$3:DI37),$DH$3:$DH$220,0),1),0)</f>
        <v>0</v>
      </c>
      <c r="DJ37" s="259">
        <f t="shared" ca="1" si="14"/>
        <v>0</v>
      </c>
      <c r="DK37" s="259">
        <f ca="1">IF(DJ37=0,0,MAX(DK$2:DK36)+1)</f>
        <v>0</v>
      </c>
      <c r="DL37" s="259">
        <f ca="1">IFERROR(INDEX(PIANO_DEI_CONTI,MATCH(ROWS(DL$3:DL37),$DK$3:DK264,0),2),0)</f>
        <v>0</v>
      </c>
      <c r="DM37" s="259">
        <f t="shared" ca="1" si="15"/>
        <v>0</v>
      </c>
      <c r="DN37" s="259">
        <f t="shared" ca="1" si="16"/>
        <v>0</v>
      </c>
      <c r="DO37" s="259">
        <f t="shared" ca="1" si="69"/>
        <v>0</v>
      </c>
      <c r="DP37" s="259">
        <f t="shared" ca="1" si="70"/>
        <v>0</v>
      </c>
      <c r="DQ37" s="259">
        <f ca="1">IF(OR($DQ$1="TOTALI",$DQ$1="TOTALI ED ECCEDENZE"),IF(OR(DM37&gt;0,DN37&gt;0),MAX(DQ$2:DQ36)+1,0),IF($DQ$1="ECCEDENZE",IF(OR(DO37&gt;0,DP37&gt;0),MAX(DQ$2:DQ36)+1,0),""))</f>
        <v>0</v>
      </c>
      <c r="DR37" s="259" t="str">
        <f ca="1">IFERROR(INDEX($DL$3:$DQ$230,MATCH(ROWS(DR$3:DR37),$DQ$3:$DQ$230,0),1),"")</f>
        <v/>
      </c>
      <c r="DS37" s="259" t="str">
        <f t="shared" ca="1" si="71"/>
        <v/>
      </c>
      <c r="DT37" s="259" t="str">
        <f t="shared" ca="1" si="72"/>
        <v/>
      </c>
      <c r="DU37" s="259" t="str">
        <f t="shared" ca="1" si="73"/>
        <v/>
      </c>
      <c r="DV37" s="259" t="str">
        <f t="shared" ca="1" si="74"/>
        <v/>
      </c>
      <c r="DW37" s="259">
        <f t="shared" ca="1" si="75"/>
        <v>0</v>
      </c>
      <c r="DX37" s="259" t="str">
        <f t="shared" ca="1" si="76"/>
        <v/>
      </c>
      <c r="DY37" s="259" t="str">
        <f t="shared" ca="1" si="77"/>
        <v/>
      </c>
      <c r="DZ37" s="259" t="str">
        <f t="shared" ca="1" si="78"/>
        <v/>
      </c>
      <c r="EA37" s="259">
        <f t="shared" ca="1" si="79"/>
        <v>35</v>
      </c>
      <c r="EB37" s="259" t="s">
        <v>353</v>
      </c>
      <c r="ED37" s="259">
        <f t="shared" ca="1" si="17"/>
        <v>0</v>
      </c>
      <c r="EE37" s="259" t="str">
        <f t="shared" ca="1" si="155"/>
        <v/>
      </c>
      <c r="EF37" s="259" t="str">
        <f t="shared" ca="1" si="19"/>
        <v/>
      </c>
      <c r="EG37" s="259" t="str">
        <f t="shared" ca="1" si="136"/>
        <v/>
      </c>
      <c r="EH37" s="259" t="str">
        <f t="shared" ca="1" si="80"/>
        <v/>
      </c>
      <c r="EI37" s="260" t="b">
        <f t="shared" ca="1" si="137"/>
        <v>0</v>
      </c>
      <c r="EJ37" s="260" t="b">
        <f t="shared" ca="1" si="138"/>
        <v>0</v>
      </c>
      <c r="EK37" s="260" t="b">
        <f t="shared" ca="1" si="139"/>
        <v>1</v>
      </c>
      <c r="EL37" s="259">
        <f t="shared" si="81"/>
        <v>35</v>
      </c>
      <c r="EM37" s="259">
        <f ca="1">IF(AND(BA37&gt;0,BA37&lt;=$EM$1),MAX($EM$2:EM36)+1,0)</f>
        <v>0</v>
      </c>
      <c r="EN37" s="259">
        <f t="shared" ca="1" si="82"/>
        <v>37</v>
      </c>
      <c r="EP37" s="259" t="str">
        <f t="shared" ca="1" si="20"/>
        <v/>
      </c>
      <c r="EQ37" s="259">
        <f t="shared" ca="1" si="21"/>
        <v>0</v>
      </c>
      <c r="ER37" s="259">
        <f ca="1">IF(ISNA(EQ37),MAX(ER$2:ER36)+1,0)</f>
        <v>0</v>
      </c>
      <c r="ES37" s="259" t="str">
        <f t="shared" ca="1" si="83"/>
        <v/>
      </c>
      <c r="ET37" s="259" t="str">
        <f ca="1">IFERROR(UPPER(INDEX($ER$3:$ES$500,MATCH(ROWS(ET$3:ET37),$ER$3:$ER$500,0),2)),"")</f>
        <v/>
      </c>
      <c r="EU37" s="259" t="str">
        <f ca="1">IF(AND(EO1=TRUE,EV1=0,EV35=0,EV36=0,CM1&lt;&gt;CP1,OR(CM1&gt;0,CP1&gt;0)),"Il risultato economico è calcolato in funzione delle scritture di  assestamento effettuate",IF(AND(EO1=TRUE,EV1&gt;0),"Non è possibile visualizzare il risultato economico, procedere prima alla correzione degli errori che causano la mancata visualizzazione dei totali",IF(AND(EO1=TRUE,EV35&gt;0,EV1=0,CM1&lt;&gt;CP1,OR(CM1&gt;0,CP1&gt;0)),CONCATENATE("Il risultato economico visualizzato potrebbe non coincidere con quello di competenza: ",EU35),IF(AND(EO1=TRUE,EV36&gt;0,EV1=0,CM1&lt;&gt;CP1,OR(CM1&gt;0,CP1&gt;0)),CONCATENATE("Il risultato economico visualizzato potrebbe non coincidere con quello di competenza: ",EU36),IF(AND(EO1=TRUE,EV1=0,CM1=CP1,CM1&gt;=0,CP1&gt;=0),CONCATENATE("Nessun risultato economico da visualizzare"),"")))))</f>
        <v>Non è possibile visualizzare il risultato economico, procedere prima alla correzione degli errori che causano la mancata visualizzazione dei totali</v>
      </c>
      <c r="EY37" s="259">
        <f t="shared" ca="1" si="84"/>
        <v>0</v>
      </c>
      <c r="EZ37" s="259">
        <f t="shared" ca="1" si="84"/>
        <v>0</v>
      </c>
      <c r="FA37" s="259" t="str">
        <f t="shared" ca="1" si="85"/>
        <v/>
      </c>
      <c r="FB37" s="259">
        <f t="shared" ca="1" si="86"/>
        <v>0</v>
      </c>
      <c r="FC37" s="259">
        <f t="shared" ca="1" si="87"/>
        <v>0</v>
      </c>
      <c r="FD37" s="259">
        <f t="shared" ca="1" si="22"/>
        <v>0</v>
      </c>
      <c r="FE37" s="259" t="str">
        <f t="shared" ca="1" si="23"/>
        <v/>
      </c>
      <c r="FF37" s="259" t="str">
        <f t="shared" ca="1" si="88"/>
        <v/>
      </c>
      <c r="FG37" s="259" t="str">
        <f t="shared" si="89"/>
        <v>CAMBIALI ALL'INCASSO</v>
      </c>
      <c r="FH37" s="259">
        <f t="shared" ca="1" si="156"/>
        <v>0</v>
      </c>
      <c r="FI37" s="259">
        <f t="shared" ca="1" si="25"/>
        <v>0</v>
      </c>
      <c r="FJ37" s="259">
        <f t="shared" ca="1" si="90"/>
        <v>0</v>
      </c>
      <c r="FK37" s="259">
        <f t="shared" ca="1" si="91"/>
        <v>0</v>
      </c>
      <c r="FL37" s="259">
        <f ca="1">IF(OR(FJ37&gt;0,FK37&gt;0),MAX($FL$2:FL36)+1,0)</f>
        <v>0</v>
      </c>
      <c r="FM37" s="259">
        <f t="shared" ca="1" si="26"/>
        <v>0</v>
      </c>
      <c r="FN37" s="259">
        <f ca="1">IF(FM37&lt;0,MAX($FN$2:FN36)+1,0)</f>
        <v>0</v>
      </c>
      <c r="FO37" s="259" t="str">
        <f t="shared" ca="1" si="92"/>
        <v/>
      </c>
      <c r="FP37" s="259" t="str">
        <f ca="1">IFERROR(INDEX($FN$3:$FO$400,MATCH(ROWS($FP$3:FP37),$FN$3:$FN$400,0),2),"")</f>
        <v/>
      </c>
      <c r="FQ37" s="259" t="str">
        <f>IF(AE37="SE AVERE",MAX($FQ$2:FQ36)+1,"")</f>
        <v/>
      </c>
      <c r="FR37" s="259" t="str">
        <f>IF(AE37="SE DARE",MAX($FR$2:FR36)+1,"")</f>
        <v/>
      </c>
      <c r="FS37" s="259">
        <f ca="1">IF(AND(AE37="SP DARE",AA37&lt;&gt;$FS$1,AA37&lt;&gt;$FT$1),MAX($FS$2:FS36)+1,IF(AND(GQ37="SP DARE",AA37&lt;&gt;$FS$1,AA37&lt;&gt;$FT$1),MAX($FS$2:FS36)+1,""))</f>
        <v>113</v>
      </c>
      <c r="FT37" s="259" t="str">
        <f ca="1">IF(AND(AE37="SP AVERE",AA37&lt;&gt;$FU$1),MAX($FT$2:FT36)+1,IF(AND(GQ37="SP AVERE",AA37&lt;&gt;$FU$1),MAX($FT$2:FT36)+1,""))</f>
        <v/>
      </c>
      <c r="FU37" s="259">
        <f t="shared" ca="1" si="93"/>
        <v>113</v>
      </c>
      <c r="FV37" s="259" t="str">
        <f t="shared" si="94"/>
        <v>CAMBIALI ALL'INCASSO</v>
      </c>
      <c r="FW37" s="259" t="str">
        <f ca="1">IFERROR(INDEX($FU$3:$FV$500,MATCH(ROWS($FW$3:FW37),$FU$3:$FU$500,0),2),0)</f>
        <v>ASSICURAZIONI</v>
      </c>
      <c r="FX37" s="259">
        <f t="shared" ca="1" si="95"/>
        <v>35</v>
      </c>
      <c r="FY37" s="259">
        <f t="shared" ca="1" si="96"/>
        <v>0</v>
      </c>
      <c r="FZ37" s="259">
        <f ca="1">IF(FY37&gt;0,MAX($FZ$2:FZ36)+1,0)</f>
        <v>0</v>
      </c>
      <c r="GA37" s="259">
        <f ca="1">IFERROR(INDEX($FY$3:$FZ$500,MATCH(ROWS($GA$3:GA37),$FZ$3:$FZ$500,0),1),0)</f>
        <v>0</v>
      </c>
      <c r="GC37" s="259">
        <f t="shared" ca="1" si="97"/>
        <v>35</v>
      </c>
      <c r="GD37" s="259" t="str">
        <f t="shared" ca="1" si="98"/>
        <v>ASSICURAZIONI</v>
      </c>
      <c r="GG37" s="259">
        <f t="shared" ca="1" si="27"/>
        <v>0</v>
      </c>
      <c r="GH37" s="259">
        <f t="shared" ca="1" si="99"/>
        <v>0</v>
      </c>
      <c r="GI37" s="259">
        <f t="shared" ca="1" si="100"/>
        <v>0</v>
      </c>
      <c r="GJ37" s="259">
        <f t="shared" ca="1" si="101"/>
        <v>0</v>
      </c>
      <c r="GK37" s="259">
        <f t="shared" ca="1" si="102"/>
        <v>0</v>
      </c>
      <c r="GL37" s="259">
        <f t="shared" ca="1" si="103"/>
        <v>0</v>
      </c>
      <c r="GM37" s="259">
        <f ca="1">IF(OR(GK37&gt;0,GL37&gt;0),MAX($GM$2:GM36)+1,0)</f>
        <v>0</v>
      </c>
      <c r="GN37" s="259" t="str">
        <f ca="1">IFERROR(INDEX($GD$3:$GM$400,MATCH(ROWS($GN$3:GN37),$GM$3:$GM$400,0),1),"")</f>
        <v/>
      </c>
      <c r="GO37" s="259" t="str">
        <f ca="1">IFERROR(INDEX($GD$3:$GM$400,MATCH(ROWS($GO$3:GO37),$GM$3:$GM$400,0),8),"")</f>
        <v/>
      </c>
      <c r="GP37" s="259" t="str">
        <f ca="1">IFERROR(INDEX($GD$3:$GM$400,MATCH(ROWS($GP$3:GP37),$GM$3:$GM$400,0),9),"")</f>
        <v/>
      </c>
      <c r="GQ37" s="259">
        <f t="shared" ca="1" si="28"/>
        <v>0</v>
      </c>
      <c r="GR37" s="259">
        <f t="shared" ca="1" si="104"/>
        <v>0</v>
      </c>
      <c r="GS37" s="259" t="str">
        <f t="shared" si="105"/>
        <v>epilogo a Conto economico</v>
      </c>
      <c r="GT37" s="259" t="str">
        <f ca="1">IFERROR(INDEX($GD$3:$GS$400,MATCH(ROWS($GT$3:GT37),$GM$3:$GM$400,0),16),"")</f>
        <v/>
      </c>
      <c r="GU37" s="259">
        <f ca="1">IF(GQ37&lt;&gt;0,MAX($GU$2:$GU36)+1,0)</f>
        <v>0</v>
      </c>
      <c r="GV37" s="259">
        <f t="shared" ca="1" si="106"/>
        <v>0</v>
      </c>
      <c r="GW37" s="259" t="str">
        <f ca="1">IF(AND(IFERROR(INDEX($GU$3:$GV$400,MATCH(ROWS($GW$3:GW37),$GU$3:$GU$400,0),2),"")&lt;&gt;"",GW38&lt;&gt;""),CONCATENATE(IFERROR(INDEX($GU$3:$GV$400,MATCH(ROWS($GW$3:GW37),$GU$3:$GU$400,0),2),"")," - "),IFERROR(INDEX($GU$3:$GV$400,MATCH(ROWS($GW$3:GW37),$GU$3:$GU$400,0),2),""))</f>
        <v/>
      </c>
      <c r="GX37" s="259">
        <f ca="1">IF(OR(GN37="IVA NS/CREDITO",GN37="IVA NS/DEBITO",GN37="IVA C/ACCONTO",GN37="IMPOSTE C/ACCONTO"),MAX($GX$2:GX36)+1,0)</f>
        <v>0</v>
      </c>
      <c r="GY37" s="259" t="str">
        <f ca="1">IF(AND(IFERROR(INDEX($GN$3:$GX$200,MATCH(ROWS($GY$3:GY37),$GX$3:$GX$200,0),1),"")&lt;&gt;"",GY38&lt;&gt;""),CONCATENATE(IFERROR(INDEX($GN$3:$GX$200,MATCH(ROWS($GY$3:GY37),$GX$3:$GX$200,0),1),"")," - "),IFERROR(INDEX($GN$3:$GX$200,MATCH(ROWS($GY$3:GY37),$GX$3:$GX$200,0),1),""))</f>
        <v/>
      </c>
      <c r="GZ37" s="259" t="s">
        <v>58</v>
      </c>
      <c r="HA37" s="259" t="s">
        <v>49</v>
      </c>
      <c r="HB37" s="269" t="s">
        <v>257</v>
      </c>
      <c r="HC37" s="269" t="s">
        <v>276</v>
      </c>
      <c r="HD37" s="269" t="s">
        <v>6</v>
      </c>
      <c r="HE37" s="269" t="s">
        <v>206</v>
      </c>
      <c r="HL37" s="259" t="str">
        <f t="shared" ca="1" si="157"/>
        <v/>
      </c>
      <c r="HM37" s="259" t="str">
        <f t="shared" ca="1" si="158"/>
        <v/>
      </c>
      <c r="HN37" s="259" t="str">
        <f t="shared" ca="1" si="159"/>
        <v/>
      </c>
      <c r="HO37" s="259">
        <f ca="1">IF(HL37&lt;&gt;"",MAX($HO$2:HO36)+1,0)</f>
        <v>0</v>
      </c>
      <c r="HP37" s="259">
        <f ca="1">IF(HM37&lt;&gt;"",MAX($HP$2:HP36)+1,0)</f>
        <v>0</v>
      </c>
      <c r="HQ37" s="259">
        <f ca="1">IF(HN37&lt;&gt;"",MAX($HQ$2:HQ36)+1,0)</f>
        <v>0</v>
      </c>
      <c r="HR37" s="259" t="str">
        <f t="shared" ca="1" si="107"/>
        <v/>
      </c>
      <c r="HS37" s="259" t="str">
        <f t="shared" ca="1" si="108"/>
        <v/>
      </c>
      <c r="HT37" s="259">
        <f t="shared" ca="1" si="109"/>
        <v>0</v>
      </c>
      <c r="HU37" s="259">
        <f t="shared" ca="1" si="110"/>
        <v>0</v>
      </c>
      <c r="HV37" s="259" t="str">
        <f ca="1">CONCATENATE(IFERROR(INDEX($HS$3:$HT$102,MATCH(ROWS($HV$3:HV37),$HT$3:$HT$102,0),1),""),HR37)</f>
        <v/>
      </c>
      <c r="IB37" s="259" t="str">
        <f ca="1">CONCATENATE("CONTO ECONOMICO al ",DS2,"/",DT2,"/",DU2)</f>
        <v>CONTO ECONOMICO al 31/12/n</v>
      </c>
      <c r="IC37" s="259">
        <f ca="1">IFERROR(INDEX(PIANO_DEI_CONTI,MATCH(ROWS(DL$3:DL37),$DK$3:DK264,0),2),0)</f>
        <v>0</v>
      </c>
      <c r="ID37" s="259">
        <f t="shared" ca="1" si="111"/>
        <v>0</v>
      </c>
      <c r="IE37" s="259">
        <f t="shared" ca="1" si="112"/>
        <v>0</v>
      </c>
      <c r="IF37" s="259">
        <f t="shared" ca="1" si="113"/>
        <v>0</v>
      </c>
      <c r="IG37" s="259">
        <f ca="1">IF(OR(IG46&lt;&gt;0,IG67&lt;&gt;0,IG78&lt;&gt;0,IG90&lt;&gt;0,IG92&lt;&gt;0),"",0)</f>
        <v>0</v>
      </c>
      <c r="IH37" s="259">
        <f ca="1">IF(IG37&lt;&gt;0,MAX($IH$35:IH36)+1,0)</f>
        <v>0</v>
      </c>
      <c r="II37" s="259">
        <f>IF(AD37="costi pluriennali",MAX($II$2:II36)+1,0)</f>
        <v>0</v>
      </c>
      <c r="IJ37" s="259">
        <f>IF($AD37="rettifiche costi pluriennali",MAX($IJ$2:IJ36)+1,0)</f>
        <v>0</v>
      </c>
      <c r="IK37" s="259">
        <f t="shared" si="114"/>
        <v>0</v>
      </c>
      <c r="IL37" s="259" t="str">
        <f t="shared" si="115"/>
        <v/>
      </c>
      <c r="IM37" s="259">
        <f t="shared" ca="1" si="116"/>
        <v>0</v>
      </c>
      <c r="IN37" s="259">
        <f t="shared" ca="1" si="141"/>
        <v>0</v>
      </c>
      <c r="IO37" s="259">
        <f>SUMIFS($IM$3:$IM$200,$IK$3:$IK$200,ROWS($IO$3:IO37))-SUMIFS($IN$3:$IN$200,$IK$3:$IK$200,ROWS($IO$3:IO37))</f>
        <v>0</v>
      </c>
      <c r="IP37" s="259" t="str">
        <f>IF(IO37&lt;0,INDEX($IJ$3:$IL$200,MATCH(ROWS($IP$3:IP37),$IJ$3:$IJ$200,0),3),"")</f>
        <v/>
      </c>
      <c r="IQ37" s="259">
        <f>IF(IP37&lt;&gt;"",MAX($IQ$2:IQ36)+1,0)</f>
        <v>0</v>
      </c>
      <c r="IR37" s="259" t="str">
        <f ca="1">IFERROR(INDEX($IP$3:$IQ$200,MATCH(ROWS($IR$3:IR37),$IQ$3:$IQ$200,0),1),"")</f>
        <v/>
      </c>
      <c r="IS37" s="259" t="str">
        <f t="shared" ca="1" si="117"/>
        <v/>
      </c>
      <c r="IT37" s="259" t="str">
        <f t="shared" ca="1" si="118"/>
        <v/>
      </c>
      <c r="IU37" s="259" t="str">
        <f t="shared" ca="1" si="119"/>
        <v/>
      </c>
      <c r="IV37" s="259" t="str">
        <f t="shared" ca="1" si="120"/>
        <v/>
      </c>
      <c r="IW37" s="259" t="str">
        <f t="shared" ca="1" si="121"/>
        <v/>
      </c>
      <c r="IX37" s="259" t="str">
        <f t="shared" ca="1" si="122"/>
        <v/>
      </c>
      <c r="IY37" s="259" t="str">
        <f t="shared" ca="1" si="123"/>
        <v/>
      </c>
      <c r="IZ37" s="259" t="str">
        <f t="shared" ca="1" si="124"/>
        <v/>
      </c>
      <c r="JA37" s="259" t="str">
        <f t="shared" ca="1" si="125"/>
        <v/>
      </c>
      <c r="JB37" s="259">
        <f t="shared" ca="1" si="32"/>
        <v>0</v>
      </c>
      <c r="JC37" s="259">
        <f t="shared" ca="1" si="126"/>
        <v>0</v>
      </c>
      <c r="JE37" s="259">
        <f ca="1">IFERROR(INDEX(LIBRO_GIORNALE!$N$11:$O$408,MATCH(ROWS($JE$2:JE36),LIBRO_GIORNALE!$O$11:$O$408,0),1),0)</f>
        <v>0</v>
      </c>
      <c r="JF37" s="259" t="str">
        <f t="shared" ca="1" si="127"/>
        <v>0</v>
      </c>
      <c r="JG37" s="259">
        <f t="shared" ca="1" si="128"/>
        <v>0</v>
      </c>
      <c r="JH37" s="259">
        <f ca="1">IF(JJ37&gt;0,0,MAX($JH$2:JH36)+1)</f>
        <v>35</v>
      </c>
      <c r="JI37" s="259">
        <f ca="1">IF(JG37&gt;0,MAX($JI$2:JI36)+1,0)</f>
        <v>0</v>
      </c>
      <c r="JJ37" s="259">
        <f ca="1">IFERROR(INDEX($JG$3:$JI$124,MATCH(ROWS($JJ$3:JJ37),$JI$3:$JI$124,0),1),0)</f>
        <v>0</v>
      </c>
      <c r="JK37" s="259">
        <f t="shared" ca="1" si="129"/>
        <v>0</v>
      </c>
      <c r="JL37" s="259">
        <f t="shared" ca="1" si="130"/>
        <v>35</v>
      </c>
    </row>
    <row r="38" spans="1:273">
      <c r="A38" s="259" t="str">
        <f t="shared" si="33"/>
        <v>05.03</v>
      </c>
      <c r="B38" s="259" t="str">
        <f t="shared" si="34"/>
        <v>CREDITI COMMERCIALI DIVERSI</v>
      </c>
      <c r="C38" s="259" t="str">
        <f t="shared" si="35"/>
        <v>F</v>
      </c>
      <c r="D38" s="259" t="str">
        <f t="shared" si="36"/>
        <v>D</v>
      </c>
      <c r="E38" s="259" t="str">
        <f t="shared" si="37"/>
        <v>CREDITI</v>
      </c>
      <c r="F38" s="259" t="str">
        <f t="shared" si="38"/>
        <v>SP DARE</v>
      </c>
      <c r="G38" s="259">
        <f t="shared" ca="1" si="39"/>
        <v>0</v>
      </c>
      <c r="H38" s="259">
        <f t="shared" ca="1" si="40"/>
        <v>1</v>
      </c>
      <c r="I38" s="259">
        <f t="shared" ca="1" si="41"/>
        <v>1</v>
      </c>
      <c r="J38" s="259" t="s">
        <v>417</v>
      </c>
      <c r="K38" s="259" t="str">
        <f ca="1">IFERROR(IF($I$1=1,INDEX($AA$3:$AS$220,MATCH(ROWS($K$3:K38),$AQ$3:$AQ$220,0),1),IF($I$1=2,INDEX($AA$3:$AS$220,MATCH(ROWS($K$3:K38),$AR$3:$AR$220,0),1),IF($I$1=3,INDEX($AA$3:$AS$220,MATCH(ROWS($K$3:K38),$AS$3:$AS$220,0),1),""))),"")</f>
        <v>CREDITI DA LIQUIDARE</v>
      </c>
      <c r="L38" s="259">
        <f ca="1">IF(AND($L$1="VISUALIZZA TUTTI I CONTI",K38&lt;&gt;""),MAX(L37:L37)+1,IFERROR(IF($J$1=1,IF(INDEX(PIANO_DEI_CONTI,MATCH($K38,DENOMINAZIONE,0),5)=$L$1,MAX($L$2:L37)+1,0),IF($J$1=2,IF(INDEX(PIANO_DEI_CONTI,MATCH($K38,DENOMINAZIONE,0),7)=$L$1,MAX($L$2:L37)+1,0))),0))</f>
        <v>36</v>
      </c>
      <c r="M38" s="259" t="str">
        <f ca="1">IFERROR(INDEX($K$3:$K$220,MATCH(ROWS($M$3:M38),$L$3:$L$220,0),1),"")</f>
        <v>CREDITI DA LIQUIDARE</v>
      </c>
      <c r="N38" s="259" t="str">
        <f t="shared" si="143"/>
        <v>COSTI PER SERVIZI</v>
      </c>
      <c r="O38" s="259" t="str">
        <f t="shared" ca="1" si="142"/>
        <v>COSTI PER SERVIZI</v>
      </c>
      <c r="P38" s="259">
        <f ca="1">IF(AND(N38=O38,O38&lt;&gt;""),MAX(P$2:P37)+1,0)</f>
        <v>21</v>
      </c>
      <c r="Q38" s="259" t="str">
        <f ca="1">IF(IFERROR(INDEX($O$3:$P$220,MATCH(ROWS(Q$3:Q38),$P$3:$P$220,0),1),"")=0,"",IFERROR(INDEX($O$3:$P$220,MATCH(ROWS(Q$3:Q38),$P$3:$P$220,0),1),""))</f>
        <v/>
      </c>
      <c r="R38" s="259" t="str">
        <f t="shared" si="1"/>
        <v>CREDITI DA LIQUIDARE</v>
      </c>
      <c r="S38" s="259">
        <f ca="1">IF(IFERROR(MATCH(R38,DENOMINAZIONE_GIORNALE,0),0)&gt;0,MAX(S$2:S37)+1,0)</f>
        <v>0</v>
      </c>
      <c r="T38" s="259" t="str">
        <f ca="1">IFERROR(INDEX($R$3:$S$220,MATCH(ROWS($T$3:T38),$S$3:$S$220,0),1),"")</f>
        <v/>
      </c>
      <c r="U38" s="259">
        <f t="shared" ca="1" si="2"/>
        <v>0</v>
      </c>
      <c r="V38" s="259">
        <f ca="1">IF(IF(U38&lt;&gt;0,MAX($V$2:V37)+1,0)=0,0,IF(U38&lt;&gt;0,MAX($V$2:V37)+1,0))</f>
        <v>0</v>
      </c>
      <c r="W38" s="259" t="str">
        <f t="shared" si="43"/>
        <v>05.03</v>
      </c>
      <c r="X38" s="259" t="str">
        <f t="shared" si="44"/>
        <v>CREDITI COMMERCIALI DIVERSI</v>
      </c>
      <c r="Y38" s="259">
        <f>IF(W38="",0,MAX($Y$2:Y37)+1)</f>
        <v>31</v>
      </c>
      <c r="Z38" s="259" t="str">
        <f>IFERROR(INDEX($W$3:$Y$220,MATCH(ROWS($Z$2:Z37),$Y$3:$Y$220,0),1),"")</f>
        <v>05.09</v>
      </c>
      <c r="AA38" s="259" t="str">
        <f t="shared" si="45"/>
        <v>CREDITI DA LIQUIDARE</v>
      </c>
      <c r="AB38" s="259" t="str">
        <f t="shared" si="46"/>
        <v>F</v>
      </c>
      <c r="AC38" s="259" t="str">
        <f t="shared" si="47"/>
        <v>D</v>
      </c>
      <c r="AD38" s="259" t="str">
        <f t="shared" si="48"/>
        <v>CREDITI</v>
      </c>
      <c r="AE38" s="259" t="str">
        <f t="shared" si="49"/>
        <v>SP DARE</v>
      </c>
      <c r="AF38" s="259" t="str">
        <f t="shared" si="50"/>
        <v>CREDITI COMMERCIALI</v>
      </c>
      <c r="AG38" s="259">
        <f t="shared" ca="1" si="51"/>
        <v>0</v>
      </c>
      <c r="AH38" s="259">
        <f t="shared" ca="1" si="52"/>
        <v>0</v>
      </c>
      <c r="AI38" s="259">
        <f t="shared" ca="1" si="53"/>
        <v>1</v>
      </c>
      <c r="AJ38" s="259" t="str">
        <f t="shared" si="54"/>
        <v>05</v>
      </c>
      <c r="AK38" s="259" t="str">
        <f t="shared" si="55"/>
        <v/>
      </c>
      <c r="AL38" s="259">
        <f>IF(AK38&lt;&gt;"",MAX($AL$2:AL37)+1,0)</f>
        <v>0</v>
      </c>
      <c r="AM38" s="259" t="str">
        <f>IFERROR(INDEX($AK$3:$AL$220,MATCH(ROWS($AM$3:AM38),$AL$3:$AL$220,0),1),"")</f>
        <v/>
      </c>
      <c r="AN38" s="259" t="str">
        <f t="shared" si="56"/>
        <v/>
      </c>
      <c r="AO38" s="259" t="str">
        <f t="shared" si="57"/>
        <v/>
      </c>
      <c r="AP38" s="259" t="str">
        <f t="shared" si="58"/>
        <v>CREDITI COMMERCIALI</v>
      </c>
      <c r="AQ38" s="259">
        <f ca="1">IF(OR(AG38=0,AG38=""),0,MAX(AQ$2:AQ37)+1)</f>
        <v>0</v>
      </c>
      <c r="AR38" s="259">
        <f ca="1">IF(OR(AH38=0,AH38=""),0,MAX(AR$2:AR37)+1)</f>
        <v>0</v>
      </c>
      <c r="AS38" s="259">
        <f ca="1">IF(OR(AI38=0,AI38=""),0,MAX(AS$2:AS37)+1)</f>
        <v>36</v>
      </c>
      <c r="AT38" s="259" t="str">
        <f ca="1">IFERROR(INDEX($AD$3:$AS$220,MATCH(ROWS(AT$3:AT38),AQ$3:AQ$220,0),1),"")</f>
        <v>DEBITI</v>
      </c>
      <c r="AU38" s="259" t="str">
        <f ca="1">IFERROR(INDEX($AD$3:$AS$220,MATCH(ROWS(AU$3:AU38),AR$3:AR$220,0),1),"")</f>
        <v>CREDITI</v>
      </c>
      <c r="AV38" s="259" t="str">
        <f ca="1">IFERROR(INDEX($AD$3:$AS$220,MATCH(ROWS(AV$3:AV38),AS$3:AS$220,0),1),"")</f>
        <v>CREDITI</v>
      </c>
      <c r="AW38" s="259" t="str">
        <f ca="1">IFERROR(INDEX($AP$3:$AS$220,MATCH(ROWS(AW$3:AW38),AQ$3:AQ$220,0),1),"")</f>
        <v>DEBITI COMMERCIALI</v>
      </c>
      <c r="AX38" s="259" t="str">
        <f ca="1">IFERROR(INDEX($AP$3:$AS$220,MATCH(ROWS(AX$3:AX38),AR$3:AR$220,0),1),"")</f>
        <v>CREDITI DIVERSI</v>
      </c>
      <c r="AY38" s="259" t="str">
        <f ca="1">IFERROR(INDEX($AP$3:$AS$220,MATCH(ROWS(AY$3:AY38),AS$3:AS$220,0),1),"")</f>
        <v>CREDITI COMMERCIALI</v>
      </c>
      <c r="AZ38" s="276" t="str">
        <f t="shared" ca="1" si="59"/>
        <v/>
      </c>
      <c r="BA38" s="259">
        <f t="shared" ca="1" si="153"/>
        <v>0</v>
      </c>
      <c r="BB38" s="259">
        <f ca="1">IFERROR(INDEX($FG$3:$FL$400,MATCH(ROWS($BB$3:BB38),$FL$3:$FL$400,0),1),0)</f>
        <v>0</v>
      </c>
      <c r="BC38" s="259" t="str">
        <f t="shared" ca="1" si="60"/>
        <v/>
      </c>
      <c r="BD38" s="259">
        <f ca="1">IFERROR(INDEX($FG$3:$FL$400,MATCH(ROWS($BD$3:BD38),$FL$3:$FL$400,0),4),0)</f>
        <v>0</v>
      </c>
      <c r="BE38" s="259">
        <f ca="1">IFERROR(INDEX($FG$3:$FL$400,MATCH(ROWS($BE$3:BE38),$FL$3:$FL$400,0),5),0)</f>
        <v>0</v>
      </c>
      <c r="BG38" s="259" t="str">
        <f t="shared" si="4"/>
        <v/>
      </c>
      <c r="BH38" s="259">
        <f ca="1">IF(IFERROR(MATCH(BG38,DENOMINAZIONE_GIORNALE,0),0)&gt;0,MAX(BH$2:BH37)+1,0)</f>
        <v>0</v>
      </c>
      <c r="BI38" s="259" t="str">
        <f ca="1">IFERROR(INDEX($BG$3:$BH$220,MATCH(ROWS($BI$3:BI38),$BH$3:$BH$220,0),1),"")</f>
        <v/>
      </c>
      <c r="BJ38" s="259" t="str">
        <f t="shared" ca="1" si="5"/>
        <v/>
      </c>
      <c r="BK38" s="259" t="str">
        <f ca="1">IF(IF(BJ38&lt;&gt;"",MAX($BK$2:BK37)+1,0)=0,"",IF(BJ38&lt;&gt;"",MAX($BK$2:BK37)+1,0))</f>
        <v/>
      </c>
      <c r="BL38" s="259" t="str">
        <f ca="1">IFERROR(INDEX($T$3:$U$220, MATCH(ROWS(BL$3:BL38),$V$3:$V$220,0),1),"")</f>
        <v/>
      </c>
      <c r="BM38" s="259" t="str">
        <f ca="1">IFERROR(INDEX($T$3:$U$220, MATCH(ROWS(BM$3:BM38),$V$3:$V$220,0),2),"")</f>
        <v/>
      </c>
      <c r="BN38" s="259" t="str">
        <f ca="1">IF(IFERROR(INDEX($BI$3:$BJ$220,MATCH(ROWS(BN$3:BN38),$BK$3:$BK$220,0),1),"")="PATRIMONIO NETTO","",IFERROR(INDEX($BI$3:$BJ$220,MATCH(ROWS(BN$3:BN38),$BK$3:$BK$220,0),1),""))</f>
        <v/>
      </c>
      <c r="BO38" s="259" t="str">
        <f ca="1">IFERROR(INDEX($BI$3:$BJ$220,MATCH(ROWS(BO$3:BO38),$BK$3:$BK$220,0),2),"")</f>
        <v/>
      </c>
      <c r="BP38" s="259">
        <f ca="1">IF(BN38&lt;&gt;"",MAX(BP$2:$BP37)+1,0)</f>
        <v>0</v>
      </c>
      <c r="BQ38" s="259" t="str">
        <f ca="1">IFERROR(INDEX($BN$3:$BO$200,MATCH(ROWS(BQ$3:BQ38),$BP$3:$BP$220,0),1),"")</f>
        <v/>
      </c>
      <c r="BR38" s="259" t="str">
        <f ca="1">IFERROR(INDEX($BN$3:$BO$220,MATCH(ROWS(BR$3:BR38),$BP$3:$BP$220,0),2),"")</f>
        <v/>
      </c>
      <c r="BS38" s="259" t="str">
        <f ca="1">IFERROR(IF(OR(INDEX($T$3:$U$220,MATCH(ROWS(BL$3:BL38),$V$3:$V$220,0),1)="PRELEVAMENTI EXTRAGESTIONE",INDEX($T$3:$U$220,MATCH(ROWS(BL$3:BL38),$V$3:$V$220,0),1)="TITOLARE C/RITENUTE SUBITE"),"",INDEX($T$3:$U$220,MATCH(ROWS(BL$3:BL38),$V$3:$V$220,0),1)),"")</f>
        <v/>
      </c>
      <c r="BT38" s="259">
        <f t="shared" ca="1" si="61"/>
        <v>0</v>
      </c>
      <c r="BU38" s="259">
        <f ca="1">IF(BS38&lt;&gt;"",MAX(BU$2:BU37)+1,0)</f>
        <v>0</v>
      </c>
      <c r="BV38" s="259" t="str">
        <f ca="1">IFERROR(INDEX($BS$3:$BT$223,MATCH(ROWS(BV$3:BV38),$BU$3:$BU$223,0),1),"")</f>
        <v/>
      </c>
      <c r="BW38" s="259">
        <f t="shared" ca="1" si="62"/>
        <v>0</v>
      </c>
      <c r="BX38" s="259" t="str">
        <f t="shared" ca="1" si="63"/>
        <v/>
      </c>
      <c r="BY38" s="259" t="str">
        <f t="shared" ca="1" si="64"/>
        <v/>
      </c>
      <c r="BZ38" s="259" t="str">
        <f ca="1">IFERROR(IF(OR($DS$231&lt;&gt;$DT$231,$DU$231&lt;&gt;$DV$231,$EO$25&lt;&gt;0,$EO$26&lt;&gt;0),INDEX($T$3:$V$220,MATCH(ROWS($BV$3:BV38),$V$3:$V$220,0),1),CONCATENATE(BV38,BY38)),"")</f>
        <v/>
      </c>
      <c r="CA38" s="259">
        <f t="shared" ca="1" si="65"/>
        <v>0</v>
      </c>
      <c r="CB38" s="259" t="str">
        <f ca="1">IFERROR(IF(OR($BB$1&lt;&gt;$BD$1,$BC$1&lt;&gt;$BE$1,$DS$231&lt;&gt;$DT$231,$DU$231&lt;&gt;$DV$231,$EO$25&lt;&gt;0,$EO$26&lt;&gt;0),INDEX($BI$3:$BK$220,MATCH(ROWS($CB$3:CB38),$BK$3:$BK$220,0),1),CONCATENATE(BQ38,BX38)),"")</f>
        <v/>
      </c>
      <c r="CC38" s="259" t="str">
        <f t="shared" ca="1" si="66"/>
        <v/>
      </c>
      <c r="CD38" s="259" t="str">
        <f t="shared" si="6"/>
        <v/>
      </c>
      <c r="CE38" s="259">
        <f ca="1">IF(IFERROR(MATCH(CD38,DENOMINAZIONE_GIORNALE,0),0)&gt;0,MAX(CE$2:CE37)+1,0)</f>
        <v>0</v>
      </c>
      <c r="CF38" s="259" t="str">
        <f ca="1">IFERROR(INDEX($CD$3:$CE$220,MATCH(ROWS($CF$3:CF38),$CE$3:$CE$220,0),1),"")</f>
        <v/>
      </c>
      <c r="CG38" s="259">
        <f t="shared" ca="1" si="7"/>
        <v>0</v>
      </c>
      <c r="CH38" s="259" t="str">
        <f ca="1">IF(IF(CG38&lt;&gt;0,MAX($CH$2:CH37)+1,0)=0,"",IF(CG38&lt;&gt;"",MAX($CH$2:CH37)+1,0))</f>
        <v/>
      </c>
      <c r="CI38" s="259" t="str">
        <f ca="1">IFERROR(INDEX($CF$3:$CG$220,MATCH(ROWS($CI$3:CI38),$CH$3:$CH$220,0),1),"")</f>
        <v/>
      </c>
      <c r="CJ38" s="259" t="str">
        <f t="shared" ca="1" si="67"/>
        <v/>
      </c>
      <c r="CK38" s="259" t="str">
        <f t="shared" si="8"/>
        <v/>
      </c>
      <c r="CL38" s="259">
        <f ca="1">IF(IFERROR(MATCH(CK38,DENOMINAZIONE_GIORNALE,0),0)&gt;0,MAX(CL$2:CL37)+1,0)</f>
        <v>0</v>
      </c>
      <c r="CM38" s="259" t="str">
        <f ca="1">IFERROR(INDEX($CK$3:$CL$220,MATCH(ROWS($CM$3:CM38),$CL$3:$CL$220,0),1),"")</f>
        <v/>
      </c>
      <c r="CN38" s="259" t="str">
        <f t="shared" ca="1" si="9"/>
        <v/>
      </c>
      <c r="CO38" s="259">
        <f ca="1">IF(IF(CN38&lt;&gt;0,MAX($CO$2:CO37)+1,0)=0,"",IF(CN38&lt;&gt;"",MAX($CO$2:CO37)+1,0))</f>
        <v>0</v>
      </c>
      <c r="CP38" s="259" t="str">
        <f ca="1">IFERROR(INDEX($CM$3:$CN$220,MATCH(ROWS(CP$3:CP38),$CO$3:$CO$220,0),1),"")</f>
        <v/>
      </c>
      <c r="CQ38" s="259" t="str">
        <f ca="1">IFERROR(INDEX($CM$3:$CN$220,MATCH(ROWS(CQ$3:CQ38),$CO$3:$CO$220,0),2),"")</f>
        <v/>
      </c>
      <c r="CR38" s="259" t="str">
        <f t="shared" ca="1" si="154"/>
        <v/>
      </c>
      <c r="CS38" s="259">
        <f t="shared" ca="1" si="11"/>
        <v>0</v>
      </c>
      <c r="CT38" s="259">
        <f t="shared" ca="1" si="12"/>
        <v>0</v>
      </c>
      <c r="CU38" s="259">
        <f ca="1">IF(OR(CS38&gt;0,CT38&gt;0),MAX($CU$2:CU37)+1,0)</f>
        <v>0</v>
      </c>
      <c r="CV38" s="259" t="str">
        <f ca="1">IFERROR(INDEX(PIANO_DEI_CONTI,MATCH(ROWS($CV$3:CV38),$CU$3:$CU$200,0),2),"")</f>
        <v/>
      </c>
      <c r="CW38" s="259">
        <f ca="1">IFERROR(IF(CV38&lt;&gt;"",MAX($CW$2:CW37)+1,0),0)</f>
        <v>0</v>
      </c>
      <c r="CX38" s="259" t="str">
        <f>IFERROR(IF(CX20+1=1,"",(CX20+1)),"")</f>
        <v/>
      </c>
      <c r="CY38" s="259" t="s">
        <v>269</v>
      </c>
      <c r="DB38" s="259" t="str">
        <f t="shared" ref="DB38" si="160">CY38</f>
        <v>MASTRO</v>
      </c>
      <c r="DF38" s="259">
        <f ca="1">IF(AND(CX38=$DE$2,$DF$2&lt;&gt;0),0,IF(AND(DB38&lt;&gt;"",OR(DB37&lt;&gt;"",DB39&lt;&gt;"")),MAX($DF$2:DF37)+1,0))</f>
        <v>0</v>
      </c>
      <c r="DG38" s="259" t="str">
        <f>IF(OR(VALORI_INIZIALI!E43="",AND(VALORI_INIZIALI!E43&lt;&gt;"",VALORI_INIZIALI!H43=0,VALORI_INIZIALI!I43=0)),"",IFERROR(INDEX(PIANO_DEI_CONTI,MATCH(BB38,DENOMINAZIONE,0),1),0))</f>
        <v/>
      </c>
      <c r="DH38" s="259">
        <f ca="1">IFERROR(IF($J$1=1,IF(INDEX(PIANO_DEI_CONTI,MATCH($K38,DENOMINAZIONE,0),5)=$DF$1,MAX($DH$2:DH37)+1,0),IF($J$1=2,IF(INDEX(PIANO_DEI_CONTI,MATCH($K38,DENOMINAZIONE,0),7)=$DF$1,MAX($DH$2:DH37)+1,0))),0)</f>
        <v>0</v>
      </c>
      <c r="DI38" s="259">
        <f ca="1">IFERROR(INDEX($K$3:$K$220,MATCH(ROWS($DI$3:DI38),$DH$3:$DH$220,0),1),0)</f>
        <v>0</v>
      </c>
      <c r="DJ38" s="259">
        <f t="shared" ca="1" si="14"/>
        <v>0</v>
      </c>
      <c r="DK38" s="259">
        <f ca="1">IF(DJ38=0,0,MAX(DK$2:DK37)+1)</f>
        <v>0</v>
      </c>
      <c r="DL38" s="259">
        <f ca="1">IFERROR(INDEX(PIANO_DEI_CONTI,MATCH(ROWS(DL$3:DL38),$DK$3:DK265,0),2),0)</f>
        <v>0</v>
      </c>
      <c r="DM38" s="259">
        <f t="shared" ca="1" si="15"/>
        <v>0</v>
      </c>
      <c r="DN38" s="259">
        <f t="shared" ca="1" si="16"/>
        <v>0</v>
      </c>
      <c r="DO38" s="259">
        <f t="shared" ca="1" si="69"/>
        <v>0</v>
      </c>
      <c r="DP38" s="259">
        <f t="shared" ca="1" si="70"/>
        <v>0</v>
      </c>
      <c r="DQ38" s="259">
        <f ca="1">IF(OR($DQ$1="TOTALI",$DQ$1="TOTALI ED ECCEDENZE"),IF(OR(DM38&gt;0,DN38&gt;0),MAX(DQ$2:DQ37)+1,0),IF($DQ$1="ECCEDENZE",IF(OR(DO38&gt;0,DP38&gt;0),MAX(DQ$2:DQ37)+1,0),""))</f>
        <v>0</v>
      </c>
      <c r="DR38" s="259" t="str">
        <f ca="1">IFERROR(INDEX($DL$3:$DQ$230,MATCH(ROWS(DR$3:DR38),$DQ$3:$DQ$230,0),1),"")</f>
        <v/>
      </c>
      <c r="DS38" s="259" t="str">
        <f t="shared" ca="1" si="71"/>
        <v/>
      </c>
      <c r="DT38" s="259" t="str">
        <f t="shared" ca="1" si="72"/>
        <v/>
      </c>
      <c r="DU38" s="259" t="str">
        <f t="shared" ca="1" si="73"/>
        <v/>
      </c>
      <c r="DV38" s="259" t="str">
        <f t="shared" ca="1" si="74"/>
        <v/>
      </c>
      <c r="DW38" s="259">
        <f t="shared" ca="1" si="75"/>
        <v>0</v>
      </c>
      <c r="DX38" s="259" t="str">
        <f t="shared" ca="1" si="76"/>
        <v/>
      </c>
      <c r="DY38" s="259" t="str">
        <f t="shared" ca="1" si="77"/>
        <v/>
      </c>
      <c r="DZ38" s="259" t="str">
        <f t="shared" ca="1" si="78"/>
        <v/>
      </c>
      <c r="EA38" s="259">
        <f t="shared" ca="1" si="79"/>
        <v>36</v>
      </c>
      <c r="EB38" s="259" t="s">
        <v>353</v>
      </c>
      <c r="ED38" s="259">
        <f t="shared" ca="1" si="17"/>
        <v>0</v>
      </c>
      <c r="EE38" s="259" t="str">
        <f t="shared" ca="1" si="155"/>
        <v/>
      </c>
      <c r="EF38" s="259" t="str">
        <f t="shared" ca="1" si="19"/>
        <v/>
      </c>
      <c r="EG38" s="259" t="str">
        <f t="shared" ca="1" si="136"/>
        <v/>
      </c>
      <c r="EH38" s="259" t="str">
        <f t="shared" ca="1" si="80"/>
        <v/>
      </c>
      <c r="EI38" s="260" t="b">
        <f t="shared" ca="1" si="137"/>
        <v>0</v>
      </c>
      <c r="EJ38" s="260" t="b">
        <f t="shared" ca="1" si="138"/>
        <v>1</v>
      </c>
      <c r="EK38" s="260" t="b">
        <f t="shared" ca="1" si="139"/>
        <v>1</v>
      </c>
      <c r="EL38" s="259">
        <f t="shared" si="81"/>
        <v>36</v>
      </c>
      <c r="EM38" s="259">
        <f ca="1">IF(AND(BA38&gt;0,BA38&lt;=$EM$1),MAX($EM$2:EM37)+1,0)</f>
        <v>0</v>
      </c>
      <c r="EN38" s="259">
        <f t="shared" ca="1" si="82"/>
        <v>38</v>
      </c>
      <c r="EP38" s="259" t="str">
        <f t="shared" ca="1" si="20"/>
        <v/>
      </c>
      <c r="EQ38" s="259">
        <f t="shared" ca="1" si="21"/>
        <v>0</v>
      </c>
      <c r="ER38" s="259">
        <f ca="1">IF(ISNA(EQ38),MAX(ER$2:ER37)+1,0)</f>
        <v>0</v>
      </c>
      <c r="ES38" s="259" t="str">
        <f t="shared" ca="1" si="83"/>
        <v/>
      </c>
      <c r="ET38" s="259" t="str">
        <f ca="1">IFERROR(UPPER(INDEX($ER$3:$ES$500,MATCH(ROWS(ET$3:ET38),$ER$3:$ER$500,0),2)),"")</f>
        <v/>
      </c>
      <c r="EY38" s="259">
        <f t="shared" ca="1" si="84"/>
        <v>0</v>
      </c>
      <c r="EZ38" s="259">
        <f t="shared" ca="1" si="84"/>
        <v>0</v>
      </c>
      <c r="FA38" s="259" t="str">
        <f t="shared" ca="1" si="85"/>
        <v/>
      </c>
      <c r="FB38" s="259">
        <f t="shared" ca="1" si="86"/>
        <v>0</v>
      </c>
      <c r="FC38" s="259">
        <f t="shared" ca="1" si="87"/>
        <v>0</v>
      </c>
      <c r="FD38" s="259">
        <f t="shared" ca="1" si="22"/>
        <v>0</v>
      </c>
      <c r="FE38" s="259" t="str">
        <f t="shared" ca="1" si="23"/>
        <v/>
      </c>
      <c r="FF38" s="259" t="str">
        <f t="shared" ca="1" si="88"/>
        <v/>
      </c>
      <c r="FG38" s="259" t="str">
        <f t="shared" si="89"/>
        <v>CREDITI DA LIQUIDARE</v>
      </c>
      <c r="FH38" s="259">
        <f t="shared" ca="1" si="156"/>
        <v>0</v>
      </c>
      <c r="FI38" s="259">
        <f t="shared" ca="1" si="25"/>
        <v>0</v>
      </c>
      <c r="FJ38" s="259">
        <f t="shared" ca="1" si="90"/>
        <v>0</v>
      </c>
      <c r="FK38" s="259">
        <f t="shared" ca="1" si="91"/>
        <v>0</v>
      </c>
      <c r="FL38" s="259">
        <f ca="1">IF(OR(FJ38&gt;0,FK38&gt;0),MAX($FL$2:FL37)+1,0)</f>
        <v>0</v>
      </c>
      <c r="FM38" s="259">
        <f t="shared" ca="1" si="26"/>
        <v>0</v>
      </c>
      <c r="FN38" s="259">
        <f ca="1">IF(FM38&lt;0,MAX($FN$2:FN37)+1,0)</f>
        <v>0</v>
      </c>
      <c r="FO38" s="259" t="str">
        <f t="shared" ca="1" si="92"/>
        <v/>
      </c>
      <c r="FP38" s="259" t="str">
        <f ca="1">IFERROR(INDEX($FN$3:$FO$400,MATCH(ROWS($FP$3:FP38),$FN$3:$FN$400,0),2),"")</f>
        <v/>
      </c>
      <c r="FQ38" s="259" t="str">
        <f>IF(AE38="SE AVERE",MAX($FQ$2:FQ37)+1,"")</f>
        <v/>
      </c>
      <c r="FR38" s="259" t="str">
        <f>IF(AE38="SE DARE",MAX($FR$2:FR37)+1,"")</f>
        <v/>
      </c>
      <c r="FS38" s="259">
        <f ca="1">IF(AND(AE38="SP DARE",AA38&lt;&gt;$FS$1,AA38&lt;&gt;$FT$1),MAX($FS$2:FS37)+1,IF(AND(GQ38="SP DARE",AA38&lt;&gt;$FS$1,AA38&lt;&gt;$FT$1),MAX($FS$2:FS37)+1,""))</f>
        <v>114</v>
      </c>
      <c r="FT38" s="259" t="str">
        <f ca="1">IF(AND(AE38="SP AVERE",AA38&lt;&gt;$FU$1),MAX($FT$2:FT37)+1,IF(AND(GQ38="SP AVERE",AA38&lt;&gt;$FU$1),MAX($FT$2:FT37)+1,""))</f>
        <v/>
      </c>
      <c r="FU38" s="259">
        <f t="shared" ca="1" si="93"/>
        <v>114</v>
      </c>
      <c r="FV38" s="259" t="str">
        <f t="shared" si="94"/>
        <v>CREDITI DA LIQUIDARE</v>
      </c>
      <c r="FW38" s="259" t="str">
        <f ca="1">IFERROR(INDEX($FU$3:$FV$500,MATCH(ROWS($FW$3:FW38),$FU$3:$FU$500,0),2),0)</f>
        <v>COSTI PER I LOCALI</v>
      </c>
      <c r="FX38" s="259">
        <f t="shared" ca="1" si="95"/>
        <v>36</v>
      </c>
      <c r="FY38" s="259">
        <f t="shared" ca="1" si="96"/>
        <v>0</v>
      </c>
      <c r="FZ38" s="259">
        <f ca="1">IF(FY38&gt;0,MAX($FZ$2:FZ37)+1,0)</f>
        <v>0</v>
      </c>
      <c r="GA38" s="259">
        <f ca="1">IFERROR(INDEX($FY$3:$FZ$500,MATCH(ROWS($GA$3:GA38),$FZ$3:$FZ$500,0),1),0)</f>
        <v>0</v>
      </c>
      <c r="GC38" s="259">
        <f t="shared" ca="1" si="97"/>
        <v>36</v>
      </c>
      <c r="GD38" s="259" t="str">
        <f t="shared" ca="1" si="98"/>
        <v>COSTI PER I LOCALI</v>
      </c>
      <c r="GG38" s="259">
        <f t="shared" ca="1" si="27"/>
        <v>0</v>
      </c>
      <c r="GH38" s="259">
        <f t="shared" ca="1" si="99"/>
        <v>0</v>
      </c>
      <c r="GI38" s="259">
        <f t="shared" ca="1" si="100"/>
        <v>0</v>
      </c>
      <c r="GJ38" s="259">
        <f t="shared" ca="1" si="101"/>
        <v>0</v>
      </c>
      <c r="GK38" s="259">
        <f t="shared" ca="1" si="102"/>
        <v>0</v>
      </c>
      <c r="GL38" s="259">
        <f t="shared" ca="1" si="103"/>
        <v>0</v>
      </c>
      <c r="GM38" s="259">
        <f ca="1">IF(OR(GK38&gt;0,GL38&gt;0),MAX($GM$2:GM37)+1,0)</f>
        <v>0</v>
      </c>
      <c r="GN38" s="259" t="str">
        <f ca="1">IFERROR(INDEX($GD$3:$GM$400,MATCH(ROWS($GN$3:GN38),$GM$3:$GM$400,0),1),"")</f>
        <v/>
      </c>
      <c r="GO38" s="259" t="str">
        <f ca="1">IFERROR(INDEX($GD$3:$GM$400,MATCH(ROWS($GO$3:GO38),$GM$3:$GM$400,0),8),"")</f>
        <v/>
      </c>
      <c r="GP38" s="259" t="str">
        <f ca="1">IFERROR(INDEX($GD$3:$GM$400,MATCH(ROWS($GP$3:GP38),$GM$3:$GM$400,0),9),"")</f>
        <v/>
      </c>
      <c r="GQ38" s="259">
        <f t="shared" ca="1" si="28"/>
        <v>0</v>
      </c>
      <c r="GR38" s="259">
        <f t="shared" ca="1" si="104"/>
        <v>0</v>
      </c>
      <c r="GS38" s="259" t="str">
        <f t="shared" si="105"/>
        <v>epilogo a Conto economico</v>
      </c>
      <c r="GT38" s="259" t="str">
        <f ca="1">IFERROR(INDEX($GD$3:$GS$400,MATCH(ROWS($GT$3:GT38),$GM$3:$GM$400,0),16),"")</f>
        <v/>
      </c>
      <c r="GU38" s="259">
        <f ca="1">IF(GQ38&lt;&gt;0,MAX($GU$2:$GU37)+1,0)</f>
        <v>0</v>
      </c>
      <c r="GV38" s="259">
        <f t="shared" ca="1" si="106"/>
        <v>0</v>
      </c>
      <c r="GW38" s="259" t="str">
        <f ca="1">IF(AND(IFERROR(INDEX($GU$3:$GV$400,MATCH(ROWS($GW$3:GW38),$GU$3:$GU$400,0),2),"")&lt;&gt;"",GW39&lt;&gt;""),CONCATENATE(IFERROR(INDEX($GU$3:$GV$400,MATCH(ROWS($GW$3:GW38),$GU$3:$GU$400,0),2),"")," - "),IFERROR(INDEX($GU$3:$GV$400,MATCH(ROWS($GW$3:GW38),$GU$3:$GU$400,0),2),""))</f>
        <v/>
      </c>
      <c r="GX38" s="259">
        <f ca="1">IF(OR(GN38="IVA NS/CREDITO",GN38="IVA NS/DEBITO",GN38="IVA C/ACCONTO",GN38="IMPOSTE C/ACCONTO"),MAX($GX$2:GX37)+1,0)</f>
        <v>0</v>
      </c>
      <c r="GY38" s="259" t="str">
        <f ca="1">IF(AND(IFERROR(INDEX($GN$3:$GX$200,MATCH(ROWS($GY$3:GY38),$GX$3:$GX$200,0),1),"")&lt;&gt;"",GY39&lt;&gt;""),CONCATENATE(IFERROR(INDEX($GN$3:$GX$200,MATCH(ROWS($GY$3:GY38),$GX$3:$GX$200,0),1),"")," - "),IFERROR(INDEX($GN$3:$GX$200,MATCH(ROWS($GY$3:GY38),$GX$3:$GX$200,0),1),""))</f>
        <v/>
      </c>
      <c r="GZ38" s="259" t="s">
        <v>59</v>
      </c>
      <c r="HA38" s="259" t="s">
        <v>50</v>
      </c>
      <c r="HB38" s="269" t="s">
        <v>257</v>
      </c>
      <c r="HC38" s="269" t="s">
        <v>276</v>
      </c>
      <c r="HD38" s="269" t="s">
        <v>6</v>
      </c>
      <c r="HE38" s="269" t="s">
        <v>206</v>
      </c>
      <c r="HL38" s="259" t="str">
        <f t="shared" ca="1" si="157"/>
        <v/>
      </c>
      <c r="HM38" s="259" t="str">
        <f t="shared" ca="1" si="158"/>
        <v/>
      </c>
      <c r="HN38" s="259" t="str">
        <f t="shared" ca="1" si="159"/>
        <v/>
      </c>
      <c r="HO38" s="259">
        <f ca="1">IF(HL38&lt;&gt;"",MAX($HO$2:HO37)+1,0)</f>
        <v>0</v>
      </c>
      <c r="HP38" s="259">
        <f ca="1">IF(HM38&lt;&gt;"",MAX($HP$2:HP37)+1,0)</f>
        <v>0</v>
      </c>
      <c r="HQ38" s="259">
        <f ca="1">IF(HN38&lt;&gt;"",MAX($HQ$2:HQ37)+1,0)</f>
        <v>0</v>
      </c>
      <c r="HR38" s="259" t="str">
        <f t="shared" ca="1" si="107"/>
        <v/>
      </c>
      <c r="HS38" s="259" t="str">
        <f t="shared" ca="1" si="108"/>
        <v/>
      </c>
      <c r="HT38" s="259">
        <f t="shared" ca="1" si="109"/>
        <v>0</v>
      </c>
      <c r="HU38" s="259">
        <f t="shared" ca="1" si="110"/>
        <v>0</v>
      </c>
      <c r="HV38" s="259" t="str">
        <f ca="1">CONCATENATE(IFERROR(INDEX($HS$3:$HT$102,MATCH(ROWS($HV$3:HV38),$HT$3:$HT$102,0),1),""),HR38)</f>
        <v/>
      </c>
      <c r="IB38" s="259" t="s">
        <v>300</v>
      </c>
      <c r="IC38" s="259">
        <f ca="1">IFERROR(INDEX(PIANO_DEI_CONTI,MATCH(ROWS(DL$3:DL38),$DK$3:DK265,0),2),0)</f>
        <v>0</v>
      </c>
      <c r="ID38" s="259">
        <f t="shared" ca="1" si="111"/>
        <v>0</v>
      </c>
      <c r="IE38" s="259">
        <f t="shared" ca="1" si="112"/>
        <v>0</v>
      </c>
      <c r="IF38" s="259">
        <f t="shared" ca="1" si="113"/>
        <v>0</v>
      </c>
      <c r="IG38" s="259">
        <f ca="1">IF(OR(IG78&lt;&gt;0,IG46&lt;&gt;0,IG67&lt;&gt;0,IG92&lt;&gt;0),"",0)</f>
        <v>0</v>
      </c>
      <c r="IH38" s="259">
        <f ca="1">IF(IG38&lt;&gt;0,MAX($IH$35:IH37)+1,0)</f>
        <v>0</v>
      </c>
      <c r="II38" s="259">
        <f>IF(AD38="costi pluriennali",MAX($II$2:II37)+1,0)</f>
        <v>0</v>
      </c>
      <c r="IJ38" s="259">
        <f>IF($AD38="rettifiche costi pluriennali",MAX($IJ$2:IJ37)+1,0)</f>
        <v>0</v>
      </c>
      <c r="IK38" s="259">
        <f t="shared" si="114"/>
        <v>0</v>
      </c>
      <c r="IL38" s="259" t="str">
        <f t="shared" si="115"/>
        <v/>
      </c>
      <c r="IM38" s="259">
        <f t="shared" ca="1" si="116"/>
        <v>0</v>
      </c>
      <c r="IN38" s="259">
        <f t="shared" ca="1" si="141"/>
        <v>0</v>
      </c>
      <c r="IO38" s="259">
        <f>SUMIFS($IM$3:$IM$200,$IK$3:$IK$200,ROWS($IO$3:IO38))-SUMIFS($IN$3:$IN$200,$IK$3:$IK$200,ROWS($IO$3:IO38))</f>
        <v>0</v>
      </c>
      <c r="IP38" s="259" t="str">
        <f>IF(IO38&lt;0,INDEX($IJ$3:$IL$200,MATCH(ROWS($IP$3:IP38),$IJ$3:$IJ$200,0),3),"")</f>
        <v/>
      </c>
      <c r="IQ38" s="259">
        <f>IF(IP38&lt;&gt;"",MAX($IQ$2:IQ37)+1,0)</f>
        <v>0</v>
      </c>
      <c r="IR38" s="259" t="str">
        <f ca="1">IFERROR(INDEX($IP$3:$IQ$200,MATCH(ROWS($IR$3:IR38),$IQ$3:$IQ$200,0),1),"")</f>
        <v/>
      </c>
      <c r="IS38" s="259" t="str">
        <f t="shared" ca="1" si="117"/>
        <v/>
      </c>
      <c r="IT38" s="259" t="str">
        <f t="shared" ca="1" si="118"/>
        <v/>
      </c>
      <c r="IU38" s="259" t="str">
        <f t="shared" ca="1" si="119"/>
        <v/>
      </c>
      <c r="IV38" s="259" t="str">
        <f t="shared" ca="1" si="120"/>
        <v/>
      </c>
      <c r="IW38" s="259" t="str">
        <f t="shared" ca="1" si="121"/>
        <v/>
      </c>
      <c r="IX38" s="259" t="str">
        <f t="shared" ca="1" si="122"/>
        <v/>
      </c>
      <c r="IY38" s="259" t="str">
        <f t="shared" ca="1" si="123"/>
        <v/>
      </c>
      <c r="IZ38" s="259" t="str">
        <f t="shared" ca="1" si="124"/>
        <v/>
      </c>
      <c r="JA38" s="259" t="str">
        <f t="shared" ca="1" si="125"/>
        <v/>
      </c>
      <c r="JB38" s="259">
        <f t="shared" ca="1" si="32"/>
        <v>0</v>
      </c>
      <c r="JC38" s="259">
        <f t="shared" ca="1" si="126"/>
        <v>0</v>
      </c>
      <c r="JE38" s="259">
        <f ca="1">IFERROR(INDEX(LIBRO_GIORNALE!$N$11:$O$408,MATCH(ROWS($JE$2:JE37),LIBRO_GIORNALE!$O$11:$O$408,0),1),0)</f>
        <v>0</v>
      </c>
      <c r="JF38" s="259" t="str">
        <f t="shared" ca="1" si="127"/>
        <v>0</v>
      </c>
      <c r="JG38" s="259">
        <f t="shared" ca="1" si="128"/>
        <v>0</v>
      </c>
      <c r="JH38" s="259">
        <f ca="1">IF(JJ38&gt;0,0,MAX($JH$2:JH37)+1)</f>
        <v>36</v>
      </c>
      <c r="JI38" s="259">
        <f ca="1">IF(JG38&gt;0,MAX($JI$2:JI37)+1,0)</f>
        <v>0</v>
      </c>
      <c r="JJ38" s="259">
        <f ca="1">IFERROR(INDEX($JG$3:$JI$124,MATCH(ROWS($JJ$3:JJ38),$JI$3:$JI$124,0),1),0)</f>
        <v>0</v>
      </c>
      <c r="JK38" s="259">
        <f t="shared" ca="1" si="129"/>
        <v>0</v>
      </c>
      <c r="JL38" s="259">
        <f t="shared" ca="1" si="130"/>
        <v>36</v>
      </c>
    </row>
    <row r="39" spans="1:273">
      <c r="A39" s="259" t="str">
        <f t="shared" si="33"/>
        <v>05.05</v>
      </c>
      <c r="B39" s="259" t="str">
        <f t="shared" si="34"/>
        <v>CLIENTI C/COSTI ANTICIPATI</v>
      </c>
      <c r="C39" s="259" t="str">
        <f t="shared" si="35"/>
        <v>F</v>
      </c>
      <c r="D39" s="259" t="str">
        <f t="shared" si="36"/>
        <v>D</v>
      </c>
      <c r="E39" s="259" t="str">
        <f t="shared" si="37"/>
        <v>CREDITI</v>
      </c>
      <c r="F39" s="259" t="str">
        <f t="shared" si="38"/>
        <v>SP DARE</v>
      </c>
      <c r="G39" s="259">
        <f t="shared" ca="1" si="39"/>
        <v>1</v>
      </c>
      <c r="H39" s="259">
        <f t="shared" ca="1" si="40"/>
        <v>1</v>
      </c>
      <c r="I39" s="259">
        <f t="shared" ca="1" si="41"/>
        <v>1</v>
      </c>
      <c r="K39" s="259" t="str">
        <f ca="1">IFERROR(IF($I$1=1,INDEX($AA$3:$AS$220,MATCH(ROWS($K$3:K39),$AQ$3:$AQ$220,0),1),IF($I$1=2,INDEX($AA$3:$AS$220,MATCH(ROWS($K$3:K39),$AR$3:$AR$220,0),1),IF($I$1=3,INDEX($AA$3:$AS$220,MATCH(ROWS($K$3:K39),$AS$3:$AS$220,0),1),""))),"")</f>
        <v>CREDITI INSOLUTI</v>
      </c>
      <c r="L39" s="259">
        <f ca="1">IF(AND($L$1="VISUALIZZA TUTTI I CONTI",K39&lt;&gt;""),MAX(L38:L38)+1,IFERROR(IF($J$1=1,IF(INDEX(PIANO_DEI_CONTI,MATCH($K39,DENOMINAZIONE,0),5)=$L$1,MAX($L$2:L38)+1,0),IF($J$1=2,IF(INDEX(PIANO_DEI_CONTI,MATCH($K39,DENOMINAZIONE,0),7)=$L$1,MAX($L$2:L38)+1,0))),0))</f>
        <v>37</v>
      </c>
      <c r="M39" s="259" t="str">
        <f ca="1">IFERROR(INDEX($K$3:$K$220,MATCH(ROWS($M$3:M39),$L$3:$L$220,0),1),"")</f>
        <v>CREDITI INSOLUTI</v>
      </c>
      <c r="N39" s="259" t="str">
        <f t="shared" si="143"/>
        <v>COSTI PER GODIMENTO BENI DI TERZI</v>
      </c>
      <c r="O39" s="259" t="str">
        <f t="shared" ca="1" si="142"/>
        <v>COSTI PER GODIMENTO BENI DI TERZI</v>
      </c>
      <c r="P39" s="259">
        <f ca="1">IF(AND(N39=O39,O39&lt;&gt;""),MAX(P$2:P38)+1,0)</f>
        <v>22</v>
      </c>
      <c r="Q39" s="259" t="str">
        <f ca="1">IF(IFERROR(INDEX($O$3:$P$220,MATCH(ROWS(Q$3:Q39),$P$3:$P$220,0),1),"")=0,"",IFERROR(INDEX($O$3:$P$220,MATCH(ROWS(Q$3:Q39),$P$3:$P$220,0),1),""))</f>
        <v/>
      </c>
      <c r="R39" s="259" t="str">
        <f t="shared" si="1"/>
        <v>CREDITI INSOLUTI</v>
      </c>
      <c r="S39" s="259">
        <f ca="1">IF(IFERROR(MATCH(R39,DENOMINAZIONE_GIORNALE,0),0)&gt;0,MAX(S$2:S38)+1,0)</f>
        <v>0</v>
      </c>
      <c r="T39" s="259" t="str">
        <f ca="1">IFERROR(INDEX($R$3:$S$220,MATCH(ROWS($T$3:T39),$S$3:$S$220,0),1),"")</f>
        <v/>
      </c>
      <c r="U39" s="259">
        <f t="shared" ca="1" si="2"/>
        <v>0</v>
      </c>
      <c r="V39" s="259">
        <f ca="1">IF(IF(U39&lt;&gt;0,MAX($V$2:V38)+1,0)=0,0,IF(U39&lt;&gt;0,MAX($V$2:V38)+1,0))</f>
        <v>0</v>
      </c>
      <c r="W39" s="259" t="str">
        <f t="shared" si="43"/>
        <v>05.05</v>
      </c>
      <c r="X39" s="259" t="str">
        <f t="shared" si="44"/>
        <v>CLIENTI C/COSTI ANTICIPATI</v>
      </c>
      <c r="Y39" s="259">
        <f>IF(W39="",0,MAX($Y$2:Y38)+1)</f>
        <v>32</v>
      </c>
      <c r="Z39" s="259" t="str">
        <f>IFERROR(INDEX($W$3:$Y$220,MATCH(ROWS($Z$2:Z38),$Y$3:$Y$220,0),1),"")</f>
        <v>05.10</v>
      </c>
      <c r="AA39" s="259" t="str">
        <f t="shared" si="45"/>
        <v>CREDITI INSOLUTI</v>
      </c>
      <c r="AB39" s="259" t="str">
        <f t="shared" si="46"/>
        <v>F</v>
      </c>
      <c r="AC39" s="259" t="str">
        <f t="shared" si="47"/>
        <v>D</v>
      </c>
      <c r="AD39" s="259" t="str">
        <f t="shared" si="48"/>
        <v>CREDITI</v>
      </c>
      <c r="AE39" s="259" t="str">
        <f t="shared" si="49"/>
        <v>SP DARE</v>
      </c>
      <c r="AF39" s="259" t="str">
        <f t="shared" si="50"/>
        <v>CREDITI COMMERCIALI</v>
      </c>
      <c r="AG39" s="259">
        <f t="shared" ca="1" si="51"/>
        <v>1</v>
      </c>
      <c r="AH39" s="259">
        <f t="shared" ca="1" si="52"/>
        <v>1</v>
      </c>
      <c r="AI39" s="259">
        <f t="shared" ca="1" si="53"/>
        <v>1</v>
      </c>
      <c r="AJ39" s="259" t="str">
        <f t="shared" si="54"/>
        <v>05</v>
      </c>
      <c r="AK39" s="259" t="str">
        <f t="shared" si="55"/>
        <v/>
      </c>
      <c r="AL39" s="259">
        <f>IF(AK39&lt;&gt;"",MAX($AL$2:AL38)+1,0)</f>
        <v>0</v>
      </c>
      <c r="AM39" s="259" t="str">
        <f>IFERROR(INDEX($AK$3:$AL$220,MATCH(ROWS($AM$3:AM39),$AL$3:$AL$220,0),1),"")</f>
        <v/>
      </c>
      <c r="AN39" s="259" t="str">
        <f t="shared" si="56"/>
        <v/>
      </c>
      <c r="AO39" s="259" t="str">
        <f t="shared" si="57"/>
        <v/>
      </c>
      <c r="AP39" s="259" t="str">
        <f t="shared" si="58"/>
        <v>CREDITI COMMERCIALI</v>
      </c>
      <c r="AQ39" s="259">
        <f ca="1">IF(OR(AG39=0,AG39=""),0,MAX(AQ$2:AQ38)+1)</f>
        <v>21</v>
      </c>
      <c r="AR39" s="259">
        <f ca="1">IF(OR(AH39=0,AH39=""),0,MAX(AR$2:AR38)+1)</f>
        <v>32</v>
      </c>
      <c r="AS39" s="259">
        <f ca="1">IF(OR(AI39=0,AI39=""),0,MAX(AS$2:AS38)+1)</f>
        <v>37</v>
      </c>
      <c r="AT39" s="259" t="str">
        <f ca="1">IFERROR(INDEX($AD$3:$AS$220,MATCH(ROWS(AT$3:AT39),AQ$3:AQ$220,0),1),"")</f>
        <v>DEBITI</v>
      </c>
      <c r="AU39" s="259" t="str">
        <f ca="1">IFERROR(INDEX($AD$3:$AS$220,MATCH(ROWS(AU$3:AU39),AR$3:AR$220,0),1),"")</f>
        <v>CREDITI</v>
      </c>
      <c r="AV39" s="259" t="str">
        <f ca="1">IFERROR(INDEX($AD$3:$AS$220,MATCH(ROWS(AV$3:AV39),AS$3:AS$220,0),1),"")</f>
        <v>CREDITI</v>
      </c>
      <c r="AW39" s="259" t="str">
        <f ca="1">IFERROR(INDEX($AP$3:$AS$220,MATCH(ROWS(AW$3:AW39),AQ$3:AQ$220,0),1),"")</f>
        <v>DEBITI COMMERCIALI</v>
      </c>
      <c r="AX39" s="259" t="str">
        <f ca="1">IFERROR(INDEX($AP$3:$AS$220,MATCH(ROWS(AX$3:AX39),AR$3:AR$220,0),1),"")</f>
        <v>CREDITI DIVERSI</v>
      </c>
      <c r="AY39" s="259" t="str">
        <f ca="1">IFERROR(INDEX($AP$3:$AS$220,MATCH(ROWS(AY$3:AY39),AS$3:AS$220,0),1),"")</f>
        <v>CREDITI COMMERCIALI</v>
      </c>
      <c r="AZ39" s="276" t="str">
        <f t="shared" ca="1" si="59"/>
        <v/>
      </c>
      <c r="BA39" s="259">
        <f t="shared" ca="1" si="153"/>
        <v>0</v>
      </c>
      <c r="BB39" s="259">
        <f ca="1">IFERROR(INDEX($FG$3:$FL$400,MATCH(ROWS($BB$3:BB39),$FL$3:$FL$400,0),1),0)</f>
        <v>0</v>
      </c>
      <c r="BC39" s="259" t="str">
        <f t="shared" ca="1" si="60"/>
        <v/>
      </c>
      <c r="BD39" s="259">
        <f ca="1">IFERROR(INDEX($FG$3:$FL$400,MATCH(ROWS($BD$3:BD39),$FL$3:$FL$400,0),4),0)</f>
        <v>0</v>
      </c>
      <c r="BE39" s="259">
        <f ca="1">IFERROR(INDEX($FG$3:$FL$400,MATCH(ROWS($BE$3:BE39),$FL$3:$FL$400,0),5),0)</f>
        <v>0</v>
      </c>
      <c r="BG39" s="259" t="str">
        <f t="shared" si="4"/>
        <v/>
      </c>
      <c r="BH39" s="259">
        <f ca="1">IF(IFERROR(MATCH(BG39,DENOMINAZIONE_GIORNALE,0),0)&gt;0,MAX(BH$2:BH38)+1,0)</f>
        <v>0</v>
      </c>
      <c r="BI39" s="259" t="str">
        <f ca="1">IFERROR(INDEX($BG$3:$BH$220,MATCH(ROWS($BI$3:BI39),$BH$3:$BH$220,0),1),"")</f>
        <v/>
      </c>
      <c r="BJ39" s="259" t="str">
        <f t="shared" ca="1" si="5"/>
        <v/>
      </c>
      <c r="BK39" s="259" t="str">
        <f ca="1">IF(IF(BJ39&lt;&gt;"",MAX($BK$2:BK38)+1,0)=0,"",IF(BJ39&lt;&gt;"",MAX($BK$2:BK38)+1,0))</f>
        <v/>
      </c>
      <c r="BL39" s="259" t="str">
        <f ca="1">IFERROR(INDEX($T$3:$U$220, MATCH(ROWS(BL$3:BL39),$V$3:$V$220,0),1),"")</f>
        <v/>
      </c>
      <c r="BM39" s="259" t="str">
        <f ca="1">IFERROR(INDEX($T$3:$U$220, MATCH(ROWS(BM$3:BM39),$V$3:$V$220,0),2),"")</f>
        <v/>
      </c>
      <c r="BN39" s="259" t="str">
        <f ca="1">IF(IFERROR(INDEX($BI$3:$BJ$220,MATCH(ROWS(BN$3:BN39),$BK$3:$BK$220,0),1),"")="PATRIMONIO NETTO","",IFERROR(INDEX($BI$3:$BJ$220,MATCH(ROWS(BN$3:BN39),$BK$3:$BK$220,0),1),""))</f>
        <v/>
      </c>
      <c r="BO39" s="259" t="str">
        <f ca="1">IFERROR(INDEX($BI$3:$BJ$220,MATCH(ROWS(BO$3:BO39),$BK$3:$BK$220,0),2),"")</f>
        <v/>
      </c>
      <c r="BP39" s="259">
        <f ca="1">IF(BN39&lt;&gt;"",MAX(BP$2:$BP38)+1,0)</f>
        <v>0</v>
      </c>
      <c r="BQ39" s="259" t="str">
        <f ca="1">IFERROR(INDEX($BN$3:$BO$200,MATCH(ROWS(BQ$3:BQ39),$BP$3:$BP$220,0),1),"")</f>
        <v/>
      </c>
      <c r="BR39" s="259" t="str">
        <f ca="1">IFERROR(INDEX($BN$3:$BO$220,MATCH(ROWS(BR$3:BR39),$BP$3:$BP$220,0),2),"")</f>
        <v/>
      </c>
      <c r="BS39" s="259" t="str">
        <f ca="1">IFERROR(IF(OR(INDEX($T$3:$U$220,MATCH(ROWS(BL$3:BL39),$V$3:$V$220,0),1)="PRELEVAMENTI EXTRAGESTIONE",INDEX($T$3:$U$220,MATCH(ROWS(BL$3:BL39),$V$3:$V$220,0),1)="TITOLARE C/RITENUTE SUBITE"),"",INDEX($T$3:$U$220,MATCH(ROWS(BL$3:BL39),$V$3:$V$220,0),1)),"")</f>
        <v/>
      </c>
      <c r="BT39" s="259">
        <f t="shared" ca="1" si="61"/>
        <v>0</v>
      </c>
      <c r="BU39" s="259">
        <f ca="1">IF(BS39&lt;&gt;"",MAX(BU$2:BU38)+1,0)</f>
        <v>0</v>
      </c>
      <c r="BV39" s="259" t="str">
        <f ca="1">IFERROR(INDEX($BS$3:$BT$223,MATCH(ROWS(BV$3:BV39),$BU$3:$BU$223,0),1),"")</f>
        <v/>
      </c>
      <c r="BW39" s="259">
        <f t="shared" ca="1" si="62"/>
        <v>0</v>
      </c>
      <c r="BX39" s="259" t="str">
        <f t="shared" ca="1" si="63"/>
        <v/>
      </c>
      <c r="BY39" s="259" t="str">
        <f t="shared" ca="1" si="64"/>
        <v/>
      </c>
      <c r="BZ39" s="259" t="str">
        <f ca="1">IFERROR(IF(OR($DS$231&lt;&gt;$DT$231,$DU$231&lt;&gt;$DV$231,$EO$25&lt;&gt;0,$EO$26&lt;&gt;0),INDEX($T$3:$V$220,MATCH(ROWS($BV$3:BV39),$V$3:$V$220,0),1),CONCATENATE(BV39,BY39)),"")</f>
        <v/>
      </c>
      <c r="CA39" s="259">
        <f t="shared" ca="1" si="65"/>
        <v>0</v>
      </c>
      <c r="CB39" s="259" t="str">
        <f ca="1">IFERROR(IF(OR($BB$1&lt;&gt;$BD$1,$BC$1&lt;&gt;$BE$1,$DS$231&lt;&gt;$DT$231,$DU$231&lt;&gt;$DV$231,$EO$25&lt;&gt;0,$EO$26&lt;&gt;0),INDEX($BI$3:$BK$220,MATCH(ROWS($CB$3:CB39),$BK$3:$BK$220,0),1),CONCATENATE(BQ39,BX39)),"")</f>
        <v/>
      </c>
      <c r="CC39" s="259" t="str">
        <f t="shared" ca="1" si="66"/>
        <v/>
      </c>
      <c r="CD39" s="259" t="str">
        <f t="shared" si="6"/>
        <v/>
      </c>
      <c r="CE39" s="259">
        <f ca="1">IF(IFERROR(MATCH(CD39,DENOMINAZIONE_GIORNALE,0),0)&gt;0,MAX(CE$2:CE38)+1,0)</f>
        <v>0</v>
      </c>
      <c r="CF39" s="259" t="str">
        <f ca="1">IFERROR(INDEX($CD$3:$CE$220,MATCH(ROWS($CF$3:CF39),$CE$3:$CE$220,0),1),"")</f>
        <v/>
      </c>
      <c r="CG39" s="259">
        <f t="shared" ca="1" si="7"/>
        <v>0</v>
      </c>
      <c r="CH39" s="259" t="str">
        <f ca="1">IF(IF(CG39&lt;&gt;0,MAX($CH$2:CH38)+1,0)=0,"",IF(CG39&lt;&gt;"",MAX($CH$2:CH38)+1,0))</f>
        <v/>
      </c>
      <c r="CI39" s="259" t="str">
        <f ca="1">IFERROR(INDEX($CF$3:$CG$220,MATCH(ROWS($CI$3:CI39),$CH$3:$CH$220,0),1),"")</f>
        <v/>
      </c>
      <c r="CJ39" s="259" t="str">
        <f t="shared" ca="1" si="67"/>
        <v/>
      </c>
      <c r="CK39" s="259" t="str">
        <f t="shared" si="8"/>
        <v/>
      </c>
      <c r="CL39" s="259">
        <f ca="1">IF(IFERROR(MATCH(CK39,DENOMINAZIONE_GIORNALE,0),0)&gt;0,MAX(CL$2:CL38)+1,0)</f>
        <v>0</v>
      </c>
      <c r="CM39" s="259" t="str">
        <f ca="1">IFERROR(INDEX($CK$3:$CL$220,MATCH(ROWS($CM$3:CM39),$CL$3:$CL$220,0),1),"")</f>
        <v/>
      </c>
      <c r="CN39" s="259" t="str">
        <f t="shared" ca="1" si="9"/>
        <v/>
      </c>
      <c r="CO39" s="259">
        <f ca="1">IF(IF(CN39&lt;&gt;0,MAX($CO$2:CO38)+1,0)=0,"",IF(CN39&lt;&gt;"",MAX($CO$2:CO38)+1,0))</f>
        <v>0</v>
      </c>
      <c r="CP39" s="259" t="str">
        <f ca="1">IFERROR(INDEX($CM$3:$CN$220,MATCH(ROWS(CP$3:CP39),$CO$3:$CO$220,0),1),"")</f>
        <v/>
      </c>
      <c r="CQ39" s="259" t="str">
        <f ca="1">IFERROR(INDEX($CM$3:$CN$220,MATCH(ROWS(CQ$3:CQ39),$CO$3:$CO$220,0),2),"")</f>
        <v/>
      </c>
      <c r="CR39" s="259" t="str">
        <f t="shared" ca="1" si="154"/>
        <v/>
      </c>
      <c r="CS39" s="259">
        <f t="shared" ca="1" si="11"/>
        <v>0</v>
      </c>
      <c r="CT39" s="259">
        <f t="shared" ca="1" si="12"/>
        <v>0</v>
      </c>
      <c r="CU39" s="259">
        <f ca="1">IF(OR(CS39&gt;0,CT39&gt;0),MAX($CU$2:CU38)+1,0)</f>
        <v>0</v>
      </c>
      <c r="CV39" s="259" t="str">
        <f ca="1">IFERROR(INDEX(PIANO_DEI_CONTI,MATCH(ROWS($CV$3:CV39),$CU$3:$CU$200,0),2),"")</f>
        <v/>
      </c>
      <c r="CW39" s="259">
        <f ca="1">IFERROR(IF(CV39&lt;&gt;"",MAX($CW$2:CW38)+1,0),0)</f>
        <v>0</v>
      </c>
      <c r="CX39" s="259">
        <f ca="1">$EA$5</f>
        <v>3</v>
      </c>
      <c r="CY39" s="259" t="str">
        <f t="shared" ref="CY39:CY68" ca="1" si="161">IF(ISERROR(INDEX($CV$3:$CX$2300,MATCH(CX39,$CW$3:$CW$2300,0),1)),"MASTRO",INDEX($CV$3:$CX$2300,MATCH(CX39,$CW$3:$CW$2300,0),1))</f>
        <v>MASTRO</v>
      </c>
      <c r="DA39" s="259" t="str">
        <f>IF(CY38="MASTRO","Conto n.","")</f>
        <v>Conto n.</v>
      </c>
      <c r="DB39" s="259" t="str">
        <f ca="1">IF(CY39=0,"",INDEX(PIANO_DEI_CONTI,MATCH(DC39,DENOMINAZIONE,0),1))</f>
        <v/>
      </c>
      <c r="DC39" s="259" t="str">
        <f ca="1">IF(OR(CY39=0,CY39="mastro"),"",CY39)</f>
        <v/>
      </c>
      <c r="DD39" s="259" t="str">
        <f ca="1">IF(AND($DA$2=TRUE,OR(INDEX(PIANO_DEI_CONTI,MATCH($DC39,DENOMINAZIONE,0),4)="A",INDEX(PIANO_DEI_CONTI,MATCH($DC39,DENOMINAZIONE,0),4)="D/A"),SUMIFS(AVERE,DENOMINAZIONE_GIORNALE,"="&amp;$DC39)&gt;SUMIFS(DARE,DENOMINAZIONE_GIORNALE,"="&amp;$DC39)),CONCATENATE("s ",FIXED(ABS(SUMIFS(AVERE,DENOMINAZIONE_GIORNALE,"="&amp;$DC39)-SUMIFS(DARE,DENOMINAZIONE_GIORNALE,"="&amp;$DC39)),2)),"")</f>
        <v/>
      </c>
      <c r="DE39" s="259" t="str">
        <f ca="1">IF(AND($DA$2=TRUE,OR(INDEX(PIANO_DEI_CONTI,MATCH($DC39,DENOMINAZIONE,0),4)="D",INDEX(PIANO_DEI_CONTI,MATCH($DC39,DENOMINAZIONE,0),4)="D/A"),SUMIFS(DARE,DENOMINAZIONE_GIORNALE,"="&amp;$DC39)&gt;SUMIFS(AVERE,DENOMINAZIONE_GIORNALE,"="&amp;$DC39)),CONCATENATE("s ",FIXED(ABS(SUMIFS(DARE,DENOMINAZIONE_GIORNALE,"="&amp;$DC39)-SUMIFS(AVERE,DENOMINAZIONE_GIORNALE,"="&amp;$DC39)),2)),"")</f>
        <v/>
      </c>
      <c r="DF39" s="259">
        <f ca="1">IF(AND(CX39=$DE$2,$DF$2&lt;&gt;0),0,IF(AND(DB39&lt;&gt;"",OR(DB38&lt;&gt;"",DB40&lt;&gt;"")),MAX($DF$2:DF38)+1,0))</f>
        <v>0</v>
      </c>
      <c r="DG39" s="259" t="str">
        <f>IF(OR(VALORI_INIZIALI!E44="",AND(VALORI_INIZIALI!E44&lt;&gt;"",VALORI_INIZIALI!H44=0,VALORI_INIZIALI!I44=0)),"",IFERROR(INDEX(PIANO_DEI_CONTI,MATCH(BB39,DENOMINAZIONE,0),1),0))</f>
        <v/>
      </c>
      <c r="DH39" s="259">
        <f ca="1">IFERROR(IF($J$1=1,IF(INDEX(PIANO_DEI_CONTI,MATCH($K39,DENOMINAZIONE,0),5)=$DF$1,MAX($DH$2:DH38)+1,0),IF($J$1=2,IF(INDEX(PIANO_DEI_CONTI,MATCH($K39,DENOMINAZIONE,0),7)=$DF$1,MAX($DH$2:DH38)+1,0))),0)</f>
        <v>0</v>
      </c>
      <c r="DI39" s="259">
        <f ca="1">IFERROR(INDEX($K$3:$K$220,MATCH(ROWS($DI$3:DI39),$DH$3:$DH$220,0),1),0)</f>
        <v>0</v>
      </c>
      <c r="DJ39" s="259">
        <f t="shared" ca="1" si="14"/>
        <v>0</v>
      </c>
      <c r="DK39" s="259">
        <f ca="1">IF(DJ39=0,0,MAX(DK$2:DK38)+1)</f>
        <v>0</v>
      </c>
      <c r="DL39" s="259">
        <f ca="1">IFERROR(INDEX(PIANO_DEI_CONTI,MATCH(ROWS(DL$3:DL39),$DK$3:DK266,0),2),0)</f>
        <v>0</v>
      </c>
      <c r="DM39" s="259">
        <f t="shared" ca="1" si="15"/>
        <v>0</v>
      </c>
      <c r="DN39" s="259">
        <f t="shared" ca="1" si="16"/>
        <v>0</v>
      </c>
      <c r="DO39" s="259">
        <f t="shared" ca="1" si="69"/>
        <v>0</v>
      </c>
      <c r="DP39" s="259">
        <f t="shared" ca="1" si="70"/>
        <v>0</v>
      </c>
      <c r="DQ39" s="259">
        <f ca="1">IF(OR($DQ$1="TOTALI",$DQ$1="TOTALI ED ECCEDENZE"),IF(OR(DM39&gt;0,DN39&gt;0),MAX(DQ$2:DQ38)+1,0),IF($DQ$1="ECCEDENZE",IF(OR(DO39&gt;0,DP39&gt;0),MAX(DQ$2:DQ38)+1,0),""))</f>
        <v>0</v>
      </c>
      <c r="DR39" s="259" t="str">
        <f ca="1">IFERROR(INDEX($DL$3:$DQ$230,MATCH(ROWS(DR$3:DR39),$DQ$3:$DQ$230,0),1),"")</f>
        <v/>
      </c>
      <c r="DS39" s="259" t="str">
        <f t="shared" ca="1" si="71"/>
        <v/>
      </c>
      <c r="DT39" s="259" t="str">
        <f t="shared" ca="1" si="72"/>
        <v/>
      </c>
      <c r="DU39" s="259" t="str">
        <f t="shared" ca="1" si="73"/>
        <v/>
      </c>
      <c r="DV39" s="259" t="str">
        <f t="shared" ca="1" si="74"/>
        <v/>
      </c>
      <c r="DW39" s="259">
        <f t="shared" ca="1" si="75"/>
        <v>0</v>
      </c>
      <c r="DX39" s="259" t="str">
        <f t="shared" ca="1" si="76"/>
        <v/>
      </c>
      <c r="DY39" s="259" t="str">
        <f t="shared" ca="1" si="77"/>
        <v/>
      </c>
      <c r="DZ39" s="259" t="str">
        <f t="shared" ca="1" si="78"/>
        <v/>
      </c>
      <c r="EA39" s="259">
        <f t="shared" ca="1" si="79"/>
        <v>37</v>
      </c>
      <c r="EB39" s="259" t="s">
        <v>353</v>
      </c>
      <c r="ED39" s="259">
        <f t="shared" ca="1" si="17"/>
        <v>0</v>
      </c>
      <c r="EE39" s="259" t="str">
        <f t="shared" ca="1" si="155"/>
        <v/>
      </c>
      <c r="EF39" s="259" t="str">
        <f t="shared" ca="1" si="19"/>
        <v/>
      </c>
      <c r="EG39" s="259" t="str">
        <f t="shared" ca="1" si="136"/>
        <v/>
      </c>
      <c r="EH39" s="259" t="str">
        <f t="shared" ca="1" si="80"/>
        <v/>
      </c>
      <c r="EI39" s="260" t="b">
        <f t="shared" ca="1" si="137"/>
        <v>1</v>
      </c>
      <c r="EJ39" s="260" t="b">
        <f t="shared" ca="1" si="138"/>
        <v>1</v>
      </c>
      <c r="EK39" s="260" t="b">
        <f t="shared" ca="1" si="139"/>
        <v>1</v>
      </c>
      <c r="EL39" s="259">
        <f t="shared" si="81"/>
        <v>37</v>
      </c>
      <c r="EM39" s="259">
        <f ca="1">IF(AND(BA39&gt;0,BA39&lt;=$EM$1),MAX($EM$2:EM38)+1,0)</f>
        <v>0</v>
      </c>
      <c r="EN39" s="259">
        <f t="shared" ca="1" si="82"/>
        <v>39</v>
      </c>
      <c r="EP39" s="259" t="str">
        <f t="shared" ca="1" si="20"/>
        <v/>
      </c>
      <c r="EQ39" s="259">
        <f t="shared" ca="1" si="21"/>
        <v>0</v>
      </c>
      <c r="ER39" s="259">
        <f ca="1">IF(ISNA(EQ39),MAX(ER$2:ER38)+1,0)</f>
        <v>0</v>
      </c>
      <c r="ES39" s="259" t="str">
        <f t="shared" ca="1" si="83"/>
        <v/>
      </c>
      <c r="ET39" s="259" t="str">
        <f ca="1">IFERROR(UPPER(INDEX($ER$3:$ES$500,MATCH(ROWS(ET$3:ET39),$ER$3:$ER$500,0),2)),"")</f>
        <v/>
      </c>
      <c r="EY39" s="259">
        <f t="shared" ca="1" si="84"/>
        <v>0</v>
      </c>
      <c r="EZ39" s="259">
        <f t="shared" ca="1" si="84"/>
        <v>0</v>
      </c>
      <c r="FA39" s="259" t="str">
        <f t="shared" ca="1" si="85"/>
        <v/>
      </c>
      <c r="FB39" s="259">
        <f t="shared" ca="1" si="86"/>
        <v>0</v>
      </c>
      <c r="FC39" s="259">
        <f t="shared" ca="1" si="87"/>
        <v>0</v>
      </c>
      <c r="FD39" s="259">
        <f t="shared" ca="1" si="22"/>
        <v>0</v>
      </c>
      <c r="FE39" s="259" t="str">
        <f t="shared" ca="1" si="23"/>
        <v/>
      </c>
      <c r="FF39" s="259" t="str">
        <f t="shared" ca="1" si="88"/>
        <v/>
      </c>
      <c r="FG39" s="259" t="str">
        <f t="shared" si="89"/>
        <v>CREDITI INSOLUTI</v>
      </c>
      <c r="FH39" s="259">
        <f t="shared" ca="1" si="156"/>
        <v>0</v>
      </c>
      <c r="FI39" s="259">
        <f t="shared" ca="1" si="25"/>
        <v>0</v>
      </c>
      <c r="FJ39" s="259">
        <f t="shared" ca="1" si="90"/>
        <v>0</v>
      </c>
      <c r="FK39" s="259">
        <f t="shared" ca="1" si="91"/>
        <v>0</v>
      </c>
      <c r="FL39" s="259">
        <f ca="1">IF(OR(FJ39&gt;0,FK39&gt;0),MAX($FL$2:FL38)+1,0)</f>
        <v>0</v>
      </c>
      <c r="FM39" s="259">
        <f t="shared" ca="1" si="26"/>
        <v>0</v>
      </c>
      <c r="FN39" s="259">
        <f ca="1">IF(FM39&lt;0,MAX($FN$2:FN38)+1,0)</f>
        <v>0</v>
      </c>
      <c r="FO39" s="259" t="str">
        <f t="shared" ca="1" si="92"/>
        <v/>
      </c>
      <c r="FP39" s="259" t="str">
        <f ca="1">IFERROR(INDEX($FN$3:$FO$400,MATCH(ROWS($FP$3:FP39),$FN$3:$FN$400,0),2),"")</f>
        <v/>
      </c>
      <c r="FQ39" s="259" t="str">
        <f>IF(AE39="SE AVERE",MAX($FQ$2:FQ38)+1,"")</f>
        <v/>
      </c>
      <c r="FR39" s="259" t="str">
        <f>IF(AE39="SE DARE",MAX($FR$2:FR38)+1,"")</f>
        <v/>
      </c>
      <c r="FS39" s="259">
        <f ca="1">IF(AND(AE39="SP DARE",AA39&lt;&gt;$FS$1,AA39&lt;&gt;$FT$1),MAX($FS$2:FS38)+1,IF(AND(GQ39="SP DARE",AA39&lt;&gt;$FS$1,AA39&lt;&gt;$FT$1),MAX($FS$2:FS38)+1,""))</f>
        <v>115</v>
      </c>
      <c r="FT39" s="259" t="str">
        <f ca="1">IF(AND(AE39="SP AVERE",AA39&lt;&gt;$FU$1),MAX($FT$2:FT38)+1,IF(AND(GQ39="SP AVERE",AA39&lt;&gt;$FU$1),MAX($FT$2:FT38)+1,""))</f>
        <v/>
      </c>
      <c r="FU39" s="259">
        <f t="shared" ca="1" si="93"/>
        <v>115</v>
      </c>
      <c r="FV39" s="259" t="str">
        <f t="shared" si="94"/>
        <v>CREDITI INSOLUTI</v>
      </c>
      <c r="FW39" s="259" t="str">
        <f ca="1">IFERROR(INDEX($FU$3:$FV$500,MATCH(ROWS($FW$3:FW39),$FU$3:$FU$500,0),2),0)</f>
        <v>MANUTENZIONI E RIPARAZIONI</v>
      </c>
      <c r="FX39" s="259">
        <f t="shared" ca="1" si="95"/>
        <v>37</v>
      </c>
      <c r="FY39" s="259">
        <f t="shared" ca="1" si="96"/>
        <v>0</v>
      </c>
      <c r="FZ39" s="259">
        <f ca="1">IF(FY39&gt;0,MAX($FZ$2:FZ38)+1,0)</f>
        <v>0</v>
      </c>
      <c r="GA39" s="259">
        <f ca="1">IFERROR(INDEX($FY$3:$FZ$500,MATCH(ROWS($GA$3:GA39),$FZ$3:$FZ$500,0),1),0)</f>
        <v>0</v>
      </c>
      <c r="GC39" s="259">
        <f t="shared" ca="1" si="97"/>
        <v>37</v>
      </c>
      <c r="GD39" s="259" t="str">
        <f t="shared" ca="1" si="98"/>
        <v>MANUTENZIONI E RIPARAZIONI</v>
      </c>
      <c r="GG39" s="259">
        <f t="shared" ca="1" si="27"/>
        <v>0</v>
      </c>
      <c r="GH39" s="259">
        <f t="shared" ca="1" si="99"/>
        <v>0</v>
      </c>
      <c r="GI39" s="259">
        <f t="shared" ca="1" si="100"/>
        <v>0</v>
      </c>
      <c r="GJ39" s="259">
        <f t="shared" ca="1" si="101"/>
        <v>0</v>
      </c>
      <c r="GK39" s="259">
        <f t="shared" ca="1" si="102"/>
        <v>0</v>
      </c>
      <c r="GL39" s="259">
        <f t="shared" ca="1" si="103"/>
        <v>0</v>
      </c>
      <c r="GM39" s="259">
        <f ca="1">IF(OR(GK39&gt;0,GL39&gt;0),MAX($GM$2:GM38)+1,0)</f>
        <v>0</v>
      </c>
      <c r="GN39" s="259" t="str">
        <f ca="1">IFERROR(INDEX($GD$3:$GM$400,MATCH(ROWS($GN$3:GN39),$GM$3:$GM$400,0),1),"")</f>
        <v/>
      </c>
      <c r="GO39" s="259" t="str">
        <f ca="1">IFERROR(INDEX($GD$3:$GM$400,MATCH(ROWS($GO$3:GO39),$GM$3:$GM$400,0),8),"")</f>
        <v/>
      </c>
      <c r="GP39" s="259" t="str">
        <f ca="1">IFERROR(INDEX($GD$3:$GM$400,MATCH(ROWS($GP$3:GP39),$GM$3:$GM$400,0),9),"")</f>
        <v/>
      </c>
      <c r="GQ39" s="259">
        <f t="shared" ca="1" si="28"/>
        <v>0</v>
      </c>
      <c r="GR39" s="259">
        <f t="shared" ca="1" si="104"/>
        <v>0</v>
      </c>
      <c r="GS39" s="259" t="str">
        <f t="shared" si="105"/>
        <v>epilogo a Conto economico</v>
      </c>
      <c r="GT39" s="259" t="str">
        <f ca="1">IFERROR(INDEX($GD$3:$GS$400,MATCH(ROWS($GT$3:GT39),$GM$3:$GM$400,0),16),"")</f>
        <v/>
      </c>
      <c r="GU39" s="259">
        <f ca="1">IF(GQ39&lt;&gt;0,MAX($GU$2:$GU38)+1,0)</f>
        <v>0</v>
      </c>
      <c r="GV39" s="259">
        <f t="shared" ca="1" si="106"/>
        <v>0</v>
      </c>
      <c r="GW39" s="259" t="str">
        <f ca="1">IF(AND(IFERROR(INDEX($GU$3:$GV$400,MATCH(ROWS($GW$3:GW39),$GU$3:$GU$400,0),2),"")&lt;&gt;"",GW40&lt;&gt;""),CONCATENATE(IFERROR(INDEX($GU$3:$GV$400,MATCH(ROWS($GW$3:GW39),$GU$3:$GU$400,0),2),"")," - "),IFERROR(INDEX($GU$3:$GV$400,MATCH(ROWS($GW$3:GW39),$GU$3:$GU$400,0),2),""))</f>
        <v/>
      </c>
      <c r="GX39" s="259">
        <f ca="1">IF(OR(GN39="IVA NS/CREDITO",GN39="IVA NS/DEBITO",GN39="IVA C/ACCONTO",GN39="IMPOSTE C/ACCONTO"),MAX($GX$2:GX38)+1,0)</f>
        <v>0</v>
      </c>
      <c r="GY39" s="259" t="str">
        <f ca="1">IF(AND(IFERROR(INDEX($GN$3:$GX$200,MATCH(ROWS($GY$3:GY39),$GX$3:$GX$200,0),1),"")&lt;&gt;"",GY40&lt;&gt;""),CONCATENATE(IFERROR(INDEX($GN$3:$GX$200,MATCH(ROWS($GY$3:GY39),$GX$3:$GX$200,0),1),"")," - "),IFERROR(INDEX($GN$3:$GX$200,MATCH(ROWS($GY$3:GY39),$GX$3:$GX$200,0),1),""))</f>
        <v/>
      </c>
      <c r="GZ39" s="259" t="s">
        <v>60</v>
      </c>
      <c r="HA39" s="259" t="s">
        <v>51</v>
      </c>
      <c r="HB39" s="269" t="s">
        <v>257</v>
      </c>
      <c r="HC39" s="269" t="s">
        <v>276</v>
      </c>
      <c r="HD39" s="269" t="s">
        <v>6</v>
      </c>
      <c r="HE39" s="269" t="s">
        <v>206</v>
      </c>
      <c r="HG39" s="270"/>
      <c r="HL39" s="259" t="str">
        <f t="shared" ca="1" si="157"/>
        <v/>
      </c>
      <c r="HM39" s="259" t="str">
        <f t="shared" ca="1" si="158"/>
        <v/>
      </c>
      <c r="HN39" s="259" t="str">
        <f t="shared" ca="1" si="159"/>
        <v/>
      </c>
      <c r="HO39" s="259">
        <f ca="1">IF(HL39&lt;&gt;"",MAX($HO$2:HO38)+1,0)</f>
        <v>0</v>
      </c>
      <c r="HP39" s="259">
        <f ca="1">IF(HM39&lt;&gt;"",MAX($HP$2:HP38)+1,0)</f>
        <v>0</v>
      </c>
      <c r="HQ39" s="259">
        <f ca="1">IF(HN39&lt;&gt;"",MAX($HQ$2:HQ38)+1,0)</f>
        <v>0</v>
      </c>
      <c r="HR39" s="259" t="str">
        <f t="shared" ca="1" si="107"/>
        <v/>
      </c>
      <c r="HS39" s="259" t="str">
        <f t="shared" ca="1" si="108"/>
        <v/>
      </c>
      <c r="HT39" s="259">
        <f t="shared" ca="1" si="109"/>
        <v>0</v>
      </c>
      <c r="HU39" s="259">
        <f t="shared" ca="1" si="110"/>
        <v>0</v>
      </c>
      <c r="HV39" s="259" t="str">
        <f ca="1">CONCATENATE(IFERROR(INDEX($HS$3:$HT$102,MATCH(ROWS($HV$3:HV39),$HT$3:$HT$102,0),1),""),HR39)</f>
        <v/>
      </c>
      <c r="IA39" s="259" t="s">
        <v>363</v>
      </c>
      <c r="IB39" s="259" t="s">
        <v>301</v>
      </c>
      <c r="IC39" s="259">
        <f ca="1">IFERROR(INDEX(PIANO_DEI_CONTI,MATCH(ROWS(DL$3:DL39),$DK$3:DK266,0),2),0)</f>
        <v>0</v>
      </c>
      <c r="ID39" s="259">
        <f t="shared" ca="1" si="111"/>
        <v>0</v>
      </c>
      <c r="IE39" s="259">
        <f t="shared" ca="1" si="112"/>
        <v>0</v>
      </c>
      <c r="IF39" s="259">
        <f t="shared" ca="1" si="113"/>
        <v>0</v>
      </c>
      <c r="IG39" s="259">
        <f ca="1">IF(SUMIFS($ID$3:$ID$200,$IF$3:$IF$200,IA39)&lt;=SUMIFS($IE$3:$IE$200,$IF$3:$IF$200,IA39),ROUND(SUMIFS($IE$3:$IE$200,$IF$3:$IF$200,IA39)-SUMIFS($ID$3:$ID$200,$IF$3:$IF$200,IA39),0),0)</f>
        <v>0</v>
      </c>
      <c r="IH39" s="259">
        <f ca="1">IF(IG39&lt;&gt;0,MAX($IH$35:IH38)+1,0)</f>
        <v>0</v>
      </c>
      <c r="II39" s="259">
        <f>IF(AD39="costi pluriennali",MAX($II$2:II38)+1,0)</f>
        <v>0</v>
      </c>
      <c r="IJ39" s="259">
        <f>IF($AD39="rettifiche costi pluriennali",MAX($IJ$2:IJ38)+1,0)</f>
        <v>0</v>
      </c>
      <c r="IK39" s="259">
        <f t="shared" si="114"/>
        <v>0</v>
      </c>
      <c r="IL39" s="259" t="str">
        <f t="shared" si="115"/>
        <v/>
      </c>
      <c r="IM39" s="259">
        <f t="shared" ca="1" si="116"/>
        <v>0</v>
      </c>
      <c r="IN39" s="259">
        <f t="shared" ca="1" si="141"/>
        <v>0</v>
      </c>
      <c r="IO39" s="259">
        <f>SUMIFS($IM$3:$IM$200,$IK$3:$IK$200,ROWS($IO$3:IO39))-SUMIFS($IN$3:$IN$200,$IK$3:$IK$200,ROWS($IO$3:IO39))</f>
        <v>0</v>
      </c>
      <c r="IP39" s="259" t="str">
        <f>IF(IO39&lt;0,INDEX($IJ$3:$IL$200,MATCH(ROWS($IP$3:IP39),$IJ$3:$IJ$200,0),3),"")</f>
        <v/>
      </c>
      <c r="IQ39" s="259">
        <f>IF(IP39&lt;&gt;"",MAX($IQ$2:IQ38)+1,0)</f>
        <v>0</v>
      </c>
      <c r="IR39" s="259" t="str">
        <f ca="1">IFERROR(INDEX($IP$3:$IQ$200,MATCH(ROWS($IR$3:IR39),$IQ$3:$IQ$200,0),1),"")</f>
        <v/>
      </c>
      <c r="IS39" s="259" t="str">
        <f t="shared" ca="1" si="117"/>
        <v/>
      </c>
      <c r="IT39" s="259" t="str">
        <f t="shared" ca="1" si="118"/>
        <v/>
      </c>
      <c r="IU39" s="259" t="str">
        <f t="shared" ca="1" si="119"/>
        <v/>
      </c>
      <c r="IV39" s="259" t="str">
        <f t="shared" ca="1" si="120"/>
        <v/>
      </c>
      <c r="IW39" s="259" t="str">
        <f t="shared" ca="1" si="121"/>
        <v/>
      </c>
      <c r="IX39" s="259" t="str">
        <f t="shared" ca="1" si="122"/>
        <v/>
      </c>
      <c r="IY39" s="259" t="str">
        <f t="shared" ca="1" si="123"/>
        <v/>
      </c>
      <c r="IZ39" s="259" t="str">
        <f t="shared" ca="1" si="124"/>
        <v/>
      </c>
      <c r="JA39" s="259" t="str">
        <f t="shared" ca="1" si="125"/>
        <v/>
      </c>
      <c r="JB39" s="259">
        <f t="shared" ca="1" si="32"/>
        <v>0</v>
      </c>
      <c r="JC39" s="259">
        <f t="shared" ca="1" si="126"/>
        <v>0</v>
      </c>
      <c r="JE39" s="259">
        <f ca="1">IFERROR(INDEX(LIBRO_GIORNALE!$N$11:$O$408,MATCH(ROWS($JE$2:JE38),LIBRO_GIORNALE!$O$11:$O$408,0),1),0)</f>
        <v>0</v>
      </c>
      <c r="JF39" s="259" t="str">
        <f t="shared" ca="1" si="127"/>
        <v>0</v>
      </c>
      <c r="JG39" s="259">
        <f t="shared" ca="1" si="128"/>
        <v>0</v>
      </c>
      <c r="JH39" s="259">
        <f ca="1">IF(JJ39&gt;0,0,MAX($JH$2:JH38)+1)</f>
        <v>37</v>
      </c>
      <c r="JI39" s="259">
        <f ca="1">IF(JG39&gt;0,MAX($JI$2:JI38)+1,0)</f>
        <v>0</v>
      </c>
      <c r="JJ39" s="259">
        <f ca="1">IFERROR(INDEX($JG$3:$JI$124,MATCH(ROWS($JJ$3:JJ39),$JI$3:$JI$124,0),1),0)</f>
        <v>0</v>
      </c>
      <c r="JK39" s="259">
        <f t="shared" ca="1" si="129"/>
        <v>0</v>
      </c>
      <c r="JL39" s="259">
        <f t="shared" ca="1" si="130"/>
        <v>37</v>
      </c>
    </row>
    <row r="40" spans="1:273">
      <c r="A40" s="259" t="str">
        <f t="shared" si="33"/>
        <v>05.06</v>
      </c>
      <c r="B40" s="259" t="str">
        <f t="shared" si="34"/>
        <v>CAMBIALI ATTIVE</v>
      </c>
      <c r="C40" s="259" t="str">
        <f t="shared" si="35"/>
        <v>F</v>
      </c>
      <c r="D40" s="259" t="str">
        <f t="shared" si="36"/>
        <v>D</v>
      </c>
      <c r="E40" s="259" t="str">
        <f t="shared" si="37"/>
        <v>CREDITI</v>
      </c>
      <c r="F40" s="259" t="str">
        <f t="shared" si="38"/>
        <v>SP DARE</v>
      </c>
      <c r="G40" s="259">
        <f t="shared" ca="1" si="39"/>
        <v>1</v>
      </c>
      <c r="H40" s="259">
        <f t="shared" ca="1" si="40"/>
        <v>1</v>
      </c>
      <c r="I40" s="259">
        <f t="shared" ca="1" si="41"/>
        <v>1</v>
      </c>
      <c r="K40" s="259" t="str">
        <f ca="1">IFERROR(IF($I$1=1,INDEX($AA$3:$AS$220,MATCH(ROWS($K$3:K40),$AQ$3:$AQ$220,0),1),IF($I$1=2,INDEX($AA$3:$AS$220,MATCH(ROWS($K$3:K40),$AR$3:$AR$220,0),1),IF($I$1=3,INDEX($AA$3:$AS$220,MATCH(ROWS($K$3:K40),$AS$3:$AS$220,0),1),""))),"")</f>
        <v>CAMBIALI INSOLUTE</v>
      </c>
      <c r="L40" s="259">
        <f ca="1">IF(AND($L$1="VISUALIZZA TUTTI I CONTI",K40&lt;&gt;""),MAX(L39:L39)+1,IFERROR(IF($J$1=1,IF(INDEX(PIANO_DEI_CONTI,MATCH($K40,DENOMINAZIONE,0),5)=$L$1,MAX($L$2:L39)+1,0),IF($J$1=2,IF(INDEX(PIANO_DEI_CONTI,MATCH($K40,DENOMINAZIONE,0),7)=$L$1,MAX($L$2:L39)+1,0))),0))</f>
        <v>38</v>
      </c>
      <c r="M40" s="259" t="str">
        <f ca="1">IFERROR(INDEX($K$3:$K$220,MATCH(ROWS($M$3:M40),$L$3:$L$220,0),1),"")</f>
        <v>CAMBIALI INSOLUTE</v>
      </c>
      <c r="N40" s="259" t="str">
        <f t="shared" si="143"/>
        <v>COSTI PER IL PERSONALE</v>
      </c>
      <c r="O40" s="259" t="str">
        <f t="shared" ca="1" si="142"/>
        <v>COSTI PER IL PERSONALE</v>
      </c>
      <c r="P40" s="259">
        <f ca="1">IF(AND(N40=O40,O40&lt;&gt;""),MAX(P$2:P39)+1,0)</f>
        <v>23</v>
      </c>
      <c r="Q40" s="259" t="str">
        <f ca="1">IF(IFERROR(INDEX($O$3:$P$220,MATCH(ROWS(Q$3:Q40),$P$3:$P$220,0),1),"")=0,"",IFERROR(INDEX($O$3:$P$220,MATCH(ROWS(Q$3:Q40),$P$3:$P$220,0),1),""))</f>
        <v/>
      </c>
      <c r="R40" s="259" t="str">
        <f t="shared" si="1"/>
        <v>CAMBIALI INSOLUTE</v>
      </c>
      <c r="S40" s="259">
        <f ca="1">IF(IFERROR(MATCH(R40,DENOMINAZIONE_GIORNALE,0),0)&gt;0,MAX(S$2:S39)+1,0)</f>
        <v>0</v>
      </c>
      <c r="T40" s="259" t="str">
        <f ca="1">IFERROR(INDEX($R$3:$S$220,MATCH(ROWS($T$3:T40),$S$3:$S$220,0),1),"")</f>
        <v/>
      </c>
      <c r="U40" s="259">
        <f t="shared" ca="1" si="2"/>
        <v>0</v>
      </c>
      <c r="V40" s="259">
        <f ca="1">IF(IF(U40&lt;&gt;0,MAX($V$2:V39)+1,0)=0,0,IF(U40&lt;&gt;0,MAX($V$2:V39)+1,0))</f>
        <v>0</v>
      </c>
      <c r="W40" s="259" t="str">
        <f t="shared" si="43"/>
        <v>05.06</v>
      </c>
      <c r="X40" s="259" t="str">
        <f t="shared" si="44"/>
        <v>CAMBIALI ATTIVE</v>
      </c>
      <c r="Y40" s="259">
        <f>IF(W40="",0,MAX($Y$2:Y39)+1)</f>
        <v>33</v>
      </c>
      <c r="Z40" s="259" t="str">
        <f>IFERROR(INDEX($W$3:$Y$220,MATCH(ROWS($Z$2:Z39),$Y$3:$Y$220,0),1),"")</f>
        <v>05.11</v>
      </c>
      <c r="AA40" s="259" t="str">
        <f t="shared" si="45"/>
        <v>CAMBIALI INSOLUTE</v>
      </c>
      <c r="AB40" s="259" t="str">
        <f t="shared" si="46"/>
        <v>F</v>
      </c>
      <c r="AC40" s="259" t="str">
        <f t="shared" si="47"/>
        <v>D</v>
      </c>
      <c r="AD40" s="259" t="str">
        <f t="shared" si="48"/>
        <v>CREDITI</v>
      </c>
      <c r="AE40" s="259" t="str">
        <f t="shared" si="49"/>
        <v>SP DARE</v>
      </c>
      <c r="AF40" s="259" t="str">
        <f t="shared" si="50"/>
        <v>CREDITI COMMERCIALI</v>
      </c>
      <c r="AG40" s="259">
        <f t="shared" ca="1" si="51"/>
        <v>1</v>
      </c>
      <c r="AH40" s="259">
        <f t="shared" ca="1" si="52"/>
        <v>1</v>
      </c>
      <c r="AI40" s="259">
        <f t="shared" ca="1" si="53"/>
        <v>1</v>
      </c>
      <c r="AJ40" s="259" t="str">
        <f t="shared" si="54"/>
        <v>05</v>
      </c>
      <c r="AK40" s="259" t="str">
        <f t="shared" si="55"/>
        <v/>
      </c>
      <c r="AL40" s="259">
        <f>IF(AK40&lt;&gt;"",MAX($AL$2:AL39)+1,0)</f>
        <v>0</v>
      </c>
      <c r="AM40" s="259" t="str">
        <f>IFERROR(INDEX($AK$3:$AL$220,MATCH(ROWS($AM$3:AM40),$AL$3:$AL$220,0),1),"")</f>
        <v/>
      </c>
      <c r="AN40" s="259" t="str">
        <f t="shared" si="56"/>
        <v/>
      </c>
      <c r="AO40" s="259" t="str">
        <f t="shared" si="57"/>
        <v/>
      </c>
      <c r="AP40" s="259" t="str">
        <f t="shared" si="58"/>
        <v>CREDITI COMMERCIALI</v>
      </c>
      <c r="AQ40" s="259">
        <f ca="1">IF(OR(AG40=0,AG40=""),0,MAX(AQ$2:AQ39)+1)</f>
        <v>22</v>
      </c>
      <c r="AR40" s="259">
        <f ca="1">IF(OR(AH40=0,AH40=""),0,MAX(AR$2:AR39)+1)</f>
        <v>33</v>
      </c>
      <c r="AS40" s="259">
        <f ca="1">IF(OR(AI40=0,AI40=""),0,MAX(AS$2:AS39)+1)</f>
        <v>38</v>
      </c>
      <c r="AT40" s="259" t="str">
        <f ca="1">IFERROR(INDEX($AD$3:$AS$220,MATCH(ROWS(AT$3:AT40),AQ$3:AQ$220,0),1),"")</f>
        <v>DEBITI</v>
      </c>
      <c r="AU40" s="259" t="str">
        <f ca="1">IFERROR(INDEX($AD$3:$AS$220,MATCH(ROWS(AU$3:AU40),AR$3:AR$220,0),1),"")</f>
        <v>CREDITI</v>
      </c>
      <c r="AV40" s="259" t="str">
        <f ca="1">IFERROR(INDEX($AD$3:$AS$220,MATCH(ROWS(AV$3:AV40),AS$3:AS$220,0),1),"")</f>
        <v>CREDITI</v>
      </c>
      <c r="AW40" s="259" t="str">
        <f ca="1">IFERROR(INDEX($AP$3:$AS$220,MATCH(ROWS(AW$3:AW40),AQ$3:AQ$220,0),1),"")</f>
        <v>DEBITI DIVERSI</v>
      </c>
      <c r="AX40" s="259" t="str">
        <f ca="1">IFERROR(INDEX($AP$3:$AS$220,MATCH(ROWS(AX$3:AX40),AR$3:AR$220,0),1),"")</f>
        <v>CREDITI DIVERSI</v>
      </c>
      <c r="AY40" s="259" t="str">
        <f ca="1">IFERROR(INDEX($AP$3:$AS$220,MATCH(ROWS(AY$3:AY40),AS$3:AS$220,0),1),"")</f>
        <v>CREDITI COMMERCIALI</v>
      </c>
      <c r="AZ40" s="276" t="str">
        <f t="shared" ca="1" si="59"/>
        <v/>
      </c>
      <c r="BA40" s="259">
        <f t="shared" ca="1" si="153"/>
        <v>0</v>
      </c>
      <c r="BB40" s="259">
        <f ca="1">IFERROR(INDEX($FG$3:$FL$400,MATCH(ROWS($BB$3:BB40),$FL$3:$FL$400,0),1),0)</f>
        <v>0</v>
      </c>
      <c r="BC40" s="259" t="str">
        <f t="shared" ca="1" si="60"/>
        <v/>
      </c>
      <c r="BD40" s="259">
        <f ca="1">IFERROR(INDEX($FG$3:$FL$400,MATCH(ROWS($BD$3:BD40),$FL$3:$FL$400,0),4),0)</f>
        <v>0</v>
      </c>
      <c r="BE40" s="259">
        <f ca="1">IFERROR(INDEX($FG$3:$FL$400,MATCH(ROWS($BE$3:BE40),$FL$3:$FL$400,0),5),0)</f>
        <v>0</v>
      </c>
      <c r="BG40" s="259" t="str">
        <f t="shared" si="4"/>
        <v/>
      </c>
      <c r="BH40" s="259">
        <f ca="1">IF(IFERROR(MATCH(BG40,DENOMINAZIONE_GIORNALE,0),0)&gt;0,MAX(BH$2:BH39)+1,0)</f>
        <v>0</v>
      </c>
      <c r="BI40" s="259" t="str">
        <f ca="1">IFERROR(INDEX($BG$3:$BH$220,MATCH(ROWS($BI$3:BI40),$BH$3:$BH$220,0),1),"")</f>
        <v/>
      </c>
      <c r="BJ40" s="259" t="str">
        <f t="shared" ca="1" si="5"/>
        <v/>
      </c>
      <c r="BK40" s="259" t="str">
        <f ca="1">IF(IF(BJ40&lt;&gt;"",MAX($BK$2:BK39)+1,0)=0,"",IF(BJ40&lt;&gt;"",MAX($BK$2:BK39)+1,0))</f>
        <v/>
      </c>
      <c r="BL40" s="259" t="str">
        <f ca="1">IFERROR(INDEX($T$3:$U$220, MATCH(ROWS(BL$3:BL40),$V$3:$V$220,0),1),"")</f>
        <v/>
      </c>
      <c r="BM40" s="259" t="str">
        <f ca="1">IFERROR(INDEX($T$3:$U$220, MATCH(ROWS(BM$3:BM40),$V$3:$V$220,0),2),"")</f>
        <v/>
      </c>
      <c r="BN40" s="259" t="str">
        <f ca="1">IF(IFERROR(INDEX($BI$3:$BJ$220,MATCH(ROWS(BN$3:BN40),$BK$3:$BK$220,0),1),"")="PATRIMONIO NETTO","",IFERROR(INDEX($BI$3:$BJ$220,MATCH(ROWS(BN$3:BN40),$BK$3:$BK$220,0),1),""))</f>
        <v/>
      </c>
      <c r="BO40" s="259" t="str">
        <f ca="1">IFERROR(INDEX($BI$3:$BJ$220,MATCH(ROWS(BO$3:BO40),$BK$3:$BK$220,0),2),"")</f>
        <v/>
      </c>
      <c r="BP40" s="259">
        <f ca="1">IF(BN40&lt;&gt;"",MAX(BP$2:$BP39)+1,0)</f>
        <v>0</v>
      </c>
      <c r="BQ40" s="259" t="str">
        <f ca="1">IFERROR(INDEX($BN$3:$BO$200,MATCH(ROWS(BQ$3:BQ40),$BP$3:$BP$220,0),1),"")</f>
        <v/>
      </c>
      <c r="BR40" s="259" t="str">
        <f ca="1">IFERROR(INDEX($BN$3:$BO$220,MATCH(ROWS(BR$3:BR40),$BP$3:$BP$220,0),2),"")</f>
        <v/>
      </c>
      <c r="BS40" s="259" t="str">
        <f ca="1">IFERROR(IF(OR(INDEX($T$3:$U$220,MATCH(ROWS(BL$3:BL40),$V$3:$V$220,0),1)="PRELEVAMENTI EXTRAGESTIONE",INDEX($T$3:$U$220,MATCH(ROWS(BL$3:BL40),$V$3:$V$220,0),1)="TITOLARE C/RITENUTE SUBITE"),"",INDEX($T$3:$U$220,MATCH(ROWS(BL$3:BL40),$V$3:$V$220,0),1)),"")</f>
        <v/>
      </c>
      <c r="BT40" s="259">
        <f t="shared" ca="1" si="61"/>
        <v>0</v>
      </c>
      <c r="BU40" s="259">
        <f ca="1">IF(BS40&lt;&gt;"",MAX(BU$2:BU39)+1,0)</f>
        <v>0</v>
      </c>
      <c r="BV40" s="259" t="str">
        <f ca="1">IFERROR(INDEX($BS$3:$BT$223,MATCH(ROWS(BV$3:BV40),$BU$3:$BU$223,0),1),"")</f>
        <v/>
      </c>
      <c r="BW40" s="259">
        <f t="shared" ca="1" si="62"/>
        <v>0</v>
      </c>
      <c r="BX40" s="259" t="str">
        <f t="shared" ca="1" si="63"/>
        <v/>
      </c>
      <c r="BY40" s="259" t="str">
        <f t="shared" ca="1" si="64"/>
        <v/>
      </c>
      <c r="BZ40" s="259" t="str">
        <f ca="1">IFERROR(IF(OR($DS$231&lt;&gt;$DT$231,$DU$231&lt;&gt;$DV$231,$EO$25&lt;&gt;0,$EO$26&lt;&gt;0),INDEX($T$3:$V$220,MATCH(ROWS($BV$3:BV40),$V$3:$V$220,0),1),CONCATENATE(BV40,BY40)),"")</f>
        <v/>
      </c>
      <c r="CA40" s="259">
        <f t="shared" ca="1" si="65"/>
        <v>0</v>
      </c>
      <c r="CB40" s="259" t="str">
        <f ca="1">IFERROR(IF(OR($BB$1&lt;&gt;$BD$1,$BC$1&lt;&gt;$BE$1,$DS$231&lt;&gt;$DT$231,$DU$231&lt;&gt;$DV$231,$EO$25&lt;&gt;0,$EO$26&lt;&gt;0),INDEX($BI$3:$BK$220,MATCH(ROWS($CB$3:CB40),$BK$3:$BK$220,0),1),CONCATENATE(BQ40,BX40)),"")</f>
        <v/>
      </c>
      <c r="CC40" s="259" t="str">
        <f t="shared" ca="1" si="66"/>
        <v/>
      </c>
      <c r="CD40" s="259" t="str">
        <f t="shared" si="6"/>
        <v/>
      </c>
      <c r="CE40" s="259">
        <f ca="1">IF(IFERROR(MATCH(CD40,DENOMINAZIONE_GIORNALE,0),0)&gt;0,MAX(CE$2:CE39)+1,0)</f>
        <v>0</v>
      </c>
      <c r="CF40" s="259" t="str">
        <f ca="1">IFERROR(INDEX($CD$3:$CE$220,MATCH(ROWS($CF$3:CF40),$CE$3:$CE$220,0),1),"")</f>
        <v/>
      </c>
      <c r="CG40" s="259">
        <f t="shared" ca="1" si="7"/>
        <v>0</v>
      </c>
      <c r="CH40" s="259" t="str">
        <f ca="1">IF(IF(CG40&lt;&gt;0,MAX($CH$2:CH39)+1,0)=0,"",IF(CG40&lt;&gt;"",MAX($CH$2:CH39)+1,0))</f>
        <v/>
      </c>
      <c r="CI40" s="259" t="str">
        <f ca="1">IFERROR(INDEX($CF$3:$CG$220,MATCH(ROWS($CI$3:CI40),$CH$3:$CH$220,0),1),"")</f>
        <v/>
      </c>
      <c r="CJ40" s="259" t="str">
        <f t="shared" ca="1" si="67"/>
        <v/>
      </c>
      <c r="CK40" s="259" t="str">
        <f t="shared" si="8"/>
        <v/>
      </c>
      <c r="CL40" s="259">
        <f ca="1">IF(IFERROR(MATCH(CK40,DENOMINAZIONE_GIORNALE,0),0)&gt;0,MAX(CL$2:CL39)+1,0)</f>
        <v>0</v>
      </c>
      <c r="CM40" s="259" t="str">
        <f ca="1">IFERROR(INDEX($CK$3:$CL$220,MATCH(ROWS($CM$3:CM40),$CL$3:$CL$220,0),1),"")</f>
        <v/>
      </c>
      <c r="CN40" s="259" t="str">
        <f t="shared" ca="1" si="9"/>
        <v/>
      </c>
      <c r="CO40" s="259">
        <f ca="1">IF(IF(CN40&lt;&gt;0,MAX($CO$2:CO39)+1,0)=0,"",IF(CN40&lt;&gt;"",MAX($CO$2:CO39)+1,0))</f>
        <v>0</v>
      </c>
      <c r="CP40" s="259" t="str">
        <f ca="1">IFERROR(INDEX($CM$3:$CN$220,MATCH(ROWS(CP$3:CP40),$CO$3:$CO$220,0),1),"")</f>
        <v/>
      </c>
      <c r="CQ40" s="259" t="str">
        <f ca="1">IFERROR(INDEX($CM$3:$CN$220,MATCH(ROWS(CQ$3:CQ40),$CO$3:$CO$220,0),2),"")</f>
        <v/>
      </c>
      <c r="CR40" s="259" t="str">
        <f t="shared" ca="1" si="154"/>
        <v/>
      </c>
      <c r="CS40" s="259">
        <f t="shared" ca="1" si="11"/>
        <v>0</v>
      </c>
      <c r="CT40" s="259">
        <f t="shared" ca="1" si="12"/>
        <v>0</v>
      </c>
      <c r="CU40" s="259">
        <f ca="1">IF(OR(CS40&gt;0,CT40&gt;0),MAX($CU$2:CU39)+1,0)</f>
        <v>0</v>
      </c>
      <c r="CV40" s="259" t="str">
        <f ca="1">IFERROR(INDEX(PIANO_DEI_CONTI,MATCH(ROWS($CV$3:CV40),$CU$3:$CU$200,0),2),"")</f>
        <v/>
      </c>
      <c r="CW40" s="259">
        <f ca="1">IFERROR(IF(CV40&lt;&gt;"",MAX($CW$2:CW39)+1,0),0)</f>
        <v>0</v>
      </c>
      <c r="CX40" s="259">
        <f t="shared" ref="CX40:CX55" ca="1" si="162">$EA$5</f>
        <v>3</v>
      </c>
      <c r="CY40" s="259" t="str">
        <f t="shared" ca="1" si="161"/>
        <v>MASTRO</v>
      </c>
      <c r="DA40" s="259" t="str">
        <f ca="1">IF(DB39="","","Num. riga")</f>
        <v/>
      </c>
      <c r="DB40" s="259" t="str">
        <f t="shared" ref="DB40" ca="1" si="163">IF(DB39="","","Data")</f>
        <v/>
      </c>
      <c r="DC40" s="259" t="str">
        <f ca="1">IF(DB39="","","Operazioni")</f>
        <v/>
      </c>
      <c r="DD40" s="259" t="str">
        <f ca="1">IF(DB39="","","Dare        ")</f>
        <v/>
      </c>
      <c r="DE40" s="259" t="str">
        <f ca="1">IF(DB39="","","Avere        ")</f>
        <v/>
      </c>
      <c r="DF40" s="259">
        <f ca="1">IF(AND(CX40=$DE$2,$DF$2&lt;&gt;0),0,IF(AND(DB40&lt;&gt;"",OR(DB39&lt;&gt;"",DB41&lt;&gt;"")),MAX($DF$2:DF39)+1,0))</f>
        <v>0</v>
      </c>
      <c r="DG40" s="259" t="str">
        <f>IF(OR(VALORI_INIZIALI!E45="",AND(VALORI_INIZIALI!E45&lt;&gt;"",VALORI_INIZIALI!H45=0,VALORI_INIZIALI!I45=0)),"",IFERROR(INDEX(PIANO_DEI_CONTI,MATCH(BB40,DENOMINAZIONE,0),1),0))</f>
        <v/>
      </c>
      <c r="DH40" s="259">
        <f ca="1">IFERROR(IF($J$1=1,IF(INDEX(PIANO_DEI_CONTI,MATCH($K40,DENOMINAZIONE,0),5)=$DF$1,MAX($DH$2:DH39)+1,0),IF($J$1=2,IF(INDEX(PIANO_DEI_CONTI,MATCH($K40,DENOMINAZIONE,0),7)=$DF$1,MAX($DH$2:DH39)+1,0))),0)</f>
        <v>0</v>
      </c>
      <c r="DI40" s="259">
        <f ca="1">IFERROR(INDEX($K$3:$K$220,MATCH(ROWS($DI$3:DI40),$DH$3:$DH$220,0),1),0)</f>
        <v>0</v>
      </c>
      <c r="DJ40" s="259">
        <f t="shared" ca="1" si="14"/>
        <v>0</v>
      </c>
      <c r="DK40" s="259">
        <f ca="1">IF(DJ40=0,0,MAX(DK$2:DK39)+1)</f>
        <v>0</v>
      </c>
      <c r="DL40" s="259">
        <f ca="1">IFERROR(INDEX(PIANO_DEI_CONTI,MATCH(ROWS(DL$3:DL40),$DK$3:DK267,0),2),0)</f>
        <v>0</v>
      </c>
      <c r="DM40" s="259">
        <f t="shared" ca="1" si="15"/>
        <v>0</v>
      </c>
      <c r="DN40" s="259">
        <f t="shared" ca="1" si="16"/>
        <v>0</v>
      </c>
      <c r="DO40" s="259">
        <f t="shared" ca="1" si="69"/>
        <v>0</v>
      </c>
      <c r="DP40" s="259">
        <f t="shared" ca="1" si="70"/>
        <v>0</v>
      </c>
      <c r="DQ40" s="259">
        <f ca="1">IF(OR($DQ$1="TOTALI",$DQ$1="TOTALI ED ECCEDENZE"),IF(OR(DM40&gt;0,DN40&gt;0),MAX(DQ$2:DQ39)+1,0),IF($DQ$1="ECCEDENZE",IF(OR(DO40&gt;0,DP40&gt;0),MAX(DQ$2:DQ39)+1,0),""))</f>
        <v>0</v>
      </c>
      <c r="DR40" s="259" t="str">
        <f ca="1">IFERROR(INDEX($DL$3:$DQ$230,MATCH(ROWS(DR$3:DR40),$DQ$3:$DQ$230,0),1),"")</f>
        <v/>
      </c>
      <c r="DS40" s="259" t="str">
        <f t="shared" ca="1" si="71"/>
        <v/>
      </c>
      <c r="DT40" s="259" t="str">
        <f t="shared" ca="1" si="72"/>
        <v/>
      </c>
      <c r="DU40" s="259" t="str">
        <f t="shared" ca="1" si="73"/>
        <v/>
      </c>
      <c r="DV40" s="259" t="str">
        <f t="shared" ca="1" si="74"/>
        <v/>
      </c>
      <c r="DW40" s="259">
        <f t="shared" ca="1" si="75"/>
        <v>0</v>
      </c>
      <c r="DX40" s="259" t="str">
        <f t="shared" ca="1" si="76"/>
        <v/>
      </c>
      <c r="DY40" s="259" t="str">
        <f t="shared" ca="1" si="77"/>
        <v/>
      </c>
      <c r="DZ40" s="259" t="str">
        <f t="shared" ca="1" si="78"/>
        <v/>
      </c>
      <c r="EA40" s="259">
        <f t="shared" ca="1" si="79"/>
        <v>38</v>
      </c>
      <c r="EB40" s="259" t="s">
        <v>353</v>
      </c>
      <c r="ED40" s="259">
        <f t="shared" ca="1" si="17"/>
        <v>0</v>
      </c>
      <c r="EE40" s="259" t="str">
        <f t="shared" ca="1" si="155"/>
        <v/>
      </c>
      <c r="EF40" s="259" t="str">
        <f t="shared" ca="1" si="19"/>
        <v/>
      </c>
      <c r="EG40" s="259" t="str">
        <f t="shared" ca="1" si="136"/>
        <v/>
      </c>
      <c r="EH40" s="259" t="str">
        <f t="shared" ca="1" si="80"/>
        <v/>
      </c>
      <c r="EI40" s="260" t="b">
        <f t="shared" ca="1" si="137"/>
        <v>1</v>
      </c>
      <c r="EJ40" s="260" t="b">
        <f t="shared" ca="1" si="138"/>
        <v>1</v>
      </c>
      <c r="EK40" s="260" t="b">
        <f t="shared" ca="1" si="139"/>
        <v>1</v>
      </c>
      <c r="EL40" s="259">
        <f t="shared" si="81"/>
        <v>38</v>
      </c>
      <c r="EM40" s="259">
        <f ca="1">IF(AND(BA40&gt;0,BA40&lt;=$EM$1),MAX($EM$2:EM39)+1,0)</f>
        <v>0</v>
      </c>
      <c r="EN40" s="259">
        <f t="shared" ca="1" si="82"/>
        <v>40</v>
      </c>
      <c r="EP40" s="259" t="str">
        <f t="shared" ca="1" si="20"/>
        <v/>
      </c>
      <c r="EQ40" s="259">
        <f t="shared" ca="1" si="21"/>
        <v>0</v>
      </c>
      <c r="ER40" s="259">
        <f ca="1">IF(ISNA(EQ40),MAX(ER$2:ER39)+1,0)</f>
        <v>0</v>
      </c>
      <c r="ES40" s="259" t="str">
        <f t="shared" ca="1" si="83"/>
        <v/>
      </c>
      <c r="ET40" s="259" t="str">
        <f ca="1">IFERROR(UPPER(INDEX($ER$3:$ES$500,MATCH(ROWS(ET$3:ET40),$ER$3:$ER$500,0),2)),"")</f>
        <v/>
      </c>
      <c r="EY40" s="259">
        <f t="shared" ca="1" si="84"/>
        <v>0</v>
      </c>
      <c r="EZ40" s="259">
        <f t="shared" ca="1" si="84"/>
        <v>0</v>
      </c>
      <c r="FA40" s="259" t="str">
        <f t="shared" ca="1" si="85"/>
        <v/>
      </c>
      <c r="FB40" s="259">
        <f t="shared" ca="1" si="86"/>
        <v>0</v>
      </c>
      <c r="FC40" s="259">
        <f t="shared" ca="1" si="87"/>
        <v>0</v>
      </c>
      <c r="FD40" s="259">
        <f t="shared" ca="1" si="22"/>
        <v>0</v>
      </c>
      <c r="FE40" s="259" t="str">
        <f t="shared" ca="1" si="23"/>
        <v/>
      </c>
      <c r="FF40" s="259" t="str">
        <f t="shared" ca="1" si="88"/>
        <v/>
      </c>
      <c r="FG40" s="259" t="str">
        <f t="shared" si="89"/>
        <v>CAMBIALI INSOLUTE</v>
      </c>
      <c r="FH40" s="259">
        <f t="shared" ca="1" si="156"/>
        <v>0</v>
      </c>
      <c r="FI40" s="259">
        <f t="shared" ca="1" si="25"/>
        <v>0</v>
      </c>
      <c r="FJ40" s="259">
        <f t="shared" ca="1" si="90"/>
        <v>0</v>
      </c>
      <c r="FK40" s="259">
        <f t="shared" ca="1" si="91"/>
        <v>0</v>
      </c>
      <c r="FL40" s="259">
        <f ca="1">IF(OR(FJ40&gt;0,FK40&gt;0),MAX($FL$2:FL39)+1,0)</f>
        <v>0</v>
      </c>
      <c r="FM40" s="259">
        <f t="shared" ca="1" si="26"/>
        <v>0</v>
      </c>
      <c r="FN40" s="259">
        <f ca="1">IF(FM40&lt;0,MAX($FN$2:FN39)+1,0)</f>
        <v>0</v>
      </c>
      <c r="FO40" s="259" t="str">
        <f t="shared" ca="1" si="92"/>
        <v/>
      </c>
      <c r="FP40" s="259" t="str">
        <f ca="1">IFERROR(INDEX($FN$3:$FO$400,MATCH(ROWS($FP$3:FP40),$FN$3:$FN$400,0),2),"")</f>
        <v/>
      </c>
      <c r="FQ40" s="259" t="str">
        <f>IF(AE40="SE AVERE",MAX($FQ$2:FQ39)+1,"")</f>
        <v/>
      </c>
      <c r="FR40" s="259" t="str">
        <f>IF(AE40="SE DARE",MAX($FR$2:FR39)+1,"")</f>
        <v/>
      </c>
      <c r="FS40" s="259">
        <f ca="1">IF(AND(AE40="SP DARE",AA40&lt;&gt;$FS$1,AA40&lt;&gt;$FT$1),MAX($FS$2:FS39)+1,IF(AND(GQ40="SP DARE",AA40&lt;&gt;$FS$1,AA40&lt;&gt;$FT$1),MAX($FS$2:FS39)+1,""))</f>
        <v>116</v>
      </c>
      <c r="FT40" s="259" t="str">
        <f ca="1">IF(AND(AE40="SP AVERE",AA40&lt;&gt;$FU$1),MAX($FT$2:FT39)+1,IF(AND(GQ40="SP AVERE",AA40&lt;&gt;$FU$1),MAX($FT$2:FT39)+1,""))</f>
        <v/>
      </c>
      <c r="FU40" s="259">
        <f t="shared" ca="1" si="93"/>
        <v>116</v>
      </c>
      <c r="FV40" s="259" t="str">
        <f t="shared" si="94"/>
        <v>CAMBIALI INSOLUTE</v>
      </c>
      <c r="FW40" s="259" t="str">
        <f ca="1">IFERROR(INDEX($FU$3:$FV$500,MATCH(ROWS($FW$3:FW40),$FU$3:$FU$500,0),2),0)</f>
        <v>COSTI DI ETICHETTATURA</v>
      </c>
      <c r="FX40" s="259">
        <f t="shared" ca="1" si="95"/>
        <v>38</v>
      </c>
      <c r="FY40" s="259">
        <f t="shared" ca="1" si="96"/>
        <v>0</v>
      </c>
      <c r="FZ40" s="259">
        <f ca="1">IF(FY40&gt;0,MAX($FZ$2:FZ39)+1,0)</f>
        <v>0</v>
      </c>
      <c r="GA40" s="259">
        <f ca="1">IFERROR(INDEX($FY$3:$FZ$500,MATCH(ROWS($GA$3:GA40),$FZ$3:$FZ$500,0),1),0)</f>
        <v>0</v>
      </c>
      <c r="GC40" s="259">
        <f t="shared" ca="1" si="97"/>
        <v>38</v>
      </c>
      <c r="GD40" s="259" t="str">
        <f t="shared" ca="1" si="98"/>
        <v>COSTI DI ETICHETTATURA</v>
      </c>
      <c r="GG40" s="259">
        <f t="shared" ca="1" si="27"/>
        <v>0</v>
      </c>
      <c r="GH40" s="259">
        <f t="shared" ca="1" si="99"/>
        <v>0</v>
      </c>
      <c r="GI40" s="259">
        <f t="shared" ca="1" si="100"/>
        <v>0</v>
      </c>
      <c r="GJ40" s="259">
        <f t="shared" ca="1" si="101"/>
        <v>0</v>
      </c>
      <c r="GK40" s="259">
        <f t="shared" ca="1" si="102"/>
        <v>0</v>
      </c>
      <c r="GL40" s="259">
        <f t="shared" ca="1" si="103"/>
        <v>0</v>
      </c>
      <c r="GM40" s="259">
        <f ca="1">IF(OR(GK40&gt;0,GL40&gt;0),MAX($GM$2:GM39)+1,0)</f>
        <v>0</v>
      </c>
      <c r="GN40" s="259" t="str">
        <f ca="1">IFERROR(INDEX($GD$3:$GM$400,MATCH(ROWS($GN$3:GN40),$GM$3:$GM$400,0),1),"")</f>
        <v/>
      </c>
      <c r="GO40" s="259" t="str">
        <f ca="1">IFERROR(INDEX($GD$3:$GM$400,MATCH(ROWS($GO$3:GO40),$GM$3:$GM$400,0),8),"")</f>
        <v/>
      </c>
      <c r="GP40" s="259" t="str">
        <f ca="1">IFERROR(INDEX($GD$3:$GM$400,MATCH(ROWS($GP$3:GP40),$GM$3:$GM$400,0),9),"")</f>
        <v/>
      </c>
      <c r="GQ40" s="259">
        <f t="shared" ca="1" si="28"/>
        <v>0</v>
      </c>
      <c r="GR40" s="259">
        <f t="shared" ca="1" si="104"/>
        <v>0</v>
      </c>
      <c r="GS40" s="259" t="str">
        <f t="shared" si="105"/>
        <v>epilogo a Conto economico</v>
      </c>
      <c r="GT40" s="259" t="str">
        <f ca="1">IFERROR(INDEX($GD$3:$GS$400,MATCH(ROWS($GT$3:GT40),$GM$3:$GM$400,0),16),"")</f>
        <v/>
      </c>
      <c r="GU40" s="259">
        <f ca="1">IF(GQ40&lt;&gt;0,MAX($GU$2:$GU39)+1,0)</f>
        <v>0</v>
      </c>
      <c r="GV40" s="259">
        <f t="shared" ca="1" si="106"/>
        <v>0</v>
      </c>
      <c r="GW40" s="259" t="str">
        <f ca="1">IF(AND(IFERROR(INDEX($GU$3:$GV$400,MATCH(ROWS($GW$3:GW40),$GU$3:$GU$400,0),2),"")&lt;&gt;"",GW41&lt;&gt;""),CONCATENATE(IFERROR(INDEX($GU$3:$GV$400,MATCH(ROWS($GW$3:GW40),$GU$3:$GU$400,0),2),"")," - "),IFERROR(INDEX($GU$3:$GV$400,MATCH(ROWS($GW$3:GW40),$GU$3:$GU$400,0),2),""))</f>
        <v/>
      </c>
      <c r="GX40" s="259">
        <f ca="1">IF(OR(GN40="IVA NS/CREDITO",GN40="IVA NS/DEBITO",GN40="IVA C/ACCONTO",GN40="IMPOSTE C/ACCONTO"),MAX($GX$2:GX39)+1,0)</f>
        <v>0</v>
      </c>
      <c r="GY40" s="259" t="str">
        <f ca="1">IF(AND(IFERROR(INDEX($GN$3:$GX$200,MATCH(ROWS($GY$3:GY40),$GX$3:$GX$200,0),1),"")&lt;&gt;"",GY41&lt;&gt;""),CONCATENATE(IFERROR(INDEX($GN$3:$GX$200,MATCH(ROWS($GY$3:GY40),$GX$3:$GX$200,0),1),"")," - "),IFERROR(INDEX($GN$3:$GX$200,MATCH(ROWS($GY$3:GY40),$GX$3:$GX$200,0),1),""))</f>
        <v/>
      </c>
      <c r="GZ40" s="259" t="s">
        <v>61</v>
      </c>
      <c r="HA40" s="259" t="s">
        <v>52</v>
      </c>
      <c r="HB40" s="269" t="s">
        <v>257</v>
      </c>
      <c r="HC40" s="269" t="s">
        <v>276</v>
      </c>
      <c r="HD40" s="269" t="s">
        <v>6</v>
      </c>
      <c r="HE40" s="269" t="s">
        <v>206</v>
      </c>
      <c r="HL40" s="259" t="str">
        <f t="shared" ca="1" si="157"/>
        <v/>
      </c>
      <c r="HM40" s="259" t="str">
        <f t="shared" ca="1" si="158"/>
        <v/>
      </c>
      <c r="HN40" s="259" t="str">
        <f t="shared" ca="1" si="159"/>
        <v/>
      </c>
      <c r="HO40" s="259">
        <f ca="1">IF(HL40&lt;&gt;"",MAX($HO$2:HO39)+1,0)</f>
        <v>0</v>
      </c>
      <c r="HP40" s="259">
        <f ca="1">IF(HM40&lt;&gt;"",MAX($HP$2:HP39)+1,0)</f>
        <v>0</v>
      </c>
      <c r="HQ40" s="259">
        <f ca="1">IF(HN40&lt;&gt;"",MAX($HQ$2:HQ39)+1,0)</f>
        <v>0</v>
      </c>
      <c r="HR40" s="259" t="str">
        <f t="shared" ca="1" si="107"/>
        <v/>
      </c>
      <c r="HS40" s="259" t="str">
        <f t="shared" ca="1" si="108"/>
        <v/>
      </c>
      <c r="HT40" s="259">
        <f t="shared" ca="1" si="109"/>
        <v>0</v>
      </c>
      <c r="HU40" s="259">
        <f t="shared" ca="1" si="110"/>
        <v>0</v>
      </c>
      <c r="HV40" s="259" t="str">
        <f ca="1">CONCATENATE(IFERROR(INDEX($HS$3:$HT$102,MATCH(ROWS($HV$3:HV40),$HT$3:$HT$102,0),1),""),HR40)</f>
        <v/>
      </c>
      <c r="IA40" s="259" t="s">
        <v>364</v>
      </c>
      <c r="IB40" s="259" t="s">
        <v>302</v>
      </c>
      <c r="IC40" s="259">
        <f ca="1">IFERROR(INDEX(PIANO_DEI_CONTI,MATCH(ROWS(DL$3:DL40),$DK$3:DK267,0),2),0)</f>
        <v>0</v>
      </c>
      <c r="ID40" s="259">
        <f t="shared" ca="1" si="111"/>
        <v>0</v>
      </c>
      <c r="IE40" s="259">
        <f t="shared" ca="1" si="112"/>
        <v>0</v>
      </c>
      <c r="IF40" s="259">
        <f t="shared" ca="1" si="113"/>
        <v>0</v>
      </c>
      <c r="IG40" s="259">
        <f ca="1">IF(SUMIFS($ID$3:$ID$200,$IF$3:$IF$200,IA40)&lt;=SUMIFS($IE$3:$IE$200,$IF$3:$IF$200,IA40),SUMIFS($IE$3:$IE$200,$IF$3:$IF$200,IA40)-SUMIFS($ID$3:$ID$200,$IF$3:$IF$200,IA40),0)</f>
        <v>0</v>
      </c>
      <c r="IH40" s="259">
        <f ca="1">IF(IG40&lt;&gt;0,MAX($IH$35:IH39)+1,0)</f>
        <v>0</v>
      </c>
      <c r="II40" s="259">
        <f>IF(AD40="costi pluriennali",MAX($II$2:II39)+1,0)</f>
        <v>0</v>
      </c>
      <c r="IJ40" s="259">
        <f>IF($AD40="rettifiche costi pluriennali",MAX($IJ$2:IJ39)+1,0)</f>
        <v>0</v>
      </c>
      <c r="IK40" s="259">
        <f t="shared" si="114"/>
        <v>0</v>
      </c>
      <c r="IL40" s="259" t="str">
        <f t="shared" si="115"/>
        <v/>
      </c>
      <c r="IM40" s="259">
        <f t="shared" ca="1" si="116"/>
        <v>0</v>
      </c>
      <c r="IN40" s="259">
        <f t="shared" ca="1" si="141"/>
        <v>0</v>
      </c>
      <c r="IO40" s="259">
        <f>SUMIFS($IM$3:$IM$200,$IK$3:$IK$200,ROWS($IO$3:IO40))-SUMIFS($IN$3:$IN$200,$IK$3:$IK$200,ROWS($IO$3:IO40))</f>
        <v>0</v>
      </c>
      <c r="IP40" s="259" t="str">
        <f>IF(IO40&lt;0,INDEX($IJ$3:$IL$200,MATCH(ROWS($IP$3:IP40),$IJ$3:$IJ$200,0),3),"")</f>
        <v/>
      </c>
      <c r="IQ40" s="259">
        <f>IF(IP40&lt;&gt;"",MAX($IQ$2:IQ39)+1,0)</f>
        <v>0</v>
      </c>
      <c r="IR40" s="259" t="str">
        <f ca="1">IFERROR(INDEX($IP$3:$IQ$200,MATCH(ROWS($IR$3:IR40),$IQ$3:$IQ$200,0),1),"")</f>
        <v/>
      </c>
      <c r="IS40" s="259" t="str">
        <f t="shared" ca="1" si="117"/>
        <v/>
      </c>
      <c r="IT40" s="259" t="str">
        <f t="shared" ca="1" si="118"/>
        <v/>
      </c>
      <c r="IU40" s="259" t="str">
        <f t="shared" ca="1" si="119"/>
        <v/>
      </c>
      <c r="IV40" s="259" t="str">
        <f t="shared" ca="1" si="120"/>
        <v/>
      </c>
      <c r="IW40" s="259" t="str">
        <f t="shared" ca="1" si="121"/>
        <v/>
      </c>
      <c r="IX40" s="259" t="str">
        <f t="shared" ca="1" si="122"/>
        <v/>
      </c>
      <c r="IY40" s="259" t="str">
        <f t="shared" ca="1" si="123"/>
        <v/>
      </c>
      <c r="IZ40" s="259" t="str">
        <f t="shared" ca="1" si="124"/>
        <v/>
      </c>
      <c r="JA40" s="259" t="str">
        <f t="shared" ca="1" si="125"/>
        <v/>
      </c>
      <c r="JB40" s="259">
        <f t="shared" ca="1" si="32"/>
        <v>0</v>
      </c>
      <c r="JC40" s="259">
        <f t="shared" ca="1" si="126"/>
        <v>0</v>
      </c>
      <c r="JE40" s="259">
        <f ca="1">IFERROR(INDEX(LIBRO_GIORNALE!$N$11:$O$408,MATCH(ROWS($JE$2:JE39),LIBRO_GIORNALE!$O$11:$O$408,0),1),0)</f>
        <v>0</v>
      </c>
      <c r="JF40" s="259" t="str">
        <f t="shared" ca="1" si="127"/>
        <v>0</v>
      </c>
      <c r="JG40" s="259">
        <f t="shared" ca="1" si="128"/>
        <v>0</v>
      </c>
      <c r="JH40" s="259">
        <f ca="1">IF(JJ40&gt;0,0,MAX($JH$2:JH39)+1)</f>
        <v>38</v>
      </c>
      <c r="JI40" s="259">
        <f ca="1">IF(JG40&gt;0,MAX($JI$2:JI39)+1,0)</f>
        <v>0</v>
      </c>
      <c r="JJ40" s="259">
        <f ca="1">IFERROR(INDEX($JG$3:$JI$124,MATCH(ROWS($JJ$3:JJ40),$JI$3:$JI$124,0),1),0)</f>
        <v>0</v>
      </c>
      <c r="JK40" s="259">
        <f t="shared" ca="1" si="129"/>
        <v>0</v>
      </c>
      <c r="JL40" s="259">
        <f t="shared" ca="1" si="130"/>
        <v>38</v>
      </c>
    </row>
    <row r="41" spans="1:273">
      <c r="A41" s="259" t="str">
        <f t="shared" si="33"/>
        <v>05.07</v>
      </c>
      <c r="B41" s="259" t="str">
        <f t="shared" si="34"/>
        <v>CAMBIALI ALLO SCONTO</v>
      </c>
      <c r="C41" s="259" t="str">
        <f t="shared" si="35"/>
        <v>F</v>
      </c>
      <c r="D41" s="259" t="str">
        <f t="shared" si="36"/>
        <v>D</v>
      </c>
      <c r="E41" s="259" t="str">
        <f t="shared" si="37"/>
        <v>CREDITI</v>
      </c>
      <c r="F41" s="259" t="str">
        <f t="shared" si="38"/>
        <v>SP DARE</v>
      </c>
      <c r="G41" s="259">
        <f t="shared" ca="1" si="39"/>
        <v>0</v>
      </c>
      <c r="H41" s="259">
        <f t="shared" ca="1" si="40"/>
        <v>1</v>
      </c>
      <c r="I41" s="259">
        <f t="shared" ca="1" si="41"/>
        <v>1</v>
      </c>
      <c r="K41" s="259" t="str">
        <f ca="1">IFERROR(IF($I$1=1,INDEX($AA$3:$AS$220,MATCH(ROWS($K$3:K41),$AQ$3:$AQ$220,0),1),IF($I$1=2,INDEX($AA$3:$AS$220,MATCH(ROWS($K$3:K41),$AR$3:$AR$220,0),1),IF($I$1=3,INDEX($AA$3:$AS$220,MATCH(ROWS($K$3:K41),$AS$3:$AS$220,0),1),""))),"")</f>
        <v>CREDITI PER ACCONTI DA CLIENTI</v>
      </c>
      <c r="L41" s="259">
        <f ca="1">IF(AND($L$1="VISUALIZZA TUTTI I CONTI",K41&lt;&gt;""),MAX(L40:L40)+1,IFERROR(IF($J$1=1,IF(INDEX(PIANO_DEI_CONTI,MATCH($K41,DENOMINAZIONE,0),5)=$L$1,MAX($L$2:L40)+1,0),IF($J$1=2,IF(INDEX(PIANO_DEI_CONTI,MATCH($K41,DENOMINAZIONE,0),7)=$L$1,MAX($L$2:L40)+1,0))),0))</f>
        <v>39</v>
      </c>
      <c r="M41" s="259" t="str">
        <f ca="1">IFERROR(INDEX($K$3:$K$220,MATCH(ROWS($M$3:M41),$L$3:$L$220,0),1),"")</f>
        <v>CREDITI PER ACCONTI DA CLIENTI</v>
      </c>
      <c r="N41" s="259" t="str">
        <f t="shared" si="143"/>
        <v>AMMORTAMENTI IMMOBILIZZAZIONI IMMATERIALI</v>
      </c>
      <c r="O41" s="259" t="str">
        <f t="shared" ca="1" si="142"/>
        <v>AMMORTAMENTI IMMOBILIZZAZIONI IMMATERIALI</v>
      </c>
      <c r="P41" s="259">
        <f ca="1">IF(AND(N41=O41,O41&lt;&gt;""),MAX(P$2:P40)+1,0)</f>
        <v>24</v>
      </c>
      <c r="Q41" s="259" t="str">
        <f ca="1">IF(IFERROR(INDEX($O$3:$P$220,MATCH(ROWS(Q$3:Q41),$P$3:$P$220,0),1),"")=0,"",IFERROR(INDEX($O$3:$P$220,MATCH(ROWS(Q$3:Q41),$P$3:$P$220,0),1),""))</f>
        <v/>
      </c>
      <c r="R41" s="259" t="str">
        <f t="shared" si="1"/>
        <v>CREDITI PER ACCONTI DA CLIENTI</v>
      </c>
      <c r="S41" s="259">
        <f ca="1">IF(IFERROR(MATCH(R41,DENOMINAZIONE_GIORNALE,0),0)&gt;0,MAX(S$2:S40)+1,0)</f>
        <v>0</v>
      </c>
      <c r="T41" s="259" t="str">
        <f ca="1">IFERROR(INDEX($R$3:$S$220,MATCH(ROWS($T$3:T41),$S$3:$S$220,0),1),"")</f>
        <v/>
      </c>
      <c r="U41" s="259">
        <f t="shared" ca="1" si="2"/>
        <v>0</v>
      </c>
      <c r="V41" s="259">
        <f ca="1">IF(IF(U41&lt;&gt;0,MAX($V$2:V40)+1,0)=0,0,IF(U41&lt;&gt;0,MAX($V$2:V40)+1,0))</f>
        <v>0</v>
      </c>
      <c r="W41" s="259" t="str">
        <f t="shared" si="43"/>
        <v>05.07</v>
      </c>
      <c r="X41" s="259" t="str">
        <f t="shared" si="44"/>
        <v>CAMBIALI ALLO SCONTO</v>
      </c>
      <c r="Y41" s="259">
        <f>IF(W41="",0,MAX($Y$2:Y40)+1)</f>
        <v>34</v>
      </c>
      <c r="Z41" s="259" t="str">
        <f>IFERROR(INDEX($W$3:$Y$220,MATCH(ROWS($Z$2:Z40),$Y$3:$Y$220,0),1),"")</f>
        <v>05.15</v>
      </c>
      <c r="AA41" s="259" t="str">
        <f t="shared" si="45"/>
        <v>CREDITI PER ACCONTI DA CLIENTI</v>
      </c>
      <c r="AB41" s="259" t="str">
        <f t="shared" si="46"/>
        <v>F</v>
      </c>
      <c r="AC41" s="259" t="str">
        <f t="shared" si="47"/>
        <v>D</v>
      </c>
      <c r="AD41" s="259" t="str">
        <f t="shared" si="48"/>
        <v>CREDITI</v>
      </c>
      <c r="AE41" s="259" t="str">
        <f t="shared" si="49"/>
        <v>SP DARE</v>
      </c>
      <c r="AF41" s="259" t="str">
        <f t="shared" si="50"/>
        <v>CREDITI COMMERCIALI</v>
      </c>
      <c r="AG41" s="259">
        <f t="shared" ca="1" si="51"/>
        <v>1</v>
      </c>
      <c r="AH41" s="259">
        <f t="shared" ca="1" si="52"/>
        <v>1</v>
      </c>
      <c r="AI41" s="259">
        <f t="shared" ca="1" si="53"/>
        <v>1</v>
      </c>
      <c r="AJ41" s="259" t="str">
        <f t="shared" si="54"/>
        <v>05</v>
      </c>
      <c r="AK41" s="259" t="str">
        <f t="shared" si="55"/>
        <v/>
      </c>
      <c r="AL41" s="259">
        <f>IF(AK41&lt;&gt;"",MAX($AL$2:AL40)+1,0)</f>
        <v>0</v>
      </c>
      <c r="AM41" s="259" t="str">
        <f>IFERROR(INDEX($AK$3:$AL$220,MATCH(ROWS($AM$3:AM41),$AL$3:$AL$220,0),1),"")</f>
        <v/>
      </c>
      <c r="AN41" s="259" t="str">
        <f t="shared" si="56"/>
        <v/>
      </c>
      <c r="AO41" s="259" t="str">
        <f t="shared" si="57"/>
        <v/>
      </c>
      <c r="AP41" s="259" t="str">
        <f t="shared" si="58"/>
        <v>CREDITI COMMERCIALI</v>
      </c>
      <c r="AQ41" s="259">
        <f ca="1">IF(OR(AG41=0,AG41=""),0,MAX(AQ$2:AQ40)+1)</f>
        <v>23</v>
      </c>
      <c r="AR41" s="259">
        <f ca="1">IF(OR(AH41=0,AH41=""),0,MAX(AR$2:AR40)+1)</f>
        <v>34</v>
      </c>
      <c r="AS41" s="259">
        <f ca="1">IF(OR(AI41=0,AI41=""),0,MAX(AS$2:AS40)+1)</f>
        <v>39</v>
      </c>
      <c r="AT41" s="259" t="str">
        <f ca="1">IFERROR(INDEX($AD$3:$AS$220,MATCH(ROWS(AT$3:AT41),AQ$3:AQ$220,0),1),"")</f>
        <v>DEBITI</v>
      </c>
      <c r="AU41" s="259" t="str">
        <f ca="1">IFERROR(INDEX($AD$3:$AS$220,MATCH(ROWS(AU$3:AU41),AR$3:AR$220,0),1),"")</f>
        <v>CREDITI</v>
      </c>
      <c r="AV41" s="259" t="str">
        <f ca="1">IFERROR(INDEX($AD$3:$AS$220,MATCH(ROWS(AV$3:AV41),AS$3:AS$220,0),1),"")</f>
        <v>CREDITI</v>
      </c>
      <c r="AW41" s="259" t="str">
        <f ca="1">IFERROR(INDEX($AP$3:$AS$220,MATCH(ROWS(AW$3:AW41),AQ$3:AQ$220,0),1),"")</f>
        <v>DEBITI DIVERSI</v>
      </c>
      <c r="AX41" s="259" t="str">
        <f ca="1">IFERROR(INDEX($AP$3:$AS$220,MATCH(ROWS(AX$3:AX41),AR$3:AR$220,0),1),"")</f>
        <v>CREDITI DIVERSI</v>
      </c>
      <c r="AY41" s="259" t="str">
        <f ca="1">IFERROR(INDEX($AP$3:$AS$220,MATCH(ROWS(AY$3:AY41),AS$3:AS$220,0),1),"")</f>
        <v>CREDITI COMMERCIALI</v>
      </c>
      <c r="AZ41" s="276" t="str">
        <f t="shared" ca="1" si="59"/>
        <v/>
      </c>
      <c r="BA41" s="259">
        <f t="shared" ca="1" si="153"/>
        <v>0</v>
      </c>
      <c r="BB41" s="259">
        <f ca="1">IFERROR(INDEX($FG$3:$FL$400,MATCH(ROWS($BB$3:BB41),$FL$3:$FL$400,0),1),0)</f>
        <v>0</v>
      </c>
      <c r="BC41" s="259" t="str">
        <f t="shared" ca="1" si="60"/>
        <v/>
      </c>
      <c r="BD41" s="259">
        <f ca="1">IFERROR(INDEX($FG$3:$FL$400,MATCH(ROWS($BD$3:BD41),$FL$3:$FL$400,0),4),0)</f>
        <v>0</v>
      </c>
      <c r="BE41" s="259">
        <f ca="1">IFERROR(INDEX($FG$3:$FL$400,MATCH(ROWS($BE$3:BE41),$FL$3:$FL$400,0),5),0)</f>
        <v>0</v>
      </c>
      <c r="BG41" s="259" t="str">
        <f t="shared" si="4"/>
        <v/>
      </c>
      <c r="BH41" s="259">
        <f ca="1">IF(IFERROR(MATCH(BG41,DENOMINAZIONE_GIORNALE,0),0)&gt;0,MAX(BH$2:BH40)+1,0)</f>
        <v>0</v>
      </c>
      <c r="BI41" s="259" t="str">
        <f ca="1">IFERROR(INDEX($BG$3:$BH$220,MATCH(ROWS($BI$3:BI41),$BH$3:$BH$220,0),1),"")</f>
        <v/>
      </c>
      <c r="BJ41" s="259" t="str">
        <f t="shared" ca="1" si="5"/>
        <v/>
      </c>
      <c r="BK41" s="259" t="str">
        <f ca="1">IF(IF(BJ41&lt;&gt;"",MAX($BK$2:BK40)+1,0)=0,"",IF(BJ41&lt;&gt;"",MAX($BK$2:BK40)+1,0))</f>
        <v/>
      </c>
      <c r="BL41" s="259" t="str">
        <f ca="1">IFERROR(INDEX($T$3:$U$220, MATCH(ROWS(BL$3:BL41),$V$3:$V$220,0),1),"")</f>
        <v/>
      </c>
      <c r="BM41" s="259" t="str">
        <f ca="1">IFERROR(INDEX($T$3:$U$220, MATCH(ROWS(BM$3:BM41),$V$3:$V$220,0),2),"")</f>
        <v/>
      </c>
      <c r="BN41" s="259" t="str">
        <f ca="1">IF(IFERROR(INDEX($BI$3:$BJ$220,MATCH(ROWS(BN$3:BN41),$BK$3:$BK$220,0),1),"")="PATRIMONIO NETTO","",IFERROR(INDEX($BI$3:$BJ$220,MATCH(ROWS(BN$3:BN41),$BK$3:$BK$220,0),1),""))</f>
        <v/>
      </c>
      <c r="BO41" s="259" t="str">
        <f ca="1">IFERROR(INDEX($BI$3:$BJ$220,MATCH(ROWS(BO$3:BO41),$BK$3:$BK$220,0),2),"")</f>
        <v/>
      </c>
      <c r="BP41" s="259">
        <f ca="1">IF(BN41&lt;&gt;"",MAX(BP$2:$BP40)+1,0)</f>
        <v>0</v>
      </c>
      <c r="BQ41" s="259" t="str">
        <f ca="1">IFERROR(INDEX($BN$3:$BO$200,MATCH(ROWS(BQ$3:BQ41),$BP$3:$BP$220,0),1),"")</f>
        <v/>
      </c>
      <c r="BR41" s="259" t="str">
        <f ca="1">IFERROR(INDEX($BN$3:$BO$220,MATCH(ROWS(BR$3:BR41),$BP$3:$BP$220,0),2),"")</f>
        <v/>
      </c>
      <c r="BS41" s="259" t="str">
        <f ca="1">IFERROR(IF(OR(INDEX($T$3:$U$220,MATCH(ROWS(BL$3:BL41),$V$3:$V$220,0),1)="PRELEVAMENTI EXTRAGESTIONE",INDEX($T$3:$U$220,MATCH(ROWS(BL$3:BL41),$V$3:$V$220,0),1)="TITOLARE C/RITENUTE SUBITE"),"",INDEX($T$3:$U$220,MATCH(ROWS(BL$3:BL41),$V$3:$V$220,0),1)),"")</f>
        <v/>
      </c>
      <c r="BT41" s="259">
        <f t="shared" ca="1" si="61"/>
        <v>0</v>
      </c>
      <c r="BU41" s="259">
        <f ca="1">IF(BS41&lt;&gt;"",MAX(BU$2:BU40)+1,0)</f>
        <v>0</v>
      </c>
      <c r="BV41" s="259" t="str">
        <f ca="1">IFERROR(INDEX($BS$3:$BT$223,MATCH(ROWS(BV$3:BV41),$BU$3:$BU$223,0),1),"")</f>
        <v/>
      </c>
      <c r="BW41" s="259">
        <f t="shared" ca="1" si="62"/>
        <v>0</v>
      </c>
      <c r="BX41" s="259" t="str">
        <f t="shared" ca="1" si="63"/>
        <v/>
      </c>
      <c r="BY41" s="259" t="str">
        <f t="shared" ca="1" si="64"/>
        <v/>
      </c>
      <c r="BZ41" s="259" t="str">
        <f ca="1">IFERROR(IF(OR($DS$231&lt;&gt;$DT$231,$DU$231&lt;&gt;$DV$231,$EO$25&lt;&gt;0,$EO$26&lt;&gt;0),INDEX($T$3:$V$220,MATCH(ROWS($BV$3:BV41),$V$3:$V$220,0),1),CONCATENATE(BV41,BY41)),"")</f>
        <v/>
      </c>
      <c r="CA41" s="259">
        <f t="shared" ca="1" si="65"/>
        <v>0</v>
      </c>
      <c r="CB41" s="259" t="str">
        <f ca="1">IFERROR(IF(OR($BB$1&lt;&gt;$BD$1,$BC$1&lt;&gt;$BE$1,$DS$231&lt;&gt;$DT$231,$DU$231&lt;&gt;$DV$231,$EO$25&lt;&gt;0,$EO$26&lt;&gt;0),INDEX($BI$3:$BK$220,MATCH(ROWS($CB$3:CB41),$BK$3:$BK$220,0),1),CONCATENATE(BQ41,BX41)),"")</f>
        <v/>
      </c>
      <c r="CC41" s="259" t="str">
        <f t="shared" ca="1" si="66"/>
        <v/>
      </c>
      <c r="CD41" s="259" t="str">
        <f t="shared" si="6"/>
        <v/>
      </c>
      <c r="CE41" s="259">
        <f ca="1">IF(IFERROR(MATCH(CD41,DENOMINAZIONE_GIORNALE,0),0)&gt;0,MAX(CE$2:CE40)+1,0)</f>
        <v>0</v>
      </c>
      <c r="CF41" s="259" t="str">
        <f ca="1">IFERROR(INDEX($CD$3:$CE$220,MATCH(ROWS($CF$3:CF41),$CE$3:$CE$220,0),1),"")</f>
        <v/>
      </c>
      <c r="CG41" s="259">
        <f t="shared" ca="1" si="7"/>
        <v>0</v>
      </c>
      <c r="CH41" s="259" t="str">
        <f ca="1">IF(IF(CG41&lt;&gt;0,MAX($CH$2:CH40)+1,0)=0,"",IF(CG41&lt;&gt;"",MAX($CH$2:CH40)+1,0))</f>
        <v/>
      </c>
      <c r="CI41" s="259" t="str">
        <f ca="1">IFERROR(INDEX($CF$3:$CG$220,MATCH(ROWS($CI$3:CI41),$CH$3:$CH$220,0),1),"")</f>
        <v/>
      </c>
      <c r="CJ41" s="259" t="str">
        <f t="shared" ca="1" si="67"/>
        <v/>
      </c>
      <c r="CK41" s="259" t="str">
        <f t="shared" si="8"/>
        <v/>
      </c>
      <c r="CL41" s="259">
        <f ca="1">IF(IFERROR(MATCH(CK41,DENOMINAZIONE_GIORNALE,0),0)&gt;0,MAX(CL$2:CL40)+1,0)</f>
        <v>0</v>
      </c>
      <c r="CM41" s="259" t="str">
        <f ca="1">IFERROR(INDEX($CK$3:$CL$220,MATCH(ROWS($CM$3:CM41),$CL$3:$CL$220,0),1),"")</f>
        <v/>
      </c>
      <c r="CN41" s="259" t="str">
        <f t="shared" ca="1" si="9"/>
        <v/>
      </c>
      <c r="CO41" s="259">
        <f ca="1">IF(IF(CN41&lt;&gt;0,MAX($CO$2:CO40)+1,0)=0,"",IF(CN41&lt;&gt;"",MAX($CO$2:CO40)+1,0))</f>
        <v>0</v>
      </c>
      <c r="CP41" s="259" t="str">
        <f ca="1">IFERROR(INDEX($CM$3:$CN$220,MATCH(ROWS(CP$3:CP41),$CO$3:$CO$220,0),1),"")</f>
        <v/>
      </c>
      <c r="CQ41" s="259" t="str">
        <f ca="1">IFERROR(INDEX($CM$3:$CN$220,MATCH(ROWS(CQ$3:CQ41),$CO$3:$CO$220,0),2),"")</f>
        <v/>
      </c>
      <c r="CR41" s="259" t="str">
        <f t="shared" ca="1" si="154"/>
        <v/>
      </c>
      <c r="CS41" s="259">
        <f t="shared" ca="1" si="11"/>
        <v>0</v>
      </c>
      <c r="CT41" s="259">
        <f t="shared" ca="1" si="12"/>
        <v>0</v>
      </c>
      <c r="CU41" s="259">
        <f ca="1">IF(OR(CS41&gt;0,CT41&gt;0),MAX($CU$2:CU40)+1,0)</f>
        <v>0</v>
      </c>
      <c r="CV41" s="259" t="str">
        <f ca="1">IFERROR(INDEX(PIANO_DEI_CONTI,MATCH(ROWS($CV$3:CV41),$CU$3:$CU$200,0),2),"")</f>
        <v/>
      </c>
      <c r="CW41" s="259">
        <f ca="1">IFERROR(IF(CV41&lt;&gt;"",MAX($CW$2:CW40)+1,0),0)</f>
        <v>0</v>
      </c>
      <c r="CX41" s="259">
        <f t="shared" ca="1" si="162"/>
        <v>3</v>
      </c>
      <c r="CY41" s="259" t="str">
        <f t="shared" ca="1" si="161"/>
        <v>MASTRO</v>
      </c>
      <c r="CZ41" s="259" t="e">
        <f t="shared" ref="CZ41:CZ55" ca="1" si="164">SUM(MATCH($CY41,INDIRECT(ADDRESS(SUM(CZ40)+3,54)&amp;":"&amp;ADDRESS(400,54)),0),CZ40)</f>
        <v>#N/A</v>
      </c>
      <c r="DA41" s="259" t="str">
        <f ca="1">IFERROR(INDEX(LIBRO_GIORNALE,CZ41,1),"")</f>
        <v/>
      </c>
      <c r="DB41" s="259" t="str">
        <f t="shared" ref="DB41:DB55" ca="1" si="165">IF(RIGHT(TEXT(IFERROR(INDEX(LIBRO_GIORNALE,CZ41,2),""),"gg/mm/aa"),1)="a",TEXT(IFERROR(INDEX(LIBRO_GIORNALE,CZ41,2),""),"dd/mm/yy"),TEXT(IFERROR(INDEX(LIBRO_GIORNALE,CZ41,2),""),"gg/mm/aa"))</f>
        <v/>
      </c>
      <c r="DC41" s="259" t="str">
        <f t="shared" ref="DC41:DC55" ca="1" si="166">IF(IFERROR(INDEX(LIBRO_GIORNALE,CZ41,4),"")=0,"manca la descrizione dell'operazione",IFERROR(INDEX(LIBRO_GIORNALE,CZ41,4),""))</f>
        <v/>
      </c>
      <c r="DD41" s="259" t="str">
        <f t="shared" ref="DD41:DD55" ca="1" si="167">IFERROR(IF(INDEX(LIBRO_GIORNALE,CZ41,5)&gt;0,INDEX(LIBRO_GIORNALE,CZ41,5),""),"")</f>
        <v/>
      </c>
      <c r="DE41" s="259" t="str">
        <f t="shared" ref="DE41:DE55" ca="1" si="168">IFERROR(IF(INDEX(LIBRO_GIORNALE,CZ41,6)&gt;0,INDEX(LIBRO_GIORNALE,CZ41,6),""),"")</f>
        <v/>
      </c>
      <c r="DF41" s="259">
        <f ca="1">IF(AND(CX41=$DE$2,$DF$2&lt;&gt;0),0,IF(AND(DB41&lt;&gt;"",OR(DB40&lt;&gt;"",DB42&lt;&gt;"")),MAX($DF$2:DF40)+1,0))</f>
        <v>0</v>
      </c>
      <c r="DG41" s="259" t="str">
        <f>IF(OR(VALORI_INIZIALI!E46="",AND(VALORI_INIZIALI!E46&lt;&gt;"",VALORI_INIZIALI!H46=0,VALORI_INIZIALI!I46=0)),"",IFERROR(INDEX(PIANO_DEI_CONTI,MATCH(BB41,DENOMINAZIONE,0),1),0))</f>
        <v/>
      </c>
      <c r="DH41" s="259">
        <f ca="1">IFERROR(IF($J$1=1,IF(INDEX(PIANO_DEI_CONTI,MATCH($K41,DENOMINAZIONE,0),5)=$DF$1,MAX($DH$2:DH40)+1,0),IF($J$1=2,IF(INDEX(PIANO_DEI_CONTI,MATCH($K41,DENOMINAZIONE,0),7)=$DF$1,MAX($DH$2:DH40)+1,0))),0)</f>
        <v>0</v>
      </c>
      <c r="DI41" s="259">
        <f ca="1">IFERROR(INDEX($K$3:$K$220,MATCH(ROWS($DI$3:DI41),$DH$3:$DH$220,0),1),0)</f>
        <v>0</v>
      </c>
      <c r="DJ41" s="259">
        <f t="shared" ca="1" si="14"/>
        <v>0</v>
      </c>
      <c r="DK41" s="259">
        <f ca="1">IF(DJ41=0,0,MAX(DK$2:DK40)+1)</f>
        <v>0</v>
      </c>
      <c r="DL41" s="259">
        <f ca="1">IFERROR(INDEX(PIANO_DEI_CONTI,MATCH(ROWS(DL$3:DL41),$DK$3:DK268,0),2),0)</f>
        <v>0</v>
      </c>
      <c r="DM41" s="259">
        <f t="shared" ca="1" si="15"/>
        <v>0</v>
      </c>
      <c r="DN41" s="259">
        <f t="shared" ca="1" si="16"/>
        <v>0</v>
      </c>
      <c r="DO41" s="259">
        <f t="shared" ca="1" si="69"/>
        <v>0</v>
      </c>
      <c r="DP41" s="259">
        <f t="shared" ca="1" si="70"/>
        <v>0</v>
      </c>
      <c r="DQ41" s="259">
        <f ca="1">IF(OR($DQ$1="TOTALI",$DQ$1="TOTALI ED ECCEDENZE"),IF(OR(DM41&gt;0,DN41&gt;0),MAX(DQ$2:DQ40)+1,0),IF($DQ$1="ECCEDENZE",IF(OR(DO41&gt;0,DP41&gt;0),MAX(DQ$2:DQ40)+1,0),""))</f>
        <v>0</v>
      </c>
      <c r="DR41" s="259" t="str">
        <f ca="1">IFERROR(INDEX($DL$3:$DQ$230,MATCH(ROWS(DR$3:DR41),$DQ$3:$DQ$230,0),1),"")</f>
        <v/>
      </c>
      <c r="DS41" s="259" t="str">
        <f t="shared" ca="1" si="71"/>
        <v/>
      </c>
      <c r="DT41" s="259" t="str">
        <f t="shared" ca="1" si="72"/>
        <v/>
      </c>
      <c r="DU41" s="259" t="str">
        <f t="shared" ca="1" si="73"/>
        <v/>
      </c>
      <c r="DV41" s="259" t="str">
        <f t="shared" ca="1" si="74"/>
        <v/>
      </c>
      <c r="DW41" s="259">
        <f t="shared" ca="1" si="75"/>
        <v>0</v>
      </c>
      <c r="DX41" s="259" t="str">
        <f t="shared" ca="1" si="76"/>
        <v/>
      </c>
      <c r="DY41" s="259" t="str">
        <f t="shared" ca="1" si="77"/>
        <v/>
      </c>
      <c r="DZ41" s="259" t="str">
        <f t="shared" ca="1" si="78"/>
        <v/>
      </c>
      <c r="EA41" s="259">
        <f t="shared" ca="1" si="79"/>
        <v>39</v>
      </c>
      <c r="EB41" s="259" t="s">
        <v>353</v>
      </c>
      <c r="ED41" s="259">
        <f t="shared" ca="1" si="17"/>
        <v>0</v>
      </c>
      <c r="EE41" s="259" t="str">
        <f t="shared" ca="1" si="155"/>
        <v/>
      </c>
      <c r="EF41" s="259" t="str">
        <f t="shared" ca="1" si="19"/>
        <v/>
      </c>
      <c r="EG41" s="259" t="str">
        <f t="shared" ca="1" si="136"/>
        <v/>
      </c>
      <c r="EH41" s="259" t="str">
        <f t="shared" ca="1" si="80"/>
        <v/>
      </c>
      <c r="EI41" s="260" t="b">
        <f t="shared" ca="1" si="137"/>
        <v>0</v>
      </c>
      <c r="EJ41" s="260" t="b">
        <f t="shared" ca="1" si="138"/>
        <v>1</v>
      </c>
      <c r="EK41" s="260" t="b">
        <f t="shared" ca="1" si="139"/>
        <v>1</v>
      </c>
      <c r="EL41" s="259">
        <f t="shared" si="81"/>
        <v>39</v>
      </c>
      <c r="EM41" s="259">
        <f ca="1">IF(AND(BA41&gt;0,BA41&lt;=$EM$1),MAX($EM$2:EM40)+1,0)</f>
        <v>0</v>
      </c>
      <c r="EN41" s="259">
        <f t="shared" ca="1" si="82"/>
        <v>41</v>
      </c>
      <c r="EP41" s="259" t="str">
        <f t="shared" ca="1" si="20"/>
        <v/>
      </c>
      <c r="EQ41" s="259">
        <f t="shared" ca="1" si="21"/>
        <v>0</v>
      </c>
      <c r="ER41" s="259">
        <f ca="1">IF(ISNA(EQ41),MAX(ER$2:ER40)+1,0)</f>
        <v>0</v>
      </c>
      <c r="ES41" s="259" t="str">
        <f t="shared" ca="1" si="83"/>
        <v/>
      </c>
      <c r="ET41" s="259" t="str">
        <f ca="1">IFERROR(UPPER(INDEX($ER$3:$ES$500,MATCH(ROWS(ET$3:ET41),$ER$3:$ER$500,0),2)),"")</f>
        <v/>
      </c>
      <c r="EY41" s="259">
        <f t="shared" ca="1" si="84"/>
        <v>0</v>
      </c>
      <c r="EZ41" s="259">
        <f t="shared" ca="1" si="84"/>
        <v>0</v>
      </c>
      <c r="FA41" s="259" t="str">
        <f t="shared" ca="1" si="85"/>
        <v/>
      </c>
      <c r="FB41" s="259">
        <f t="shared" ca="1" si="86"/>
        <v>0</v>
      </c>
      <c r="FC41" s="259">
        <f t="shared" ca="1" si="87"/>
        <v>0</v>
      </c>
      <c r="FD41" s="259">
        <f t="shared" ca="1" si="22"/>
        <v>0</v>
      </c>
      <c r="FE41" s="259" t="str">
        <f t="shared" ca="1" si="23"/>
        <v/>
      </c>
      <c r="FF41" s="259" t="str">
        <f t="shared" ca="1" si="88"/>
        <v/>
      </c>
      <c r="FG41" s="259" t="str">
        <f t="shared" si="89"/>
        <v>CREDITI PER ACCONTI DA CLIENTI</v>
      </c>
      <c r="FH41" s="259">
        <f t="shared" ca="1" si="156"/>
        <v>0</v>
      </c>
      <c r="FI41" s="259">
        <f t="shared" ca="1" si="25"/>
        <v>0</v>
      </c>
      <c r="FJ41" s="259">
        <f t="shared" ca="1" si="90"/>
        <v>0</v>
      </c>
      <c r="FK41" s="259">
        <f t="shared" ca="1" si="91"/>
        <v>0</v>
      </c>
      <c r="FL41" s="259">
        <f ca="1">IF(OR(FJ41&gt;0,FK41&gt;0),MAX($FL$2:FL40)+1,0)</f>
        <v>0</v>
      </c>
      <c r="FM41" s="259">
        <f t="shared" ca="1" si="26"/>
        <v>0</v>
      </c>
      <c r="FN41" s="259">
        <f ca="1">IF(FM41&lt;0,MAX($FN$2:FN40)+1,0)</f>
        <v>0</v>
      </c>
      <c r="FO41" s="259" t="str">
        <f t="shared" ca="1" si="92"/>
        <v/>
      </c>
      <c r="FP41" s="259" t="str">
        <f ca="1">IFERROR(INDEX($FN$3:$FO$400,MATCH(ROWS($FP$3:FP41),$FN$3:$FN$400,0),2),"")</f>
        <v/>
      </c>
      <c r="FQ41" s="259" t="str">
        <f>IF(AE41="SE AVERE",MAX($FQ$2:FQ40)+1,"")</f>
        <v/>
      </c>
      <c r="FR41" s="259" t="str">
        <f>IF(AE41="SE DARE",MAX($FR$2:FR40)+1,"")</f>
        <v/>
      </c>
      <c r="FS41" s="259">
        <f ca="1">IF(AND(AE41="SP DARE",AA41&lt;&gt;$FS$1,AA41&lt;&gt;$FT$1),MAX($FS$2:FS40)+1,IF(AND(GQ41="SP DARE",AA41&lt;&gt;$FS$1,AA41&lt;&gt;$FT$1),MAX($FS$2:FS40)+1,""))</f>
        <v>117</v>
      </c>
      <c r="FT41" s="259" t="str">
        <f ca="1">IF(AND(AE41="SP AVERE",AA41&lt;&gt;$FU$1),MAX($FT$2:FT40)+1,IF(AND(GQ41="SP AVERE",AA41&lt;&gt;$FU$1),MAX($FT$2:FT40)+1,""))</f>
        <v/>
      </c>
      <c r="FU41" s="259">
        <f t="shared" ca="1" si="93"/>
        <v>117</v>
      </c>
      <c r="FV41" s="259" t="str">
        <f t="shared" si="94"/>
        <v>CREDITI PER ACCONTI DA CLIENTI</v>
      </c>
      <c r="FW41" s="259" t="str">
        <f ca="1">IFERROR(INDEX($FU$3:$FV$500,MATCH(ROWS($FW$3:FW41),$FU$3:$FU$500,0),2),0)</f>
        <v>PROVVIGIONI PASSIVE</v>
      </c>
      <c r="FX41" s="259">
        <f t="shared" ca="1" si="95"/>
        <v>39</v>
      </c>
      <c r="FY41" s="259">
        <f t="shared" ca="1" si="96"/>
        <v>0</v>
      </c>
      <c r="FZ41" s="259">
        <f ca="1">IF(FY41&gt;0,MAX($FZ$2:FZ40)+1,0)</f>
        <v>0</v>
      </c>
      <c r="GA41" s="259">
        <f ca="1">IFERROR(INDEX($FY$3:$FZ$500,MATCH(ROWS($GA$3:GA41),$FZ$3:$FZ$500,0),1),0)</f>
        <v>0</v>
      </c>
      <c r="GC41" s="259">
        <f t="shared" ca="1" si="97"/>
        <v>39</v>
      </c>
      <c r="GD41" s="259" t="str">
        <f t="shared" ca="1" si="98"/>
        <v>PROVVIGIONI PASSIVE</v>
      </c>
      <c r="GG41" s="259">
        <f t="shared" ca="1" si="27"/>
        <v>0</v>
      </c>
      <c r="GH41" s="259">
        <f t="shared" ca="1" si="99"/>
        <v>0</v>
      </c>
      <c r="GI41" s="259">
        <f t="shared" ca="1" si="100"/>
        <v>0</v>
      </c>
      <c r="GJ41" s="259">
        <f t="shared" ca="1" si="101"/>
        <v>0</v>
      </c>
      <c r="GK41" s="259">
        <f t="shared" ca="1" si="102"/>
        <v>0</v>
      </c>
      <c r="GL41" s="259">
        <f t="shared" ca="1" si="103"/>
        <v>0</v>
      </c>
      <c r="GM41" s="259">
        <f ca="1">IF(OR(GK41&gt;0,GL41&gt;0),MAX($GM$2:GM40)+1,0)</f>
        <v>0</v>
      </c>
      <c r="GN41" s="259" t="str">
        <f ca="1">IFERROR(INDEX($GD$3:$GM$400,MATCH(ROWS($GN$3:GN41),$GM$3:$GM$400,0),1),"")</f>
        <v/>
      </c>
      <c r="GO41" s="259" t="str">
        <f ca="1">IFERROR(INDEX($GD$3:$GM$400,MATCH(ROWS($GO$3:GO41),$GM$3:$GM$400,0),8),"")</f>
        <v/>
      </c>
      <c r="GP41" s="259" t="str">
        <f ca="1">IFERROR(INDEX($GD$3:$GM$400,MATCH(ROWS($GP$3:GP41),$GM$3:$GM$400,0),9),"")</f>
        <v/>
      </c>
      <c r="GQ41" s="259">
        <f t="shared" ca="1" si="28"/>
        <v>0</v>
      </c>
      <c r="GR41" s="259">
        <f t="shared" ca="1" si="104"/>
        <v>0</v>
      </c>
      <c r="GS41" s="259" t="str">
        <f t="shared" si="105"/>
        <v>epilogo a Conto economico</v>
      </c>
      <c r="GT41" s="259" t="str">
        <f ca="1">IFERROR(INDEX($GD$3:$GS$400,MATCH(ROWS($GT$3:GT41),$GM$3:$GM$400,0),16),"")</f>
        <v/>
      </c>
      <c r="GU41" s="259">
        <f ca="1">IF(GQ41&lt;&gt;0,MAX($GU$2:$GU40)+1,0)</f>
        <v>0</v>
      </c>
      <c r="GV41" s="259">
        <f t="shared" ca="1" si="106"/>
        <v>0</v>
      </c>
      <c r="GW41" s="259" t="str">
        <f ca="1">IF(AND(IFERROR(INDEX($GU$3:$GV$400,MATCH(ROWS($GW$3:GW41),$GU$3:$GU$400,0),2),"")&lt;&gt;"",GW42&lt;&gt;""),CONCATENATE(IFERROR(INDEX($GU$3:$GV$400,MATCH(ROWS($GW$3:GW41),$GU$3:$GU$400,0),2),"")," - "),IFERROR(INDEX($GU$3:$GV$400,MATCH(ROWS($GW$3:GW41),$GU$3:$GU$400,0),2),""))</f>
        <v/>
      </c>
      <c r="GX41" s="259">
        <f ca="1">IF(OR(GN41="IVA NS/CREDITO",GN41="IVA NS/DEBITO",GN41="IVA C/ACCONTO",GN41="IMPOSTE C/ACCONTO"),MAX($GX$2:GX40)+1,0)</f>
        <v>0</v>
      </c>
      <c r="GY41" s="259" t="str">
        <f ca="1">IF(AND(IFERROR(INDEX($GN$3:$GX$200,MATCH(ROWS($GY$3:GY41),$GX$3:$GX$200,0),1),"")&lt;&gt;"",GY42&lt;&gt;""),CONCATENATE(IFERROR(INDEX($GN$3:$GX$200,MATCH(ROWS($GY$3:GY41),$GX$3:$GX$200,0),1),"")," - "),IFERROR(INDEX($GN$3:$GX$200,MATCH(ROWS($GY$3:GY41),$GX$3:$GX$200,0),1),""))</f>
        <v/>
      </c>
      <c r="GZ41" s="259" t="s">
        <v>62</v>
      </c>
      <c r="HA41" s="259" t="s">
        <v>509</v>
      </c>
      <c r="HB41" s="269" t="s">
        <v>257</v>
      </c>
      <c r="HC41" s="269" t="s">
        <v>276</v>
      </c>
      <c r="HD41" s="269" t="s">
        <v>6</v>
      </c>
      <c r="HE41" s="269" t="s">
        <v>206</v>
      </c>
      <c r="HL41" s="259" t="str">
        <f t="shared" ca="1" si="157"/>
        <v/>
      </c>
      <c r="HM41" s="259" t="str">
        <f t="shared" ca="1" si="158"/>
        <v/>
      </c>
      <c r="HN41" s="259" t="str">
        <f t="shared" ca="1" si="159"/>
        <v/>
      </c>
      <c r="HO41" s="259">
        <f ca="1">IF(HL41&lt;&gt;"",MAX($HO$2:HO40)+1,0)</f>
        <v>0</v>
      </c>
      <c r="HP41" s="259">
        <f ca="1">IF(HM41&lt;&gt;"",MAX($HP$2:HP40)+1,0)</f>
        <v>0</v>
      </c>
      <c r="HQ41" s="259">
        <f ca="1">IF(HN41&lt;&gt;"",MAX($HQ$2:HQ40)+1,0)</f>
        <v>0</v>
      </c>
      <c r="HR41" s="259" t="str">
        <f t="shared" ca="1" si="107"/>
        <v/>
      </c>
      <c r="HS41" s="259" t="str">
        <f t="shared" ca="1" si="108"/>
        <v/>
      </c>
      <c r="HT41" s="259">
        <f t="shared" ca="1" si="109"/>
        <v>0</v>
      </c>
      <c r="HU41" s="259">
        <f t="shared" ca="1" si="110"/>
        <v>0</v>
      </c>
      <c r="HV41" s="259" t="str">
        <f ca="1">CONCATENATE(IFERROR(INDEX($HS$3:$HT$102,MATCH(ROWS($HV$3:HV41),$HT$3:$HT$102,0),1),""),HR41)</f>
        <v/>
      </c>
      <c r="IA41" s="259" t="s">
        <v>365</v>
      </c>
      <c r="IB41" s="259" t="s">
        <v>695</v>
      </c>
      <c r="IC41" s="259">
        <f ca="1">IFERROR(INDEX(PIANO_DEI_CONTI,MATCH(ROWS(DL$3:DL41),$DK$3:DK268,0),2),0)</f>
        <v>0</v>
      </c>
      <c r="ID41" s="259">
        <f t="shared" ca="1" si="111"/>
        <v>0</v>
      </c>
      <c r="IE41" s="259">
        <f t="shared" ca="1" si="112"/>
        <v>0</v>
      </c>
      <c r="IF41" s="259">
        <f t="shared" ca="1" si="113"/>
        <v>0</v>
      </c>
      <c r="IG41" s="259">
        <f ca="1">IF(SUMIFS($ID$3:$ID$200,$IF$3:$IF$200,IA41)&lt;=SUMIFS($IE$3:$IE$200,$IF$3:$IF$200,IA41),SUMIFS($IE$3:$IE$200,$IF$3:$IF$200,IA41)-SUMIFS($ID$3:$ID$200,$IF$3:$IF$200,IA41),0)</f>
        <v>0</v>
      </c>
      <c r="IH41" s="259">
        <f ca="1">IF(IG41&lt;&gt;0,MAX($IH$35:IH40)+1,0)</f>
        <v>0</v>
      </c>
      <c r="II41" s="259">
        <f>IF(AD41="costi pluriennali",MAX($II$2:II40)+1,0)</f>
        <v>0</v>
      </c>
      <c r="IJ41" s="259">
        <f>IF($AD41="rettifiche costi pluriennali",MAX($IJ$2:IJ40)+1,0)</f>
        <v>0</v>
      </c>
      <c r="IK41" s="259">
        <f t="shared" si="114"/>
        <v>0</v>
      </c>
      <c r="IL41" s="259" t="str">
        <f t="shared" si="115"/>
        <v/>
      </c>
      <c r="IM41" s="259">
        <f t="shared" ca="1" si="116"/>
        <v>0</v>
      </c>
      <c r="IN41" s="259">
        <f t="shared" ca="1" si="141"/>
        <v>0</v>
      </c>
      <c r="IO41" s="259">
        <f>SUMIFS($IM$3:$IM$200,$IK$3:$IK$200,ROWS($IO$3:IO41))-SUMIFS($IN$3:$IN$200,$IK$3:$IK$200,ROWS($IO$3:IO41))</f>
        <v>0</v>
      </c>
      <c r="IP41" s="259" t="str">
        <f>IF(IO41&lt;0,INDEX($IJ$3:$IL$200,MATCH(ROWS($IP$3:IP41),$IJ$3:$IJ$200,0),3),"")</f>
        <v/>
      </c>
      <c r="IQ41" s="259">
        <f>IF(IP41&lt;&gt;"",MAX($IQ$2:IQ40)+1,0)</f>
        <v>0</v>
      </c>
      <c r="IR41" s="259" t="str">
        <f ca="1">IFERROR(INDEX($IP$3:$IQ$200,MATCH(ROWS($IR$3:IR41),$IQ$3:$IQ$200,0),1),"")</f>
        <v/>
      </c>
      <c r="IS41" s="259" t="str">
        <f t="shared" ca="1" si="117"/>
        <v/>
      </c>
      <c r="IT41" s="259" t="str">
        <f t="shared" ca="1" si="118"/>
        <v/>
      </c>
      <c r="IU41" s="259" t="str">
        <f t="shared" ca="1" si="119"/>
        <v/>
      </c>
      <c r="IV41" s="259" t="str">
        <f t="shared" ca="1" si="120"/>
        <v/>
      </c>
      <c r="IW41" s="259" t="str">
        <f t="shared" ca="1" si="121"/>
        <v/>
      </c>
      <c r="IX41" s="259" t="str">
        <f t="shared" ca="1" si="122"/>
        <v/>
      </c>
      <c r="IY41" s="259" t="str">
        <f t="shared" ca="1" si="123"/>
        <v/>
      </c>
      <c r="IZ41" s="259" t="str">
        <f t="shared" ca="1" si="124"/>
        <v/>
      </c>
      <c r="JA41" s="259" t="str">
        <f t="shared" ca="1" si="125"/>
        <v/>
      </c>
      <c r="JB41" s="259">
        <f t="shared" ca="1" si="32"/>
        <v>0</v>
      </c>
      <c r="JC41" s="259">
        <f t="shared" ca="1" si="126"/>
        <v>0</v>
      </c>
      <c r="JE41" s="259">
        <f ca="1">IFERROR(INDEX(LIBRO_GIORNALE!$N$11:$O$408,MATCH(ROWS($JE$2:JE40),LIBRO_GIORNALE!$O$11:$O$408,0),1),0)</f>
        <v>0</v>
      </c>
      <c r="JF41" s="259" t="str">
        <f t="shared" ca="1" si="127"/>
        <v>0</v>
      </c>
      <c r="JG41" s="259">
        <f t="shared" ca="1" si="128"/>
        <v>0</v>
      </c>
      <c r="JH41" s="259">
        <f ca="1">IF(JJ41&gt;0,0,MAX($JH$2:JH40)+1)</f>
        <v>39</v>
      </c>
      <c r="JI41" s="259">
        <f ca="1">IF(JG41&gt;0,MAX($JI$2:JI40)+1,0)</f>
        <v>0</v>
      </c>
      <c r="JJ41" s="259">
        <f ca="1">IFERROR(INDEX($JG$3:$JI$124,MATCH(ROWS($JJ$3:JJ41),$JI$3:$JI$124,0),1),0)</f>
        <v>0</v>
      </c>
      <c r="JK41" s="259">
        <f t="shared" ca="1" si="129"/>
        <v>0</v>
      </c>
      <c r="JL41" s="259">
        <f t="shared" ca="1" si="130"/>
        <v>39</v>
      </c>
    </row>
    <row r="42" spans="1:273">
      <c r="A42" s="259" t="str">
        <f t="shared" si="33"/>
        <v>05.08</v>
      </c>
      <c r="B42" s="259" t="str">
        <f t="shared" si="34"/>
        <v>CAMBIALI ALL'INCASSO</v>
      </c>
      <c r="C42" s="259" t="str">
        <f t="shared" si="35"/>
        <v>F</v>
      </c>
      <c r="D42" s="259" t="str">
        <f t="shared" si="36"/>
        <v>D</v>
      </c>
      <c r="E42" s="259" t="str">
        <f t="shared" si="37"/>
        <v>CREDITI</v>
      </c>
      <c r="F42" s="259" t="str">
        <f t="shared" si="38"/>
        <v>SP DARE</v>
      </c>
      <c r="G42" s="259">
        <f t="shared" ca="1" si="39"/>
        <v>1</v>
      </c>
      <c r="H42" s="259">
        <f t="shared" ca="1" si="40"/>
        <v>1</v>
      </c>
      <c r="I42" s="259">
        <f t="shared" ca="1" si="41"/>
        <v>1</v>
      </c>
      <c r="K42" s="259" t="str">
        <f ca="1">IFERROR(IF($I$1=1,INDEX($AA$3:$AS$220,MATCH(ROWS($K$3:K42),$AQ$3:$AQ$220,0),1),IF($I$1=2,INDEX($AA$3:$AS$220,MATCH(ROWS($K$3:K42),$AR$3:$AR$220,0),1),IF($I$1=3,INDEX($AA$3:$AS$220,MATCH(ROWS($K$3:K42),$AS$3:$AS$220,0),1),""))),"")</f>
        <v>FONDO SVALUTAZIONE CREDITI</v>
      </c>
      <c r="L42" s="259">
        <f ca="1">IF(AND($L$1="VISUALIZZA TUTTI I CONTI",K42&lt;&gt;""),MAX(L41:L41)+1,IFERROR(IF($J$1=1,IF(INDEX(PIANO_DEI_CONTI,MATCH($K42,DENOMINAZIONE,0),5)=$L$1,MAX($L$2:L41)+1,0),IF($J$1=2,IF(INDEX(PIANO_DEI_CONTI,MATCH($K42,DENOMINAZIONE,0),7)=$L$1,MAX($L$2:L41)+1,0))),0))</f>
        <v>40</v>
      </c>
      <c r="M42" s="259" t="str">
        <f ca="1">IFERROR(INDEX($K$3:$K$220,MATCH(ROWS($M$3:M42),$L$3:$L$220,0),1),"")</f>
        <v>FONDO SVALUTAZIONE CREDITI</v>
      </c>
      <c r="N42" s="259" t="str">
        <f t="shared" si="143"/>
        <v>AMMORTAMENTI IMMOBILIZZAZIONI MATERIALI</v>
      </c>
      <c r="O42" s="259" t="str">
        <f t="shared" ca="1" si="142"/>
        <v>AMMORTAMENTI IMMOBILIZZAZIONI MATERIALI</v>
      </c>
      <c r="P42" s="259">
        <f ca="1">IF(AND(N42=O42,O42&lt;&gt;""),MAX(P$2:P41)+1,0)</f>
        <v>25</v>
      </c>
      <c r="Q42" s="259" t="str">
        <f ca="1">IF(IFERROR(INDEX($O$3:$P$220,MATCH(ROWS(Q$3:Q42),$P$3:$P$220,0),1),"")=0,"",IFERROR(INDEX($O$3:$P$220,MATCH(ROWS(Q$3:Q42),$P$3:$P$220,0),1),""))</f>
        <v/>
      </c>
      <c r="R42" s="259" t="str">
        <f t="shared" si="1"/>
        <v/>
      </c>
      <c r="S42" s="259">
        <f ca="1">IF(IFERROR(MATCH(R42,DENOMINAZIONE_GIORNALE,0),0)&gt;0,MAX(S$2:S41)+1,0)</f>
        <v>0</v>
      </c>
      <c r="T42" s="259" t="str">
        <f ca="1">IFERROR(INDEX($R$3:$S$220,MATCH(ROWS($T$3:T42),$S$3:$S$220,0),1),"")</f>
        <v/>
      </c>
      <c r="U42" s="259">
        <f t="shared" ca="1" si="2"/>
        <v>0</v>
      </c>
      <c r="V42" s="259">
        <f ca="1">IF(IF(U42&lt;&gt;0,MAX($V$2:V41)+1,0)=0,0,IF(U42&lt;&gt;0,MAX($V$2:V41)+1,0))</f>
        <v>0</v>
      </c>
      <c r="W42" s="259" t="str">
        <f t="shared" si="43"/>
        <v>05.08</v>
      </c>
      <c r="X42" s="259" t="str">
        <f t="shared" si="44"/>
        <v>CAMBIALI ALL'INCASSO</v>
      </c>
      <c r="Y42" s="259">
        <f>IF(W42="",0,MAX($Y$2:Y41)+1)</f>
        <v>35</v>
      </c>
      <c r="Z42" s="259" t="str">
        <f>IFERROR(INDEX($W$3:$Y$220,MATCH(ROWS($Z$2:Z41),$Y$3:$Y$220,0),1),"")</f>
        <v>05.20</v>
      </c>
      <c r="AA42" s="259" t="str">
        <f t="shared" si="45"/>
        <v>FONDO SVALUTAZIONE CREDITI</v>
      </c>
      <c r="AB42" s="259" t="str">
        <f t="shared" si="46"/>
        <v>F</v>
      </c>
      <c r="AC42" s="259" t="str">
        <f t="shared" si="47"/>
        <v>A</v>
      </c>
      <c r="AD42" s="259" t="str">
        <f t="shared" si="48"/>
        <v>CREDITI</v>
      </c>
      <c r="AE42" s="259" t="str">
        <f t="shared" si="49"/>
        <v>SP AVERE</v>
      </c>
      <c r="AF42" s="259" t="str">
        <f t="shared" si="50"/>
        <v>CREDITI COMMERCIALI</v>
      </c>
      <c r="AG42" s="259">
        <f t="shared" ca="1" si="51"/>
        <v>0</v>
      </c>
      <c r="AH42" s="259">
        <f t="shared" ca="1" si="52"/>
        <v>0</v>
      </c>
      <c r="AI42" s="259">
        <f t="shared" ca="1" si="53"/>
        <v>1</v>
      </c>
      <c r="AJ42" s="259" t="str">
        <f t="shared" si="54"/>
        <v>05</v>
      </c>
      <c r="AK42" s="259" t="str">
        <f t="shared" si="55"/>
        <v/>
      </c>
      <c r="AL42" s="259">
        <f>IF(AK42&lt;&gt;"",MAX($AL$2:AL41)+1,0)</f>
        <v>0</v>
      </c>
      <c r="AM42" s="259" t="str">
        <f>IFERROR(INDEX($AK$3:$AL$220,MATCH(ROWS($AM$3:AM42),$AL$3:$AL$220,0),1),"")</f>
        <v/>
      </c>
      <c r="AN42" s="259" t="str">
        <f t="shared" si="56"/>
        <v/>
      </c>
      <c r="AO42" s="259" t="str">
        <f t="shared" si="57"/>
        <v/>
      </c>
      <c r="AP42" s="259" t="str">
        <f t="shared" si="58"/>
        <v>CREDITI COMMERCIALI</v>
      </c>
      <c r="AQ42" s="259">
        <f ca="1">IF(OR(AG42=0,AG42=""),0,MAX(AQ$2:AQ41)+1)</f>
        <v>0</v>
      </c>
      <c r="AR42" s="259">
        <f ca="1">IF(OR(AH42=0,AH42=""),0,MAX(AR$2:AR41)+1)</f>
        <v>0</v>
      </c>
      <c r="AS42" s="259">
        <f ca="1">IF(OR(AI42=0,AI42=""),0,MAX(AS$2:AS41)+1)</f>
        <v>40</v>
      </c>
      <c r="AT42" s="259" t="str">
        <f ca="1">IFERROR(INDEX($AD$3:$AS$220,MATCH(ROWS(AT$3:AT42),AQ$3:AQ$220,0),1),"")</f>
        <v>DEBITI</v>
      </c>
      <c r="AU42" s="259" t="str">
        <f ca="1">IFERROR(INDEX($AD$3:$AS$220,MATCH(ROWS(AU$3:AU42),AR$3:AR$220,0),1),"")</f>
        <v>DISPONIBILITÀ LIQUIDE</v>
      </c>
      <c r="AV42" s="259" t="str">
        <f ca="1">IFERROR(INDEX($AD$3:$AS$220,MATCH(ROWS(AV$3:AV42),AS$3:AS$220,0),1),"")</f>
        <v>CREDITI</v>
      </c>
      <c r="AW42" s="259" t="str">
        <f ca="1">IFERROR(INDEX($AP$3:$AS$220,MATCH(ROWS(AW$3:AW42),AQ$3:AQ$220,0),1),"")</f>
        <v>DEBITI DIVERSI</v>
      </c>
      <c r="AX42" s="259" t="str">
        <f ca="1">IFERROR(INDEX($AP$3:$AS$220,MATCH(ROWS(AX$3:AX42),AR$3:AR$220,0),1),"")</f>
        <v>DISPONIBILITÀ LIQUIDE</v>
      </c>
      <c r="AY42" s="259" t="str">
        <f ca="1">IFERROR(INDEX($AP$3:$AS$220,MATCH(ROWS(AY$3:AY42),AS$3:AS$220,0),1),"")</f>
        <v>CREDITI COMMERCIALI</v>
      </c>
      <c r="AZ42" s="276" t="str">
        <f t="shared" ca="1" si="59"/>
        <v/>
      </c>
      <c r="BA42" s="259">
        <f t="shared" ca="1" si="153"/>
        <v>0</v>
      </c>
      <c r="BB42" s="259">
        <f ca="1">IFERROR(INDEX($FG$3:$FL$400,MATCH(ROWS($BB$3:BB42),$FL$3:$FL$400,0),1),0)</f>
        <v>0</v>
      </c>
      <c r="BC42" s="259" t="str">
        <f t="shared" ca="1" si="60"/>
        <v/>
      </c>
      <c r="BD42" s="259">
        <f ca="1">IFERROR(INDEX($FG$3:$FL$400,MATCH(ROWS($BD$3:BD42),$FL$3:$FL$400,0),4),0)</f>
        <v>0</v>
      </c>
      <c r="BE42" s="259">
        <f ca="1">IFERROR(INDEX($FG$3:$FL$400,MATCH(ROWS($BE$3:BE42),$FL$3:$FL$400,0),5),0)</f>
        <v>0</v>
      </c>
      <c r="BG42" s="259" t="str">
        <f t="shared" si="4"/>
        <v>FONDO SVALUTAZIONE CREDITI</v>
      </c>
      <c r="BH42" s="259">
        <f ca="1">IF(IFERROR(MATCH(BG42,DENOMINAZIONE_GIORNALE,0),0)&gt;0,MAX(BH$2:BH41)+1,0)</f>
        <v>0</v>
      </c>
      <c r="BI42" s="259" t="str">
        <f ca="1">IFERROR(INDEX($BG$3:$BH$220,MATCH(ROWS($BI$3:BI42),$BH$3:$BH$220,0),1),"")</f>
        <v/>
      </c>
      <c r="BJ42" s="259" t="str">
        <f t="shared" ca="1" si="5"/>
        <v/>
      </c>
      <c r="BK42" s="259" t="str">
        <f ca="1">IF(IF(BJ42&lt;&gt;"",MAX($BK$2:BK41)+1,0)=0,"",IF(BJ42&lt;&gt;"",MAX($BK$2:BK41)+1,0))</f>
        <v/>
      </c>
      <c r="BL42" s="259" t="str">
        <f ca="1">IFERROR(INDEX($T$3:$U$220, MATCH(ROWS(BL$3:BL42),$V$3:$V$220,0),1),"")</f>
        <v/>
      </c>
      <c r="BM42" s="259" t="str">
        <f ca="1">IFERROR(INDEX($T$3:$U$220, MATCH(ROWS(BM$3:BM42),$V$3:$V$220,0),2),"")</f>
        <v/>
      </c>
      <c r="BN42" s="259" t="str">
        <f ca="1">IF(IFERROR(INDEX($BI$3:$BJ$220,MATCH(ROWS(BN$3:BN42),$BK$3:$BK$220,0),1),"")="PATRIMONIO NETTO","",IFERROR(INDEX($BI$3:$BJ$220,MATCH(ROWS(BN$3:BN42),$BK$3:$BK$220,0),1),""))</f>
        <v/>
      </c>
      <c r="BO42" s="259" t="str">
        <f ca="1">IFERROR(INDEX($BI$3:$BJ$220,MATCH(ROWS(BO$3:BO42),$BK$3:$BK$220,0),2),"")</f>
        <v/>
      </c>
      <c r="BP42" s="259">
        <f ca="1">IF(BN42&lt;&gt;"",MAX(BP$2:$BP41)+1,0)</f>
        <v>0</v>
      </c>
      <c r="BQ42" s="259" t="str">
        <f ca="1">IFERROR(INDEX($BN$3:$BO$200,MATCH(ROWS(BQ$3:BQ42),$BP$3:$BP$220,0),1),"")</f>
        <v/>
      </c>
      <c r="BR42" s="259" t="str">
        <f ca="1">IFERROR(INDEX($BN$3:$BO$220,MATCH(ROWS(BR$3:BR42),$BP$3:$BP$220,0),2),"")</f>
        <v/>
      </c>
      <c r="BS42" s="259" t="str">
        <f ca="1">IFERROR(IF(OR(INDEX($T$3:$U$220,MATCH(ROWS(BL$3:BL42),$V$3:$V$220,0),1)="PRELEVAMENTI EXTRAGESTIONE",INDEX($T$3:$U$220,MATCH(ROWS(BL$3:BL42),$V$3:$V$220,0),1)="TITOLARE C/RITENUTE SUBITE"),"",INDEX($T$3:$U$220,MATCH(ROWS(BL$3:BL42),$V$3:$V$220,0),1)),"")</f>
        <v/>
      </c>
      <c r="BT42" s="259">
        <f t="shared" ca="1" si="61"/>
        <v>0</v>
      </c>
      <c r="BU42" s="259">
        <f ca="1">IF(BS42&lt;&gt;"",MAX(BU$2:BU41)+1,0)</f>
        <v>0</v>
      </c>
      <c r="BV42" s="259" t="str">
        <f ca="1">IFERROR(INDEX($BS$3:$BT$223,MATCH(ROWS(BV$3:BV42),$BU$3:$BU$223,0),1),"")</f>
        <v/>
      </c>
      <c r="BW42" s="259">
        <f t="shared" ca="1" si="62"/>
        <v>0</v>
      </c>
      <c r="BX42" s="259" t="str">
        <f t="shared" ca="1" si="63"/>
        <v/>
      </c>
      <c r="BY42" s="259" t="str">
        <f t="shared" ca="1" si="64"/>
        <v/>
      </c>
      <c r="BZ42" s="259" t="str">
        <f ca="1">IFERROR(IF(OR($DS$231&lt;&gt;$DT$231,$DU$231&lt;&gt;$DV$231,$EO$25&lt;&gt;0,$EO$26&lt;&gt;0),INDEX($T$3:$V$220,MATCH(ROWS($BV$3:BV42),$V$3:$V$220,0),1),CONCATENATE(BV42,BY42)),"")</f>
        <v/>
      </c>
      <c r="CA42" s="259">
        <f t="shared" ca="1" si="65"/>
        <v>0</v>
      </c>
      <c r="CB42" s="259" t="str">
        <f ca="1">IFERROR(IF(OR($BB$1&lt;&gt;$BD$1,$BC$1&lt;&gt;$BE$1,$DS$231&lt;&gt;$DT$231,$DU$231&lt;&gt;$DV$231,$EO$25&lt;&gt;0,$EO$26&lt;&gt;0),INDEX($BI$3:$BK$220,MATCH(ROWS($CB$3:CB42),$BK$3:$BK$220,0),1),CONCATENATE(BQ42,BX42)),"")</f>
        <v/>
      </c>
      <c r="CC42" s="259" t="str">
        <f t="shared" ca="1" si="66"/>
        <v/>
      </c>
      <c r="CD42" s="259" t="str">
        <f t="shared" si="6"/>
        <v/>
      </c>
      <c r="CE42" s="259">
        <f ca="1">IF(IFERROR(MATCH(CD42,DENOMINAZIONE_GIORNALE,0),0)&gt;0,MAX(CE$2:CE41)+1,0)</f>
        <v>0</v>
      </c>
      <c r="CF42" s="259" t="str">
        <f ca="1">IFERROR(INDEX($CD$3:$CE$220,MATCH(ROWS($CF$3:CF42),$CE$3:$CE$220,0),1),"")</f>
        <v/>
      </c>
      <c r="CG42" s="259">
        <f t="shared" ca="1" si="7"/>
        <v>0</v>
      </c>
      <c r="CH42" s="259" t="str">
        <f ca="1">IF(IF(CG42&lt;&gt;0,MAX($CH$2:CH41)+1,0)=0,"",IF(CG42&lt;&gt;"",MAX($CH$2:CH41)+1,0))</f>
        <v/>
      </c>
      <c r="CI42" s="259" t="str">
        <f ca="1">IFERROR(INDEX($CF$3:$CG$220,MATCH(ROWS($CI$3:CI42),$CH$3:$CH$220,0),1),"")</f>
        <v/>
      </c>
      <c r="CJ42" s="259" t="str">
        <f t="shared" ca="1" si="67"/>
        <v/>
      </c>
      <c r="CK42" s="259" t="str">
        <f t="shared" si="8"/>
        <v/>
      </c>
      <c r="CL42" s="259">
        <f ca="1">IF(IFERROR(MATCH(CK42,DENOMINAZIONE_GIORNALE,0),0)&gt;0,MAX(CL$2:CL41)+1,0)</f>
        <v>0</v>
      </c>
      <c r="CM42" s="259" t="str">
        <f ca="1">IFERROR(INDEX($CK$3:$CL$220,MATCH(ROWS($CM$3:CM42),$CL$3:$CL$220,0),1),"")</f>
        <v/>
      </c>
      <c r="CN42" s="259" t="str">
        <f t="shared" ca="1" si="9"/>
        <v/>
      </c>
      <c r="CO42" s="259">
        <f ca="1">IF(IF(CN42&lt;&gt;0,MAX($CO$2:CO41)+1,0)=0,"",IF(CN42&lt;&gt;"",MAX($CO$2:CO41)+1,0))</f>
        <v>0</v>
      </c>
      <c r="CP42" s="259" t="str">
        <f ca="1">IFERROR(INDEX($CM$3:$CN$220,MATCH(ROWS(CP$3:CP42),$CO$3:$CO$220,0),1),"")</f>
        <v/>
      </c>
      <c r="CQ42" s="259" t="str">
        <f ca="1">IFERROR(INDEX($CM$3:$CN$220,MATCH(ROWS(CQ$3:CQ42),$CO$3:$CO$220,0),2),"")</f>
        <v/>
      </c>
      <c r="CR42" s="259" t="str">
        <f t="shared" ca="1" si="154"/>
        <v/>
      </c>
      <c r="CS42" s="259">
        <f t="shared" ca="1" si="11"/>
        <v>0</v>
      </c>
      <c r="CT42" s="259">
        <f t="shared" ca="1" si="12"/>
        <v>0</v>
      </c>
      <c r="CU42" s="259">
        <f ca="1">IF(OR(CS42&gt;0,CT42&gt;0),MAX($CU$2:CU41)+1,0)</f>
        <v>0</v>
      </c>
      <c r="CV42" s="259" t="str">
        <f ca="1">IFERROR(INDEX(PIANO_DEI_CONTI,MATCH(ROWS($CV$3:CV42),$CU$3:$CU$200,0),2),"")</f>
        <v/>
      </c>
      <c r="CW42" s="259">
        <f ca="1">IFERROR(IF(CV42&lt;&gt;"",MAX($CW$2:CW41)+1,0),0)</f>
        <v>0</v>
      </c>
      <c r="CX42" s="259">
        <f t="shared" ca="1" si="162"/>
        <v>3</v>
      </c>
      <c r="CY42" s="259" t="str">
        <f t="shared" ca="1" si="161"/>
        <v>MASTRO</v>
      </c>
      <c r="CZ42" s="259" t="e">
        <f t="shared" ca="1" si="164"/>
        <v>#N/A</v>
      </c>
      <c r="DA42" s="259" t="str">
        <f t="shared" ref="DA42:DA55" ca="1" si="169">IFERROR(INDEX(LIBRO_GIORNALE,CZ42,1),"")</f>
        <v/>
      </c>
      <c r="DB42" s="259" t="str">
        <f t="shared" ca="1" si="165"/>
        <v/>
      </c>
      <c r="DC42" s="259" t="str">
        <f t="shared" ca="1" si="166"/>
        <v/>
      </c>
      <c r="DD42" s="259" t="str">
        <f t="shared" ca="1" si="167"/>
        <v/>
      </c>
      <c r="DE42" s="259" t="str">
        <f t="shared" ca="1" si="168"/>
        <v/>
      </c>
      <c r="DF42" s="259">
        <f ca="1">IF(AND(CX42=$DE$2,$DF$2&lt;&gt;0),0,IF(AND(DB42&lt;&gt;"",OR(DB41&lt;&gt;"",DB43&lt;&gt;"")),MAX($DF$2:DF41)+1,0))</f>
        <v>0</v>
      </c>
      <c r="DG42" s="259" t="str">
        <f>IF(OR(VALORI_INIZIALI!E47="",AND(VALORI_INIZIALI!E47&lt;&gt;"",VALORI_INIZIALI!H47=0,VALORI_INIZIALI!I47=0)),"",IFERROR(INDEX(PIANO_DEI_CONTI,MATCH(BB42,DENOMINAZIONE,0),1),0))</f>
        <v/>
      </c>
      <c r="DH42" s="259">
        <f ca="1">IFERROR(IF($J$1=1,IF(INDEX(PIANO_DEI_CONTI,MATCH($K42,DENOMINAZIONE,0),5)=$DF$1,MAX($DH$2:DH41)+1,0),IF($J$1=2,IF(INDEX(PIANO_DEI_CONTI,MATCH($K42,DENOMINAZIONE,0),7)=$DF$1,MAX($DH$2:DH41)+1,0))),0)</f>
        <v>0</v>
      </c>
      <c r="DI42" s="259">
        <f ca="1">IFERROR(INDEX($K$3:$K$220,MATCH(ROWS($DI$3:DI42),$DH$3:$DH$220,0),1),0)</f>
        <v>0</v>
      </c>
      <c r="DJ42" s="259">
        <f t="shared" ca="1" si="14"/>
        <v>0</v>
      </c>
      <c r="DK42" s="259">
        <f ca="1">IF(DJ42=0,0,MAX(DK$2:DK41)+1)</f>
        <v>0</v>
      </c>
      <c r="DL42" s="259">
        <f ca="1">IFERROR(INDEX(PIANO_DEI_CONTI,MATCH(ROWS(DL$3:DL42),$DK$3:DK269,0),2),0)</f>
        <v>0</v>
      </c>
      <c r="DM42" s="259">
        <f t="shared" ca="1" si="15"/>
        <v>0</v>
      </c>
      <c r="DN42" s="259">
        <f t="shared" ca="1" si="16"/>
        <v>0</v>
      </c>
      <c r="DO42" s="259">
        <f t="shared" ca="1" si="69"/>
        <v>0</v>
      </c>
      <c r="DP42" s="259">
        <f t="shared" ca="1" si="70"/>
        <v>0</v>
      </c>
      <c r="DQ42" s="259">
        <f ca="1">IF(OR($DQ$1="TOTALI",$DQ$1="TOTALI ED ECCEDENZE"),IF(OR(DM42&gt;0,DN42&gt;0),MAX(DQ$2:DQ41)+1,0),IF($DQ$1="ECCEDENZE",IF(OR(DO42&gt;0,DP42&gt;0),MAX(DQ$2:DQ41)+1,0),""))</f>
        <v>0</v>
      </c>
      <c r="DR42" s="259" t="str">
        <f ca="1">IFERROR(INDEX($DL$3:$DQ$230,MATCH(ROWS(DR$3:DR42),$DQ$3:$DQ$230,0),1),"")</f>
        <v/>
      </c>
      <c r="DS42" s="259" t="str">
        <f t="shared" ca="1" si="71"/>
        <v/>
      </c>
      <c r="DT42" s="259" t="str">
        <f t="shared" ca="1" si="72"/>
        <v/>
      </c>
      <c r="DU42" s="259" t="str">
        <f t="shared" ca="1" si="73"/>
        <v/>
      </c>
      <c r="DV42" s="259" t="str">
        <f t="shared" ca="1" si="74"/>
        <v/>
      </c>
      <c r="DW42" s="259">
        <f t="shared" ca="1" si="75"/>
        <v>0</v>
      </c>
      <c r="DX42" s="259" t="str">
        <f t="shared" ca="1" si="76"/>
        <v/>
      </c>
      <c r="DY42" s="259" t="str">
        <f t="shared" ca="1" si="77"/>
        <v/>
      </c>
      <c r="DZ42" s="259" t="str">
        <f t="shared" ca="1" si="78"/>
        <v/>
      </c>
      <c r="EA42" s="259">
        <f t="shared" ca="1" si="79"/>
        <v>40</v>
      </c>
      <c r="EB42" s="259" t="s">
        <v>353</v>
      </c>
      <c r="ED42" s="259">
        <f t="shared" ca="1" si="17"/>
        <v>0</v>
      </c>
      <c r="EE42" s="259" t="str">
        <f t="shared" ca="1" si="155"/>
        <v/>
      </c>
      <c r="EF42" s="259" t="str">
        <f t="shared" ca="1" si="19"/>
        <v/>
      </c>
      <c r="EG42" s="259" t="str">
        <f t="shared" ca="1" si="136"/>
        <v/>
      </c>
      <c r="EH42" s="259" t="str">
        <f t="shared" ca="1" si="80"/>
        <v/>
      </c>
      <c r="EI42" s="260" t="b">
        <f t="shared" ca="1" si="137"/>
        <v>1</v>
      </c>
      <c r="EJ42" s="260" t="b">
        <f t="shared" ca="1" si="138"/>
        <v>1</v>
      </c>
      <c r="EK42" s="260" t="b">
        <f t="shared" ca="1" si="139"/>
        <v>1</v>
      </c>
      <c r="EL42" s="259">
        <f t="shared" si="81"/>
        <v>40</v>
      </c>
      <c r="EM42" s="259">
        <f ca="1">IF(AND(BA42&gt;0,BA42&lt;=$EM$1),MAX($EM$2:EM41)+1,0)</f>
        <v>0</v>
      </c>
      <c r="EN42" s="259">
        <f t="shared" ca="1" si="82"/>
        <v>42</v>
      </c>
      <c r="EP42" s="259" t="str">
        <f t="shared" ca="1" si="20"/>
        <v/>
      </c>
      <c r="EQ42" s="259">
        <f t="shared" ca="1" si="21"/>
        <v>0</v>
      </c>
      <c r="ER42" s="259">
        <f ca="1">IF(ISNA(EQ42),MAX(ER$2:ER41)+1,0)</f>
        <v>0</v>
      </c>
      <c r="ES42" s="259" t="str">
        <f t="shared" ca="1" si="83"/>
        <v/>
      </c>
      <c r="ET42" s="259" t="str">
        <f ca="1">IFERROR(UPPER(INDEX($ER$3:$ES$500,MATCH(ROWS(ET$3:ET42),$ER$3:$ER$500,0),2)),"")</f>
        <v/>
      </c>
      <c r="EY42" s="259">
        <f t="shared" ca="1" si="84"/>
        <v>0</v>
      </c>
      <c r="EZ42" s="259">
        <f t="shared" ca="1" si="84"/>
        <v>0</v>
      </c>
      <c r="FA42" s="259" t="str">
        <f t="shared" ca="1" si="85"/>
        <v/>
      </c>
      <c r="FB42" s="259">
        <f t="shared" ca="1" si="86"/>
        <v>0</v>
      </c>
      <c r="FC42" s="259">
        <f t="shared" ca="1" si="87"/>
        <v>0</v>
      </c>
      <c r="FD42" s="259">
        <f t="shared" ca="1" si="22"/>
        <v>0</v>
      </c>
      <c r="FE42" s="259" t="str">
        <f t="shared" ca="1" si="23"/>
        <v/>
      </c>
      <c r="FF42" s="259" t="str">
        <f t="shared" ca="1" si="88"/>
        <v/>
      </c>
      <c r="FG42" s="259" t="str">
        <f t="shared" si="89"/>
        <v>FONDO SVALUTAZIONE CREDITI</v>
      </c>
      <c r="FH42" s="259">
        <f t="shared" ca="1" si="156"/>
        <v>0</v>
      </c>
      <c r="FI42" s="259">
        <f t="shared" ca="1" si="25"/>
        <v>0</v>
      </c>
      <c r="FJ42" s="259">
        <f t="shared" ca="1" si="90"/>
        <v>0</v>
      </c>
      <c r="FK42" s="259">
        <f t="shared" ca="1" si="91"/>
        <v>0</v>
      </c>
      <c r="FL42" s="259">
        <f ca="1">IF(OR(FJ42&gt;0,FK42&gt;0),MAX($FL$2:FL41)+1,0)</f>
        <v>0</v>
      </c>
      <c r="FM42" s="259">
        <f t="shared" ca="1" si="26"/>
        <v>0</v>
      </c>
      <c r="FN42" s="259">
        <f ca="1">IF(FM42&lt;0,MAX($FN$2:FN41)+1,0)</f>
        <v>0</v>
      </c>
      <c r="FO42" s="259" t="str">
        <f t="shared" ca="1" si="92"/>
        <v/>
      </c>
      <c r="FP42" s="259" t="str">
        <f ca="1">IFERROR(INDEX($FN$3:$FO$400,MATCH(ROWS($FP$3:FP42),$FN$3:$FN$400,0),2),"")</f>
        <v/>
      </c>
      <c r="FQ42" s="259" t="str">
        <f>IF(AE42="SE AVERE",MAX($FQ$2:FQ41)+1,"")</f>
        <v/>
      </c>
      <c r="FR42" s="259" t="str">
        <f>IF(AE42="SE DARE",MAX($FR$2:FR41)+1,"")</f>
        <v/>
      </c>
      <c r="FS42" s="259" t="str">
        <f ca="1">IF(AND(AE42="SP DARE",AA42&lt;&gt;$FS$1,AA42&lt;&gt;$FT$1),MAX($FS$2:FS41)+1,IF(AND(GQ42="SP DARE",AA42&lt;&gt;$FS$1,AA42&lt;&gt;$FT$1),MAX($FS$2:FS41)+1,""))</f>
        <v/>
      </c>
      <c r="FT42" s="259">
        <f ca="1">IF(AND(AE42="SP AVERE",AA42&lt;&gt;$FU$1),MAX($FT$2:FT41)+1,IF(AND(GQ42="SP AVERE",AA42&lt;&gt;$FU$1),MAX($FT$2:FT41)+1,""))</f>
        <v>143</v>
      </c>
      <c r="FU42" s="259">
        <f t="shared" ca="1" si="93"/>
        <v>143</v>
      </c>
      <c r="FV42" s="259" t="str">
        <f t="shared" si="94"/>
        <v>FONDO SVALUTAZIONE CREDITI</v>
      </c>
      <c r="FW42" s="259" t="str">
        <f ca="1">IFERROR(INDEX($FU$3:$FV$500,MATCH(ROWS($FW$3:FW42),$FU$3:$FU$500,0),2),0)</f>
        <v>COSTI DI INCASSO</v>
      </c>
      <c r="FX42" s="259">
        <f t="shared" ca="1" si="95"/>
        <v>40</v>
      </c>
      <c r="FY42" s="259">
        <f t="shared" ca="1" si="96"/>
        <v>0</v>
      </c>
      <c r="FZ42" s="259">
        <f ca="1">IF(FY42&gt;0,MAX($FZ$2:FZ41)+1,0)</f>
        <v>0</v>
      </c>
      <c r="GA42" s="259">
        <f ca="1">IFERROR(INDEX($FY$3:$FZ$500,MATCH(ROWS($GA$3:GA42),$FZ$3:$FZ$500,0),1),0)</f>
        <v>0</v>
      </c>
      <c r="GC42" s="259">
        <f t="shared" ca="1" si="97"/>
        <v>40</v>
      </c>
      <c r="GD42" s="259" t="str">
        <f t="shared" ca="1" si="98"/>
        <v>COSTI DI INCASSO</v>
      </c>
      <c r="GG42" s="259">
        <f t="shared" ca="1" si="27"/>
        <v>0</v>
      </c>
      <c r="GH42" s="259">
        <f t="shared" ca="1" si="99"/>
        <v>0</v>
      </c>
      <c r="GI42" s="259">
        <f t="shared" ca="1" si="100"/>
        <v>0</v>
      </c>
      <c r="GJ42" s="259">
        <f t="shared" ca="1" si="101"/>
        <v>0</v>
      </c>
      <c r="GK42" s="259">
        <f t="shared" ca="1" si="102"/>
        <v>0</v>
      </c>
      <c r="GL42" s="259">
        <f t="shared" ca="1" si="103"/>
        <v>0</v>
      </c>
      <c r="GM42" s="259">
        <f ca="1">IF(OR(GK42&gt;0,GL42&gt;0),MAX($GM$2:GM41)+1,0)</f>
        <v>0</v>
      </c>
      <c r="GN42" s="259" t="str">
        <f ca="1">IFERROR(INDEX($GD$3:$GM$400,MATCH(ROWS($GN$3:GN42),$GM$3:$GM$400,0),1),"")</f>
        <v/>
      </c>
      <c r="GO42" s="259" t="str">
        <f ca="1">IFERROR(INDEX($GD$3:$GM$400,MATCH(ROWS($GO$3:GO42),$GM$3:$GM$400,0),8),"")</f>
        <v/>
      </c>
      <c r="GP42" s="259" t="str">
        <f ca="1">IFERROR(INDEX($GD$3:$GM$400,MATCH(ROWS($GP$3:GP42),$GM$3:$GM$400,0),9),"")</f>
        <v/>
      </c>
      <c r="GQ42" s="259">
        <f t="shared" ca="1" si="28"/>
        <v>0</v>
      </c>
      <c r="GR42" s="259">
        <f t="shared" ca="1" si="104"/>
        <v>0</v>
      </c>
      <c r="GS42" s="259" t="str">
        <f t="shared" si="105"/>
        <v>epilogo a Conto economico</v>
      </c>
      <c r="GT42" s="259" t="str">
        <f ca="1">IFERROR(INDEX($GD$3:$GS$400,MATCH(ROWS($GT$3:GT42),$GM$3:$GM$400,0),16),"")</f>
        <v/>
      </c>
      <c r="GU42" s="259">
        <f ca="1">IF(GQ42&lt;&gt;0,MAX($GU$2:$GU41)+1,0)</f>
        <v>0</v>
      </c>
      <c r="GV42" s="259">
        <f t="shared" ca="1" si="106"/>
        <v>0</v>
      </c>
      <c r="GW42" s="259" t="str">
        <f ca="1">IF(AND(IFERROR(INDEX($GU$3:$GV$400,MATCH(ROWS($GW$3:GW42),$GU$3:$GU$400,0),2),"")&lt;&gt;"",GW43&lt;&gt;""),CONCATENATE(IFERROR(INDEX($GU$3:$GV$400,MATCH(ROWS($GW$3:GW42),$GU$3:$GU$400,0),2),"")," - "),IFERROR(INDEX($GU$3:$GV$400,MATCH(ROWS($GW$3:GW42),$GU$3:$GU$400,0),2),""))</f>
        <v/>
      </c>
      <c r="GX42" s="259">
        <f ca="1">IF(OR(GN42="IVA NS/CREDITO",GN42="IVA NS/DEBITO",GN42="IVA C/ACCONTO",GN42="IMPOSTE C/ACCONTO"),MAX($GX$2:GX41)+1,0)</f>
        <v>0</v>
      </c>
      <c r="GY42" s="259" t="str">
        <f ca="1">IF(AND(IFERROR(INDEX($GN$3:$GX$200,MATCH(ROWS($GY$3:GY42),$GX$3:$GX$200,0),1),"")&lt;&gt;"",GY43&lt;&gt;""),CONCATENATE(IFERROR(INDEX($GN$3:$GX$200,MATCH(ROWS($GY$3:GY42),$GX$3:$GX$200,0),1),"")," - "),IFERROR(INDEX($GN$3:$GX$200,MATCH(ROWS($GY$3:GY42),$GX$3:$GX$200,0),1),""))</f>
        <v/>
      </c>
      <c r="GZ42" s="259" t="s">
        <v>629</v>
      </c>
      <c r="HA42" s="259" t="s">
        <v>53</v>
      </c>
      <c r="HB42" s="269" t="s">
        <v>257</v>
      </c>
      <c r="HC42" s="269" t="s">
        <v>276</v>
      </c>
      <c r="HD42" s="269" t="s">
        <v>6</v>
      </c>
      <c r="HE42" s="269" t="s">
        <v>206</v>
      </c>
      <c r="HL42" s="259" t="str">
        <f t="shared" ca="1" si="157"/>
        <v/>
      </c>
      <c r="HM42" s="259" t="str">
        <f t="shared" ca="1" si="158"/>
        <v/>
      </c>
      <c r="HN42" s="259" t="str">
        <f t="shared" ca="1" si="159"/>
        <v/>
      </c>
      <c r="HO42" s="259">
        <f ca="1">IF(HL42&lt;&gt;"",MAX($HO$2:HO41)+1,0)</f>
        <v>0</v>
      </c>
      <c r="HP42" s="259">
        <f ca="1">IF(HM42&lt;&gt;"",MAX($HP$2:HP41)+1,0)</f>
        <v>0</v>
      </c>
      <c r="HQ42" s="259">
        <f ca="1">IF(HN42&lt;&gt;"",MAX($HQ$2:HQ41)+1,0)</f>
        <v>0</v>
      </c>
      <c r="HR42" s="259" t="str">
        <f t="shared" ca="1" si="107"/>
        <v/>
      </c>
      <c r="HS42" s="259" t="str">
        <f t="shared" ca="1" si="108"/>
        <v/>
      </c>
      <c r="HT42" s="259">
        <f t="shared" ca="1" si="109"/>
        <v>0</v>
      </c>
      <c r="HU42" s="259">
        <f t="shared" ca="1" si="110"/>
        <v>0</v>
      </c>
      <c r="HV42" s="259" t="str">
        <f ca="1">CONCATENATE(IFERROR(INDEX($HS$3:$HT$102,MATCH(ROWS($HV$3:HV42),$HT$3:$HT$102,0),1),""),HR42)</f>
        <v/>
      </c>
      <c r="IA42" s="259" t="s">
        <v>366</v>
      </c>
      <c r="IB42" s="259" t="s">
        <v>303</v>
      </c>
      <c r="IC42" s="259">
        <f ca="1">IFERROR(INDEX(PIANO_DEI_CONTI,MATCH(ROWS(DL$3:DL42),$DK$3:DK269,0),2),0)</f>
        <v>0</v>
      </c>
      <c r="ID42" s="259">
        <f t="shared" ca="1" si="111"/>
        <v>0</v>
      </c>
      <c r="IE42" s="259">
        <f t="shared" ca="1" si="112"/>
        <v>0</v>
      </c>
      <c r="IF42" s="259">
        <f t="shared" ca="1" si="113"/>
        <v>0</v>
      </c>
      <c r="IG42" s="259">
        <f ca="1">ROUND(SUMIFS($IE$3:$IE$200,$IF$3:$IF$200,IA42),0)</f>
        <v>0</v>
      </c>
      <c r="IH42" s="259">
        <f ca="1">IF(IG42&lt;&gt;0,MAX($IH$35:IH41)+1,0)</f>
        <v>0</v>
      </c>
      <c r="II42" s="259">
        <f>IF(AD42="costi pluriennali",MAX($II$2:II41)+1,0)</f>
        <v>0</v>
      </c>
      <c r="IJ42" s="259">
        <f>IF($AD42="rettifiche costi pluriennali",MAX($IJ$2:IJ41)+1,0)</f>
        <v>0</v>
      </c>
      <c r="IK42" s="259">
        <f t="shared" si="114"/>
        <v>0</v>
      </c>
      <c r="IL42" s="259" t="str">
        <f t="shared" si="115"/>
        <v/>
      </c>
      <c r="IM42" s="259">
        <f t="shared" ca="1" si="116"/>
        <v>0</v>
      </c>
      <c r="IN42" s="259">
        <f t="shared" ca="1" si="141"/>
        <v>0</v>
      </c>
      <c r="IO42" s="259">
        <f>SUMIFS($IM$3:$IM$200,$IK$3:$IK$200,ROWS($IO$3:IO42))-SUMIFS($IN$3:$IN$200,$IK$3:$IK$200,ROWS($IO$3:IO42))</f>
        <v>0</v>
      </c>
      <c r="IP42" s="259" t="str">
        <f>IF(IO42&lt;0,INDEX($IJ$3:$IL$200,MATCH(ROWS($IP$3:IP42),$IJ$3:$IJ$200,0),3),"")</f>
        <v/>
      </c>
      <c r="IQ42" s="259">
        <f>IF(IP42&lt;&gt;"",MAX($IQ$2:IQ41)+1,0)</f>
        <v>0</v>
      </c>
      <c r="IR42" s="259" t="str">
        <f ca="1">IFERROR(INDEX($IP$3:$IQ$200,MATCH(ROWS($IR$3:IR42),$IQ$3:$IQ$200,0),1),"")</f>
        <v/>
      </c>
      <c r="IS42" s="259" t="str">
        <f t="shared" ca="1" si="117"/>
        <v/>
      </c>
      <c r="IT42" s="259" t="str">
        <f t="shared" ca="1" si="118"/>
        <v/>
      </c>
      <c r="IU42" s="259" t="str">
        <f t="shared" ca="1" si="119"/>
        <v/>
      </c>
      <c r="IV42" s="259" t="str">
        <f t="shared" ca="1" si="120"/>
        <v/>
      </c>
      <c r="IW42" s="259" t="str">
        <f t="shared" ca="1" si="121"/>
        <v/>
      </c>
      <c r="IX42" s="259" t="str">
        <f t="shared" ca="1" si="122"/>
        <v/>
      </c>
      <c r="IY42" s="259" t="str">
        <f t="shared" ca="1" si="123"/>
        <v/>
      </c>
      <c r="IZ42" s="259" t="str">
        <f t="shared" ca="1" si="124"/>
        <v/>
      </c>
      <c r="JA42" s="259" t="str">
        <f t="shared" ca="1" si="125"/>
        <v/>
      </c>
      <c r="JB42" s="259">
        <f t="shared" ca="1" si="32"/>
        <v>0</v>
      </c>
      <c r="JC42" s="259">
        <f t="shared" ca="1" si="126"/>
        <v>0</v>
      </c>
      <c r="JE42" s="259">
        <f ca="1">IFERROR(INDEX(LIBRO_GIORNALE!$N$11:$O$408,MATCH(ROWS($JE$2:JE41),LIBRO_GIORNALE!$O$11:$O$408,0),1),0)</f>
        <v>0</v>
      </c>
      <c r="JF42" s="259" t="str">
        <f t="shared" ca="1" si="127"/>
        <v>0</v>
      </c>
      <c r="JG42" s="259">
        <f t="shared" ca="1" si="128"/>
        <v>0</v>
      </c>
      <c r="JH42" s="259">
        <f ca="1">IF(JJ42&gt;0,0,MAX($JH$2:JH41)+1)</f>
        <v>40</v>
      </c>
      <c r="JI42" s="259">
        <f ca="1">IF(JG42&gt;0,MAX($JI$2:JI41)+1,0)</f>
        <v>0</v>
      </c>
      <c r="JJ42" s="259">
        <f ca="1">IFERROR(INDEX($JG$3:$JI$124,MATCH(ROWS($JJ$3:JJ42),$JI$3:$JI$124,0),1),0)</f>
        <v>0</v>
      </c>
      <c r="JK42" s="259">
        <f t="shared" ca="1" si="129"/>
        <v>0</v>
      </c>
      <c r="JL42" s="259">
        <f t="shared" ca="1" si="130"/>
        <v>40</v>
      </c>
    </row>
    <row r="43" spans="1:273">
      <c r="A43" s="259" t="str">
        <f t="shared" si="33"/>
        <v>05.09</v>
      </c>
      <c r="B43" s="259" t="str">
        <f t="shared" si="34"/>
        <v>CREDITI DA LIQUIDARE</v>
      </c>
      <c r="C43" s="259" t="str">
        <f t="shared" si="35"/>
        <v>F</v>
      </c>
      <c r="D43" s="259" t="str">
        <f t="shared" si="36"/>
        <v>D</v>
      </c>
      <c r="E43" s="259" t="str">
        <f t="shared" si="37"/>
        <v>CREDITI</v>
      </c>
      <c r="F43" s="259" t="str">
        <f t="shared" si="38"/>
        <v>SP DARE</v>
      </c>
      <c r="G43" s="259">
        <f t="shared" ca="1" si="39"/>
        <v>0</v>
      </c>
      <c r="H43" s="259">
        <f t="shared" ca="1" si="40"/>
        <v>0</v>
      </c>
      <c r="I43" s="259">
        <f t="shared" ca="1" si="41"/>
        <v>1</v>
      </c>
      <c r="K43" s="259" t="str">
        <f ca="1">IFERROR(IF($I$1=1,INDEX($AA$3:$AS$220,MATCH(ROWS($K$3:K43),$AQ$3:$AQ$220,0),1),IF($I$1=2,INDEX($AA$3:$AS$220,MATCH(ROWS($K$3:K43),$AR$3:$AR$220,0),1),IF($I$1=3,INDEX($AA$3:$AS$220,MATCH(ROWS($K$3:K43),$AS$3:$AS$220,0),1),""))),"")</f>
        <v>IVA NS/CREDITO</v>
      </c>
      <c r="L43" s="259">
        <f ca="1">IF(AND($L$1="VISUALIZZA TUTTI I CONTI",K43&lt;&gt;""),MAX(L42:L42)+1,IFERROR(IF($J$1=1,IF(INDEX(PIANO_DEI_CONTI,MATCH($K43,DENOMINAZIONE,0),5)=$L$1,MAX($L$2:L42)+1,0),IF($J$1=2,IF(INDEX(PIANO_DEI_CONTI,MATCH($K43,DENOMINAZIONE,0),7)=$L$1,MAX($L$2:L42)+1,0))),0))</f>
        <v>41</v>
      </c>
      <c r="M43" s="259" t="str">
        <f ca="1">IFERROR(INDEX($K$3:$K$220,MATCH(ROWS($M$3:M43),$L$3:$L$220,0),1),"")</f>
        <v>IVA NS/CREDITO</v>
      </c>
      <c r="N43" s="259" t="str">
        <f t="shared" si="143"/>
        <v>SVALUTAZIONI</v>
      </c>
      <c r="O43" s="259" t="str">
        <f t="shared" ca="1" si="142"/>
        <v>SVALUTAZIONI</v>
      </c>
      <c r="P43" s="259">
        <f ca="1">IF(AND(N43=O43,O43&lt;&gt;""),MAX(P$2:P42)+1,0)</f>
        <v>26</v>
      </c>
      <c r="Q43" s="259" t="str">
        <f ca="1">IF(IFERROR(INDEX($O$3:$P$220,MATCH(ROWS(Q$3:Q43),$P$3:$P$220,0),1),"")=0,"",IFERROR(INDEX($O$3:$P$220,MATCH(ROWS(Q$3:Q43),$P$3:$P$220,0),1),""))</f>
        <v/>
      </c>
      <c r="R43" s="259" t="str">
        <f t="shared" si="1"/>
        <v>IVA NS/CREDITO</v>
      </c>
      <c r="S43" s="259">
        <f ca="1">IF(IFERROR(MATCH(R43,DENOMINAZIONE_GIORNALE,0),0)&gt;0,MAX(S$2:S42)+1,0)</f>
        <v>0</v>
      </c>
      <c r="T43" s="259" t="str">
        <f ca="1">IFERROR(INDEX($R$3:$S$220,MATCH(ROWS($T$3:T43),$S$3:$S$220,0),1),"")</f>
        <v/>
      </c>
      <c r="U43" s="259">
        <f t="shared" ca="1" si="2"/>
        <v>0</v>
      </c>
      <c r="V43" s="259">
        <f ca="1">IF(IF(U43&lt;&gt;0,MAX($V$2:V42)+1,0)=0,0,IF(U43&lt;&gt;0,MAX($V$2:V42)+1,0))</f>
        <v>0</v>
      </c>
      <c r="W43" s="259" t="str">
        <f t="shared" si="43"/>
        <v>05.09</v>
      </c>
      <c r="X43" s="259" t="str">
        <f t="shared" si="44"/>
        <v>CREDITI DA LIQUIDARE</v>
      </c>
      <c r="Y43" s="259">
        <f>IF(W43="",0,MAX($Y$2:Y42)+1)</f>
        <v>36</v>
      </c>
      <c r="Z43" s="259" t="str">
        <f>IFERROR(INDEX($W$3:$Y$220,MATCH(ROWS($Z$2:Z42),$Y$3:$Y$220,0),1),"")</f>
        <v>06.01</v>
      </c>
      <c r="AA43" s="259" t="str">
        <f t="shared" si="45"/>
        <v>IVA NS/CREDITO</v>
      </c>
      <c r="AB43" s="259" t="str">
        <f t="shared" si="46"/>
        <v>F</v>
      </c>
      <c r="AC43" s="259" t="str">
        <f t="shared" si="47"/>
        <v>D</v>
      </c>
      <c r="AD43" s="259" t="str">
        <f t="shared" si="48"/>
        <v>CREDITI</v>
      </c>
      <c r="AE43" s="259" t="str">
        <f t="shared" si="49"/>
        <v>SP DARE</v>
      </c>
      <c r="AF43" s="259" t="str">
        <f t="shared" si="50"/>
        <v>CREDITI DIVERSI</v>
      </c>
      <c r="AG43" s="259">
        <f t="shared" ca="1" si="51"/>
        <v>1</v>
      </c>
      <c r="AH43" s="259">
        <f t="shared" ca="1" si="52"/>
        <v>1</v>
      </c>
      <c r="AI43" s="259">
        <f t="shared" ca="1" si="53"/>
        <v>1</v>
      </c>
      <c r="AJ43" s="259" t="str">
        <f t="shared" si="54"/>
        <v>06</v>
      </c>
      <c r="AK43" s="259" t="str">
        <f t="shared" si="55"/>
        <v/>
      </c>
      <c r="AL43" s="259">
        <f>IF(AK43&lt;&gt;"",MAX($AL$2:AL42)+1,0)</f>
        <v>0</v>
      </c>
      <c r="AM43" s="259" t="str">
        <f>IFERROR(INDEX($AK$3:$AL$220,MATCH(ROWS($AM$3:AM43),$AL$3:$AL$220,0),1),"")</f>
        <v/>
      </c>
      <c r="AN43" s="259" t="str">
        <f t="shared" si="56"/>
        <v/>
      </c>
      <c r="AO43" s="259" t="str">
        <f t="shared" si="57"/>
        <v/>
      </c>
      <c r="AP43" s="259" t="str">
        <f t="shared" si="58"/>
        <v>CREDITI DIVERSI</v>
      </c>
      <c r="AQ43" s="259">
        <f ca="1">IF(OR(AG43=0,AG43=""),0,MAX(AQ$2:AQ42)+1)</f>
        <v>24</v>
      </c>
      <c r="AR43" s="259">
        <f ca="1">IF(OR(AH43=0,AH43=""),0,MAX(AR$2:AR42)+1)</f>
        <v>35</v>
      </c>
      <c r="AS43" s="259">
        <f ca="1">IF(OR(AI43=0,AI43=""),0,MAX(AS$2:AS42)+1)</f>
        <v>41</v>
      </c>
      <c r="AT43" s="259" t="str">
        <f ca="1">IFERROR(INDEX($AD$3:$AS$220,MATCH(ROWS(AT$3:AT43),AQ$3:AQ$220,0),1),"")</f>
        <v>DEBITI</v>
      </c>
      <c r="AU43" s="259" t="str">
        <f ca="1">IFERROR(INDEX($AD$3:$AS$220,MATCH(ROWS(AU$3:AU43),AR$3:AR$220,0),1),"")</f>
        <v>DISPONIBILITÀ LIQUIDE</v>
      </c>
      <c r="AV43" s="259" t="str">
        <f ca="1">IFERROR(INDEX($AD$3:$AS$220,MATCH(ROWS(AV$3:AV43),AS$3:AS$220,0),1),"")</f>
        <v>CREDITI</v>
      </c>
      <c r="AW43" s="259" t="str">
        <f ca="1">IFERROR(INDEX($AP$3:$AS$220,MATCH(ROWS(AW$3:AW43),AQ$3:AQ$220,0),1),"")</f>
        <v>DEBITI DIVERSI</v>
      </c>
      <c r="AX43" s="259" t="str">
        <f ca="1">IFERROR(INDEX($AP$3:$AS$220,MATCH(ROWS(AX$3:AX43),AR$3:AR$220,0),1),"")</f>
        <v>DISPONIBILITÀ LIQUIDE</v>
      </c>
      <c r="AY43" s="259" t="str">
        <f ca="1">IFERROR(INDEX($AP$3:$AS$220,MATCH(ROWS(AY$3:AY43),AS$3:AS$220,0),1),"")</f>
        <v>CREDITI DIVERSI</v>
      </c>
      <c r="AZ43" s="276" t="str">
        <f t="shared" ca="1" si="59"/>
        <v/>
      </c>
      <c r="BA43" s="259">
        <f t="shared" ca="1" si="153"/>
        <v>0</v>
      </c>
      <c r="BB43" s="259">
        <f ca="1">IFERROR(INDEX($FG$3:$FL$400,MATCH(ROWS($BB$3:BB43),$FL$3:$FL$400,0),1),0)</f>
        <v>0</v>
      </c>
      <c r="BC43" s="259" t="str">
        <f t="shared" ca="1" si="60"/>
        <v/>
      </c>
      <c r="BD43" s="259">
        <f ca="1">IFERROR(INDEX($FG$3:$FL$400,MATCH(ROWS($BD$3:BD43),$FL$3:$FL$400,0),4),0)</f>
        <v>0</v>
      </c>
      <c r="BE43" s="259">
        <f ca="1">IFERROR(INDEX($FG$3:$FL$400,MATCH(ROWS($BE$3:BE43),$FL$3:$FL$400,0),5),0)</f>
        <v>0</v>
      </c>
      <c r="BG43" s="259" t="str">
        <f t="shared" si="4"/>
        <v/>
      </c>
      <c r="BH43" s="259">
        <f ca="1">IF(IFERROR(MATCH(BG43,DENOMINAZIONE_GIORNALE,0),0)&gt;0,MAX(BH$2:BH42)+1,0)</f>
        <v>0</v>
      </c>
      <c r="BI43" s="259" t="str">
        <f ca="1">IFERROR(INDEX($BG$3:$BH$220,MATCH(ROWS($BI$3:BI43),$BH$3:$BH$220,0),1),"")</f>
        <v/>
      </c>
      <c r="BJ43" s="259" t="str">
        <f t="shared" ca="1" si="5"/>
        <v/>
      </c>
      <c r="BK43" s="259" t="str">
        <f ca="1">IF(IF(BJ43&lt;&gt;"",MAX($BK$2:BK42)+1,0)=0,"",IF(BJ43&lt;&gt;"",MAX($BK$2:BK42)+1,0))</f>
        <v/>
      </c>
      <c r="BL43" s="259" t="str">
        <f ca="1">IFERROR(INDEX($T$3:$U$220, MATCH(ROWS(BL$3:BL43),$V$3:$V$220,0),1),"")</f>
        <v/>
      </c>
      <c r="BM43" s="259" t="str">
        <f ca="1">IFERROR(INDEX($T$3:$U$220, MATCH(ROWS(BM$3:BM43),$V$3:$V$220,0),2),"")</f>
        <v/>
      </c>
      <c r="BN43" s="259" t="str">
        <f ca="1">IF(IFERROR(INDEX($BI$3:$BJ$220,MATCH(ROWS(BN$3:BN43),$BK$3:$BK$220,0),1),"")="PATRIMONIO NETTO","",IFERROR(INDEX($BI$3:$BJ$220,MATCH(ROWS(BN$3:BN43),$BK$3:$BK$220,0),1),""))</f>
        <v/>
      </c>
      <c r="BO43" s="259" t="str">
        <f ca="1">IFERROR(INDEX($BI$3:$BJ$220,MATCH(ROWS(BO$3:BO43),$BK$3:$BK$220,0),2),"")</f>
        <v/>
      </c>
      <c r="BP43" s="259">
        <f ca="1">IF(BN43&lt;&gt;"",MAX(BP$2:$BP42)+1,0)</f>
        <v>0</v>
      </c>
      <c r="BQ43" s="259" t="str">
        <f ca="1">IFERROR(INDEX($BN$3:$BO$200,MATCH(ROWS(BQ$3:BQ43),$BP$3:$BP$220,0),1),"")</f>
        <v/>
      </c>
      <c r="BR43" s="259" t="str">
        <f ca="1">IFERROR(INDEX($BN$3:$BO$220,MATCH(ROWS(BR$3:BR43),$BP$3:$BP$220,0),2),"")</f>
        <v/>
      </c>
      <c r="BS43" s="259" t="str">
        <f ca="1">IFERROR(IF(OR(INDEX($T$3:$U$220,MATCH(ROWS(BL$3:BL43),$V$3:$V$220,0),1)="PRELEVAMENTI EXTRAGESTIONE",INDEX($T$3:$U$220,MATCH(ROWS(BL$3:BL43),$V$3:$V$220,0),1)="TITOLARE C/RITENUTE SUBITE"),"",INDEX($T$3:$U$220,MATCH(ROWS(BL$3:BL43),$V$3:$V$220,0),1)),"")</f>
        <v/>
      </c>
      <c r="BT43" s="259">
        <f t="shared" ca="1" si="61"/>
        <v>0</v>
      </c>
      <c r="BU43" s="259">
        <f ca="1">IF(BS43&lt;&gt;"",MAX(BU$2:BU42)+1,0)</f>
        <v>0</v>
      </c>
      <c r="BV43" s="259" t="str">
        <f ca="1">IFERROR(INDEX($BS$3:$BT$223,MATCH(ROWS(BV$3:BV43),$BU$3:$BU$223,0),1),"")</f>
        <v/>
      </c>
      <c r="BW43" s="259">
        <f t="shared" ca="1" si="62"/>
        <v>0</v>
      </c>
      <c r="BX43" s="259" t="str">
        <f t="shared" ca="1" si="63"/>
        <v/>
      </c>
      <c r="BY43" s="259" t="str">
        <f t="shared" ca="1" si="64"/>
        <v/>
      </c>
      <c r="BZ43" s="259" t="str">
        <f ca="1">IFERROR(IF(OR($DS$231&lt;&gt;$DT$231,$DU$231&lt;&gt;$DV$231,$EO$25&lt;&gt;0,$EO$26&lt;&gt;0),INDEX($T$3:$V$220,MATCH(ROWS($BV$3:BV43),$V$3:$V$220,0),1),CONCATENATE(BV43,BY43)),"")</f>
        <v/>
      </c>
      <c r="CA43" s="259">
        <f t="shared" ca="1" si="65"/>
        <v>0</v>
      </c>
      <c r="CB43" s="259" t="str">
        <f ca="1">IFERROR(IF(OR($BB$1&lt;&gt;$BD$1,$BC$1&lt;&gt;$BE$1,$DS$231&lt;&gt;$DT$231,$DU$231&lt;&gt;$DV$231,$EO$25&lt;&gt;0,$EO$26&lt;&gt;0),INDEX($BI$3:$BK$220,MATCH(ROWS($CB$3:CB43),$BK$3:$BK$220,0),1),CONCATENATE(BQ43,BX43)),"")</f>
        <v/>
      </c>
      <c r="CC43" s="259" t="str">
        <f t="shared" ca="1" si="66"/>
        <v/>
      </c>
      <c r="CD43" s="259" t="str">
        <f t="shared" si="6"/>
        <v/>
      </c>
      <c r="CE43" s="259">
        <f ca="1">IF(IFERROR(MATCH(CD43,DENOMINAZIONE_GIORNALE,0),0)&gt;0,MAX(CE$2:CE42)+1,0)</f>
        <v>0</v>
      </c>
      <c r="CF43" s="259" t="str">
        <f ca="1">IFERROR(INDEX($CD$3:$CE$220,MATCH(ROWS($CF$3:CF43),$CE$3:$CE$220,0),1),"")</f>
        <v/>
      </c>
      <c r="CG43" s="259">
        <f t="shared" ca="1" si="7"/>
        <v>0</v>
      </c>
      <c r="CH43" s="259" t="str">
        <f ca="1">IF(IF(CG43&lt;&gt;0,MAX($CH$2:CH42)+1,0)=0,"",IF(CG43&lt;&gt;"",MAX($CH$2:CH42)+1,0))</f>
        <v/>
      </c>
      <c r="CI43" s="259" t="str">
        <f ca="1">IFERROR(INDEX($CF$3:$CG$220,MATCH(ROWS($CI$3:CI43),$CH$3:$CH$220,0),1),"")</f>
        <v/>
      </c>
      <c r="CJ43" s="259" t="str">
        <f t="shared" ca="1" si="67"/>
        <v/>
      </c>
      <c r="CK43" s="259" t="str">
        <f t="shared" si="8"/>
        <v/>
      </c>
      <c r="CL43" s="259">
        <f ca="1">IF(IFERROR(MATCH(CK43,DENOMINAZIONE_GIORNALE,0),0)&gt;0,MAX(CL$2:CL42)+1,0)</f>
        <v>0</v>
      </c>
      <c r="CM43" s="259" t="str">
        <f ca="1">IFERROR(INDEX($CK$3:$CL$220,MATCH(ROWS($CM$3:CM43),$CL$3:$CL$220,0),1),"")</f>
        <v/>
      </c>
      <c r="CN43" s="259" t="str">
        <f t="shared" ca="1" si="9"/>
        <v/>
      </c>
      <c r="CO43" s="259">
        <f ca="1">IF(IF(CN43&lt;&gt;0,MAX($CO$2:CO42)+1,0)=0,"",IF(CN43&lt;&gt;"",MAX($CO$2:CO42)+1,0))</f>
        <v>0</v>
      </c>
      <c r="CP43" s="259" t="str">
        <f ca="1">IFERROR(INDEX($CM$3:$CN$220,MATCH(ROWS(CP$3:CP43),$CO$3:$CO$220,0),1),"")</f>
        <v/>
      </c>
      <c r="CQ43" s="259" t="str">
        <f ca="1">IFERROR(INDEX($CM$3:$CN$220,MATCH(ROWS(CQ$3:CQ43),$CO$3:$CO$220,0),2),"")</f>
        <v/>
      </c>
      <c r="CR43" s="259" t="str">
        <f t="shared" ca="1" si="154"/>
        <v/>
      </c>
      <c r="CS43" s="259">
        <f t="shared" ca="1" si="11"/>
        <v>0</v>
      </c>
      <c r="CT43" s="259">
        <f t="shared" ca="1" si="12"/>
        <v>0</v>
      </c>
      <c r="CU43" s="259">
        <f ca="1">IF(OR(CS43&gt;0,CT43&gt;0),MAX($CU$2:CU42)+1,0)</f>
        <v>0</v>
      </c>
      <c r="CV43" s="259" t="str">
        <f ca="1">IFERROR(INDEX(PIANO_DEI_CONTI,MATCH(ROWS($CV$3:CV43),$CU$3:$CU$200,0),2),"")</f>
        <v/>
      </c>
      <c r="CW43" s="259">
        <f ca="1">IFERROR(IF(CV43&lt;&gt;"",MAX($CW$2:CW42)+1,0),0)</f>
        <v>0</v>
      </c>
      <c r="CX43" s="259">
        <f t="shared" ca="1" si="162"/>
        <v>3</v>
      </c>
      <c r="CY43" s="259" t="str">
        <f t="shared" ca="1" si="161"/>
        <v>MASTRO</v>
      </c>
      <c r="CZ43" s="259" t="e">
        <f t="shared" ca="1" si="164"/>
        <v>#N/A</v>
      </c>
      <c r="DA43" s="259" t="str">
        <f t="shared" ca="1" si="169"/>
        <v/>
      </c>
      <c r="DB43" s="259" t="str">
        <f t="shared" ca="1" si="165"/>
        <v/>
      </c>
      <c r="DC43" s="259" t="str">
        <f t="shared" ca="1" si="166"/>
        <v/>
      </c>
      <c r="DD43" s="259" t="str">
        <f t="shared" ca="1" si="167"/>
        <v/>
      </c>
      <c r="DE43" s="259" t="str">
        <f t="shared" ca="1" si="168"/>
        <v/>
      </c>
      <c r="DF43" s="259">
        <f ca="1">IF(AND(CX43=$DE$2,$DF$2&lt;&gt;0),0,IF(AND(DB43&lt;&gt;"",OR(DB42&lt;&gt;"",DB44&lt;&gt;"")),MAX($DF$2:DF42)+1,0))</f>
        <v>0</v>
      </c>
      <c r="DG43" s="259" t="str">
        <f>IF(OR(VALORI_INIZIALI!E48="",AND(VALORI_INIZIALI!E48&lt;&gt;"",VALORI_INIZIALI!H48=0,VALORI_INIZIALI!I48=0)),"",IFERROR(INDEX(PIANO_DEI_CONTI,MATCH(BB43,DENOMINAZIONE,0),1),0))</f>
        <v/>
      </c>
      <c r="DH43" s="259">
        <f ca="1">IFERROR(IF($J$1=1,IF(INDEX(PIANO_DEI_CONTI,MATCH($K43,DENOMINAZIONE,0),5)=$DF$1,MAX($DH$2:DH42)+1,0),IF($J$1=2,IF(INDEX(PIANO_DEI_CONTI,MATCH($K43,DENOMINAZIONE,0),7)=$DF$1,MAX($DH$2:DH42)+1,0))),0)</f>
        <v>0</v>
      </c>
      <c r="DI43" s="259">
        <f ca="1">IFERROR(INDEX($K$3:$K$220,MATCH(ROWS($DI$3:DI43),$DH$3:$DH$220,0),1),0)</f>
        <v>0</v>
      </c>
      <c r="DJ43" s="259">
        <f t="shared" ca="1" si="14"/>
        <v>0</v>
      </c>
      <c r="DK43" s="259">
        <f ca="1">IF(DJ43=0,0,MAX(DK$2:DK42)+1)</f>
        <v>0</v>
      </c>
      <c r="DL43" s="259">
        <f ca="1">IFERROR(INDEX(PIANO_DEI_CONTI,MATCH(ROWS(DL$3:DL43),$DK$3:DK270,0),2),0)</f>
        <v>0</v>
      </c>
      <c r="DM43" s="259">
        <f t="shared" ca="1" si="15"/>
        <v>0</v>
      </c>
      <c r="DN43" s="259">
        <f t="shared" ca="1" si="16"/>
        <v>0</v>
      </c>
      <c r="DO43" s="259">
        <f t="shared" ca="1" si="69"/>
        <v>0</v>
      </c>
      <c r="DP43" s="259">
        <f t="shared" ca="1" si="70"/>
        <v>0</v>
      </c>
      <c r="DQ43" s="259">
        <f ca="1">IF(OR($DQ$1="TOTALI",$DQ$1="TOTALI ED ECCEDENZE"),IF(OR(DM43&gt;0,DN43&gt;0),MAX(DQ$2:DQ42)+1,0),IF($DQ$1="ECCEDENZE",IF(OR(DO43&gt;0,DP43&gt;0),MAX(DQ$2:DQ42)+1,0),""))</f>
        <v>0</v>
      </c>
      <c r="DR43" s="259" t="str">
        <f ca="1">IFERROR(INDEX($DL$3:$DQ$230,MATCH(ROWS(DR$3:DR43),$DQ$3:$DQ$230,0),1),"")</f>
        <v/>
      </c>
      <c r="DS43" s="259" t="str">
        <f t="shared" ca="1" si="71"/>
        <v/>
      </c>
      <c r="DT43" s="259" t="str">
        <f t="shared" ca="1" si="72"/>
        <v/>
      </c>
      <c r="DU43" s="259" t="str">
        <f t="shared" ca="1" si="73"/>
        <v/>
      </c>
      <c r="DV43" s="259" t="str">
        <f t="shared" ca="1" si="74"/>
        <v/>
      </c>
      <c r="DW43" s="259">
        <f t="shared" ca="1" si="75"/>
        <v>0</v>
      </c>
      <c r="DX43" s="259" t="str">
        <f t="shared" ca="1" si="76"/>
        <v/>
      </c>
      <c r="DY43" s="259" t="str">
        <f t="shared" ca="1" si="77"/>
        <v/>
      </c>
      <c r="DZ43" s="259" t="str">
        <f t="shared" ca="1" si="78"/>
        <v/>
      </c>
      <c r="EA43" s="259">
        <f t="shared" ca="1" si="79"/>
        <v>41</v>
      </c>
      <c r="EB43" s="259" t="s">
        <v>353</v>
      </c>
      <c r="ED43" s="259">
        <f t="shared" ca="1" si="17"/>
        <v>0</v>
      </c>
      <c r="EE43" s="259" t="str">
        <f t="shared" ca="1" si="155"/>
        <v/>
      </c>
      <c r="EF43" s="259" t="str">
        <f t="shared" ca="1" si="19"/>
        <v/>
      </c>
      <c r="EG43" s="259" t="str">
        <f t="shared" ca="1" si="136"/>
        <v/>
      </c>
      <c r="EH43" s="259" t="str">
        <f t="shared" ca="1" si="80"/>
        <v/>
      </c>
      <c r="EI43" s="260" t="b">
        <f t="shared" ca="1" si="137"/>
        <v>0</v>
      </c>
      <c r="EJ43" s="260" t="b">
        <f t="shared" ca="1" si="138"/>
        <v>0</v>
      </c>
      <c r="EK43" s="260" t="b">
        <f t="shared" ca="1" si="139"/>
        <v>1</v>
      </c>
      <c r="EL43" s="259">
        <f t="shared" si="81"/>
        <v>41</v>
      </c>
      <c r="EM43" s="259">
        <f ca="1">IF(AND(BA43&gt;0,BA43&lt;=$EM$1),MAX($EM$2:EM42)+1,0)</f>
        <v>0</v>
      </c>
      <c r="EN43" s="259">
        <f t="shared" ca="1" si="82"/>
        <v>43</v>
      </c>
      <c r="EP43" s="259" t="str">
        <f t="shared" ca="1" si="20"/>
        <v/>
      </c>
      <c r="EQ43" s="259">
        <f t="shared" ca="1" si="21"/>
        <v>0</v>
      </c>
      <c r="ER43" s="259">
        <f ca="1">IF(ISNA(EQ43),MAX(ER$2:ER42)+1,0)</f>
        <v>0</v>
      </c>
      <c r="ES43" s="259" t="str">
        <f t="shared" ca="1" si="83"/>
        <v/>
      </c>
      <c r="ET43" s="259" t="str">
        <f ca="1">IFERROR(UPPER(INDEX($ER$3:$ES$500,MATCH(ROWS(ET$3:ET43),$ER$3:$ER$500,0),2)),"")</f>
        <v/>
      </c>
      <c r="EY43" s="259">
        <f t="shared" ca="1" si="84"/>
        <v>0</v>
      </c>
      <c r="EZ43" s="259">
        <f t="shared" ca="1" si="84"/>
        <v>0</v>
      </c>
      <c r="FA43" s="259" t="str">
        <f t="shared" ca="1" si="85"/>
        <v/>
      </c>
      <c r="FB43" s="259">
        <f t="shared" ca="1" si="86"/>
        <v>0</v>
      </c>
      <c r="FC43" s="259">
        <f t="shared" ca="1" si="87"/>
        <v>0</v>
      </c>
      <c r="FD43" s="259">
        <f t="shared" ca="1" si="22"/>
        <v>0</v>
      </c>
      <c r="FE43" s="259" t="str">
        <f t="shared" ca="1" si="23"/>
        <v/>
      </c>
      <c r="FF43" s="259" t="str">
        <f t="shared" ca="1" si="88"/>
        <v/>
      </c>
      <c r="FG43" s="259" t="str">
        <f t="shared" si="89"/>
        <v>IVA NS/CREDITO</v>
      </c>
      <c r="FH43" s="259">
        <f t="shared" ca="1" si="156"/>
        <v>0</v>
      </c>
      <c r="FI43" s="259">
        <f t="shared" ca="1" si="25"/>
        <v>0</v>
      </c>
      <c r="FJ43" s="259">
        <f t="shared" ca="1" si="90"/>
        <v>0</v>
      </c>
      <c r="FK43" s="259">
        <f t="shared" ca="1" si="91"/>
        <v>0</v>
      </c>
      <c r="FL43" s="259">
        <f ca="1">IF(OR(FJ43&gt;0,FK43&gt;0),MAX($FL$2:FL42)+1,0)</f>
        <v>0</v>
      </c>
      <c r="FM43" s="259">
        <f t="shared" ca="1" si="26"/>
        <v>0</v>
      </c>
      <c r="FN43" s="259">
        <f ca="1">IF(FM43&lt;0,MAX($FN$2:FN42)+1,0)</f>
        <v>0</v>
      </c>
      <c r="FO43" s="259" t="str">
        <f t="shared" ca="1" si="92"/>
        <v/>
      </c>
      <c r="FP43" s="259" t="str">
        <f ca="1">IFERROR(INDEX($FN$3:$FO$400,MATCH(ROWS($FP$3:FP43),$FN$3:$FN$400,0),2),"")</f>
        <v/>
      </c>
      <c r="FQ43" s="259" t="str">
        <f>IF(AE43="SE AVERE",MAX($FQ$2:FQ42)+1,"")</f>
        <v/>
      </c>
      <c r="FR43" s="259" t="str">
        <f>IF(AE43="SE DARE",MAX($FR$2:FR42)+1,"")</f>
        <v/>
      </c>
      <c r="FS43" s="259">
        <f ca="1">IF(AND(AE43="SP DARE",AA43&lt;&gt;$FS$1,AA43&lt;&gt;$FT$1),MAX($FS$2:FS42)+1,IF(AND(GQ43="SP DARE",AA43&lt;&gt;$FS$1,AA43&lt;&gt;$FT$1),MAX($FS$2:FS42)+1,""))</f>
        <v>118</v>
      </c>
      <c r="FT43" s="259" t="str">
        <f ca="1">IF(AND(AE43="SP AVERE",AA43&lt;&gt;$FU$1),MAX($FT$2:FT42)+1,IF(AND(GQ43="SP AVERE",AA43&lt;&gt;$FU$1),MAX($FT$2:FT42)+1,""))</f>
        <v/>
      </c>
      <c r="FU43" s="259">
        <f t="shared" ca="1" si="93"/>
        <v>118</v>
      </c>
      <c r="FV43" s="259" t="str">
        <f t="shared" si="94"/>
        <v>IVA NS/CREDITO</v>
      </c>
      <c r="FW43" s="259" t="str">
        <f ca="1">IFERROR(INDEX($FU$3:$FV$500,MATCH(ROWS($FW$3:FW43),$FU$3:$FU$500,0),2),0)</f>
        <v>COMMISSIONI BANCARIE</v>
      </c>
      <c r="FX43" s="259">
        <f t="shared" ca="1" si="95"/>
        <v>41</v>
      </c>
      <c r="FY43" s="259">
        <f t="shared" ca="1" si="96"/>
        <v>0</v>
      </c>
      <c r="FZ43" s="259">
        <f ca="1">IF(FY43&gt;0,MAX($FZ$2:FZ42)+1,0)</f>
        <v>0</v>
      </c>
      <c r="GA43" s="259">
        <f ca="1">IFERROR(INDEX($FY$3:$FZ$500,MATCH(ROWS($GA$3:GA43),$FZ$3:$FZ$500,0),1),0)</f>
        <v>0</v>
      </c>
      <c r="GC43" s="259">
        <f t="shared" ca="1" si="97"/>
        <v>41</v>
      </c>
      <c r="GD43" s="259" t="str">
        <f t="shared" ca="1" si="98"/>
        <v>COMMISSIONI BANCARIE</v>
      </c>
      <c r="GG43" s="259">
        <f t="shared" ca="1" si="27"/>
        <v>0</v>
      </c>
      <c r="GH43" s="259">
        <f t="shared" ca="1" si="99"/>
        <v>0</v>
      </c>
      <c r="GI43" s="259">
        <f t="shared" ca="1" si="100"/>
        <v>0</v>
      </c>
      <c r="GJ43" s="259">
        <f t="shared" ca="1" si="101"/>
        <v>0</v>
      </c>
      <c r="GK43" s="259">
        <f t="shared" ca="1" si="102"/>
        <v>0</v>
      </c>
      <c r="GL43" s="259">
        <f t="shared" ca="1" si="103"/>
        <v>0</v>
      </c>
      <c r="GM43" s="259">
        <f ca="1">IF(OR(GK43&gt;0,GL43&gt;0),MAX($GM$2:GM42)+1,0)</f>
        <v>0</v>
      </c>
      <c r="GN43" s="259" t="str">
        <f ca="1">IFERROR(INDEX($GD$3:$GM$400,MATCH(ROWS($GN$3:GN43),$GM$3:$GM$400,0),1),"")</f>
        <v/>
      </c>
      <c r="GO43" s="259" t="str">
        <f ca="1">IFERROR(INDEX($GD$3:$GM$400,MATCH(ROWS($GO$3:GO43),$GM$3:$GM$400,0),8),"")</f>
        <v/>
      </c>
      <c r="GP43" s="259" t="str">
        <f ca="1">IFERROR(INDEX($GD$3:$GM$400,MATCH(ROWS($GP$3:GP43),$GM$3:$GM$400,0),9),"")</f>
        <v/>
      </c>
      <c r="GQ43" s="259">
        <f t="shared" ca="1" si="28"/>
        <v>0</v>
      </c>
      <c r="GR43" s="259">
        <f t="shared" ca="1" si="104"/>
        <v>0</v>
      </c>
      <c r="GS43" s="259" t="str">
        <f t="shared" si="105"/>
        <v>epilogo a Conto economico</v>
      </c>
      <c r="GT43" s="259" t="str">
        <f ca="1">IFERROR(INDEX($GD$3:$GS$400,MATCH(ROWS($GT$3:GT43),$GM$3:$GM$400,0),16),"")</f>
        <v/>
      </c>
      <c r="GU43" s="259">
        <f ca="1">IF(GQ43&lt;&gt;0,MAX($GU$2:$GU42)+1,0)</f>
        <v>0</v>
      </c>
      <c r="GV43" s="259">
        <f t="shared" ca="1" si="106"/>
        <v>0</v>
      </c>
      <c r="GW43" s="259" t="str">
        <f ca="1">IF(AND(IFERROR(INDEX($GU$3:$GV$400,MATCH(ROWS($GW$3:GW43),$GU$3:$GU$400,0),2),"")&lt;&gt;"",GW44&lt;&gt;""),CONCATENATE(IFERROR(INDEX($GU$3:$GV$400,MATCH(ROWS($GW$3:GW43),$GU$3:$GU$400,0),2),"")," - "),IFERROR(INDEX($GU$3:$GV$400,MATCH(ROWS($GW$3:GW43),$GU$3:$GU$400,0),2),""))</f>
        <v/>
      </c>
      <c r="GX43" s="259">
        <f ca="1">IF(OR(GN43="IVA NS/CREDITO",GN43="IVA NS/DEBITO",GN43="IVA C/ACCONTO",GN43="IMPOSTE C/ACCONTO"),MAX($GX$2:GX42)+1,0)</f>
        <v>0</v>
      </c>
      <c r="GY43" s="259" t="str">
        <f ca="1">IF(AND(IFERROR(INDEX($GN$3:$GX$200,MATCH(ROWS($GY$3:GY43),$GX$3:$GX$200,0),1),"")&lt;&gt;"",GY44&lt;&gt;""),CONCATENATE(IFERROR(INDEX($GN$3:$GX$200,MATCH(ROWS($GY$3:GY43),$GX$3:$GX$200,0),1),"")," - "),IFERROR(INDEX($GN$3:$GX$200,MATCH(ROWS($GY$3:GY43),$GX$3:$GX$200,0),1),""))</f>
        <v/>
      </c>
      <c r="GZ43" s="259" t="s">
        <v>63</v>
      </c>
      <c r="HA43" s="259" t="s">
        <v>511</v>
      </c>
      <c r="HB43" s="269" t="s">
        <v>257</v>
      </c>
      <c r="HC43" s="269" t="s">
        <v>276</v>
      </c>
      <c r="HD43" s="269" t="s">
        <v>6</v>
      </c>
      <c r="HE43" s="269" t="s">
        <v>206</v>
      </c>
      <c r="HL43" s="259" t="str">
        <f t="shared" ca="1" si="157"/>
        <v/>
      </c>
      <c r="HM43" s="259" t="str">
        <f t="shared" ca="1" si="158"/>
        <v/>
      </c>
      <c r="HN43" s="259" t="str">
        <f t="shared" ca="1" si="159"/>
        <v/>
      </c>
      <c r="HO43" s="259">
        <f ca="1">IF(HL43&lt;&gt;"",MAX($HO$2:HO42)+1,0)</f>
        <v>0</v>
      </c>
      <c r="HP43" s="259">
        <f ca="1">IF(HM43&lt;&gt;"",MAX($HP$2:HP42)+1,0)</f>
        <v>0</v>
      </c>
      <c r="HQ43" s="259">
        <f ca="1">IF(HN43&lt;&gt;"",MAX($HQ$2:HQ42)+1,0)</f>
        <v>0</v>
      </c>
      <c r="HR43" s="259" t="str">
        <f t="shared" ca="1" si="107"/>
        <v/>
      </c>
      <c r="HS43" s="259" t="str">
        <f t="shared" ca="1" si="108"/>
        <v/>
      </c>
      <c r="HT43" s="259">
        <f t="shared" ca="1" si="109"/>
        <v>0</v>
      </c>
      <c r="HU43" s="259">
        <f t="shared" ca="1" si="110"/>
        <v>0</v>
      </c>
      <c r="HV43" s="259" t="str">
        <f ca="1">CONCATENATE(IFERROR(INDEX($HS$3:$HT$102,MATCH(ROWS($HV$3:HV43),$HT$3:$HT$102,0),1),""),HR43)</f>
        <v/>
      </c>
      <c r="IA43" s="259" t="s">
        <v>367</v>
      </c>
      <c r="IB43" s="259" t="s">
        <v>304</v>
      </c>
      <c r="IC43" s="259">
        <f ca="1">IFERROR(INDEX(PIANO_DEI_CONTI,MATCH(ROWS(DL$3:DL43),$DK$3:DK270,0),2),0)</f>
        <v>0</v>
      </c>
      <c r="ID43" s="259">
        <f t="shared" ca="1" si="111"/>
        <v>0</v>
      </c>
      <c r="IE43" s="259">
        <f t="shared" ca="1" si="112"/>
        <v>0</v>
      </c>
      <c r="IF43" s="259">
        <f t="shared" ca="1" si="113"/>
        <v>0</v>
      </c>
      <c r="IG43" s="259">
        <f ca="1">IF(EV1=0,ROUND(SUMIFS($IE$3:$IE$200,$IF$3:$IF$200,IA43),0),0)</f>
        <v>0</v>
      </c>
      <c r="IH43" s="259">
        <f ca="1">IF(OR(IG43&lt;&gt;0,IG45&gt;0),MAX($IH$35:IH42)+1,0)</f>
        <v>0</v>
      </c>
      <c r="II43" s="259">
        <f>IF(AD43="costi pluriennali",MAX($II$2:II42)+1,0)</f>
        <v>0</v>
      </c>
      <c r="IJ43" s="259">
        <f>IF($AD43="rettifiche costi pluriennali",MAX($IJ$2:IJ42)+1,0)</f>
        <v>0</v>
      </c>
      <c r="IK43" s="259">
        <f t="shared" si="114"/>
        <v>0</v>
      </c>
      <c r="IL43" s="259" t="str">
        <f t="shared" si="115"/>
        <v/>
      </c>
      <c r="IM43" s="259">
        <f t="shared" ca="1" si="116"/>
        <v>0</v>
      </c>
      <c r="IN43" s="259">
        <f t="shared" ca="1" si="141"/>
        <v>0</v>
      </c>
      <c r="IO43" s="259">
        <f>SUMIFS($IM$3:$IM$200,$IK$3:$IK$200,ROWS($IO$3:IO43))-SUMIFS($IN$3:$IN$200,$IK$3:$IK$200,ROWS($IO$3:IO43))</f>
        <v>0</v>
      </c>
      <c r="IP43" s="259" t="str">
        <f>IF(IO43&lt;0,INDEX($IJ$3:$IL$200,MATCH(ROWS($IP$3:IP43),$IJ$3:$IJ$200,0),3),"")</f>
        <v/>
      </c>
      <c r="IQ43" s="259">
        <f>IF(IP43&lt;&gt;"",MAX($IQ$2:IQ42)+1,0)</f>
        <v>0</v>
      </c>
      <c r="IR43" s="259" t="str">
        <f ca="1">IFERROR(INDEX($IP$3:$IQ$200,MATCH(ROWS($IR$3:IR43),$IQ$3:$IQ$200,0),1),"")</f>
        <v/>
      </c>
      <c r="IS43" s="259" t="str">
        <f t="shared" ca="1" si="117"/>
        <v/>
      </c>
      <c r="IT43" s="259" t="str">
        <f t="shared" ca="1" si="118"/>
        <v/>
      </c>
      <c r="IU43" s="259" t="str">
        <f t="shared" ca="1" si="119"/>
        <v/>
      </c>
      <c r="IV43" s="259" t="str">
        <f t="shared" ca="1" si="120"/>
        <v/>
      </c>
      <c r="IW43" s="259" t="str">
        <f t="shared" ca="1" si="121"/>
        <v/>
      </c>
      <c r="IX43" s="259" t="str">
        <f t="shared" ca="1" si="122"/>
        <v/>
      </c>
      <c r="IY43" s="259" t="str">
        <f t="shared" ca="1" si="123"/>
        <v/>
      </c>
      <c r="IZ43" s="259" t="str">
        <f t="shared" ca="1" si="124"/>
        <v/>
      </c>
      <c r="JA43" s="259" t="str">
        <f t="shared" ca="1" si="125"/>
        <v/>
      </c>
      <c r="JB43" s="259">
        <f t="shared" ca="1" si="32"/>
        <v>0</v>
      </c>
      <c r="JC43" s="259">
        <f t="shared" ca="1" si="126"/>
        <v>0</v>
      </c>
      <c r="JE43" s="259">
        <f ca="1">IFERROR(INDEX(LIBRO_GIORNALE!$N$11:$O$408,MATCH(ROWS($JE$2:JE42),LIBRO_GIORNALE!$O$11:$O$408,0),1),0)</f>
        <v>0</v>
      </c>
      <c r="JF43" s="259" t="str">
        <f t="shared" ca="1" si="127"/>
        <v>0</v>
      </c>
      <c r="JG43" s="259">
        <f t="shared" ca="1" si="128"/>
        <v>0</v>
      </c>
      <c r="JH43" s="259">
        <f ca="1">IF(JJ43&gt;0,0,MAX($JH$2:JH42)+1)</f>
        <v>41</v>
      </c>
      <c r="JI43" s="259">
        <f ca="1">IF(JG43&gt;0,MAX($JI$2:JI42)+1,0)</f>
        <v>0</v>
      </c>
      <c r="JJ43" s="259">
        <f ca="1">IFERROR(INDEX($JG$3:$JI$124,MATCH(ROWS($JJ$3:JJ43),$JI$3:$JI$124,0),1),0)</f>
        <v>0</v>
      </c>
      <c r="JK43" s="259">
        <f t="shared" ca="1" si="129"/>
        <v>0</v>
      </c>
      <c r="JL43" s="259">
        <f t="shared" ca="1" si="130"/>
        <v>41</v>
      </c>
    </row>
    <row r="44" spans="1:273">
      <c r="A44" s="259" t="str">
        <f t="shared" si="33"/>
        <v>05.10</v>
      </c>
      <c r="B44" s="259" t="str">
        <f t="shared" si="34"/>
        <v>CREDITI INSOLUTI</v>
      </c>
      <c r="C44" s="259" t="str">
        <f t="shared" si="35"/>
        <v>F</v>
      </c>
      <c r="D44" s="259" t="str">
        <f t="shared" si="36"/>
        <v>D</v>
      </c>
      <c r="E44" s="259" t="str">
        <f t="shared" si="37"/>
        <v>CREDITI</v>
      </c>
      <c r="F44" s="259" t="str">
        <f t="shared" si="38"/>
        <v>SP DARE</v>
      </c>
      <c r="G44" s="259">
        <f t="shared" ca="1" si="39"/>
        <v>1</v>
      </c>
      <c r="H44" s="259">
        <f t="shared" ca="1" si="40"/>
        <v>1</v>
      </c>
      <c r="I44" s="259">
        <f t="shared" ca="1" si="41"/>
        <v>1</v>
      </c>
      <c r="K44" s="259" t="str">
        <f ca="1">IFERROR(IF($I$1=1,INDEX($AA$3:$AS$220,MATCH(ROWS($K$3:K44),$AQ$3:$AQ$220,0),1),IF($I$1=2,INDEX($AA$3:$AS$220,MATCH(ROWS($K$3:K44),$AR$3:$AR$220,0),1),IF($I$1=3,INDEX($AA$3:$AS$220,MATCH(ROWS($K$3:K44),$AS$3:$AS$220,0),1),""))),"")</f>
        <v>IVA C/ACCONTO</v>
      </c>
      <c r="L44" s="259">
        <f ca="1">IF(AND($L$1="VISUALIZZA TUTTI I CONTI",K44&lt;&gt;""),MAX(L43:L43)+1,IFERROR(IF($J$1=1,IF(INDEX(PIANO_DEI_CONTI,MATCH($K44,DENOMINAZIONE,0),5)=$L$1,MAX($L$2:L43)+1,0),IF($J$1=2,IF(INDEX(PIANO_DEI_CONTI,MATCH($K44,DENOMINAZIONE,0),7)=$L$1,MAX($L$2:L43)+1,0))),0))</f>
        <v>42</v>
      </c>
      <c r="M44" s="259" t="str">
        <f ca="1">IFERROR(INDEX($K$3:$K$220,MATCH(ROWS($M$3:M44),$L$3:$L$220,0),1),"")</f>
        <v>IVA C/ACCONTO</v>
      </c>
      <c r="N44" s="259" t="str">
        <f t="shared" si="143"/>
        <v>VARIAZIONI RIMANENZE MERCI E MATERIE DI CONSUMO</v>
      </c>
      <c r="O44" s="259" t="str">
        <f t="shared" ca="1" si="142"/>
        <v>VARIAZIONI RIMANENZE MERCI E MATERIE DI CONSUMO</v>
      </c>
      <c r="P44" s="259">
        <f ca="1">IF(AND(N44=O44,O44&lt;&gt;""),MAX(P$2:P43)+1,0)</f>
        <v>27</v>
      </c>
      <c r="Q44" s="259" t="str">
        <f ca="1">IF(IFERROR(INDEX($O$3:$P$220,MATCH(ROWS(Q$3:Q44),$P$3:$P$220,0),1),"")=0,"",IFERROR(INDEX($O$3:$P$220,MATCH(ROWS(Q$3:Q44),$P$3:$P$220,0),1),""))</f>
        <v/>
      </c>
      <c r="R44" s="259" t="str">
        <f t="shared" si="1"/>
        <v>IVA C/ACCONTO</v>
      </c>
      <c r="S44" s="259">
        <f ca="1">IF(IFERROR(MATCH(R44,DENOMINAZIONE_GIORNALE,0),0)&gt;0,MAX(S$2:S43)+1,0)</f>
        <v>0</v>
      </c>
      <c r="T44" s="259" t="str">
        <f ca="1">IFERROR(INDEX($R$3:$S$220,MATCH(ROWS($T$3:T44),$S$3:$S$220,0),1),"")</f>
        <v/>
      </c>
      <c r="U44" s="259">
        <f t="shared" ca="1" si="2"/>
        <v>0</v>
      </c>
      <c r="V44" s="259">
        <f ca="1">IF(IF(U44&lt;&gt;0,MAX($V$2:V43)+1,0)=0,0,IF(U44&lt;&gt;0,MAX($V$2:V43)+1,0))</f>
        <v>0</v>
      </c>
      <c r="W44" s="259" t="str">
        <f t="shared" si="43"/>
        <v>05.10</v>
      </c>
      <c r="X44" s="259" t="str">
        <f t="shared" si="44"/>
        <v>CREDITI INSOLUTI</v>
      </c>
      <c r="Y44" s="259">
        <f>IF(W44="",0,MAX($Y$2:Y43)+1)</f>
        <v>37</v>
      </c>
      <c r="Z44" s="259" t="str">
        <f>IFERROR(INDEX($W$3:$Y$220,MATCH(ROWS($Z$2:Z43),$Y$3:$Y$220,0),1),"")</f>
        <v>06.02</v>
      </c>
      <c r="AA44" s="259" t="str">
        <f t="shared" si="45"/>
        <v>IVA C/ACCONTO</v>
      </c>
      <c r="AB44" s="259" t="str">
        <f t="shared" si="46"/>
        <v>F</v>
      </c>
      <c r="AC44" s="259" t="str">
        <f t="shared" si="47"/>
        <v>D</v>
      </c>
      <c r="AD44" s="259" t="str">
        <f t="shared" si="48"/>
        <v>CREDITI</v>
      </c>
      <c r="AE44" s="259" t="str">
        <f t="shared" si="49"/>
        <v>SP DARE</v>
      </c>
      <c r="AF44" s="259" t="str">
        <f t="shared" si="50"/>
        <v>CREDITI DIVERSI</v>
      </c>
      <c r="AG44" s="259">
        <f t="shared" ca="1" si="51"/>
        <v>0</v>
      </c>
      <c r="AH44" s="259">
        <f t="shared" ca="1" si="52"/>
        <v>1</v>
      </c>
      <c r="AI44" s="259">
        <f t="shared" ca="1" si="53"/>
        <v>1</v>
      </c>
      <c r="AJ44" s="259" t="str">
        <f t="shared" si="54"/>
        <v>06</v>
      </c>
      <c r="AK44" s="259" t="str">
        <f t="shared" si="55"/>
        <v/>
      </c>
      <c r="AL44" s="259">
        <f>IF(AK44&lt;&gt;"",MAX($AL$2:AL43)+1,0)</f>
        <v>0</v>
      </c>
      <c r="AM44" s="259" t="str">
        <f>IFERROR(INDEX($AK$3:$AL$220,MATCH(ROWS($AM$3:AM44),$AL$3:$AL$220,0),1),"")</f>
        <v/>
      </c>
      <c r="AN44" s="259" t="str">
        <f t="shared" si="56"/>
        <v/>
      </c>
      <c r="AO44" s="259" t="str">
        <f t="shared" si="57"/>
        <v/>
      </c>
      <c r="AP44" s="259" t="str">
        <f t="shared" si="58"/>
        <v>CREDITI DIVERSI</v>
      </c>
      <c r="AQ44" s="259">
        <f ca="1">IF(OR(AG44=0,AG44=""),0,MAX(AQ$2:AQ43)+1)</f>
        <v>0</v>
      </c>
      <c r="AR44" s="259">
        <f ca="1">IF(OR(AH44=0,AH44=""),0,MAX(AR$2:AR43)+1)</f>
        <v>36</v>
      </c>
      <c r="AS44" s="259">
        <f ca="1">IF(OR(AI44=0,AI44=""),0,MAX(AS$2:AS43)+1)</f>
        <v>42</v>
      </c>
      <c r="AT44" s="259" t="str">
        <f ca="1">IFERROR(INDEX($AD$3:$AS$220,MATCH(ROWS(AT$3:AT44),AQ$3:AQ$220,0),1),"")</f>
        <v>DEBITI</v>
      </c>
      <c r="AU44" s="259" t="str">
        <f ca="1">IFERROR(INDEX($AD$3:$AS$220,MATCH(ROWS(AU$3:AU44),AR$3:AR$220,0),1),"")</f>
        <v>DISPONIBILITÀ LIQUIDE</v>
      </c>
      <c r="AV44" s="259" t="str">
        <f ca="1">IFERROR(INDEX($AD$3:$AS$220,MATCH(ROWS(AV$3:AV44),AS$3:AS$220,0),1),"")</f>
        <v>CREDITI</v>
      </c>
      <c r="AW44" s="259" t="str">
        <f ca="1">IFERROR(INDEX($AP$3:$AS$220,MATCH(ROWS(AW$3:AW44),AQ$3:AQ$220,0),1),"")</f>
        <v>DEBITI DIVERSI</v>
      </c>
      <c r="AX44" s="259" t="str">
        <f ca="1">IFERROR(INDEX($AP$3:$AS$220,MATCH(ROWS(AX$3:AX44),AR$3:AR$220,0),1),"")</f>
        <v>DISPONIBILITÀ LIQUIDE</v>
      </c>
      <c r="AY44" s="259" t="str">
        <f ca="1">IFERROR(INDEX($AP$3:$AS$220,MATCH(ROWS(AY$3:AY44),AS$3:AS$220,0),1),"")</f>
        <v>CREDITI DIVERSI</v>
      </c>
      <c r="AZ44" s="276" t="str">
        <f t="shared" ca="1" si="59"/>
        <v/>
      </c>
      <c r="BA44" s="259">
        <f t="shared" ca="1" si="153"/>
        <v>0</v>
      </c>
      <c r="BB44" s="259">
        <f ca="1">IFERROR(INDEX($FG$3:$FL$400,MATCH(ROWS($BB$3:BB44),$FL$3:$FL$400,0),1),0)</f>
        <v>0</v>
      </c>
      <c r="BC44" s="259" t="str">
        <f t="shared" ca="1" si="60"/>
        <v/>
      </c>
      <c r="BD44" s="259">
        <f ca="1">IFERROR(INDEX($FG$3:$FL$400,MATCH(ROWS($BD$3:BD44),$FL$3:$FL$400,0),4),0)</f>
        <v>0</v>
      </c>
      <c r="BE44" s="259">
        <f ca="1">IFERROR(INDEX($FG$3:$FL$400,MATCH(ROWS($BE$3:BE44),$FL$3:$FL$400,0),5),0)</f>
        <v>0</v>
      </c>
      <c r="BG44" s="259" t="str">
        <f t="shared" si="4"/>
        <v/>
      </c>
      <c r="BH44" s="259">
        <f ca="1">IF(IFERROR(MATCH(BG44,DENOMINAZIONE_GIORNALE,0),0)&gt;0,MAX(BH$2:BH43)+1,0)</f>
        <v>0</v>
      </c>
      <c r="BI44" s="259" t="str">
        <f ca="1">IFERROR(INDEX($BG$3:$BH$220,MATCH(ROWS($BI$3:BI44),$BH$3:$BH$220,0),1),"")</f>
        <v/>
      </c>
      <c r="BJ44" s="259" t="str">
        <f t="shared" ca="1" si="5"/>
        <v/>
      </c>
      <c r="BK44" s="259" t="str">
        <f ca="1">IF(IF(BJ44&lt;&gt;"",MAX($BK$2:BK43)+1,0)=0,"",IF(BJ44&lt;&gt;"",MAX($BK$2:BK43)+1,0))</f>
        <v/>
      </c>
      <c r="BL44" s="259" t="str">
        <f ca="1">IFERROR(INDEX($T$3:$U$220, MATCH(ROWS(BL$3:BL44),$V$3:$V$220,0),1),"")</f>
        <v/>
      </c>
      <c r="BM44" s="259" t="str">
        <f ca="1">IFERROR(INDEX($T$3:$U$220, MATCH(ROWS(BM$3:BM44),$V$3:$V$220,0),2),"")</f>
        <v/>
      </c>
      <c r="BN44" s="259" t="str">
        <f ca="1">IF(IFERROR(INDEX($BI$3:$BJ$220,MATCH(ROWS(BN$3:BN44),$BK$3:$BK$220,0),1),"")="PATRIMONIO NETTO","",IFERROR(INDEX($BI$3:$BJ$220,MATCH(ROWS(BN$3:BN44),$BK$3:$BK$220,0),1),""))</f>
        <v/>
      </c>
      <c r="BO44" s="259" t="str">
        <f ca="1">IFERROR(INDEX($BI$3:$BJ$220,MATCH(ROWS(BO$3:BO44),$BK$3:$BK$220,0),2),"")</f>
        <v/>
      </c>
      <c r="BP44" s="259">
        <f ca="1">IF(BN44&lt;&gt;"",MAX(BP$2:$BP43)+1,0)</f>
        <v>0</v>
      </c>
      <c r="BQ44" s="259" t="str">
        <f ca="1">IFERROR(INDEX($BN$3:$BO$200,MATCH(ROWS(BQ$3:BQ44),$BP$3:$BP$220,0),1),"")</f>
        <v/>
      </c>
      <c r="BR44" s="259" t="str">
        <f ca="1">IFERROR(INDEX($BN$3:$BO$220,MATCH(ROWS(BR$3:BR44),$BP$3:$BP$220,0),2),"")</f>
        <v/>
      </c>
      <c r="BS44" s="259" t="str">
        <f ca="1">IFERROR(IF(OR(INDEX($T$3:$U$220,MATCH(ROWS(BL$3:BL44),$V$3:$V$220,0),1)="PRELEVAMENTI EXTRAGESTIONE",INDEX($T$3:$U$220,MATCH(ROWS(BL$3:BL44),$V$3:$V$220,0),1)="TITOLARE C/RITENUTE SUBITE"),"",INDEX($T$3:$U$220,MATCH(ROWS(BL$3:BL44),$V$3:$V$220,0),1)),"")</f>
        <v/>
      </c>
      <c r="BT44" s="259">
        <f t="shared" ca="1" si="61"/>
        <v>0</v>
      </c>
      <c r="BU44" s="259">
        <f ca="1">IF(BS44&lt;&gt;"",MAX(BU$2:BU43)+1,0)</f>
        <v>0</v>
      </c>
      <c r="BV44" s="259" t="str">
        <f ca="1">IFERROR(INDEX($BS$3:$BT$223,MATCH(ROWS(BV$3:BV44),$BU$3:$BU$223,0),1),"")</f>
        <v/>
      </c>
      <c r="BW44" s="259">
        <f t="shared" ca="1" si="62"/>
        <v>0</v>
      </c>
      <c r="BX44" s="259" t="str">
        <f t="shared" ca="1" si="63"/>
        <v/>
      </c>
      <c r="BY44" s="259" t="str">
        <f t="shared" ca="1" si="64"/>
        <v/>
      </c>
      <c r="BZ44" s="259" t="str">
        <f ca="1">IFERROR(IF(OR($DS$231&lt;&gt;$DT$231,$DU$231&lt;&gt;$DV$231,$EO$25&lt;&gt;0,$EO$26&lt;&gt;0),INDEX($T$3:$V$220,MATCH(ROWS($BV$3:BV44),$V$3:$V$220,0),1),CONCATENATE(BV44,BY44)),"")</f>
        <v/>
      </c>
      <c r="CA44" s="259">
        <f t="shared" ca="1" si="65"/>
        <v>0</v>
      </c>
      <c r="CB44" s="259" t="str">
        <f ca="1">IFERROR(IF(OR($BB$1&lt;&gt;$BD$1,$BC$1&lt;&gt;$BE$1,$DS$231&lt;&gt;$DT$231,$DU$231&lt;&gt;$DV$231,$EO$25&lt;&gt;0,$EO$26&lt;&gt;0),INDEX($BI$3:$BK$220,MATCH(ROWS($CB$3:CB44),$BK$3:$BK$220,0),1),CONCATENATE(BQ44,BX44)),"")</f>
        <v/>
      </c>
      <c r="CC44" s="259" t="str">
        <f t="shared" ca="1" si="66"/>
        <v/>
      </c>
      <c r="CD44" s="259" t="str">
        <f t="shared" si="6"/>
        <v/>
      </c>
      <c r="CE44" s="259">
        <f ca="1">IF(IFERROR(MATCH(CD44,DENOMINAZIONE_GIORNALE,0),0)&gt;0,MAX(CE$2:CE43)+1,0)</f>
        <v>0</v>
      </c>
      <c r="CF44" s="259" t="str">
        <f ca="1">IFERROR(INDEX($CD$3:$CE$220,MATCH(ROWS($CF$3:CF44),$CE$3:$CE$220,0),1),"")</f>
        <v/>
      </c>
      <c r="CG44" s="259">
        <f t="shared" ca="1" si="7"/>
        <v>0</v>
      </c>
      <c r="CH44" s="259" t="str">
        <f ca="1">IF(IF(CG44&lt;&gt;0,MAX($CH$2:CH43)+1,0)=0,"",IF(CG44&lt;&gt;"",MAX($CH$2:CH43)+1,0))</f>
        <v/>
      </c>
      <c r="CI44" s="259" t="str">
        <f ca="1">IFERROR(INDEX($CF$3:$CG$220,MATCH(ROWS($CI$3:CI44),$CH$3:$CH$220,0),1),"")</f>
        <v/>
      </c>
      <c r="CJ44" s="259" t="str">
        <f t="shared" ca="1" si="67"/>
        <v/>
      </c>
      <c r="CK44" s="259" t="str">
        <f t="shared" si="8"/>
        <v/>
      </c>
      <c r="CL44" s="259">
        <f ca="1">IF(IFERROR(MATCH(CK44,DENOMINAZIONE_GIORNALE,0),0)&gt;0,MAX(CL$2:CL43)+1,0)</f>
        <v>0</v>
      </c>
      <c r="CM44" s="259" t="str">
        <f ca="1">IFERROR(INDEX($CK$3:$CL$220,MATCH(ROWS($CM$3:CM44),$CL$3:$CL$220,0),1),"")</f>
        <v/>
      </c>
      <c r="CN44" s="259" t="str">
        <f t="shared" ca="1" si="9"/>
        <v/>
      </c>
      <c r="CO44" s="259">
        <f ca="1">IF(IF(CN44&lt;&gt;0,MAX($CO$2:CO43)+1,0)=0,"",IF(CN44&lt;&gt;"",MAX($CO$2:CO43)+1,0))</f>
        <v>0</v>
      </c>
      <c r="CP44" s="259" t="str">
        <f ca="1">IFERROR(INDEX($CM$3:$CN$220,MATCH(ROWS(CP$3:CP44),$CO$3:$CO$220,0),1),"")</f>
        <v/>
      </c>
      <c r="CQ44" s="259" t="str">
        <f ca="1">IFERROR(INDEX($CM$3:$CN$220,MATCH(ROWS(CQ$3:CQ44),$CO$3:$CO$220,0),2),"")</f>
        <v/>
      </c>
      <c r="CR44" s="259" t="str">
        <f t="shared" ca="1" si="154"/>
        <v/>
      </c>
      <c r="CS44" s="259">
        <f t="shared" ca="1" si="11"/>
        <v>0</v>
      </c>
      <c r="CT44" s="259">
        <f t="shared" ca="1" si="12"/>
        <v>0</v>
      </c>
      <c r="CU44" s="259">
        <f ca="1">IF(OR(CS44&gt;0,CT44&gt;0),MAX($CU$2:CU43)+1,0)</f>
        <v>0</v>
      </c>
      <c r="CV44" s="259" t="str">
        <f ca="1">IFERROR(INDEX(PIANO_DEI_CONTI,MATCH(ROWS($CV$3:CV44),$CU$3:$CU$200,0),2),"")</f>
        <v/>
      </c>
      <c r="CW44" s="259">
        <f ca="1">IFERROR(IF(CV44&lt;&gt;"",MAX($CW$2:CW43)+1,0),0)</f>
        <v>0</v>
      </c>
      <c r="CX44" s="259">
        <f t="shared" ca="1" si="162"/>
        <v>3</v>
      </c>
      <c r="CY44" s="259" t="str">
        <f t="shared" ca="1" si="161"/>
        <v>MASTRO</v>
      </c>
      <c r="CZ44" s="259" t="e">
        <f t="shared" ca="1" si="164"/>
        <v>#N/A</v>
      </c>
      <c r="DA44" s="259" t="str">
        <f t="shared" ca="1" si="169"/>
        <v/>
      </c>
      <c r="DB44" s="259" t="str">
        <f t="shared" ca="1" si="165"/>
        <v/>
      </c>
      <c r="DC44" s="259" t="str">
        <f t="shared" ca="1" si="166"/>
        <v/>
      </c>
      <c r="DD44" s="259" t="str">
        <f t="shared" ca="1" si="167"/>
        <v/>
      </c>
      <c r="DE44" s="259" t="str">
        <f t="shared" ca="1" si="168"/>
        <v/>
      </c>
      <c r="DF44" s="259">
        <f ca="1">IF(AND(CX44=$DE$2,$DF$2&lt;&gt;0),0,IF(AND(DB44&lt;&gt;"",OR(DB43&lt;&gt;"",DB45&lt;&gt;"")),MAX($DF$2:DF43)+1,0))</f>
        <v>0</v>
      </c>
      <c r="DG44" s="259" t="str">
        <f>IF(OR(VALORI_INIZIALI!E49="",AND(VALORI_INIZIALI!E49&lt;&gt;"",VALORI_INIZIALI!H49=0,VALORI_INIZIALI!I49=0)),"",IFERROR(INDEX(PIANO_DEI_CONTI,MATCH(BB44,DENOMINAZIONE,0),1),0))</f>
        <v/>
      </c>
      <c r="DH44" s="259">
        <f ca="1">IFERROR(IF($J$1=1,IF(INDEX(PIANO_DEI_CONTI,MATCH($K44,DENOMINAZIONE,0),5)=$DF$1,MAX($DH$2:DH43)+1,0),IF($J$1=2,IF(INDEX(PIANO_DEI_CONTI,MATCH($K44,DENOMINAZIONE,0),7)=$DF$1,MAX($DH$2:DH43)+1,0))),0)</f>
        <v>0</v>
      </c>
      <c r="DI44" s="259">
        <f ca="1">IFERROR(INDEX($K$3:$K$220,MATCH(ROWS($DI$3:DI44),$DH$3:$DH$220,0),1),0)</f>
        <v>0</v>
      </c>
      <c r="DJ44" s="259">
        <f t="shared" ca="1" si="14"/>
        <v>0</v>
      </c>
      <c r="DK44" s="259">
        <f ca="1">IF(DJ44=0,0,MAX(DK$2:DK43)+1)</f>
        <v>0</v>
      </c>
      <c r="DL44" s="259">
        <f ca="1">IFERROR(INDEX(PIANO_DEI_CONTI,MATCH(ROWS(DL$3:DL44),$DK$3:DK271,0),2),0)</f>
        <v>0</v>
      </c>
      <c r="DM44" s="259">
        <f t="shared" ca="1" si="15"/>
        <v>0</v>
      </c>
      <c r="DN44" s="259">
        <f t="shared" ca="1" si="16"/>
        <v>0</v>
      </c>
      <c r="DO44" s="259">
        <f t="shared" ca="1" si="69"/>
        <v>0</v>
      </c>
      <c r="DP44" s="259">
        <f t="shared" ca="1" si="70"/>
        <v>0</v>
      </c>
      <c r="DQ44" s="259">
        <f ca="1">IF(OR($DQ$1="TOTALI",$DQ$1="TOTALI ED ECCEDENZE"),IF(OR(DM44&gt;0,DN44&gt;0),MAX(DQ$2:DQ43)+1,0),IF($DQ$1="ECCEDENZE",IF(OR(DO44&gt;0,DP44&gt;0),MAX(DQ$2:DQ43)+1,0),""))</f>
        <v>0</v>
      </c>
      <c r="DR44" s="259" t="str">
        <f ca="1">IFERROR(INDEX($DL$3:$DQ$230,MATCH(ROWS(DR$3:DR44),$DQ$3:$DQ$230,0),1),"")</f>
        <v/>
      </c>
      <c r="DS44" s="259" t="str">
        <f t="shared" ca="1" si="71"/>
        <v/>
      </c>
      <c r="DT44" s="259" t="str">
        <f t="shared" ca="1" si="72"/>
        <v/>
      </c>
      <c r="DU44" s="259" t="str">
        <f t="shared" ca="1" si="73"/>
        <v/>
      </c>
      <c r="DV44" s="259" t="str">
        <f t="shared" ca="1" si="74"/>
        <v/>
      </c>
      <c r="DW44" s="259">
        <f t="shared" ca="1" si="75"/>
        <v>0</v>
      </c>
      <c r="DX44" s="259" t="str">
        <f t="shared" ca="1" si="76"/>
        <v/>
      </c>
      <c r="DY44" s="259" t="str">
        <f t="shared" ca="1" si="77"/>
        <v/>
      </c>
      <c r="DZ44" s="259" t="str">
        <f t="shared" ca="1" si="78"/>
        <v/>
      </c>
      <c r="EA44" s="259">
        <f t="shared" ca="1" si="79"/>
        <v>42</v>
      </c>
      <c r="EB44" s="259" t="s">
        <v>353</v>
      </c>
      <c r="ED44" s="259">
        <f t="shared" ca="1" si="17"/>
        <v>0</v>
      </c>
      <c r="EE44" s="259" t="str">
        <f t="shared" ca="1" si="155"/>
        <v/>
      </c>
      <c r="EF44" s="259" t="str">
        <f t="shared" ca="1" si="19"/>
        <v/>
      </c>
      <c r="EG44" s="259" t="str">
        <f t="shared" ca="1" si="136"/>
        <v/>
      </c>
      <c r="EH44" s="259" t="str">
        <f t="shared" ca="1" si="80"/>
        <v/>
      </c>
      <c r="EI44" s="260" t="b">
        <f t="shared" ca="1" si="137"/>
        <v>1</v>
      </c>
      <c r="EJ44" s="260" t="b">
        <f t="shared" ca="1" si="138"/>
        <v>1</v>
      </c>
      <c r="EK44" s="260" t="b">
        <f t="shared" ca="1" si="139"/>
        <v>1</v>
      </c>
      <c r="EL44" s="259">
        <f t="shared" si="81"/>
        <v>42</v>
      </c>
      <c r="EM44" s="259">
        <f ca="1">IF(AND(BA44&gt;0,BA44&lt;=$EM$1),MAX($EM$2:EM43)+1,0)</f>
        <v>0</v>
      </c>
      <c r="EN44" s="259">
        <f t="shared" ca="1" si="82"/>
        <v>44</v>
      </c>
      <c r="EP44" s="259" t="str">
        <f t="shared" ca="1" si="20"/>
        <v/>
      </c>
      <c r="EQ44" s="259">
        <f t="shared" ca="1" si="21"/>
        <v>0</v>
      </c>
      <c r="ER44" s="259">
        <f ca="1">IF(ISNA(EQ44),MAX(ER$2:ER43)+1,0)</f>
        <v>0</v>
      </c>
      <c r="ES44" s="259" t="str">
        <f t="shared" ca="1" si="83"/>
        <v/>
      </c>
      <c r="ET44" s="259" t="str">
        <f ca="1">IFERROR(UPPER(INDEX($ER$3:$ES$500,MATCH(ROWS(ET$3:ET44),$ER$3:$ER$500,0),2)),"")</f>
        <v/>
      </c>
      <c r="EY44" s="259">
        <f t="shared" ca="1" si="84"/>
        <v>0</v>
      </c>
      <c r="EZ44" s="259">
        <f t="shared" ca="1" si="84"/>
        <v>0</v>
      </c>
      <c r="FA44" s="259" t="str">
        <f t="shared" ca="1" si="85"/>
        <v/>
      </c>
      <c r="FB44" s="259">
        <f t="shared" ca="1" si="86"/>
        <v>0</v>
      </c>
      <c r="FC44" s="259">
        <f t="shared" ca="1" si="87"/>
        <v>0</v>
      </c>
      <c r="FD44" s="259">
        <f t="shared" ca="1" si="22"/>
        <v>0</v>
      </c>
      <c r="FE44" s="259" t="str">
        <f t="shared" ca="1" si="23"/>
        <v/>
      </c>
      <c r="FF44" s="259" t="str">
        <f t="shared" ca="1" si="88"/>
        <v/>
      </c>
      <c r="FG44" s="259" t="str">
        <f t="shared" si="89"/>
        <v>IVA C/ACCONTO</v>
      </c>
      <c r="FH44" s="259">
        <f t="shared" ca="1" si="156"/>
        <v>0</v>
      </c>
      <c r="FI44" s="259">
        <f t="shared" ca="1" si="25"/>
        <v>0</v>
      </c>
      <c r="FJ44" s="259">
        <f t="shared" ca="1" si="90"/>
        <v>0</v>
      </c>
      <c r="FK44" s="259">
        <f t="shared" ca="1" si="91"/>
        <v>0</v>
      </c>
      <c r="FL44" s="259">
        <f ca="1">IF(OR(FJ44&gt;0,FK44&gt;0),MAX($FL$2:FL43)+1,0)</f>
        <v>0</v>
      </c>
      <c r="FM44" s="259">
        <f t="shared" ca="1" si="26"/>
        <v>0</v>
      </c>
      <c r="FN44" s="259">
        <f ca="1">IF(FM44&lt;0,MAX($FN$2:FN43)+1,0)</f>
        <v>0</v>
      </c>
      <c r="FO44" s="259" t="str">
        <f t="shared" ca="1" si="92"/>
        <v/>
      </c>
      <c r="FP44" s="259" t="str">
        <f ca="1">IFERROR(INDEX($FN$3:$FO$400,MATCH(ROWS($FP$3:FP44),$FN$3:$FN$400,0),2),"")</f>
        <v/>
      </c>
      <c r="FQ44" s="259" t="str">
        <f>IF(AE44="SE AVERE",MAX($FQ$2:FQ43)+1,"")</f>
        <v/>
      </c>
      <c r="FR44" s="259" t="str">
        <f>IF(AE44="SE DARE",MAX($FR$2:FR43)+1,"")</f>
        <v/>
      </c>
      <c r="FS44" s="259">
        <f ca="1">IF(AND(AE44="SP DARE",AA44&lt;&gt;$FS$1,AA44&lt;&gt;$FT$1),MAX($FS$2:FS43)+1,IF(AND(GQ44="SP DARE",AA44&lt;&gt;$FS$1,AA44&lt;&gt;$FT$1),MAX($FS$2:FS43)+1,""))</f>
        <v>119</v>
      </c>
      <c r="FT44" s="259" t="str">
        <f ca="1">IF(AND(AE44="SP AVERE",AA44&lt;&gt;$FU$1),MAX($FT$2:FT43)+1,IF(AND(GQ44="SP AVERE",AA44&lt;&gt;$FU$1),MAX($FT$2:FT43)+1,""))</f>
        <v/>
      </c>
      <c r="FU44" s="259">
        <f t="shared" ca="1" si="93"/>
        <v>119</v>
      </c>
      <c r="FV44" s="259" t="str">
        <f t="shared" si="94"/>
        <v>IVA C/ACCONTO</v>
      </c>
      <c r="FW44" s="259" t="str">
        <f ca="1">IFERROR(INDEX($FU$3:$FV$500,MATCH(ROWS($FW$3:FW44),$FU$3:$FU$500,0),2),0)</f>
        <v>COSTI DI TENUTA C/C</v>
      </c>
      <c r="FX44" s="259">
        <f t="shared" ca="1" si="95"/>
        <v>42</v>
      </c>
      <c r="FY44" s="259">
        <f t="shared" ca="1" si="96"/>
        <v>0</v>
      </c>
      <c r="FZ44" s="259">
        <f ca="1">IF(FY44&gt;0,MAX($FZ$2:FZ43)+1,0)</f>
        <v>0</v>
      </c>
      <c r="GA44" s="259">
        <f ca="1">IFERROR(INDEX($FY$3:$FZ$500,MATCH(ROWS($GA$3:GA44),$FZ$3:$FZ$500,0),1),0)</f>
        <v>0</v>
      </c>
      <c r="GC44" s="259">
        <f t="shared" ca="1" si="97"/>
        <v>42</v>
      </c>
      <c r="GD44" s="259" t="str">
        <f t="shared" ca="1" si="98"/>
        <v>COSTI DI TENUTA C/C</v>
      </c>
      <c r="GG44" s="259">
        <f t="shared" ca="1" si="27"/>
        <v>0</v>
      </c>
      <c r="GH44" s="259">
        <f t="shared" ca="1" si="99"/>
        <v>0</v>
      </c>
      <c r="GI44" s="259">
        <f t="shared" ca="1" si="100"/>
        <v>0</v>
      </c>
      <c r="GJ44" s="259">
        <f t="shared" ca="1" si="101"/>
        <v>0</v>
      </c>
      <c r="GK44" s="259">
        <f t="shared" ca="1" si="102"/>
        <v>0</v>
      </c>
      <c r="GL44" s="259">
        <f t="shared" ca="1" si="103"/>
        <v>0</v>
      </c>
      <c r="GM44" s="259">
        <f ca="1">IF(OR(GK44&gt;0,GL44&gt;0),MAX($GM$2:GM43)+1,0)</f>
        <v>0</v>
      </c>
      <c r="GN44" s="259" t="str">
        <f ca="1">IFERROR(INDEX($GD$3:$GM$400,MATCH(ROWS($GN$3:GN44),$GM$3:$GM$400,0),1),"")</f>
        <v/>
      </c>
      <c r="GO44" s="259" t="str">
        <f ca="1">IFERROR(INDEX($GD$3:$GM$400,MATCH(ROWS($GO$3:GO44),$GM$3:$GM$400,0),8),"")</f>
        <v/>
      </c>
      <c r="GP44" s="259" t="str">
        <f ca="1">IFERROR(INDEX($GD$3:$GM$400,MATCH(ROWS($GP$3:GP44),$GM$3:$GM$400,0),9),"")</f>
        <v/>
      </c>
      <c r="GQ44" s="259">
        <f t="shared" ca="1" si="28"/>
        <v>0</v>
      </c>
      <c r="GR44" s="259">
        <f t="shared" ca="1" si="104"/>
        <v>0</v>
      </c>
      <c r="GS44" s="259" t="str">
        <f t="shared" si="105"/>
        <v>epilogo a Conto economico</v>
      </c>
      <c r="GT44" s="259" t="str">
        <f ca="1">IFERROR(INDEX($GD$3:$GS$400,MATCH(ROWS($GT$3:GT44),$GM$3:$GM$400,0),16),"")</f>
        <v/>
      </c>
      <c r="GU44" s="259">
        <f ca="1">IF(GQ44&lt;&gt;0,MAX($GU$2:$GU43)+1,0)</f>
        <v>0</v>
      </c>
      <c r="GV44" s="259">
        <f t="shared" ca="1" si="106"/>
        <v>0</v>
      </c>
      <c r="GW44" s="259" t="str">
        <f ca="1">IF(AND(IFERROR(INDEX($GU$3:$GV$400,MATCH(ROWS($GW$3:GW44),$GU$3:$GU$400,0),2),"")&lt;&gt;"",GW45&lt;&gt;""),CONCATENATE(IFERROR(INDEX($GU$3:$GV$400,MATCH(ROWS($GW$3:GW44),$GU$3:$GU$400,0),2),"")," - "),IFERROR(INDEX($GU$3:$GV$400,MATCH(ROWS($GW$3:GW44),$GU$3:$GU$400,0),2),""))</f>
        <v/>
      </c>
      <c r="GX44" s="259">
        <f ca="1">IF(OR(GN44="IVA NS/CREDITO",GN44="IVA NS/DEBITO",GN44="IVA C/ACCONTO",GN44="IMPOSTE C/ACCONTO"),MAX($GX$2:GX43)+1,0)</f>
        <v>0</v>
      </c>
      <c r="GY44" s="259" t="str">
        <f ca="1">IF(AND(IFERROR(INDEX($GN$3:$GX$200,MATCH(ROWS($GY$3:GY44),$GX$3:$GX$200,0),1),"")&lt;&gt;"",GY45&lt;&gt;""),CONCATENATE(IFERROR(INDEX($GN$3:$GX$200,MATCH(ROWS($GY$3:GY44),$GX$3:$GX$200,0),1),"")," - "),IFERROR(INDEX($GN$3:$GX$200,MATCH(ROWS($GY$3:GY44),$GX$3:$GX$200,0),1),""))</f>
        <v/>
      </c>
      <c r="GZ44" s="259" t="s">
        <v>64</v>
      </c>
      <c r="HA44" s="259" t="s">
        <v>54</v>
      </c>
      <c r="HB44" s="269" t="s">
        <v>257</v>
      </c>
      <c r="HC44" s="269" t="s">
        <v>276</v>
      </c>
      <c r="HD44" s="269" t="s">
        <v>6</v>
      </c>
      <c r="HE44" s="269" t="s">
        <v>206</v>
      </c>
      <c r="HL44" s="259" t="str">
        <f t="shared" ca="1" si="157"/>
        <v/>
      </c>
      <c r="HM44" s="259" t="str">
        <f t="shared" ca="1" si="158"/>
        <v/>
      </c>
      <c r="HN44" s="259" t="str">
        <f t="shared" ca="1" si="159"/>
        <v/>
      </c>
      <c r="HO44" s="259">
        <f ca="1">IF(HL44&lt;&gt;"",MAX($HO$2:HO43)+1,0)</f>
        <v>0</v>
      </c>
      <c r="HP44" s="259">
        <f ca="1">IF(HM44&lt;&gt;"",MAX($HP$2:HP43)+1,0)</f>
        <v>0</v>
      </c>
      <c r="HQ44" s="259">
        <f ca="1">IF(HN44&lt;&gt;"",MAX($HQ$2:HQ43)+1,0)</f>
        <v>0</v>
      </c>
      <c r="HR44" s="259" t="str">
        <f t="shared" ca="1" si="107"/>
        <v/>
      </c>
      <c r="HS44" s="259" t="str">
        <f t="shared" ca="1" si="108"/>
        <v/>
      </c>
      <c r="HT44" s="259">
        <f t="shared" ca="1" si="109"/>
        <v>0</v>
      </c>
      <c r="HU44" s="259">
        <f t="shared" ca="1" si="110"/>
        <v>0</v>
      </c>
      <c r="HV44" s="259" t="str">
        <f ca="1">CONCATENATE(IFERROR(INDEX($HS$3:$HT$102,MATCH(ROWS($HV$3:HV44),$HT$3:$HT$102,0),1),""),HR44)</f>
        <v/>
      </c>
      <c r="IB44" s="259" t="s">
        <v>305</v>
      </c>
      <c r="IC44" s="259">
        <f ca="1">IFERROR(INDEX(PIANO_DEI_CONTI,MATCH(ROWS(DL$3:DL44),$DK$3:DK271,0),2),0)</f>
        <v>0</v>
      </c>
      <c r="ID44" s="259">
        <f t="shared" ca="1" si="111"/>
        <v>0</v>
      </c>
      <c r="IE44" s="259">
        <f t="shared" ca="1" si="112"/>
        <v>0</v>
      </c>
      <c r="IF44" s="259">
        <f t="shared" ca="1" si="113"/>
        <v>0</v>
      </c>
      <c r="IG44" s="259">
        <f ca="1">IF(SUMIFS($ID$3:$ID$200,$IF$3:$IF$200,IA44)&lt;=SUMIFS($IE$3:$IE$200,$IF$3:$IF$200,IA44),SUMIFS($IE$3:$IE$200,$IF$3:$IF$200,IA44)-SUMIFS($ID$3:$ID$200,$IF$3:$IF$200,IA44),0)</f>
        <v>0</v>
      </c>
      <c r="IH44" s="259">
        <f ca="1">IF(IG44&lt;&gt;0,MAX($IH$35:IH43)+1,0)</f>
        <v>0</v>
      </c>
      <c r="II44" s="259">
        <f>IF(AD44="costi pluriennali",MAX($II$2:II43)+1,0)</f>
        <v>0</v>
      </c>
      <c r="IJ44" s="259">
        <f>IF($AD44="rettifiche costi pluriennali",MAX($IJ$2:IJ43)+1,0)</f>
        <v>0</v>
      </c>
      <c r="IK44" s="259">
        <f t="shared" si="114"/>
        <v>0</v>
      </c>
      <c r="IL44" s="259" t="str">
        <f t="shared" si="115"/>
        <v/>
      </c>
      <c r="IM44" s="259">
        <f t="shared" ca="1" si="116"/>
        <v>0</v>
      </c>
      <c r="IN44" s="259">
        <f t="shared" ca="1" si="141"/>
        <v>0</v>
      </c>
      <c r="IO44" s="259">
        <f>SUMIFS($IM$3:$IM$200,$IK$3:$IK$200,ROWS($IO$3:IO44))-SUMIFS($IN$3:$IN$200,$IK$3:$IK$200,ROWS($IO$3:IO44))</f>
        <v>0</v>
      </c>
      <c r="IP44" s="259" t="str">
        <f>IF(IO44&lt;0,INDEX($IJ$3:$IL$200,MATCH(ROWS($IP$3:IP44),$IJ$3:$IJ$200,0),3),"")</f>
        <v/>
      </c>
      <c r="IQ44" s="259">
        <f>IF(IP44&lt;&gt;"",MAX($IQ$2:IQ43)+1,0)</f>
        <v>0</v>
      </c>
      <c r="IR44" s="259" t="str">
        <f ca="1">IFERROR(INDEX($IP$3:$IQ$200,MATCH(ROWS($IR$3:IR44),$IQ$3:$IQ$200,0),1),"")</f>
        <v/>
      </c>
      <c r="IS44" s="259" t="str">
        <f t="shared" ca="1" si="117"/>
        <v/>
      </c>
      <c r="IT44" s="259" t="str">
        <f t="shared" ca="1" si="118"/>
        <v/>
      </c>
      <c r="IU44" s="259" t="str">
        <f t="shared" ca="1" si="119"/>
        <v/>
      </c>
      <c r="IV44" s="259" t="str">
        <f t="shared" ca="1" si="120"/>
        <v/>
      </c>
      <c r="IW44" s="259" t="str">
        <f t="shared" ca="1" si="121"/>
        <v/>
      </c>
      <c r="IX44" s="259" t="str">
        <f t="shared" ca="1" si="122"/>
        <v/>
      </c>
      <c r="IY44" s="259" t="str">
        <f t="shared" ca="1" si="123"/>
        <v/>
      </c>
      <c r="IZ44" s="259" t="str">
        <f t="shared" ca="1" si="124"/>
        <v/>
      </c>
      <c r="JA44" s="259" t="str">
        <f t="shared" ca="1" si="125"/>
        <v/>
      </c>
      <c r="JB44" s="259">
        <f t="shared" ca="1" si="32"/>
        <v>0</v>
      </c>
      <c r="JC44" s="259">
        <f t="shared" ca="1" si="126"/>
        <v>0</v>
      </c>
      <c r="JE44" s="259">
        <f ca="1">IFERROR(INDEX(LIBRO_GIORNALE!$N$11:$O$408,MATCH(ROWS($JE$2:JE43),LIBRO_GIORNALE!$O$11:$O$408,0),1),0)</f>
        <v>0</v>
      </c>
      <c r="JF44" s="259" t="str">
        <f t="shared" ca="1" si="127"/>
        <v>0</v>
      </c>
      <c r="JG44" s="259">
        <f t="shared" ca="1" si="128"/>
        <v>0</v>
      </c>
      <c r="JH44" s="259">
        <f ca="1">IF(JJ44&gt;0,0,MAX($JH$2:JH43)+1)</f>
        <v>42</v>
      </c>
      <c r="JI44" s="259">
        <f ca="1">IF(JG44&gt;0,MAX($JI$2:JI43)+1,0)</f>
        <v>0</v>
      </c>
      <c r="JJ44" s="259">
        <f ca="1">IFERROR(INDEX($JG$3:$JI$124,MATCH(ROWS($JJ$3:JJ44),$JI$3:$JI$124,0),1),0)</f>
        <v>0</v>
      </c>
      <c r="JK44" s="259">
        <f t="shared" ca="1" si="129"/>
        <v>0</v>
      </c>
      <c r="JL44" s="259">
        <f t="shared" ca="1" si="130"/>
        <v>42</v>
      </c>
    </row>
    <row r="45" spans="1:273">
      <c r="A45" s="259" t="str">
        <f t="shared" si="33"/>
        <v>05.11</v>
      </c>
      <c r="B45" s="259" t="str">
        <f t="shared" si="34"/>
        <v>CAMBIALI INSOLUTE</v>
      </c>
      <c r="C45" s="259" t="str">
        <f t="shared" si="35"/>
        <v>F</v>
      </c>
      <c r="D45" s="259" t="str">
        <f t="shared" si="36"/>
        <v>D</v>
      </c>
      <c r="E45" s="259" t="str">
        <f t="shared" si="37"/>
        <v>CREDITI</v>
      </c>
      <c r="F45" s="259" t="str">
        <f t="shared" si="38"/>
        <v>SP DARE</v>
      </c>
      <c r="G45" s="259">
        <f t="shared" ca="1" si="39"/>
        <v>1</v>
      </c>
      <c r="H45" s="259">
        <f t="shared" ca="1" si="40"/>
        <v>1</v>
      </c>
      <c r="I45" s="259">
        <f t="shared" ca="1" si="41"/>
        <v>1</v>
      </c>
      <c r="K45" s="259" t="str">
        <f ca="1">IFERROR(IF($I$1=1,INDEX($AA$3:$AS$220,MATCH(ROWS($K$3:K45),$AQ$3:$AQ$220,0),1),IF($I$1=2,INDEX($AA$3:$AS$220,MATCH(ROWS($K$3:K45),$AR$3:$AR$220,0),1),IF($I$1=3,INDEX($AA$3:$AS$220,MATCH(ROWS($K$3:K45),$AS$3:$AS$220,0),1),""))),"")</f>
        <v>CREDITI PER IVA</v>
      </c>
      <c r="L45" s="259">
        <f ca="1">IF(AND($L$1="VISUALIZZA TUTTI I CONTI",K45&lt;&gt;""),MAX(L44:L44)+1,IFERROR(IF($J$1=1,IF(INDEX(PIANO_DEI_CONTI,MATCH($K45,DENOMINAZIONE,0),5)=$L$1,MAX($L$2:L44)+1,0),IF($J$1=2,IF(INDEX(PIANO_DEI_CONTI,MATCH($K45,DENOMINAZIONE,0),7)=$L$1,MAX($L$2:L44)+1,0))),0))</f>
        <v>43</v>
      </c>
      <c r="M45" s="259" t="str">
        <f ca="1">IFERROR(INDEX($K$3:$K$220,MATCH(ROWS($M$3:M45),$L$3:$L$220,0),1),"")</f>
        <v>CREDITI PER IVA</v>
      </c>
      <c r="N45" s="259" t="str">
        <f t="shared" si="143"/>
        <v xml:space="preserve">ACCANTONAMENTI </v>
      </c>
      <c r="O45" s="259" t="str">
        <f t="shared" ca="1" si="142"/>
        <v xml:space="preserve">ACCANTONAMENTI </v>
      </c>
      <c r="P45" s="259">
        <f ca="1">IF(AND(N45=O45,O45&lt;&gt;""),MAX(P$2:P44)+1,0)</f>
        <v>28</v>
      </c>
      <c r="Q45" s="259" t="str">
        <f ca="1">IF(IFERROR(INDEX($O$3:$P$220,MATCH(ROWS(Q$3:Q45),$P$3:$P$220,0),1),"")=0,"",IFERROR(INDEX($O$3:$P$220,MATCH(ROWS(Q$3:Q45),$P$3:$P$220,0),1),""))</f>
        <v/>
      </c>
      <c r="R45" s="259" t="str">
        <f t="shared" si="1"/>
        <v>CREDITI PER IVA</v>
      </c>
      <c r="S45" s="259">
        <f ca="1">IF(IFERROR(MATCH(R45,DENOMINAZIONE_GIORNALE,0),0)&gt;0,MAX(S$2:S44)+1,0)</f>
        <v>0</v>
      </c>
      <c r="T45" s="259" t="str">
        <f ca="1">IFERROR(INDEX($R$3:$S$220,MATCH(ROWS($T$3:T45),$S$3:$S$220,0),1),"")</f>
        <v/>
      </c>
      <c r="U45" s="259">
        <f t="shared" ca="1" si="2"/>
        <v>0</v>
      </c>
      <c r="V45" s="259">
        <f ca="1">IF(IF(U45&lt;&gt;0,MAX($V$2:V44)+1,0)=0,0,IF(U45&lt;&gt;0,MAX($V$2:V44)+1,0))</f>
        <v>0</v>
      </c>
      <c r="W45" s="259" t="str">
        <f t="shared" si="43"/>
        <v>05.11</v>
      </c>
      <c r="X45" s="259" t="str">
        <f t="shared" si="44"/>
        <v>CAMBIALI INSOLUTE</v>
      </c>
      <c r="Y45" s="259">
        <f>IF(W45="",0,MAX($Y$2:Y44)+1)</f>
        <v>38</v>
      </c>
      <c r="Z45" s="259" t="str">
        <f>IFERROR(INDEX($W$3:$Y$220,MATCH(ROWS($Z$2:Z44),$Y$3:$Y$220,0),1),"")</f>
        <v>06.03</v>
      </c>
      <c r="AA45" s="259" t="str">
        <f t="shared" si="45"/>
        <v>CREDITI PER IVA</v>
      </c>
      <c r="AB45" s="259" t="str">
        <f t="shared" si="46"/>
        <v>F</v>
      </c>
      <c r="AC45" s="259" t="str">
        <f t="shared" si="47"/>
        <v>D</v>
      </c>
      <c r="AD45" s="259" t="str">
        <f t="shared" si="48"/>
        <v>CREDITI</v>
      </c>
      <c r="AE45" s="259" t="str">
        <f t="shared" si="49"/>
        <v>SP DARE</v>
      </c>
      <c r="AF45" s="259" t="str">
        <f t="shared" si="50"/>
        <v>CREDITI DIVERSI</v>
      </c>
      <c r="AG45" s="259">
        <f t="shared" ca="1" si="51"/>
        <v>0</v>
      </c>
      <c r="AH45" s="259">
        <f t="shared" ca="1" si="52"/>
        <v>0</v>
      </c>
      <c r="AI45" s="259">
        <f t="shared" ca="1" si="53"/>
        <v>1</v>
      </c>
      <c r="AJ45" s="259" t="str">
        <f t="shared" si="54"/>
        <v>06</v>
      </c>
      <c r="AK45" s="259" t="str">
        <f t="shared" si="55"/>
        <v/>
      </c>
      <c r="AL45" s="259">
        <f>IF(AK45&lt;&gt;"",MAX($AL$2:AL44)+1,0)</f>
        <v>0</v>
      </c>
      <c r="AM45" s="259" t="str">
        <f>IFERROR(INDEX($AK$3:$AL$220,MATCH(ROWS($AM$3:AM45),$AL$3:$AL$220,0),1),"")</f>
        <v/>
      </c>
      <c r="AN45" s="259" t="str">
        <f t="shared" si="56"/>
        <v/>
      </c>
      <c r="AO45" s="259" t="str">
        <f t="shared" si="57"/>
        <v/>
      </c>
      <c r="AP45" s="259" t="str">
        <f t="shared" si="58"/>
        <v>CREDITI DIVERSI</v>
      </c>
      <c r="AQ45" s="259">
        <f ca="1">IF(OR(AG45=0,AG45=""),0,MAX(AQ$2:AQ44)+1)</f>
        <v>0</v>
      </c>
      <c r="AR45" s="259">
        <f ca="1">IF(OR(AH45=0,AH45=""),0,MAX(AR$2:AR44)+1)</f>
        <v>0</v>
      </c>
      <c r="AS45" s="259">
        <f ca="1">IF(OR(AI45=0,AI45=""),0,MAX(AS$2:AS44)+1)</f>
        <v>43</v>
      </c>
      <c r="AT45" s="259" t="str">
        <f ca="1">IFERROR(INDEX($AD$3:$AS$220,MATCH(ROWS(AT$3:AT45),AQ$3:AQ$220,0),1),"")</f>
        <v>DEBITI</v>
      </c>
      <c r="AU45" s="259" t="str">
        <f ca="1">IFERROR(INDEX($AD$3:$AS$220,MATCH(ROWS(AU$3:AU45),AR$3:AR$220,0),1),"")</f>
        <v>DISPONIBILITÀ LIQUIDE</v>
      </c>
      <c r="AV45" s="259" t="str">
        <f ca="1">IFERROR(INDEX($AD$3:$AS$220,MATCH(ROWS(AV$3:AV45),AS$3:AS$220,0),1),"")</f>
        <v>CREDITI</v>
      </c>
      <c r="AW45" s="259" t="str">
        <f ca="1">IFERROR(INDEX($AP$3:$AS$220,MATCH(ROWS(AW$3:AW45),AQ$3:AQ$220,0),1),"")</f>
        <v>DEBITI DIVERSI</v>
      </c>
      <c r="AX45" s="259" t="str">
        <f ca="1">IFERROR(INDEX($AP$3:$AS$220,MATCH(ROWS(AX$3:AX45),AR$3:AR$220,0),1),"")</f>
        <v>DISPONIBILITÀ LIQUIDE</v>
      </c>
      <c r="AY45" s="259" t="str">
        <f ca="1">IFERROR(INDEX($AP$3:$AS$220,MATCH(ROWS(AY$3:AY45),AS$3:AS$220,0),1),"")</f>
        <v>CREDITI DIVERSI</v>
      </c>
      <c r="AZ45" s="276" t="str">
        <f t="shared" ca="1" si="59"/>
        <v/>
      </c>
      <c r="BA45" s="259">
        <f t="shared" ca="1" si="153"/>
        <v>0</v>
      </c>
      <c r="BB45" s="259">
        <f ca="1">IFERROR(INDEX($FG$3:$FL$400,MATCH(ROWS($BB$3:BB45),$FL$3:$FL$400,0),1),0)</f>
        <v>0</v>
      </c>
      <c r="BC45" s="259" t="str">
        <f t="shared" ca="1" si="60"/>
        <v/>
      </c>
      <c r="BD45" s="259">
        <f ca="1">IFERROR(INDEX($FG$3:$FL$400,MATCH(ROWS($BD$3:BD45),$FL$3:$FL$400,0),4),0)</f>
        <v>0</v>
      </c>
      <c r="BE45" s="259">
        <f ca="1">IFERROR(INDEX($FG$3:$FL$400,MATCH(ROWS($BE$3:BE45),$FL$3:$FL$400,0),5),0)</f>
        <v>0</v>
      </c>
      <c r="BG45" s="259" t="str">
        <f t="shared" si="4"/>
        <v/>
      </c>
      <c r="BH45" s="259">
        <f ca="1">IF(IFERROR(MATCH(BG45,DENOMINAZIONE_GIORNALE,0),0)&gt;0,MAX(BH$2:BH44)+1,0)</f>
        <v>0</v>
      </c>
      <c r="BI45" s="259" t="str">
        <f ca="1">IFERROR(INDEX($BG$3:$BH$220,MATCH(ROWS($BI$3:BI45),$BH$3:$BH$220,0),1),"")</f>
        <v/>
      </c>
      <c r="BJ45" s="259" t="str">
        <f t="shared" ca="1" si="5"/>
        <v/>
      </c>
      <c r="BK45" s="259" t="str">
        <f ca="1">IF(IF(BJ45&lt;&gt;"",MAX($BK$2:BK44)+1,0)=0,"",IF(BJ45&lt;&gt;"",MAX($BK$2:BK44)+1,0))</f>
        <v/>
      </c>
      <c r="BL45" s="259" t="str">
        <f ca="1">IFERROR(INDEX($T$3:$U$220, MATCH(ROWS(BL$3:BL45),$V$3:$V$220,0),1),"")</f>
        <v/>
      </c>
      <c r="BM45" s="259" t="str">
        <f ca="1">IFERROR(INDEX($T$3:$U$220, MATCH(ROWS(BM$3:BM45),$V$3:$V$220,0),2),"")</f>
        <v/>
      </c>
      <c r="BN45" s="259" t="str">
        <f ca="1">IF(IFERROR(INDEX($BI$3:$BJ$220,MATCH(ROWS(BN$3:BN45),$BK$3:$BK$220,0),1),"")="PATRIMONIO NETTO","",IFERROR(INDEX($BI$3:$BJ$220,MATCH(ROWS(BN$3:BN45),$BK$3:$BK$220,0),1),""))</f>
        <v/>
      </c>
      <c r="BO45" s="259" t="str">
        <f ca="1">IFERROR(INDEX($BI$3:$BJ$220,MATCH(ROWS(BO$3:BO45),$BK$3:$BK$220,0),2),"")</f>
        <v/>
      </c>
      <c r="BP45" s="259">
        <f ca="1">IF(BN45&lt;&gt;"",MAX(BP$2:$BP44)+1,0)</f>
        <v>0</v>
      </c>
      <c r="BQ45" s="259" t="str">
        <f ca="1">IFERROR(INDEX($BN$3:$BO$200,MATCH(ROWS(BQ$3:BQ45),$BP$3:$BP$220,0),1),"")</f>
        <v/>
      </c>
      <c r="BR45" s="259" t="str">
        <f ca="1">IFERROR(INDEX($BN$3:$BO$220,MATCH(ROWS(BR$3:BR45),$BP$3:$BP$220,0),2),"")</f>
        <v/>
      </c>
      <c r="BS45" s="259" t="str">
        <f ca="1">IFERROR(IF(OR(INDEX($T$3:$U$220,MATCH(ROWS(BL$3:BL45),$V$3:$V$220,0),1)="PRELEVAMENTI EXTRAGESTIONE",INDEX($T$3:$U$220,MATCH(ROWS(BL$3:BL45),$V$3:$V$220,0),1)="TITOLARE C/RITENUTE SUBITE"),"",INDEX($T$3:$U$220,MATCH(ROWS(BL$3:BL45),$V$3:$V$220,0),1)),"")</f>
        <v/>
      </c>
      <c r="BT45" s="259">
        <f t="shared" ca="1" si="61"/>
        <v>0</v>
      </c>
      <c r="BU45" s="259">
        <f ca="1">IF(BS45&lt;&gt;"",MAX(BU$2:BU44)+1,0)</f>
        <v>0</v>
      </c>
      <c r="BV45" s="259" t="str">
        <f ca="1">IFERROR(INDEX($BS$3:$BT$223,MATCH(ROWS(BV$3:BV45),$BU$3:$BU$223,0),1),"")</f>
        <v/>
      </c>
      <c r="BW45" s="259">
        <f t="shared" ca="1" si="62"/>
        <v>0</v>
      </c>
      <c r="BX45" s="259" t="str">
        <f t="shared" ca="1" si="63"/>
        <v/>
      </c>
      <c r="BY45" s="259" t="str">
        <f t="shared" ca="1" si="64"/>
        <v/>
      </c>
      <c r="BZ45" s="259" t="str">
        <f ca="1">IFERROR(IF(OR($DS$231&lt;&gt;$DT$231,$DU$231&lt;&gt;$DV$231,$EO$25&lt;&gt;0,$EO$26&lt;&gt;0),INDEX($T$3:$V$220,MATCH(ROWS($BV$3:BV45),$V$3:$V$220,0),1),CONCATENATE(BV45,BY45)),"")</f>
        <v/>
      </c>
      <c r="CA45" s="259">
        <f t="shared" ca="1" si="65"/>
        <v>0</v>
      </c>
      <c r="CB45" s="259" t="str">
        <f ca="1">IFERROR(IF(OR($BB$1&lt;&gt;$BD$1,$BC$1&lt;&gt;$BE$1,$DS$231&lt;&gt;$DT$231,$DU$231&lt;&gt;$DV$231,$EO$25&lt;&gt;0,$EO$26&lt;&gt;0),INDEX($BI$3:$BK$220,MATCH(ROWS($CB$3:CB45),$BK$3:$BK$220,0),1),CONCATENATE(BQ45,BX45)),"")</f>
        <v/>
      </c>
      <c r="CC45" s="259" t="str">
        <f t="shared" ca="1" si="66"/>
        <v/>
      </c>
      <c r="CD45" s="259" t="str">
        <f t="shared" si="6"/>
        <v/>
      </c>
      <c r="CE45" s="259">
        <f ca="1">IF(IFERROR(MATCH(CD45,DENOMINAZIONE_GIORNALE,0),0)&gt;0,MAX(CE$2:CE44)+1,0)</f>
        <v>0</v>
      </c>
      <c r="CF45" s="259" t="str">
        <f ca="1">IFERROR(INDEX($CD$3:$CE$220,MATCH(ROWS($CF$3:CF45),$CE$3:$CE$220,0),1),"")</f>
        <v/>
      </c>
      <c r="CG45" s="259">
        <f t="shared" ca="1" si="7"/>
        <v>0</v>
      </c>
      <c r="CH45" s="259" t="str">
        <f ca="1">IF(IF(CG45&lt;&gt;0,MAX($CH$2:CH44)+1,0)=0,"",IF(CG45&lt;&gt;"",MAX($CH$2:CH44)+1,0))</f>
        <v/>
      </c>
      <c r="CI45" s="259" t="str">
        <f ca="1">IFERROR(INDEX($CF$3:$CG$220,MATCH(ROWS($CI$3:CI45),$CH$3:$CH$220,0),1),"")</f>
        <v/>
      </c>
      <c r="CJ45" s="259" t="str">
        <f t="shared" ca="1" si="67"/>
        <v/>
      </c>
      <c r="CK45" s="259" t="str">
        <f t="shared" si="8"/>
        <v/>
      </c>
      <c r="CL45" s="259">
        <f ca="1">IF(IFERROR(MATCH(CK45,DENOMINAZIONE_GIORNALE,0),0)&gt;0,MAX(CL$2:CL44)+1,0)</f>
        <v>0</v>
      </c>
      <c r="CM45" s="259" t="str">
        <f ca="1">IFERROR(INDEX($CK$3:$CL$220,MATCH(ROWS($CM$3:CM45),$CL$3:$CL$220,0),1),"")</f>
        <v/>
      </c>
      <c r="CN45" s="259" t="str">
        <f t="shared" ca="1" si="9"/>
        <v/>
      </c>
      <c r="CO45" s="259">
        <f ca="1">IF(IF(CN45&lt;&gt;0,MAX($CO$2:CO44)+1,0)=0,"",IF(CN45&lt;&gt;"",MAX($CO$2:CO44)+1,0))</f>
        <v>0</v>
      </c>
      <c r="CP45" s="259" t="str">
        <f ca="1">IFERROR(INDEX($CM$3:$CN$220,MATCH(ROWS(CP$3:CP45),$CO$3:$CO$220,0),1),"")</f>
        <v/>
      </c>
      <c r="CQ45" s="259" t="str">
        <f ca="1">IFERROR(INDEX($CM$3:$CN$220,MATCH(ROWS(CQ$3:CQ45),$CO$3:$CO$220,0),2),"")</f>
        <v/>
      </c>
      <c r="CR45" s="259" t="str">
        <f t="shared" ca="1" si="154"/>
        <v/>
      </c>
      <c r="CS45" s="259">
        <f t="shared" ca="1" si="11"/>
        <v>0</v>
      </c>
      <c r="CT45" s="259">
        <f t="shared" ca="1" si="12"/>
        <v>0</v>
      </c>
      <c r="CU45" s="259">
        <f ca="1">IF(OR(CS45&gt;0,CT45&gt;0),MAX($CU$2:CU44)+1,0)</f>
        <v>0</v>
      </c>
      <c r="CV45" s="259" t="str">
        <f ca="1">IFERROR(INDEX(PIANO_DEI_CONTI,MATCH(ROWS($CV$3:CV45),$CU$3:$CU$200,0),2),"")</f>
        <v/>
      </c>
      <c r="CW45" s="259">
        <f ca="1">IFERROR(IF(CV45&lt;&gt;"",MAX($CW$2:CW44)+1,0),0)</f>
        <v>0</v>
      </c>
      <c r="CX45" s="259">
        <f t="shared" ca="1" si="162"/>
        <v>3</v>
      </c>
      <c r="CY45" s="259" t="str">
        <f t="shared" ca="1" si="161"/>
        <v>MASTRO</v>
      </c>
      <c r="CZ45" s="259" t="e">
        <f t="shared" ca="1" si="164"/>
        <v>#N/A</v>
      </c>
      <c r="DA45" s="259" t="str">
        <f t="shared" ca="1" si="169"/>
        <v/>
      </c>
      <c r="DB45" s="259" t="str">
        <f t="shared" ca="1" si="165"/>
        <v/>
      </c>
      <c r="DC45" s="259" t="str">
        <f t="shared" ca="1" si="166"/>
        <v/>
      </c>
      <c r="DD45" s="259" t="str">
        <f t="shared" ca="1" si="167"/>
        <v/>
      </c>
      <c r="DE45" s="259" t="str">
        <f t="shared" ca="1" si="168"/>
        <v/>
      </c>
      <c r="DF45" s="259">
        <f ca="1">IF(AND(CX45=$DE$2,$DF$2&lt;&gt;0),0,IF(AND(DB45&lt;&gt;"",OR(DB44&lt;&gt;"",DB46&lt;&gt;"")),MAX($DF$2:DF44)+1,0))</f>
        <v>0</v>
      </c>
      <c r="DG45" s="259" t="str">
        <f>IF(OR(VALORI_INIZIALI!E50="",AND(VALORI_INIZIALI!E50&lt;&gt;"",VALORI_INIZIALI!H50=0,VALORI_INIZIALI!I50=0)),"",IFERROR(INDEX(PIANO_DEI_CONTI,MATCH(BB45,DENOMINAZIONE,0),1),0))</f>
        <v/>
      </c>
      <c r="DH45" s="259">
        <f ca="1">IFERROR(IF($J$1=1,IF(INDEX(PIANO_DEI_CONTI,MATCH($K45,DENOMINAZIONE,0),5)=$DF$1,MAX($DH$2:DH44)+1,0),IF($J$1=2,IF(INDEX(PIANO_DEI_CONTI,MATCH($K45,DENOMINAZIONE,0),7)=$DF$1,MAX($DH$2:DH44)+1,0))),0)</f>
        <v>0</v>
      </c>
      <c r="DI45" s="259">
        <f ca="1">IFERROR(INDEX($K$3:$K$220,MATCH(ROWS($DI$3:DI45),$DH$3:$DH$220,0),1),0)</f>
        <v>0</v>
      </c>
      <c r="DJ45" s="259">
        <f t="shared" ca="1" si="14"/>
        <v>0</v>
      </c>
      <c r="DK45" s="259">
        <f ca="1">IF(DJ45=0,0,MAX(DK$2:DK44)+1)</f>
        <v>0</v>
      </c>
      <c r="DL45" s="259">
        <f ca="1">IFERROR(INDEX(PIANO_DEI_CONTI,MATCH(ROWS(DL$3:DL45),$DK$3:DK272,0),2),0)</f>
        <v>0</v>
      </c>
      <c r="DM45" s="259">
        <f t="shared" ca="1" si="15"/>
        <v>0</v>
      </c>
      <c r="DN45" s="259">
        <f t="shared" ca="1" si="16"/>
        <v>0</v>
      </c>
      <c r="DO45" s="259">
        <f t="shared" ca="1" si="69"/>
        <v>0</v>
      </c>
      <c r="DP45" s="259">
        <f t="shared" ca="1" si="70"/>
        <v>0</v>
      </c>
      <c r="DQ45" s="259">
        <f ca="1">IF(OR($DQ$1="TOTALI",$DQ$1="TOTALI ED ECCEDENZE"),IF(OR(DM45&gt;0,DN45&gt;0),MAX(DQ$2:DQ44)+1,0),IF($DQ$1="ECCEDENZE",IF(OR(DO45&gt;0,DP45&gt;0),MAX(DQ$2:DQ44)+1,0),""))</f>
        <v>0</v>
      </c>
      <c r="DR45" s="259" t="str">
        <f ca="1">IFERROR(INDEX($DL$3:$DQ$230,MATCH(ROWS(DR$3:DR45),$DQ$3:$DQ$230,0),1),"")</f>
        <v/>
      </c>
      <c r="DS45" s="259" t="str">
        <f t="shared" ca="1" si="71"/>
        <v/>
      </c>
      <c r="DT45" s="259" t="str">
        <f t="shared" ca="1" si="72"/>
        <v/>
      </c>
      <c r="DU45" s="259" t="str">
        <f t="shared" ca="1" si="73"/>
        <v/>
      </c>
      <c r="DV45" s="259" t="str">
        <f t="shared" ca="1" si="74"/>
        <v/>
      </c>
      <c r="DW45" s="259">
        <f t="shared" ca="1" si="75"/>
        <v>0</v>
      </c>
      <c r="DX45" s="259" t="str">
        <f t="shared" ca="1" si="76"/>
        <v/>
      </c>
      <c r="DY45" s="259" t="str">
        <f t="shared" ca="1" si="77"/>
        <v/>
      </c>
      <c r="DZ45" s="259" t="str">
        <f t="shared" ca="1" si="78"/>
        <v/>
      </c>
      <c r="EA45" s="259">
        <f t="shared" ca="1" si="79"/>
        <v>43</v>
      </c>
      <c r="EB45" s="259" t="s">
        <v>353</v>
      </c>
      <c r="ED45" s="259">
        <f t="shared" ca="1" si="17"/>
        <v>0</v>
      </c>
      <c r="EE45" s="259" t="str">
        <f t="shared" ca="1" si="155"/>
        <v/>
      </c>
      <c r="EF45" s="259" t="str">
        <f t="shared" ca="1" si="19"/>
        <v/>
      </c>
      <c r="EG45" s="259" t="str">
        <f t="shared" ca="1" si="136"/>
        <v/>
      </c>
      <c r="EH45" s="259" t="str">
        <f t="shared" ca="1" si="80"/>
        <v/>
      </c>
      <c r="EI45" s="260" t="b">
        <f t="shared" ca="1" si="137"/>
        <v>1</v>
      </c>
      <c r="EJ45" s="260" t="b">
        <f t="shared" ca="1" si="138"/>
        <v>1</v>
      </c>
      <c r="EK45" s="260" t="b">
        <f t="shared" ca="1" si="139"/>
        <v>1</v>
      </c>
      <c r="EL45" s="259">
        <f t="shared" si="81"/>
        <v>43</v>
      </c>
      <c r="EM45" s="259">
        <f ca="1">IF(AND(BA45&gt;0,BA45&lt;=$EM$1),MAX($EM$2:EM44)+1,0)</f>
        <v>0</v>
      </c>
      <c r="EN45" s="259">
        <f t="shared" ca="1" si="82"/>
        <v>45</v>
      </c>
      <c r="EP45" s="259" t="str">
        <f t="shared" ca="1" si="20"/>
        <v/>
      </c>
      <c r="EQ45" s="259">
        <f t="shared" ca="1" si="21"/>
        <v>0</v>
      </c>
      <c r="ER45" s="259">
        <f ca="1">IF(ISNA(EQ45),MAX(ER$2:ER44)+1,0)</f>
        <v>0</v>
      </c>
      <c r="ES45" s="259" t="str">
        <f t="shared" ca="1" si="83"/>
        <v/>
      </c>
      <c r="ET45" s="259" t="str">
        <f ca="1">IFERROR(UPPER(INDEX($ER$3:$ES$500,MATCH(ROWS(ET$3:ET45),$ER$3:$ER$500,0),2)),"")</f>
        <v/>
      </c>
      <c r="EY45" s="259">
        <f t="shared" ca="1" si="84"/>
        <v>0</v>
      </c>
      <c r="EZ45" s="259">
        <f t="shared" ca="1" si="84"/>
        <v>0</v>
      </c>
      <c r="FA45" s="259" t="str">
        <f t="shared" ca="1" si="85"/>
        <v/>
      </c>
      <c r="FB45" s="259">
        <f t="shared" ca="1" si="86"/>
        <v>0</v>
      </c>
      <c r="FC45" s="259">
        <f t="shared" ca="1" si="87"/>
        <v>0</v>
      </c>
      <c r="FD45" s="259">
        <f t="shared" ca="1" si="22"/>
        <v>0</v>
      </c>
      <c r="FE45" s="259" t="str">
        <f t="shared" ca="1" si="23"/>
        <v/>
      </c>
      <c r="FF45" s="259" t="str">
        <f t="shared" ca="1" si="88"/>
        <v/>
      </c>
      <c r="FG45" s="259" t="str">
        <f t="shared" si="89"/>
        <v>CREDITI PER IVA</v>
      </c>
      <c r="FH45" s="259">
        <f t="shared" ca="1" si="156"/>
        <v>0</v>
      </c>
      <c r="FI45" s="259">
        <f t="shared" ca="1" si="25"/>
        <v>0</v>
      </c>
      <c r="FJ45" s="259">
        <f t="shared" ca="1" si="90"/>
        <v>0</v>
      </c>
      <c r="FK45" s="259">
        <f t="shared" ca="1" si="91"/>
        <v>0</v>
      </c>
      <c r="FL45" s="259">
        <f ca="1">IF(OR(FJ45&gt;0,FK45&gt;0),MAX($FL$2:FL44)+1,0)</f>
        <v>0</v>
      </c>
      <c r="FM45" s="259">
        <f t="shared" ca="1" si="26"/>
        <v>0</v>
      </c>
      <c r="FN45" s="259">
        <f ca="1">IF(FM45&lt;0,MAX($FN$2:FN44)+1,0)</f>
        <v>0</v>
      </c>
      <c r="FO45" s="259" t="str">
        <f t="shared" ca="1" si="92"/>
        <v/>
      </c>
      <c r="FP45" s="259" t="str">
        <f ca="1">IFERROR(INDEX($FN$3:$FO$400,MATCH(ROWS($FP$3:FP45),$FN$3:$FN$400,0),2),"")</f>
        <v/>
      </c>
      <c r="FQ45" s="259" t="str">
        <f>IF(AE45="SE AVERE",MAX($FQ$2:FQ44)+1,"")</f>
        <v/>
      </c>
      <c r="FR45" s="259" t="str">
        <f>IF(AE45="SE DARE",MAX($FR$2:FR44)+1,"")</f>
        <v/>
      </c>
      <c r="FS45" s="259">
        <f ca="1">IF(AND(AE45="SP DARE",AA45&lt;&gt;$FS$1,AA45&lt;&gt;$FT$1),MAX($FS$2:FS44)+1,IF(AND(GQ45="SP DARE",AA45&lt;&gt;$FS$1,AA45&lt;&gt;$FT$1),MAX($FS$2:FS44)+1,""))</f>
        <v>120</v>
      </c>
      <c r="FT45" s="259" t="str">
        <f ca="1">IF(AND(AE45="SP AVERE",AA45&lt;&gt;$FU$1),MAX($FT$2:FT44)+1,IF(AND(GQ45="SP AVERE",AA45&lt;&gt;$FU$1),MAX($FT$2:FT44)+1,""))</f>
        <v/>
      </c>
      <c r="FU45" s="259">
        <f t="shared" ca="1" si="93"/>
        <v>120</v>
      </c>
      <c r="FV45" s="259" t="str">
        <f t="shared" si="94"/>
        <v>CREDITI PER IVA</v>
      </c>
      <c r="FW45" s="259" t="str">
        <f ca="1">IFERROR(INDEX($FU$3:$FV$500,MATCH(ROWS($FW$3:FW45),$FU$3:$FU$500,0),2),0)</f>
        <v>COSTI PER SERVIZI</v>
      </c>
      <c r="FX45" s="259">
        <f t="shared" ca="1" si="95"/>
        <v>43</v>
      </c>
      <c r="FY45" s="259">
        <f t="shared" ca="1" si="96"/>
        <v>0</v>
      </c>
      <c r="FZ45" s="259">
        <f ca="1">IF(FY45&gt;0,MAX($FZ$2:FZ44)+1,0)</f>
        <v>0</v>
      </c>
      <c r="GA45" s="259">
        <f ca="1">IFERROR(INDEX($FY$3:$FZ$500,MATCH(ROWS($GA$3:GA45),$FZ$3:$FZ$500,0),1),0)</f>
        <v>0</v>
      </c>
      <c r="GC45" s="259">
        <f t="shared" ca="1" si="97"/>
        <v>43</v>
      </c>
      <c r="GD45" s="259" t="str">
        <f t="shared" ca="1" si="98"/>
        <v>COSTI PER SERVIZI</v>
      </c>
      <c r="GG45" s="259">
        <f t="shared" ca="1" si="27"/>
        <v>0</v>
      </c>
      <c r="GH45" s="259">
        <f t="shared" ca="1" si="99"/>
        <v>0</v>
      </c>
      <c r="GI45" s="259">
        <f t="shared" ca="1" si="100"/>
        <v>0</v>
      </c>
      <c r="GJ45" s="259">
        <f t="shared" ca="1" si="101"/>
        <v>0</v>
      </c>
      <c r="GK45" s="259">
        <f t="shared" ca="1" si="102"/>
        <v>0</v>
      </c>
      <c r="GL45" s="259">
        <f t="shared" ca="1" si="103"/>
        <v>0</v>
      </c>
      <c r="GM45" s="259">
        <f ca="1">IF(OR(GK45&gt;0,GL45&gt;0),MAX($GM$2:GM44)+1,0)</f>
        <v>0</v>
      </c>
      <c r="GN45" s="259" t="str">
        <f ca="1">IFERROR(INDEX($GD$3:$GM$400,MATCH(ROWS($GN$3:GN45),$GM$3:$GM$400,0),1),"")</f>
        <v/>
      </c>
      <c r="GO45" s="259" t="str">
        <f ca="1">IFERROR(INDEX($GD$3:$GM$400,MATCH(ROWS($GO$3:GO45),$GM$3:$GM$400,0),8),"")</f>
        <v/>
      </c>
      <c r="GP45" s="259" t="str">
        <f ca="1">IFERROR(INDEX($GD$3:$GM$400,MATCH(ROWS($GP$3:GP45),$GM$3:$GM$400,0),9),"")</f>
        <v/>
      </c>
      <c r="GQ45" s="259">
        <f t="shared" ca="1" si="28"/>
        <v>0</v>
      </c>
      <c r="GR45" s="259">
        <f t="shared" ca="1" si="104"/>
        <v>0</v>
      </c>
      <c r="GS45" s="259" t="str">
        <f t="shared" si="105"/>
        <v>epilogo a Conto economico</v>
      </c>
      <c r="GT45" s="259" t="str">
        <f ca="1">IFERROR(INDEX($GD$3:$GS$400,MATCH(ROWS($GT$3:GT45),$GM$3:$GM$400,0),16),"")</f>
        <v/>
      </c>
      <c r="GU45" s="259">
        <f ca="1">IF(GQ45&lt;&gt;0,MAX($GU$2:$GU44)+1,0)</f>
        <v>0</v>
      </c>
      <c r="GV45" s="259">
        <f t="shared" ca="1" si="106"/>
        <v>0</v>
      </c>
      <c r="GW45" s="259" t="str">
        <f ca="1">IF(AND(IFERROR(INDEX($GU$3:$GV$400,MATCH(ROWS($GW$3:GW45),$GU$3:$GU$400,0),2),"")&lt;&gt;"",GW46&lt;&gt;""),CONCATENATE(IFERROR(INDEX($GU$3:$GV$400,MATCH(ROWS($GW$3:GW45),$GU$3:$GU$400,0),2),"")," - "),IFERROR(INDEX($GU$3:$GV$400,MATCH(ROWS($GW$3:GW45),$GU$3:$GU$400,0),2),""))</f>
        <v/>
      </c>
      <c r="GX45" s="259">
        <f ca="1">IF(OR(GN45="IVA NS/CREDITO",GN45="IVA NS/DEBITO",GN45="IVA C/ACCONTO",GN45="IMPOSTE C/ACCONTO"),MAX($GX$2:GX44)+1,0)</f>
        <v>0</v>
      </c>
      <c r="GY45" s="259" t="str">
        <f ca="1">IF(AND(IFERROR(INDEX($GN$3:$GX$200,MATCH(ROWS($GY$3:GY45),$GX$3:$GX$200,0),1),"")&lt;&gt;"",GY46&lt;&gt;""),CONCATENATE(IFERROR(INDEX($GN$3:$GX$200,MATCH(ROWS($GY$3:GY45),$GX$3:$GX$200,0),1),"")," - "),IFERROR(INDEX($GN$3:$GX$200,MATCH(ROWS($GY$3:GY45),$GX$3:$GX$200,0),1),""))</f>
        <v/>
      </c>
      <c r="GZ45" s="259" t="s">
        <v>510</v>
      </c>
      <c r="HA45" s="259" t="s">
        <v>55</v>
      </c>
      <c r="HB45" s="269" t="s">
        <v>257</v>
      </c>
      <c r="HC45" s="269" t="s">
        <v>276</v>
      </c>
      <c r="HD45" s="269" t="s">
        <v>6</v>
      </c>
      <c r="HE45" s="269" t="s">
        <v>206</v>
      </c>
      <c r="HG45" s="270"/>
      <c r="HL45" s="259" t="str">
        <f t="shared" ca="1" si="157"/>
        <v/>
      </c>
      <c r="HM45" s="259" t="str">
        <f t="shared" ca="1" si="158"/>
        <v/>
      </c>
      <c r="HN45" s="259" t="str">
        <f t="shared" ca="1" si="159"/>
        <v/>
      </c>
      <c r="HO45" s="259">
        <f ca="1">IF(HL45&lt;&gt;"",MAX($HO$2:HO44)+1,0)</f>
        <v>0</v>
      </c>
      <c r="HP45" s="259">
        <f ca="1">IF(HM45&lt;&gt;"",MAX($HP$2:HP44)+1,0)</f>
        <v>0</v>
      </c>
      <c r="HQ45" s="259">
        <f ca="1">IF(HN45&lt;&gt;"",MAX($HQ$2:HQ44)+1,0)</f>
        <v>0</v>
      </c>
      <c r="HR45" s="259" t="str">
        <f t="shared" ca="1" si="107"/>
        <v/>
      </c>
      <c r="HS45" s="259" t="str">
        <f t="shared" ca="1" si="108"/>
        <v/>
      </c>
      <c r="HT45" s="259">
        <f t="shared" ca="1" si="109"/>
        <v>0</v>
      </c>
      <c r="HU45" s="259">
        <f t="shared" ca="1" si="110"/>
        <v>0</v>
      </c>
      <c r="HV45" s="259" t="str">
        <f ca="1">CONCATENATE(IFERROR(INDEX($HS$3:$HT$102,MATCH(ROWS($HV$3:HV45),$HT$3:$HT$102,0),1),""),HR45)</f>
        <v/>
      </c>
      <c r="IB45" s="259" t="s">
        <v>306</v>
      </c>
      <c r="IC45" s="259">
        <f ca="1">IFERROR(INDEX(PIANO_DEI_CONTI,MATCH(ROWS(DL$3:DL45),$DK$3:DK272,0),2),0)</f>
        <v>0</v>
      </c>
      <c r="ID45" s="259">
        <f t="shared" ca="1" si="111"/>
        <v>0</v>
      </c>
      <c r="IE45" s="259">
        <f t="shared" ca="1" si="112"/>
        <v>0</v>
      </c>
      <c r="IF45" s="259">
        <f t="shared" ca="1" si="113"/>
        <v>0</v>
      </c>
      <c r="IG45" s="259">
        <f ca="1">IF(EV1&gt;0,0,IF(ROUND($CM$1-$CP$1,0)&gt;$HY$1,ROUND($CM$1-$CP$1,0)-$HY$1,0))</f>
        <v>0</v>
      </c>
      <c r="IH45" s="259">
        <f ca="1">IF(IG45&lt;&gt;0,MAX($IH$35:IH44)+1,0)</f>
        <v>0</v>
      </c>
      <c r="II45" s="259">
        <f>IF(AD45="costi pluriennali",MAX($II$2:II44)+1,0)</f>
        <v>0</v>
      </c>
      <c r="IJ45" s="259">
        <f>IF($AD45="rettifiche costi pluriennali",MAX($IJ$2:IJ44)+1,0)</f>
        <v>0</v>
      </c>
      <c r="IK45" s="259">
        <f t="shared" si="114"/>
        <v>0</v>
      </c>
      <c r="IL45" s="259" t="str">
        <f t="shared" si="115"/>
        <v/>
      </c>
      <c r="IM45" s="259">
        <f t="shared" ca="1" si="116"/>
        <v>0</v>
      </c>
      <c r="IN45" s="259">
        <f t="shared" ca="1" si="141"/>
        <v>0</v>
      </c>
      <c r="IO45" s="259">
        <f>SUMIFS($IM$3:$IM$200,$IK$3:$IK$200,ROWS($IO$3:IO45))-SUMIFS($IN$3:$IN$200,$IK$3:$IK$200,ROWS($IO$3:IO45))</f>
        <v>0</v>
      </c>
      <c r="IP45" s="259" t="str">
        <f>IF(IO45&lt;0,INDEX($IJ$3:$IL$200,MATCH(ROWS($IP$3:IP45),$IJ$3:$IJ$200,0),3),"")</f>
        <v/>
      </c>
      <c r="IQ45" s="259">
        <f>IF(IP45&lt;&gt;"",MAX($IQ$2:IQ44)+1,0)</f>
        <v>0</v>
      </c>
      <c r="IR45" s="259" t="str">
        <f ca="1">IFERROR(INDEX($IP$3:$IQ$200,MATCH(ROWS($IR$3:IR45),$IQ$3:$IQ$200,0),1),"")</f>
        <v/>
      </c>
      <c r="IS45" s="259" t="str">
        <f t="shared" ca="1" si="117"/>
        <v/>
      </c>
      <c r="IT45" s="259" t="str">
        <f t="shared" ca="1" si="118"/>
        <v/>
      </c>
      <c r="IU45" s="259" t="str">
        <f t="shared" ca="1" si="119"/>
        <v/>
      </c>
      <c r="IV45" s="259" t="str">
        <f t="shared" ca="1" si="120"/>
        <v/>
      </c>
      <c r="IW45" s="259" t="str">
        <f t="shared" ca="1" si="121"/>
        <v/>
      </c>
      <c r="IX45" s="259" t="str">
        <f t="shared" ca="1" si="122"/>
        <v/>
      </c>
      <c r="IY45" s="259" t="str">
        <f t="shared" ca="1" si="123"/>
        <v/>
      </c>
      <c r="IZ45" s="259" t="str">
        <f t="shared" ca="1" si="124"/>
        <v/>
      </c>
      <c r="JA45" s="259" t="str">
        <f t="shared" ca="1" si="125"/>
        <v/>
      </c>
      <c r="JB45" s="259">
        <f t="shared" ca="1" si="32"/>
        <v>0</v>
      </c>
      <c r="JC45" s="259">
        <f t="shared" ca="1" si="126"/>
        <v>0</v>
      </c>
      <c r="JE45" s="259">
        <f ca="1">IFERROR(INDEX(LIBRO_GIORNALE!$N$11:$O$408,MATCH(ROWS($JE$2:JE44),LIBRO_GIORNALE!$O$11:$O$408,0),1),0)</f>
        <v>0</v>
      </c>
      <c r="JF45" s="259" t="str">
        <f t="shared" ca="1" si="127"/>
        <v>0</v>
      </c>
      <c r="JG45" s="259">
        <f t="shared" ca="1" si="128"/>
        <v>0</v>
      </c>
      <c r="JH45" s="259">
        <f ca="1">IF(JJ45&gt;0,0,MAX($JH$2:JH44)+1)</f>
        <v>43</v>
      </c>
      <c r="JI45" s="259">
        <f ca="1">IF(JG45&gt;0,MAX($JI$2:JI44)+1,0)</f>
        <v>0</v>
      </c>
      <c r="JJ45" s="259">
        <f ca="1">IFERROR(INDEX($JG$3:$JI$124,MATCH(ROWS($JJ$3:JJ45),$JI$3:$JI$124,0),1),0)</f>
        <v>0</v>
      </c>
      <c r="JK45" s="259">
        <f t="shared" ca="1" si="129"/>
        <v>0</v>
      </c>
      <c r="JL45" s="259">
        <f t="shared" ca="1" si="130"/>
        <v>43</v>
      </c>
    </row>
    <row r="46" spans="1:273">
      <c r="A46" s="259" t="str">
        <f t="shared" si="33"/>
        <v>05.15</v>
      </c>
      <c r="B46" s="259" t="str">
        <f t="shared" si="34"/>
        <v>CREDITI PER ACCONTI DA CLIENTI</v>
      </c>
      <c r="C46" s="259" t="str">
        <f t="shared" si="35"/>
        <v>F</v>
      </c>
      <c r="D46" s="259" t="str">
        <f t="shared" si="36"/>
        <v>D</v>
      </c>
      <c r="E46" s="259" t="str">
        <f t="shared" si="37"/>
        <v>CREDITI</v>
      </c>
      <c r="F46" s="259" t="str">
        <f t="shared" si="38"/>
        <v>SP DARE</v>
      </c>
      <c r="G46" s="259">
        <f t="shared" ca="1" si="39"/>
        <v>1</v>
      </c>
      <c r="H46" s="259">
        <f t="shared" ca="1" si="40"/>
        <v>1</v>
      </c>
      <c r="I46" s="259">
        <f t="shared" ca="1" si="41"/>
        <v>1</v>
      </c>
      <c r="K46" s="259" t="str">
        <f ca="1">IFERROR(IF($I$1=1,INDEX($AA$3:$AS$220,MATCH(ROWS($K$3:K46),$AQ$3:$AQ$220,0),1),IF($I$1=2,INDEX($AA$3:$AS$220,MATCH(ROWS($K$3:K46),$AR$3:$AR$220,0),1),IF($I$1=3,INDEX($AA$3:$AS$220,MATCH(ROWS($K$3:K46),$AS$3:$AS$220,0),1),""))),"")</f>
        <v>CREDITI V/ISTITUTI PREVIDENZIALI</v>
      </c>
      <c r="L46" s="259">
        <f ca="1">IF(AND($L$1="VISUALIZZA TUTTI I CONTI",K46&lt;&gt;""),MAX(L45:L45)+1,IFERROR(IF($J$1=1,IF(INDEX(PIANO_DEI_CONTI,MATCH($K46,DENOMINAZIONE,0),5)=$L$1,MAX($L$2:L45)+1,0),IF($J$1=2,IF(INDEX(PIANO_DEI_CONTI,MATCH($K46,DENOMINAZIONE,0),7)=$L$1,MAX($L$2:L45)+1,0))),0))</f>
        <v>44</v>
      </c>
      <c r="M46" s="259" t="str">
        <f ca="1">IFERROR(INDEX($K$3:$K$220,MATCH(ROWS($M$3:M46),$L$3:$L$220,0),1),"")</f>
        <v>CREDITI V/ISTITUTI PREVIDENZIALI</v>
      </c>
      <c r="N46" s="259" t="str">
        <f t="shared" si="143"/>
        <v>ONERI DIVERSI</v>
      </c>
      <c r="O46" s="259" t="str">
        <f t="shared" ca="1" si="142"/>
        <v>ONERI DIVERSI</v>
      </c>
      <c r="P46" s="259">
        <f ca="1">IF(AND(N46=O46,O46&lt;&gt;""),MAX(P$2:P45)+1,0)</f>
        <v>29</v>
      </c>
      <c r="Q46" s="259" t="str">
        <f ca="1">IF(IFERROR(INDEX($O$3:$P$220,MATCH(ROWS(Q$3:Q46),$P$3:$P$220,0),1),"")=0,"",IFERROR(INDEX($O$3:$P$220,MATCH(ROWS(Q$3:Q46),$P$3:$P$220,0),1),""))</f>
        <v/>
      </c>
      <c r="R46" s="259" t="str">
        <f t="shared" si="1"/>
        <v>CREDITI V/ISTITUTI PREVIDENZIALI</v>
      </c>
      <c r="S46" s="259">
        <f ca="1">IF(IFERROR(MATCH(R46,DENOMINAZIONE_GIORNALE,0),0)&gt;0,MAX(S$2:S45)+1,0)</f>
        <v>0</v>
      </c>
      <c r="T46" s="259" t="str">
        <f ca="1">IFERROR(INDEX($R$3:$S$220,MATCH(ROWS($T$3:T46),$S$3:$S$220,0),1),"")</f>
        <v/>
      </c>
      <c r="U46" s="259">
        <f t="shared" ca="1" si="2"/>
        <v>0</v>
      </c>
      <c r="V46" s="259">
        <f ca="1">IF(IF(U46&lt;&gt;0,MAX($V$2:V45)+1,0)=0,0,IF(U46&lt;&gt;0,MAX($V$2:V45)+1,0))</f>
        <v>0</v>
      </c>
      <c r="W46" s="259" t="str">
        <f t="shared" si="43"/>
        <v>05.15</v>
      </c>
      <c r="X46" s="259" t="str">
        <f t="shared" si="44"/>
        <v>CREDITI PER ACCONTI DA CLIENTI</v>
      </c>
      <c r="Y46" s="259">
        <f>IF(W46="",0,MAX($Y$2:Y45)+1)</f>
        <v>39</v>
      </c>
      <c r="Z46" s="259" t="str">
        <f>IFERROR(INDEX($W$3:$Y$220,MATCH(ROWS($Z$2:Z45),$Y$3:$Y$220,0),1),"")</f>
        <v>06.04</v>
      </c>
      <c r="AA46" s="259" t="str">
        <f t="shared" si="45"/>
        <v>CREDITI V/ISTITUTI PREVIDENZIALI</v>
      </c>
      <c r="AB46" s="259" t="str">
        <f t="shared" si="46"/>
        <v>F</v>
      </c>
      <c r="AC46" s="259" t="str">
        <f t="shared" si="47"/>
        <v>D</v>
      </c>
      <c r="AD46" s="259" t="str">
        <f t="shared" si="48"/>
        <v>CREDITI</v>
      </c>
      <c r="AE46" s="259" t="str">
        <f t="shared" si="49"/>
        <v>SP DARE</v>
      </c>
      <c r="AF46" s="259" t="str">
        <f t="shared" si="50"/>
        <v>CREDITI DIVERSI</v>
      </c>
      <c r="AG46" s="259">
        <f t="shared" ca="1" si="51"/>
        <v>0</v>
      </c>
      <c r="AH46" s="259">
        <f t="shared" ca="1" si="52"/>
        <v>0</v>
      </c>
      <c r="AI46" s="259">
        <f t="shared" ca="1" si="53"/>
        <v>1</v>
      </c>
      <c r="AJ46" s="259" t="str">
        <f t="shared" si="54"/>
        <v>06</v>
      </c>
      <c r="AK46" s="259" t="str">
        <f t="shared" si="55"/>
        <v/>
      </c>
      <c r="AL46" s="259">
        <f>IF(AK46&lt;&gt;"",MAX($AL$2:AL45)+1,0)</f>
        <v>0</v>
      </c>
      <c r="AM46" s="259" t="str">
        <f>IFERROR(INDEX($AK$3:$AL$220,MATCH(ROWS($AM$3:AM46),$AL$3:$AL$220,0),1),"")</f>
        <v/>
      </c>
      <c r="AN46" s="259" t="str">
        <f t="shared" si="56"/>
        <v/>
      </c>
      <c r="AO46" s="259" t="str">
        <f t="shared" si="57"/>
        <v/>
      </c>
      <c r="AP46" s="259" t="str">
        <f t="shared" si="58"/>
        <v>CREDITI DIVERSI</v>
      </c>
      <c r="AQ46" s="259">
        <f ca="1">IF(OR(AG46=0,AG46=""),0,MAX(AQ$2:AQ45)+1)</f>
        <v>0</v>
      </c>
      <c r="AR46" s="259">
        <f ca="1">IF(OR(AH46=0,AH46=""),0,MAX(AR$2:AR45)+1)</f>
        <v>0</v>
      </c>
      <c r="AS46" s="259">
        <f ca="1">IF(OR(AI46=0,AI46=""),0,MAX(AS$2:AS45)+1)</f>
        <v>44</v>
      </c>
      <c r="AT46" s="259" t="str">
        <f ca="1">IFERROR(INDEX($AD$3:$AS$220,MATCH(ROWS(AT$3:AT46),AQ$3:AQ$220,0),1),"")</f>
        <v>CONTI CON ALTERNANZA DI SALDI</v>
      </c>
      <c r="AU46" s="259" t="str">
        <f ca="1">IFERROR(INDEX($AD$3:$AS$220,MATCH(ROWS(AU$3:AU46),AR$3:AR$220,0),1),"")</f>
        <v>PATRIMONIO NETTO</v>
      </c>
      <c r="AV46" s="259" t="str">
        <f ca="1">IFERROR(INDEX($AD$3:$AS$220,MATCH(ROWS(AV$3:AV46),AS$3:AS$220,0),1),"")</f>
        <v>CREDITI</v>
      </c>
      <c r="AW46" s="259" t="str">
        <f ca="1">IFERROR(INDEX($AP$3:$AS$220,MATCH(ROWS(AW$3:AW46),AQ$3:AQ$220,0),1),"")</f>
        <v>CONTI TRANSITORI E DIVERSI</v>
      </c>
      <c r="AX46" s="259" t="str">
        <f ca="1">IFERROR(INDEX($AP$3:$AS$220,MATCH(ROWS(AX$3:AX46),AR$3:AR$220,0),1),"")</f>
        <v>PATRIMONIO NETTO</v>
      </c>
      <c r="AY46" s="259" t="str">
        <f ca="1">IFERROR(INDEX($AP$3:$AS$220,MATCH(ROWS(AY$3:AY46),AS$3:AS$220,0),1),"")</f>
        <v>CREDITI DIVERSI</v>
      </c>
      <c r="AZ46" s="276" t="str">
        <f t="shared" ca="1" si="59"/>
        <v/>
      </c>
      <c r="BA46" s="259">
        <f t="shared" ca="1" si="153"/>
        <v>0</v>
      </c>
      <c r="BB46" s="259">
        <f ca="1">IFERROR(INDEX($FG$3:$FL$400,MATCH(ROWS($BB$3:BB46),$FL$3:$FL$400,0),1),0)</f>
        <v>0</v>
      </c>
      <c r="BC46" s="259" t="str">
        <f t="shared" ca="1" si="60"/>
        <v/>
      </c>
      <c r="BD46" s="259">
        <f ca="1">IFERROR(INDEX($FG$3:$FL$400,MATCH(ROWS($BD$3:BD46),$FL$3:$FL$400,0),4),0)</f>
        <v>0</v>
      </c>
      <c r="BE46" s="259">
        <f ca="1">IFERROR(INDEX($FG$3:$FL$400,MATCH(ROWS($BE$3:BE46),$FL$3:$FL$400,0),5),0)</f>
        <v>0</v>
      </c>
      <c r="BG46" s="259" t="str">
        <f t="shared" si="4"/>
        <v/>
      </c>
      <c r="BH46" s="259">
        <f ca="1">IF(IFERROR(MATCH(BG46,DENOMINAZIONE_GIORNALE,0),0)&gt;0,MAX(BH$2:BH45)+1,0)</f>
        <v>0</v>
      </c>
      <c r="BI46" s="259" t="str">
        <f ca="1">IFERROR(INDEX($BG$3:$BH$220,MATCH(ROWS($BI$3:BI46),$BH$3:$BH$220,0),1),"")</f>
        <v/>
      </c>
      <c r="BJ46" s="259" t="str">
        <f t="shared" ca="1" si="5"/>
        <v/>
      </c>
      <c r="BK46" s="259" t="str">
        <f ca="1">IF(IF(BJ46&lt;&gt;"",MAX($BK$2:BK45)+1,0)=0,"",IF(BJ46&lt;&gt;"",MAX($BK$2:BK45)+1,0))</f>
        <v/>
      </c>
      <c r="BL46" s="259" t="str">
        <f ca="1">IFERROR(INDEX($T$3:$U$220, MATCH(ROWS(BL$3:BL46),$V$3:$V$220,0),1),"")</f>
        <v/>
      </c>
      <c r="BM46" s="259" t="str">
        <f ca="1">IFERROR(INDEX($T$3:$U$220, MATCH(ROWS(BM$3:BM46),$V$3:$V$220,0),2),"")</f>
        <v/>
      </c>
      <c r="BN46" s="259" t="str">
        <f ca="1">IF(IFERROR(INDEX($BI$3:$BJ$220,MATCH(ROWS(BN$3:BN46),$BK$3:$BK$220,0),1),"")="PATRIMONIO NETTO","",IFERROR(INDEX($BI$3:$BJ$220,MATCH(ROWS(BN$3:BN46),$BK$3:$BK$220,0),1),""))</f>
        <v/>
      </c>
      <c r="BO46" s="259" t="str">
        <f ca="1">IFERROR(INDEX($BI$3:$BJ$220,MATCH(ROWS(BO$3:BO46),$BK$3:$BK$220,0),2),"")</f>
        <v/>
      </c>
      <c r="BP46" s="259">
        <f ca="1">IF(BN46&lt;&gt;"",MAX(BP$2:$BP45)+1,0)</f>
        <v>0</v>
      </c>
      <c r="BQ46" s="259" t="str">
        <f ca="1">IFERROR(INDEX($BN$3:$BO$200,MATCH(ROWS(BQ$3:BQ46),$BP$3:$BP$220,0),1),"")</f>
        <v/>
      </c>
      <c r="BR46" s="259" t="str">
        <f ca="1">IFERROR(INDEX($BN$3:$BO$220,MATCH(ROWS(BR$3:BR46),$BP$3:$BP$220,0),2),"")</f>
        <v/>
      </c>
      <c r="BS46" s="259" t="str">
        <f ca="1">IFERROR(IF(OR(INDEX($T$3:$U$220,MATCH(ROWS(BL$3:BL46),$V$3:$V$220,0),1)="PRELEVAMENTI EXTRAGESTIONE",INDEX($T$3:$U$220,MATCH(ROWS(BL$3:BL46),$V$3:$V$220,0),1)="TITOLARE C/RITENUTE SUBITE"),"",INDEX($T$3:$U$220,MATCH(ROWS(BL$3:BL46),$V$3:$V$220,0),1)),"")</f>
        <v/>
      </c>
      <c r="BT46" s="259">
        <f t="shared" ca="1" si="61"/>
        <v>0</v>
      </c>
      <c r="BU46" s="259">
        <f ca="1">IF(BS46&lt;&gt;"",MAX(BU$2:BU45)+1,0)</f>
        <v>0</v>
      </c>
      <c r="BV46" s="259" t="str">
        <f ca="1">IFERROR(INDEX($BS$3:$BT$223,MATCH(ROWS(BV$3:BV46),$BU$3:$BU$223,0),1),"")</f>
        <v/>
      </c>
      <c r="BW46" s="259">
        <f t="shared" ca="1" si="62"/>
        <v>0</v>
      </c>
      <c r="BX46" s="259" t="str">
        <f t="shared" ca="1" si="63"/>
        <v/>
      </c>
      <c r="BY46" s="259" t="str">
        <f t="shared" ca="1" si="64"/>
        <v/>
      </c>
      <c r="BZ46" s="259" t="str">
        <f ca="1">IFERROR(IF(OR($DS$231&lt;&gt;$DT$231,$DU$231&lt;&gt;$DV$231,$EO$25&lt;&gt;0,$EO$26&lt;&gt;0),INDEX($T$3:$V$220,MATCH(ROWS($BV$3:BV46),$V$3:$V$220,0),1),CONCATENATE(BV46,BY46)),"")</f>
        <v/>
      </c>
      <c r="CA46" s="259">
        <f t="shared" ca="1" si="65"/>
        <v>0</v>
      </c>
      <c r="CB46" s="259" t="str">
        <f ca="1">IFERROR(IF(OR($BB$1&lt;&gt;$BD$1,$BC$1&lt;&gt;$BE$1,$DS$231&lt;&gt;$DT$231,$DU$231&lt;&gt;$DV$231,$EO$25&lt;&gt;0,$EO$26&lt;&gt;0),INDEX($BI$3:$BK$220,MATCH(ROWS($CB$3:CB46),$BK$3:$BK$220,0),1),CONCATENATE(BQ46,BX46)),"")</f>
        <v/>
      </c>
      <c r="CC46" s="259" t="str">
        <f t="shared" ca="1" si="66"/>
        <v/>
      </c>
      <c r="CD46" s="259" t="str">
        <f t="shared" si="6"/>
        <v/>
      </c>
      <c r="CE46" s="259">
        <f ca="1">IF(IFERROR(MATCH(CD46,DENOMINAZIONE_GIORNALE,0),0)&gt;0,MAX(CE$2:CE45)+1,0)</f>
        <v>0</v>
      </c>
      <c r="CF46" s="259" t="str">
        <f ca="1">IFERROR(INDEX($CD$3:$CE$220,MATCH(ROWS($CF$3:CF46),$CE$3:$CE$220,0),1),"")</f>
        <v/>
      </c>
      <c r="CG46" s="259">
        <f t="shared" ca="1" si="7"/>
        <v>0</v>
      </c>
      <c r="CH46" s="259" t="str">
        <f ca="1">IF(IF(CG46&lt;&gt;0,MAX($CH$2:CH45)+1,0)=0,"",IF(CG46&lt;&gt;"",MAX($CH$2:CH45)+1,0))</f>
        <v/>
      </c>
      <c r="CI46" s="259" t="str">
        <f ca="1">IFERROR(INDEX($CF$3:$CG$220,MATCH(ROWS($CI$3:CI46),$CH$3:$CH$220,0),1),"")</f>
        <v/>
      </c>
      <c r="CJ46" s="259" t="str">
        <f t="shared" ca="1" si="67"/>
        <v/>
      </c>
      <c r="CK46" s="259" t="str">
        <f t="shared" si="8"/>
        <v/>
      </c>
      <c r="CL46" s="259">
        <f ca="1">IF(IFERROR(MATCH(CK46,DENOMINAZIONE_GIORNALE,0),0)&gt;0,MAX(CL$2:CL45)+1,0)</f>
        <v>0</v>
      </c>
      <c r="CM46" s="259" t="str">
        <f ca="1">IFERROR(INDEX($CK$3:$CL$220,MATCH(ROWS($CM$3:CM46),$CL$3:$CL$220,0),1),"")</f>
        <v/>
      </c>
      <c r="CN46" s="259" t="str">
        <f t="shared" ca="1" si="9"/>
        <v/>
      </c>
      <c r="CO46" s="259">
        <f ca="1">IF(IF(CN46&lt;&gt;0,MAX($CO$2:CO45)+1,0)=0,"",IF(CN46&lt;&gt;"",MAX($CO$2:CO45)+1,0))</f>
        <v>0</v>
      </c>
      <c r="CP46" s="259" t="str">
        <f ca="1">IFERROR(INDEX($CM$3:$CN$220,MATCH(ROWS(CP$3:CP46),$CO$3:$CO$220,0),1),"")</f>
        <v/>
      </c>
      <c r="CQ46" s="259" t="str">
        <f ca="1">IFERROR(INDEX($CM$3:$CN$220,MATCH(ROWS(CQ$3:CQ46),$CO$3:$CO$220,0),2),"")</f>
        <v/>
      </c>
      <c r="CR46" s="259" t="str">
        <f t="shared" ca="1" si="154"/>
        <v/>
      </c>
      <c r="CS46" s="259">
        <f t="shared" ca="1" si="11"/>
        <v>0</v>
      </c>
      <c r="CT46" s="259">
        <f t="shared" ca="1" si="12"/>
        <v>0</v>
      </c>
      <c r="CU46" s="259">
        <f ca="1">IF(OR(CS46&gt;0,CT46&gt;0),MAX($CU$2:CU45)+1,0)</f>
        <v>0</v>
      </c>
      <c r="CV46" s="259" t="str">
        <f ca="1">IFERROR(INDEX(PIANO_DEI_CONTI,MATCH(ROWS($CV$3:CV46),$CU$3:$CU$200,0),2),"")</f>
        <v/>
      </c>
      <c r="CW46" s="259">
        <f ca="1">IFERROR(IF(CV46&lt;&gt;"",MAX($CW$2:CW45)+1,0),0)</f>
        <v>0</v>
      </c>
      <c r="CX46" s="259">
        <f t="shared" ca="1" si="162"/>
        <v>3</v>
      </c>
      <c r="CY46" s="259" t="str">
        <f t="shared" ca="1" si="161"/>
        <v>MASTRO</v>
      </c>
      <c r="CZ46" s="259" t="e">
        <f t="shared" ca="1" si="164"/>
        <v>#N/A</v>
      </c>
      <c r="DA46" s="259" t="str">
        <f t="shared" ca="1" si="169"/>
        <v/>
      </c>
      <c r="DB46" s="259" t="str">
        <f t="shared" ca="1" si="165"/>
        <v/>
      </c>
      <c r="DC46" s="259" t="str">
        <f t="shared" ca="1" si="166"/>
        <v/>
      </c>
      <c r="DD46" s="259" t="str">
        <f t="shared" ca="1" si="167"/>
        <v/>
      </c>
      <c r="DE46" s="259" t="str">
        <f t="shared" ca="1" si="168"/>
        <v/>
      </c>
      <c r="DF46" s="259">
        <f ca="1">IF(AND(CX46=$DE$2,$DF$2&lt;&gt;0),0,IF(AND(DB46&lt;&gt;"",OR(DB45&lt;&gt;"",DB47&lt;&gt;"")),MAX($DF$2:DF45)+1,0))</f>
        <v>0</v>
      </c>
      <c r="DG46" s="259" t="str">
        <f>IF(OR(VALORI_INIZIALI!E51="",AND(VALORI_INIZIALI!E51&lt;&gt;"",VALORI_INIZIALI!H51=0,VALORI_INIZIALI!I51=0)),"",IFERROR(INDEX(PIANO_DEI_CONTI,MATCH(BB46,DENOMINAZIONE,0),1),0))</f>
        <v/>
      </c>
      <c r="DH46" s="259">
        <f ca="1">IFERROR(IF($J$1=1,IF(INDEX(PIANO_DEI_CONTI,MATCH($K46,DENOMINAZIONE,0),5)=$DF$1,MAX($DH$2:DH45)+1,0),IF($J$1=2,IF(INDEX(PIANO_DEI_CONTI,MATCH($K46,DENOMINAZIONE,0),7)=$DF$1,MAX($DH$2:DH45)+1,0))),0)</f>
        <v>0</v>
      </c>
      <c r="DI46" s="259">
        <f ca="1">IFERROR(INDEX($K$3:$K$220,MATCH(ROWS($DI$3:DI46),$DH$3:$DH$220,0),1),0)</f>
        <v>0</v>
      </c>
      <c r="DJ46" s="259">
        <f t="shared" ca="1" si="14"/>
        <v>0</v>
      </c>
      <c r="DK46" s="259">
        <f ca="1">IF(DJ46=0,0,MAX(DK$2:DK45)+1)</f>
        <v>0</v>
      </c>
      <c r="DL46" s="259">
        <f ca="1">IFERROR(INDEX(PIANO_DEI_CONTI,MATCH(ROWS(DL$3:DL46),$DK$3:DK273,0),2),0)</f>
        <v>0</v>
      </c>
      <c r="DM46" s="259">
        <f t="shared" ca="1" si="15"/>
        <v>0</v>
      </c>
      <c r="DN46" s="259">
        <f t="shared" ca="1" si="16"/>
        <v>0</v>
      </c>
      <c r="DO46" s="259">
        <f t="shared" ca="1" si="69"/>
        <v>0</v>
      </c>
      <c r="DP46" s="259">
        <f t="shared" ca="1" si="70"/>
        <v>0</v>
      </c>
      <c r="DQ46" s="259">
        <f ca="1">IF(OR($DQ$1="TOTALI",$DQ$1="TOTALI ED ECCEDENZE"),IF(OR(DM46&gt;0,DN46&gt;0),MAX(DQ$2:DQ45)+1,0),IF($DQ$1="ECCEDENZE",IF(OR(DO46&gt;0,DP46&gt;0),MAX(DQ$2:DQ45)+1,0),""))</f>
        <v>0</v>
      </c>
      <c r="DR46" s="259" t="str">
        <f ca="1">IFERROR(INDEX($DL$3:$DQ$230,MATCH(ROWS(DR$3:DR46),$DQ$3:$DQ$230,0),1),"")</f>
        <v/>
      </c>
      <c r="DS46" s="259" t="str">
        <f t="shared" ca="1" si="71"/>
        <v/>
      </c>
      <c r="DT46" s="259" t="str">
        <f t="shared" ca="1" si="72"/>
        <v/>
      </c>
      <c r="DU46" s="259" t="str">
        <f t="shared" ca="1" si="73"/>
        <v/>
      </c>
      <c r="DV46" s="259" t="str">
        <f t="shared" ca="1" si="74"/>
        <v/>
      </c>
      <c r="DW46" s="259">
        <f t="shared" ca="1" si="75"/>
        <v>0</v>
      </c>
      <c r="DX46" s="259" t="str">
        <f t="shared" ca="1" si="76"/>
        <v/>
      </c>
      <c r="DY46" s="259" t="str">
        <f t="shared" ca="1" si="77"/>
        <v/>
      </c>
      <c r="DZ46" s="259" t="str">
        <f t="shared" ca="1" si="78"/>
        <v/>
      </c>
      <c r="EA46" s="259">
        <f t="shared" ca="1" si="79"/>
        <v>44</v>
      </c>
      <c r="EB46" s="259" t="s">
        <v>353</v>
      </c>
      <c r="ED46" s="259">
        <f t="shared" ca="1" si="17"/>
        <v>0</v>
      </c>
      <c r="EE46" s="259" t="str">
        <f t="shared" ca="1" si="155"/>
        <v/>
      </c>
      <c r="EF46" s="259" t="str">
        <f t="shared" ca="1" si="19"/>
        <v/>
      </c>
      <c r="EG46" s="259" t="str">
        <f t="shared" ca="1" si="136"/>
        <v/>
      </c>
      <c r="EH46" s="259" t="str">
        <f t="shared" ca="1" si="80"/>
        <v/>
      </c>
      <c r="EI46" s="260" t="b">
        <f t="shared" ca="1" si="137"/>
        <v>1</v>
      </c>
      <c r="EJ46" s="260" t="b">
        <f t="shared" ca="1" si="138"/>
        <v>1</v>
      </c>
      <c r="EK46" s="260" t="b">
        <f t="shared" ca="1" si="139"/>
        <v>1</v>
      </c>
      <c r="EL46" s="259">
        <f t="shared" si="81"/>
        <v>44</v>
      </c>
      <c r="EM46" s="259">
        <f ca="1">IF(AND(BA46&gt;0,BA46&lt;=$EM$1),MAX($EM$2:EM45)+1,0)</f>
        <v>0</v>
      </c>
      <c r="EN46" s="259">
        <f t="shared" ca="1" si="82"/>
        <v>46</v>
      </c>
      <c r="EP46" s="259" t="str">
        <f t="shared" ca="1" si="20"/>
        <v/>
      </c>
      <c r="EQ46" s="259">
        <f t="shared" ca="1" si="21"/>
        <v>0</v>
      </c>
      <c r="ER46" s="259">
        <f ca="1">IF(ISNA(EQ46),MAX(ER$2:ER45)+1,0)</f>
        <v>0</v>
      </c>
      <c r="ES46" s="259" t="str">
        <f t="shared" ca="1" si="83"/>
        <v/>
      </c>
      <c r="ET46" s="259" t="str">
        <f ca="1">IFERROR(UPPER(INDEX($ER$3:$ES$500,MATCH(ROWS(ET$3:ET46),$ER$3:$ER$500,0),2)),"")</f>
        <v/>
      </c>
      <c r="EY46" s="259">
        <f t="shared" ca="1" si="84"/>
        <v>0</v>
      </c>
      <c r="EZ46" s="259">
        <f t="shared" ca="1" si="84"/>
        <v>0</v>
      </c>
      <c r="FA46" s="259" t="str">
        <f t="shared" ca="1" si="85"/>
        <v/>
      </c>
      <c r="FB46" s="259">
        <f t="shared" ca="1" si="86"/>
        <v>0</v>
      </c>
      <c r="FC46" s="259">
        <f t="shared" ca="1" si="87"/>
        <v>0</v>
      </c>
      <c r="FD46" s="259">
        <f t="shared" ca="1" si="22"/>
        <v>0</v>
      </c>
      <c r="FE46" s="259" t="str">
        <f t="shared" ca="1" si="23"/>
        <v/>
      </c>
      <c r="FF46" s="259" t="str">
        <f t="shared" ca="1" si="88"/>
        <v/>
      </c>
      <c r="FG46" s="259" t="str">
        <f t="shared" si="89"/>
        <v>CREDITI V/ISTITUTI PREVIDENZIALI</v>
      </c>
      <c r="FH46" s="259">
        <f t="shared" ca="1" si="156"/>
        <v>0</v>
      </c>
      <c r="FI46" s="259">
        <f t="shared" ca="1" si="25"/>
        <v>0</v>
      </c>
      <c r="FJ46" s="259">
        <f t="shared" ca="1" si="90"/>
        <v>0</v>
      </c>
      <c r="FK46" s="259">
        <f t="shared" ca="1" si="91"/>
        <v>0</v>
      </c>
      <c r="FL46" s="259">
        <f ca="1">IF(OR(FJ46&gt;0,FK46&gt;0),MAX($FL$2:FL45)+1,0)</f>
        <v>0</v>
      </c>
      <c r="FM46" s="259">
        <f t="shared" ca="1" si="26"/>
        <v>0</v>
      </c>
      <c r="FN46" s="259">
        <f ca="1">IF(FM46&lt;0,MAX($FN$2:FN45)+1,0)</f>
        <v>0</v>
      </c>
      <c r="FO46" s="259" t="str">
        <f t="shared" ca="1" si="92"/>
        <v/>
      </c>
      <c r="FP46" s="259" t="str">
        <f ca="1">IFERROR(INDEX($FN$3:$FO$400,MATCH(ROWS($FP$3:FP46),$FN$3:$FN$400,0),2),"")</f>
        <v/>
      </c>
      <c r="FQ46" s="259" t="str">
        <f>IF(AE46="SE AVERE",MAX($FQ$2:FQ45)+1,"")</f>
        <v/>
      </c>
      <c r="FR46" s="259" t="str">
        <f>IF(AE46="SE DARE",MAX($FR$2:FR45)+1,"")</f>
        <v/>
      </c>
      <c r="FS46" s="259">
        <f ca="1">IF(AND(AE46="SP DARE",AA46&lt;&gt;$FS$1,AA46&lt;&gt;$FT$1),MAX($FS$2:FS45)+1,IF(AND(GQ46="SP DARE",AA46&lt;&gt;$FS$1,AA46&lt;&gt;$FT$1),MAX($FS$2:FS45)+1,""))</f>
        <v>121</v>
      </c>
      <c r="FT46" s="259" t="str">
        <f ca="1">IF(AND(AE46="SP AVERE",AA46&lt;&gt;$FU$1),MAX($FT$2:FT45)+1,IF(AND(GQ46="SP AVERE",AA46&lt;&gt;$FU$1),MAX($FT$2:FT45)+1,""))</f>
        <v/>
      </c>
      <c r="FU46" s="259">
        <f t="shared" ca="1" si="93"/>
        <v>121</v>
      </c>
      <c r="FV46" s="259" t="str">
        <f t="shared" si="94"/>
        <v>CREDITI V/ISTITUTI PREVIDENZIALI</v>
      </c>
      <c r="FW46" s="259" t="str">
        <f ca="1">IFERROR(INDEX($FU$3:$FV$500,MATCH(ROWS($FW$3:FW46),$FU$3:$FU$500,0),2),0)</f>
        <v>FITTI PASSIVI</v>
      </c>
      <c r="FX46" s="259">
        <f t="shared" ca="1" si="95"/>
        <v>44</v>
      </c>
      <c r="FY46" s="259">
        <f t="shared" ca="1" si="96"/>
        <v>0</v>
      </c>
      <c r="FZ46" s="259">
        <f ca="1">IF(FY46&gt;0,MAX($FZ$2:FZ45)+1,0)</f>
        <v>0</v>
      </c>
      <c r="GA46" s="259">
        <f ca="1">IFERROR(INDEX($FY$3:$FZ$500,MATCH(ROWS($GA$3:GA46),$FZ$3:$FZ$500,0),1),0)</f>
        <v>0</v>
      </c>
      <c r="GC46" s="259">
        <f t="shared" ca="1" si="97"/>
        <v>44</v>
      </c>
      <c r="GD46" s="259" t="str">
        <f t="shared" ca="1" si="98"/>
        <v>FITTI PASSIVI</v>
      </c>
      <c r="GG46" s="259">
        <f t="shared" ca="1" si="27"/>
        <v>0</v>
      </c>
      <c r="GH46" s="259">
        <f t="shared" ca="1" si="99"/>
        <v>0</v>
      </c>
      <c r="GI46" s="259">
        <f t="shared" ca="1" si="100"/>
        <v>0</v>
      </c>
      <c r="GJ46" s="259">
        <f t="shared" ca="1" si="101"/>
        <v>0</v>
      </c>
      <c r="GK46" s="259">
        <f t="shared" ca="1" si="102"/>
        <v>0</v>
      </c>
      <c r="GL46" s="259">
        <f t="shared" ca="1" si="103"/>
        <v>0</v>
      </c>
      <c r="GM46" s="259">
        <f ca="1">IF(OR(GK46&gt;0,GL46&gt;0),MAX($GM$2:GM45)+1,0)</f>
        <v>0</v>
      </c>
      <c r="GN46" s="259" t="str">
        <f ca="1">IFERROR(INDEX($GD$3:$GM$400,MATCH(ROWS($GN$3:GN46),$GM$3:$GM$400,0),1),"")</f>
        <v/>
      </c>
      <c r="GO46" s="259" t="str">
        <f ca="1">IFERROR(INDEX($GD$3:$GM$400,MATCH(ROWS($GO$3:GO46),$GM$3:$GM$400,0),8),"")</f>
        <v/>
      </c>
      <c r="GP46" s="259" t="str">
        <f ca="1">IFERROR(INDEX($GD$3:$GM$400,MATCH(ROWS($GP$3:GP46),$GM$3:$GM$400,0),9),"")</f>
        <v/>
      </c>
      <c r="GQ46" s="259">
        <f t="shared" ca="1" si="28"/>
        <v>0</v>
      </c>
      <c r="GR46" s="259">
        <f t="shared" ca="1" si="104"/>
        <v>0</v>
      </c>
      <c r="GS46" s="259" t="str">
        <f t="shared" si="105"/>
        <v>epilogo a Conto economico</v>
      </c>
      <c r="GT46" s="259" t="str">
        <f ca="1">IFERROR(INDEX($GD$3:$GS$400,MATCH(ROWS($GT$3:GT46),$GM$3:$GM$400,0),16),"")</f>
        <v/>
      </c>
      <c r="GU46" s="259">
        <f ca="1">IF(GQ46&lt;&gt;0,MAX($GU$2:$GU45)+1,0)</f>
        <v>0</v>
      </c>
      <c r="GV46" s="259">
        <f t="shared" ca="1" si="106"/>
        <v>0</v>
      </c>
      <c r="GW46" s="259" t="str">
        <f ca="1">IF(AND(IFERROR(INDEX($GU$3:$GV$400,MATCH(ROWS($GW$3:GW46),$GU$3:$GU$400,0),2),"")&lt;&gt;"",GW47&lt;&gt;""),CONCATENATE(IFERROR(INDEX($GU$3:$GV$400,MATCH(ROWS($GW$3:GW46),$GU$3:$GU$400,0),2),"")," - "),IFERROR(INDEX($GU$3:$GV$400,MATCH(ROWS($GW$3:GW46),$GU$3:$GU$400,0),2),""))</f>
        <v/>
      </c>
      <c r="GX46" s="259">
        <f ca="1">IF(OR(GN46="IVA NS/CREDITO",GN46="IVA NS/DEBITO",GN46="IVA C/ACCONTO",GN46="IMPOSTE C/ACCONTO"),MAX($GX$2:GX45)+1,0)</f>
        <v>0</v>
      </c>
      <c r="GY46" s="259" t="str">
        <f ca="1">IF(AND(IFERROR(INDEX($GN$3:$GX$200,MATCH(ROWS($GY$3:GY46),$GX$3:$GX$200,0),1),"")&lt;&gt;"",GY47&lt;&gt;""),CONCATENATE(IFERROR(INDEX($GN$3:$GX$200,MATCH(ROWS($GY$3:GY46),$GX$3:$GX$200,0),1),"")," - "),IFERROR(INDEX($GN$3:$GX$200,MATCH(ROWS($GY$3:GY46),$GX$3:$GX$200,0),1),""))</f>
        <v/>
      </c>
      <c r="GZ46" s="259" t="s">
        <v>630</v>
      </c>
      <c r="HA46" s="259" t="s">
        <v>512</v>
      </c>
      <c r="HB46" s="269" t="s">
        <v>257</v>
      </c>
      <c r="HC46" s="269" t="s">
        <v>276</v>
      </c>
      <c r="HD46" s="269" t="s">
        <v>6</v>
      </c>
      <c r="HE46" s="269" t="s">
        <v>206</v>
      </c>
      <c r="HL46" s="259" t="str">
        <f t="shared" ca="1" si="157"/>
        <v/>
      </c>
      <c r="HM46" s="259" t="str">
        <f t="shared" ca="1" si="158"/>
        <v/>
      </c>
      <c r="HN46" s="259" t="str">
        <f t="shared" ca="1" si="159"/>
        <v/>
      </c>
      <c r="HO46" s="259">
        <f ca="1">IF(HL46&lt;&gt;"",MAX($HO$2:HO45)+1,0)</f>
        <v>0</v>
      </c>
      <c r="HP46" s="259">
        <f ca="1">IF(HM46&lt;&gt;"",MAX($HP$2:HP45)+1,0)</f>
        <v>0</v>
      </c>
      <c r="HQ46" s="259">
        <f ca="1">IF(HN46&lt;&gt;"",MAX($HQ$2:HQ45)+1,0)</f>
        <v>0</v>
      </c>
      <c r="HR46" s="259" t="str">
        <f t="shared" ca="1" si="107"/>
        <v/>
      </c>
      <c r="HS46" s="259" t="str">
        <f t="shared" ca="1" si="108"/>
        <v/>
      </c>
      <c r="HT46" s="259">
        <f t="shared" ca="1" si="109"/>
        <v>0</v>
      </c>
      <c r="HU46" s="259">
        <f t="shared" ca="1" si="110"/>
        <v>0</v>
      </c>
      <c r="HV46" s="259" t="str">
        <f ca="1">CONCATENATE(IFERROR(INDEX($HS$3:$HT$102,MATCH(ROWS($HV$3:HV46),$HT$3:$HT$102,0),1),""),HR46)</f>
        <v/>
      </c>
      <c r="IB46" s="259" t="s">
        <v>307</v>
      </c>
      <c r="IC46" s="259">
        <f ca="1">IFERROR(INDEX(PIANO_DEI_CONTI,MATCH(ROWS(DL$3:DL46),$DK$3:DK273,0),2),0)</f>
        <v>0</v>
      </c>
      <c r="ID46" s="259">
        <f t="shared" ca="1" si="111"/>
        <v>0</v>
      </c>
      <c r="IE46" s="259">
        <f t="shared" ca="1" si="112"/>
        <v>0</v>
      </c>
      <c r="IF46" s="259">
        <f t="shared" ca="1" si="113"/>
        <v>0</v>
      </c>
      <c r="IG46" s="259">
        <f ca="1">SUM(IG39:IG45)</f>
        <v>0</v>
      </c>
      <c r="IH46" s="259">
        <f ca="1">IF(IG46&lt;&gt;0,MAX($IH$35:IH45)+1,0)</f>
        <v>0</v>
      </c>
      <c r="II46" s="259">
        <f>IF(AD46="costi pluriennali",MAX($II$2:II45)+1,0)</f>
        <v>0</v>
      </c>
      <c r="IJ46" s="259">
        <f>IF($AD46="rettifiche costi pluriennali",MAX($IJ$2:IJ45)+1,0)</f>
        <v>0</v>
      </c>
      <c r="IK46" s="259">
        <f t="shared" si="114"/>
        <v>0</v>
      </c>
      <c r="IL46" s="259" t="str">
        <f t="shared" si="115"/>
        <v/>
      </c>
      <c r="IM46" s="259">
        <f t="shared" ca="1" si="116"/>
        <v>0</v>
      </c>
      <c r="IN46" s="259">
        <f t="shared" ca="1" si="141"/>
        <v>0</v>
      </c>
      <c r="IO46" s="259">
        <f>SUMIFS($IM$3:$IM$200,$IK$3:$IK$200,ROWS($IO$3:IO46))-SUMIFS($IN$3:$IN$200,$IK$3:$IK$200,ROWS($IO$3:IO46))</f>
        <v>0</v>
      </c>
      <c r="IP46" s="259" t="str">
        <f>IF(IO46&lt;0,INDEX($IJ$3:$IL$200,MATCH(ROWS($IP$3:IP46),$IJ$3:$IJ$200,0),3),"")</f>
        <v/>
      </c>
      <c r="IQ46" s="259">
        <f>IF(IP46&lt;&gt;"",MAX($IQ$2:IQ45)+1,0)</f>
        <v>0</v>
      </c>
      <c r="IR46" s="259" t="str">
        <f ca="1">IFERROR(INDEX($IP$3:$IQ$200,MATCH(ROWS($IR$3:IR46),$IQ$3:$IQ$200,0),1),"")</f>
        <v/>
      </c>
      <c r="IS46" s="259" t="str">
        <f t="shared" ca="1" si="117"/>
        <v/>
      </c>
      <c r="IT46" s="259" t="str">
        <f t="shared" ca="1" si="118"/>
        <v/>
      </c>
      <c r="IU46" s="259" t="str">
        <f t="shared" ca="1" si="119"/>
        <v/>
      </c>
      <c r="IV46" s="259" t="str">
        <f t="shared" ca="1" si="120"/>
        <v/>
      </c>
      <c r="IW46" s="259" t="str">
        <f t="shared" ca="1" si="121"/>
        <v/>
      </c>
      <c r="IX46" s="259" t="str">
        <f t="shared" ca="1" si="122"/>
        <v/>
      </c>
      <c r="IY46" s="259" t="str">
        <f t="shared" ca="1" si="123"/>
        <v/>
      </c>
      <c r="IZ46" s="259" t="str">
        <f t="shared" ca="1" si="124"/>
        <v/>
      </c>
      <c r="JA46" s="259" t="str">
        <f t="shared" ca="1" si="125"/>
        <v/>
      </c>
      <c r="JB46" s="259">
        <f t="shared" ca="1" si="32"/>
        <v>0</v>
      </c>
      <c r="JC46" s="259">
        <f t="shared" ca="1" si="126"/>
        <v>0</v>
      </c>
      <c r="JE46" s="259">
        <f ca="1">IFERROR(INDEX(LIBRO_GIORNALE!$N$11:$O$408,MATCH(ROWS($JE$2:JE45),LIBRO_GIORNALE!$O$11:$O$408,0),1),0)</f>
        <v>0</v>
      </c>
      <c r="JF46" s="259" t="str">
        <f t="shared" ca="1" si="127"/>
        <v>0</v>
      </c>
      <c r="JG46" s="259">
        <f t="shared" ca="1" si="128"/>
        <v>0</v>
      </c>
      <c r="JH46" s="259">
        <f ca="1">IF(JJ46&gt;0,0,MAX($JH$2:JH45)+1)</f>
        <v>44</v>
      </c>
      <c r="JI46" s="259">
        <f ca="1">IF(JG46&gt;0,MAX($JI$2:JI45)+1,0)</f>
        <v>0</v>
      </c>
      <c r="JJ46" s="259">
        <f ca="1">IFERROR(INDEX($JG$3:$JI$124,MATCH(ROWS($JJ$3:JJ46),$JI$3:$JI$124,0),1),0)</f>
        <v>0</v>
      </c>
      <c r="JK46" s="259">
        <f t="shared" ca="1" si="129"/>
        <v>0</v>
      </c>
      <c r="JL46" s="259">
        <f t="shared" ca="1" si="130"/>
        <v>44</v>
      </c>
    </row>
    <row r="47" spans="1:273">
      <c r="A47" s="259" t="str">
        <f t="shared" si="33"/>
        <v>05.20</v>
      </c>
      <c r="B47" s="259" t="str">
        <f t="shared" si="34"/>
        <v>FONDO SVALUTAZIONE CREDITI</v>
      </c>
      <c r="C47" s="259" t="str">
        <f t="shared" si="35"/>
        <v>F</v>
      </c>
      <c r="D47" s="259" t="str">
        <f t="shared" si="36"/>
        <v>A</v>
      </c>
      <c r="E47" s="259" t="str">
        <f t="shared" si="37"/>
        <v>CREDITI</v>
      </c>
      <c r="F47" s="259" t="str">
        <f t="shared" si="38"/>
        <v>SP AVERE</v>
      </c>
      <c r="G47" s="259">
        <f t="shared" ca="1" si="39"/>
        <v>0</v>
      </c>
      <c r="H47" s="259">
        <f t="shared" ca="1" si="40"/>
        <v>0</v>
      </c>
      <c r="I47" s="259">
        <f t="shared" ca="1" si="41"/>
        <v>1</v>
      </c>
      <c r="K47" s="259" t="str">
        <f ca="1">IFERROR(IF($I$1=1,INDEX($AA$3:$AS$220,MATCH(ROWS($K$3:K47),$AQ$3:$AQ$220,0),1),IF($I$1=2,INDEX($AA$3:$AS$220,MATCH(ROWS($K$3:K47),$AR$3:$AR$220,0),1),IF($I$1=3,INDEX($AA$3:$AS$220,MATCH(ROWS($K$3:K47),$AS$3:$AS$220,0),1),""))),"")</f>
        <v>CREDITI PER CAUZIONI</v>
      </c>
      <c r="L47" s="259">
        <f ca="1">IF(AND($L$1="VISUALIZZA TUTTI I CONTI",K47&lt;&gt;""),MAX(L46:L46)+1,IFERROR(IF($J$1=1,IF(INDEX(PIANO_DEI_CONTI,MATCH($K47,DENOMINAZIONE,0),5)=$L$1,MAX($L$2:L46)+1,0),IF($J$1=2,IF(INDEX(PIANO_DEI_CONTI,MATCH($K47,DENOMINAZIONE,0),7)=$L$1,MAX($L$2:L46)+1,0))),0))</f>
        <v>45</v>
      </c>
      <c r="M47" s="259" t="str">
        <f ca="1">IFERROR(INDEX($K$3:$K$220,MATCH(ROWS($M$3:M47),$L$3:$L$220,0),1),"")</f>
        <v>CREDITI PER CAUZIONI</v>
      </c>
      <c r="N47" s="259" t="str">
        <f t="shared" si="143"/>
        <v>PROVENTI FINANZIARI</v>
      </c>
      <c r="O47" s="259" t="str">
        <f t="shared" ca="1" si="142"/>
        <v>PROVENTI FINANZIARI</v>
      </c>
      <c r="P47" s="259">
        <f ca="1">IF(AND(N47=O47,O47&lt;&gt;""),MAX(P$2:P46)+1,0)</f>
        <v>30</v>
      </c>
      <c r="Q47" s="259" t="str">
        <f ca="1">IF(IFERROR(INDEX($O$3:$P$220,MATCH(ROWS(Q$3:Q47),$P$3:$P$220,0),1),"")=0,"",IFERROR(INDEX($O$3:$P$220,MATCH(ROWS(Q$3:Q47),$P$3:$P$220,0),1),""))</f>
        <v/>
      </c>
      <c r="R47" s="259" t="str">
        <f t="shared" si="1"/>
        <v>CREDITI PER CAUZIONI</v>
      </c>
      <c r="S47" s="259">
        <f ca="1">IF(IFERROR(MATCH(R47,DENOMINAZIONE_GIORNALE,0),0)&gt;0,MAX(S$2:S46)+1,0)</f>
        <v>0</v>
      </c>
      <c r="T47" s="259" t="str">
        <f ca="1">IFERROR(INDEX($R$3:$S$220,MATCH(ROWS($T$3:T47),$S$3:$S$220,0),1),"")</f>
        <v/>
      </c>
      <c r="U47" s="259">
        <f t="shared" ca="1" si="2"/>
        <v>0</v>
      </c>
      <c r="V47" s="259">
        <f ca="1">IF(IF(U47&lt;&gt;0,MAX($V$2:V46)+1,0)=0,0,IF(U47&lt;&gt;0,MAX($V$2:V46)+1,0))</f>
        <v>0</v>
      </c>
      <c r="W47" s="259" t="str">
        <f t="shared" si="43"/>
        <v>05.20</v>
      </c>
      <c r="X47" s="259" t="str">
        <f t="shared" si="44"/>
        <v>FONDO SVALUTAZIONE CREDITI</v>
      </c>
      <c r="Y47" s="259">
        <f>IF(W47="",0,MAX($Y$2:Y46)+1)</f>
        <v>40</v>
      </c>
      <c r="Z47" s="259" t="str">
        <f>IFERROR(INDEX($W$3:$Y$220,MATCH(ROWS($Z$2:Z46),$Y$3:$Y$220,0),1),"")</f>
        <v>06.05</v>
      </c>
      <c r="AA47" s="259" t="str">
        <f t="shared" si="45"/>
        <v>CREDITI PER CAUZIONI</v>
      </c>
      <c r="AB47" s="259" t="str">
        <f t="shared" si="46"/>
        <v>F</v>
      </c>
      <c r="AC47" s="259" t="str">
        <f t="shared" si="47"/>
        <v>D</v>
      </c>
      <c r="AD47" s="259" t="str">
        <f t="shared" si="48"/>
        <v>CREDITI</v>
      </c>
      <c r="AE47" s="259" t="str">
        <f t="shared" si="49"/>
        <v>SP DARE</v>
      </c>
      <c r="AF47" s="259" t="str">
        <f t="shared" si="50"/>
        <v>CREDITI DIVERSI</v>
      </c>
      <c r="AG47" s="259">
        <f t="shared" ca="1" si="51"/>
        <v>1</v>
      </c>
      <c r="AH47" s="259">
        <f t="shared" ca="1" si="52"/>
        <v>1</v>
      </c>
      <c r="AI47" s="259">
        <f t="shared" ca="1" si="53"/>
        <v>1</v>
      </c>
      <c r="AJ47" s="259" t="str">
        <f t="shared" si="54"/>
        <v>06</v>
      </c>
      <c r="AK47" s="259" t="str">
        <f t="shared" si="55"/>
        <v/>
      </c>
      <c r="AL47" s="259">
        <f>IF(AK47&lt;&gt;"",MAX($AL$2:AL46)+1,0)</f>
        <v>0</v>
      </c>
      <c r="AM47" s="259" t="str">
        <f>IFERROR(INDEX($AK$3:$AL$220,MATCH(ROWS($AM$3:AM47),$AL$3:$AL$220,0),1),"")</f>
        <v/>
      </c>
      <c r="AN47" s="259" t="str">
        <f t="shared" si="56"/>
        <v/>
      </c>
      <c r="AO47" s="259" t="str">
        <f t="shared" si="57"/>
        <v/>
      </c>
      <c r="AP47" s="259" t="str">
        <f t="shared" si="58"/>
        <v>CREDITI DIVERSI</v>
      </c>
      <c r="AQ47" s="259">
        <f ca="1">IF(OR(AG47=0,AG47=""),0,MAX(AQ$2:AQ46)+1)</f>
        <v>25</v>
      </c>
      <c r="AR47" s="259">
        <f ca="1">IF(OR(AH47=0,AH47=""),0,MAX(AR$2:AR46)+1)</f>
        <v>37</v>
      </c>
      <c r="AS47" s="259">
        <f ca="1">IF(OR(AI47=0,AI47=""),0,MAX(AS$2:AS46)+1)</f>
        <v>45</v>
      </c>
      <c r="AT47" s="259" t="str">
        <f ca="1">IFERROR(INDEX($AD$3:$AS$220,MATCH(ROWS(AT$3:AT47),AQ$3:AQ$220,0),1),"")</f>
        <v>CONTI CON ALTERNANZA DI SALDI</v>
      </c>
      <c r="AU47" s="259" t="str">
        <f ca="1">IFERROR(INDEX($AD$3:$AS$220,MATCH(ROWS(AU$3:AU47),AR$3:AR$220,0),1),"")</f>
        <v>PATRIMONIO NETTO</v>
      </c>
      <c r="AV47" s="259" t="str">
        <f ca="1">IFERROR(INDEX($AD$3:$AS$220,MATCH(ROWS(AV$3:AV47),AS$3:AS$220,0),1),"")</f>
        <v>CREDITI</v>
      </c>
      <c r="AW47" s="259" t="str">
        <f ca="1">IFERROR(INDEX($AP$3:$AS$220,MATCH(ROWS(AW$3:AW47),AQ$3:AQ$220,0),1),"")</f>
        <v>CONTI TRANSITORI E DIVERSI</v>
      </c>
      <c r="AX47" s="259" t="str">
        <f ca="1">IFERROR(INDEX($AP$3:$AS$220,MATCH(ROWS(AX$3:AX47),AR$3:AR$220,0),1),"")</f>
        <v>PATRIMONIO NETTO</v>
      </c>
      <c r="AY47" s="259" t="str">
        <f ca="1">IFERROR(INDEX($AP$3:$AS$220,MATCH(ROWS(AY$3:AY47),AS$3:AS$220,0),1),"")</f>
        <v>CREDITI DIVERSI</v>
      </c>
      <c r="AZ47" s="276" t="str">
        <f t="shared" ca="1" si="59"/>
        <v/>
      </c>
      <c r="BA47" s="259">
        <f t="shared" ca="1" si="153"/>
        <v>0</v>
      </c>
      <c r="BB47" s="259">
        <f ca="1">IFERROR(INDEX($FG$3:$FL$400,MATCH(ROWS($BB$3:BB47),$FL$3:$FL$400,0),1),0)</f>
        <v>0</v>
      </c>
      <c r="BC47" s="259" t="str">
        <f t="shared" ca="1" si="60"/>
        <v/>
      </c>
      <c r="BD47" s="259">
        <f ca="1">IFERROR(INDEX($FG$3:$FL$400,MATCH(ROWS($BD$3:BD47),$FL$3:$FL$400,0),4),0)</f>
        <v>0</v>
      </c>
      <c r="BE47" s="259">
        <f ca="1">IFERROR(INDEX($FG$3:$FL$400,MATCH(ROWS($BE$3:BE47),$FL$3:$FL$400,0),5),0)</f>
        <v>0</v>
      </c>
      <c r="BG47" s="259" t="str">
        <f t="shared" si="4"/>
        <v/>
      </c>
      <c r="BH47" s="259">
        <f ca="1">IF(IFERROR(MATCH(BG47,DENOMINAZIONE_GIORNALE,0),0)&gt;0,MAX(BH$2:BH46)+1,0)</f>
        <v>0</v>
      </c>
      <c r="BI47" s="259" t="str">
        <f ca="1">IFERROR(INDEX($BG$3:$BH$220,MATCH(ROWS($BI$3:BI47),$BH$3:$BH$220,0),1),"")</f>
        <v/>
      </c>
      <c r="BJ47" s="259" t="str">
        <f t="shared" ca="1" si="5"/>
        <v/>
      </c>
      <c r="BK47" s="259" t="str">
        <f ca="1">IF(IF(BJ47&lt;&gt;"",MAX($BK$2:BK46)+1,0)=0,"",IF(BJ47&lt;&gt;"",MAX($BK$2:BK46)+1,0))</f>
        <v/>
      </c>
      <c r="BL47" s="259" t="str">
        <f ca="1">IFERROR(INDEX($T$3:$U$220, MATCH(ROWS(BL$3:BL47),$V$3:$V$220,0),1),"")</f>
        <v/>
      </c>
      <c r="BM47" s="259" t="str">
        <f ca="1">IFERROR(INDEX($T$3:$U$220, MATCH(ROWS(BM$3:BM47),$V$3:$V$220,0),2),"")</f>
        <v/>
      </c>
      <c r="BN47" s="259" t="str">
        <f ca="1">IF(IFERROR(INDEX($BI$3:$BJ$220,MATCH(ROWS(BN$3:BN47),$BK$3:$BK$220,0),1),"")="PATRIMONIO NETTO","",IFERROR(INDEX($BI$3:$BJ$220,MATCH(ROWS(BN$3:BN47),$BK$3:$BK$220,0),1),""))</f>
        <v/>
      </c>
      <c r="BO47" s="259" t="str">
        <f ca="1">IFERROR(INDEX($BI$3:$BJ$220,MATCH(ROWS(BO$3:BO47),$BK$3:$BK$220,0),2),"")</f>
        <v/>
      </c>
      <c r="BP47" s="259">
        <f ca="1">IF(BN47&lt;&gt;"",MAX(BP$2:$BP46)+1,0)</f>
        <v>0</v>
      </c>
      <c r="BQ47" s="259" t="str">
        <f ca="1">IFERROR(INDEX($BN$3:$BO$200,MATCH(ROWS(BQ$3:BQ47),$BP$3:$BP$220,0),1),"")</f>
        <v/>
      </c>
      <c r="BR47" s="259" t="str">
        <f ca="1">IFERROR(INDEX($BN$3:$BO$220,MATCH(ROWS(BR$3:BR47),$BP$3:$BP$220,0),2),"")</f>
        <v/>
      </c>
      <c r="BS47" s="259" t="str">
        <f ca="1">IFERROR(IF(OR(INDEX($T$3:$U$220,MATCH(ROWS(BL$3:BL47),$V$3:$V$220,0),1)="PRELEVAMENTI EXTRAGESTIONE",INDEX($T$3:$U$220,MATCH(ROWS(BL$3:BL47),$V$3:$V$220,0),1)="TITOLARE C/RITENUTE SUBITE"),"",INDEX($T$3:$U$220,MATCH(ROWS(BL$3:BL47),$V$3:$V$220,0),1)),"")</f>
        <v/>
      </c>
      <c r="BT47" s="259">
        <f t="shared" ca="1" si="61"/>
        <v>0</v>
      </c>
      <c r="BU47" s="259">
        <f ca="1">IF(BS47&lt;&gt;"",MAX(BU$2:BU46)+1,0)</f>
        <v>0</v>
      </c>
      <c r="BV47" s="259" t="str">
        <f ca="1">IFERROR(INDEX($BS$3:$BT$223,MATCH(ROWS(BV$3:BV47),$BU$3:$BU$223,0),1),"")</f>
        <v/>
      </c>
      <c r="BW47" s="259">
        <f t="shared" ca="1" si="62"/>
        <v>0</v>
      </c>
      <c r="BX47" s="259" t="str">
        <f t="shared" ca="1" si="63"/>
        <v/>
      </c>
      <c r="BY47" s="259" t="str">
        <f t="shared" ca="1" si="64"/>
        <v/>
      </c>
      <c r="BZ47" s="259" t="str">
        <f ca="1">IFERROR(IF(OR($DS$231&lt;&gt;$DT$231,$DU$231&lt;&gt;$DV$231,$EO$25&lt;&gt;0,$EO$26&lt;&gt;0),INDEX($T$3:$V$220,MATCH(ROWS($BV$3:BV47),$V$3:$V$220,0),1),CONCATENATE(BV47,BY47)),"")</f>
        <v/>
      </c>
      <c r="CA47" s="259">
        <f t="shared" ca="1" si="65"/>
        <v>0</v>
      </c>
      <c r="CB47" s="259" t="str">
        <f ca="1">IFERROR(IF(OR($BB$1&lt;&gt;$BD$1,$BC$1&lt;&gt;$BE$1,$DS$231&lt;&gt;$DT$231,$DU$231&lt;&gt;$DV$231,$EO$25&lt;&gt;0,$EO$26&lt;&gt;0),INDEX($BI$3:$BK$220,MATCH(ROWS($CB$3:CB47),$BK$3:$BK$220,0),1),CONCATENATE(BQ47,BX47)),"")</f>
        <v/>
      </c>
      <c r="CC47" s="259" t="str">
        <f t="shared" ca="1" si="66"/>
        <v/>
      </c>
      <c r="CD47" s="259" t="str">
        <f t="shared" si="6"/>
        <v/>
      </c>
      <c r="CE47" s="259">
        <f ca="1">IF(IFERROR(MATCH(CD47,DENOMINAZIONE_GIORNALE,0),0)&gt;0,MAX(CE$2:CE46)+1,0)</f>
        <v>0</v>
      </c>
      <c r="CF47" s="259" t="str">
        <f ca="1">IFERROR(INDEX($CD$3:$CE$220,MATCH(ROWS($CF$3:CF47),$CE$3:$CE$220,0),1),"")</f>
        <v/>
      </c>
      <c r="CG47" s="259">
        <f t="shared" ca="1" si="7"/>
        <v>0</v>
      </c>
      <c r="CH47" s="259" t="str">
        <f ca="1">IF(IF(CG47&lt;&gt;0,MAX($CH$2:CH46)+1,0)=0,"",IF(CG47&lt;&gt;"",MAX($CH$2:CH46)+1,0))</f>
        <v/>
      </c>
      <c r="CI47" s="259" t="str">
        <f ca="1">IFERROR(INDEX($CF$3:$CG$220,MATCH(ROWS($CI$3:CI47),$CH$3:$CH$220,0),1),"")</f>
        <v/>
      </c>
      <c r="CJ47" s="259" t="str">
        <f t="shared" ca="1" si="67"/>
        <v/>
      </c>
      <c r="CK47" s="259" t="str">
        <f t="shared" si="8"/>
        <v/>
      </c>
      <c r="CL47" s="259">
        <f ca="1">IF(IFERROR(MATCH(CK47,DENOMINAZIONE_GIORNALE,0),0)&gt;0,MAX(CL$2:CL46)+1,0)</f>
        <v>0</v>
      </c>
      <c r="CM47" s="259" t="str">
        <f ca="1">IFERROR(INDEX($CK$3:$CL$220,MATCH(ROWS($CM$3:CM47),$CL$3:$CL$220,0),1),"")</f>
        <v/>
      </c>
      <c r="CN47" s="259" t="str">
        <f t="shared" ca="1" si="9"/>
        <v/>
      </c>
      <c r="CO47" s="259">
        <f ca="1">IF(IF(CN47&lt;&gt;0,MAX($CO$2:CO46)+1,0)=0,"",IF(CN47&lt;&gt;"",MAX($CO$2:CO46)+1,0))</f>
        <v>0</v>
      </c>
      <c r="CP47" s="259" t="str">
        <f ca="1">IFERROR(INDEX($CM$3:$CN$220,MATCH(ROWS(CP$3:CP47),$CO$3:$CO$220,0),1),"")</f>
        <v/>
      </c>
      <c r="CQ47" s="259" t="str">
        <f ca="1">IFERROR(INDEX($CM$3:$CN$220,MATCH(ROWS(CQ$3:CQ47),$CO$3:$CO$220,0),2),"")</f>
        <v/>
      </c>
      <c r="CR47" s="259" t="str">
        <f t="shared" ca="1" si="154"/>
        <v/>
      </c>
      <c r="CS47" s="259">
        <f t="shared" ca="1" si="11"/>
        <v>0</v>
      </c>
      <c r="CT47" s="259">
        <f t="shared" ca="1" si="12"/>
        <v>0</v>
      </c>
      <c r="CU47" s="259">
        <f ca="1">IF(OR(CS47&gt;0,CT47&gt;0),MAX($CU$2:CU46)+1,0)</f>
        <v>0</v>
      </c>
      <c r="CV47" s="259" t="str">
        <f ca="1">IFERROR(INDEX(PIANO_DEI_CONTI,MATCH(ROWS($CV$3:CV47),$CU$3:$CU$200,0),2),"")</f>
        <v/>
      </c>
      <c r="CW47" s="259">
        <f ca="1">IFERROR(IF(CV47&lt;&gt;"",MAX($CW$2:CW46)+1,0),0)</f>
        <v>0</v>
      </c>
      <c r="CX47" s="259">
        <f t="shared" ca="1" si="162"/>
        <v>3</v>
      </c>
      <c r="CY47" s="259" t="str">
        <f t="shared" ca="1" si="161"/>
        <v>MASTRO</v>
      </c>
      <c r="CZ47" s="259" t="e">
        <f t="shared" ca="1" si="164"/>
        <v>#N/A</v>
      </c>
      <c r="DA47" s="259" t="str">
        <f t="shared" ca="1" si="169"/>
        <v/>
      </c>
      <c r="DB47" s="259" t="str">
        <f t="shared" ca="1" si="165"/>
        <v/>
      </c>
      <c r="DC47" s="259" t="str">
        <f t="shared" ca="1" si="166"/>
        <v/>
      </c>
      <c r="DD47" s="259" t="str">
        <f t="shared" ca="1" si="167"/>
        <v/>
      </c>
      <c r="DE47" s="259" t="str">
        <f t="shared" ca="1" si="168"/>
        <v/>
      </c>
      <c r="DF47" s="259">
        <f ca="1">IF(AND(CX47=$DE$2,$DF$2&lt;&gt;0),0,IF(AND(DB47&lt;&gt;"",OR(DB46&lt;&gt;"",DB48&lt;&gt;"")),MAX($DF$2:DF46)+1,0))</f>
        <v>0</v>
      </c>
      <c r="DG47" s="259" t="str">
        <f>IF(OR(VALORI_INIZIALI!E52="",AND(VALORI_INIZIALI!E52&lt;&gt;"",VALORI_INIZIALI!H52=0,VALORI_INIZIALI!I52=0)),"",IFERROR(INDEX(PIANO_DEI_CONTI,MATCH(BB47,DENOMINAZIONE,0),1),0))</f>
        <v/>
      </c>
      <c r="DH47" s="259">
        <f ca="1">IFERROR(IF($J$1=1,IF(INDEX(PIANO_DEI_CONTI,MATCH($K47,DENOMINAZIONE,0),5)=$DF$1,MAX($DH$2:DH46)+1,0),IF($J$1=2,IF(INDEX(PIANO_DEI_CONTI,MATCH($K47,DENOMINAZIONE,0),7)=$DF$1,MAX($DH$2:DH46)+1,0))),0)</f>
        <v>0</v>
      </c>
      <c r="DI47" s="259">
        <f ca="1">IFERROR(INDEX($K$3:$K$220,MATCH(ROWS($DI$3:DI47),$DH$3:$DH$220,0),1),0)</f>
        <v>0</v>
      </c>
      <c r="DJ47" s="259">
        <f t="shared" ca="1" si="14"/>
        <v>0</v>
      </c>
      <c r="DK47" s="259">
        <f ca="1">IF(DJ47=0,0,MAX(DK$2:DK46)+1)</f>
        <v>0</v>
      </c>
      <c r="DL47" s="259">
        <f ca="1">IFERROR(INDEX(PIANO_DEI_CONTI,MATCH(ROWS(DL$3:DL47),$DK$3:DK274,0),2),0)</f>
        <v>0</v>
      </c>
      <c r="DM47" s="259">
        <f t="shared" ca="1" si="15"/>
        <v>0</v>
      </c>
      <c r="DN47" s="259">
        <f t="shared" ca="1" si="16"/>
        <v>0</v>
      </c>
      <c r="DO47" s="259">
        <f t="shared" ca="1" si="69"/>
        <v>0</v>
      </c>
      <c r="DP47" s="259">
        <f t="shared" ca="1" si="70"/>
        <v>0</v>
      </c>
      <c r="DQ47" s="259">
        <f ca="1">IF(OR($DQ$1="TOTALI",$DQ$1="TOTALI ED ECCEDENZE"),IF(OR(DM47&gt;0,DN47&gt;0),MAX(DQ$2:DQ46)+1,0),IF($DQ$1="ECCEDENZE",IF(OR(DO47&gt;0,DP47&gt;0),MAX(DQ$2:DQ46)+1,0),""))</f>
        <v>0</v>
      </c>
      <c r="DR47" s="259" t="str">
        <f ca="1">IFERROR(INDEX($DL$3:$DQ$230,MATCH(ROWS(DR$3:DR47),$DQ$3:$DQ$230,0),1),"")</f>
        <v/>
      </c>
      <c r="DS47" s="259" t="str">
        <f t="shared" ca="1" si="71"/>
        <v/>
      </c>
      <c r="DT47" s="259" t="str">
        <f t="shared" ca="1" si="72"/>
        <v/>
      </c>
      <c r="DU47" s="259" t="str">
        <f t="shared" ca="1" si="73"/>
        <v/>
      </c>
      <c r="DV47" s="259" t="str">
        <f t="shared" ca="1" si="74"/>
        <v/>
      </c>
      <c r="DW47" s="259">
        <f t="shared" ca="1" si="75"/>
        <v>0</v>
      </c>
      <c r="DX47" s="259" t="str">
        <f t="shared" ca="1" si="76"/>
        <v/>
      </c>
      <c r="DY47" s="259" t="str">
        <f t="shared" ca="1" si="77"/>
        <v/>
      </c>
      <c r="DZ47" s="259" t="str">
        <f t="shared" ca="1" si="78"/>
        <v/>
      </c>
      <c r="EA47" s="259">
        <f t="shared" ca="1" si="79"/>
        <v>45</v>
      </c>
      <c r="EB47" s="259" t="s">
        <v>353</v>
      </c>
      <c r="ED47" s="259">
        <f t="shared" ca="1" si="17"/>
        <v>0</v>
      </c>
      <c r="EE47" s="259" t="str">
        <f t="shared" ca="1" si="155"/>
        <v/>
      </c>
      <c r="EF47" s="259" t="str">
        <f t="shared" ca="1" si="19"/>
        <v/>
      </c>
      <c r="EG47" s="259" t="str">
        <f t="shared" ca="1" si="136"/>
        <v/>
      </c>
      <c r="EH47" s="259" t="str">
        <f t="shared" ca="1" si="80"/>
        <v/>
      </c>
      <c r="EI47" s="260" t="b">
        <f t="shared" ca="1" si="137"/>
        <v>0</v>
      </c>
      <c r="EJ47" s="260" t="b">
        <f t="shared" ca="1" si="138"/>
        <v>0</v>
      </c>
      <c r="EK47" s="260" t="b">
        <f t="shared" ca="1" si="139"/>
        <v>1</v>
      </c>
      <c r="EL47" s="259">
        <f t="shared" si="81"/>
        <v>45</v>
      </c>
      <c r="EM47" s="259">
        <f ca="1">IF(AND(BA47&gt;0,BA47&lt;=$EM$1),MAX($EM$2:EM46)+1,0)</f>
        <v>0</v>
      </c>
      <c r="EN47" s="259">
        <f t="shared" ca="1" si="82"/>
        <v>47</v>
      </c>
      <c r="EP47" s="259" t="str">
        <f t="shared" ca="1" si="20"/>
        <v/>
      </c>
      <c r="EQ47" s="259">
        <f t="shared" ca="1" si="21"/>
        <v>0</v>
      </c>
      <c r="ER47" s="259">
        <f ca="1">IF(ISNA(EQ47),MAX(ER$2:ER46)+1,0)</f>
        <v>0</v>
      </c>
      <c r="ES47" s="259" t="str">
        <f t="shared" ca="1" si="83"/>
        <v/>
      </c>
      <c r="ET47" s="259" t="str">
        <f ca="1">IFERROR(UPPER(INDEX($ER$3:$ES$500,MATCH(ROWS(ET$3:ET47),$ER$3:$ER$500,0),2)),"")</f>
        <v/>
      </c>
      <c r="EY47" s="259">
        <f t="shared" ca="1" si="84"/>
        <v>0</v>
      </c>
      <c r="EZ47" s="259">
        <f t="shared" ca="1" si="84"/>
        <v>0</v>
      </c>
      <c r="FA47" s="259" t="str">
        <f t="shared" ca="1" si="85"/>
        <v/>
      </c>
      <c r="FB47" s="259">
        <f t="shared" ca="1" si="86"/>
        <v>0</v>
      </c>
      <c r="FC47" s="259">
        <f t="shared" ca="1" si="87"/>
        <v>0</v>
      </c>
      <c r="FD47" s="259">
        <f t="shared" ca="1" si="22"/>
        <v>0</v>
      </c>
      <c r="FE47" s="259" t="str">
        <f t="shared" ca="1" si="23"/>
        <v/>
      </c>
      <c r="FF47" s="259" t="str">
        <f t="shared" ca="1" si="88"/>
        <v/>
      </c>
      <c r="FG47" s="259" t="str">
        <f t="shared" si="89"/>
        <v>CREDITI PER CAUZIONI</v>
      </c>
      <c r="FH47" s="259">
        <f t="shared" ca="1" si="156"/>
        <v>0</v>
      </c>
      <c r="FI47" s="259">
        <f t="shared" ca="1" si="25"/>
        <v>0</v>
      </c>
      <c r="FJ47" s="259">
        <f t="shared" ca="1" si="90"/>
        <v>0</v>
      </c>
      <c r="FK47" s="259">
        <f t="shared" ca="1" si="91"/>
        <v>0</v>
      </c>
      <c r="FL47" s="259">
        <f ca="1">IF(OR(FJ47&gt;0,FK47&gt;0),MAX($FL$2:FL46)+1,0)</f>
        <v>0</v>
      </c>
      <c r="FM47" s="259">
        <f t="shared" ca="1" si="26"/>
        <v>0</v>
      </c>
      <c r="FN47" s="259">
        <f ca="1">IF(FM47&lt;0,MAX($FN$2:FN46)+1,0)</f>
        <v>0</v>
      </c>
      <c r="FO47" s="259" t="str">
        <f t="shared" ca="1" si="92"/>
        <v/>
      </c>
      <c r="FP47" s="259" t="str">
        <f ca="1">IFERROR(INDEX($FN$3:$FO$400,MATCH(ROWS($FP$3:FP47),$FN$3:$FN$400,0),2),"")</f>
        <v/>
      </c>
      <c r="FQ47" s="259" t="str">
        <f>IF(AE47="SE AVERE",MAX($FQ$2:FQ46)+1,"")</f>
        <v/>
      </c>
      <c r="FR47" s="259" t="str">
        <f>IF(AE47="SE DARE",MAX($FR$2:FR46)+1,"")</f>
        <v/>
      </c>
      <c r="FS47" s="259">
        <f ca="1">IF(AND(AE47="SP DARE",AA47&lt;&gt;$FS$1,AA47&lt;&gt;$FT$1),MAX($FS$2:FS46)+1,IF(AND(GQ47="SP DARE",AA47&lt;&gt;$FS$1,AA47&lt;&gt;$FT$1),MAX($FS$2:FS46)+1,""))</f>
        <v>122</v>
      </c>
      <c r="FT47" s="259" t="str">
        <f ca="1">IF(AND(AE47="SP AVERE",AA47&lt;&gt;$FU$1),MAX($FT$2:FT46)+1,IF(AND(GQ47="SP AVERE",AA47&lt;&gt;$FU$1),MAX($FT$2:FT46)+1,""))</f>
        <v/>
      </c>
      <c r="FU47" s="259">
        <f t="shared" ca="1" si="93"/>
        <v>122</v>
      </c>
      <c r="FV47" s="259" t="str">
        <f t="shared" si="94"/>
        <v>CREDITI PER CAUZIONI</v>
      </c>
      <c r="FW47" s="259" t="str">
        <f ca="1">IFERROR(INDEX($FU$3:$FV$500,MATCH(ROWS($FW$3:FW47),$FU$3:$FU$500,0),2),0)</f>
        <v>CANONI DI LEASING</v>
      </c>
      <c r="FX47" s="259">
        <f t="shared" ca="1" si="95"/>
        <v>45</v>
      </c>
      <c r="FY47" s="259">
        <f t="shared" ca="1" si="96"/>
        <v>0</v>
      </c>
      <c r="FZ47" s="259">
        <f ca="1">IF(FY47&gt;0,MAX($FZ$2:FZ46)+1,0)</f>
        <v>0</v>
      </c>
      <c r="GA47" s="259">
        <f ca="1">IFERROR(INDEX($FY$3:$FZ$500,MATCH(ROWS($GA$3:GA47),$FZ$3:$FZ$500,0),1),0)</f>
        <v>0</v>
      </c>
      <c r="GC47" s="259">
        <f t="shared" ca="1" si="97"/>
        <v>45</v>
      </c>
      <c r="GD47" s="259" t="str">
        <f t="shared" ca="1" si="98"/>
        <v>CANONI DI LEASING</v>
      </c>
      <c r="GG47" s="259">
        <f t="shared" ca="1" si="27"/>
        <v>0</v>
      </c>
      <c r="GH47" s="259">
        <f t="shared" ca="1" si="99"/>
        <v>0</v>
      </c>
      <c r="GI47" s="259">
        <f t="shared" ca="1" si="100"/>
        <v>0</v>
      </c>
      <c r="GJ47" s="259">
        <f t="shared" ca="1" si="101"/>
        <v>0</v>
      </c>
      <c r="GK47" s="259">
        <f t="shared" ca="1" si="102"/>
        <v>0</v>
      </c>
      <c r="GL47" s="259">
        <f t="shared" ca="1" si="103"/>
        <v>0</v>
      </c>
      <c r="GM47" s="259">
        <f ca="1">IF(OR(GK47&gt;0,GL47&gt;0),MAX($GM$2:GM46)+1,0)</f>
        <v>0</v>
      </c>
      <c r="GN47" s="259" t="str">
        <f ca="1">IFERROR(INDEX($GD$3:$GM$400,MATCH(ROWS($GN$3:GN47),$GM$3:$GM$400,0),1),"")</f>
        <v/>
      </c>
      <c r="GO47" s="259" t="str">
        <f ca="1">IFERROR(INDEX($GD$3:$GM$400,MATCH(ROWS($GO$3:GO47),$GM$3:$GM$400,0),8),"")</f>
        <v/>
      </c>
      <c r="GP47" s="259" t="str">
        <f ca="1">IFERROR(INDEX($GD$3:$GM$400,MATCH(ROWS($GP$3:GP47),$GM$3:$GM$400,0),9),"")</f>
        <v/>
      </c>
      <c r="GQ47" s="259">
        <f t="shared" ca="1" si="28"/>
        <v>0</v>
      </c>
      <c r="GR47" s="259">
        <f t="shared" ca="1" si="104"/>
        <v>0</v>
      </c>
      <c r="GS47" s="259" t="str">
        <f t="shared" si="105"/>
        <v>epilogo a Conto economico</v>
      </c>
      <c r="GT47" s="259" t="str">
        <f ca="1">IFERROR(INDEX($GD$3:$GS$400,MATCH(ROWS($GT$3:GT47),$GM$3:$GM$400,0),16),"")</f>
        <v/>
      </c>
      <c r="GU47" s="259">
        <f ca="1">IF(GQ47&lt;&gt;0,MAX($GU$2:$GU46)+1,0)</f>
        <v>0</v>
      </c>
      <c r="GV47" s="259">
        <f t="shared" ca="1" si="106"/>
        <v>0</v>
      </c>
      <c r="GW47" s="259" t="str">
        <f ca="1">IF(AND(IFERROR(INDEX($GU$3:$GV$400,MATCH(ROWS($GW$3:GW47),$GU$3:$GU$400,0),2),"")&lt;&gt;"",GW48&lt;&gt;""),CONCATENATE(IFERROR(INDEX($GU$3:$GV$400,MATCH(ROWS($GW$3:GW47),$GU$3:$GU$400,0),2),"")," - "),IFERROR(INDEX($GU$3:$GV$400,MATCH(ROWS($GW$3:GW47),$GU$3:$GU$400,0),2),""))</f>
        <v/>
      </c>
      <c r="GX47" s="259">
        <f ca="1">IF(OR(GN47="IVA NS/CREDITO",GN47="IVA NS/DEBITO",GN47="IVA C/ACCONTO",GN47="IMPOSTE C/ACCONTO"),MAX($GX$2:GX46)+1,0)</f>
        <v>0</v>
      </c>
      <c r="GY47" s="259" t="str">
        <f ca="1">IF(AND(IFERROR(INDEX($GN$3:$GX$200,MATCH(ROWS($GY$3:GY47),$GX$3:$GX$200,0),1),"")&lt;&gt;"",GY48&lt;&gt;""),CONCATENATE(IFERROR(INDEX($GN$3:$GX$200,MATCH(ROWS($GY$3:GY47),$GX$3:$GX$200,0),1),"")," - "),IFERROR(INDEX($GN$3:$GX$200,MATCH(ROWS($GY$3:GY47),$GX$3:$GX$200,0),1),""))</f>
        <v/>
      </c>
      <c r="GZ47" s="259" t="s">
        <v>631</v>
      </c>
      <c r="HA47" s="259" t="s">
        <v>56</v>
      </c>
      <c r="HB47" s="269" t="s">
        <v>257</v>
      </c>
      <c r="HC47" s="269" t="s">
        <v>211</v>
      </c>
      <c r="HD47" s="269" t="s">
        <v>6</v>
      </c>
      <c r="HE47" s="269" t="s">
        <v>212</v>
      </c>
      <c r="HL47" s="259" t="str">
        <f t="shared" ca="1" si="157"/>
        <v/>
      </c>
      <c r="HM47" s="259" t="str">
        <f t="shared" ca="1" si="158"/>
        <v/>
      </c>
      <c r="HN47" s="259" t="str">
        <f t="shared" ca="1" si="159"/>
        <v/>
      </c>
      <c r="HO47" s="259">
        <f ca="1">IF(HL47&lt;&gt;"",MAX($HO$2:HO46)+1,0)</f>
        <v>0</v>
      </c>
      <c r="HP47" s="259">
        <f ca="1">IF(HM47&lt;&gt;"",MAX($HP$2:HP46)+1,0)</f>
        <v>0</v>
      </c>
      <c r="HQ47" s="259">
        <f ca="1">IF(HN47&lt;&gt;"",MAX($HQ$2:HQ46)+1,0)</f>
        <v>0</v>
      </c>
      <c r="HR47" s="259" t="str">
        <f t="shared" ca="1" si="107"/>
        <v/>
      </c>
      <c r="HS47" s="259" t="str">
        <f t="shared" ca="1" si="108"/>
        <v/>
      </c>
      <c r="HT47" s="259">
        <f t="shared" ca="1" si="109"/>
        <v>0</v>
      </c>
      <c r="HU47" s="259">
        <f t="shared" ca="1" si="110"/>
        <v>0</v>
      </c>
      <c r="HV47" s="259" t="str">
        <f ca="1">CONCATENATE(IFERROR(INDEX($HS$3:$HT$102,MATCH(ROWS($HV$3:HV47),$HT$3:$HT$102,0),1),""),HR47)</f>
        <v/>
      </c>
      <c r="IB47" s="259" t="s">
        <v>308</v>
      </c>
      <c r="IC47" s="259">
        <f ca="1">IFERROR(INDEX(PIANO_DEI_CONTI,MATCH(ROWS(DL$3:DL47),$DK$3:DK274,0),2),0)</f>
        <v>0</v>
      </c>
      <c r="ID47" s="259">
        <f t="shared" ca="1" si="111"/>
        <v>0</v>
      </c>
      <c r="IE47" s="259">
        <f t="shared" ca="1" si="112"/>
        <v>0</v>
      </c>
      <c r="IF47" s="259">
        <f t="shared" ca="1" si="113"/>
        <v>0</v>
      </c>
      <c r="IG47" s="259">
        <f ca="1">IF(OR(IG67&lt;&gt;0,IG46&lt;&gt;0,IG78&lt;&gt;0,IG92&lt;&gt;0),"",0)</f>
        <v>0</v>
      </c>
      <c r="IH47" s="259">
        <f ca="1">IF(IG47&lt;&gt;0,MAX($IH$35:IH46)+1,0)</f>
        <v>0</v>
      </c>
      <c r="II47" s="259">
        <f>IF(AD47="costi pluriennali",MAX($II$2:II46)+1,0)</f>
        <v>0</v>
      </c>
      <c r="IJ47" s="259">
        <f>IF($AD47="rettifiche costi pluriennali",MAX($IJ$2:IJ46)+1,0)</f>
        <v>0</v>
      </c>
      <c r="IK47" s="259">
        <f t="shared" si="114"/>
        <v>0</v>
      </c>
      <c r="IL47" s="259" t="str">
        <f t="shared" si="115"/>
        <v/>
      </c>
      <c r="IM47" s="259">
        <f t="shared" ca="1" si="116"/>
        <v>0</v>
      </c>
      <c r="IN47" s="259">
        <f t="shared" ca="1" si="141"/>
        <v>0</v>
      </c>
      <c r="IO47" s="259">
        <f>SUMIFS($IM$3:$IM$200,$IK$3:$IK$200,ROWS($IO$3:IO47))-SUMIFS($IN$3:$IN$200,$IK$3:$IK$200,ROWS($IO$3:IO47))</f>
        <v>0</v>
      </c>
      <c r="IP47" s="259" t="str">
        <f>IF(IO47&lt;0,INDEX($IJ$3:$IL$200,MATCH(ROWS($IP$3:IP47),$IJ$3:$IJ$200,0),3),"")</f>
        <v/>
      </c>
      <c r="IQ47" s="259">
        <f>IF(IP47&lt;&gt;"",MAX($IQ$2:IQ46)+1,0)</f>
        <v>0</v>
      </c>
      <c r="IR47" s="259" t="str">
        <f ca="1">IFERROR(INDEX($IP$3:$IQ$200,MATCH(ROWS($IR$3:IR47),$IQ$3:$IQ$200,0),1),"")</f>
        <v/>
      </c>
      <c r="IS47" s="259" t="str">
        <f t="shared" ca="1" si="117"/>
        <v/>
      </c>
      <c r="IT47" s="259" t="str">
        <f t="shared" ca="1" si="118"/>
        <v/>
      </c>
      <c r="IU47" s="259" t="str">
        <f t="shared" ca="1" si="119"/>
        <v/>
      </c>
      <c r="IV47" s="259" t="str">
        <f t="shared" ca="1" si="120"/>
        <v/>
      </c>
      <c r="IW47" s="259" t="str">
        <f t="shared" ca="1" si="121"/>
        <v/>
      </c>
      <c r="IX47" s="259" t="str">
        <f t="shared" ca="1" si="122"/>
        <v/>
      </c>
      <c r="IY47" s="259" t="str">
        <f t="shared" ca="1" si="123"/>
        <v/>
      </c>
      <c r="IZ47" s="259" t="str">
        <f t="shared" ca="1" si="124"/>
        <v/>
      </c>
      <c r="JA47" s="259" t="str">
        <f t="shared" ca="1" si="125"/>
        <v/>
      </c>
      <c r="JB47" s="259">
        <f t="shared" ca="1" si="32"/>
        <v>0</v>
      </c>
      <c r="JC47" s="259">
        <f t="shared" ca="1" si="126"/>
        <v>0</v>
      </c>
      <c r="JE47" s="259">
        <f ca="1">IFERROR(INDEX(LIBRO_GIORNALE!$N$11:$O$408,MATCH(ROWS($JE$2:JE46),LIBRO_GIORNALE!$O$11:$O$408,0),1),0)</f>
        <v>0</v>
      </c>
      <c r="JF47" s="259" t="str">
        <f t="shared" ca="1" si="127"/>
        <v>0</v>
      </c>
      <c r="JG47" s="259">
        <f t="shared" ca="1" si="128"/>
        <v>0</v>
      </c>
      <c r="JH47" s="259">
        <f ca="1">IF(JJ47&gt;0,0,MAX($JH$2:JH46)+1)</f>
        <v>45</v>
      </c>
      <c r="JI47" s="259">
        <f ca="1">IF(JG47&gt;0,MAX($JI$2:JI46)+1,0)</f>
        <v>0</v>
      </c>
      <c r="JJ47" s="259">
        <f ca="1">IFERROR(INDEX($JG$3:$JI$124,MATCH(ROWS($JJ$3:JJ47),$JI$3:$JI$124,0),1),0)</f>
        <v>0</v>
      </c>
      <c r="JK47" s="259">
        <f t="shared" ca="1" si="129"/>
        <v>0</v>
      </c>
      <c r="JL47" s="259">
        <f t="shared" ca="1" si="130"/>
        <v>45</v>
      </c>
    </row>
    <row r="48" spans="1:273">
      <c r="A48" s="259" t="str">
        <f t="shared" si="33"/>
        <v>06.00</v>
      </c>
      <c r="B48" s="259" t="str">
        <f t="shared" si="34"/>
        <v>CREDITI DIVERSI</v>
      </c>
      <c r="C48" s="259">
        <f t="shared" si="35"/>
        <v>0</v>
      </c>
      <c r="D48" s="259">
        <f t="shared" si="36"/>
        <v>0</v>
      </c>
      <c r="E48" s="259">
        <f t="shared" si="37"/>
        <v>0</v>
      </c>
      <c r="F48" s="259">
        <f t="shared" si="38"/>
        <v>0</v>
      </c>
      <c r="G48" s="259">
        <f t="shared" ca="1" si="39"/>
        <v>0</v>
      </c>
      <c r="H48" s="259">
        <f t="shared" ca="1" si="40"/>
        <v>0</v>
      </c>
      <c r="I48" s="259">
        <f t="shared" ca="1" si="41"/>
        <v>0</v>
      </c>
      <c r="K48" s="259" t="str">
        <f ca="1">IFERROR(IF($I$1=1,INDEX($AA$3:$AS$220,MATCH(ROWS($K$3:K48),$AQ$3:$AQ$220,0),1),IF($I$1=2,INDEX($AA$3:$AS$220,MATCH(ROWS($K$3:K48),$AR$3:$AR$220,0),1),IF($I$1=3,INDEX($AA$3:$AS$220,MATCH(ROWS($K$3:K48),$AS$3:$AS$220,0),1),""))),"")</f>
        <v>CREDITI DIVERSI</v>
      </c>
      <c r="L48" s="259">
        <f ca="1">IF(AND($L$1="VISUALIZZA TUTTI I CONTI",K48&lt;&gt;""),MAX(L47:L47)+1,IFERROR(IF($J$1=1,IF(INDEX(PIANO_DEI_CONTI,MATCH($K48,DENOMINAZIONE,0),5)=$L$1,MAX($L$2:L47)+1,0),IF($J$1=2,IF(INDEX(PIANO_DEI_CONTI,MATCH($K48,DENOMINAZIONE,0),7)=$L$1,MAX($L$2:L47)+1,0))),0))</f>
        <v>46</v>
      </c>
      <c r="M48" s="259" t="str">
        <f ca="1">IFERROR(INDEX($K$3:$K$220,MATCH(ROWS($M$3:M48),$L$3:$L$220,0),1),"")</f>
        <v>CREDITI DIVERSI</v>
      </c>
      <c r="N48" s="259" t="str">
        <f t="shared" si="143"/>
        <v>ONERI FINANZIARI</v>
      </c>
      <c r="O48" s="259" t="str">
        <f t="shared" ca="1" si="142"/>
        <v>ONERI FINANZIARI</v>
      </c>
      <c r="P48" s="259">
        <f ca="1">IF(AND(N48=O48,O48&lt;&gt;""),MAX(P$2:P47)+1,0)</f>
        <v>31</v>
      </c>
      <c r="Q48" s="259" t="str">
        <f ca="1">IF(IFERROR(INDEX($O$3:$P$220,MATCH(ROWS(Q$3:Q48),$P$3:$P$220,0),1),"")=0,"",IFERROR(INDEX($O$3:$P$220,MATCH(ROWS(Q$3:Q48),$P$3:$P$220,0),1),""))</f>
        <v/>
      </c>
      <c r="R48" s="259" t="str">
        <f t="shared" si="1"/>
        <v>CREDITI DIVERSI</v>
      </c>
      <c r="S48" s="259">
        <f ca="1">IF(IFERROR(MATCH(R48,DENOMINAZIONE_GIORNALE,0),0)&gt;0,MAX(S$2:S47)+1,0)</f>
        <v>0</v>
      </c>
      <c r="T48" s="259" t="str">
        <f ca="1">IFERROR(INDEX($R$3:$S$220,MATCH(ROWS($T$3:T48),$S$3:$S$220,0),1),"")</f>
        <v/>
      </c>
      <c r="U48" s="259">
        <f t="shared" ca="1" si="2"/>
        <v>0</v>
      </c>
      <c r="V48" s="259">
        <f ca="1">IF(IF(U48&lt;&gt;0,MAX($V$2:V47)+1,0)=0,0,IF(U48&lt;&gt;0,MAX($V$2:V47)+1,0))</f>
        <v>0</v>
      </c>
      <c r="W48" s="259" t="str">
        <f t="shared" si="43"/>
        <v/>
      </c>
      <c r="X48" s="259" t="str">
        <f t="shared" si="44"/>
        <v/>
      </c>
      <c r="Y48" s="259">
        <f>IF(W48="",0,MAX($Y$2:Y47)+1)</f>
        <v>0</v>
      </c>
      <c r="Z48" s="259" t="str">
        <f>IFERROR(INDEX($W$3:$Y$220,MATCH(ROWS($Z$2:Z47),$Y$3:$Y$220,0),1),"")</f>
        <v>06.10</v>
      </c>
      <c r="AA48" s="259" t="str">
        <f t="shared" si="45"/>
        <v>CREDITI DIVERSI</v>
      </c>
      <c r="AB48" s="259" t="str">
        <f t="shared" si="46"/>
        <v>F</v>
      </c>
      <c r="AC48" s="259" t="str">
        <f t="shared" si="47"/>
        <v>D</v>
      </c>
      <c r="AD48" s="259" t="str">
        <f t="shared" si="48"/>
        <v>CREDITI</v>
      </c>
      <c r="AE48" s="259" t="str">
        <f t="shared" si="49"/>
        <v>SP DARE</v>
      </c>
      <c r="AF48" s="259" t="str">
        <f t="shared" si="50"/>
        <v>CREDITI DIVERSI</v>
      </c>
      <c r="AG48" s="259">
        <f t="shared" ca="1" si="51"/>
        <v>1</v>
      </c>
      <c r="AH48" s="259">
        <f t="shared" ca="1" si="52"/>
        <v>1</v>
      </c>
      <c r="AI48" s="259">
        <f t="shared" ca="1" si="53"/>
        <v>1</v>
      </c>
      <c r="AJ48" s="259" t="str">
        <f t="shared" si="54"/>
        <v>06</v>
      </c>
      <c r="AK48" s="259" t="str">
        <f t="shared" si="55"/>
        <v>06</v>
      </c>
      <c r="AL48" s="259">
        <f>IF(AK48&lt;&gt;"",MAX($AL$2:AL47)+1,0)</f>
        <v>6</v>
      </c>
      <c r="AM48" s="259" t="str">
        <f>IFERROR(INDEX($AK$3:$AL$220,MATCH(ROWS($AM$3:AM48),$AL$3:$AL$220,0),1),"")</f>
        <v/>
      </c>
      <c r="AN48" s="259" t="str">
        <f t="shared" si="56"/>
        <v/>
      </c>
      <c r="AO48" s="259" t="str">
        <f t="shared" si="57"/>
        <v/>
      </c>
      <c r="AP48" s="259" t="str">
        <f t="shared" si="58"/>
        <v>CREDITI DIVERSI</v>
      </c>
      <c r="AQ48" s="259">
        <f ca="1">IF(OR(AG48=0,AG48=""),0,MAX(AQ$2:AQ47)+1)</f>
        <v>26</v>
      </c>
      <c r="AR48" s="259">
        <f ca="1">IF(OR(AH48=0,AH48=""),0,MAX(AR$2:AR47)+1)</f>
        <v>38</v>
      </c>
      <c r="AS48" s="259">
        <f ca="1">IF(OR(AI48=0,AI48=""),0,MAX(AS$2:AS47)+1)</f>
        <v>46</v>
      </c>
      <c r="AT48" s="259" t="str">
        <f ca="1">IFERROR(INDEX($AD$3:$AS$220,MATCH(ROWS(AT$3:AT48),AQ$3:AQ$220,0),1),"")</f>
        <v>RICAVI D'ESERCIZIO</v>
      </c>
      <c r="AU48" s="259" t="str">
        <f ca="1">IFERROR(INDEX($AD$3:$AS$220,MATCH(ROWS(AU$3:AU48),AR$3:AR$220,0),1),"")</f>
        <v>PATRIMONIO NETTO</v>
      </c>
      <c r="AV48" s="259" t="str">
        <f ca="1">IFERROR(INDEX($AD$3:$AS$220,MATCH(ROWS(AV$3:AV48),AS$3:AS$220,0),1),"")</f>
        <v>CREDITI</v>
      </c>
      <c r="AW48" s="259" t="str">
        <f ca="1">IFERROR(INDEX($AP$3:$AS$220,MATCH(ROWS(AW$3:AW48),AQ$3:AQ$220,0),1),"")</f>
        <v>VALORE DELLA PRODUZIONE</v>
      </c>
      <c r="AX48" s="259" t="str">
        <f ca="1">IFERROR(INDEX($AP$3:$AS$220,MATCH(ROWS(AX$3:AX48),AR$3:AR$220,0),1),"")</f>
        <v>PATRIMONIO NETTO</v>
      </c>
      <c r="AY48" s="259" t="str">
        <f ca="1">IFERROR(INDEX($AP$3:$AS$220,MATCH(ROWS(AY$3:AY48),AS$3:AS$220,0),1),"")</f>
        <v>CREDITI DIVERSI</v>
      </c>
      <c r="AZ48" s="276" t="str">
        <f t="shared" ca="1" si="59"/>
        <v/>
      </c>
      <c r="BA48" s="259">
        <f t="shared" ca="1" si="153"/>
        <v>0</v>
      </c>
      <c r="BB48" s="259">
        <f ca="1">IFERROR(INDEX($FG$3:$FL$400,MATCH(ROWS($BB$3:BB48),$FL$3:$FL$400,0),1),0)</f>
        <v>0</v>
      </c>
      <c r="BC48" s="259" t="str">
        <f t="shared" ca="1" si="60"/>
        <v/>
      </c>
      <c r="BD48" s="259">
        <f ca="1">IFERROR(INDEX($FG$3:$FL$400,MATCH(ROWS($BD$3:BD48),$FL$3:$FL$400,0),4),0)</f>
        <v>0</v>
      </c>
      <c r="BE48" s="259">
        <f ca="1">IFERROR(INDEX($FG$3:$FL$400,MATCH(ROWS($BE$3:BE48),$FL$3:$FL$400,0),5),0)</f>
        <v>0</v>
      </c>
      <c r="BG48" s="259" t="str">
        <f t="shared" si="4"/>
        <v/>
      </c>
      <c r="BH48" s="259">
        <f ca="1">IF(IFERROR(MATCH(BG48,DENOMINAZIONE_GIORNALE,0),0)&gt;0,MAX(BH$2:BH47)+1,0)</f>
        <v>0</v>
      </c>
      <c r="BI48" s="259" t="str">
        <f ca="1">IFERROR(INDEX($BG$3:$BH$220,MATCH(ROWS($BI$3:BI48),$BH$3:$BH$220,0),1),"")</f>
        <v/>
      </c>
      <c r="BJ48" s="259" t="str">
        <f t="shared" ca="1" si="5"/>
        <v/>
      </c>
      <c r="BK48" s="259" t="str">
        <f ca="1">IF(IF(BJ48&lt;&gt;"",MAX($BK$2:BK47)+1,0)=0,"",IF(BJ48&lt;&gt;"",MAX($BK$2:BK47)+1,0))</f>
        <v/>
      </c>
      <c r="BL48" s="259" t="str">
        <f ca="1">IFERROR(INDEX($T$3:$U$220, MATCH(ROWS(BL$3:BL48),$V$3:$V$220,0),1),"")</f>
        <v/>
      </c>
      <c r="BM48" s="259" t="str">
        <f ca="1">IFERROR(INDEX($T$3:$U$220, MATCH(ROWS(BM$3:BM48),$V$3:$V$220,0),2),"")</f>
        <v/>
      </c>
      <c r="BN48" s="259" t="str">
        <f ca="1">IF(IFERROR(INDEX($BI$3:$BJ$220,MATCH(ROWS(BN$3:BN48),$BK$3:$BK$220,0),1),"")="PATRIMONIO NETTO","",IFERROR(INDEX($BI$3:$BJ$220,MATCH(ROWS(BN$3:BN48),$BK$3:$BK$220,0),1),""))</f>
        <v/>
      </c>
      <c r="BO48" s="259" t="str">
        <f ca="1">IFERROR(INDEX($BI$3:$BJ$220,MATCH(ROWS(BO$3:BO48),$BK$3:$BK$220,0),2),"")</f>
        <v/>
      </c>
      <c r="BP48" s="259">
        <f ca="1">IF(BN48&lt;&gt;"",MAX(BP$2:$BP47)+1,0)</f>
        <v>0</v>
      </c>
      <c r="BQ48" s="259" t="str">
        <f ca="1">IFERROR(INDEX($BN$3:$BO$200,MATCH(ROWS(BQ$3:BQ48),$BP$3:$BP$220,0),1),"")</f>
        <v/>
      </c>
      <c r="BR48" s="259" t="str">
        <f ca="1">IFERROR(INDEX($BN$3:$BO$220,MATCH(ROWS(BR$3:BR48),$BP$3:$BP$220,0),2),"")</f>
        <v/>
      </c>
      <c r="BS48" s="259" t="str">
        <f ca="1">IFERROR(IF(OR(INDEX($T$3:$U$220,MATCH(ROWS(BL$3:BL48),$V$3:$V$220,0),1)="PRELEVAMENTI EXTRAGESTIONE",INDEX($T$3:$U$220,MATCH(ROWS(BL$3:BL48),$V$3:$V$220,0),1)="TITOLARE C/RITENUTE SUBITE"),"",INDEX($T$3:$U$220,MATCH(ROWS(BL$3:BL48),$V$3:$V$220,0),1)),"")</f>
        <v/>
      </c>
      <c r="BT48" s="259">
        <f t="shared" ca="1" si="61"/>
        <v>0</v>
      </c>
      <c r="BU48" s="259">
        <f ca="1">IF(BS48&lt;&gt;"",MAX(BU$2:BU47)+1,0)</f>
        <v>0</v>
      </c>
      <c r="BV48" s="259" t="str">
        <f ca="1">IFERROR(INDEX($BS$3:$BT$223,MATCH(ROWS(BV$3:BV48),$BU$3:$BU$223,0),1),"")</f>
        <v/>
      </c>
      <c r="BW48" s="259">
        <f t="shared" ca="1" si="62"/>
        <v>0</v>
      </c>
      <c r="BX48" s="259" t="str">
        <f t="shared" ca="1" si="63"/>
        <v/>
      </c>
      <c r="BY48" s="259" t="str">
        <f t="shared" ca="1" si="64"/>
        <v/>
      </c>
      <c r="BZ48" s="259" t="str">
        <f ca="1">IFERROR(IF(OR($DS$231&lt;&gt;$DT$231,$DU$231&lt;&gt;$DV$231,$EO$25&lt;&gt;0,$EO$26&lt;&gt;0),INDEX($T$3:$V$220,MATCH(ROWS($BV$3:BV48),$V$3:$V$220,0),1),CONCATENATE(BV48,BY48)),"")</f>
        <v/>
      </c>
      <c r="CA48" s="259">
        <f t="shared" ca="1" si="65"/>
        <v>0</v>
      </c>
      <c r="CB48" s="259" t="str">
        <f ca="1">IFERROR(IF(OR($BB$1&lt;&gt;$BD$1,$BC$1&lt;&gt;$BE$1,$DS$231&lt;&gt;$DT$231,$DU$231&lt;&gt;$DV$231,$EO$25&lt;&gt;0,$EO$26&lt;&gt;0),INDEX($BI$3:$BK$220,MATCH(ROWS($CB$3:CB48),$BK$3:$BK$220,0),1),CONCATENATE(BQ48,BX48)),"")</f>
        <v/>
      </c>
      <c r="CC48" s="259" t="str">
        <f t="shared" ca="1" si="66"/>
        <v/>
      </c>
      <c r="CD48" s="259" t="str">
        <f t="shared" si="6"/>
        <v/>
      </c>
      <c r="CE48" s="259">
        <f ca="1">IF(IFERROR(MATCH(CD48,DENOMINAZIONE_GIORNALE,0),0)&gt;0,MAX(CE$2:CE47)+1,0)</f>
        <v>0</v>
      </c>
      <c r="CF48" s="259" t="str">
        <f ca="1">IFERROR(INDEX($CD$3:$CE$220,MATCH(ROWS($CF$3:CF48),$CE$3:$CE$220,0),1),"")</f>
        <v/>
      </c>
      <c r="CG48" s="259">
        <f t="shared" ca="1" si="7"/>
        <v>0</v>
      </c>
      <c r="CH48" s="259" t="str">
        <f ca="1">IF(IF(CG48&lt;&gt;0,MAX($CH$2:CH47)+1,0)=0,"",IF(CG48&lt;&gt;"",MAX($CH$2:CH47)+1,0))</f>
        <v/>
      </c>
      <c r="CI48" s="259" t="str">
        <f ca="1">IFERROR(INDEX($CF$3:$CG$220,MATCH(ROWS($CI$3:CI48),$CH$3:$CH$220,0),1),"")</f>
        <v/>
      </c>
      <c r="CJ48" s="259" t="str">
        <f t="shared" ca="1" si="67"/>
        <v/>
      </c>
      <c r="CK48" s="259" t="str">
        <f t="shared" si="8"/>
        <v/>
      </c>
      <c r="CL48" s="259">
        <f ca="1">IF(IFERROR(MATCH(CK48,DENOMINAZIONE_GIORNALE,0),0)&gt;0,MAX(CL$2:CL47)+1,0)</f>
        <v>0</v>
      </c>
      <c r="CM48" s="259" t="str">
        <f ca="1">IFERROR(INDEX($CK$3:$CL$220,MATCH(ROWS($CM$3:CM48),$CL$3:$CL$220,0),1),"")</f>
        <v/>
      </c>
      <c r="CN48" s="259" t="str">
        <f t="shared" ca="1" si="9"/>
        <v/>
      </c>
      <c r="CO48" s="259">
        <f ca="1">IF(IF(CN48&lt;&gt;0,MAX($CO$2:CO47)+1,0)=0,"",IF(CN48&lt;&gt;"",MAX($CO$2:CO47)+1,0))</f>
        <v>0</v>
      </c>
      <c r="CP48" s="259" t="str">
        <f ca="1">IFERROR(INDEX($CM$3:$CN$220,MATCH(ROWS(CP$3:CP48),$CO$3:$CO$220,0),1),"")</f>
        <v/>
      </c>
      <c r="CQ48" s="259" t="str">
        <f ca="1">IFERROR(INDEX($CM$3:$CN$220,MATCH(ROWS(CQ$3:CQ48),$CO$3:$CO$220,0),2),"")</f>
        <v/>
      </c>
      <c r="CR48" s="259" t="str">
        <f t="shared" ca="1" si="154"/>
        <v/>
      </c>
      <c r="CS48" s="259">
        <f t="shared" ca="1" si="11"/>
        <v>0</v>
      </c>
      <c r="CT48" s="259">
        <f t="shared" ca="1" si="12"/>
        <v>0</v>
      </c>
      <c r="CU48" s="259">
        <f ca="1">IF(OR(CS48&gt;0,CT48&gt;0),MAX($CU$2:CU47)+1,0)</f>
        <v>0</v>
      </c>
      <c r="CV48" s="259" t="str">
        <f ca="1">IFERROR(INDEX(PIANO_DEI_CONTI,MATCH(ROWS($CV$3:CV48),$CU$3:$CU$200,0),2),"")</f>
        <v/>
      </c>
      <c r="CW48" s="259">
        <f ca="1">IFERROR(IF(CV48&lt;&gt;"",MAX($CW$2:CW47)+1,0),0)</f>
        <v>0</v>
      </c>
      <c r="CX48" s="259">
        <f t="shared" ca="1" si="162"/>
        <v>3</v>
      </c>
      <c r="CY48" s="259" t="str">
        <f t="shared" ca="1" si="161"/>
        <v>MASTRO</v>
      </c>
      <c r="CZ48" s="259" t="e">
        <f t="shared" ca="1" si="164"/>
        <v>#N/A</v>
      </c>
      <c r="DA48" s="259" t="str">
        <f t="shared" ca="1" si="169"/>
        <v/>
      </c>
      <c r="DB48" s="259" t="str">
        <f t="shared" ca="1" si="165"/>
        <v/>
      </c>
      <c r="DC48" s="259" t="str">
        <f t="shared" ca="1" si="166"/>
        <v/>
      </c>
      <c r="DD48" s="259" t="str">
        <f t="shared" ca="1" si="167"/>
        <v/>
      </c>
      <c r="DE48" s="259" t="str">
        <f t="shared" ca="1" si="168"/>
        <v/>
      </c>
      <c r="DF48" s="259">
        <f ca="1">IF(AND(CX48=$DE$2,$DF$2&lt;&gt;0),0,IF(AND(DB48&lt;&gt;"",OR(DB47&lt;&gt;"",DB49&lt;&gt;"")),MAX($DF$2:DF47)+1,0))</f>
        <v>0</v>
      </c>
      <c r="DG48" s="259" t="str">
        <f>IF(OR(VALORI_INIZIALI!E53="",AND(VALORI_INIZIALI!E53&lt;&gt;"",VALORI_INIZIALI!H53=0,VALORI_INIZIALI!I53=0)),"",IFERROR(INDEX(PIANO_DEI_CONTI,MATCH(BB48,DENOMINAZIONE,0),1),0))</f>
        <v/>
      </c>
      <c r="DH48" s="259">
        <f ca="1">IFERROR(IF($J$1=1,IF(INDEX(PIANO_DEI_CONTI,MATCH($K48,DENOMINAZIONE,0),5)=$DF$1,MAX($DH$2:DH47)+1,0),IF($J$1=2,IF(INDEX(PIANO_DEI_CONTI,MATCH($K48,DENOMINAZIONE,0),7)=$DF$1,MAX($DH$2:DH47)+1,0))),0)</f>
        <v>0</v>
      </c>
      <c r="DI48" s="259">
        <f ca="1">IFERROR(INDEX($K$3:$K$220,MATCH(ROWS($DI$3:DI48),$DH$3:$DH$220,0),1),0)</f>
        <v>0</v>
      </c>
      <c r="DJ48" s="259">
        <f t="shared" ca="1" si="14"/>
        <v>0</v>
      </c>
      <c r="DK48" s="259">
        <f ca="1">IF(DJ48=0,0,MAX(DK$2:DK47)+1)</f>
        <v>0</v>
      </c>
      <c r="DL48" s="259">
        <f ca="1">IFERROR(INDEX(PIANO_DEI_CONTI,MATCH(ROWS(DL$3:DL48),$DK$3:DK275,0),2),0)</f>
        <v>0</v>
      </c>
      <c r="DM48" s="259">
        <f t="shared" ca="1" si="15"/>
        <v>0</v>
      </c>
      <c r="DN48" s="259">
        <f t="shared" ca="1" si="16"/>
        <v>0</v>
      </c>
      <c r="DO48" s="259">
        <f t="shared" ca="1" si="69"/>
        <v>0</v>
      </c>
      <c r="DP48" s="259">
        <f t="shared" ca="1" si="70"/>
        <v>0</v>
      </c>
      <c r="DQ48" s="259">
        <f ca="1">IF(OR($DQ$1="TOTALI",$DQ$1="TOTALI ED ECCEDENZE"),IF(OR(DM48&gt;0,DN48&gt;0),MAX(DQ$2:DQ47)+1,0),IF($DQ$1="ECCEDENZE",IF(OR(DO48&gt;0,DP48&gt;0),MAX(DQ$2:DQ47)+1,0),""))</f>
        <v>0</v>
      </c>
      <c r="DR48" s="259" t="str">
        <f ca="1">IFERROR(INDEX($DL$3:$DQ$230,MATCH(ROWS(DR$3:DR48),$DQ$3:$DQ$230,0),1),"")</f>
        <v/>
      </c>
      <c r="DS48" s="259" t="str">
        <f t="shared" ca="1" si="71"/>
        <v/>
      </c>
      <c r="DT48" s="259" t="str">
        <f t="shared" ca="1" si="72"/>
        <v/>
      </c>
      <c r="DU48" s="259" t="str">
        <f t="shared" ca="1" si="73"/>
        <v/>
      </c>
      <c r="DV48" s="259" t="str">
        <f t="shared" ca="1" si="74"/>
        <v/>
      </c>
      <c r="DW48" s="259">
        <f t="shared" ca="1" si="75"/>
        <v>0</v>
      </c>
      <c r="DX48" s="259" t="str">
        <f t="shared" ca="1" si="76"/>
        <v/>
      </c>
      <c r="DY48" s="259" t="str">
        <f t="shared" ca="1" si="77"/>
        <v/>
      </c>
      <c r="DZ48" s="259" t="str">
        <f t="shared" ca="1" si="78"/>
        <v/>
      </c>
      <c r="EA48" s="259">
        <f t="shared" ca="1" si="79"/>
        <v>46</v>
      </c>
      <c r="EB48" s="259" t="s">
        <v>353</v>
      </c>
      <c r="ED48" s="259">
        <f t="shared" ca="1" si="17"/>
        <v>0</v>
      </c>
      <c r="EE48" s="259" t="str">
        <f t="shared" ca="1" si="155"/>
        <v/>
      </c>
      <c r="EF48" s="259" t="str">
        <f t="shared" ca="1" si="19"/>
        <v/>
      </c>
      <c r="EG48" s="259" t="str">
        <f t="shared" ca="1" si="136"/>
        <v/>
      </c>
      <c r="EH48" s="259" t="str">
        <f t="shared" ca="1" si="80"/>
        <v/>
      </c>
      <c r="EI48" s="260" t="b">
        <f t="shared" ca="1" si="137"/>
        <v>0</v>
      </c>
      <c r="EJ48" s="260" t="b">
        <f t="shared" ca="1" si="138"/>
        <v>0</v>
      </c>
      <c r="EK48" s="260" t="b">
        <f t="shared" ca="1" si="139"/>
        <v>0</v>
      </c>
      <c r="EL48" s="259">
        <f t="shared" si="81"/>
        <v>46</v>
      </c>
      <c r="EM48" s="259">
        <f ca="1">IF(AND(BA48&gt;0,BA48&lt;=$EM$1),MAX($EM$2:EM47)+1,0)</f>
        <v>0</v>
      </c>
      <c r="EN48" s="259">
        <f t="shared" ca="1" si="82"/>
        <v>48</v>
      </c>
      <c r="EP48" s="259" t="str">
        <f t="shared" ca="1" si="20"/>
        <v/>
      </c>
      <c r="EQ48" s="259">
        <f t="shared" ca="1" si="21"/>
        <v>0</v>
      </c>
      <c r="ER48" s="259">
        <f ca="1">IF(ISNA(EQ48),MAX(ER$2:ER47)+1,0)</f>
        <v>0</v>
      </c>
      <c r="ES48" s="259" t="str">
        <f t="shared" ca="1" si="83"/>
        <v/>
      </c>
      <c r="ET48" s="259" t="str">
        <f ca="1">IFERROR(UPPER(INDEX($ER$3:$ES$500,MATCH(ROWS(ET$3:ET48),$ER$3:$ER$500,0),2)),"")</f>
        <v/>
      </c>
      <c r="EY48" s="259">
        <f t="shared" ca="1" si="84"/>
        <v>0</v>
      </c>
      <c r="EZ48" s="259">
        <f t="shared" ca="1" si="84"/>
        <v>0</v>
      </c>
      <c r="FA48" s="259" t="str">
        <f t="shared" ca="1" si="85"/>
        <v/>
      </c>
      <c r="FB48" s="259">
        <f t="shared" ca="1" si="86"/>
        <v>0</v>
      </c>
      <c r="FC48" s="259">
        <f t="shared" ca="1" si="87"/>
        <v>0</v>
      </c>
      <c r="FD48" s="259">
        <f t="shared" ca="1" si="22"/>
        <v>0</v>
      </c>
      <c r="FE48" s="259" t="str">
        <f t="shared" ca="1" si="23"/>
        <v/>
      </c>
      <c r="FF48" s="259" t="str">
        <f t="shared" ca="1" si="88"/>
        <v/>
      </c>
      <c r="FG48" s="259" t="str">
        <f t="shared" si="89"/>
        <v>CREDITI DIVERSI</v>
      </c>
      <c r="FH48" s="259">
        <f t="shared" ca="1" si="156"/>
        <v>0</v>
      </c>
      <c r="FI48" s="259">
        <f t="shared" ca="1" si="25"/>
        <v>0</v>
      </c>
      <c r="FJ48" s="259">
        <f t="shared" ca="1" si="90"/>
        <v>0</v>
      </c>
      <c r="FK48" s="259">
        <f t="shared" ca="1" si="91"/>
        <v>0</v>
      </c>
      <c r="FL48" s="259">
        <f ca="1">IF(OR(FJ48&gt;0,FK48&gt;0),MAX($FL$2:FL47)+1,0)</f>
        <v>0</v>
      </c>
      <c r="FM48" s="259">
        <f t="shared" ca="1" si="26"/>
        <v>0</v>
      </c>
      <c r="FN48" s="259">
        <f ca="1">IF(FM48&lt;0,MAX($FN$2:FN47)+1,0)</f>
        <v>0</v>
      </c>
      <c r="FO48" s="259" t="str">
        <f t="shared" ca="1" si="92"/>
        <v/>
      </c>
      <c r="FP48" s="259" t="str">
        <f ca="1">IFERROR(INDEX($FN$3:$FO$400,MATCH(ROWS($FP$3:FP48),$FN$3:$FN$400,0),2),"")</f>
        <v/>
      </c>
      <c r="FQ48" s="259" t="str">
        <f>IF(AE48="SE AVERE",MAX($FQ$2:FQ47)+1,"")</f>
        <v/>
      </c>
      <c r="FR48" s="259" t="str">
        <f>IF(AE48="SE DARE",MAX($FR$2:FR47)+1,"")</f>
        <v/>
      </c>
      <c r="FS48" s="259">
        <f ca="1">IF(AND(AE48="SP DARE",AA48&lt;&gt;$FS$1,AA48&lt;&gt;$FT$1),MAX($FS$2:FS47)+1,IF(AND(GQ48="SP DARE",AA48&lt;&gt;$FS$1,AA48&lt;&gt;$FT$1),MAX($FS$2:FS47)+1,""))</f>
        <v>123</v>
      </c>
      <c r="FT48" s="259" t="str">
        <f ca="1">IF(AND(AE48="SP AVERE",AA48&lt;&gt;$FU$1),MAX($FT$2:FT47)+1,IF(AND(GQ48="SP AVERE",AA48&lt;&gt;$FU$1),MAX($FT$2:FT47)+1,""))</f>
        <v/>
      </c>
      <c r="FU48" s="259">
        <f t="shared" ca="1" si="93"/>
        <v>123</v>
      </c>
      <c r="FV48" s="259" t="str">
        <f t="shared" si="94"/>
        <v>CREDITI DIVERSI</v>
      </c>
      <c r="FW48" s="259" t="str">
        <f ca="1">IFERROR(INDEX($FU$3:$FV$500,MATCH(ROWS($FW$3:FW48),$FU$3:$FU$500,0),2),0)</f>
        <v>SALARI E STIPENDI</v>
      </c>
      <c r="FX48" s="259">
        <f t="shared" ca="1" si="95"/>
        <v>46</v>
      </c>
      <c r="FY48" s="259">
        <f t="shared" ca="1" si="96"/>
        <v>0</v>
      </c>
      <c r="FZ48" s="259">
        <f ca="1">IF(FY48&gt;0,MAX($FZ$2:FZ47)+1,0)</f>
        <v>0</v>
      </c>
      <c r="GA48" s="259">
        <f ca="1">IFERROR(INDEX($FY$3:$FZ$500,MATCH(ROWS($GA$3:GA48),$FZ$3:$FZ$500,0),1),0)</f>
        <v>0</v>
      </c>
      <c r="GC48" s="259">
        <f t="shared" ca="1" si="97"/>
        <v>46</v>
      </c>
      <c r="GD48" s="259" t="str">
        <f t="shared" ca="1" si="98"/>
        <v>SALARI E STIPENDI</v>
      </c>
      <c r="GG48" s="259">
        <f t="shared" ca="1" si="27"/>
        <v>0</v>
      </c>
      <c r="GH48" s="259">
        <f t="shared" ca="1" si="99"/>
        <v>0</v>
      </c>
      <c r="GI48" s="259">
        <f t="shared" ca="1" si="100"/>
        <v>0</v>
      </c>
      <c r="GJ48" s="259">
        <f t="shared" ca="1" si="101"/>
        <v>0</v>
      </c>
      <c r="GK48" s="259">
        <f t="shared" ca="1" si="102"/>
        <v>0</v>
      </c>
      <c r="GL48" s="259">
        <f t="shared" ca="1" si="103"/>
        <v>0</v>
      </c>
      <c r="GM48" s="259">
        <f ca="1">IF(OR(GK48&gt;0,GL48&gt;0),MAX($GM$2:GM47)+1,0)</f>
        <v>0</v>
      </c>
      <c r="GN48" s="259" t="str">
        <f ca="1">IFERROR(INDEX($GD$3:$GM$400,MATCH(ROWS($GN$3:GN48),$GM$3:$GM$400,0),1),"")</f>
        <v/>
      </c>
      <c r="GO48" s="259" t="str">
        <f ca="1">IFERROR(INDEX($GD$3:$GM$400,MATCH(ROWS($GO$3:GO48),$GM$3:$GM$400,0),8),"")</f>
        <v/>
      </c>
      <c r="GP48" s="259" t="str">
        <f ca="1">IFERROR(INDEX($GD$3:$GM$400,MATCH(ROWS($GP$3:GP48),$GM$3:$GM$400,0),9),"")</f>
        <v/>
      </c>
      <c r="GQ48" s="259">
        <f t="shared" ca="1" si="28"/>
        <v>0</v>
      </c>
      <c r="GR48" s="259">
        <f t="shared" ca="1" si="104"/>
        <v>0</v>
      </c>
      <c r="GS48" s="259" t="str">
        <f t="shared" si="105"/>
        <v>epilogo a Conto economico</v>
      </c>
      <c r="GT48" s="259" t="str">
        <f ca="1">IFERROR(INDEX($GD$3:$GS$400,MATCH(ROWS($GT$3:GT48),$GM$3:$GM$400,0),16),"")</f>
        <v/>
      </c>
      <c r="GU48" s="259">
        <f ca="1">IF(GQ48&lt;&gt;0,MAX($GU$2:$GU47)+1,0)</f>
        <v>0</v>
      </c>
      <c r="GV48" s="259">
        <f t="shared" ca="1" si="106"/>
        <v>0</v>
      </c>
      <c r="GW48" s="259" t="str">
        <f ca="1">IF(AND(IFERROR(INDEX($GU$3:$GV$400,MATCH(ROWS($GW$3:GW48),$GU$3:$GU$400,0),2),"")&lt;&gt;"",GW49&lt;&gt;""),CONCATENATE(IFERROR(INDEX($GU$3:$GV$400,MATCH(ROWS($GW$3:GW48),$GU$3:$GU$400,0),2),"")," - "),IFERROR(INDEX($GU$3:$GV$400,MATCH(ROWS($GW$3:GW48),$GU$3:$GU$400,0),2),""))</f>
        <v/>
      </c>
      <c r="GX48" s="259">
        <f ca="1">IF(OR(GN48="IVA NS/CREDITO",GN48="IVA NS/DEBITO",GN48="IVA C/ACCONTO",GN48="IMPOSTE C/ACCONTO"),MAX($GX$2:GX47)+1,0)</f>
        <v>0</v>
      </c>
      <c r="GY48" s="259" t="str">
        <f ca="1">IF(AND(IFERROR(INDEX($GN$3:$GX$200,MATCH(ROWS($GY$3:GY48),$GX$3:$GX$200,0),1),"")&lt;&gt;"",GY49&lt;&gt;""),CONCATENATE(IFERROR(INDEX($GN$3:$GX$200,MATCH(ROWS($GY$3:GY48),$GX$3:$GX$200,0),1),"")," - "),IFERROR(INDEX($GN$3:$GX$200,MATCH(ROWS($GY$3:GY48),$GX$3:$GX$200,0),1),""))</f>
        <v/>
      </c>
      <c r="GZ48" s="259" t="s">
        <v>65</v>
      </c>
      <c r="HA48" s="270" t="s">
        <v>66</v>
      </c>
      <c r="HL48" s="259" t="str">
        <f t="shared" ca="1" si="157"/>
        <v/>
      </c>
      <c r="HM48" s="259" t="str">
        <f t="shared" ca="1" si="158"/>
        <v/>
      </c>
      <c r="HN48" s="259" t="str">
        <f t="shared" ca="1" si="159"/>
        <v/>
      </c>
      <c r="HO48" s="259">
        <f ca="1">IF(HL48&lt;&gt;"",MAX($HO$2:HO47)+1,0)</f>
        <v>0</v>
      </c>
      <c r="HP48" s="259">
        <f ca="1">IF(HM48&lt;&gt;"",MAX($HP$2:HP47)+1,0)</f>
        <v>0</v>
      </c>
      <c r="HQ48" s="259">
        <f ca="1">IF(HN48&lt;&gt;"",MAX($HQ$2:HQ47)+1,0)</f>
        <v>0</v>
      </c>
      <c r="HR48" s="259" t="str">
        <f t="shared" ca="1" si="107"/>
        <v/>
      </c>
      <c r="HS48" s="259" t="str">
        <f t="shared" ca="1" si="108"/>
        <v/>
      </c>
      <c r="HT48" s="259">
        <f t="shared" ca="1" si="109"/>
        <v>0</v>
      </c>
      <c r="HU48" s="259">
        <f t="shared" ca="1" si="110"/>
        <v>0</v>
      </c>
      <c r="HV48" s="259" t="str">
        <f ca="1">CONCATENATE(IFERROR(INDEX($HS$3:$HT$102,MATCH(ROWS($HV$3:HV48),$HT$3:$HT$102,0),1),""),HR48)</f>
        <v/>
      </c>
      <c r="IA48" s="259" t="s">
        <v>368</v>
      </c>
      <c r="IB48" s="259" t="s">
        <v>309</v>
      </c>
      <c r="IC48" s="259">
        <f ca="1">IFERROR(INDEX(PIANO_DEI_CONTI,MATCH(ROWS(DL$3:DL48),$DK$3:DK275,0),2),0)</f>
        <v>0</v>
      </c>
      <c r="ID48" s="259">
        <f t="shared" ca="1" si="111"/>
        <v>0</v>
      </c>
      <c r="IE48" s="259">
        <f t="shared" ca="1" si="112"/>
        <v>0</v>
      </c>
      <c r="IF48" s="259">
        <f t="shared" ca="1" si="113"/>
        <v>0</v>
      </c>
      <c r="IG48" s="259">
        <f ca="1">IFERROR(IF(SUMIFS($ID$3:$ID$200,$IF$3:$IF$200,IA48)&gt;=SUMIFS($IE$3:$IE$200,$IF$3:$IF$200,IA48),ROUND(SUMIFS($ID$3:$ID$200,$IF$3:$IF$200,IA48)-SUMIFS($IE$3:$IE$200,$IF$3:$IF$200,IA48),0),0),"")</f>
        <v>0</v>
      </c>
      <c r="IH48" s="259">
        <f ca="1">IF(IG48&lt;&gt;0,MAX($IH$35:IH47)+1,0)</f>
        <v>0</v>
      </c>
      <c r="II48" s="259">
        <f>IF(AD48="costi pluriennali",MAX($II$2:II47)+1,0)</f>
        <v>0</v>
      </c>
      <c r="IJ48" s="259">
        <f>IF($AD48="rettifiche costi pluriennali",MAX($IJ$2:IJ47)+1,0)</f>
        <v>0</v>
      </c>
      <c r="IK48" s="259">
        <f t="shared" si="114"/>
        <v>0</v>
      </c>
      <c r="IL48" s="259" t="str">
        <f t="shared" si="115"/>
        <v/>
      </c>
      <c r="IM48" s="259">
        <f t="shared" ca="1" si="116"/>
        <v>0</v>
      </c>
      <c r="IN48" s="259">
        <f t="shared" ca="1" si="141"/>
        <v>0</v>
      </c>
      <c r="IO48" s="259">
        <f>SUMIFS($IM$3:$IM$200,$IK$3:$IK$200,ROWS($IO$3:IO48))-SUMIFS($IN$3:$IN$200,$IK$3:$IK$200,ROWS($IO$3:IO48))</f>
        <v>0</v>
      </c>
      <c r="IP48" s="259" t="str">
        <f>IF(IO48&lt;0,INDEX($IJ$3:$IL$200,MATCH(ROWS($IP$3:IP48),$IJ$3:$IJ$200,0),3),"")</f>
        <v/>
      </c>
      <c r="IQ48" s="259">
        <f>IF(IP48&lt;&gt;"",MAX($IQ$2:IQ47)+1,0)</f>
        <v>0</v>
      </c>
      <c r="IR48" s="259" t="str">
        <f ca="1">IFERROR(INDEX($IP$3:$IQ$200,MATCH(ROWS($IR$3:IR48),$IQ$3:$IQ$200,0),1),"")</f>
        <v/>
      </c>
      <c r="IS48" s="259" t="str">
        <f t="shared" ca="1" si="117"/>
        <v/>
      </c>
      <c r="IT48" s="259" t="str">
        <f t="shared" ca="1" si="118"/>
        <v/>
      </c>
      <c r="IU48" s="259" t="str">
        <f t="shared" ca="1" si="119"/>
        <v/>
      </c>
      <c r="IV48" s="259" t="str">
        <f t="shared" ca="1" si="120"/>
        <v/>
      </c>
      <c r="IW48" s="259" t="str">
        <f t="shared" ca="1" si="121"/>
        <v/>
      </c>
      <c r="IX48" s="259" t="str">
        <f t="shared" ca="1" si="122"/>
        <v/>
      </c>
      <c r="IY48" s="259" t="str">
        <f t="shared" ca="1" si="123"/>
        <v/>
      </c>
      <c r="IZ48" s="259" t="str">
        <f t="shared" ca="1" si="124"/>
        <v/>
      </c>
      <c r="JA48" s="259" t="str">
        <f t="shared" ca="1" si="125"/>
        <v/>
      </c>
      <c r="JB48" s="259">
        <f t="shared" ca="1" si="32"/>
        <v>0</v>
      </c>
      <c r="JC48" s="259">
        <f t="shared" ca="1" si="126"/>
        <v>0</v>
      </c>
      <c r="JE48" s="259">
        <f ca="1">IFERROR(INDEX(LIBRO_GIORNALE!$N$11:$O$408,MATCH(ROWS($JE$2:JE47),LIBRO_GIORNALE!$O$11:$O$408,0),1),0)</f>
        <v>0</v>
      </c>
      <c r="JF48" s="259" t="str">
        <f t="shared" ca="1" si="127"/>
        <v>0</v>
      </c>
      <c r="JG48" s="259">
        <f t="shared" ca="1" si="128"/>
        <v>0</v>
      </c>
      <c r="JH48" s="259">
        <f ca="1">IF(JJ48&gt;0,0,MAX($JH$2:JH47)+1)</f>
        <v>46</v>
      </c>
      <c r="JI48" s="259">
        <f ca="1">IF(JG48&gt;0,MAX($JI$2:JI47)+1,0)</f>
        <v>0</v>
      </c>
      <c r="JJ48" s="259">
        <f ca="1">IFERROR(INDEX($JG$3:$JI$124,MATCH(ROWS($JJ$3:JJ48),$JI$3:$JI$124,0),1),0)</f>
        <v>0</v>
      </c>
      <c r="JK48" s="259">
        <f t="shared" ca="1" si="129"/>
        <v>0</v>
      </c>
      <c r="JL48" s="259">
        <f t="shared" ca="1" si="130"/>
        <v>46</v>
      </c>
    </row>
    <row r="49" spans="1:272">
      <c r="A49" s="259" t="str">
        <f t="shared" si="33"/>
        <v>06.01</v>
      </c>
      <c r="B49" s="259" t="str">
        <f t="shared" si="34"/>
        <v>IVA NS/CREDITO</v>
      </c>
      <c r="C49" s="259" t="str">
        <f t="shared" si="35"/>
        <v>F</v>
      </c>
      <c r="D49" s="259" t="str">
        <f t="shared" si="36"/>
        <v>D</v>
      </c>
      <c r="E49" s="259" t="str">
        <f t="shared" si="37"/>
        <v>CREDITI</v>
      </c>
      <c r="F49" s="259" t="str">
        <f t="shared" si="38"/>
        <v>SP DARE</v>
      </c>
      <c r="G49" s="259">
        <f t="shared" ca="1" si="39"/>
        <v>1</v>
      </c>
      <c r="H49" s="259">
        <f t="shared" ca="1" si="40"/>
        <v>1</v>
      </c>
      <c r="I49" s="259">
        <f t="shared" ca="1" si="41"/>
        <v>1</v>
      </c>
      <c r="K49" s="259" t="str">
        <f ca="1">IFERROR(IF($I$1=1,INDEX($AA$3:$AS$220,MATCH(ROWS($K$3:K49),$AQ$3:$AQ$220,0),1),IF($I$1=2,INDEX($AA$3:$AS$220,MATCH(ROWS($K$3:K49),$AR$3:$AR$220,0),1),IF($I$1=3,INDEX($AA$3:$AS$220,MATCH(ROWS($K$3:K49),$AS$3:$AS$220,0),1),""))),"")</f>
        <v>PERSONALE C/ACCONTI</v>
      </c>
      <c r="L49" s="259">
        <f ca="1">IF(AND($L$1="VISUALIZZA TUTTI I CONTI",K49&lt;&gt;""),MAX(L48:L48)+1,IFERROR(IF($J$1=1,IF(INDEX(PIANO_DEI_CONTI,MATCH($K49,DENOMINAZIONE,0),5)=$L$1,MAX($L$2:L48)+1,0),IF($J$1=2,IF(INDEX(PIANO_DEI_CONTI,MATCH($K49,DENOMINAZIONE,0),7)=$L$1,MAX($L$2:L48)+1,0))),0))</f>
        <v>47</v>
      </c>
      <c r="M49" s="259" t="str">
        <f ca="1">IFERROR(INDEX($K$3:$K$220,MATCH(ROWS($M$3:M49),$L$3:$L$220,0),1),"")</f>
        <v>PERSONALE C/ACCONTI</v>
      </c>
      <c r="N49" s="259" t="str">
        <f t="shared" si="143"/>
        <v>CONTI DI RISULTATO</v>
      </c>
      <c r="O49" s="259" t="str">
        <f t="shared" ref="O49:O60" ca="1" si="170">IFERROR(IF(AND($J$1=2,$I$1=3,INDEX($AY$3:$AY$220,MATCH(N49,$AY$3:$AY$220,0),1)=N49),N49,IF(AND($J$1=2,$I$1=2,INDEX($AX$3:$AX$220,MATCH(N49,$AX$3:$AX$220,0),1)=N49),N49,IF(AND($J$1=2,$I$1=1,INDEX($AW$3:$AW$220,MATCH(N49,$AW$3:$AW$220,0),1)=N49),N49,""))),"")</f>
        <v/>
      </c>
      <c r="P49" s="259">
        <f ca="1">IF(AND(N49=O49,O49&lt;&gt;""),MAX(P$2:P48)+1,0)</f>
        <v>0</v>
      </c>
      <c r="Q49" s="259" t="str">
        <f ca="1">IF(IFERROR(INDEX($O$3:$P$220,MATCH(ROWS(Q$3:Q49),$P$3:$P$220,0),1),"")=0,"",IFERROR(INDEX($O$3:$P$220,MATCH(ROWS(Q$3:Q49),$P$3:$P$220,0),1),""))</f>
        <v/>
      </c>
      <c r="R49" s="259" t="str">
        <f t="shared" si="1"/>
        <v>PERSONALE C/ACCONTI</v>
      </c>
      <c r="S49" s="259">
        <f ca="1">IF(IFERROR(MATCH(R49,DENOMINAZIONE_GIORNALE,0),0)&gt;0,MAX(S$2:S48)+1,0)</f>
        <v>0</v>
      </c>
      <c r="T49" s="259" t="str">
        <f ca="1">IFERROR(INDEX($R$3:$S$220,MATCH(ROWS($T$3:T49),$S$3:$S$220,0),1),"")</f>
        <v/>
      </c>
      <c r="U49" s="259">
        <f t="shared" ca="1" si="2"/>
        <v>0</v>
      </c>
      <c r="V49" s="259">
        <f ca="1">IF(IF(U49&lt;&gt;0,MAX($V$2:V48)+1,0)=0,0,IF(U49&lt;&gt;0,MAX($V$2:V48)+1,0))</f>
        <v>0</v>
      </c>
      <c r="W49" s="259" t="str">
        <f t="shared" si="43"/>
        <v>06.01</v>
      </c>
      <c r="X49" s="259" t="str">
        <f t="shared" si="44"/>
        <v>IVA NS/CREDITO</v>
      </c>
      <c r="Y49" s="259">
        <f>IF(W49="",0,MAX($Y$2:Y48)+1)</f>
        <v>41</v>
      </c>
      <c r="Z49" s="259" t="str">
        <f>IFERROR(INDEX($W$3:$Y$220,MATCH(ROWS($Z$2:Z48),$Y$3:$Y$220,0),1),"")</f>
        <v>06.20</v>
      </c>
      <c r="AA49" s="259" t="str">
        <f t="shared" si="45"/>
        <v>PERSONALE C/ACCONTI</v>
      </c>
      <c r="AB49" s="259" t="str">
        <f t="shared" si="46"/>
        <v>F</v>
      </c>
      <c r="AC49" s="259" t="str">
        <f t="shared" si="47"/>
        <v>D</v>
      </c>
      <c r="AD49" s="259" t="str">
        <f t="shared" si="48"/>
        <v>CREDITI</v>
      </c>
      <c r="AE49" s="259" t="str">
        <f t="shared" si="49"/>
        <v>SP DARE</v>
      </c>
      <c r="AF49" s="259" t="str">
        <f t="shared" si="50"/>
        <v>CREDITI DIVERSI</v>
      </c>
      <c r="AG49" s="259">
        <f t="shared" ca="1" si="51"/>
        <v>0</v>
      </c>
      <c r="AH49" s="259">
        <f t="shared" ca="1" si="52"/>
        <v>1</v>
      </c>
      <c r="AI49" s="259">
        <f t="shared" ca="1" si="53"/>
        <v>1</v>
      </c>
      <c r="AJ49" s="259" t="str">
        <f t="shared" si="54"/>
        <v>06</v>
      </c>
      <c r="AK49" s="259" t="str">
        <f t="shared" si="55"/>
        <v/>
      </c>
      <c r="AL49" s="259">
        <f>IF(AK49&lt;&gt;"",MAX($AL$2:AL48)+1,0)</f>
        <v>0</v>
      </c>
      <c r="AM49" s="259" t="str">
        <f>IFERROR(INDEX($AK$3:$AL$220,MATCH(ROWS($AM$3:AM49),$AL$3:$AL$220,0),1),"")</f>
        <v/>
      </c>
      <c r="AN49" s="259" t="str">
        <f t="shared" si="56"/>
        <v/>
      </c>
      <c r="AO49" s="259" t="str">
        <f t="shared" si="57"/>
        <v/>
      </c>
      <c r="AP49" s="259" t="str">
        <f t="shared" si="58"/>
        <v>CREDITI DIVERSI</v>
      </c>
      <c r="AQ49" s="259">
        <f ca="1">IF(OR(AG49=0,AG49=""),0,MAX(AQ$2:AQ48)+1)</f>
        <v>0</v>
      </c>
      <c r="AR49" s="259">
        <f ca="1">IF(OR(AH49=0,AH49=""),0,MAX(AR$2:AR48)+1)</f>
        <v>39</v>
      </c>
      <c r="AS49" s="259">
        <f ca="1">IF(OR(AI49=0,AI49=""),0,MAX(AS$2:AS48)+1)</f>
        <v>47</v>
      </c>
      <c r="AT49" s="259" t="str">
        <f ca="1">IFERROR(INDEX($AD$3:$AS$220,MATCH(ROWS(AT$3:AT49),AQ$3:AQ$220,0),1),"")</f>
        <v>RICAVI D'ESERCIZIO</v>
      </c>
      <c r="AU49" s="259" t="str">
        <f ca="1">IFERROR(INDEX($AD$3:$AS$220,MATCH(ROWS(AU$3:AU49),AR$3:AR$220,0),1),"")</f>
        <v>DEBITI</v>
      </c>
      <c r="AV49" s="259" t="str">
        <f ca="1">IFERROR(INDEX($AD$3:$AS$220,MATCH(ROWS(AV$3:AV49),AS$3:AS$220,0),1),"")</f>
        <v>CREDITI</v>
      </c>
      <c r="AW49" s="259" t="str">
        <f ca="1">IFERROR(INDEX($AP$3:$AS$220,MATCH(ROWS(AW$3:AW49),AQ$3:AQ$220,0),1),"")</f>
        <v>VALORE DELLA PRODUZIONE</v>
      </c>
      <c r="AX49" s="259" t="str">
        <f ca="1">IFERROR(INDEX($AP$3:$AS$220,MATCH(ROWS(AX$3:AX49),AR$3:AR$220,0),1),"")</f>
        <v>DEBITI FINANZIARI</v>
      </c>
      <c r="AY49" s="259" t="str">
        <f ca="1">IFERROR(INDEX($AP$3:$AS$220,MATCH(ROWS(AY$3:AY49),AS$3:AS$220,0),1),"")</f>
        <v>CREDITI DIVERSI</v>
      </c>
      <c r="AZ49" s="276" t="str">
        <f t="shared" ca="1" si="59"/>
        <v/>
      </c>
      <c r="BA49" s="259">
        <f t="shared" ca="1" si="153"/>
        <v>0</v>
      </c>
      <c r="BB49" s="259">
        <f ca="1">IFERROR(INDEX($FG$3:$FL$400,MATCH(ROWS($BB$3:BB49),$FL$3:$FL$400,0),1),0)</f>
        <v>0</v>
      </c>
      <c r="BC49" s="259" t="str">
        <f t="shared" ca="1" si="60"/>
        <v/>
      </c>
      <c r="BD49" s="259">
        <f ca="1">IFERROR(INDEX($FG$3:$FL$400,MATCH(ROWS($BD$3:BD49),$FL$3:$FL$400,0),4),0)</f>
        <v>0</v>
      </c>
      <c r="BE49" s="259">
        <f ca="1">IFERROR(INDEX($FG$3:$FL$400,MATCH(ROWS($BE$3:BE49),$FL$3:$FL$400,0),5),0)</f>
        <v>0</v>
      </c>
      <c r="BG49" s="259" t="str">
        <f t="shared" si="4"/>
        <v/>
      </c>
      <c r="BH49" s="259">
        <f ca="1">IF(IFERROR(MATCH(BG49,DENOMINAZIONE_GIORNALE,0),0)&gt;0,MAX(BH$2:BH48)+1,0)</f>
        <v>0</v>
      </c>
      <c r="BI49" s="259" t="str">
        <f ca="1">IFERROR(INDEX($BG$3:$BH$220,MATCH(ROWS($BI$3:BI49),$BH$3:$BH$220,0),1),"")</f>
        <v/>
      </c>
      <c r="BJ49" s="259" t="str">
        <f t="shared" ca="1" si="5"/>
        <v/>
      </c>
      <c r="BK49" s="259" t="str">
        <f ca="1">IF(IF(BJ49&lt;&gt;"",MAX($BK$2:BK48)+1,0)=0,"",IF(BJ49&lt;&gt;"",MAX($BK$2:BK48)+1,0))</f>
        <v/>
      </c>
      <c r="BL49" s="259" t="str">
        <f ca="1">IFERROR(INDEX($T$3:$U$220, MATCH(ROWS(BL$3:BL49),$V$3:$V$220,0),1),"")</f>
        <v/>
      </c>
      <c r="BM49" s="259" t="str">
        <f ca="1">IFERROR(INDEX($T$3:$U$220, MATCH(ROWS(BM$3:BM49),$V$3:$V$220,0),2),"")</f>
        <v/>
      </c>
      <c r="BN49" s="259" t="str">
        <f ca="1">IF(IFERROR(INDEX($BI$3:$BJ$220,MATCH(ROWS(BN$3:BN49),$BK$3:$BK$220,0),1),"")="PATRIMONIO NETTO","",IFERROR(INDEX($BI$3:$BJ$220,MATCH(ROWS(BN$3:BN49),$BK$3:$BK$220,0),1),""))</f>
        <v/>
      </c>
      <c r="BO49" s="259" t="str">
        <f ca="1">IFERROR(INDEX($BI$3:$BJ$220,MATCH(ROWS(BO$3:BO49),$BK$3:$BK$220,0),2),"")</f>
        <v/>
      </c>
      <c r="BP49" s="259">
        <f ca="1">IF(BN49&lt;&gt;"",MAX(BP$2:$BP48)+1,0)</f>
        <v>0</v>
      </c>
      <c r="BQ49" s="259" t="str">
        <f ca="1">IFERROR(INDEX($BN$3:$BO$200,MATCH(ROWS(BQ$3:BQ49),$BP$3:$BP$220,0),1),"")</f>
        <v/>
      </c>
      <c r="BR49" s="259" t="str">
        <f ca="1">IFERROR(INDEX($BN$3:$BO$220,MATCH(ROWS(BR$3:BR49),$BP$3:$BP$220,0),2),"")</f>
        <v/>
      </c>
      <c r="BS49" s="259" t="str">
        <f ca="1">IFERROR(IF(OR(INDEX($T$3:$U$220,MATCH(ROWS(BL$3:BL49),$V$3:$V$220,0),1)="PRELEVAMENTI EXTRAGESTIONE",INDEX($T$3:$U$220,MATCH(ROWS(BL$3:BL49),$V$3:$V$220,0),1)="TITOLARE C/RITENUTE SUBITE"),"",INDEX($T$3:$U$220,MATCH(ROWS(BL$3:BL49),$V$3:$V$220,0),1)),"")</f>
        <v/>
      </c>
      <c r="BT49" s="259">
        <f t="shared" ca="1" si="61"/>
        <v>0</v>
      </c>
      <c r="BU49" s="259">
        <f ca="1">IF(BS49&lt;&gt;"",MAX(BU$2:BU48)+1,0)</f>
        <v>0</v>
      </c>
      <c r="BV49" s="259" t="str">
        <f ca="1">IFERROR(INDEX($BS$3:$BT$223,MATCH(ROWS(BV$3:BV49),$BU$3:$BU$223,0),1),"")</f>
        <v/>
      </c>
      <c r="BW49" s="259">
        <f t="shared" ca="1" si="62"/>
        <v>0</v>
      </c>
      <c r="BX49" s="259" t="str">
        <f t="shared" ca="1" si="63"/>
        <v/>
      </c>
      <c r="BY49" s="259" t="str">
        <f t="shared" ca="1" si="64"/>
        <v/>
      </c>
      <c r="BZ49" s="259" t="str">
        <f ca="1">IFERROR(IF(OR($DS$231&lt;&gt;$DT$231,$DU$231&lt;&gt;$DV$231,$EO$25&lt;&gt;0,$EO$26&lt;&gt;0),INDEX($T$3:$V$220,MATCH(ROWS($BV$3:BV49),$V$3:$V$220,0),1),CONCATENATE(BV49,BY49)),"")</f>
        <v/>
      </c>
      <c r="CA49" s="259">
        <f t="shared" ca="1" si="65"/>
        <v>0</v>
      </c>
      <c r="CB49" s="259" t="str">
        <f ca="1">IFERROR(IF(OR($BB$1&lt;&gt;$BD$1,$BC$1&lt;&gt;$BE$1,$DS$231&lt;&gt;$DT$231,$DU$231&lt;&gt;$DV$231,$EO$25&lt;&gt;0,$EO$26&lt;&gt;0),INDEX($BI$3:$BK$220,MATCH(ROWS($CB$3:CB49),$BK$3:$BK$220,0),1),CONCATENATE(BQ49,BX49)),"")</f>
        <v/>
      </c>
      <c r="CC49" s="259" t="str">
        <f t="shared" ca="1" si="66"/>
        <v/>
      </c>
      <c r="CD49" s="259" t="str">
        <f t="shared" si="6"/>
        <v/>
      </c>
      <c r="CE49" s="259">
        <f ca="1">IF(IFERROR(MATCH(CD49,DENOMINAZIONE_GIORNALE,0),0)&gt;0,MAX(CE$2:CE48)+1,0)</f>
        <v>0</v>
      </c>
      <c r="CF49" s="259" t="str">
        <f ca="1">IFERROR(INDEX($CD$3:$CE$220,MATCH(ROWS($CF$3:CF49),$CE$3:$CE$220,0),1),"")</f>
        <v/>
      </c>
      <c r="CG49" s="259">
        <f t="shared" ca="1" si="7"/>
        <v>0</v>
      </c>
      <c r="CH49" s="259" t="str">
        <f ca="1">IF(IF(CG49&lt;&gt;0,MAX($CH$2:CH48)+1,0)=0,"",IF(CG49&lt;&gt;"",MAX($CH$2:CH48)+1,0))</f>
        <v/>
      </c>
      <c r="CI49" s="259" t="str">
        <f ca="1">IFERROR(INDEX($CF$3:$CG$220,MATCH(ROWS($CI$3:CI49),$CH$3:$CH$220,0),1),"")</f>
        <v/>
      </c>
      <c r="CJ49" s="259" t="str">
        <f t="shared" ca="1" si="67"/>
        <v/>
      </c>
      <c r="CK49" s="259" t="str">
        <f t="shared" si="8"/>
        <v/>
      </c>
      <c r="CL49" s="259">
        <f ca="1">IF(IFERROR(MATCH(CK49,DENOMINAZIONE_GIORNALE,0),0)&gt;0,MAX(CL$2:CL48)+1,0)</f>
        <v>0</v>
      </c>
      <c r="CM49" s="259" t="str">
        <f ca="1">IFERROR(INDEX($CK$3:$CL$220,MATCH(ROWS($CM$3:CM49),$CL$3:$CL$220,0),1),"")</f>
        <v/>
      </c>
      <c r="CN49" s="259" t="str">
        <f t="shared" ca="1" si="9"/>
        <v/>
      </c>
      <c r="CO49" s="259">
        <f ca="1">IF(IF(CN49&lt;&gt;0,MAX($CO$2:CO48)+1,0)=0,"",IF(CN49&lt;&gt;"",MAX($CO$2:CO48)+1,0))</f>
        <v>0</v>
      </c>
      <c r="CP49" s="259" t="str">
        <f ca="1">IFERROR(INDEX($CM$3:$CN$220,MATCH(ROWS(CP$3:CP49),$CO$3:$CO$220,0),1),"")</f>
        <v/>
      </c>
      <c r="CQ49" s="259" t="str">
        <f ca="1">IFERROR(INDEX($CM$3:$CN$220,MATCH(ROWS(CQ$3:CQ49),$CO$3:$CO$220,0),2),"")</f>
        <v/>
      </c>
      <c r="CR49" s="259" t="str">
        <f t="shared" ca="1" si="154"/>
        <v/>
      </c>
      <c r="CS49" s="259">
        <f t="shared" ca="1" si="11"/>
        <v>0</v>
      </c>
      <c r="CT49" s="259">
        <f t="shared" ca="1" si="12"/>
        <v>0</v>
      </c>
      <c r="CU49" s="259">
        <f ca="1">IF(OR(CS49&gt;0,CT49&gt;0),MAX($CU$2:CU48)+1,0)</f>
        <v>0</v>
      </c>
      <c r="CV49" s="259" t="str">
        <f ca="1">IFERROR(INDEX(PIANO_DEI_CONTI,MATCH(ROWS($CV$3:CV49),$CU$3:$CU$200,0),2),"")</f>
        <v/>
      </c>
      <c r="CW49" s="259">
        <f ca="1">IFERROR(IF(CV49&lt;&gt;"",MAX($CW$2:CW48)+1,0),0)</f>
        <v>0</v>
      </c>
      <c r="CX49" s="259">
        <f t="shared" ca="1" si="162"/>
        <v>3</v>
      </c>
      <c r="CY49" s="259" t="str">
        <f t="shared" ca="1" si="161"/>
        <v>MASTRO</v>
      </c>
      <c r="CZ49" s="259" t="e">
        <f t="shared" ca="1" si="164"/>
        <v>#N/A</v>
      </c>
      <c r="DA49" s="259" t="str">
        <f t="shared" ca="1" si="169"/>
        <v/>
      </c>
      <c r="DB49" s="259" t="str">
        <f t="shared" ca="1" si="165"/>
        <v/>
      </c>
      <c r="DC49" s="259" t="str">
        <f t="shared" ca="1" si="166"/>
        <v/>
      </c>
      <c r="DD49" s="259" t="str">
        <f t="shared" ca="1" si="167"/>
        <v/>
      </c>
      <c r="DE49" s="259" t="str">
        <f t="shared" ca="1" si="168"/>
        <v/>
      </c>
      <c r="DF49" s="259">
        <f ca="1">IF(AND(CX49=$DE$2,$DF$2&lt;&gt;0),0,IF(AND(DB49&lt;&gt;"",OR(DB48&lt;&gt;"",DB50&lt;&gt;"")),MAX($DF$2:DF48)+1,0))</f>
        <v>0</v>
      </c>
      <c r="DG49" s="259" t="str">
        <f>IF(OR(VALORI_INIZIALI!E54="",AND(VALORI_INIZIALI!E54&lt;&gt;"",VALORI_INIZIALI!H54=0,VALORI_INIZIALI!I54=0)),"",IFERROR(INDEX(PIANO_DEI_CONTI,MATCH(BB49,DENOMINAZIONE,0),1),0))</f>
        <v/>
      </c>
      <c r="DH49" s="259">
        <f ca="1">IFERROR(IF($J$1=1,IF(INDEX(PIANO_DEI_CONTI,MATCH($K49,DENOMINAZIONE,0),5)=$DF$1,MAX($DH$2:DH48)+1,0),IF($J$1=2,IF(INDEX(PIANO_DEI_CONTI,MATCH($K49,DENOMINAZIONE,0),7)=$DF$1,MAX($DH$2:DH48)+1,0))),0)</f>
        <v>0</v>
      </c>
      <c r="DI49" s="259">
        <f ca="1">IFERROR(INDEX($K$3:$K$220,MATCH(ROWS($DI$3:DI49),$DH$3:$DH$220,0),1),0)</f>
        <v>0</v>
      </c>
      <c r="DJ49" s="259">
        <f t="shared" ca="1" si="14"/>
        <v>0</v>
      </c>
      <c r="DK49" s="259">
        <f ca="1">IF(DJ49=0,0,MAX(DK$2:DK48)+1)</f>
        <v>0</v>
      </c>
      <c r="DL49" s="259">
        <f ca="1">IFERROR(INDEX(PIANO_DEI_CONTI,MATCH(ROWS(DL$3:DL49),$DK$3:DK276,0),2),0)</f>
        <v>0</v>
      </c>
      <c r="DM49" s="259">
        <f t="shared" ca="1" si="15"/>
        <v>0</v>
      </c>
      <c r="DN49" s="259">
        <f t="shared" ca="1" si="16"/>
        <v>0</v>
      </c>
      <c r="DO49" s="259">
        <f t="shared" ca="1" si="69"/>
        <v>0</v>
      </c>
      <c r="DP49" s="259">
        <f t="shared" ca="1" si="70"/>
        <v>0</v>
      </c>
      <c r="DQ49" s="259">
        <f ca="1">IF(OR($DQ$1="TOTALI",$DQ$1="TOTALI ED ECCEDENZE"),IF(OR(DM49&gt;0,DN49&gt;0),MAX(DQ$2:DQ48)+1,0),IF($DQ$1="ECCEDENZE",IF(OR(DO49&gt;0,DP49&gt;0),MAX(DQ$2:DQ48)+1,0),""))</f>
        <v>0</v>
      </c>
      <c r="DR49" s="259" t="str">
        <f ca="1">IFERROR(INDEX($DL$3:$DQ$230,MATCH(ROWS(DR$3:DR49),$DQ$3:$DQ$230,0),1),"")</f>
        <v/>
      </c>
      <c r="DS49" s="259" t="str">
        <f t="shared" ca="1" si="71"/>
        <v/>
      </c>
      <c r="DT49" s="259" t="str">
        <f t="shared" ca="1" si="72"/>
        <v/>
      </c>
      <c r="DU49" s="259" t="str">
        <f t="shared" ca="1" si="73"/>
        <v/>
      </c>
      <c r="DV49" s="259" t="str">
        <f t="shared" ca="1" si="74"/>
        <v/>
      </c>
      <c r="DW49" s="259">
        <f t="shared" ca="1" si="75"/>
        <v>0</v>
      </c>
      <c r="DX49" s="259" t="str">
        <f t="shared" ca="1" si="76"/>
        <v/>
      </c>
      <c r="DY49" s="259" t="str">
        <f t="shared" ca="1" si="77"/>
        <v/>
      </c>
      <c r="DZ49" s="259" t="str">
        <f t="shared" ca="1" si="78"/>
        <v/>
      </c>
      <c r="EA49" s="259">
        <f t="shared" ca="1" si="79"/>
        <v>47</v>
      </c>
      <c r="EB49" s="259" t="s">
        <v>353</v>
      </c>
      <c r="ED49" s="259">
        <f t="shared" ca="1" si="17"/>
        <v>0</v>
      </c>
      <c r="EE49" s="259" t="str">
        <f t="shared" ca="1" si="155"/>
        <v/>
      </c>
      <c r="EF49" s="259" t="str">
        <f t="shared" ca="1" si="19"/>
        <v/>
      </c>
      <c r="EG49" s="259" t="str">
        <f t="shared" ca="1" si="136"/>
        <v/>
      </c>
      <c r="EH49" s="259" t="str">
        <f t="shared" ca="1" si="80"/>
        <v/>
      </c>
      <c r="EI49" s="260" t="b">
        <f t="shared" ca="1" si="137"/>
        <v>1</v>
      </c>
      <c r="EJ49" s="260" t="b">
        <f t="shared" ca="1" si="138"/>
        <v>1</v>
      </c>
      <c r="EK49" s="260" t="b">
        <f t="shared" ca="1" si="139"/>
        <v>1</v>
      </c>
      <c r="EL49" s="259">
        <f t="shared" si="81"/>
        <v>47</v>
      </c>
      <c r="EM49" s="259">
        <f ca="1">IF(AND(BA49&gt;0,BA49&lt;=$EM$1),MAX($EM$2:EM48)+1,0)</f>
        <v>0</v>
      </c>
      <c r="EN49" s="259">
        <f t="shared" ca="1" si="82"/>
        <v>49</v>
      </c>
      <c r="EP49" s="259" t="str">
        <f t="shared" ca="1" si="20"/>
        <v/>
      </c>
      <c r="EQ49" s="259">
        <f t="shared" ca="1" si="21"/>
        <v>0</v>
      </c>
      <c r="ER49" s="259">
        <f ca="1">IF(ISNA(EQ49),MAX(ER$2:ER48)+1,0)</f>
        <v>0</v>
      </c>
      <c r="ES49" s="259" t="str">
        <f t="shared" ca="1" si="83"/>
        <v/>
      </c>
      <c r="ET49" s="259" t="str">
        <f ca="1">IFERROR(UPPER(INDEX($ER$3:$ES$500,MATCH(ROWS(ET$3:ET49),$ER$3:$ER$500,0),2)),"")</f>
        <v/>
      </c>
      <c r="EY49" s="259">
        <f t="shared" ca="1" si="84"/>
        <v>0</v>
      </c>
      <c r="EZ49" s="259">
        <f t="shared" ca="1" si="84"/>
        <v>0</v>
      </c>
      <c r="FA49" s="259" t="str">
        <f t="shared" ca="1" si="85"/>
        <v/>
      </c>
      <c r="FB49" s="259">
        <f t="shared" ca="1" si="86"/>
        <v>0</v>
      </c>
      <c r="FC49" s="259">
        <f t="shared" ca="1" si="87"/>
        <v>0</v>
      </c>
      <c r="FD49" s="259">
        <f t="shared" ca="1" si="22"/>
        <v>0</v>
      </c>
      <c r="FE49" s="259" t="str">
        <f t="shared" ca="1" si="23"/>
        <v/>
      </c>
      <c r="FF49" s="259" t="str">
        <f t="shared" ca="1" si="88"/>
        <v/>
      </c>
      <c r="FG49" s="259" t="str">
        <f t="shared" si="89"/>
        <v>PERSONALE C/ACCONTI</v>
      </c>
      <c r="FH49" s="259">
        <f t="shared" ca="1" si="156"/>
        <v>0</v>
      </c>
      <c r="FI49" s="259">
        <f t="shared" ca="1" si="25"/>
        <v>0</v>
      </c>
      <c r="FJ49" s="259">
        <f t="shared" ca="1" si="90"/>
        <v>0</v>
      </c>
      <c r="FK49" s="259">
        <f t="shared" ca="1" si="91"/>
        <v>0</v>
      </c>
      <c r="FL49" s="259">
        <f ca="1">IF(OR(FJ49&gt;0,FK49&gt;0),MAX($FL$2:FL48)+1,0)</f>
        <v>0</v>
      </c>
      <c r="FM49" s="259">
        <f t="shared" ca="1" si="26"/>
        <v>0</v>
      </c>
      <c r="FN49" s="259">
        <f ca="1">IF(FM49&lt;0,MAX($FN$2:FN48)+1,0)</f>
        <v>0</v>
      </c>
      <c r="FO49" s="259" t="str">
        <f t="shared" ca="1" si="92"/>
        <v/>
      </c>
      <c r="FP49" s="259" t="str">
        <f ca="1">IFERROR(INDEX($FN$3:$FO$400,MATCH(ROWS($FP$3:FP49),$FN$3:$FN$400,0),2),"")</f>
        <v/>
      </c>
      <c r="FQ49" s="259" t="str">
        <f>IF(AE49="SE AVERE",MAX($FQ$2:FQ48)+1,"")</f>
        <v/>
      </c>
      <c r="FR49" s="259" t="str">
        <f>IF(AE49="SE DARE",MAX($FR$2:FR48)+1,"")</f>
        <v/>
      </c>
      <c r="FS49" s="259">
        <f ca="1">IF(AND(AE49="SP DARE",AA49&lt;&gt;$FS$1,AA49&lt;&gt;$FT$1),MAX($FS$2:FS48)+1,IF(AND(GQ49="SP DARE",AA49&lt;&gt;$FS$1,AA49&lt;&gt;$FT$1),MAX($FS$2:FS48)+1,""))</f>
        <v>124</v>
      </c>
      <c r="FT49" s="259" t="str">
        <f ca="1">IF(AND(AE49="SP AVERE",AA49&lt;&gt;$FU$1),MAX($FT$2:FT48)+1,IF(AND(GQ49="SP AVERE",AA49&lt;&gt;$FU$1),MAX($FT$2:FT48)+1,""))</f>
        <v/>
      </c>
      <c r="FU49" s="259">
        <f t="shared" ca="1" si="93"/>
        <v>124</v>
      </c>
      <c r="FV49" s="259" t="str">
        <f t="shared" si="94"/>
        <v>PERSONALE C/ACCONTI</v>
      </c>
      <c r="FW49" s="259" t="str">
        <f ca="1">IFERROR(INDEX($FU$3:$FV$500,MATCH(ROWS($FW$3:FW49),$FU$3:$FU$500,0),2),0)</f>
        <v>ONERI SOCIALI</v>
      </c>
      <c r="FX49" s="259">
        <f t="shared" ca="1" si="95"/>
        <v>47</v>
      </c>
      <c r="FY49" s="259">
        <f t="shared" ca="1" si="96"/>
        <v>0</v>
      </c>
      <c r="FZ49" s="259">
        <f ca="1">IF(FY49&gt;0,MAX($FZ$2:FZ48)+1,0)</f>
        <v>0</v>
      </c>
      <c r="GA49" s="259">
        <f ca="1">IFERROR(INDEX($FY$3:$FZ$500,MATCH(ROWS($GA$3:GA49),$FZ$3:$FZ$500,0),1),0)</f>
        <v>0</v>
      </c>
      <c r="GC49" s="259">
        <f t="shared" ca="1" si="97"/>
        <v>47</v>
      </c>
      <c r="GD49" s="259" t="str">
        <f t="shared" ca="1" si="98"/>
        <v>ONERI SOCIALI</v>
      </c>
      <c r="GG49" s="259">
        <f t="shared" ca="1" si="27"/>
        <v>0</v>
      </c>
      <c r="GH49" s="259">
        <f t="shared" ca="1" si="99"/>
        <v>0</v>
      </c>
      <c r="GI49" s="259">
        <f t="shared" ca="1" si="100"/>
        <v>0</v>
      </c>
      <c r="GJ49" s="259">
        <f t="shared" ca="1" si="101"/>
        <v>0</v>
      </c>
      <c r="GK49" s="259">
        <f t="shared" ca="1" si="102"/>
        <v>0</v>
      </c>
      <c r="GL49" s="259">
        <f t="shared" ca="1" si="103"/>
        <v>0</v>
      </c>
      <c r="GM49" s="259">
        <f ca="1">IF(OR(GK49&gt;0,GL49&gt;0),MAX($GM$2:GM48)+1,0)</f>
        <v>0</v>
      </c>
      <c r="GN49" s="259" t="str">
        <f ca="1">IFERROR(INDEX($GD$3:$GM$400,MATCH(ROWS($GN$3:GN49),$GM$3:$GM$400,0),1),"")</f>
        <v/>
      </c>
      <c r="GO49" s="259" t="str">
        <f ca="1">IFERROR(INDEX($GD$3:$GM$400,MATCH(ROWS($GO$3:GO49),$GM$3:$GM$400,0),8),"")</f>
        <v/>
      </c>
      <c r="GP49" s="259" t="str">
        <f ca="1">IFERROR(INDEX($GD$3:$GM$400,MATCH(ROWS($GP$3:GP49),$GM$3:$GM$400,0),9),"")</f>
        <v/>
      </c>
      <c r="GQ49" s="259">
        <f t="shared" ca="1" si="28"/>
        <v>0</v>
      </c>
      <c r="GR49" s="259">
        <f t="shared" ca="1" si="104"/>
        <v>0</v>
      </c>
      <c r="GS49" s="259" t="str">
        <f t="shared" si="105"/>
        <v>epilogo a Conto economico</v>
      </c>
      <c r="GT49" s="259" t="str">
        <f ca="1">IFERROR(INDEX($GD$3:$GS$400,MATCH(ROWS($GT$3:GT49),$GM$3:$GM$400,0),16),"")</f>
        <v/>
      </c>
      <c r="GU49" s="259">
        <f ca="1">IF(GQ49&lt;&gt;0,MAX($GU$2:$GU48)+1,0)</f>
        <v>0</v>
      </c>
      <c r="GV49" s="259">
        <f t="shared" ca="1" si="106"/>
        <v>0</v>
      </c>
      <c r="GW49" s="259" t="str">
        <f ca="1">IF(AND(IFERROR(INDEX($GU$3:$GV$400,MATCH(ROWS($GW$3:GW49),$GU$3:$GU$400,0),2),"")&lt;&gt;"",GW50&lt;&gt;""),CONCATENATE(IFERROR(INDEX($GU$3:$GV$400,MATCH(ROWS($GW$3:GW49),$GU$3:$GU$400,0),2),"")," - "),IFERROR(INDEX($GU$3:$GV$400,MATCH(ROWS($GW$3:GW49),$GU$3:$GU$400,0),2),""))</f>
        <v/>
      </c>
      <c r="GX49" s="259">
        <f ca="1">IF(OR(GN49="IVA NS/CREDITO",GN49="IVA NS/DEBITO",GN49="IVA C/ACCONTO",GN49="IMPOSTE C/ACCONTO"),MAX($GX$2:GX48)+1,0)</f>
        <v>0</v>
      </c>
      <c r="GY49" s="259" t="str">
        <f ca="1">IF(AND(IFERROR(INDEX($GN$3:$GX$200,MATCH(ROWS($GY$3:GY49),$GX$3:$GX$200,0),1),"")&lt;&gt;"",GY50&lt;&gt;""),CONCATENATE(IFERROR(INDEX($GN$3:$GX$200,MATCH(ROWS($GY$3:GY49),$GX$3:$GX$200,0),1),"")," - "),IFERROR(INDEX($GN$3:$GX$200,MATCH(ROWS($GY$3:GY49),$GX$3:$GX$200,0),1),""))</f>
        <v/>
      </c>
      <c r="GZ49" s="259" t="s">
        <v>70</v>
      </c>
      <c r="HA49" s="259" t="s">
        <v>67</v>
      </c>
      <c r="HB49" s="269" t="s">
        <v>257</v>
      </c>
      <c r="HC49" s="269" t="s">
        <v>276</v>
      </c>
      <c r="HD49" s="269" t="s">
        <v>6</v>
      </c>
      <c r="HE49" s="269" t="s">
        <v>206</v>
      </c>
      <c r="HG49" s="270"/>
      <c r="HL49" s="259" t="str">
        <f t="shared" ca="1" si="157"/>
        <v/>
      </c>
      <c r="HM49" s="259" t="str">
        <f t="shared" ca="1" si="158"/>
        <v/>
      </c>
      <c r="HN49" s="259" t="str">
        <f t="shared" ca="1" si="159"/>
        <v/>
      </c>
      <c r="HO49" s="259">
        <f ca="1">IF(HL49&lt;&gt;"",MAX($HO$2:HO48)+1,0)</f>
        <v>0</v>
      </c>
      <c r="HP49" s="259">
        <f ca="1">IF(HM49&lt;&gt;"",MAX($HP$2:HP48)+1,0)</f>
        <v>0</v>
      </c>
      <c r="HQ49" s="259">
        <f ca="1">IF(HN49&lt;&gt;"",MAX($HQ$2:HQ48)+1,0)</f>
        <v>0</v>
      </c>
      <c r="HR49" s="259" t="str">
        <f t="shared" ca="1" si="107"/>
        <v/>
      </c>
      <c r="HS49" s="259" t="str">
        <f t="shared" ca="1" si="108"/>
        <v/>
      </c>
      <c r="HT49" s="259">
        <f t="shared" ca="1" si="109"/>
        <v>0</v>
      </c>
      <c r="HU49" s="259">
        <f t="shared" ca="1" si="110"/>
        <v>0</v>
      </c>
      <c r="HV49" s="259" t="str">
        <f ca="1">CONCATENATE(IFERROR(INDEX($HS$3:$HT$102,MATCH(ROWS($HV$3:HV49),$HT$3:$HT$102,0),1),""),HR49)</f>
        <v/>
      </c>
      <c r="IA49" s="259" t="s">
        <v>369</v>
      </c>
      <c r="IB49" s="259" t="s">
        <v>310</v>
      </c>
      <c r="IC49" s="259">
        <f ca="1">IFERROR(INDEX(PIANO_DEI_CONTI,MATCH(ROWS(DL$3:DL49),$DK$3:DK276,0),2),0)</f>
        <v>0</v>
      </c>
      <c r="ID49" s="259">
        <f t="shared" ca="1" si="111"/>
        <v>0</v>
      </c>
      <c r="IE49" s="259">
        <f t="shared" ca="1" si="112"/>
        <v>0</v>
      </c>
      <c r="IF49" s="259">
        <f t="shared" ca="1" si="113"/>
        <v>0</v>
      </c>
      <c r="IG49" s="259">
        <f ca="1">ROUND(SUMIFS($ID$3:$ID$200,$IF$3:$IF$200,IA49),0)</f>
        <v>0</v>
      </c>
      <c r="IH49" s="259">
        <f ca="1">IF(IG49&lt;&gt;0,MAX($IH$35:IH48)+1,0)</f>
        <v>0</v>
      </c>
      <c r="II49" s="259">
        <f>IF(AD49="costi pluriennali",MAX($II$2:II48)+1,0)</f>
        <v>0</v>
      </c>
      <c r="IJ49" s="259">
        <f>IF($AD49="rettifiche costi pluriennali",MAX($IJ$2:IJ48)+1,0)</f>
        <v>0</v>
      </c>
      <c r="IK49" s="259">
        <f t="shared" si="114"/>
        <v>0</v>
      </c>
      <c r="IL49" s="259" t="str">
        <f t="shared" si="115"/>
        <v/>
      </c>
      <c r="IM49" s="259">
        <f t="shared" ca="1" si="116"/>
        <v>0</v>
      </c>
      <c r="IN49" s="259">
        <f t="shared" ca="1" si="141"/>
        <v>0</v>
      </c>
      <c r="IO49" s="259">
        <f>SUMIFS($IM$3:$IM$200,$IK$3:$IK$200,ROWS($IO$3:IO49))-SUMIFS($IN$3:$IN$200,$IK$3:$IK$200,ROWS($IO$3:IO49))</f>
        <v>0</v>
      </c>
      <c r="IP49" s="259" t="str">
        <f>IF(IO49&lt;0,INDEX($IJ$3:$IL$200,MATCH(ROWS($IP$3:IP49),$IJ$3:$IJ$200,0),3),"")</f>
        <v/>
      </c>
      <c r="IQ49" s="259">
        <f>IF(IP49&lt;&gt;"",MAX($IQ$2:IQ48)+1,0)</f>
        <v>0</v>
      </c>
      <c r="IR49" s="259" t="str">
        <f ca="1">IFERROR(INDEX($IP$3:$IQ$200,MATCH(ROWS($IR$3:IR49),$IQ$3:$IQ$200,0),1),"")</f>
        <v/>
      </c>
      <c r="IS49" s="259" t="str">
        <f t="shared" ca="1" si="117"/>
        <v/>
      </c>
      <c r="IT49" s="259" t="str">
        <f t="shared" ca="1" si="118"/>
        <v/>
      </c>
      <c r="IU49" s="259" t="str">
        <f t="shared" ca="1" si="119"/>
        <v/>
      </c>
      <c r="IV49" s="259" t="str">
        <f t="shared" ca="1" si="120"/>
        <v/>
      </c>
      <c r="IW49" s="259" t="str">
        <f t="shared" ca="1" si="121"/>
        <v/>
      </c>
      <c r="IX49" s="259" t="str">
        <f t="shared" ca="1" si="122"/>
        <v/>
      </c>
      <c r="IY49" s="259" t="str">
        <f t="shared" ca="1" si="123"/>
        <v/>
      </c>
      <c r="IZ49" s="259" t="str">
        <f t="shared" ca="1" si="124"/>
        <v/>
      </c>
      <c r="JA49" s="259" t="str">
        <f t="shared" ca="1" si="125"/>
        <v/>
      </c>
      <c r="JB49" s="259">
        <f t="shared" ca="1" si="32"/>
        <v>0</v>
      </c>
      <c r="JC49" s="259">
        <f t="shared" ca="1" si="126"/>
        <v>0</v>
      </c>
      <c r="JE49" s="259">
        <f ca="1">IFERROR(INDEX(LIBRO_GIORNALE!$N$11:$O$408,MATCH(ROWS($JE$2:JE48),LIBRO_GIORNALE!$O$11:$O$408,0),1),0)</f>
        <v>0</v>
      </c>
      <c r="JF49" s="259" t="str">
        <f t="shared" ca="1" si="127"/>
        <v>0</v>
      </c>
      <c r="JG49" s="259">
        <f t="shared" ca="1" si="128"/>
        <v>0</v>
      </c>
      <c r="JH49" s="259">
        <f ca="1">IF(JJ49&gt;0,0,MAX($JH$2:JH48)+1)</f>
        <v>47</v>
      </c>
      <c r="JI49" s="259">
        <f ca="1">IF(JG49&gt;0,MAX($JI$2:JI48)+1,0)</f>
        <v>0</v>
      </c>
      <c r="JJ49" s="259">
        <f ca="1">IFERROR(INDEX($JG$3:$JI$124,MATCH(ROWS($JJ$3:JJ49),$JI$3:$JI$124,0),1),0)</f>
        <v>0</v>
      </c>
      <c r="JK49" s="259">
        <f t="shared" ca="1" si="129"/>
        <v>0</v>
      </c>
      <c r="JL49" s="259">
        <f t="shared" ca="1" si="130"/>
        <v>47</v>
      </c>
    </row>
    <row r="50" spans="1:272">
      <c r="A50" s="259" t="str">
        <f t="shared" si="33"/>
        <v>06.02</v>
      </c>
      <c r="B50" s="259" t="str">
        <f t="shared" si="34"/>
        <v>IVA C/ACCONTO</v>
      </c>
      <c r="C50" s="259" t="str">
        <f t="shared" si="35"/>
        <v>F</v>
      </c>
      <c r="D50" s="259" t="str">
        <f t="shared" si="36"/>
        <v>D</v>
      </c>
      <c r="E50" s="259" t="str">
        <f t="shared" si="37"/>
        <v>CREDITI</v>
      </c>
      <c r="F50" s="259" t="str">
        <f t="shared" si="38"/>
        <v>SP DARE</v>
      </c>
      <c r="G50" s="259">
        <f t="shared" ca="1" si="39"/>
        <v>0</v>
      </c>
      <c r="H50" s="259">
        <f t="shared" ca="1" si="40"/>
        <v>1</v>
      </c>
      <c r="I50" s="259">
        <f t="shared" ca="1" si="41"/>
        <v>1</v>
      </c>
      <c r="K50" s="259" t="str">
        <f ca="1">IFERROR(IF($I$1=1,INDEX($AA$3:$AS$220,MATCH(ROWS($K$3:K50),$AQ$3:$AQ$220,0),1),IF($I$1=2,INDEX($AA$3:$AS$220,MATCH(ROWS($K$3:K50),$AR$3:$AR$220,0),1),IF($I$1=3,INDEX($AA$3:$AS$220,MATCH(ROWS($K$3:K50),$AS$3:$AS$220,0),1),""))),"")</f>
        <v>BANCHE C/C ATTIVI</v>
      </c>
      <c r="L50" s="259">
        <f ca="1">IF(AND($L$1="VISUALIZZA TUTTI I CONTI",K50&lt;&gt;""),MAX(L49:L49)+1,IFERROR(IF($J$1=1,IF(INDEX(PIANO_DEI_CONTI,MATCH($K50,DENOMINAZIONE,0),5)=$L$1,MAX($L$2:L49)+1,0),IF($J$1=2,IF(INDEX(PIANO_DEI_CONTI,MATCH($K50,DENOMINAZIONE,0),7)=$L$1,MAX($L$2:L49)+1,0))),0))</f>
        <v>48</v>
      </c>
      <c r="M50" s="259" t="str">
        <f ca="1">IFERROR(INDEX($K$3:$K$220,MATCH(ROWS($M$3:M50),$L$3:$L$220,0),1),"")</f>
        <v>BANCHE C/C ATTIVI</v>
      </c>
      <c r="N50" s="259" t="str">
        <f t="shared" si="143"/>
        <v/>
      </c>
      <c r="O50" s="259" t="str">
        <f t="shared" ca="1" si="170"/>
        <v/>
      </c>
      <c r="P50" s="259">
        <f ca="1">IF(AND(N50=O50,O50&lt;&gt;""),MAX(P$2:P49)+1,0)</f>
        <v>0</v>
      </c>
      <c r="Q50" s="259" t="str">
        <f ca="1">IF(IFERROR(INDEX($O$3:$P$220,MATCH(ROWS(Q$3:Q50),$P$3:$P$220,0),1),"")=0,"",IFERROR(INDEX($O$3:$P$220,MATCH(ROWS(Q$3:Q50),$P$3:$P$220,0),1),""))</f>
        <v/>
      </c>
      <c r="R50" s="259" t="str">
        <f t="shared" si="1"/>
        <v>BANCHE C/C ATTIVI</v>
      </c>
      <c r="S50" s="259">
        <f ca="1">IF(IFERROR(MATCH(R50,DENOMINAZIONE_GIORNALE,0),0)&gt;0,MAX(S$2:S49)+1,0)</f>
        <v>0</v>
      </c>
      <c r="T50" s="259" t="str">
        <f ca="1">IFERROR(INDEX($R$3:$S$220,MATCH(ROWS($T$3:T50),$S$3:$S$220,0),1),"")</f>
        <v/>
      </c>
      <c r="U50" s="259">
        <f t="shared" ca="1" si="2"/>
        <v>0</v>
      </c>
      <c r="V50" s="259">
        <f ca="1">IF(IF(U50&lt;&gt;0,MAX($V$2:V49)+1,0)=0,0,IF(U50&lt;&gt;0,MAX($V$2:V49)+1,0))</f>
        <v>0</v>
      </c>
      <c r="W50" s="259" t="str">
        <f t="shared" si="43"/>
        <v>06.02</v>
      </c>
      <c r="X50" s="259" t="str">
        <f t="shared" si="44"/>
        <v>IVA C/ACCONTO</v>
      </c>
      <c r="Y50" s="259">
        <f>IF(W50="",0,MAX($Y$2:Y49)+1)</f>
        <v>42</v>
      </c>
      <c r="Z50" s="259" t="str">
        <f>IFERROR(INDEX($W$3:$Y$220,MATCH(ROWS($Z$2:Z49),$Y$3:$Y$220,0),1),"")</f>
        <v>08.01</v>
      </c>
      <c r="AA50" s="259" t="str">
        <f t="shared" si="45"/>
        <v>BANCHE C/C ATTIVI</v>
      </c>
      <c r="AB50" s="259" t="str">
        <f t="shared" si="46"/>
        <v>F</v>
      </c>
      <c r="AC50" s="259" t="str">
        <f t="shared" si="47"/>
        <v>D</v>
      </c>
      <c r="AD50" s="259" t="str">
        <f t="shared" si="48"/>
        <v>DISPONIBILITÀ LIQUIDE</v>
      </c>
      <c r="AE50" s="259" t="str">
        <f t="shared" si="49"/>
        <v>SP DARE</v>
      </c>
      <c r="AF50" s="259" t="str">
        <f t="shared" si="50"/>
        <v>DISPONIBILITÀ LIQUIDE</v>
      </c>
      <c r="AG50" s="259">
        <f t="shared" ca="1" si="51"/>
        <v>0</v>
      </c>
      <c r="AH50" s="259">
        <f t="shared" ca="1" si="52"/>
        <v>0</v>
      </c>
      <c r="AI50" s="259">
        <f t="shared" ca="1" si="53"/>
        <v>1</v>
      </c>
      <c r="AJ50" s="259" t="str">
        <f t="shared" si="54"/>
        <v>08</v>
      </c>
      <c r="AK50" s="259" t="str">
        <f t="shared" si="55"/>
        <v/>
      </c>
      <c r="AL50" s="259">
        <f>IF(AK50&lt;&gt;"",MAX($AL$2:AL49)+1,0)</f>
        <v>0</v>
      </c>
      <c r="AM50" s="259" t="str">
        <f>IFERROR(INDEX($AK$3:$AL$220,MATCH(ROWS($AM$3:AM50),$AL$3:$AL$220,0),1),"")</f>
        <v/>
      </c>
      <c r="AN50" s="259" t="str">
        <f t="shared" si="56"/>
        <v/>
      </c>
      <c r="AO50" s="259" t="str">
        <f t="shared" si="57"/>
        <v/>
      </c>
      <c r="AP50" s="259" t="str">
        <f t="shared" si="58"/>
        <v>DISPONIBILITÀ LIQUIDE</v>
      </c>
      <c r="AQ50" s="259">
        <f ca="1">IF(OR(AG50=0,AG50=""),0,MAX(AQ$2:AQ49)+1)</f>
        <v>0</v>
      </c>
      <c r="AR50" s="259">
        <f ca="1">IF(OR(AH50=0,AH50=""),0,MAX(AR$2:AR49)+1)</f>
        <v>0</v>
      </c>
      <c r="AS50" s="259">
        <f ca="1">IF(OR(AI50=0,AI50=""),0,MAX(AS$2:AS49)+1)</f>
        <v>48</v>
      </c>
      <c r="AT50" s="259" t="str">
        <f ca="1">IFERROR(INDEX($AD$3:$AS$220,MATCH(ROWS(AT$3:AT50),AQ$3:AQ$220,0),1),"")</f>
        <v>RICAVI D'ESERCIZIO</v>
      </c>
      <c r="AU50" s="259" t="str">
        <f ca="1">IFERROR(INDEX($AD$3:$AS$220,MATCH(ROWS(AU$3:AU50),AR$3:AR$220,0),1),"")</f>
        <v>DEBITI</v>
      </c>
      <c r="AV50" s="259" t="str">
        <f ca="1">IFERROR(INDEX($AD$3:$AS$220,MATCH(ROWS(AV$3:AV50),AS$3:AS$220,0),1),"")</f>
        <v>DISPONIBILITÀ LIQUIDE</v>
      </c>
      <c r="AW50" s="259" t="str">
        <f ca="1">IFERROR(INDEX($AP$3:$AS$220,MATCH(ROWS(AW$3:AW50),AQ$3:AQ$220,0),1),"")</f>
        <v>VALORE DELLA PRODUZIONE</v>
      </c>
      <c r="AX50" s="259" t="str">
        <f ca="1">IFERROR(INDEX($AP$3:$AS$220,MATCH(ROWS(AX$3:AX50),AR$3:AR$220,0),1),"")</f>
        <v>DEBITI FINANZIARI</v>
      </c>
      <c r="AY50" s="259" t="str">
        <f ca="1">IFERROR(INDEX($AP$3:$AS$220,MATCH(ROWS(AY$3:AY50),AS$3:AS$220,0),1),"")</f>
        <v>DISPONIBILITÀ LIQUIDE</v>
      </c>
      <c r="AZ50" s="276" t="str">
        <f t="shared" ca="1" si="59"/>
        <v/>
      </c>
      <c r="BA50" s="259">
        <f t="shared" ca="1" si="153"/>
        <v>0</v>
      </c>
      <c r="BB50" s="259">
        <f ca="1">IFERROR(INDEX($FG$3:$FL$400,MATCH(ROWS($BB$3:BB50),$FL$3:$FL$400,0),1),0)</f>
        <v>0</v>
      </c>
      <c r="BC50" s="259" t="str">
        <f t="shared" ca="1" si="60"/>
        <v/>
      </c>
      <c r="BD50" s="259">
        <f ca="1">IFERROR(INDEX($FG$3:$FL$400,MATCH(ROWS($BD$3:BD50),$FL$3:$FL$400,0),4),0)</f>
        <v>0</v>
      </c>
      <c r="BE50" s="259">
        <f ca="1">IFERROR(INDEX($FG$3:$FL$400,MATCH(ROWS($BE$3:BE50),$FL$3:$FL$400,0),5),0)</f>
        <v>0</v>
      </c>
      <c r="BG50" s="259" t="str">
        <f t="shared" si="4"/>
        <v/>
      </c>
      <c r="BH50" s="259">
        <f ca="1">IF(IFERROR(MATCH(BG50,DENOMINAZIONE_GIORNALE,0),0)&gt;0,MAX(BH$2:BH49)+1,0)</f>
        <v>0</v>
      </c>
      <c r="BI50" s="259" t="str">
        <f ca="1">IFERROR(INDEX($BG$3:$BH$220,MATCH(ROWS($BI$3:BI50),$BH$3:$BH$220,0),1),"")</f>
        <v/>
      </c>
      <c r="BJ50" s="259" t="str">
        <f t="shared" ca="1" si="5"/>
        <v/>
      </c>
      <c r="BK50" s="259" t="str">
        <f ca="1">IF(IF(BJ50&lt;&gt;"",MAX($BK$2:BK49)+1,0)=0,"",IF(BJ50&lt;&gt;"",MAX($BK$2:BK49)+1,0))</f>
        <v/>
      </c>
      <c r="BL50" s="259" t="str">
        <f ca="1">IFERROR(INDEX($T$3:$U$220, MATCH(ROWS(BL$3:BL50),$V$3:$V$220,0),1),"")</f>
        <v/>
      </c>
      <c r="BM50" s="259" t="str">
        <f ca="1">IFERROR(INDEX($T$3:$U$220, MATCH(ROWS(BM$3:BM50),$V$3:$V$220,0),2),"")</f>
        <v/>
      </c>
      <c r="BN50" s="259" t="str">
        <f ca="1">IF(IFERROR(INDEX($BI$3:$BJ$220,MATCH(ROWS(BN$3:BN50),$BK$3:$BK$220,0),1),"")="PATRIMONIO NETTO","",IFERROR(INDEX($BI$3:$BJ$220,MATCH(ROWS(BN$3:BN50),$BK$3:$BK$220,0),1),""))</f>
        <v/>
      </c>
      <c r="BO50" s="259" t="str">
        <f ca="1">IFERROR(INDEX($BI$3:$BJ$220,MATCH(ROWS(BO$3:BO50),$BK$3:$BK$220,0),2),"")</f>
        <v/>
      </c>
      <c r="BP50" s="259">
        <f ca="1">IF(BN50&lt;&gt;"",MAX(BP$2:$BP49)+1,0)</f>
        <v>0</v>
      </c>
      <c r="BQ50" s="259" t="str">
        <f ca="1">IFERROR(INDEX($BN$3:$BO$200,MATCH(ROWS(BQ$3:BQ50),$BP$3:$BP$220,0),1),"")</f>
        <v/>
      </c>
      <c r="BR50" s="259" t="str">
        <f ca="1">IFERROR(INDEX($BN$3:$BO$220,MATCH(ROWS(BR$3:BR50),$BP$3:$BP$220,0),2),"")</f>
        <v/>
      </c>
      <c r="BS50" s="259" t="str">
        <f ca="1">IFERROR(IF(OR(INDEX($T$3:$U$220,MATCH(ROWS(BL$3:BL50),$V$3:$V$220,0),1)="PRELEVAMENTI EXTRAGESTIONE",INDEX($T$3:$U$220,MATCH(ROWS(BL$3:BL50),$V$3:$V$220,0),1)="TITOLARE C/RITENUTE SUBITE"),"",INDEX($T$3:$U$220,MATCH(ROWS(BL$3:BL50),$V$3:$V$220,0),1)),"")</f>
        <v/>
      </c>
      <c r="BT50" s="259">
        <f t="shared" ca="1" si="61"/>
        <v>0</v>
      </c>
      <c r="BU50" s="259">
        <f ca="1">IF(BS50&lt;&gt;"",MAX(BU$2:BU49)+1,0)</f>
        <v>0</v>
      </c>
      <c r="BV50" s="259" t="str">
        <f ca="1">IFERROR(INDEX($BS$3:$BT$223,MATCH(ROWS(BV$3:BV50),$BU$3:$BU$223,0),1),"")</f>
        <v/>
      </c>
      <c r="BW50" s="259">
        <f t="shared" ca="1" si="62"/>
        <v>0</v>
      </c>
      <c r="BX50" s="259" t="str">
        <f t="shared" ca="1" si="63"/>
        <v/>
      </c>
      <c r="BY50" s="259" t="str">
        <f t="shared" ca="1" si="64"/>
        <v/>
      </c>
      <c r="BZ50" s="259" t="str">
        <f ca="1">IFERROR(IF(OR($DS$231&lt;&gt;$DT$231,$DU$231&lt;&gt;$DV$231,$EO$25&lt;&gt;0,$EO$26&lt;&gt;0),INDEX($T$3:$V$220,MATCH(ROWS($BV$3:BV50),$V$3:$V$220,0),1),CONCATENATE(BV50,BY50)),"")</f>
        <v/>
      </c>
      <c r="CA50" s="259">
        <f t="shared" ca="1" si="65"/>
        <v>0</v>
      </c>
      <c r="CB50" s="259" t="str">
        <f ca="1">IFERROR(IF(OR($BB$1&lt;&gt;$BD$1,$BC$1&lt;&gt;$BE$1,$DS$231&lt;&gt;$DT$231,$DU$231&lt;&gt;$DV$231,$EO$25&lt;&gt;0,$EO$26&lt;&gt;0),INDEX($BI$3:$BK$220,MATCH(ROWS($CB$3:CB50),$BK$3:$BK$220,0),1),CONCATENATE(BQ50,BX50)),"")</f>
        <v/>
      </c>
      <c r="CC50" s="259" t="str">
        <f t="shared" ca="1" si="66"/>
        <v/>
      </c>
      <c r="CD50" s="259" t="str">
        <f t="shared" si="6"/>
        <v/>
      </c>
      <c r="CE50" s="259">
        <f ca="1">IF(IFERROR(MATCH(CD50,DENOMINAZIONE_GIORNALE,0),0)&gt;0,MAX(CE$2:CE49)+1,0)</f>
        <v>0</v>
      </c>
      <c r="CF50" s="259" t="str">
        <f ca="1">IFERROR(INDEX($CD$3:$CE$220,MATCH(ROWS($CF$3:CF50),$CE$3:$CE$220,0),1),"")</f>
        <v/>
      </c>
      <c r="CG50" s="259">
        <f t="shared" ca="1" si="7"/>
        <v>0</v>
      </c>
      <c r="CH50" s="259" t="str">
        <f ca="1">IF(IF(CG50&lt;&gt;0,MAX($CH$2:CH49)+1,0)=0,"",IF(CG50&lt;&gt;"",MAX($CH$2:CH49)+1,0))</f>
        <v/>
      </c>
      <c r="CI50" s="259" t="str">
        <f ca="1">IFERROR(INDEX($CF$3:$CG$220,MATCH(ROWS($CI$3:CI50),$CH$3:$CH$220,0),1),"")</f>
        <v/>
      </c>
      <c r="CJ50" s="259" t="str">
        <f t="shared" ca="1" si="67"/>
        <v/>
      </c>
      <c r="CK50" s="259" t="str">
        <f t="shared" si="8"/>
        <v/>
      </c>
      <c r="CL50" s="259">
        <f ca="1">IF(IFERROR(MATCH(CK50,DENOMINAZIONE_GIORNALE,0),0)&gt;0,MAX(CL$2:CL49)+1,0)</f>
        <v>0</v>
      </c>
      <c r="CM50" s="259" t="str">
        <f ca="1">IFERROR(INDEX($CK$3:$CL$220,MATCH(ROWS($CM$3:CM50),$CL$3:$CL$220,0),1),"")</f>
        <v/>
      </c>
      <c r="CN50" s="259" t="str">
        <f t="shared" ca="1" si="9"/>
        <v/>
      </c>
      <c r="CO50" s="259">
        <f ca="1">IF(IF(CN50&lt;&gt;0,MAX($CO$2:CO49)+1,0)=0,"",IF(CN50&lt;&gt;"",MAX($CO$2:CO49)+1,0))</f>
        <v>0</v>
      </c>
      <c r="CP50" s="259" t="str">
        <f ca="1">IFERROR(INDEX($CM$3:$CN$220,MATCH(ROWS(CP$3:CP50),$CO$3:$CO$220,0),1),"")</f>
        <v/>
      </c>
      <c r="CQ50" s="259" t="str">
        <f ca="1">IFERROR(INDEX($CM$3:$CN$220,MATCH(ROWS(CQ$3:CQ50),$CO$3:$CO$220,0),2),"")</f>
        <v/>
      </c>
      <c r="CR50" s="259" t="str">
        <f t="shared" ca="1" si="154"/>
        <v/>
      </c>
      <c r="CS50" s="259">
        <f t="shared" ca="1" si="11"/>
        <v>0</v>
      </c>
      <c r="CT50" s="259">
        <f t="shared" ca="1" si="12"/>
        <v>0</v>
      </c>
      <c r="CU50" s="259">
        <f ca="1">IF(OR(CS50&gt;0,CT50&gt;0),MAX($CU$2:CU49)+1,0)</f>
        <v>0</v>
      </c>
      <c r="CV50" s="259" t="str">
        <f ca="1">IFERROR(INDEX(PIANO_DEI_CONTI,MATCH(ROWS($CV$3:CV50),$CU$3:$CU$200,0),2),"")</f>
        <v/>
      </c>
      <c r="CW50" s="259">
        <f ca="1">IFERROR(IF(CV50&lt;&gt;"",MAX($CW$2:CW49)+1,0),0)</f>
        <v>0</v>
      </c>
      <c r="CX50" s="259">
        <f t="shared" ca="1" si="162"/>
        <v>3</v>
      </c>
      <c r="CY50" s="259" t="str">
        <f t="shared" ca="1" si="161"/>
        <v>MASTRO</v>
      </c>
      <c r="CZ50" s="259" t="e">
        <f t="shared" ca="1" si="164"/>
        <v>#N/A</v>
      </c>
      <c r="DA50" s="259" t="str">
        <f t="shared" ca="1" si="169"/>
        <v/>
      </c>
      <c r="DB50" s="259" t="str">
        <f t="shared" ca="1" si="165"/>
        <v/>
      </c>
      <c r="DC50" s="259" t="str">
        <f t="shared" ca="1" si="166"/>
        <v/>
      </c>
      <c r="DD50" s="259" t="str">
        <f t="shared" ca="1" si="167"/>
        <v/>
      </c>
      <c r="DE50" s="259" t="str">
        <f t="shared" ca="1" si="168"/>
        <v/>
      </c>
      <c r="DF50" s="259">
        <f ca="1">IF(AND(CX50=$DE$2,$DF$2&lt;&gt;0),0,IF(AND(DB50&lt;&gt;"",OR(DB49&lt;&gt;"",DB51&lt;&gt;"")),MAX($DF$2:DF49)+1,0))</f>
        <v>0</v>
      </c>
      <c r="DG50" s="259" t="str">
        <f>IF(OR(VALORI_INIZIALI!E55="",AND(VALORI_INIZIALI!E55&lt;&gt;"",VALORI_INIZIALI!H55=0,VALORI_INIZIALI!I55=0)),"",IFERROR(INDEX(PIANO_DEI_CONTI,MATCH(BB50,DENOMINAZIONE,0),1),0))</f>
        <v/>
      </c>
      <c r="DH50" s="259">
        <f ca="1">IFERROR(IF($J$1=1,IF(INDEX(PIANO_DEI_CONTI,MATCH($K50,DENOMINAZIONE,0),5)=$DF$1,MAX($DH$2:DH49)+1,0),IF($J$1=2,IF(INDEX(PIANO_DEI_CONTI,MATCH($K50,DENOMINAZIONE,0),7)=$DF$1,MAX($DH$2:DH49)+1,0))),0)</f>
        <v>0</v>
      </c>
      <c r="DI50" s="259">
        <f ca="1">IFERROR(INDEX($K$3:$K$220,MATCH(ROWS($DI$3:DI50),$DH$3:$DH$220,0),1),0)</f>
        <v>0</v>
      </c>
      <c r="DJ50" s="259">
        <f t="shared" ca="1" si="14"/>
        <v>0</v>
      </c>
      <c r="DK50" s="259">
        <f ca="1">IF(DJ50=0,0,MAX(DK$2:DK49)+1)</f>
        <v>0</v>
      </c>
      <c r="DL50" s="259">
        <f ca="1">IFERROR(INDEX(PIANO_DEI_CONTI,MATCH(ROWS(DL$3:DL50),$DK$3:DK277,0),2),0)</f>
        <v>0</v>
      </c>
      <c r="DM50" s="259">
        <f t="shared" ca="1" si="15"/>
        <v>0</v>
      </c>
      <c r="DN50" s="259">
        <f t="shared" ca="1" si="16"/>
        <v>0</v>
      </c>
      <c r="DO50" s="259">
        <f t="shared" ca="1" si="69"/>
        <v>0</v>
      </c>
      <c r="DP50" s="259">
        <f t="shared" ca="1" si="70"/>
        <v>0</v>
      </c>
      <c r="DQ50" s="259">
        <f ca="1">IF(OR($DQ$1="TOTALI",$DQ$1="TOTALI ED ECCEDENZE"),IF(OR(DM50&gt;0,DN50&gt;0),MAX(DQ$2:DQ49)+1,0),IF($DQ$1="ECCEDENZE",IF(OR(DO50&gt;0,DP50&gt;0),MAX(DQ$2:DQ49)+1,0),""))</f>
        <v>0</v>
      </c>
      <c r="DR50" s="259" t="str">
        <f ca="1">IFERROR(INDEX($DL$3:$DQ$230,MATCH(ROWS(DR$3:DR50),$DQ$3:$DQ$230,0),1),"")</f>
        <v/>
      </c>
      <c r="DS50" s="259" t="str">
        <f t="shared" ca="1" si="71"/>
        <v/>
      </c>
      <c r="DT50" s="259" t="str">
        <f t="shared" ca="1" si="72"/>
        <v/>
      </c>
      <c r="DU50" s="259" t="str">
        <f t="shared" ca="1" si="73"/>
        <v/>
      </c>
      <c r="DV50" s="259" t="str">
        <f t="shared" ca="1" si="74"/>
        <v/>
      </c>
      <c r="DW50" s="259">
        <f t="shared" ca="1" si="75"/>
        <v>0</v>
      </c>
      <c r="DX50" s="259" t="str">
        <f t="shared" ca="1" si="76"/>
        <v/>
      </c>
      <c r="DY50" s="259" t="str">
        <f t="shared" ca="1" si="77"/>
        <v/>
      </c>
      <c r="DZ50" s="259" t="str">
        <f t="shared" ca="1" si="78"/>
        <v/>
      </c>
      <c r="EA50" s="259">
        <f t="shared" ca="1" si="79"/>
        <v>48</v>
      </c>
      <c r="EB50" s="259" t="s">
        <v>403</v>
      </c>
      <c r="ED50" s="259">
        <f t="shared" ca="1" si="17"/>
        <v>0</v>
      </c>
      <c r="EE50" s="259" t="str">
        <f t="shared" ca="1" si="155"/>
        <v/>
      </c>
      <c r="EF50" s="259" t="str">
        <f t="shared" ca="1" si="19"/>
        <v/>
      </c>
      <c r="EG50" s="259" t="str">
        <f t="shared" ca="1" si="136"/>
        <v/>
      </c>
      <c r="EH50" s="259" t="str">
        <f t="shared" ca="1" si="80"/>
        <v/>
      </c>
      <c r="EI50" s="260" t="b">
        <f t="shared" ca="1" si="137"/>
        <v>0</v>
      </c>
      <c r="EJ50" s="260" t="b">
        <f t="shared" ca="1" si="138"/>
        <v>1</v>
      </c>
      <c r="EK50" s="260" t="b">
        <f t="shared" ca="1" si="139"/>
        <v>1</v>
      </c>
      <c r="EL50" s="259">
        <f t="shared" si="81"/>
        <v>48</v>
      </c>
      <c r="EM50" s="259">
        <f ca="1">IF(AND(BA50&gt;0,BA50&lt;=$EM$1),MAX($EM$2:EM49)+1,0)</f>
        <v>0</v>
      </c>
      <c r="EN50" s="259">
        <f t="shared" ca="1" si="82"/>
        <v>50</v>
      </c>
      <c r="EP50" s="259" t="str">
        <f t="shared" ca="1" si="20"/>
        <v/>
      </c>
      <c r="EQ50" s="259">
        <f t="shared" ca="1" si="21"/>
        <v>0</v>
      </c>
      <c r="ER50" s="259">
        <f ca="1">IF(ISNA(EQ50),MAX(ER$2:ER49)+1,0)</f>
        <v>0</v>
      </c>
      <c r="ES50" s="259" t="str">
        <f t="shared" ca="1" si="83"/>
        <v/>
      </c>
      <c r="ET50" s="259" t="str">
        <f ca="1">IFERROR(UPPER(INDEX($ER$3:$ES$500,MATCH(ROWS(ET$3:ET50),$ER$3:$ER$500,0),2)),"")</f>
        <v/>
      </c>
      <c r="EY50" s="259">
        <f t="shared" ca="1" si="84"/>
        <v>0</v>
      </c>
      <c r="EZ50" s="259">
        <f t="shared" ca="1" si="84"/>
        <v>0</v>
      </c>
      <c r="FA50" s="259" t="str">
        <f t="shared" ca="1" si="85"/>
        <v/>
      </c>
      <c r="FB50" s="259">
        <f t="shared" ca="1" si="86"/>
        <v>0</v>
      </c>
      <c r="FC50" s="259">
        <f t="shared" ca="1" si="87"/>
        <v>0</v>
      </c>
      <c r="FD50" s="259">
        <f t="shared" ca="1" si="22"/>
        <v>0</v>
      </c>
      <c r="FE50" s="259" t="str">
        <f t="shared" ca="1" si="23"/>
        <v/>
      </c>
      <c r="FF50" s="259" t="str">
        <f t="shared" ca="1" si="88"/>
        <v/>
      </c>
      <c r="FG50" s="259" t="str">
        <f t="shared" si="89"/>
        <v>BANCHE C/C ATTIVI</v>
      </c>
      <c r="FH50" s="259">
        <f t="shared" ca="1" si="156"/>
        <v>0</v>
      </c>
      <c r="FI50" s="259">
        <f t="shared" ca="1" si="25"/>
        <v>0</v>
      </c>
      <c r="FJ50" s="259">
        <f t="shared" ca="1" si="90"/>
        <v>0</v>
      </c>
      <c r="FK50" s="259">
        <f t="shared" ca="1" si="91"/>
        <v>0</v>
      </c>
      <c r="FL50" s="259">
        <f ca="1">IF(OR(FJ50&gt;0,FK50&gt;0),MAX($FL$2:FL49)+1,0)</f>
        <v>0</v>
      </c>
      <c r="FM50" s="259">
        <f t="shared" ca="1" si="26"/>
        <v>0</v>
      </c>
      <c r="FN50" s="259">
        <f ca="1">IF(FM50&lt;0,MAX($FN$2:FN49)+1,0)</f>
        <v>0</v>
      </c>
      <c r="FO50" s="259" t="str">
        <f t="shared" ca="1" si="92"/>
        <v/>
      </c>
      <c r="FP50" s="259" t="str">
        <f ca="1">IFERROR(INDEX($FN$3:$FO$400,MATCH(ROWS($FP$3:FP50),$FN$3:$FN$400,0),2),"")</f>
        <v/>
      </c>
      <c r="FQ50" s="259" t="str">
        <f>IF(AE50="SE AVERE",MAX($FQ$2:FQ49)+1,"")</f>
        <v/>
      </c>
      <c r="FR50" s="259" t="str">
        <f>IF(AE50="SE DARE",MAX($FR$2:FR49)+1,"")</f>
        <v/>
      </c>
      <c r="FS50" s="259">
        <f ca="1">IF(AND(AE50="SP DARE",AA50&lt;&gt;$FS$1,AA50&lt;&gt;$FT$1),MAX($FS$2:FS49)+1,IF(AND(GQ50="SP DARE",AA50&lt;&gt;$FS$1,AA50&lt;&gt;$FT$1),MAX($FS$2:FS49)+1,""))</f>
        <v>125</v>
      </c>
      <c r="FT50" s="259" t="str">
        <f ca="1">IF(AND(AE50="SP AVERE",AA50&lt;&gt;$FU$1),MAX($FT$2:FT49)+1,IF(AND(GQ50="SP AVERE",AA50&lt;&gt;$FU$1),MAX($FT$2:FT49)+1,""))</f>
        <v/>
      </c>
      <c r="FU50" s="259">
        <f t="shared" ca="1" si="93"/>
        <v>125</v>
      </c>
      <c r="FV50" s="259" t="str">
        <f t="shared" si="94"/>
        <v>BANCHE C/C ATTIVI</v>
      </c>
      <c r="FW50" s="259" t="str">
        <f ca="1">IFERROR(INDEX($FU$3:$FV$500,MATCH(ROWS($FW$3:FW50),$FU$3:$FU$500,0),2),0)</f>
        <v>TFR</v>
      </c>
      <c r="FX50" s="259">
        <f t="shared" ca="1" si="95"/>
        <v>48</v>
      </c>
      <c r="FY50" s="259">
        <f t="shared" ca="1" si="96"/>
        <v>0</v>
      </c>
      <c r="FZ50" s="259">
        <f ca="1">IF(FY50&gt;0,MAX($FZ$2:FZ49)+1,0)</f>
        <v>0</v>
      </c>
      <c r="GA50" s="259">
        <f ca="1">IFERROR(INDEX($FY$3:$FZ$500,MATCH(ROWS($GA$3:GA50),$FZ$3:$FZ$500,0),1),0)</f>
        <v>0</v>
      </c>
      <c r="GC50" s="259">
        <f t="shared" ca="1" si="97"/>
        <v>48</v>
      </c>
      <c r="GD50" s="259" t="str">
        <f t="shared" ca="1" si="98"/>
        <v>TFR</v>
      </c>
      <c r="GG50" s="259">
        <f t="shared" ca="1" si="27"/>
        <v>0</v>
      </c>
      <c r="GH50" s="259">
        <f t="shared" ca="1" si="99"/>
        <v>0</v>
      </c>
      <c r="GI50" s="259">
        <f t="shared" ca="1" si="100"/>
        <v>0</v>
      </c>
      <c r="GJ50" s="259">
        <f t="shared" ca="1" si="101"/>
        <v>0</v>
      </c>
      <c r="GK50" s="259">
        <f t="shared" ca="1" si="102"/>
        <v>0</v>
      </c>
      <c r="GL50" s="259">
        <f t="shared" ca="1" si="103"/>
        <v>0</v>
      </c>
      <c r="GM50" s="259">
        <f ca="1">IF(OR(GK50&gt;0,GL50&gt;0),MAX($GM$2:GM49)+1,0)</f>
        <v>0</v>
      </c>
      <c r="GN50" s="259" t="str">
        <f ca="1">IFERROR(INDEX($GD$3:$GM$400,MATCH(ROWS($GN$3:GN50),$GM$3:$GM$400,0),1),"")</f>
        <v/>
      </c>
      <c r="GO50" s="259" t="str">
        <f ca="1">IFERROR(INDEX($GD$3:$GM$400,MATCH(ROWS($GO$3:GO50),$GM$3:$GM$400,0),8),"")</f>
        <v/>
      </c>
      <c r="GP50" s="259" t="str">
        <f ca="1">IFERROR(INDEX($GD$3:$GM$400,MATCH(ROWS($GP$3:GP50),$GM$3:$GM$400,0),9),"")</f>
        <v/>
      </c>
      <c r="GQ50" s="259">
        <f t="shared" ca="1" si="28"/>
        <v>0</v>
      </c>
      <c r="GR50" s="259">
        <f t="shared" ca="1" si="104"/>
        <v>0</v>
      </c>
      <c r="GS50" s="259" t="str">
        <f t="shared" si="105"/>
        <v>epilogo a Conto economico</v>
      </c>
      <c r="GT50" s="259" t="str">
        <f ca="1">IFERROR(INDEX($GD$3:$GS$400,MATCH(ROWS($GT$3:GT50),$GM$3:$GM$400,0),16),"")</f>
        <v/>
      </c>
      <c r="GU50" s="259">
        <f ca="1">IF(GQ50&lt;&gt;0,MAX($GU$2:$GU49)+1,0)</f>
        <v>0</v>
      </c>
      <c r="GV50" s="259">
        <f t="shared" ca="1" si="106"/>
        <v>0</v>
      </c>
      <c r="GW50" s="259" t="str">
        <f ca="1">IF(AND(IFERROR(INDEX($GU$3:$GV$400,MATCH(ROWS($GW$3:GW50),$GU$3:$GU$400,0),2),"")&lt;&gt;"",GW51&lt;&gt;""),CONCATENATE(IFERROR(INDEX($GU$3:$GV$400,MATCH(ROWS($GW$3:GW50),$GU$3:$GU$400,0),2),"")," - "),IFERROR(INDEX($GU$3:$GV$400,MATCH(ROWS($GW$3:GW50),$GU$3:$GU$400,0),2),""))</f>
        <v/>
      </c>
      <c r="GX50" s="259">
        <f ca="1">IF(OR(GN50="IVA NS/CREDITO",GN50="IVA NS/DEBITO",GN50="IVA C/ACCONTO",GN50="IMPOSTE C/ACCONTO"),MAX($GX$2:GX49)+1,0)</f>
        <v>0</v>
      </c>
      <c r="GY50" s="259" t="str">
        <f ca="1">IF(AND(IFERROR(INDEX($GN$3:$GX$200,MATCH(ROWS($GY$3:GY50),$GX$3:$GX$200,0),1),"")&lt;&gt;"",GY51&lt;&gt;""),CONCATENATE(IFERROR(INDEX($GN$3:$GX$200,MATCH(ROWS($GY$3:GY50),$GX$3:$GX$200,0),1),"")," - "),IFERROR(INDEX($GN$3:$GX$200,MATCH(ROWS($GY$3:GY50),$GX$3:$GX$200,0),1),""))</f>
        <v/>
      </c>
      <c r="GZ50" s="259" t="s">
        <v>632</v>
      </c>
      <c r="HA50" s="259" t="s">
        <v>68</v>
      </c>
      <c r="HB50" s="269" t="s">
        <v>257</v>
      </c>
      <c r="HC50" s="269" t="s">
        <v>276</v>
      </c>
      <c r="HD50" s="269" t="s">
        <v>6</v>
      </c>
      <c r="HE50" s="269" t="s">
        <v>206</v>
      </c>
      <c r="HL50" s="259" t="str">
        <f t="shared" ca="1" si="157"/>
        <v/>
      </c>
      <c r="HM50" s="259" t="str">
        <f t="shared" ca="1" si="158"/>
        <v/>
      </c>
      <c r="HN50" s="259" t="str">
        <f t="shared" ca="1" si="159"/>
        <v/>
      </c>
      <c r="HO50" s="259">
        <f ca="1">IF(HL50&lt;&gt;"",MAX($HO$2:HO49)+1,0)</f>
        <v>0</v>
      </c>
      <c r="HP50" s="259">
        <f ca="1">IF(HM50&lt;&gt;"",MAX($HP$2:HP49)+1,0)</f>
        <v>0</v>
      </c>
      <c r="HQ50" s="259">
        <f ca="1">IF(HN50&lt;&gt;"",MAX($HQ$2:HQ49)+1,0)</f>
        <v>0</v>
      </c>
      <c r="HR50" s="259" t="str">
        <f t="shared" ca="1" si="107"/>
        <v/>
      </c>
      <c r="HS50" s="259" t="str">
        <f t="shared" ca="1" si="108"/>
        <v/>
      </c>
      <c r="HT50" s="259">
        <f t="shared" ca="1" si="109"/>
        <v>0</v>
      </c>
      <c r="HU50" s="259">
        <f t="shared" ca="1" si="110"/>
        <v>0</v>
      </c>
      <c r="HV50" s="259" t="str">
        <f ca="1">CONCATENATE(IFERROR(INDEX($HS$3:$HT$102,MATCH(ROWS($HV$3:HV50),$HT$3:$HT$102,0),1),""),HR50)</f>
        <v/>
      </c>
      <c r="IA50" s="259" t="s">
        <v>370</v>
      </c>
      <c r="IB50" s="259" t="s">
        <v>311</v>
      </c>
      <c r="IC50" s="259">
        <f ca="1">IFERROR(INDEX(PIANO_DEI_CONTI,MATCH(ROWS(DL$3:DL50),$DK$3:DK277,0),2),0)</f>
        <v>0</v>
      </c>
      <c r="ID50" s="259">
        <f t="shared" ca="1" si="111"/>
        <v>0</v>
      </c>
      <c r="IE50" s="259">
        <f t="shared" ca="1" si="112"/>
        <v>0</v>
      </c>
      <c r="IF50" s="259">
        <f t="shared" ca="1" si="113"/>
        <v>0</v>
      </c>
      <c r="IG50" s="259">
        <f ca="1">ROUND(SUMIFS($ID$3:$ID$200,$IF$3:$IF$200,IA50),0)</f>
        <v>0</v>
      </c>
      <c r="IH50" s="259">
        <f ca="1">IF(IG50&lt;&gt;0,MAX($IH$35:IH49)+1,0)</f>
        <v>0</v>
      </c>
      <c r="II50" s="259">
        <f>IF(AD50="costi pluriennali",MAX($II$2:II49)+1,0)</f>
        <v>0</v>
      </c>
      <c r="IJ50" s="259">
        <f>IF($AD50="rettifiche costi pluriennali",MAX($IJ$2:IJ49)+1,0)</f>
        <v>0</v>
      </c>
      <c r="IK50" s="259">
        <f t="shared" si="114"/>
        <v>0</v>
      </c>
      <c r="IL50" s="259" t="str">
        <f t="shared" si="115"/>
        <v/>
      </c>
      <c r="IM50" s="259">
        <f t="shared" ca="1" si="116"/>
        <v>0</v>
      </c>
      <c r="IN50" s="259">
        <f t="shared" ca="1" si="141"/>
        <v>0</v>
      </c>
      <c r="IO50" s="259">
        <f>SUMIFS($IM$3:$IM$200,$IK$3:$IK$200,ROWS($IO$3:IO50))-SUMIFS($IN$3:$IN$200,$IK$3:$IK$200,ROWS($IO$3:IO50))</f>
        <v>0</v>
      </c>
      <c r="IP50" s="259" t="str">
        <f>IF(IO50&lt;0,INDEX($IJ$3:$IL$200,MATCH(ROWS($IP$3:IP50),$IJ$3:$IJ$200,0),3),"")</f>
        <v/>
      </c>
      <c r="IQ50" s="259">
        <f>IF(IP50&lt;&gt;"",MAX($IQ$2:IQ49)+1,0)</f>
        <v>0</v>
      </c>
      <c r="IR50" s="259" t="str">
        <f ca="1">IFERROR(INDEX($IP$3:$IQ$200,MATCH(ROWS($IR$3:IR50),$IQ$3:$IQ$200,0),1),"")</f>
        <v/>
      </c>
      <c r="IS50" s="259" t="str">
        <f t="shared" ca="1" si="117"/>
        <v/>
      </c>
      <c r="IT50" s="259" t="str">
        <f t="shared" ca="1" si="118"/>
        <v/>
      </c>
      <c r="IU50" s="259" t="str">
        <f t="shared" ca="1" si="119"/>
        <v/>
      </c>
      <c r="IV50" s="259" t="str">
        <f t="shared" ca="1" si="120"/>
        <v/>
      </c>
      <c r="IW50" s="259" t="str">
        <f t="shared" ca="1" si="121"/>
        <v/>
      </c>
      <c r="IX50" s="259" t="str">
        <f t="shared" ca="1" si="122"/>
        <v/>
      </c>
      <c r="IY50" s="259" t="str">
        <f t="shared" ca="1" si="123"/>
        <v/>
      </c>
      <c r="IZ50" s="259" t="str">
        <f t="shared" ca="1" si="124"/>
        <v/>
      </c>
      <c r="JA50" s="259" t="str">
        <f t="shared" ca="1" si="125"/>
        <v/>
      </c>
      <c r="JB50" s="259">
        <f t="shared" ca="1" si="32"/>
        <v>0</v>
      </c>
      <c r="JC50" s="259">
        <f t="shared" ca="1" si="126"/>
        <v>0</v>
      </c>
      <c r="JE50" s="259">
        <f ca="1">IFERROR(INDEX(LIBRO_GIORNALE!$N$11:$O$408,MATCH(ROWS($JE$2:JE49),LIBRO_GIORNALE!$O$11:$O$408,0),1),0)</f>
        <v>0</v>
      </c>
      <c r="JF50" s="259" t="str">
        <f t="shared" ca="1" si="127"/>
        <v>0</v>
      </c>
      <c r="JG50" s="259">
        <f t="shared" ca="1" si="128"/>
        <v>0</v>
      </c>
      <c r="JH50" s="259">
        <f ca="1">IF(JJ50&gt;0,0,MAX($JH$2:JH49)+1)</f>
        <v>48</v>
      </c>
      <c r="JI50" s="259">
        <f ca="1">IF(JG50&gt;0,MAX($JI$2:JI49)+1,0)</f>
        <v>0</v>
      </c>
      <c r="JJ50" s="259">
        <f ca="1">IFERROR(INDEX($JG$3:$JI$124,MATCH(ROWS($JJ$3:JJ50),$JI$3:$JI$124,0),1),0)</f>
        <v>0</v>
      </c>
      <c r="JK50" s="259">
        <f t="shared" ca="1" si="129"/>
        <v>0</v>
      </c>
      <c r="JL50" s="259">
        <f t="shared" ca="1" si="130"/>
        <v>48</v>
      </c>
    </row>
    <row r="51" spans="1:272">
      <c r="A51" s="259" t="str">
        <f t="shared" si="33"/>
        <v>06.03</v>
      </c>
      <c r="B51" s="259" t="str">
        <f t="shared" si="34"/>
        <v>CREDITI PER IVA</v>
      </c>
      <c r="C51" s="259" t="str">
        <f t="shared" si="35"/>
        <v>F</v>
      </c>
      <c r="D51" s="259" t="str">
        <f t="shared" si="36"/>
        <v>D</v>
      </c>
      <c r="E51" s="259" t="str">
        <f t="shared" si="37"/>
        <v>CREDITI</v>
      </c>
      <c r="F51" s="259" t="str">
        <f t="shared" si="38"/>
        <v>SP DARE</v>
      </c>
      <c r="G51" s="259">
        <f t="shared" ca="1" si="39"/>
        <v>0</v>
      </c>
      <c r="H51" s="259">
        <f t="shared" ca="1" si="40"/>
        <v>0</v>
      </c>
      <c r="I51" s="259">
        <f t="shared" ca="1" si="41"/>
        <v>1</v>
      </c>
      <c r="K51" s="259" t="str">
        <f ca="1">IFERROR(IF($I$1=1,INDEX($AA$3:$AS$220,MATCH(ROWS($K$3:K51),$AQ$3:$AQ$220,0),1),IF($I$1=2,INDEX($AA$3:$AS$220,MATCH(ROWS($K$3:K51),$AR$3:$AR$220,0),1),IF($I$1=3,INDEX($AA$3:$AS$220,MATCH(ROWS($K$3:K51),$AS$3:$AS$220,0),1),""))),"")</f>
        <v>C/C POSTALI</v>
      </c>
      <c r="L51" s="259">
        <f ca="1">IF(AND($L$1="VISUALIZZA TUTTI I CONTI",K51&lt;&gt;""),MAX(L50:L50)+1,IFERROR(IF($J$1=1,IF(INDEX(PIANO_DEI_CONTI,MATCH($K51,DENOMINAZIONE,0),5)=$L$1,MAX($L$2:L50)+1,0),IF($J$1=2,IF(INDEX(PIANO_DEI_CONTI,MATCH($K51,DENOMINAZIONE,0),7)=$L$1,MAX($L$2:L50)+1,0))),0))</f>
        <v>49</v>
      </c>
      <c r="M51" s="259" t="str">
        <f ca="1">IFERROR(INDEX($K$3:$K$220,MATCH(ROWS($M$3:M51),$L$3:$L$220,0),1),"")</f>
        <v>C/C POSTALI</v>
      </c>
      <c r="N51" s="259" t="str">
        <f t="shared" si="143"/>
        <v/>
      </c>
      <c r="O51" s="259" t="str">
        <f t="shared" ca="1" si="170"/>
        <v/>
      </c>
      <c r="P51" s="259">
        <f ca="1">IF(AND(N51=O51,O51&lt;&gt;""),MAX(P$2:P50)+1,0)</f>
        <v>0</v>
      </c>
      <c r="Q51" s="259" t="str">
        <f ca="1">IF(IFERROR(INDEX($O$3:$P$220,MATCH(ROWS(Q$3:Q51),$P$3:$P$220,0),1),"")=0,"",IFERROR(INDEX($O$3:$P$220,MATCH(ROWS(Q$3:Q51),$P$3:$P$220,0),1),""))</f>
        <v/>
      </c>
      <c r="R51" s="259" t="str">
        <f t="shared" si="1"/>
        <v>C/C POSTALI</v>
      </c>
      <c r="S51" s="259">
        <f ca="1">IF(IFERROR(MATCH(R51,DENOMINAZIONE_GIORNALE,0),0)&gt;0,MAX(S$2:S50)+1,0)</f>
        <v>0</v>
      </c>
      <c r="T51" s="259" t="str">
        <f ca="1">IFERROR(INDEX($R$3:$S$220,MATCH(ROWS($T$3:T51),$S$3:$S$220,0),1),"")</f>
        <v/>
      </c>
      <c r="U51" s="259">
        <f t="shared" ca="1" si="2"/>
        <v>0</v>
      </c>
      <c r="V51" s="259">
        <f ca="1">IF(IF(U51&lt;&gt;0,MAX($V$2:V50)+1,0)=0,0,IF(U51&lt;&gt;0,MAX($V$2:V50)+1,0))</f>
        <v>0</v>
      </c>
      <c r="W51" s="259" t="str">
        <f t="shared" si="43"/>
        <v>06.03</v>
      </c>
      <c r="X51" s="259" t="str">
        <f t="shared" si="44"/>
        <v>CREDITI PER IVA</v>
      </c>
      <c r="Y51" s="259">
        <f>IF(W51="",0,MAX($Y$2:Y50)+1)</f>
        <v>43</v>
      </c>
      <c r="Z51" s="259" t="str">
        <f>IFERROR(INDEX($W$3:$Y$220,MATCH(ROWS($Z$2:Z50),$Y$3:$Y$220,0),1),"")</f>
        <v>08.02</v>
      </c>
      <c r="AA51" s="259" t="str">
        <f t="shared" si="45"/>
        <v>C/C POSTALI</v>
      </c>
      <c r="AB51" s="259" t="str">
        <f t="shared" si="46"/>
        <v>F</v>
      </c>
      <c r="AC51" s="259" t="str">
        <f t="shared" si="47"/>
        <v>D</v>
      </c>
      <c r="AD51" s="259" t="str">
        <f>IFERROR(INDEX($A$3:$I$220,MATCH($Z51,$A$3:$A$220,0),5),"")</f>
        <v>DISPONIBILITÀ LIQUIDE</v>
      </c>
      <c r="AE51" s="259" t="str">
        <f t="shared" si="49"/>
        <v>SP DARE</v>
      </c>
      <c r="AF51" s="259" t="str">
        <f t="shared" si="50"/>
        <v>DISPONIBILITÀ LIQUIDE</v>
      </c>
      <c r="AG51" s="259">
        <f t="shared" ca="1" si="51"/>
        <v>1</v>
      </c>
      <c r="AH51" s="259">
        <f t="shared" ca="1" si="52"/>
        <v>1</v>
      </c>
      <c r="AI51" s="259">
        <f t="shared" ca="1" si="53"/>
        <v>1</v>
      </c>
      <c r="AJ51" s="259" t="str">
        <f t="shared" si="54"/>
        <v>08</v>
      </c>
      <c r="AK51" s="259" t="str">
        <f t="shared" si="55"/>
        <v/>
      </c>
      <c r="AL51" s="259">
        <f>IF(AK51&lt;&gt;"",MAX($AL$2:AL50)+1,0)</f>
        <v>0</v>
      </c>
      <c r="AM51" s="259" t="str">
        <f>IFERROR(INDEX($AK$3:$AL$220,MATCH(ROWS($AM$3:AM51),$AL$3:$AL$220,0),1),"")</f>
        <v/>
      </c>
      <c r="AN51" s="259" t="str">
        <f t="shared" si="56"/>
        <v/>
      </c>
      <c r="AO51" s="259" t="str">
        <f t="shared" si="57"/>
        <v/>
      </c>
      <c r="AP51" s="259" t="str">
        <f t="shared" si="58"/>
        <v>DISPONIBILITÀ LIQUIDE</v>
      </c>
      <c r="AQ51" s="259">
        <f ca="1">IF(OR(AG51=0,AG51=""),0,MAX(AQ$2:AQ50)+1)</f>
        <v>27</v>
      </c>
      <c r="AR51" s="259">
        <f ca="1">IF(OR(AH51=0,AH51=""),0,MAX(AR$2:AR50)+1)</f>
        <v>40</v>
      </c>
      <c r="AS51" s="259">
        <f ca="1">IF(OR(AI51=0,AI51=""),0,MAX(AS$2:AS50)+1)</f>
        <v>49</v>
      </c>
      <c r="AT51" s="259" t="str">
        <f ca="1">IFERROR(INDEX($AD$3:$AS$220,MATCH(ROWS(AT$3:AT51),AQ$3:AQ$220,0),1),"")</f>
        <v>RETTIFICHE RICAVI D'ESERCIZIO</v>
      </c>
      <c r="AU51" s="259" t="str">
        <f ca="1">IFERROR(INDEX($AD$3:$AS$220,MATCH(ROWS(AU$3:AU51),AR$3:AR$220,0),1),"")</f>
        <v>DEBITI</v>
      </c>
      <c r="AV51" s="259" t="str">
        <f ca="1">IFERROR(INDEX($AD$3:$AS$220,MATCH(ROWS(AV$3:AV51),AS$3:AS$220,0),1),"")</f>
        <v>DISPONIBILITÀ LIQUIDE</v>
      </c>
      <c r="AW51" s="259" t="str">
        <f ca="1">IFERROR(INDEX($AP$3:$AS$220,MATCH(ROWS(AW$3:AW51),AQ$3:AQ$220,0),1),"")</f>
        <v>VALORE DELLA PRODUZIONE</v>
      </c>
      <c r="AX51" s="259" t="str">
        <f ca="1">IFERROR(INDEX($AP$3:$AS$220,MATCH(ROWS(AX$3:AX51),AR$3:AR$220,0),1),"")</f>
        <v>DEBITI FINANZIARI</v>
      </c>
      <c r="AY51" s="259" t="str">
        <f ca="1">IFERROR(INDEX($AP$3:$AS$220,MATCH(ROWS(AY$3:AY51),AS$3:AS$220,0),1),"")</f>
        <v>DISPONIBILITÀ LIQUIDE</v>
      </c>
      <c r="AZ51" s="276" t="str">
        <f t="shared" ca="1" si="59"/>
        <v/>
      </c>
      <c r="BA51" s="259">
        <f t="shared" ca="1" si="153"/>
        <v>0</v>
      </c>
      <c r="BB51" s="259">
        <f ca="1">IFERROR(INDEX($FG$3:$FL$400,MATCH(ROWS($BB$3:BB51),$FL$3:$FL$400,0),1),0)</f>
        <v>0</v>
      </c>
      <c r="BC51" s="259" t="str">
        <f t="shared" ca="1" si="60"/>
        <v/>
      </c>
      <c r="BD51" s="259">
        <f ca="1">IFERROR(INDEX($FG$3:$FL$400,MATCH(ROWS($BD$3:BD51),$FL$3:$FL$400,0),4),0)</f>
        <v>0</v>
      </c>
      <c r="BE51" s="259">
        <f ca="1">IFERROR(INDEX($FG$3:$FL$400,MATCH(ROWS($BE$3:BE51),$FL$3:$FL$400,0),5),0)</f>
        <v>0</v>
      </c>
      <c r="BG51" s="259" t="str">
        <f t="shared" si="4"/>
        <v/>
      </c>
      <c r="BH51" s="259">
        <f ca="1">IF(IFERROR(MATCH(BG51,DENOMINAZIONE_GIORNALE,0),0)&gt;0,MAX(BH$2:BH50)+1,0)</f>
        <v>0</v>
      </c>
      <c r="BI51" s="259" t="str">
        <f ca="1">IFERROR(INDEX($BG$3:$BH$220,MATCH(ROWS($BI$3:BI51),$BH$3:$BH$220,0),1),"")</f>
        <v/>
      </c>
      <c r="BJ51" s="259" t="str">
        <f t="shared" ca="1" si="5"/>
        <v/>
      </c>
      <c r="BK51" s="259" t="str">
        <f ca="1">IF(IF(BJ51&lt;&gt;"",MAX($BK$2:BK50)+1,0)=0,"",IF(BJ51&lt;&gt;"",MAX($BK$2:BK50)+1,0))</f>
        <v/>
      </c>
      <c r="BL51" s="259" t="str">
        <f ca="1">IFERROR(INDEX($T$3:$U$220, MATCH(ROWS(BL$3:BL51),$V$3:$V$220,0),1),"")</f>
        <v/>
      </c>
      <c r="BM51" s="259" t="str">
        <f ca="1">IFERROR(INDEX($T$3:$U$220, MATCH(ROWS(BM$3:BM51),$V$3:$V$220,0),2),"")</f>
        <v/>
      </c>
      <c r="BN51" s="259" t="str">
        <f ca="1">IF(IFERROR(INDEX($BI$3:$BJ$220,MATCH(ROWS(BN$3:BN51),$BK$3:$BK$220,0),1),"")="PATRIMONIO NETTO","",IFERROR(INDEX($BI$3:$BJ$220,MATCH(ROWS(BN$3:BN51),$BK$3:$BK$220,0),1),""))</f>
        <v/>
      </c>
      <c r="BO51" s="259" t="str">
        <f ca="1">IFERROR(INDEX($BI$3:$BJ$220,MATCH(ROWS(BO$3:BO51),$BK$3:$BK$220,0),2),"")</f>
        <v/>
      </c>
      <c r="BP51" s="259">
        <f ca="1">IF(BN51&lt;&gt;"",MAX(BP$2:$BP50)+1,0)</f>
        <v>0</v>
      </c>
      <c r="BQ51" s="259" t="str">
        <f ca="1">IFERROR(INDEX($BN$3:$BO$200,MATCH(ROWS(BQ$3:BQ51),$BP$3:$BP$220,0),1),"")</f>
        <v/>
      </c>
      <c r="BR51" s="259" t="str">
        <f ca="1">IFERROR(INDEX($BN$3:$BO$220,MATCH(ROWS(BR$3:BR51),$BP$3:$BP$220,0),2),"")</f>
        <v/>
      </c>
      <c r="BS51" s="259" t="str">
        <f ca="1">IFERROR(IF(OR(INDEX($T$3:$U$220,MATCH(ROWS(BL$3:BL51),$V$3:$V$220,0),1)="PRELEVAMENTI EXTRAGESTIONE",INDEX($T$3:$U$220,MATCH(ROWS(BL$3:BL51),$V$3:$V$220,0),1)="TITOLARE C/RITENUTE SUBITE"),"",INDEX($T$3:$U$220,MATCH(ROWS(BL$3:BL51),$V$3:$V$220,0),1)),"")</f>
        <v/>
      </c>
      <c r="BT51" s="259">
        <f t="shared" ca="1" si="61"/>
        <v>0</v>
      </c>
      <c r="BU51" s="259">
        <f ca="1">IF(BS51&lt;&gt;"",MAX(BU$2:BU50)+1,0)</f>
        <v>0</v>
      </c>
      <c r="BV51" s="259" t="str">
        <f ca="1">IFERROR(INDEX($BS$3:$BT$223,MATCH(ROWS(BV$3:BV51),$BU$3:$BU$223,0),1),"")</f>
        <v/>
      </c>
      <c r="BW51" s="259">
        <f t="shared" ca="1" si="62"/>
        <v>0</v>
      </c>
      <c r="BX51" s="259" t="str">
        <f t="shared" ca="1" si="63"/>
        <v/>
      </c>
      <c r="BY51" s="259" t="str">
        <f t="shared" ca="1" si="64"/>
        <v/>
      </c>
      <c r="BZ51" s="259" t="str">
        <f ca="1">IFERROR(IF(OR($DS$231&lt;&gt;$DT$231,$DU$231&lt;&gt;$DV$231,$EO$25&lt;&gt;0,$EO$26&lt;&gt;0),INDEX($T$3:$V$220,MATCH(ROWS($BV$3:BV51),$V$3:$V$220,0),1),CONCATENATE(BV51,BY51)),"")</f>
        <v/>
      </c>
      <c r="CA51" s="259">
        <f t="shared" ca="1" si="65"/>
        <v>0</v>
      </c>
      <c r="CB51" s="259" t="str">
        <f ca="1">IFERROR(IF(OR($BB$1&lt;&gt;$BD$1,$BC$1&lt;&gt;$BE$1,$DS$231&lt;&gt;$DT$231,$DU$231&lt;&gt;$DV$231,$EO$25&lt;&gt;0,$EO$26&lt;&gt;0),INDEX($BI$3:$BK$220,MATCH(ROWS($CB$3:CB51),$BK$3:$BK$220,0),1),CONCATENATE(BQ51,BX51)),"")</f>
        <v/>
      </c>
      <c r="CC51" s="259" t="str">
        <f t="shared" ca="1" si="66"/>
        <v/>
      </c>
      <c r="CD51" s="259" t="str">
        <f t="shared" si="6"/>
        <v/>
      </c>
      <c r="CE51" s="259">
        <f ca="1">IF(IFERROR(MATCH(CD51,DENOMINAZIONE_GIORNALE,0),0)&gt;0,MAX(CE$2:CE50)+1,0)</f>
        <v>0</v>
      </c>
      <c r="CF51" s="259" t="str">
        <f ca="1">IFERROR(INDEX($CD$3:$CE$220,MATCH(ROWS($CF$3:CF51),$CE$3:$CE$220,0),1),"")</f>
        <v/>
      </c>
      <c r="CG51" s="259">
        <f t="shared" ca="1" si="7"/>
        <v>0</v>
      </c>
      <c r="CH51" s="259" t="str">
        <f ca="1">IF(IF(CG51&lt;&gt;0,MAX($CH$2:CH50)+1,0)=0,"",IF(CG51&lt;&gt;"",MAX($CH$2:CH50)+1,0))</f>
        <v/>
      </c>
      <c r="CI51" s="259" t="str">
        <f ca="1">IFERROR(INDEX($CF$3:$CG$220,MATCH(ROWS($CI$3:CI51),$CH$3:$CH$220,0),1),"")</f>
        <v/>
      </c>
      <c r="CJ51" s="259" t="str">
        <f t="shared" ca="1" si="67"/>
        <v/>
      </c>
      <c r="CK51" s="259" t="str">
        <f t="shared" si="8"/>
        <v/>
      </c>
      <c r="CL51" s="259">
        <f ca="1">IF(IFERROR(MATCH(CK51,DENOMINAZIONE_GIORNALE,0),0)&gt;0,MAX(CL$2:CL50)+1,0)</f>
        <v>0</v>
      </c>
      <c r="CM51" s="259" t="str">
        <f ca="1">IFERROR(INDEX($CK$3:$CL$220,MATCH(ROWS($CM$3:CM51),$CL$3:$CL$220,0),1),"")</f>
        <v/>
      </c>
      <c r="CN51" s="259" t="str">
        <f t="shared" ca="1" si="9"/>
        <v/>
      </c>
      <c r="CO51" s="259">
        <f ca="1">IF(IF(CN51&lt;&gt;0,MAX($CO$2:CO50)+1,0)=0,"",IF(CN51&lt;&gt;"",MAX($CO$2:CO50)+1,0))</f>
        <v>0</v>
      </c>
      <c r="CP51" s="259" t="str">
        <f ca="1">IFERROR(INDEX($CM$3:$CN$220,MATCH(ROWS(CP$3:CP51),$CO$3:$CO$220,0),1),"")</f>
        <v/>
      </c>
      <c r="CQ51" s="259" t="str">
        <f ca="1">IFERROR(INDEX($CM$3:$CN$220,MATCH(ROWS(CQ$3:CQ51),$CO$3:$CO$220,0),2),"")</f>
        <v/>
      </c>
      <c r="CR51" s="259" t="str">
        <f t="shared" ca="1" si="154"/>
        <v/>
      </c>
      <c r="CS51" s="259">
        <f t="shared" ca="1" si="11"/>
        <v>0</v>
      </c>
      <c r="CT51" s="259">
        <f t="shared" ca="1" si="12"/>
        <v>0</v>
      </c>
      <c r="CU51" s="259">
        <f ca="1">IF(OR(CS51&gt;0,CT51&gt;0),MAX($CU$2:CU50)+1,0)</f>
        <v>0</v>
      </c>
      <c r="CV51" s="259" t="str">
        <f ca="1">IFERROR(INDEX(PIANO_DEI_CONTI,MATCH(ROWS($CV$3:CV51),$CU$3:$CU$200,0),2),"")</f>
        <v/>
      </c>
      <c r="CW51" s="259">
        <f ca="1">IFERROR(IF(CV51&lt;&gt;"",MAX($CW$2:CW50)+1,0),0)</f>
        <v>0</v>
      </c>
      <c r="CX51" s="259">
        <f t="shared" ca="1" si="162"/>
        <v>3</v>
      </c>
      <c r="CY51" s="259" t="str">
        <f t="shared" ca="1" si="161"/>
        <v>MASTRO</v>
      </c>
      <c r="CZ51" s="259" t="e">
        <f t="shared" ca="1" si="164"/>
        <v>#N/A</v>
      </c>
      <c r="DA51" s="259" t="str">
        <f t="shared" ca="1" si="169"/>
        <v/>
      </c>
      <c r="DB51" s="259" t="str">
        <f t="shared" ca="1" si="165"/>
        <v/>
      </c>
      <c r="DC51" s="259" t="str">
        <f t="shared" ca="1" si="166"/>
        <v/>
      </c>
      <c r="DD51" s="259" t="str">
        <f t="shared" ca="1" si="167"/>
        <v/>
      </c>
      <c r="DE51" s="259" t="str">
        <f t="shared" ca="1" si="168"/>
        <v/>
      </c>
      <c r="DF51" s="259">
        <f ca="1">IF(AND(CX51=$DE$2,$DF$2&lt;&gt;0),0,IF(AND(DB51&lt;&gt;"",OR(DB50&lt;&gt;"",DB52&lt;&gt;"")),MAX($DF$2:DF50)+1,0))</f>
        <v>0</v>
      </c>
      <c r="DG51" s="259" t="str">
        <f>IF(OR(VALORI_INIZIALI!E56="",AND(VALORI_INIZIALI!E56&lt;&gt;"",VALORI_INIZIALI!H56=0,VALORI_INIZIALI!I56=0)),"",IFERROR(INDEX(PIANO_DEI_CONTI,MATCH(BB51,DENOMINAZIONE,0),1),0))</f>
        <v/>
      </c>
      <c r="DH51" s="259">
        <f ca="1">IFERROR(IF($J$1=1,IF(INDEX(PIANO_DEI_CONTI,MATCH($K51,DENOMINAZIONE,0),5)=$DF$1,MAX($DH$2:DH50)+1,0),IF($J$1=2,IF(INDEX(PIANO_DEI_CONTI,MATCH($K51,DENOMINAZIONE,0),7)=$DF$1,MAX($DH$2:DH50)+1,0))),0)</f>
        <v>0</v>
      </c>
      <c r="DI51" s="259">
        <f ca="1">IFERROR(INDEX($K$3:$K$220,MATCH(ROWS($DI$3:DI51),$DH$3:$DH$220,0),1),0)</f>
        <v>0</v>
      </c>
      <c r="DJ51" s="259">
        <f t="shared" ca="1" si="14"/>
        <v>0</v>
      </c>
      <c r="DK51" s="259">
        <f ca="1">IF(DJ51=0,0,MAX(DK$2:DK50)+1)</f>
        <v>0</v>
      </c>
      <c r="DL51" s="259">
        <f ca="1">IFERROR(INDEX(PIANO_DEI_CONTI,MATCH(ROWS(DL$3:DL51),$DK$3:DK278,0),2),0)</f>
        <v>0</v>
      </c>
      <c r="DM51" s="259">
        <f t="shared" ca="1" si="15"/>
        <v>0</v>
      </c>
      <c r="DN51" s="259">
        <f t="shared" ca="1" si="16"/>
        <v>0</v>
      </c>
      <c r="DO51" s="259">
        <f t="shared" ca="1" si="69"/>
        <v>0</v>
      </c>
      <c r="DP51" s="259">
        <f t="shared" ca="1" si="70"/>
        <v>0</v>
      </c>
      <c r="DQ51" s="259">
        <f ca="1">IF(OR($DQ$1="TOTALI",$DQ$1="TOTALI ED ECCEDENZE"),IF(OR(DM51&gt;0,DN51&gt;0),MAX(DQ$2:DQ50)+1,0),IF($DQ$1="ECCEDENZE",IF(OR(DO51&gt;0,DP51&gt;0),MAX(DQ$2:DQ50)+1,0),""))</f>
        <v>0</v>
      </c>
      <c r="DR51" s="259" t="str">
        <f ca="1">IFERROR(INDEX($DL$3:$DQ$230,MATCH(ROWS(DR$3:DR51),$DQ$3:$DQ$230,0),1),"")</f>
        <v/>
      </c>
      <c r="DS51" s="259" t="str">
        <f t="shared" ca="1" si="71"/>
        <v/>
      </c>
      <c r="DT51" s="259" t="str">
        <f t="shared" ca="1" si="72"/>
        <v/>
      </c>
      <c r="DU51" s="259" t="str">
        <f t="shared" ca="1" si="73"/>
        <v/>
      </c>
      <c r="DV51" s="259" t="str">
        <f t="shared" ca="1" si="74"/>
        <v/>
      </c>
      <c r="DW51" s="259">
        <f t="shared" ca="1" si="75"/>
        <v>0</v>
      </c>
      <c r="DX51" s="259" t="str">
        <f t="shared" ca="1" si="76"/>
        <v/>
      </c>
      <c r="DY51" s="259" t="str">
        <f t="shared" ca="1" si="77"/>
        <v/>
      </c>
      <c r="DZ51" s="259" t="str">
        <f t="shared" ca="1" si="78"/>
        <v/>
      </c>
      <c r="EA51" s="259">
        <f t="shared" ca="1" si="79"/>
        <v>49</v>
      </c>
      <c r="EB51" s="259" t="s">
        <v>403</v>
      </c>
      <c r="ED51" s="259">
        <f t="shared" ca="1" si="17"/>
        <v>0</v>
      </c>
      <c r="EE51" s="259" t="str">
        <f t="shared" ca="1" si="155"/>
        <v/>
      </c>
      <c r="EF51" s="259" t="str">
        <f t="shared" ca="1" si="19"/>
        <v/>
      </c>
      <c r="EG51" s="259" t="str">
        <f t="shared" ca="1" si="136"/>
        <v/>
      </c>
      <c r="EH51" s="259" t="str">
        <f t="shared" ca="1" si="80"/>
        <v/>
      </c>
      <c r="EI51" s="260" t="b">
        <f t="shared" ca="1" si="137"/>
        <v>0</v>
      </c>
      <c r="EJ51" s="260" t="b">
        <f t="shared" ca="1" si="138"/>
        <v>0</v>
      </c>
      <c r="EK51" s="260" t="b">
        <f t="shared" ca="1" si="139"/>
        <v>1</v>
      </c>
      <c r="EL51" s="259">
        <f t="shared" si="81"/>
        <v>49</v>
      </c>
      <c r="EM51" s="259">
        <f ca="1">IF(AND(BA51&gt;0,BA51&lt;=$EM$1),MAX($EM$2:EM50)+1,0)</f>
        <v>0</v>
      </c>
      <c r="EN51" s="259">
        <f t="shared" ca="1" si="82"/>
        <v>51</v>
      </c>
      <c r="EP51" s="259" t="str">
        <f t="shared" ca="1" si="20"/>
        <v/>
      </c>
      <c r="EQ51" s="259">
        <f t="shared" ca="1" si="21"/>
        <v>0</v>
      </c>
      <c r="ER51" s="259">
        <f ca="1">IF(ISNA(EQ51),MAX(ER$2:ER50)+1,0)</f>
        <v>0</v>
      </c>
      <c r="ES51" s="259" t="str">
        <f t="shared" ca="1" si="83"/>
        <v/>
      </c>
      <c r="ET51" s="259" t="str">
        <f ca="1">IFERROR(UPPER(INDEX($ER$3:$ES$500,MATCH(ROWS(ET$3:ET51),$ER$3:$ER$500,0),2)),"")</f>
        <v/>
      </c>
      <c r="EY51" s="259">
        <f t="shared" ca="1" si="84"/>
        <v>0</v>
      </c>
      <c r="EZ51" s="259">
        <f t="shared" ca="1" si="84"/>
        <v>0</v>
      </c>
      <c r="FA51" s="259" t="str">
        <f t="shared" ca="1" si="85"/>
        <v/>
      </c>
      <c r="FB51" s="259">
        <f t="shared" ca="1" si="86"/>
        <v>0</v>
      </c>
      <c r="FC51" s="259">
        <f t="shared" ca="1" si="87"/>
        <v>0</v>
      </c>
      <c r="FD51" s="259">
        <f t="shared" ca="1" si="22"/>
        <v>0</v>
      </c>
      <c r="FE51" s="259" t="str">
        <f t="shared" ca="1" si="23"/>
        <v/>
      </c>
      <c r="FF51" s="259" t="str">
        <f t="shared" ca="1" si="88"/>
        <v/>
      </c>
      <c r="FG51" s="259" t="str">
        <f t="shared" si="89"/>
        <v>C/C POSTALI</v>
      </c>
      <c r="FH51" s="259">
        <f t="shared" ca="1" si="156"/>
        <v>0</v>
      </c>
      <c r="FI51" s="259">
        <f t="shared" ca="1" si="25"/>
        <v>0</v>
      </c>
      <c r="FJ51" s="259">
        <f t="shared" ca="1" si="90"/>
        <v>0</v>
      </c>
      <c r="FK51" s="259">
        <f t="shared" ca="1" si="91"/>
        <v>0</v>
      </c>
      <c r="FL51" s="259">
        <f ca="1">IF(OR(FJ51&gt;0,FK51&gt;0),MAX($FL$2:FL50)+1,0)</f>
        <v>0</v>
      </c>
      <c r="FM51" s="259">
        <f t="shared" ca="1" si="26"/>
        <v>0</v>
      </c>
      <c r="FN51" s="259">
        <f ca="1">IF(FM51&lt;0,MAX($FN$2:FN50)+1,0)</f>
        <v>0</v>
      </c>
      <c r="FO51" s="259" t="str">
        <f t="shared" ca="1" si="92"/>
        <v/>
      </c>
      <c r="FP51" s="259" t="str">
        <f ca="1">IFERROR(INDEX($FN$3:$FO$400,MATCH(ROWS($FP$3:FP51),$FN$3:$FN$400,0),2),"")</f>
        <v/>
      </c>
      <c r="FQ51" s="259" t="str">
        <f>IF(AE51="SE AVERE",MAX($FQ$2:FQ50)+1,"")</f>
        <v/>
      </c>
      <c r="FR51" s="259" t="str">
        <f>IF(AE51="SE DARE",MAX($FR$2:FR50)+1,"")</f>
        <v/>
      </c>
      <c r="FS51" s="259">
        <f ca="1">IF(AND(AE51="SP DARE",AA51&lt;&gt;$FS$1,AA51&lt;&gt;$FT$1),MAX($FS$2:FS50)+1,IF(AND(GQ51="SP DARE",AA51&lt;&gt;$FS$1,AA51&lt;&gt;$FT$1),MAX($FS$2:FS50)+1,""))</f>
        <v>126</v>
      </c>
      <c r="FT51" s="259" t="str">
        <f ca="1">IF(AND(AE51="SP AVERE",AA51&lt;&gt;$FU$1),MAX($FT$2:FT50)+1,IF(AND(GQ51="SP AVERE",AA51&lt;&gt;$FU$1),MAX($FT$2:FT50)+1,""))</f>
        <v/>
      </c>
      <c r="FU51" s="259">
        <f t="shared" ca="1" si="93"/>
        <v>126</v>
      </c>
      <c r="FV51" s="259" t="str">
        <f t="shared" si="94"/>
        <v>C/C POSTALI</v>
      </c>
      <c r="FW51" s="259" t="str">
        <f ca="1">IFERROR(INDEX($FU$3:$FV$500,MATCH(ROWS($FW$3:FW51),$FU$3:$FU$500,0),2),0)</f>
        <v>AMMORTAMENTO COSTI DI IMPIANTO</v>
      </c>
      <c r="FX51" s="259">
        <f t="shared" ca="1" si="95"/>
        <v>49</v>
      </c>
      <c r="FY51" s="259">
        <f t="shared" ca="1" si="96"/>
        <v>0</v>
      </c>
      <c r="FZ51" s="259">
        <f ca="1">IF(FY51&gt;0,MAX($FZ$2:FZ50)+1,0)</f>
        <v>0</v>
      </c>
      <c r="GA51" s="259">
        <f ca="1">IFERROR(INDEX($FY$3:$FZ$500,MATCH(ROWS($GA$3:GA51),$FZ$3:$FZ$500,0),1),0)</f>
        <v>0</v>
      </c>
      <c r="GC51" s="259">
        <f t="shared" ca="1" si="97"/>
        <v>49</v>
      </c>
      <c r="GD51" s="259" t="str">
        <f t="shared" ca="1" si="98"/>
        <v>AMMORTAMENTO COSTI DI IMPIANTO</v>
      </c>
      <c r="GG51" s="259">
        <f t="shared" ca="1" si="27"/>
        <v>0</v>
      </c>
      <c r="GH51" s="259">
        <f t="shared" ca="1" si="99"/>
        <v>0</v>
      </c>
      <c r="GI51" s="259">
        <f t="shared" ca="1" si="100"/>
        <v>0</v>
      </c>
      <c r="GJ51" s="259">
        <f t="shared" ca="1" si="101"/>
        <v>0</v>
      </c>
      <c r="GK51" s="259">
        <f t="shared" ca="1" si="102"/>
        <v>0</v>
      </c>
      <c r="GL51" s="259">
        <f t="shared" ca="1" si="103"/>
        <v>0</v>
      </c>
      <c r="GM51" s="259">
        <f ca="1">IF(OR(GK51&gt;0,GL51&gt;0),MAX($GM$2:GM50)+1,0)</f>
        <v>0</v>
      </c>
      <c r="GN51" s="259" t="str">
        <f ca="1">IFERROR(INDEX($GD$3:$GM$400,MATCH(ROWS($GN$3:GN51),$GM$3:$GM$400,0),1),"")</f>
        <v/>
      </c>
      <c r="GO51" s="259" t="str">
        <f ca="1">IFERROR(INDEX($GD$3:$GM$400,MATCH(ROWS($GO$3:GO51),$GM$3:$GM$400,0),8),"")</f>
        <v/>
      </c>
      <c r="GP51" s="259" t="str">
        <f ca="1">IFERROR(INDEX($GD$3:$GM$400,MATCH(ROWS($GP$3:GP51),$GM$3:$GM$400,0),9),"")</f>
        <v/>
      </c>
      <c r="GQ51" s="259">
        <f t="shared" ca="1" si="28"/>
        <v>0</v>
      </c>
      <c r="GR51" s="259">
        <f t="shared" ca="1" si="104"/>
        <v>0</v>
      </c>
      <c r="GS51" s="259" t="str">
        <f t="shared" si="105"/>
        <v>epilogo a Conto economico</v>
      </c>
      <c r="GT51" s="259" t="str">
        <f ca="1">IFERROR(INDEX($GD$3:$GS$400,MATCH(ROWS($GT$3:GT51),$GM$3:$GM$400,0),16),"")</f>
        <v/>
      </c>
      <c r="GU51" s="259">
        <f ca="1">IF(GQ51&lt;&gt;0,MAX($GU$2:$GU50)+1,0)</f>
        <v>0</v>
      </c>
      <c r="GV51" s="259">
        <f t="shared" ca="1" si="106"/>
        <v>0</v>
      </c>
      <c r="GW51" s="259" t="str">
        <f ca="1">IF(AND(IFERROR(INDEX($GU$3:$GV$400,MATCH(ROWS($GW$3:GW51),$GU$3:$GU$400,0),2),"")&lt;&gt;"",GW52&lt;&gt;""),CONCATENATE(IFERROR(INDEX($GU$3:$GV$400,MATCH(ROWS($GW$3:GW51),$GU$3:$GU$400,0),2),"")," - "),IFERROR(INDEX($GU$3:$GV$400,MATCH(ROWS($GW$3:GW51),$GU$3:$GU$400,0),2),""))</f>
        <v/>
      </c>
      <c r="GX51" s="259">
        <f ca="1">IF(OR(GN51="IVA NS/CREDITO",GN51="IVA NS/DEBITO",GN51="IVA C/ACCONTO",GN51="IMPOSTE C/ACCONTO"),MAX($GX$2:GX50)+1,0)</f>
        <v>0</v>
      </c>
      <c r="GY51" s="259" t="str">
        <f ca="1">IF(AND(IFERROR(INDEX($GN$3:$GX$200,MATCH(ROWS($GY$3:GY51),$GX$3:$GX$200,0),1),"")&lt;&gt;"",GY52&lt;&gt;""),CONCATENATE(IFERROR(INDEX($GN$3:$GX$200,MATCH(ROWS($GY$3:GY51),$GX$3:$GX$200,0),1),"")," - "),IFERROR(INDEX($GN$3:$GX$200,MATCH(ROWS($GY$3:GY51),$GX$3:$GX$200,0),1),""))</f>
        <v/>
      </c>
      <c r="GZ51" s="259" t="s">
        <v>633</v>
      </c>
      <c r="HA51" s="259" t="s">
        <v>688</v>
      </c>
      <c r="HB51" s="269" t="s">
        <v>257</v>
      </c>
      <c r="HC51" s="269" t="s">
        <v>276</v>
      </c>
      <c r="HD51" s="269" t="s">
        <v>6</v>
      </c>
      <c r="HE51" s="269" t="s">
        <v>206</v>
      </c>
      <c r="HL51" s="259" t="str">
        <f t="shared" ca="1" si="157"/>
        <v/>
      </c>
      <c r="HM51" s="259" t="str">
        <f t="shared" ca="1" si="158"/>
        <v/>
      </c>
      <c r="HN51" s="259" t="str">
        <f t="shared" ca="1" si="159"/>
        <v/>
      </c>
      <c r="HO51" s="259">
        <f ca="1">IF(HL51&lt;&gt;"",MAX($HO$2:HO50)+1,0)</f>
        <v>0</v>
      </c>
      <c r="HP51" s="259">
        <f ca="1">IF(HM51&lt;&gt;"",MAX($HP$2:HP50)+1,0)</f>
        <v>0</v>
      </c>
      <c r="HQ51" s="259">
        <f ca="1">IF(HN51&lt;&gt;"",MAX($HQ$2:HQ50)+1,0)</f>
        <v>0</v>
      </c>
      <c r="HR51" s="259" t="str">
        <f t="shared" ca="1" si="107"/>
        <v/>
      </c>
      <c r="HS51" s="259" t="str">
        <f t="shared" ca="1" si="108"/>
        <v/>
      </c>
      <c r="HT51" s="259">
        <f t="shared" ca="1" si="109"/>
        <v>0</v>
      </c>
      <c r="HU51" s="259">
        <f t="shared" ca="1" si="110"/>
        <v>0</v>
      </c>
      <c r="HV51" s="259" t="str">
        <f ca="1">CONCATENATE(IFERROR(INDEX($HS$3:$HT$102,MATCH(ROWS($HV$3:HV51),$HT$3:$HT$102,0),1),""),HR51)</f>
        <v/>
      </c>
      <c r="IA51" s="259" t="s">
        <v>371</v>
      </c>
      <c r="IB51" s="259" t="s">
        <v>312</v>
      </c>
      <c r="IC51" s="259">
        <f ca="1">IFERROR(INDEX(PIANO_DEI_CONTI,MATCH(ROWS(DL$3:DL51),$DK$3:DK278,0),2),0)</f>
        <v>0</v>
      </c>
      <c r="ID51" s="259">
        <f t="shared" ca="1" si="111"/>
        <v>0</v>
      </c>
      <c r="IE51" s="259">
        <f t="shared" ca="1" si="112"/>
        <v>0</v>
      </c>
      <c r="IF51" s="259">
        <f t="shared" ca="1" si="113"/>
        <v>0</v>
      </c>
      <c r="IG51" s="259">
        <f ca="1">IF(OR(IG52&gt;0,IG53&gt;0,IG54&gt;0),"",0)</f>
        <v>0</v>
      </c>
      <c r="IH51" s="259">
        <f ca="1">IF(IG51&lt;&gt;0,MAX($IH$35:IH50)+1,0)</f>
        <v>0</v>
      </c>
      <c r="II51" s="259">
        <f>IF(AD51="costi pluriennali",MAX($II$2:II50)+1,0)</f>
        <v>0</v>
      </c>
      <c r="IJ51" s="259">
        <f>IF($AD51="rettifiche costi pluriennali",MAX($IJ$2:IJ50)+1,0)</f>
        <v>0</v>
      </c>
      <c r="IK51" s="259">
        <f t="shared" si="114"/>
        <v>0</v>
      </c>
      <c r="IL51" s="259" t="str">
        <f t="shared" si="115"/>
        <v/>
      </c>
      <c r="IM51" s="259">
        <f t="shared" ca="1" si="116"/>
        <v>0</v>
      </c>
      <c r="IN51" s="259">
        <f t="shared" ca="1" si="141"/>
        <v>0</v>
      </c>
      <c r="IO51" s="259">
        <f>SUMIFS($IM$3:$IM$200,$IK$3:$IK$200,ROWS($IO$3:IO51))-SUMIFS($IN$3:$IN$200,$IK$3:$IK$200,ROWS($IO$3:IO51))</f>
        <v>0</v>
      </c>
      <c r="IP51" s="259" t="str">
        <f>IF(IO51&lt;0,INDEX($IJ$3:$IL$200,MATCH(ROWS($IP$3:IP51),$IJ$3:$IJ$200,0),3),"")</f>
        <v/>
      </c>
      <c r="IQ51" s="259">
        <f>IF(IP51&lt;&gt;"",MAX($IQ$2:IQ50)+1,0)</f>
        <v>0</v>
      </c>
      <c r="IR51" s="259" t="str">
        <f ca="1">IFERROR(INDEX($IP$3:$IQ$200,MATCH(ROWS($IR$3:IR51),$IQ$3:$IQ$200,0),1),"")</f>
        <v/>
      </c>
      <c r="IS51" s="259" t="str">
        <f t="shared" ca="1" si="117"/>
        <v/>
      </c>
      <c r="IT51" s="259" t="str">
        <f t="shared" ca="1" si="118"/>
        <v/>
      </c>
      <c r="IU51" s="259" t="str">
        <f t="shared" ca="1" si="119"/>
        <v/>
      </c>
      <c r="IV51" s="259" t="str">
        <f t="shared" ca="1" si="120"/>
        <v/>
      </c>
      <c r="IW51" s="259" t="str">
        <f t="shared" ca="1" si="121"/>
        <v/>
      </c>
      <c r="IX51" s="259" t="str">
        <f t="shared" ca="1" si="122"/>
        <v/>
      </c>
      <c r="IY51" s="259" t="str">
        <f t="shared" ca="1" si="123"/>
        <v/>
      </c>
      <c r="IZ51" s="259" t="str">
        <f t="shared" ca="1" si="124"/>
        <v/>
      </c>
      <c r="JA51" s="259" t="str">
        <f t="shared" ca="1" si="125"/>
        <v/>
      </c>
      <c r="JB51" s="259">
        <f t="shared" ca="1" si="32"/>
        <v>0</v>
      </c>
      <c r="JC51" s="259">
        <f t="shared" ca="1" si="126"/>
        <v>0</v>
      </c>
      <c r="JE51" s="259">
        <f ca="1">IFERROR(INDEX(LIBRO_GIORNALE!$N$11:$O$408,MATCH(ROWS($JE$2:JE50),LIBRO_GIORNALE!$O$11:$O$408,0),1),0)</f>
        <v>0</v>
      </c>
      <c r="JF51" s="259" t="str">
        <f t="shared" ca="1" si="127"/>
        <v>0</v>
      </c>
      <c r="JG51" s="259">
        <f t="shared" ca="1" si="128"/>
        <v>0</v>
      </c>
      <c r="JH51" s="259">
        <f ca="1">IF(JJ51&gt;0,0,MAX($JH$2:JH50)+1)</f>
        <v>49</v>
      </c>
      <c r="JI51" s="259">
        <f ca="1">IF(JG51&gt;0,MAX($JI$2:JI50)+1,0)</f>
        <v>0</v>
      </c>
      <c r="JJ51" s="259">
        <f ca="1">IFERROR(INDEX($JG$3:$JI$124,MATCH(ROWS($JJ$3:JJ51),$JI$3:$JI$124,0),1),0)</f>
        <v>0</v>
      </c>
      <c r="JK51" s="259">
        <f t="shared" ca="1" si="129"/>
        <v>0</v>
      </c>
      <c r="JL51" s="259">
        <f t="shared" ca="1" si="130"/>
        <v>49</v>
      </c>
    </row>
    <row r="52" spans="1:272">
      <c r="A52" s="259" t="str">
        <f t="shared" si="33"/>
        <v>06.04</v>
      </c>
      <c r="B52" s="259" t="str">
        <f t="shared" si="34"/>
        <v>CREDITI V/ISTITUTI PREVIDENZIALI</v>
      </c>
      <c r="C52" s="259" t="str">
        <f t="shared" si="35"/>
        <v>F</v>
      </c>
      <c r="D52" s="259" t="str">
        <f t="shared" si="36"/>
        <v>D</v>
      </c>
      <c r="E52" s="259" t="str">
        <f t="shared" si="37"/>
        <v>CREDITI</v>
      </c>
      <c r="F52" s="259" t="str">
        <f t="shared" si="38"/>
        <v>SP DARE</v>
      </c>
      <c r="G52" s="259">
        <f t="shared" ca="1" si="39"/>
        <v>0</v>
      </c>
      <c r="H52" s="259">
        <f t="shared" ca="1" si="40"/>
        <v>0</v>
      </c>
      <c r="I52" s="259">
        <f t="shared" ca="1" si="41"/>
        <v>1</v>
      </c>
      <c r="K52" s="259" t="str">
        <f ca="1">IFERROR(IF($I$1=1,INDEX($AA$3:$AS$220,MATCH(ROWS($K$3:K52),$AQ$3:$AQ$220,0),1),IF($I$1=2,INDEX($AA$3:$AS$220,MATCH(ROWS($K$3:K52),$AR$3:$AR$220,0),1),IF($I$1=3,INDEX($AA$3:$AS$220,MATCH(ROWS($K$3:K52),$AS$3:$AS$220,0),1),""))),"")</f>
        <v>ASSEGNI</v>
      </c>
      <c r="L52" s="259">
        <f ca="1">IF(AND($L$1="VISUALIZZA TUTTI I CONTI",K52&lt;&gt;""),MAX(L51:L51)+1,IFERROR(IF($J$1=1,IF(INDEX(PIANO_DEI_CONTI,MATCH($K52,DENOMINAZIONE,0),5)=$L$1,MAX($L$2:L51)+1,0),IF($J$1=2,IF(INDEX(PIANO_DEI_CONTI,MATCH($K52,DENOMINAZIONE,0),7)=$L$1,MAX($L$2:L51)+1,0))),0))</f>
        <v>50</v>
      </c>
      <c r="M52" s="259" t="str">
        <f ca="1">IFERROR(INDEX($K$3:$K$220,MATCH(ROWS($M$3:M52),$L$3:$L$220,0),1),"")</f>
        <v>ASSEGNI</v>
      </c>
      <c r="N52" s="259" t="str">
        <f t="shared" si="143"/>
        <v/>
      </c>
      <c r="O52" s="259" t="str">
        <f t="shared" ca="1" si="170"/>
        <v/>
      </c>
      <c r="P52" s="259">
        <f ca="1">IF(AND(N52=O52,O52&lt;&gt;""),MAX(P$2:P51)+1,0)</f>
        <v>0</v>
      </c>
      <c r="Q52" s="259" t="str">
        <f ca="1">IF(IFERROR(INDEX($O$3:$P$220,MATCH(ROWS(Q$3:Q52),$P$3:$P$220,0),1),"")=0,"",IFERROR(INDEX($O$3:$P$220,MATCH(ROWS(Q$3:Q52),$P$3:$P$220,0),1),""))</f>
        <v/>
      </c>
      <c r="R52" s="259" t="str">
        <f t="shared" si="1"/>
        <v>ASSEGNI</v>
      </c>
      <c r="S52" s="259">
        <f ca="1">IF(IFERROR(MATCH(R52,DENOMINAZIONE_GIORNALE,0),0)&gt;0,MAX(S$2:S51)+1,0)</f>
        <v>0</v>
      </c>
      <c r="T52" s="259" t="str">
        <f ca="1">IFERROR(INDEX($R$3:$S$220,MATCH(ROWS($T$3:T52),$S$3:$S$220,0),1),"")</f>
        <v/>
      </c>
      <c r="U52" s="259">
        <f t="shared" ca="1" si="2"/>
        <v>0</v>
      </c>
      <c r="V52" s="259">
        <f ca="1">IF(IF(U52&lt;&gt;0,MAX($V$2:V51)+1,0)=0,0,IF(U52&lt;&gt;0,MAX($V$2:V51)+1,0))</f>
        <v>0</v>
      </c>
      <c r="W52" s="259" t="str">
        <f t="shared" si="43"/>
        <v>06.04</v>
      </c>
      <c r="X52" s="259" t="str">
        <f t="shared" si="44"/>
        <v>CREDITI V/ISTITUTI PREVIDENZIALI</v>
      </c>
      <c r="Y52" s="259">
        <f>IF(W52="",0,MAX($Y$2:Y51)+1)</f>
        <v>44</v>
      </c>
      <c r="Z52" s="259" t="str">
        <f>IFERROR(INDEX($W$3:$Y$220,MATCH(ROWS($Z$2:Z51),$Y$3:$Y$220,0),1),"")</f>
        <v>08.10</v>
      </c>
      <c r="AA52" s="259" t="str">
        <f t="shared" si="45"/>
        <v>ASSEGNI</v>
      </c>
      <c r="AB52" s="259" t="str">
        <f t="shared" si="46"/>
        <v>F</v>
      </c>
      <c r="AC52" s="259" t="str">
        <f t="shared" si="47"/>
        <v>D</v>
      </c>
      <c r="AD52" s="259" t="str">
        <f t="shared" si="48"/>
        <v>DISPONIBILITÀ LIQUIDE</v>
      </c>
      <c r="AE52" s="259" t="str">
        <f t="shared" si="49"/>
        <v>SP DARE</v>
      </c>
      <c r="AF52" s="259" t="str">
        <f t="shared" si="50"/>
        <v>DISPONIBILITÀ LIQUIDE</v>
      </c>
      <c r="AG52" s="259">
        <f t="shared" ca="1" si="51"/>
        <v>1</v>
      </c>
      <c r="AH52" s="259">
        <f t="shared" ca="1" si="52"/>
        <v>1</v>
      </c>
      <c r="AI52" s="259">
        <f t="shared" ca="1" si="53"/>
        <v>1</v>
      </c>
      <c r="AJ52" s="259" t="str">
        <f t="shared" si="54"/>
        <v>08</v>
      </c>
      <c r="AK52" s="259" t="str">
        <f t="shared" si="55"/>
        <v/>
      </c>
      <c r="AL52" s="259">
        <f>IF(AK52&lt;&gt;"",MAX($AL$2:AL51)+1,0)</f>
        <v>0</v>
      </c>
      <c r="AM52" s="259" t="str">
        <f>IFERROR(INDEX($AK$3:$AL$220,MATCH(ROWS($AM$3:AM52),$AL$3:$AL$220,0),1),"")</f>
        <v/>
      </c>
      <c r="AN52" s="259" t="str">
        <f t="shared" si="56"/>
        <v/>
      </c>
      <c r="AO52" s="259" t="str">
        <f t="shared" si="57"/>
        <v/>
      </c>
      <c r="AP52" s="259" t="str">
        <f t="shared" si="58"/>
        <v>DISPONIBILITÀ LIQUIDE</v>
      </c>
      <c r="AQ52" s="259">
        <f ca="1">IF(OR(AG52=0,AG52=""),0,MAX(AQ$2:AQ51)+1)</f>
        <v>28</v>
      </c>
      <c r="AR52" s="259">
        <f ca="1">IF(OR(AH52=0,AH52=""),0,MAX(AR$2:AR51)+1)</f>
        <v>41</v>
      </c>
      <c r="AS52" s="259">
        <f ca="1">IF(OR(AI52=0,AI52=""),0,MAX(AS$2:AS51)+1)</f>
        <v>50</v>
      </c>
      <c r="AT52" s="259" t="str">
        <f ca="1">IFERROR(INDEX($AD$3:$AS$220,MATCH(ROWS(AT$3:AT52),AQ$3:AQ$220,0),1),"")</f>
        <v>RETTIFICHE RICAVI D'ESERCIZIO</v>
      </c>
      <c r="AU52" s="259" t="str">
        <f ca="1">IFERROR(INDEX($AD$3:$AS$220,MATCH(ROWS(AU$3:AU52),AR$3:AR$220,0),1),"")</f>
        <v>DEBITI</v>
      </c>
      <c r="AV52" s="259" t="str">
        <f ca="1">IFERROR(INDEX($AD$3:$AS$220,MATCH(ROWS(AV$3:AV52),AS$3:AS$220,0),1),"")</f>
        <v>DISPONIBILITÀ LIQUIDE</v>
      </c>
      <c r="AW52" s="259" t="str">
        <f ca="1">IFERROR(INDEX($AP$3:$AS$220,MATCH(ROWS(AW$3:AW52),AQ$3:AQ$220,0),1),"")</f>
        <v>VALORE DELLA PRODUZIONE</v>
      </c>
      <c r="AX52" s="259" t="str">
        <f ca="1">IFERROR(INDEX($AP$3:$AS$220,MATCH(ROWS(AX$3:AX52),AR$3:AR$220,0),1),"")</f>
        <v>DEBITI FINANZIARI</v>
      </c>
      <c r="AY52" s="259" t="str">
        <f ca="1">IFERROR(INDEX($AP$3:$AS$220,MATCH(ROWS(AY$3:AY52),AS$3:AS$220,0),1),"")</f>
        <v>DISPONIBILITÀ LIQUIDE</v>
      </c>
      <c r="AZ52" s="276" t="str">
        <f t="shared" ca="1" si="59"/>
        <v/>
      </c>
      <c r="BA52" s="259">
        <f t="shared" ca="1" si="153"/>
        <v>0</v>
      </c>
      <c r="BB52" s="259">
        <f ca="1">IFERROR(INDEX($FG$3:$FL$400,MATCH(ROWS($BB$3:BB52),$FL$3:$FL$400,0),1),0)</f>
        <v>0</v>
      </c>
      <c r="BC52" s="259" t="str">
        <f t="shared" ca="1" si="60"/>
        <v/>
      </c>
      <c r="BD52" s="259">
        <f ca="1">IFERROR(INDEX($FG$3:$FL$400,MATCH(ROWS($BD$3:BD52),$FL$3:$FL$400,0),4),0)</f>
        <v>0</v>
      </c>
      <c r="BE52" s="259">
        <f ca="1">IFERROR(INDEX($FG$3:$FL$400,MATCH(ROWS($BE$3:BE52),$FL$3:$FL$400,0),5),0)</f>
        <v>0</v>
      </c>
      <c r="BG52" s="259" t="str">
        <f t="shared" si="4"/>
        <v/>
      </c>
      <c r="BH52" s="259">
        <f ca="1">IF(IFERROR(MATCH(BG52,DENOMINAZIONE_GIORNALE,0),0)&gt;0,MAX(BH$2:BH51)+1,0)</f>
        <v>0</v>
      </c>
      <c r="BI52" s="259" t="str">
        <f ca="1">IFERROR(INDEX($BG$3:$BH$220,MATCH(ROWS($BI$3:BI52),$BH$3:$BH$220,0),1),"")</f>
        <v/>
      </c>
      <c r="BJ52" s="259" t="str">
        <f t="shared" ca="1" si="5"/>
        <v/>
      </c>
      <c r="BK52" s="259" t="str">
        <f ca="1">IF(IF(BJ52&lt;&gt;"",MAX($BK$2:BK51)+1,0)=0,"",IF(BJ52&lt;&gt;"",MAX($BK$2:BK51)+1,0))</f>
        <v/>
      </c>
      <c r="BL52" s="259" t="str">
        <f ca="1">IFERROR(INDEX($T$3:$U$220, MATCH(ROWS(BL$3:BL52),$V$3:$V$220,0),1),"")</f>
        <v/>
      </c>
      <c r="BM52" s="259" t="str">
        <f ca="1">IFERROR(INDEX($T$3:$U$220, MATCH(ROWS(BM$3:BM52),$V$3:$V$220,0),2),"")</f>
        <v/>
      </c>
      <c r="BN52" s="259" t="str">
        <f ca="1">IF(IFERROR(INDEX($BI$3:$BJ$220,MATCH(ROWS(BN$3:BN52),$BK$3:$BK$220,0),1),"")="PATRIMONIO NETTO","",IFERROR(INDEX($BI$3:$BJ$220,MATCH(ROWS(BN$3:BN52),$BK$3:$BK$220,0),1),""))</f>
        <v/>
      </c>
      <c r="BO52" s="259" t="str">
        <f ca="1">IFERROR(INDEX($BI$3:$BJ$220,MATCH(ROWS(BO$3:BO52),$BK$3:$BK$220,0),2),"")</f>
        <v/>
      </c>
      <c r="BP52" s="259">
        <f ca="1">IF(BN52&lt;&gt;"",MAX(BP$2:$BP51)+1,0)</f>
        <v>0</v>
      </c>
      <c r="BQ52" s="259" t="str">
        <f ca="1">IFERROR(INDEX($BN$3:$BO$200,MATCH(ROWS(BQ$3:BQ52),$BP$3:$BP$220,0),1),"")</f>
        <v/>
      </c>
      <c r="BR52" s="259" t="str">
        <f ca="1">IFERROR(INDEX($BN$3:$BO$220,MATCH(ROWS(BR$3:BR52),$BP$3:$BP$220,0),2),"")</f>
        <v/>
      </c>
      <c r="BS52" s="259" t="str">
        <f ca="1">IFERROR(IF(OR(INDEX($T$3:$U$220,MATCH(ROWS(BL$3:BL52),$V$3:$V$220,0),1)="PRELEVAMENTI EXTRAGESTIONE",INDEX($T$3:$U$220,MATCH(ROWS(BL$3:BL52),$V$3:$V$220,0),1)="TITOLARE C/RITENUTE SUBITE"),"",INDEX($T$3:$U$220,MATCH(ROWS(BL$3:BL52),$V$3:$V$220,0),1)),"")</f>
        <v/>
      </c>
      <c r="BT52" s="259">
        <f t="shared" ca="1" si="61"/>
        <v>0</v>
      </c>
      <c r="BU52" s="259">
        <f ca="1">IF(BS52&lt;&gt;"",MAX(BU$2:BU51)+1,0)</f>
        <v>0</v>
      </c>
      <c r="BV52" s="259" t="str">
        <f ca="1">IFERROR(INDEX($BS$3:$BT$223,MATCH(ROWS(BV$3:BV52),$BU$3:$BU$223,0),1),"")</f>
        <v/>
      </c>
      <c r="BW52" s="259">
        <f t="shared" ca="1" si="62"/>
        <v>0</v>
      </c>
      <c r="BX52" s="259" t="str">
        <f t="shared" ca="1" si="63"/>
        <v/>
      </c>
      <c r="BY52" s="259" t="str">
        <f t="shared" ca="1" si="64"/>
        <v/>
      </c>
      <c r="BZ52" s="259" t="str">
        <f ca="1">IFERROR(IF(OR($DS$231&lt;&gt;$DT$231,$DU$231&lt;&gt;$DV$231,$EO$25&lt;&gt;0,$EO$26&lt;&gt;0),INDEX($T$3:$V$220,MATCH(ROWS($BV$3:BV52),$V$3:$V$220,0),1),CONCATENATE(BV52,BY52)),"")</f>
        <v/>
      </c>
      <c r="CA52" s="259">
        <f t="shared" ca="1" si="65"/>
        <v>0</v>
      </c>
      <c r="CB52" s="259" t="str">
        <f ca="1">IFERROR(IF(OR($BB$1&lt;&gt;$BD$1,$BC$1&lt;&gt;$BE$1,$DS$231&lt;&gt;$DT$231,$DU$231&lt;&gt;$DV$231,$EO$25&lt;&gt;0,$EO$26&lt;&gt;0),INDEX($BI$3:$BK$220,MATCH(ROWS($CB$3:CB52),$BK$3:$BK$220,0),1),CONCATENATE(BQ52,BX52)),"")</f>
        <v/>
      </c>
      <c r="CC52" s="259" t="str">
        <f t="shared" ca="1" si="66"/>
        <v/>
      </c>
      <c r="CD52" s="259" t="str">
        <f t="shared" si="6"/>
        <v/>
      </c>
      <c r="CE52" s="259">
        <f ca="1">IF(IFERROR(MATCH(CD52,DENOMINAZIONE_GIORNALE,0),0)&gt;0,MAX(CE$2:CE51)+1,0)</f>
        <v>0</v>
      </c>
      <c r="CF52" s="259" t="str">
        <f ca="1">IFERROR(INDEX($CD$3:$CE$220,MATCH(ROWS($CF$3:CF52),$CE$3:$CE$220,0),1),"")</f>
        <v/>
      </c>
      <c r="CG52" s="259">
        <f t="shared" ca="1" si="7"/>
        <v>0</v>
      </c>
      <c r="CH52" s="259" t="str">
        <f ca="1">IF(IF(CG52&lt;&gt;0,MAX($CH$2:CH51)+1,0)=0,"",IF(CG52&lt;&gt;"",MAX($CH$2:CH51)+1,0))</f>
        <v/>
      </c>
      <c r="CI52" s="259" t="str">
        <f ca="1">IFERROR(INDEX($CF$3:$CG$220,MATCH(ROWS($CI$3:CI52),$CH$3:$CH$220,0),1),"")</f>
        <v/>
      </c>
      <c r="CJ52" s="259" t="str">
        <f t="shared" ca="1" si="67"/>
        <v/>
      </c>
      <c r="CK52" s="259" t="str">
        <f t="shared" si="8"/>
        <v/>
      </c>
      <c r="CL52" s="259">
        <f ca="1">IF(IFERROR(MATCH(CK52,DENOMINAZIONE_GIORNALE,0),0)&gt;0,MAX(CL$2:CL51)+1,0)</f>
        <v>0</v>
      </c>
      <c r="CM52" s="259" t="str">
        <f ca="1">IFERROR(INDEX($CK$3:$CL$220,MATCH(ROWS($CM$3:CM52),$CL$3:$CL$220,0),1),"")</f>
        <v/>
      </c>
      <c r="CN52" s="259" t="str">
        <f t="shared" ca="1" si="9"/>
        <v/>
      </c>
      <c r="CO52" s="259">
        <f ca="1">IF(IF(CN52&lt;&gt;0,MAX($CO$2:CO51)+1,0)=0,"",IF(CN52&lt;&gt;"",MAX($CO$2:CO51)+1,0))</f>
        <v>0</v>
      </c>
      <c r="CP52" s="259" t="str">
        <f ca="1">IFERROR(INDEX($CM$3:$CN$220,MATCH(ROWS(CP$3:CP52),$CO$3:$CO$220,0),1),"")</f>
        <v/>
      </c>
      <c r="CQ52" s="259" t="str">
        <f ca="1">IFERROR(INDEX($CM$3:$CN$220,MATCH(ROWS(CQ$3:CQ52),$CO$3:$CO$220,0),2),"")</f>
        <v/>
      </c>
      <c r="CR52" s="259" t="str">
        <f t="shared" ca="1" si="154"/>
        <v/>
      </c>
      <c r="CS52" s="259">
        <f t="shared" ca="1" si="11"/>
        <v>0</v>
      </c>
      <c r="CT52" s="259">
        <f t="shared" ca="1" si="12"/>
        <v>0</v>
      </c>
      <c r="CU52" s="259">
        <f ca="1">IF(OR(CS52&gt;0,CT52&gt;0),MAX($CU$2:CU51)+1,0)</f>
        <v>0</v>
      </c>
      <c r="CV52" s="259" t="str">
        <f ca="1">IFERROR(INDEX(PIANO_DEI_CONTI,MATCH(ROWS($CV$3:CV52),$CU$3:$CU$200,0),2),"")</f>
        <v/>
      </c>
      <c r="CW52" s="259">
        <f ca="1">IFERROR(IF(CV52&lt;&gt;"",MAX($CW$2:CW51)+1,0),0)</f>
        <v>0</v>
      </c>
      <c r="CX52" s="259">
        <f t="shared" ca="1" si="162"/>
        <v>3</v>
      </c>
      <c r="CY52" s="259" t="str">
        <f t="shared" ca="1" si="161"/>
        <v>MASTRO</v>
      </c>
      <c r="CZ52" s="259" t="e">
        <f t="shared" ca="1" si="164"/>
        <v>#N/A</v>
      </c>
      <c r="DA52" s="259" t="str">
        <f t="shared" ca="1" si="169"/>
        <v/>
      </c>
      <c r="DB52" s="259" t="str">
        <f t="shared" ca="1" si="165"/>
        <v/>
      </c>
      <c r="DC52" s="259" t="str">
        <f t="shared" ca="1" si="166"/>
        <v/>
      </c>
      <c r="DD52" s="259" t="str">
        <f t="shared" ca="1" si="167"/>
        <v/>
      </c>
      <c r="DE52" s="259" t="str">
        <f t="shared" ca="1" si="168"/>
        <v/>
      </c>
      <c r="DF52" s="259">
        <f ca="1">IF(AND(CX52=$DE$2,$DF$2&lt;&gt;0),0,IF(AND(DB52&lt;&gt;"",OR(DB51&lt;&gt;"",DB53&lt;&gt;"")),MAX($DF$2:DF51)+1,0))</f>
        <v>0</v>
      </c>
      <c r="DG52" s="259" t="str">
        <f>IF(OR(VALORI_INIZIALI!E57="",AND(VALORI_INIZIALI!E57&lt;&gt;"",VALORI_INIZIALI!H57=0,VALORI_INIZIALI!I57=0)),"",IFERROR(INDEX(PIANO_DEI_CONTI,MATCH(BB52,DENOMINAZIONE,0),1),0))</f>
        <v/>
      </c>
      <c r="DH52" s="259">
        <f ca="1">IFERROR(IF($J$1=1,IF(INDEX(PIANO_DEI_CONTI,MATCH($K52,DENOMINAZIONE,0),5)=$DF$1,MAX($DH$2:DH51)+1,0),IF($J$1=2,IF(INDEX(PIANO_DEI_CONTI,MATCH($K52,DENOMINAZIONE,0),7)=$DF$1,MAX($DH$2:DH51)+1,0))),0)</f>
        <v>0</v>
      </c>
      <c r="DI52" s="259">
        <f ca="1">IFERROR(INDEX($K$3:$K$220,MATCH(ROWS($DI$3:DI52),$DH$3:$DH$220,0),1),0)</f>
        <v>0</v>
      </c>
      <c r="DJ52" s="259">
        <f t="shared" ca="1" si="14"/>
        <v>0</v>
      </c>
      <c r="DK52" s="259">
        <f ca="1">IF(DJ52=0,0,MAX(DK$2:DK51)+1)</f>
        <v>0</v>
      </c>
      <c r="DL52" s="259">
        <f ca="1">IFERROR(INDEX(PIANO_DEI_CONTI,MATCH(ROWS(DL$3:DL52),$DK$3:DK279,0),2),0)</f>
        <v>0</v>
      </c>
      <c r="DM52" s="259">
        <f t="shared" ca="1" si="15"/>
        <v>0</v>
      </c>
      <c r="DN52" s="259">
        <f t="shared" ca="1" si="16"/>
        <v>0</v>
      </c>
      <c r="DO52" s="259">
        <f t="shared" ca="1" si="69"/>
        <v>0</v>
      </c>
      <c r="DP52" s="259">
        <f t="shared" ca="1" si="70"/>
        <v>0</v>
      </c>
      <c r="DQ52" s="259">
        <f ca="1">IF(OR($DQ$1="TOTALI",$DQ$1="TOTALI ED ECCEDENZE"),IF(OR(DM52&gt;0,DN52&gt;0),MAX(DQ$2:DQ51)+1,0),IF($DQ$1="ECCEDENZE",IF(OR(DO52&gt;0,DP52&gt;0),MAX(DQ$2:DQ51)+1,0),""))</f>
        <v>0</v>
      </c>
      <c r="DR52" s="259" t="str">
        <f ca="1">IFERROR(INDEX($DL$3:$DQ$230,MATCH(ROWS(DR$3:DR52),$DQ$3:$DQ$230,0),1),"")</f>
        <v/>
      </c>
      <c r="DS52" s="259" t="str">
        <f t="shared" ca="1" si="71"/>
        <v/>
      </c>
      <c r="DT52" s="259" t="str">
        <f t="shared" ca="1" si="72"/>
        <v/>
      </c>
      <c r="DU52" s="259" t="str">
        <f t="shared" ca="1" si="73"/>
        <v/>
      </c>
      <c r="DV52" s="259" t="str">
        <f t="shared" ca="1" si="74"/>
        <v/>
      </c>
      <c r="DW52" s="259">
        <f t="shared" ca="1" si="75"/>
        <v>0</v>
      </c>
      <c r="DX52" s="259" t="str">
        <f t="shared" ca="1" si="76"/>
        <v/>
      </c>
      <c r="DY52" s="259" t="str">
        <f t="shared" ca="1" si="77"/>
        <v/>
      </c>
      <c r="DZ52" s="259" t="str">
        <f t="shared" ca="1" si="78"/>
        <v/>
      </c>
      <c r="EA52" s="259">
        <f t="shared" ca="1" si="79"/>
        <v>50</v>
      </c>
      <c r="EB52" s="259" t="s">
        <v>403</v>
      </c>
      <c r="ED52" s="259">
        <f t="shared" ca="1" si="17"/>
        <v>0</v>
      </c>
      <c r="EE52" s="259" t="str">
        <f t="shared" ca="1" si="155"/>
        <v/>
      </c>
      <c r="EF52" s="259" t="str">
        <f t="shared" ca="1" si="19"/>
        <v/>
      </c>
      <c r="EG52" s="259" t="str">
        <f t="shared" ca="1" si="136"/>
        <v/>
      </c>
      <c r="EH52" s="259" t="str">
        <f t="shared" ca="1" si="80"/>
        <v/>
      </c>
      <c r="EI52" s="260" t="b">
        <f t="shared" ca="1" si="137"/>
        <v>0</v>
      </c>
      <c r="EJ52" s="260" t="b">
        <f t="shared" ca="1" si="138"/>
        <v>0</v>
      </c>
      <c r="EK52" s="260" t="b">
        <f t="shared" ca="1" si="139"/>
        <v>1</v>
      </c>
      <c r="EL52" s="259">
        <f t="shared" si="81"/>
        <v>50</v>
      </c>
      <c r="EM52" s="259">
        <f ca="1">IF(AND(BA52&gt;0,BA52&lt;=$EM$1),MAX($EM$2:EM51)+1,0)</f>
        <v>0</v>
      </c>
      <c r="EN52" s="259">
        <f t="shared" ca="1" si="82"/>
        <v>52</v>
      </c>
      <c r="EP52" s="259" t="str">
        <f t="shared" ca="1" si="20"/>
        <v/>
      </c>
      <c r="EQ52" s="259">
        <f t="shared" ca="1" si="21"/>
        <v>0</v>
      </c>
      <c r="ER52" s="259">
        <f ca="1">IF(ISNA(EQ52),MAX(ER$2:ER51)+1,0)</f>
        <v>0</v>
      </c>
      <c r="ES52" s="259" t="str">
        <f t="shared" ca="1" si="83"/>
        <v/>
      </c>
      <c r="ET52" s="259" t="str">
        <f ca="1">IFERROR(UPPER(INDEX($ER$3:$ES$500,MATCH(ROWS(ET$3:ET52),$ER$3:$ER$500,0),2)),"")</f>
        <v/>
      </c>
      <c r="EY52" s="259">
        <f t="shared" ca="1" si="84"/>
        <v>0</v>
      </c>
      <c r="EZ52" s="259">
        <f t="shared" ca="1" si="84"/>
        <v>0</v>
      </c>
      <c r="FA52" s="259" t="str">
        <f t="shared" ca="1" si="85"/>
        <v/>
      </c>
      <c r="FB52" s="259">
        <f t="shared" ca="1" si="86"/>
        <v>0</v>
      </c>
      <c r="FC52" s="259">
        <f t="shared" ca="1" si="87"/>
        <v>0</v>
      </c>
      <c r="FD52" s="259">
        <f t="shared" ca="1" si="22"/>
        <v>0</v>
      </c>
      <c r="FE52" s="259" t="str">
        <f t="shared" ca="1" si="23"/>
        <v/>
      </c>
      <c r="FF52" s="259" t="str">
        <f t="shared" ca="1" si="88"/>
        <v/>
      </c>
      <c r="FG52" s="259" t="str">
        <f t="shared" si="89"/>
        <v>ASSEGNI</v>
      </c>
      <c r="FH52" s="259">
        <f t="shared" ca="1" si="156"/>
        <v>0</v>
      </c>
      <c r="FI52" s="259">
        <f t="shared" ca="1" si="25"/>
        <v>0</v>
      </c>
      <c r="FJ52" s="259">
        <f t="shared" ca="1" si="90"/>
        <v>0</v>
      </c>
      <c r="FK52" s="259">
        <f t="shared" ca="1" si="91"/>
        <v>0</v>
      </c>
      <c r="FL52" s="259">
        <f ca="1">IF(OR(FJ52&gt;0,FK52&gt;0),MAX($FL$2:FL51)+1,0)</f>
        <v>0</v>
      </c>
      <c r="FM52" s="259">
        <f t="shared" ca="1" si="26"/>
        <v>0</v>
      </c>
      <c r="FN52" s="259">
        <f ca="1">IF(FM52&lt;0,MAX($FN$2:FN51)+1,0)</f>
        <v>0</v>
      </c>
      <c r="FO52" s="259" t="str">
        <f t="shared" ca="1" si="92"/>
        <v/>
      </c>
      <c r="FP52" s="259" t="str">
        <f ca="1">IFERROR(INDEX($FN$3:$FO$400,MATCH(ROWS($FP$3:FP52),$FN$3:$FN$400,0),2),"")</f>
        <v/>
      </c>
      <c r="FQ52" s="259" t="str">
        <f>IF(AE52="SE AVERE",MAX($FQ$2:FQ51)+1,"")</f>
        <v/>
      </c>
      <c r="FR52" s="259" t="str">
        <f>IF(AE52="SE DARE",MAX($FR$2:FR51)+1,"")</f>
        <v/>
      </c>
      <c r="FS52" s="259">
        <f ca="1">IF(AND(AE52="SP DARE",AA52&lt;&gt;$FS$1,AA52&lt;&gt;$FT$1),MAX($FS$2:FS51)+1,IF(AND(GQ52="SP DARE",AA52&lt;&gt;$FS$1,AA52&lt;&gt;$FT$1),MAX($FS$2:FS51)+1,""))</f>
        <v>127</v>
      </c>
      <c r="FT52" s="259" t="str">
        <f ca="1">IF(AND(AE52="SP AVERE",AA52&lt;&gt;$FU$1),MAX($FT$2:FT51)+1,IF(AND(GQ52="SP AVERE",AA52&lt;&gt;$FU$1),MAX($FT$2:FT51)+1,""))</f>
        <v/>
      </c>
      <c r="FU52" s="259">
        <f t="shared" ca="1" si="93"/>
        <v>127</v>
      </c>
      <c r="FV52" s="259" t="str">
        <f t="shared" si="94"/>
        <v>ASSEGNI</v>
      </c>
      <c r="FW52" s="259" t="str">
        <f ca="1">IFERROR(INDEX($FU$3:$FV$500,MATCH(ROWS($FW$3:FW52),$FU$3:$FU$500,0),2),0)</f>
        <v>AMMORTAMENTO BREVETTI</v>
      </c>
      <c r="FX52" s="259">
        <f t="shared" ca="1" si="95"/>
        <v>50</v>
      </c>
      <c r="FY52" s="259">
        <f t="shared" ca="1" si="96"/>
        <v>0</v>
      </c>
      <c r="FZ52" s="259">
        <f ca="1">IF(FY52&gt;0,MAX($FZ$2:FZ51)+1,0)</f>
        <v>0</v>
      </c>
      <c r="GA52" s="259">
        <f ca="1">IFERROR(INDEX($FY$3:$FZ$500,MATCH(ROWS($GA$3:GA52),$FZ$3:$FZ$500,0),1),0)</f>
        <v>0</v>
      </c>
      <c r="GC52" s="259">
        <f t="shared" ca="1" si="97"/>
        <v>50</v>
      </c>
      <c r="GD52" s="259" t="str">
        <f t="shared" ca="1" si="98"/>
        <v>AMMORTAMENTO BREVETTI</v>
      </c>
      <c r="GG52" s="259">
        <f t="shared" ca="1" si="27"/>
        <v>0</v>
      </c>
      <c r="GH52" s="259">
        <f t="shared" ca="1" si="99"/>
        <v>0</v>
      </c>
      <c r="GI52" s="259">
        <f t="shared" ca="1" si="100"/>
        <v>0</v>
      </c>
      <c r="GJ52" s="259">
        <f t="shared" ca="1" si="101"/>
        <v>0</v>
      </c>
      <c r="GK52" s="259">
        <f t="shared" ca="1" si="102"/>
        <v>0</v>
      </c>
      <c r="GL52" s="259">
        <f t="shared" ca="1" si="103"/>
        <v>0</v>
      </c>
      <c r="GM52" s="259">
        <f ca="1">IF(OR(GK52&gt;0,GL52&gt;0),MAX($GM$2:GM51)+1,0)</f>
        <v>0</v>
      </c>
      <c r="GN52" s="259" t="str">
        <f ca="1">IFERROR(INDEX($GD$3:$GM$400,MATCH(ROWS($GN$3:GN52),$GM$3:$GM$400,0),1),"")</f>
        <v/>
      </c>
      <c r="GO52" s="259" t="str">
        <f ca="1">IFERROR(INDEX($GD$3:$GM$400,MATCH(ROWS($GO$3:GO52),$GM$3:$GM$400,0),8),"")</f>
        <v/>
      </c>
      <c r="GP52" s="259" t="str">
        <f ca="1">IFERROR(INDEX($GD$3:$GM$400,MATCH(ROWS($GP$3:GP52),$GM$3:$GM$400,0),9),"")</f>
        <v/>
      </c>
      <c r="GQ52" s="259">
        <f t="shared" ca="1" si="28"/>
        <v>0</v>
      </c>
      <c r="GR52" s="259">
        <f t="shared" ca="1" si="104"/>
        <v>0</v>
      </c>
      <c r="GS52" s="259" t="str">
        <f t="shared" si="105"/>
        <v>epilogo a Conto economico</v>
      </c>
      <c r="GT52" s="259" t="str">
        <f ca="1">IFERROR(INDEX($GD$3:$GS$400,MATCH(ROWS($GT$3:GT52),$GM$3:$GM$400,0),16),"")</f>
        <v/>
      </c>
      <c r="GU52" s="259">
        <f ca="1">IF(GQ52&lt;&gt;0,MAX($GU$2:$GU51)+1,0)</f>
        <v>0</v>
      </c>
      <c r="GV52" s="259">
        <f t="shared" ca="1" si="106"/>
        <v>0</v>
      </c>
      <c r="GW52" s="259" t="str">
        <f ca="1">IF(AND(IFERROR(INDEX($GU$3:$GV$400,MATCH(ROWS($GW$3:GW52),$GU$3:$GU$400,0),2),"")&lt;&gt;"",GW53&lt;&gt;""),CONCATENATE(IFERROR(INDEX($GU$3:$GV$400,MATCH(ROWS($GW$3:GW52),$GU$3:$GU$400,0),2),"")," - "),IFERROR(INDEX($GU$3:$GV$400,MATCH(ROWS($GW$3:GW52),$GU$3:$GU$400,0),2),""))</f>
        <v/>
      </c>
      <c r="GX52" s="259">
        <f ca="1">IF(OR(GN52="IVA NS/CREDITO",GN52="IVA NS/DEBITO",GN52="IVA C/ACCONTO",GN52="IMPOSTE C/ACCONTO"),MAX($GX$2:GX51)+1,0)</f>
        <v>0</v>
      </c>
      <c r="GY52" s="259" t="str">
        <f ca="1">IF(AND(IFERROR(INDEX($GN$3:$GX$200,MATCH(ROWS($GY$3:GY52),$GX$3:$GX$200,0),1),"")&lt;&gt;"",GY53&lt;&gt;""),CONCATENATE(IFERROR(INDEX($GN$3:$GX$200,MATCH(ROWS($GY$3:GY52),$GX$3:$GX$200,0),1),"")," - "),IFERROR(INDEX($GN$3:$GX$200,MATCH(ROWS($GY$3:GY52),$GX$3:$GX$200,0),1),""))</f>
        <v/>
      </c>
      <c r="GZ52" s="259" t="s">
        <v>689</v>
      </c>
      <c r="HA52" s="259" t="s">
        <v>473</v>
      </c>
      <c r="HB52" s="269" t="s">
        <v>257</v>
      </c>
      <c r="HC52" s="269" t="s">
        <v>276</v>
      </c>
      <c r="HD52" s="269" t="s">
        <v>6</v>
      </c>
      <c r="HE52" s="269" t="s">
        <v>206</v>
      </c>
      <c r="HG52" s="270"/>
      <c r="HL52" s="259" t="str">
        <f t="shared" ca="1" si="157"/>
        <v/>
      </c>
      <c r="HM52" s="259" t="str">
        <f t="shared" ca="1" si="158"/>
        <v/>
      </c>
      <c r="HN52" s="259" t="str">
        <f t="shared" ca="1" si="159"/>
        <v/>
      </c>
      <c r="HO52" s="259">
        <f ca="1">IF(HL52&lt;&gt;"",MAX($HO$2:HO51)+1,0)</f>
        <v>0</v>
      </c>
      <c r="HP52" s="259">
        <f ca="1">IF(HM52&lt;&gt;"",MAX($HP$2:HP51)+1,0)</f>
        <v>0</v>
      </c>
      <c r="HQ52" s="259">
        <f ca="1">IF(HN52&lt;&gt;"",MAX($HQ$2:HQ51)+1,0)</f>
        <v>0</v>
      </c>
      <c r="HR52" s="259" t="str">
        <f t="shared" ca="1" si="107"/>
        <v/>
      </c>
      <c r="HS52" s="259" t="str">
        <f t="shared" ca="1" si="108"/>
        <v/>
      </c>
      <c r="HT52" s="259">
        <f t="shared" ca="1" si="109"/>
        <v>0</v>
      </c>
      <c r="HU52" s="259">
        <f t="shared" ca="1" si="110"/>
        <v>0</v>
      </c>
      <c r="HV52" s="259" t="str">
        <f ca="1">CONCATENATE(IFERROR(INDEX($HS$3:$HT$102,MATCH(ROWS($HV$3:HV52),$HT$3:$HT$102,0),1),""),HR52)</f>
        <v/>
      </c>
      <c r="IA52" s="259" t="s">
        <v>372</v>
      </c>
      <c r="IB52" s="259" t="s">
        <v>313</v>
      </c>
      <c r="IC52" s="259">
        <f ca="1">IFERROR(INDEX(PIANO_DEI_CONTI,MATCH(ROWS(DL$3:DL52),$DK$3:DK279,0),2),0)</f>
        <v>0</v>
      </c>
      <c r="ID52" s="259">
        <f t="shared" ca="1" si="111"/>
        <v>0</v>
      </c>
      <c r="IE52" s="259">
        <f t="shared" ca="1" si="112"/>
        <v>0</v>
      </c>
      <c r="IF52" s="259">
        <f t="shared" ca="1" si="113"/>
        <v>0</v>
      </c>
      <c r="IG52" s="259">
        <f t="shared" ref="IG52:IG65" ca="1" si="171">ROUND(SUMIFS($ID$3:$ID$200,$IF$3:$IF$200,IA52),0)</f>
        <v>0</v>
      </c>
      <c r="IH52" s="259">
        <f ca="1">IF(IG52&lt;&gt;0,MAX($IH$35:IH51)+1,0)</f>
        <v>0</v>
      </c>
      <c r="II52" s="259">
        <f>IF(AD52="costi pluriennali",MAX($II$2:II51)+1,0)</f>
        <v>0</v>
      </c>
      <c r="IJ52" s="259">
        <f>IF($AD52="rettifiche costi pluriennali",MAX($IJ$2:IJ51)+1,0)</f>
        <v>0</v>
      </c>
      <c r="IK52" s="259">
        <f t="shared" si="114"/>
        <v>0</v>
      </c>
      <c r="IL52" s="259" t="str">
        <f t="shared" si="115"/>
        <v/>
      </c>
      <c r="IM52" s="259">
        <f t="shared" ca="1" si="116"/>
        <v>0</v>
      </c>
      <c r="IN52" s="259">
        <f t="shared" ca="1" si="141"/>
        <v>0</v>
      </c>
      <c r="IO52" s="259">
        <f>SUMIFS($IM$3:$IM$200,$IK$3:$IK$200,ROWS($IO$3:IO52))-SUMIFS($IN$3:$IN$200,$IK$3:$IK$200,ROWS($IO$3:IO52))</f>
        <v>0</v>
      </c>
      <c r="IP52" s="259" t="str">
        <f>IF(IO52&lt;0,INDEX($IJ$3:$IL$200,MATCH(ROWS($IP$3:IP52),$IJ$3:$IJ$200,0),3),"")</f>
        <v/>
      </c>
      <c r="IQ52" s="259">
        <f>IF(IP52&lt;&gt;"",MAX($IQ$2:IQ51)+1,0)</f>
        <v>0</v>
      </c>
      <c r="IR52" s="259" t="str">
        <f ca="1">IFERROR(INDEX($IP$3:$IQ$200,MATCH(ROWS($IR$3:IR52),$IQ$3:$IQ$200,0),1),"")</f>
        <v/>
      </c>
      <c r="IS52" s="259" t="str">
        <f t="shared" ca="1" si="117"/>
        <v/>
      </c>
      <c r="IT52" s="259" t="str">
        <f t="shared" ca="1" si="118"/>
        <v/>
      </c>
      <c r="IU52" s="259" t="str">
        <f t="shared" ca="1" si="119"/>
        <v/>
      </c>
      <c r="IV52" s="259" t="str">
        <f t="shared" ca="1" si="120"/>
        <v/>
      </c>
      <c r="IW52" s="259" t="str">
        <f t="shared" ca="1" si="121"/>
        <v/>
      </c>
      <c r="IX52" s="259" t="str">
        <f t="shared" ca="1" si="122"/>
        <v/>
      </c>
      <c r="IY52" s="259" t="str">
        <f t="shared" ca="1" si="123"/>
        <v/>
      </c>
      <c r="IZ52" s="259" t="str">
        <f t="shared" ca="1" si="124"/>
        <v/>
      </c>
      <c r="JA52" s="259" t="str">
        <f t="shared" ca="1" si="125"/>
        <v/>
      </c>
      <c r="JB52" s="259">
        <f t="shared" ca="1" si="32"/>
        <v>0</v>
      </c>
      <c r="JC52" s="259">
        <f t="shared" ca="1" si="126"/>
        <v>0</v>
      </c>
      <c r="JE52" s="259">
        <f ca="1">IFERROR(INDEX(LIBRO_GIORNALE!$N$11:$O$408,MATCH(ROWS($JE$2:JE51),LIBRO_GIORNALE!$O$11:$O$408,0),1),0)</f>
        <v>0</v>
      </c>
      <c r="JF52" s="259" t="str">
        <f t="shared" ca="1" si="127"/>
        <v>0</v>
      </c>
      <c r="JG52" s="259">
        <f t="shared" ca="1" si="128"/>
        <v>0</v>
      </c>
      <c r="JH52" s="259">
        <f ca="1">IF(JJ52&gt;0,0,MAX($JH$2:JH51)+1)</f>
        <v>50</v>
      </c>
      <c r="JI52" s="259">
        <f ca="1">IF(JG52&gt;0,MAX($JI$2:JI51)+1,0)</f>
        <v>0</v>
      </c>
      <c r="JJ52" s="259">
        <f ca="1">IFERROR(INDEX($JG$3:$JI$124,MATCH(ROWS($JJ$3:JJ52),$JI$3:$JI$124,0),1),0)</f>
        <v>0</v>
      </c>
      <c r="JK52" s="259">
        <f t="shared" ca="1" si="129"/>
        <v>0</v>
      </c>
      <c r="JL52" s="259">
        <f t="shared" ca="1" si="130"/>
        <v>50</v>
      </c>
    </row>
    <row r="53" spans="1:272">
      <c r="A53" s="259" t="str">
        <f t="shared" si="33"/>
        <v>06.05</v>
      </c>
      <c r="B53" s="259" t="str">
        <f t="shared" si="34"/>
        <v>CREDITI PER CAUZIONI</v>
      </c>
      <c r="C53" s="259" t="str">
        <f t="shared" si="35"/>
        <v>F</v>
      </c>
      <c r="D53" s="259" t="str">
        <f t="shared" si="36"/>
        <v>D</v>
      </c>
      <c r="E53" s="259" t="str">
        <f t="shared" si="37"/>
        <v>CREDITI</v>
      </c>
      <c r="F53" s="259" t="str">
        <f t="shared" si="38"/>
        <v>SP DARE</v>
      </c>
      <c r="G53" s="259">
        <f t="shared" ca="1" si="39"/>
        <v>1</v>
      </c>
      <c r="H53" s="259">
        <f t="shared" ca="1" si="40"/>
        <v>1</v>
      </c>
      <c r="I53" s="259">
        <f t="shared" ca="1" si="41"/>
        <v>1</v>
      </c>
      <c r="K53" s="259" t="str">
        <f ca="1">IFERROR(IF($I$1=1,INDEX($AA$3:$AS$220,MATCH(ROWS($K$3:K53),$AQ$3:$AQ$220,0),1),IF($I$1=2,INDEX($AA$3:$AS$220,MATCH(ROWS($K$3:K53),$AR$3:$AR$220,0),1),IF($I$1=3,INDEX($AA$3:$AS$220,MATCH(ROWS($K$3:K53),$AS$3:$AS$220,0),1),""))),"")</f>
        <v>DENARO IN CASSA</v>
      </c>
      <c r="L53" s="259">
        <f ca="1">IF(AND($L$1="VISUALIZZA TUTTI I CONTI",K53&lt;&gt;""),MAX(L52:L52)+1,IFERROR(IF($J$1=1,IF(INDEX(PIANO_DEI_CONTI,MATCH($K53,DENOMINAZIONE,0),5)=$L$1,MAX($L$2:L52)+1,0),IF($J$1=2,IF(INDEX(PIANO_DEI_CONTI,MATCH($K53,DENOMINAZIONE,0),7)=$L$1,MAX($L$2:L52)+1,0))),0))</f>
        <v>51</v>
      </c>
      <c r="M53" s="259" t="str">
        <f ca="1">IFERROR(INDEX($K$3:$K$220,MATCH(ROWS($M$3:M53),$L$3:$L$220,0),1),"")</f>
        <v>DENARO IN CASSA</v>
      </c>
      <c r="N53" s="259" t="str">
        <f t="shared" si="143"/>
        <v/>
      </c>
      <c r="O53" s="259" t="str">
        <f t="shared" ca="1" si="170"/>
        <v/>
      </c>
      <c r="P53" s="259">
        <f ca="1">IF(AND(N53=O53,O53&lt;&gt;""),MAX(P$2:P52)+1,0)</f>
        <v>0</v>
      </c>
      <c r="Q53" s="259" t="str">
        <f ca="1">IF(IFERROR(INDEX($O$3:$P$220,MATCH(ROWS(Q$3:Q53),$P$3:$P$220,0),1),"")=0,"",IFERROR(INDEX($O$3:$P$220,MATCH(ROWS(Q$3:Q53),$P$3:$P$220,0),1),""))</f>
        <v/>
      </c>
      <c r="R53" s="259" t="str">
        <f t="shared" si="1"/>
        <v>DENARO IN CASSA</v>
      </c>
      <c r="S53" s="259">
        <f ca="1">IF(IFERROR(MATCH(R53,DENOMINAZIONE_GIORNALE,0),0)&gt;0,MAX(S$2:S52)+1,0)</f>
        <v>0</v>
      </c>
      <c r="T53" s="259" t="str">
        <f ca="1">IFERROR(INDEX($R$3:$S$220,MATCH(ROWS($T$3:T53),$S$3:$S$220,0),1),"")</f>
        <v/>
      </c>
      <c r="U53" s="259">
        <f t="shared" ca="1" si="2"/>
        <v>0</v>
      </c>
      <c r="V53" s="259">
        <f ca="1">IF(IF(U53&lt;&gt;0,MAX($V$2:V52)+1,0)=0,0,IF(U53&lt;&gt;0,MAX($V$2:V52)+1,0))</f>
        <v>0</v>
      </c>
      <c r="W53" s="259" t="str">
        <f t="shared" si="43"/>
        <v>06.05</v>
      </c>
      <c r="X53" s="259" t="str">
        <f t="shared" si="44"/>
        <v>CREDITI PER CAUZIONI</v>
      </c>
      <c r="Y53" s="259">
        <f>IF(W53="",0,MAX($Y$2:Y52)+1)</f>
        <v>45</v>
      </c>
      <c r="Z53" s="259" t="str">
        <f>IFERROR(INDEX($W$3:$Y$220,MATCH(ROWS($Z$2:Z52),$Y$3:$Y$220,0),1),"")</f>
        <v>08.20</v>
      </c>
      <c r="AA53" s="259" t="str">
        <f t="shared" si="45"/>
        <v>DENARO IN CASSA</v>
      </c>
      <c r="AB53" s="259" t="str">
        <f t="shared" si="46"/>
        <v>F</v>
      </c>
      <c r="AC53" s="259" t="str">
        <f t="shared" si="47"/>
        <v>D</v>
      </c>
      <c r="AD53" s="259" t="str">
        <f t="shared" si="48"/>
        <v>DISPONIBILITÀ LIQUIDE</v>
      </c>
      <c r="AE53" s="259" t="str">
        <f t="shared" si="49"/>
        <v>SP DARE</v>
      </c>
      <c r="AF53" s="259" t="str">
        <f t="shared" si="50"/>
        <v>DISPONIBILITÀ LIQUIDE</v>
      </c>
      <c r="AG53" s="259">
        <f t="shared" ca="1" si="51"/>
        <v>1</v>
      </c>
      <c r="AH53" s="259">
        <f t="shared" ca="1" si="52"/>
        <v>1</v>
      </c>
      <c r="AI53" s="259">
        <f t="shared" ca="1" si="53"/>
        <v>1</v>
      </c>
      <c r="AJ53" s="259" t="str">
        <f t="shared" si="54"/>
        <v>08</v>
      </c>
      <c r="AK53" s="259" t="str">
        <f t="shared" si="55"/>
        <v/>
      </c>
      <c r="AL53" s="259">
        <f>IF(AK53&lt;&gt;"",MAX($AL$2:AL52)+1,0)</f>
        <v>0</v>
      </c>
      <c r="AM53" s="259" t="str">
        <f>IFERROR(INDEX($AK$3:$AL$220,MATCH(ROWS($AM$3:AM53),$AL$3:$AL$220,0),1),"")</f>
        <v/>
      </c>
      <c r="AN53" s="259" t="str">
        <f t="shared" si="56"/>
        <v/>
      </c>
      <c r="AO53" s="259" t="str">
        <f t="shared" si="57"/>
        <v/>
      </c>
      <c r="AP53" s="259" t="str">
        <f t="shared" si="58"/>
        <v>DISPONIBILITÀ LIQUIDE</v>
      </c>
      <c r="AQ53" s="259">
        <f ca="1">IF(OR(AG53=0,AG53=""),0,MAX(AQ$2:AQ52)+1)</f>
        <v>29</v>
      </c>
      <c r="AR53" s="259">
        <f ca="1">IF(OR(AH53=0,AH53=""),0,MAX(AR$2:AR52)+1)</f>
        <v>42</v>
      </c>
      <c r="AS53" s="259">
        <f ca="1">IF(OR(AI53=0,AI53=""),0,MAX(AS$2:AS52)+1)</f>
        <v>51</v>
      </c>
      <c r="AT53" s="259" t="str">
        <f ca="1">IFERROR(INDEX($AD$3:$AS$220,MATCH(ROWS(AT$3:AT53),AQ$3:AQ$220,0),1),"")</f>
        <v>RETTIFICHE RICAVI D'ESERCIZIO</v>
      </c>
      <c r="AU53" s="259" t="str">
        <f ca="1">IFERROR(INDEX($AD$3:$AS$220,MATCH(ROWS(AU$3:AU53),AR$3:AR$220,0),1),"")</f>
        <v>DEBITI</v>
      </c>
      <c r="AV53" s="259" t="str">
        <f ca="1">IFERROR(INDEX($AD$3:$AS$220,MATCH(ROWS(AV$3:AV53),AS$3:AS$220,0),1),"")</f>
        <v>DISPONIBILITÀ LIQUIDE</v>
      </c>
      <c r="AW53" s="259" t="str">
        <f ca="1">IFERROR(INDEX($AP$3:$AS$220,MATCH(ROWS(AW$3:AW53),AQ$3:AQ$220,0),1),"")</f>
        <v>VALORE DELLA PRODUZIONE</v>
      </c>
      <c r="AX53" s="259" t="str">
        <f ca="1">IFERROR(INDEX($AP$3:$AS$220,MATCH(ROWS(AX$3:AX53),AR$3:AR$220,0),1),"")</f>
        <v>DEBITI COMMERCIALI</v>
      </c>
      <c r="AY53" s="259" t="str">
        <f ca="1">IFERROR(INDEX($AP$3:$AS$220,MATCH(ROWS(AY$3:AY53),AS$3:AS$220,0),1),"")</f>
        <v>DISPONIBILITÀ LIQUIDE</v>
      </c>
      <c r="AZ53" s="276" t="str">
        <f t="shared" ca="1" si="59"/>
        <v/>
      </c>
      <c r="BA53" s="259">
        <f t="shared" ca="1" si="153"/>
        <v>0</v>
      </c>
      <c r="BB53" s="259">
        <f ca="1">IFERROR(INDEX($FG$3:$FL$400,MATCH(ROWS($BB$3:BB53),$FL$3:$FL$400,0),1),0)</f>
        <v>0</v>
      </c>
      <c r="BC53" s="259" t="str">
        <f t="shared" ca="1" si="60"/>
        <v/>
      </c>
      <c r="BD53" s="259">
        <f ca="1">IFERROR(INDEX($FG$3:$FL$400,MATCH(ROWS($BD$3:BD53),$FL$3:$FL$400,0),4),0)</f>
        <v>0</v>
      </c>
      <c r="BE53" s="259">
        <f ca="1">IFERROR(INDEX($FG$3:$FL$400,MATCH(ROWS($BE$3:BE53),$FL$3:$FL$400,0),5),0)</f>
        <v>0</v>
      </c>
      <c r="BG53" s="259" t="str">
        <f t="shared" si="4"/>
        <v/>
      </c>
      <c r="BH53" s="259">
        <f ca="1">IF(IFERROR(MATCH(BG53,DENOMINAZIONE_GIORNALE,0),0)&gt;0,MAX(BH$2:BH52)+1,0)</f>
        <v>0</v>
      </c>
      <c r="BI53" s="259" t="str">
        <f ca="1">IFERROR(INDEX($BG$3:$BH$220,MATCH(ROWS($BI$3:BI53),$BH$3:$BH$220,0),1),"")</f>
        <v/>
      </c>
      <c r="BJ53" s="259" t="str">
        <f t="shared" ca="1" si="5"/>
        <v/>
      </c>
      <c r="BK53" s="259" t="str">
        <f ca="1">IF(IF(BJ53&lt;&gt;"",MAX($BK$2:BK52)+1,0)=0,"",IF(BJ53&lt;&gt;"",MAX($BK$2:BK52)+1,0))</f>
        <v/>
      </c>
      <c r="BL53" s="259" t="str">
        <f ca="1">IFERROR(INDEX($T$3:$U$220, MATCH(ROWS(BL$3:BL53),$V$3:$V$220,0),1),"")</f>
        <v/>
      </c>
      <c r="BM53" s="259" t="str">
        <f ca="1">IFERROR(INDEX($T$3:$U$220, MATCH(ROWS(BM$3:BM53),$V$3:$V$220,0),2),"")</f>
        <v/>
      </c>
      <c r="BN53" s="259" t="str">
        <f ca="1">IF(IFERROR(INDEX($BI$3:$BJ$220,MATCH(ROWS(BN$3:BN53),$BK$3:$BK$220,0),1),"")="PATRIMONIO NETTO","",IFERROR(INDEX($BI$3:$BJ$220,MATCH(ROWS(BN$3:BN53),$BK$3:$BK$220,0),1),""))</f>
        <v/>
      </c>
      <c r="BO53" s="259" t="str">
        <f ca="1">IFERROR(INDEX($BI$3:$BJ$220,MATCH(ROWS(BO$3:BO53),$BK$3:$BK$220,0),2),"")</f>
        <v/>
      </c>
      <c r="BP53" s="259">
        <f ca="1">IF(BN53&lt;&gt;"",MAX(BP$2:$BP52)+1,0)</f>
        <v>0</v>
      </c>
      <c r="BQ53" s="259" t="str">
        <f ca="1">IFERROR(INDEX($BN$3:$BO$200,MATCH(ROWS(BQ$3:BQ53),$BP$3:$BP$220,0),1),"")</f>
        <v/>
      </c>
      <c r="BR53" s="259" t="str">
        <f ca="1">IFERROR(INDEX($BN$3:$BO$220,MATCH(ROWS(BR$3:BR53),$BP$3:$BP$220,0),2),"")</f>
        <v/>
      </c>
      <c r="BS53" s="259" t="str">
        <f ca="1">IFERROR(IF(OR(INDEX($T$3:$U$220,MATCH(ROWS(BL$3:BL53),$V$3:$V$220,0),1)="PRELEVAMENTI EXTRAGESTIONE",INDEX($T$3:$U$220,MATCH(ROWS(BL$3:BL53),$V$3:$V$220,0),1)="TITOLARE C/RITENUTE SUBITE"),"",INDEX($T$3:$U$220,MATCH(ROWS(BL$3:BL53),$V$3:$V$220,0),1)),"")</f>
        <v/>
      </c>
      <c r="BT53" s="259">
        <f t="shared" ca="1" si="61"/>
        <v>0</v>
      </c>
      <c r="BU53" s="259">
        <f ca="1">IF(BS53&lt;&gt;"",MAX(BU$2:BU52)+1,0)</f>
        <v>0</v>
      </c>
      <c r="BV53" s="259" t="str">
        <f ca="1">IFERROR(INDEX($BS$3:$BT$223,MATCH(ROWS(BV$3:BV53),$BU$3:$BU$223,0),1),"")</f>
        <v/>
      </c>
      <c r="BW53" s="259">
        <f t="shared" ca="1" si="62"/>
        <v>0</v>
      </c>
      <c r="BX53" s="259" t="str">
        <f t="shared" ca="1" si="63"/>
        <v/>
      </c>
      <c r="BY53" s="259" t="str">
        <f t="shared" ca="1" si="64"/>
        <v/>
      </c>
      <c r="BZ53" s="259" t="str">
        <f ca="1">IFERROR(IF(OR($DS$231&lt;&gt;$DT$231,$DU$231&lt;&gt;$DV$231,$EO$25&lt;&gt;0,$EO$26&lt;&gt;0),INDEX($T$3:$V$220,MATCH(ROWS($BV$3:BV53),$V$3:$V$220,0),1),CONCATENATE(BV53,BY53)),"")</f>
        <v/>
      </c>
      <c r="CA53" s="259">
        <f t="shared" ca="1" si="65"/>
        <v>0</v>
      </c>
      <c r="CB53" s="259" t="str">
        <f ca="1">IFERROR(IF(OR($BB$1&lt;&gt;$BD$1,$BC$1&lt;&gt;$BE$1,$DS$231&lt;&gt;$DT$231,$DU$231&lt;&gt;$DV$231,$EO$25&lt;&gt;0,$EO$26&lt;&gt;0),INDEX($BI$3:$BK$220,MATCH(ROWS($CB$3:CB53),$BK$3:$BK$220,0),1),CONCATENATE(BQ53,BX53)),"")</f>
        <v/>
      </c>
      <c r="CC53" s="259" t="str">
        <f t="shared" ca="1" si="66"/>
        <v/>
      </c>
      <c r="CD53" s="259" t="str">
        <f t="shared" si="6"/>
        <v/>
      </c>
      <c r="CE53" s="259">
        <f ca="1">IF(IFERROR(MATCH(CD53,DENOMINAZIONE_GIORNALE,0),0)&gt;0,MAX(CE$2:CE52)+1,0)</f>
        <v>0</v>
      </c>
      <c r="CF53" s="259" t="str">
        <f ca="1">IFERROR(INDEX($CD$3:$CE$220,MATCH(ROWS($CF$3:CF53),$CE$3:$CE$220,0),1),"")</f>
        <v/>
      </c>
      <c r="CG53" s="259">
        <f t="shared" ca="1" si="7"/>
        <v>0</v>
      </c>
      <c r="CH53" s="259" t="str">
        <f ca="1">IF(IF(CG53&lt;&gt;0,MAX($CH$2:CH52)+1,0)=0,"",IF(CG53&lt;&gt;"",MAX($CH$2:CH52)+1,0))</f>
        <v/>
      </c>
      <c r="CI53" s="259" t="str">
        <f ca="1">IFERROR(INDEX($CF$3:$CG$220,MATCH(ROWS($CI$3:CI53),$CH$3:$CH$220,0),1),"")</f>
        <v/>
      </c>
      <c r="CJ53" s="259" t="str">
        <f t="shared" ca="1" si="67"/>
        <v/>
      </c>
      <c r="CK53" s="259" t="str">
        <f t="shared" si="8"/>
        <v/>
      </c>
      <c r="CL53" s="259">
        <f ca="1">IF(IFERROR(MATCH(CK53,DENOMINAZIONE_GIORNALE,0),0)&gt;0,MAX(CL$2:CL52)+1,0)</f>
        <v>0</v>
      </c>
      <c r="CM53" s="259" t="str">
        <f ca="1">IFERROR(INDEX($CK$3:$CL$220,MATCH(ROWS($CM$3:CM53),$CL$3:$CL$220,0),1),"")</f>
        <v/>
      </c>
      <c r="CN53" s="259" t="str">
        <f t="shared" ca="1" si="9"/>
        <v/>
      </c>
      <c r="CO53" s="259">
        <f ca="1">IF(IF(CN53&lt;&gt;0,MAX($CO$2:CO52)+1,0)=0,"",IF(CN53&lt;&gt;"",MAX($CO$2:CO52)+1,0))</f>
        <v>0</v>
      </c>
      <c r="CP53" s="259" t="str">
        <f ca="1">IFERROR(INDEX($CM$3:$CN$220,MATCH(ROWS(CP$3:CP53),$CO$3:$CO$220,0),1),"")</f>
        <v/>
      </c>
      <c r="CQ53" s="259" t="str">
        <f ca="1">IFERROR(INDEX($CM$3:$CN$220,MATCH(ROWS(CQ$3:CQ53),$CO$3:$CO$220,0),2),"")</f>
        <v/>
      </c>
      <c r="CR53" s="259" t="str">
        <f t="shared" ca="1" si="154"/>
        <v/>
      </c>
      <c r="CS53" s="259">
        <f t="shared" ca="1" si="11"/>
        <v>0</v>
      </c>
      <c r="CT53" s="259">
        <f t="shared" ca="1" si="12"/>
        <v>0</v>
      </c>
      <c r="CU53" s="259">
        <f ca="1">IF(OR(CS53&gt;0,CT53&gt;0),MAX($CU$2:CU52)+1,0)</f>
        <v>0</v>
      </c>
      <c r="CV53" s="259" t="str">
        <f ca="1">IFERROR(INDEX(PIANO_DEI_CONTI,MATCH(ROWS($CV$3:CV53),$CU$3:$CU$200,0),2),"")</f>
        <v/>
      </c>
      <c r="CW53" s="259">
        <f ca="1">IFERROR(IF(CV53&lt;&gt;"",MAX($CW$2:CW52)+1,0),0)</f>
        <v>0</v>
      </c>
      <c r="CX53" s="259">
        <f t="shared" ca="1" si="162"/>
        <v>3</v>
      </c>
      <c r="CY53" s="259" t="str">
        <f t="shared" ca="1" si="161"/>
        <v>MASTRO</v>
      </c>
      <c r="CZ53" s="259" t="e">
        <f t="shared" ca="1" si="164"/>
        <v>#N/A</v>
      </c>
      <c r="DA53" s="259" t="str">
        <f t="shared" ca="1" si="169"/>
        <v/>
      </c>
      <c r="DB53" s="259" t="str">
        <f t="shared" ca="1" si="165"/>
        <v/>
      </c>
      <c r="DC53" s="259" t="str">
        <f t="shared" ca="1" si="166"/>
        <v/>
      </c>
      <c r="DD53" s="259" t="str">
        <f t="shared" ca="1" si="167"/>
        <v/>
      </c>
      <c r="DE53" s="259" t="str">
        <f t="shared" ca="1" si="168"/>
        <v/>
      </c>
      <c r="DF53" s="259">
        <f ca="1">IF(AND(CX53=$DE$2,$DF$2&lt;&gt;0),0,IF(AND(DB53&lt;&gt;"",OR(DB52&lt;&gt;"",DB54&lt;&gt;"")),MAX($DF$2:DF52)+1,0))</f>
        <v>0</v>
      </c>
      <c r="DG53" s="259" t="str">
        <f>IF(OR(VALORI_INIZIALI!E58="",AND(VALORI_INIZIALI!E58&lt;&gt;"",VALORI_INIZIALI!H58=0,VALORI_INIZIALI!I58=0)),"",IFERROR(INDEX(PIANO_DEI_CONTI,MATCH(BB53,DENOMINAZIONE,0),1),0))</f>
        <v/>
      </c>
      <c r="DH53" s="259">
        <f ca="1">IFERROR(IF($J$1=1,IF(INDEX(PIANO_DEI_CONTI,MATCH($K53,DENOMINAZIONE,0),5)=$DF$1,MAX($DH$2:DH52)+1,0),IF($J$1=2,IF(INDEX(PIANO_DEI_CONTI,MATCH($K53,DENOMINAZIONE,0),7)=$DF$1,MAX($DH$2:DH52)+1,0))),0)</f>
        <v>0</v>
      </c>
      <c r="DI53" s="259">
        <f ca="1">IFERROR(INDEX($K$3:$K$220,MATCH(ROWS($DI$3:DI53),$DH$3:$DH$220,0),1),0)</f>
        <v>0</v>
      </c>
      <c r="DJ53" s="259">
        <f t="shared" ca="1" si="14"/>
        <v>0</v>
      </c>
      <c r="DK53" s="259">
        <f ca="1">IF(DJ53=0,0,MAX(DK$2:DK52)+1)</f>
        <v>0</v>
      </c>
      <c r="DL53" s="259">
        <f ca="1">IFERROR(INDEX(PIANO_DEI_CONTI,MATCH(ROWS(DL$3:DL53),$DK$3:DK280,0),2),0)</f>
        <v>0</v>
      </c>
      <c r="DM53" s="259">
        <f t="shared" ca="1" si="15"/>
        <v>0</v>
      </c>
      <c r="DN53" s="259">
        <f t="shared" ca="1" si="16"/>
        <v>0</v>
      </c>
      <c r="DO53" s="259">
        <f t="shared" ca="1" si="69"/>
        <v>0</v>
      </c>
      <c r="DP53" s="259">
        <f t="shared" ca="1" si="70"/>
        <v>0</v>
      </c>
      <c r="DQ53" s="259">
        <f ca="1">IF(OR($DQ$1="TOTALI",$DQ$1="TOTALI ED ECCEDENZE"),IF(OR(DM53&gt;0,DN53&gt;0),MAX(DQ$2:DQ52)+1,0),IF($DQ$1="ECCEDENZE",IF(OR(DO53&gt;0,DP53&gt;0),MAX(DQ$2:DQ52)+1,0),""))</f>
        <v>0</v>
      </c>
      <c r="DR53" s="259" t="str">
        <f ca="1">IFERROR(INDEX($DL$3:$DQ$230,MATCH(ROWS(DR$3:DR53),$DQ$3:$DQ$230,0),1),"")</f>
        <v/>
      </c>
      <c r="DS53" s="259" t="str">
        <f t="shared" ca="1" si="71"/>
        <v/>
      </c>
      <c r="DT53" s="259" t="str">
        <f t="shared" ca="1" si="72"/>
        <v/>
      </c>
      <c r="DU53" s="259" t="str">
        <f t="shared" ca="1" si="73"/>
        <v/>
      </c>
      <c r="DV53" s="259" t="str">
        <f t="shared" ca="1" si="74"/>
        <v/>
      </c>
      <c r="DW53" s="259">
        <f t="shared" ca="1" si="75"/>
        <v>0</v>
      </c>
      <c r="DX53" s="259" t="str">
        <f t="shared" ca="1" si="76"/>
        <v/>
      </c>
      <c r="DY53" s="259" t="str">
        <f t="shared" ca="1" si="77"/>
        <v/>
      </c>
      <c r="DZ53" s="259" t="str">
        <f t="shared" ca="1" si="78"/>
        <v/>
      </c>
      <c r="EA53" s="259">
        <f t="shared" ca="1" si="79"/>
        <v>51</v>
      </c>
      <c r="EB53" s="259" t="s">
        <v>403</v>
      </c>
      <c r="ED53" s="259">
        <f t="shared" ca="1" si="17"/>
        <v>0</v>
      </c>
      <c r="EE53" s="259" t="str">
        <f t="shared" ca="1" si="155"/>
        <v/>
      </c>
      <c r="EF53" s="259" t="str">
        <f t="shared" ca="1" si="19"/>
        <v/>
      </c>
      <c r="EG53" s="259" t="str">
        <f t="shared" ca="1" si="136"/>
        <v/>
      </c>
      <c r="EH53" s="259" t="str">
        <f t="shared" ca="1" si="80"/>
        <v/>
      </c>
      <c r="EI53" s="260" t="b">
        <f t="shared" ca="1" si="137"/>
        <v>1</v>
      </c>
      <c r="EJ53" s="260" t="b">
        <f t="shared" ca="1" si="138"/>
        <v>1</v>
      </c>
      <c r="EK53" s="260" t="b">
        <f t="shared" ca="1" si="139"/>
        <v>1</v>
      </c>
      <c r="EL53" s="259">
        <f t="shared" si="81"/>
        <v>51</v>
      </c>
      <c r="EM53" s="259">
        <f ca="1">IF(AND(BA53&gt;0,BA53&lt;=$EM$1),MAX($EM$2:EM52)+1,0)</f>
        <v>0</v>
      </c>
      <c r="EN53" s="259">
        <f t="shared" ca="1" si="82"/>
        <v>53</v>
      </c>
      <c r="EP53" s="259" t="str">
        <f t="shared" ca="1" si="20"/>
        <v/>
      </c>
      <c r="EQ53" s="259">
        <f t="shared" ca="1" si="21"/>
        <v>0</v>
      </c>
      <c r="ER53" s="259">
        <f ca="1">IF(ISNA(EQ53),MAX(ER$2:ER52)+1,0)</f>
        <v>0</v>
      </c>
      <c r="ES53" s="259" t="str">
        <f t="shared" ca="1" si="83"/>
        <v/>
      </c>
      <c r="ET53" s="259" t="str">
        <f ca="1">IFERROR(UPPER(INDEX($ER$3:$ES$500,MATCH(ROWS(ET$3:ET53),$ER$3:$ER$500,0),2)),"")</f>
        <v/>
      </c>
      <c r="EY53" s="259">
        <f t="shared" ca="1" si="84"/>
        <v>0</v>
      </c>
      <c r="EZ53" s="259">
        <f t="shared" ca="1" si="84"/>
        <v>0</v>
      </c>
      <c r="FA53" s="259" t="str">
        <f t="shared" ca="1" si="85"/>
        <v/>
      </c>
      <c r="FB53" s="259">
        <f t="shared" ca="1" si="86"/>
        <v>0</v>
      </c>
      <c r="FC53" s="259">
        <f t="shared" ca="1" si="87"/>
        <v>0</v>
      </c>
      <c r="FD53" s="259">
        <f t="shared" ca="1" si="22"/>
        <v>0</v>
      </c>
      <c r="FE53" s="259" t="str">
        <f t="shared" ca="1" si="23"/>
        <v/>
      </c>
      <c r="FF53" s="259" t="str">
        <f t="shared" ca="1" si="88"/>
        <v/>
      </c>
      <c r="FG53" s="259" t="str">
        <f t="shared" si="89"/>
        <v>DENARO IN CASSA</v>
      </c>
      <c r="FH53" s="259">
        <f t="shared" ca="1" si="156"/>
        <v>0</v>
      </c>
      <c r="FI53" s="259">
        <f t="shared" ca="1" si="25"/>
        <v>0</v>
      </c>
      <c r="FJ53" s="259">
        <f t="shared" ca="1" si="90"/>
        <v>0</v>
      </c>
      <c r="FK53" s="259">
        <f t="shared" ca="1" si="91"/>
        <v>0</v>
      </c>
      <c r="FL53" s="259">
        <f ca="1">IF(OR(FJ53&gt;0,FK53&gt;0),MAX($FL$2:FL52)+1,0)</f>
        <v>0</v>
      </c>
      <c r="FM53" s="259">
        <f t="shared" ca="1" si="26"/>
        <v>0</v>
      </c>
      <c r="FN53" s="259">
        <f ca="1">IF(FM53&lt;0,MAX($FN$2:FN52)+1,0)</f>
        <v>0</v>
      </c>
      <c r="FO53" s="259" t="str">
        <f t="shared" ca="1" si="92"/>
        <v/>
      </c>
      <c r="FP53" s="259" t="str">
        <f ca="1">IFERROR(INDEX($FN$3:$FO$400,MATCH(ROWS($FP$3:FP53),$FN$3:$FN$400,0),2),"")</f>
        <v/>
      </c>
      <c r="FQ53" s="259" t="str">
        <f>IF(AE53="SE AVERE",MAX($FQ$2:FQ52)+1,"")</f>
        <v/>
      </c>
      <c r="FR53" s="259" t="str">
        <f>IF(AE53="SE DARE",MAX($FR$2:FR52)+1,"")</f>
        <v/>
      </c>
      <c r="FS53" s="259">
        <f ca="1">IF(AND(AE53="SP DARE",AA53&lt;&gt;$FS$1,AA53&lt;&gt;$FT$1),MAX($FS$2:FS52)+1,IF(AND(GQ53="SP DARE",AA53&lt;&gt;$FS$1,AA53&lt;&gt;$FT$1),MAX($FS$2:FS52)+1,""))</f>
        <v>128</v>
      </c>
      <c r="FT53" s="259" t="str">
        <f ca="1">IF(AND(AE53="SP AVERE",AA53&lt;&gt;$FU$1),MAX($FT$2:FT52)+1,IF(AND(GQ53="SP AVERE",AA53&lt;&gt;$FU$1),MAX($FT$2:FT52)+1,""))</f>
        <v/>
      </c>
      <c r="FU53" s="259">
        <f t="shared" ca="1" si="93"/>
        <v>128</v>
      </c>
      <c r="FV53" s="259" t="str">
        <f t="shared" si="94"/>
        <v>DENARO IN CASSA</v>
      </c>
      <c r="FW53" s="259" t="str">
        <f ca="1">IFERROR(INDEX($FU$3:$FV$500,MATCH(ROWS($FW$3:FW53),$FU$3:$FU$500,0),2),0)</f>
        <v>AMMORTAMENTO SOFTWARE</v>
      </c>
      <c r="FX53" s="259">
        <f t="shared" ca="1" si="95"/>
        <v>51</v>
      </c>
      <c r="FY53" s="259">
        <f t="shared" ca="1" si="96"/>
        <v>0</v>
      </c>
      <c r="FZ53" s="259">
        <f ca="1">IF(FY53&gt;0,MAX($FZ$2:FZ52)+1,0)</f>
        <v>0</v>
      </c>
      <c r="GA53" s="259">
        <f ca="1">IFERROR(INDEX($FY$3:$FZ$500,MATCH(ROWS($GA$3:GA53),$FZ$3:$FZ$500,0),1),0)</f>
        <v>0</v>
      </c>
      <c r="GC53" s="259">
        <f t="shared" ca="1" si="97"/>
        <v>51</v>
      </c>
      <c r="GD53" s="259" t="str">
        <f t="shared" ca="1" si="98"/>
        <v>AMMORTAMENTO SOFTWARE</v>
      </c>
      <c r="GG53" s="259">
        <f t="shared" ca="1" si="27"/>
        <v>0</v>
      </c>
      <c r="GH53" s="259">
        <f t="shared" ca="1" si="99"/>
        <v>0</v>
      </c>
      <c r="GI53" s="259">
        <f t="shared" ca="1" si="100"/>
        <v>0</v>
      </c>
      <c r="GJ53" s="259">
        <f t="shared" ca="1" si="101"/>
        <v>0</v>
      </c>
      <c r="GK53" s="259">
        <f t="shared" ca="1" si="102"/>
        <v>0</v>
      </c>
      <c r="GL53" s="259">
        <f t="shared" ca="1" si="103"/>
        <v>0</v>
      </c>
      <c r="GM53" s="259">
        <f ca="1">IF(OR(GK53&gt;0,GL53&gt;0),MAX($GM$2:GM52)+1,0)</f>
        <v>0</v>
      </c>
      <c r="GN53" s="259" t="str">
        <f ca="1">IFERROR(INDEX($GD$3:$GM$400,MATCH(ROWS($GN$3:GN53),$GM$3:$GM$400,0),1),"")</f>
        <v/>
      </c>
      <c r="GO53" s="259" t="str">
        <f ca="1">IFERROR(INDEX($GD$3:$GM$400,MATCH(ROWS($GO$3:GO53),$GM$3:$GM$400,0),8),"")</f>
        <v/>
      </c>
      <c r="GP53" s="259" t="str">
        <f ca="1">IFERROR(INDEX($GD$3:$GM$400,MATCH(ROWS($GP$3:GP53),$GM$3:$GM$400,0),9),"")</f>
        <v/>
      </c>
      <c r="GQ53" s="259">
        <f t="shared" ca="1" si="28"/>
        <v>0</v>
      </c>
      <c r="GR53" s="259">
        <f t="shared" ca="1" si="104"/>
        <v>0</v>
      </c>
      <c r="GS53" s="259" t="str">
        <f t="shared" si="105"/>
        <v>epilogo a Conto economico</v>
      </c>
      <c r="GT53" s="259" t="str">
        <f ca="1">IFERROR(INDEX($GD$3:$GS$400,MATCH(ROWS($GT$3:GT53),$GM$3:$GM$400,0),16),"")</f>
        <v/>
      </c>
      <c r="GU53" s="259">
        <f ca="1">IF(GQ53&lt;&gt;0,MAX($GU$2:$GU52)+1,0)</f>
        <v>0</v>
      </c>
      <c r="GV53" s="259">
        <f t="shared" ca="1" si="106"/>
        <v>0</v>
      </c>
      <c r="GW53" s="259" t="str">
        <f ca="1">IF(AND(IFERROR(INDEX($GU$3:$GV$400,MATCH(ROWS($GW$3:GW53),$GU$3:$GU$400,0),2),"")&lt;&gt;"",GW54&lt;&gt;""),CONCATENATE(IFERROR(INDEX($GU$3:$GV$400,MATCH(ROWS($GW$3:GW53),$GU$3:$GU$400,0),2),"")," - "),IFERROR(INDEX($GU$3:$GV$400,MATCH(ROWS($GW$3:GW53),$GU$3:$GU$400,0),2),""))</f>
        <v/>
      </c>
      <c r="GX53" s="259">
        <f ca="1">IF(OR(GN53="IVA NS/CREDITO",GN53="IVA NS/DEBITO",GN53="IVA C/ACCONTO",GN53="IMPOSTE C/ACCONTO"),MAX($GX$2:GX52)+1,0)</f>
        <v>0</v>
      </c>
      <c r="GY53" s="259" t="str">
        <f ca="1">IF(AND(IFERROR(INDEX($GN$3:$GX$200,MATCH(ROWS($GY$3:GY53),$GX$3:$GX$200,0),1),"")&lt;&gt;"",GY54&lt;&gt;""),CONCATENATE(IFERROR(INDEX($GN$3:$GX$200,MATCH(ROWS($GY$3:GY53),$GX$3:$GX$200,0),1),"")," - "),IFERROR(INDEX($GN$3:$GX$200,MATCH(ROWS($GY$3:GY53),$GX$3:$GX$200,0),1),""))</f>
        <v/>
      </c>
      <c r="GZ53" s="259" t="s">
        <v>71</v>
      </c>
      <c r="HA53" s="259" t="s">
        <v>69</v>
      </c>
      <c r="HB53" s="269" t="s">
        <v>257</v>
      </c>
      <c r="HC53" s="269" t="s">
        <v>276</v>
      </c>
      <c r="HD53" s="269" t="s">
        <v>6</v>
      </c>
      <c r="HE53" s="269" t="s">
        <v>206</v>
      </c>
      <c r="HL53" s="259" t="str">
        <f t="shared" ca="1" si="157"/>
        <v/>
      </c>
      <c r="HM53" s="259" t="str">
        <f t="shared" ca="1" si="158"/>
        <v/>
      </c>
      <c r="HN53" s="259" t="str">
        <f t="shared" ca="1" si="159"/>
        <v/>
      </c>
      <c r="HO53" s="259">
        <f ca="1">IF(HL53&lt;&gt;"",MAX($HO$2:HO52)+1,0)</f>
        <v>0</v>
      </c>
      <c r="HP53" s="259">
        <f ca="1">IF(HM53&lt;&gt;"",MAX($HP$2:HP52)+1,0)</f>
        <v>0</v>
      </c>
      <c r="HQ53" s="259">
        <f ca="1">IF(HN53&lt;&gt;"",MAX($HQ$2:HQ52)+1,0)</f>
        <v>0</v>
      </c>
      <c r="HR53" s="259" t="str">
        <f t="shared" ca="1" si="107"/>
        <v/>
      </c>
      <c r="HS53" s="259" t="str">
        <f t="shared" ca="1" si="108"/>
        <v/>
      </c>
      <c r="HT53" s="259">
        <f t="shared" ca="1" si="109"/>
        <v>0</v>
      </c>
      <c r="HU53" s="259">
        <f t="shared" ca="1" si="110"/>
        <v>0</v>
      </c>
      <c r="HV53" s="259" t="str">
        <f ca="1">CONCATENATE(IFERROR(INDEX($HS$3:$HT$102,MATCH(ROWS($HV$3:HV53),$HT$3:$HT$102,0),1),""),HR53)</f>
        <v/>
      </c>
      <c r="IA53" s="259" t="s">
        <v>373</v>
      </c>
      <c r="IB53" s="259" t="s">
        <v>314</v>
      </c>
      <c r="IC53" s="259">
        <f ca="1">IFERROR(INDEX(PIANO_DEI_CONTI,MATCH(ROWS(DL$3:DL53),$DK$3:DK280,0),2),0)</f>
        <v>0</v>
      </c>
      <c r="ID53" s="259">
        <f t="shared" ca="1" si="111"/>
        <v>0</v>
      </c>
      <c r="IE53" s="259">
        <f t="shared" ca="1" si="112"/>
        <v>0</v>
      </c>
      <c r="IF53" s="259">
        <f t="shared" ca="1" si="113"/>
        <v>0</v>
      </c>
      <c r="IG53" s="259">
        <f t="shared" ca="1" si="171"/>
        <v>0</v>
      </c>
      <c r="IH53" s="259">
        <f ca="1">IF(IG53&lt;&gt;0,MAX($IH$35:IH52)+1,0)</f>
        <v>0</v>
      </c>
      <c r="II53" s="259">
        <f>IF(AD53="costi pluriennali",MAX($II$2:II52)+1,0)</f>
        <v>0</v>
      </c>
      <c r="IJ53" s="259">
        <f>IF($AD53="rettifiche costi pluriennali",MAX($IJ$2:IJ52)+1,0)</f>
        <v>0</v>
      </c>
      <c r="IK53" s="259">
        <f t="shared" si="114"/>
        <v>0</v>
      </c>
      <c r="IL53" s="259" t="str">
        <f t="shared" si="115"/>
        <v/>
      </c>
      <c r="IM53" s="259">
        <f t="shared" ca="1" si="116"/>
        <v>0</v>
      </c>
      <c r="IN53" s="259">
        <f t="shared" ca="1" si="141"/>
        <v>0</v>
      </c>
      <c r="IO53" s="259">
        <f>SUMIFS($IM$3:$IM$200,$IK$3:$IK$200,ROWS($IO$3:IO53))-SUMIFS($IN$3:$IN$200,$IK$3:$IK$200,ROWS($IO$3:IO53))</f>
        <v>0</v>
      </c>
      <c r="IP53" s="259" t="str">
        <f>IF(IO53&lt;0,INDEX($IJ$3:$IL$200,MATCH(ROWS($IP$3:IP53),$IJ$3:$IJ$200,0),3),"")</f>
        <v/>
      </c>
      <c r="IQ53" s="259">
        <f>IF(IP53&lt;&gt;"",MAX($IQ$2:IQ52)+1,0)</f>
        <v>0</v>
      </c>
      <c r="IR53" s="259" t="str">
        <f ca="1">IFERROR(INDEX($IP$3:$IQ$200,MATCH(ROWS($IR$3:IR53),$IQ$3:$IQ$200,0),1),"")</f>
        <v/>
      </c>
      <c r="IS53" s="259" t="str">
        <f t="shared" ca="1" si="117"/>
        <v/>
      </c>
      <c r="IT53" s="259" t="str">
        <f t="shared" ca="1" si="118"/>
        <v/>
      </c>
      <c r="IU53" s="259" t="str">
        <f t="shared" ca="1" si="119"/>
        <v/>
      </c>
      <c r="IV53" s="259" t="str">
        <f t="shared" ca="1" si="120"/>
        <v/>
      </c>
      <c r="IW53" s="259" t="str">
        <f t="shared" ca="1" si="121"/>
        <v/>
      </c>
      <c r="IX53" s="259" t="str">
        <f t="shared" ca="1" si="122"/>
        <v/>
      </c>
      <c r="IY53" s="259" t="str">
        <f t="shared" ca="1" si="123"/>
        <v/>
      </c>
      <c r="IZ53" s="259" t="str">
        <f t="shared" ca="1" si="124"/>
        <v/>
      </c>
      <c r="JA53" s="259" t="str">
        <f t="shared" ca="1" si="125"/>
        <v/>
      </c>
      <c r="JB53" s="259">
        <f t="shared" ca="1" si="32"/>
        <v>0</v>
      </c>
      <c r="JC53" s="259">
        <f t="shared" ca="1" si="126"/>
        <v>0</v>
      </c>
      <c r="JE53" s="259">
        <f ca="1">IFERROR(INDEX(LIBRO_GIORNALE!$N$11:$O$408,MATCH(ROWS($JE$2:JE52),LIBRO_GIORNALE!$O$11:$O$408,0),1),0)</f>
        <v>0</v>
      </c>
      <c r="JF53" s="259" t="str">
        <f t="shared" ca="1" si="127"/>
        <v>0</v>
      </c>
      <c r="JG53" s="259">
        <f t="shared" ca="1" si="128"/>
        <v>0</v>
      </c>
      <c r="JH53" s="259">
        <f ca="1">IF(JJ53&gt;0,0,MAX($JH$2:JH52)+1)</f>
        <v>51</v>
      </c>
      <c r="JI53" s="259">
        <f ca="1">IF(JG53&gt;0,MAX($JI$2:JI52)+1,0)</f>
        <v>0</v>
      </c>
      <c r="JJ53" s="259">
        <f ca="1">IFERROR(INDEX($JG$3:$JI$124,MATCH(ROWS($JJ$3:JJ53),$JI$3:$JI$124,0),1),0)</f>
        <v>0</v>
      </c>
      <c r="JK53" s="259">
        <f t="shared" ca="1" si="129"/>
        <v>0</v>
      </c>
      <c r="JL53" s="259">
        <f t="shared" ca="1" si="130"/>
        <v>51</v>
      </c>
    </row>
    <row r="54" spans="1:272">
      <c r="A54" s="259" t="str">
        <f t="shared" si="33"/>
        <v>06.10</v>
      </c>
      <c r="B54" s="259" t="str">
        <f t="shared" si="34"/>
        <v>CREDITI DIVERSI</v>
      </c>
      <c r="C54" s="259" t="str">
        <f t="shared" si="35"/>
        <v>F</v>
      </c>
      <c r="D54" s="259" t="str">
        <f t="shared" si="36"/>
        <v>D</v>
      </c>
      <c r="E54" s="259" t="str">
        <f t="shared" si="37"/>
        <v>CREDITI</v>
      </c>
      <c r="F54" s="259" t="str">
        <f t="shared" si="38"/>
        <v>SP DARE</v>
      </c>
      <c r="G54" s="259">
        <f t="shared" ca="1" si="39"/>
        <v>1</v>
      </c>
      <c r="H54" s="259">
        <f t="shared" ca="1" si="40"/>
        <v>1</v>
      </c>
      <c r="I54" s="259">
        <f t="shared" ca="1" si="41"/>
        <v>1</v>
      </c>
      <c r="K54" s="259" t="str">
        <f ca="1">IFERROR(IF($I$1=1,INDEX($AA$3:$AS$220,MATCH(ROWS($K$3:K54),$AQ$3:$AQ$220,0),1),IF($I$1=2,INDEX($AA$3:$AS$220,MATCH(ROWS($K$3:K54),$AR$3:$AR$220,0),1),IF($I$1=3,INDEX($AA$3:$AS$220,MATCH(ROWS($K$3:K54),$AS$3:$AS$220,0),1),""))),"")</f>
        <v>VALORI BOLLATI</v>
      </c>
      <c r="L54" s="259">
        <f ca="1">IF(AND($L$1="VISUALIZZA TUTTI I CONTI",K54&lt;&gt;""),MAX(L53:L53)+1,IFERROR(IF($J$1=1,IF(INDEX(PIANO_DEI_CONTI,MATCH($K54,DENOMINAZIONE,0),5)=$L$1,MAX($L$2:L53)+1,0),IF($J$1=2,IF(INDEX(PIANO_DEI_CONTI,MATCH($K54,DENOMINAZIONE,0),7)=$L$1,MAX($L$2:L53)+1,0))),0))</f>
        <v>52</v>
      </c>
      <c r="M54" s="259" t="str">
        <f ca="1">IFERROR(INDEX($K$3:$K$220,MATCH(ROWS($M$3:M54),$L$3:$L$220,0),1),"")</f>
        <v>VALORI BOLLATI</v>
      </c>
      <c r="N54" s="259" t="str">
        <f t="shared" si="143"/>
        <v/>
      </c>
      <c r="O54" s="259" t="str">
        <f t="shared" ca="1" si="170"/>
        <v/>
      </c>
      <c r="P54" s="259">
        <f ca="1">IF(AND(N54=O54,O54&lt;&gt;""),MAX(P$2:P53)+1,0)</f>
        <v>0</v>
      </c>
      <c r="Q54" s="259" t="str">
        <f ca="1">IF(IFERROR(INDEX($O$3:$P$220,MATCH(ROWS(Q$3:Q54),$P$3:$P$220,0),1),"")=0,"",IFERROR(INDEX($O$3:$P$220,MATCH(ROWS(Q$3:Q54),$P$3:$P$220,0),1),""))</f>
        <v/>
      </c>
      <c r="R54" s="259" t="str">
        <f t="shared" si="1"/>
        <v>VALORI BOLLATI</v>
      </c>
      <c r="S54" s="259">
        <f ca="1">IF(IFERROR(MATCH(R54,DENOMINAZIONE_GIORNALE,0),0)&gt;0,MAX(S$2:S53)+1,0)</f>
        <v>0</v>
      </c>
      <c r="T54" s="259" t="str">
        <f ca="1">IFERROR(INDEX($R$3:$S$220,MATCH(ROWS($T$3:T54),$S$3:$S$220,0),1),"")</f>
        <v/>
      </c>
      <c r="U54" s="259">
        <f t="shared" ca="1" si="2"/>
        <v>0</v>
      </c>
      <c r="V54" s="259">
        <f ca="1">IF(IF(U54&lt;&gt;0,MAX($V$2:V53)+1,0)=0,0,IF(U54&lt;&gt;0,MAX($V$2:V53)+1,0))</f>
        <v>0</v>
      </c>
      <c r="W54" s="259" t="str">
        <f t="shared" si="43"/>
        <v>06.10</v>
      </c>
      <c r="X54" s="259" t="str">
        <f t="shared" si="44"/>
        <v>CREDITI DIVERSI</v>
      </c>
      <c r="Y54" s="259">
        <f>IF(W54="",0,MAX($Y$2:Y53)+1)</f>
        <v>46</v>
      </c>
      <c r="Z54" s="259" t="str">
        <f>IFERROR(INDEX($W$3:$Y$220,MATCH(ROWS($Z$2:Z53),$Y$3:$Y$220,0),1),"")</f>
        <v>08.21</v>
      </c>
      <c r="AA54" s="259" t="str">
        <f t="shared" si="45"/>
        <v>VALORI BOLLATI</v>
      </c>
      <c r="AB54" s="259" t="str">
        <f t="shared" si="46"/>
        <v>F</v>
      </c>
      <c r="AC54" s="259" t="str">
        <f t="shared" si="47"/>
        <v>D</v>
      </c>
      <c r="AD54" s="259" t="str">
        <f t="shared" si="48"/>
        <v>DISPONIBILITÀ LIQUIDE</v>
      </c>
      <c r="AE54" s="259" t="str">
        <f t="shared" si="49"/>
        <v>SP DARE</v>
      </c>
      <c r="AF54" s="259" t="str">
        <f t="shared" si="50"/>
        <v>DISPONIBILITÀ LIQUIDE</v>
      </c>
      <c r="AG54" s="259">
        <f t="shared" ca="1" si="51"/>
        <v>0</v>
      </c>
      <c r="AH54" s="259">
        <f t="shared" ca="1" si="52"/>
        <v>1</v>
      </c>
      <c r="AI54" s="259">
        <f t="shared" ca="1" si="53"/>
        <v>1</v>
      </c>
      <c r="AJ54" s="259" t="str">
        <f t="shared" si="54"/>
        <v>08</v>
      </c>
      <c r="AK54" s="259" t="str">
        <f t="shared" si="55"/>
        <v/>
      </c>
      <c r="AL54" s="259">
        <f>IF(AK54&lt;&gt;"",MAX($AL$2:AL53)+1,0)</f>
        <v>0</v>
      </c>
      <c r="AM54" s="259" t="str">
        <f>IFERROR(INDEX($AK$3:$AL$220,MATCH(ROWS($AM$3:AM54),$AL$3:$AL$220,0),1),"")</f>
        <v/>
      </c>
      <c r="AN54" s="259" t="str">
        <f t="shared" si="56"/>
        <v/>
      </c>
      <c r="AO54" s="259" t="str">
        <f t="shared" si="57"/>
        <v/>
      </c>
      <c r="AP54" s="259" t="str">
        <f t="shared" si="58"/>
        <v>DISPONIBILITÀ LIQUIDE</v>
      </c>
      <c r="AQ54" s="259">
        <f ca="1">IF(OR(AG54=0,AG54=""),0,MAX(AQ$2:AQ53)+1)</f>
        <v>0</v>
      </c>
      <c r="AR54" s="259">
        <f ca="1">IF(OR(AH54=0,AH54=""),0,MAX(AR$2:AR53)+1)</f>
        <v>43</v>
      </c>
      <c r="AS54" s="259">
        <f ca="1">IF(OR(AI54=0,AI54=""),0,MAX(AS$2:AS53)+1)</f>
        <v>52</v>
      </c>
      <c r="AT54" s="259" t="str">
        <f ca="1">IFERROR(INDEX($AD$3:$AS$220,MATCH(ROWS(AT$3:AT54),AQ$3:AQ$220,0),1),"")</f>
        <v>RICAVI D'ESERCIZIO</v>
      </c>
      <c r="AU54" s="259" t="str">
        <f ca="1">IFERROR(INDEX($AD$3:$AS$220,MATCH(ROWS(AU$3:AU54),AR$3:AR$220,0),1),"")</f>
        <v>DEBITI</v>
      </c>
      <c r="AV54" s="259" t="str">
        <f ca="1">IFERROR(INDEX($AD$3:$AS$220,MATCH(ROWS(AV$3:AV54),AS$3:AS$220,0),1),"")</f>
        <v>DISPONIBILITÀ LIQUIDE</v>
      </c>
      <c r="AW54" s="259" t="str">
        <f ca="1">IFERROR(INDEX($AP$3:$AS$220,MATCH(ROWS(AW$3:AW54),AQ$3:AQ$220,0),1),"")</f>
        <v>VALORE DELLA PRODUZIONE</v>
      </c>
      <c r="AX54" s="259" t="str">
        <f ca="1">IFERROR(INDEX($AP$3:$AS$220,MATCH(ROWS(AX$3:AX54),AR$3:AR$220,0),1),"")</f>
        <v>DEBITI COMMERCIALI</v>
      </c>
      <c r="AY54" s="259" t="str">
        <f ca="1">IFERROR(INDEX($AP$3:$AS$220,MATCH(ROWS(AY$3:AY54),AS$3:AS$220,0),1),"")</f>
        <v>DISPONIBILITÀ LIQUIDE</v>
      </c>
      <c r="AZ54" s="276" t="str">
        <f t="shared" ca="1" si="59"/>
        <v/>
      </c>
      <c r="BA54" s="259">
        <f t="shared" ca="1" si="153"/>
        <v>0</v>
      </c>
      <c r="BB54" s="259">
        <f ca="1">IFERROR(INDEX($FG$3:$FL$400,MATCH(ROWS($BB$3:BB54),$FL$3:$FL$400,0),1),0)</f>
        <v>0</v>
      </c>
      <c r="BC54" s="259" t="str">
        <f t="shared" ca="1" si="60"/>
        <v/>
      </c>
      <c r="BD54" s="259">
        <f ca="1">IFERROR(INDEX($FG$3:$FL$400,MATCH(ROWS($BD$3:BD54),$FL$3:$FL$400,0),4),0)</f>
        <v>0</v>
      </c>
      <c r="BE54" s="259">
        <f ca="1">IFERROR(INDEX($FG$3:$FL$400,MATCH(ROWS($BE$3:BE54),$FL$3:$FL$400,0),5),0)</f>
        <v>0</v>
      </c>
      <c r="BG54" s="259" t="str">
        <f t="shared" si="4"/>
        <v/>
      </c>
      <c r="BH54" s="259">
        <f ca="1">IF(IFERROR(MATCH(BG54,DENOMINAZIONE_GIORNALE,0),0)&gt;0,MAX(BH$2:BH53)+1,0)</f>
        <v>0</v>
      </c>
      <c r="BI54" s="259" t="str">
        <f ca="1">IFERROR(INDEX($BG$3:$BH$220,MATCH(ROWS($BI$3:BI54),$BH$3:$BH$220,0),1),"")</f>
        <v/>
      </c>
      <c r="BJ54" s="259" t="str">
        <f t="shared" ca="1" si="5"/>
        <v/>
      </c>
      <c r="BK54" s="259" t="str">
        <f ca="1">IF(IF(BJ54&lt;&gt;"",MAX($BK$2:BK53)+1,0)=0,"",IF(BJ54&lt;&gt;"",MAX($BK$2:BK53)+1,0))</f>
        <v/>
      </c>
      <c r="BL54" s="259" t="str">
        <f ca="1">IFERROR(INDEX($T$3:$U$220, MATCH(ROWS(BL$3:BL54),$V$3:$V$220,0),1),"")</f>
        <v/>
      </c>
      <c r="BM54" s="259" t="str">
        <f ca="1">IFERROR(INDEX($T$3:$U$220, MATCH(ROWS(BM$3:BM54),$V$3:$V$220,0),2),"")</f>
        <v/>
      </c>
      <c r="BN54" s="259" t="str">
        <f ca="1">IF(IFERROR(INDEX($BI$3:$BJ$220,MATCH(ROWS(BN$3:BN54),$BK$3:$BK$220,0),1),"")="PATRIMONIO NETTO","",IFERROR(INDEX($BI$3:$BJ$220,MATCH(ROWS(BN$3:BN54),$BK$3:$BK$220,0),1),""))</f>
        <v/>
      </c>
      <c r="BO54" s="259" t="str">
        <f ca="1">IFERROR(INDEX($BI$3:$BJ$220,MATCH(ROWS(BO$3:BO54),$BK$3:$BK$220,0),2),"")</f>
        <v/>
      </c>
      <c r="BP54" s="259">
        <f ca="1">IF(BN54&lt;&gt;"",MAX(BP$2:$BP53)+1,0)</f>
        <v>0</v>
      </c>
      <c r="BQ54" s="259" t="str">
        <f ca="1">IFERROR(INDEX($BN$3:$BO$200,MATCH(ROWS(BQ$3:BQ54),$BP$3:$BP$220,0),1),"")</f>
        <v/>
      </c>
      <c r="BR54" s="259" t="str">
        <f ca="1">IFERROR(INDEX($BN$3:$BO$220,MATCH(ROWS(BR$3:BR54),$BP$3:$BP$220,0),2),"")</f>
        <v/>
      </c>
      <c r="BS54" s="259" t="str">
        <f ca="1">IFERROR(IF(OR(INDEX($T$3:$U$220,MATCH(ROWS(BL$3:BL54),$V$3:$V$220,0),1)="PRELEVAMENTI EXTRAGESTIONE",INDEX($T$3:$U$220,MATCH(ROWS(BL$3:BL54),$V$3:$V$220,0),1)="TITOLARE C/RITENUTE SUBITE"),"",INDEX($T$3:$U$220,MATCH(ROWS(BL$3:BL54),$V$3:$V$220,0),1)),"")</f>
        <v/>
      </c>
      <c r="BT54" s="259">
        <f t="shared" ca="1" si="61"/>
        <v>0</v>
      </c>
      <c r="BU54" s="259">
        <f ca="1">IF(BS54&lt;&gt;"",MAX(BU$2:BU53)+1,0)</f>
        <v>0</v>
      </c>
      <c r="BV54" s="259" t="str">
        <f ca="1">IFERROR(INDEX($BS$3:$BT$223,MATCH(ROWS(BV$3:BV54),$BU$3:$BU$223,0),1),"")</f>
        <v/>
      </c>
      <c r="BW54" s="259">
        <f t="shared" ca="1" si="62"/>
        <v>0</v>
      </c>
      <c r="BX54" s="259" t="str">
        <f t="shared" ca="1" si="63"/>
        <v/>
      </c>
      <c r="BY54" s="259" t="str">
        <f t="shared" ca="1" si="64"/>
        <v/>
      </c>
      <c r="BZ54" s="259" t="str">
        <f ca="1">IFERROR(IF(OR($DS$231&lt;&gt;$DT$231,$DU$231&lt;&gt;$DV$231,$EO$25&lt;&gt;0,$EO$26&lt;&gt;0),INDEX($T$3:$V$220,MATCH(ROWS($BV$3:BV54),$V$3:$V$220,0),1),CONCATENATE(BV54,BY54)),"")</f>
        <v/>
      </c>
      <c r="CA54" s="259">
        <f t="shared" ca="1" si="65"/>
        <v>0</v>
      </c>
      <c r="CB54" s="259" t="str">
        <f ca="1">IFERROR(IF(OR($BB$1&lt;&gt;$BD$1,$BC$1&lt;&gt;$BE$1,$DS$231&lt;&gt;$DT$231,$DU$231&lt;&gt;$DV$231,$EO$25&lt;&gt;0,$EO$26&lt;&gt;0),INDEX($BI$3:$BK$220,MATCH(ROWS($CB$3:CB54),$BK$3:$BK$220,0),1),CONCATENATE(BQ54,BX54)),"")</f>
        <v/>
      </c>
      <c r="CC54" s="259" t="str">
        <f t="shared" ca="1" si="66"/>
        <v/>
      </c>
      <c r="CD54" s="259" t="str">
        <f t="shared" si="6"/>
        <v/>
      </c>
      <c r="CE54" s="259">
        <f ca="1">IF(IFERROR(MATCH(CD54,DENOMINAZIONE_GIORNALE,0),0)&gt;0,MAX(CE$2:CE53)+1,0)</f>
        <v>0</v>
      </c>
      <c r="CF54" s="259" t="str">
        <f ca="1">IFERROR(INDEX($CD$3:$CE$220,MATCH(ROWS($CF$3:CF54),$CE$3:$CE$220,0),1),"")</f>
        <v/>
      </c>
      <c r="CG54" s="259">
        <f t="shared" ca="1" si="7"/>
        <v>0</v>
      </c>
      <c r="CH54" s="259" t="str">
        <f ca="1">IF(IF(CG54&lt;&gt;0,MAX($CH$2:CH53)+1,0)=0,"",IF(CG54&lt;&gt;"",MAX($CH$2:CH53)+1,0))</f>
        <v/>
      </c>
      <c r="CI54" s="259" t="str">
        <f ca="1">IFERROR(INDEX($CF$3:$CG$220,MATCH(ROWS($CI$3:CI54),$CH$3:$CH$220,0),1),"")</f>
        <v/>
      </c>
      <c r="CJ54" s="259" t="str">
        <f t="shared" ca="1" si="67"/>
        <v/>
      </c>
      <c r="CK54" s="259" t="str">
        <f t="shared" si="8"/>
        <v/>
      </c>
      <c r="CL54" s="259">
        <f ca="1">IF(IFERROR(MATCH(CK54,DENOMINAZIONE_GIORNALE,0),0)&gt;0,MAX(CL$2:CL53)+1,0)</f>
        <v>0</v>
      </c>
      <c r="CM54" s="259" t="str">
        <f ca="1">IFERROR(INDEX($CK$3:$CL$220,MATCH(ROWS($CM$3:CM54),$CL$3:$CL$220,0),1),"")</f>
        <v/>
      </c>
      <c r="CN54" s="259" t="str">
        <f t="shared" ca="1" si="9"/>
        <v/>
      </c>
      <c r="CO54" s="259">
        <f ca="1">IF(IF(CN54&lt;&gt;0,MAX($CO$2:CO53)+1,0)=0,"",IF(CN54&lt;&gt;"",MAX($CO$2:CO53)+1,0))</f>
        <v>0</v>
      </c>
      <c r="CP54" s="259" t="str">
        <f ca="1">IFERROR(INDEX($CM$3:$CN$220,MATCH(ROWS(CP$3:CP54),$CO$3:$CO$220,0),1),"")</f>
        <v/>
      </c>
      <c r="CQ54" s="259" t="str">
        <f ca="1">IFERROR(INDEX($CM$3:$CN$220,MATCH(ROWS(CQ$3:CQ54),$CO$3:$CO$220,0),2),"")</f>
        <v/>
      </c>
      <c r="CR54" s="259" t="str">
        <f t="shared" ca="1" si="154"/>
        <v/>
      </c>
      <c r="CS54" s="259">
        <f t="shared" ca="1" si="11"/>
        <v>0</v>
      </c>
      <c r="CT54" s="259">
        <f t="shared" ca="1" si="12"/>
        <v>0</v>
      </c>
      <c r="CU54" s="259">
        <f ca="1">IF(OR(CS54&gt;0,CT54&gt;0),MAX($CU$2:CU53)+1,0)</f>
        <v>0</v>
      </c>
      <c r="CV54" s="259" t="str">
        <f ca="1">IFERROR(INDEX(PIANO_DEI_CONTI,MATCH(ROWS($CV$3:CV54),$CU$3:$CU$200,0),2),"")</f>
        <v/>
      </c>
      <c r="CW54" s="259">
        <f ca="1">IFERROR(IF(CV54&lt;&gt;"",MAX($CW$2:CW53)+1,0),0)</f>
        <v>0</v>
      </c>
      <c r="CX54" s="259">
        <f t="shared" ca="1" si="162"/>
        <v>3</v>
      </c>
      <c r="CY54" s="259" t="str">
        <f t="shared" ca="1" si="161"/>
        <v>MASTRO</v>
      </c>
      <c r="CZ54" s="259" t="e">
        <f t="shared" ca="1" si="164"/>
        <v>#N/A</v>
      </c>
      <c r="DA54" s="259" t="str">
        <f t="shared" ca="1" si="169"/>
        <v/>
      </c>
      <c r="DB54" s="259" t="str">
        <f t="shared" ca="1" si="165"/>
        <v/>
      </c>
      <c r="DC54" s="259" t="str">
        <f t="shared" ca="1" si="166"/>
        <v/>
      </c>
      <c r="DD54" s="259" t="str">
        <f t="shared" ca="1" si="167"/>
        <v/>
      </c>
      <c r="DE54" s="259" t="str">
        <f t="shared" ca="1" si="168"/>
        <v/>
      </c>
      <c r="DF54" s="259">
        <f ca="1">IF(AND(CX54=$DE$2,$DF$2&lt;&gt;0),0,IF(AND(DB54&lt;&gt;"",OR(DB53&lt;&gt;"",DB55&lt;&gt;"")),MAX($DF$2:DF53)+1,0))</f>
        <v>0</v>
      </c>
      <c r="DG54" s="259" t="str">
        <f>IF(OR(VALORI_INIZIALI!E59="",AND(VALORI_INIZIALI!E59&lt;&gt;"",VALORI_INIZIALI!H59=0,VALORI_INIZIALI!I59=0)),"",IFERROR(INDEX(PIANO_DEI_CONTI,MATCH(BB54,DENOMINAZIONE,0),1),0))</f>
        <v/>
      </c>
      <c r="DH54" s="259">
        <f ca="1">IFERROR(IF($J$1=1,IF(INDEX(PIANO_DEI_CONTI,MATCH($K54,DENOMINAZIONE,0),5)=$DF$1,MAX($DH$2:DH53)+1,0),IF($J$1=2,IF(INDEX(PIANO_DEI_CONTI,MATCH($K54,DENOMINAZIONE,0),7)=$DF$1,MAX($DH$2:DH53)+1,0))),0)</f>
        <v>0</v>
      </c>
      <c r="DI54" s="259">
        <f ca="1">IFERROR(INDEX($K$3:$K$220,MATCH(ROWS($DI$3:DI54),$DH$3:$DH$220,0),1),0)</f>
        <v>0</v>
      </c>
      <c r="DJ54" s="259">
        <f t="shared" ca="1" si="14"/>
        <v>0</v>
      </c>
      <c r="DK54" s="259">
        <f ca="1">IF(DJ54=0,0,MAX(DK$2:DK53)+1)</f>
        <v>0</v>
      </c>
      <c r="DL54" s="259">
        <f ca="1">IFERROR(INDEX(PIANO_DEI_CONTI,MATCH(ROWS(DL$3:DL54),$DK$3:DK281,0),2),0)</f>
        <v>0</v>
      </c>
      <c r="DM54" s="259">
        <f t="shared" ca="1" si="15"/>
        <v>0</v>
      </c>
      <c r="DN54" s="259">
        <f t="shared" ca="1" si="16"/>
        <v>0</v>
      </c>
      <c r="DO54" s="259">
        <f t="shared" ca="1" si="69"/>
        <v>0</v>
      </c>
      <c r="DP54" s="259">
        <f t="shared" ca="1" si="70"/>
        <v>0</v>
      </c>
      <c r="DQ54" s="259">
        <f ca="1">IF(OR($DQ$1="TOTALI",$DQ$1="TOTALI ED ECCEDENZE"),IF(OR(DM54&gt;0,DN54&gt;0),MAX(DQ$2:DQ53)+1,0),IF($DQ$1="ECCEDENZE",IF(OR(DO54&gt;0,DP54&gt;0),MAX(DQ$2:DQ53)+1,0),""))</f>
        <v>0</v>
      </c>
      <c r="DR54" s="259" t="str">
        <f ca="1">IFERROR(INDEX($DL$3:$DQ$230,MATCH(ROWS(DR$3:DR54),$DQ$3:$DQ$230,0),1),"")</f>
        <v/>
      </c>
      <c r="DS54" s="259" t="str">
        <f t="shared" ca="1" si="71"/>
        <v/>
      </c>
      <c r="DT54" s="259" t="str">
        <f t="shared" ca="1" si="72"/>
        <v/>
      </c>
      <c r="DU54" s="259" t="str">
        <f t="shared" ca="1" si="73"/>
        <v/>
      </c>
      <c r="DV54" s="259" t="str">
        <f t="shared" ca="1" si="74"/>
        <v/>
      </c>
      <c r="DW54" s="259">
        <f t="shared" ca="1" si="75"/>
        <v>0</v>
      </c>
      <c r="DX54" s="259" t="str">
        <f t="shared" ca="1" si="76"/>
        <v/>
      </c>
      <c r="DY54" s="259" t="str">
        <f t="shared" ca="1" si="77"/>
        <v/>
      </c>
      <c r="DZ54" s="259" t="str">
        <f t="shared" ca="1" si="78"/>
        <v/>
      </c>
      <c r="EA54" s="259">
        <f t="shared" ca="1" si="79"/>
        <v>52</v>
      </c>
      <c r="EB54" s="259" t="s">
        <v>403</v>
      </c>
      <c r="ED54" s="259">
        <f t="shared" ca="1" si="17"/>
        <v>0</v>
      </c>
      <c r="EE54" s="259" t="str">
        <f t="shared" ca="1" si="155"/>
        <v/>
      </c>
      <c r="EF54" s="259" t="str">
        <f t="shared" ca="1" si="19"/>
        <v/>
      </c>
      <c r="EG54" s="259" t="str">
        <f t="shared" ca="1" si="136"/>
        <v/>
      </c>
      <c r="EH54" s="259" t="str">
        <f t="shared" ca="1" si="80"/>
        <v/>
      </c>
      <c r="EI54" s="260" t="b">
        <f t="shared" ca="1" si="137"/>
        <v>1</v>
      </c>
      <c r="EJ54" s="260" t="b">
        <f t="shared" ca="1" si="138"/>
        <v>1</v>
      </c>
      <c r="EK54" s="260" t="b">
        <f t="shared" ca="1" si="139"/>
        <v>1</v>
      </c>
      <c r="EL54" s="259">
        <f t="shared" si="81"/>
        <v>52</v>
      </c>
      <c r="EM54" s="259">
        <f ca="1">IF(AND(BA54&gt;0,BA54&lt;=$EM$1),MAX($EM$2:EM53)+1,0)</f>
        <v>0</v>
      </c>
      <c r="EN54" s="259">
        <f t="shared" ca="1" si="82"/>
        <v>54</v>
      </c>
      <c r="EP54" s="259" t="str">
        <f t="shared" ca="1" si="20"/>
        <v/>
      </c>
      <c r="EQ54" s="259">
        <f t="shared" ca="1" si="21"/>
        <v>0</v>
      </c>
      <c r="ER54" s="259">
        <f ca="1">IF(ISNA(EQ54),MAX(ER$2:ER53)+1,0)</f>
        <v>0</v>
      </c>
      <c r="ES54" s="259" t="str">
        <f t="shared" ca="1" si="83"/>
        <v/>
      </c>
      <c r="ET54" s="259" t="str">
        <f ca="1">IFERROR(UPPER(INDEX($ER$3:$ES$500,MATCH(ROWS(ET$3:ET54),$ER$3:$ER$500,0),2)),"")</f>
        <v/>
      </c>
      <c r="EY54" s="259">
        <f t="shared" ca="1" si="84"/>
        <v>0</v>
      </c>
      <c r="EZ54" s="259">
        <f t="shared" ca="1" si="84"/>
        <v>0</v>
      </c>
      <c r="FA54" s="259" t="str">
        <f t="shared" ca="1" si="85"/>
        <v/>
      </c>
      <c r="FB54" s="259">
        <f t="shared" ca="1" si="86"/>
        <v>0</v>
      </c>
      <c r="FC54" s="259">
        <f t="shared" ca="1" si="87"/>
        <v>0</v>
      </c>
      <c r="FD54" s="259">
        <f t="shared" ca="1" si="22"/>
        <v>0</v>
      </c>
      <c r="FE54" s="259" t="str">
        <f t="shared" ca="1" si="23"/>
        <v/>
      </c>
      <c r="FF54" s="259" t="str">
        <f t="shared" ca="1" si="88"/>
        <v/>
      </c>
      <c r="FG54" s="259" t="str">
        <f t="shared" si="89"/>
        <v>VALORI BOLLATI</v>
      </c>
      <c r="FH54" s="259">
        <f t="shared" ca="1" si="156"/>
        <v>0</v>
      </c>
      <c r="FI54" s="259">
        <f t="shared" ca="1" si="25"/>
        <v>0</v>
      </c>
      <c r="FJ54" s="259">
        <f t="shared" ca="1" si="90"/>
        <v>0</v>
      </c>
      <c r="FK54" s="259">
        <f t="shared" ca="1" si="91"/>
        <v>0</v>
      </c>
      <c r="FL54" s="259">
        <f ca="1">IF(OR(FJ54&gt;0,FK54&gt;0),MAX($FL$2:FL53)+1,0)</f>
        <v>0</v>
      </c>
      <c r="FM54" s="259">
        <f t="shared" ca="1" si="26"/>
        <v>0</v>
      </c>
      <c r="FN54" s="259">
        <f ca="1">IF(FM54&lt;0,MAX($FN$2:FN53)+1,0)</f>
        <v>0</v>
      </c>
      <c r="FO54" s="259" t="str">
        <f t="shared" ca="1" si="92"/>
        <v/>
      </c>
      <c r="FP54" s="259" t="str">
        <f ca="1">IFERROR(INDEX($FN$3:$FO$400,MATCH(ROWS($FP$3:FP54),$FN$3:$FN$400,0),2),"")</f>
        <v/>
      </c>
      <c r="FQ54" s="259" t="str">
        <f>IF(AE54="SE AVERE",MAX($FQ$2:FQ53)+1,"")</f>
        <v/>
      </c>
      <c r="FR54" s="259" t="str">
        <f>IF(AE54="SE DARE",MAX($FR$2:FR53)+1,"")</f>
        <v/>
      </c>
      <c r="FS54" s="259">
        <f ca="1">IF(AND(AE54="SP DARE",AA54&lt;&gt;$FS$1,AA54&lt;&gt;$FT$1),MAX($FS$2:FS53)+1,IF(AND(GQ54="SP DARE",AA54&lt;&gt;$FS$1,AA54&lt;&gt;$FT$1),MAX($FS$2:FS53)+1,""))</f>
        <v>129</v>
      </c>
      <c r="FT54" s="259" t="str">
        <f ca="1">IF(AND(AE54="SP AVERE",AA54&lt;&gt;$FU$1),MAX($FT$2:FT53)+1,IF(AND(GQ54="SP AVERE",AA54&lt;&gt;$FU$1),MAX($FT$2:FT53)+1,""))</f>
        <v/>
      </c>
      <c r="FU54" s="259">
        <f t="shared" ca="1" si="93"/>
        <v>129</v>
      </c>
      <c r="FV54" s="259" t="str">
        <f t="shared" si="94"/>
        <v>VALORI BOLLATI</v>
      </c>
      <c r="FW54" s="259" t="str">
        <f ca="1">IFERROR(INDEX($FU$3:$FV$500,MATCH(ROWS($FW$3:FW54),$FU$3:$FU$500,0),2),0)</f>
        <v>AMMORTAMENTO AVVIAMENTO</v>
      </c>
      <c r="FX54" s="259">
        <f t="shared" ca="1" si="95"/>
        <v>52</v>
      </c>
      <c r="FY54" s="259">
        <f t="shared" ca="1" si="96"/>
        <v>0</v>
      </c>
      <c r="FZ54" s="259">
        <f ca="1">IF(FY54&gt;0,MAX($FZ$2:FZ53)+1,0)</f>
        <v>0</v>
      </c>
      <c r="GA54" s="259">
        <f ca="1">IFERROR(INDEX($FY$3:$FZ$500,MATCH(ROWS($GA$3:GA54),$FZ$3:$FZ$500,0),1),0)</f>
        <v>0</v>
      </c>
      <c r="GC54" s="259">
        <f t="shared" ca="1" si="97"/>
        <v>52</v>
      </c>
      <c r="GD54" s="259" t="str">
        <f t="shared" ca="1" si="98"/>
        <v>AMMORTAMENTO AVVIAMENTO</v>
      </c>
      <c r="GG54" s="259">
        <f t="shared" ca="1" si="27"/>
        <v>0</v>
      </c>
      <c r="GH54" s="259">
        <f t="shared" ca="1" si="99"/>
        <v>0</v>
      </c>
      <c r="GI54" s="259">
        <f t="shared" ca="1" si="100"/>
        <v>0</v>
      </c>
      <c r="GJ54" s="259">
        <f t="shared" ca="1" si="101"/>
        <v>0</v>
      </c>
      <c r="GK54" s="259">
        <f t="shared" ca="1" si="102"/>
        <v>0</v>
      </c>
      <c r="GL54" s="259">
        <f t="shared" ca="1" si="103"/>
        <v>0</v>
      </c>
      <c r="GM54" s="259">
        <f ca="1">IF(OR(GK54&gt;0,GL54&gt;0),MAX($GM$2:GM53)+1,0)</f>
        <v>0</v>
      </c>
      <c r="GN54" s="259" t="str">
        <f ca="1">IFERROR(INDEX($GD$3:$GM$400,MATCH(ROWS($GN$3:GN54),$GM$3:$GM$400,0),1),"")</f>
        <v/>
      </c>
      <c r="GO54" s="259" t="str">
        <f ca="1">IFERROR(INDEX($GD$3:$GM$400,MATCH(ROWS($GO$3:GO54),$GM$3:$GM$400,0),8),"")</f>
        <v/>
      </c>
      <c r="GP54" s="259" t="str">
        <f ca="1">IFERROR(INDEX($GD$3:$GM$400,MATCH(ROWS($GP$3:GP54),$GM$3:$GM$400,0),9),"")</f>
        <v/>
      </c>
      <c r="GQ54" s="259">
        <f t="shared" ca="1" si="28"/>
        <v>0</v>
      </c>
      <c r="GR54" s="259">
        <f t="shared" ca="1" si="104"/>
        <v>0</v>
      </c>
      <c r="GS54" s="259" t="str">
        <f t="shared" si="105"/>
        <v>epilogo a Conto economico</v>
      </c>
      <c r="GT54" s="259" t="str">
        <f ca="1">IFERROR(INDEX($GD$3:$GS$400,MATCH(ROWS($GT$3:GT54),$GM$3:$GM$400,0),16),"")</f>
        <v/>
      </c>
      <c r="GU54" s="259">
        <f ca="1">IF(GQ54&lt;&gt;0,MAX($GU$2:$GU53)+1,0)</f>
        <v>0</v>
      </c>
      <c r="GV54" s="259">
        <f t="shared" ca="1" si="106"/>
        <v>0</v>
      </c>
      <c r="GW54" s="259" t="str">
        <f ca="1">IF(AND(IFERROR(INDEX($GU$3:$GV$400,MATCH(ROWS($GW$3:GW54),$GU$3:$GU$400,0),2),"")&lt;&gt;"",GW55&lt;&gt;""),CONCATENATE(IFERROR(INDEX($GU$3:$GV$400,MATCH(ROWS($GW$3:GW54),$GU$3:$GU$400,0),2),"")," - "),IFERROR(INDEX($GU$3:$GV$400,MATCH(ROWS($GW$3:GW54),$GU$3:$GU$400,0),2),""))</f>
        <v/>
      </c>
      <c r="GX54" s="259">
        <f ca="1">IF(OR(GN54="IVA NS/CREDITO",GN54="IVA NS/DEBITO",GN54="IVA C/ACCONTO",GN54="IMPOSTE C/ACCONTO"),MAX($GX$2:GX53)+1,0)</f>
        <v>0</v>
      </c>
      <c r="GY54" s="259" t="str">
        <f ca="1">IF(AND(IFERROR(INDEX($GN$3:$GX$200,MATCH(ROWS($GY$3:GY54),$GX$3:$GX$200,0),1),"")&lt;&gt;"",GY55&lt;&gt;""),CONCATENATE(IFERROR(INDEX($GN$3:$GX$200,MATCH(ROWS($GY$3:GY54),$GX$3:$GX$200,0),1),"")," - "),IFERROR(INDEX($GN$3:$GX$200,MATCH(ROWS($GY$3:GY54),$GX$3:$GX$200,0),1),""))</f>
        <v/>
      </c>
      <c r="GZ54" s="259" t="s">
        <v>513</v>
      </c>
      <c r="HA54" s="259" t="s">
        <v>66</v>
      </c>
      <c r="HB54" s="269" t="s">
        <v>257</v>
      </c>
      <c r="HC54" s="269" t="s">
        <v>276</v>
      </c>
      <c r="HD54" s="269" t="s">
        <v>6</v>
      </c>
      <c r="HE54" s="269" t="s">
        <v>206</v>
      </c>
      <c r="HL54" s="259" t="str">
        <f t="shared" ca="1" si="157"/>
        <v/>
      </c>
      <c r="HM54" s="259" t="str">
        <f t="shared" ca="1" si="158"/>
        <v/>
      </c>
      <c r="HN54" s="259" t="str">
        <f t="shared" ca="1" si="159"/>
        <v/>
      </c>
      <c r="HO54" s="259">
        <f ca="1">IF(HL54&lt;&gt;"",MAX($HO$2:HO53)+1,0)</f>
        <v>0</v>
      </c>
      <c r="HP54" s="259">
        <f ca="1">IF(HM54&lt;&gt;"",MAX($HP$2:HP53)+1,0)</f>
        <v>0</v>
      </c>
      <c r="HQ54" s="259">
        <f ca="1">IF(HN54&lt;&gt;"",MAX($HQ$2:HQ53)+1,0)</f>
        <v>0</v>
      </c>
      <c r="HR54" s="259" t="str">
        <f t="shared" ca="1" si="107"/>
        <v/>
      </c>
      <c r="HS54" s="259" t="str">
        <f t="shared" ca="1" si="108"/>
        <v/>
      </c>
      <c r="HT54" s="259">
        <f t="shared" ca="1" si="109"/>
        <v>0</v>
      </c>
      <c r="HU54" s="259">
        <f t="shared" ca="1" si="110"/>
        <v>0</v>
      </c>
      <c r="HV54" s="259" t="str">
        <f ca="1">CONCATENATE(IFERROR(INDEX($HS$3:$HT$102,MATCH(ROWS($HV$3:HV54),$HT$3:$HT$102,0),1),""),HR54)</f>
        <v/>
      </c>
      <c r="IA54" s="259" t="s">
        <v>374</v>
      </c>
      <c r="IB54" s="259" t="s">
        <v>315</v>
      </c>
      <c r="IC54" s="259">
        <f ca="1">IFERROR(INDEX(PIANO_DEI_CONTI,MATCH(ROWS(DL$3:DL54),$DK$3:DK281,0),2),0)</f>
        <v>0</v>
      </c>
      <c r="ID54" s="259">
        <f t="shared" ca="1" si="111"/>
        <v>0</v>
      </c>
      <c r="IE54" s="259">
        <f t="shared" ca="1" si="112"/>
        <v>0</v>
      </c>
      <c r="IF54" s="259">
        <f t="shared" ca="1" si="113"/>
        <v>0</v>
      </c>
      <c r="IG54" s="259">
        <f t="shared" ca="1" si="171"/>
        <v>0</v>
      </c>
      <c r="IH54" s="259">
        <f ca="1">IF(IG54&lt;&gt;0,MAX($IH$35:IH53)+1,0)</f>
        <v>0</v>
      </c>
      <c r="II54" s="259">
        <f>IF(AD54="costi pluriennali",MAX($II$2:II53)+1,0)</f>
        <v>0</v>
      </c>
      <c r="IJ54" s="259">
        <f>IF($AD54="rettifiche costi pluriennali",MAX($IJ$2:IJ53)+1,0)</f>
        <v>0</v>
      </c>
      <c r="IK54" s="259">
        <f t="shared" si="114"/>
        <v>0</v>
      </c>
      <c r="IL54" s="259" t="str">
        <f t="shared" si="115"/>
        <v/>
      </c>
      <c r="IM54" s="259">
        <f t="shared" ca="1" si="116"/>
        <v>0</v>
      </c>
      <c r="IN54" s="259">
        <f t="shared" ca="1" si="141"/>
        <v>0</v>
      </c>
      <c r="IO54" s="259">
        <f>SUMIFS($IM$3:$IM$200,$IK$3:$IK$200,ROWS($IO$3:IO54))-SUMIFS($IN$3:$IN$200,$IK$3:$IK$200,ROWS($IO$3:IO54))</f>
        <v>0</v>
      </c>
      <c r="IP54" s="259" t="str">
        <f>IF(IO54&lt;0,INDEX($IJ$3:$IL$200,MATCH(ROWS($IP$3:IP54),$IJ$3:$IJ$200,0),3),"")</f>
        <v/>
      </c>
      <c r="IQ54" s="259">
        <f>IF(IP54&lt;&gt;"",MAX($IQ$2:IQ53)+1,0)</f>
        <v>0</v>
      </c>
      <c r="IR54" s="259" t="str">
        <f ca="1">IFERROR(INDEX($IP$3:$IQ$200,MATCH(ROWS($IR$3:IR54),$IQ$3:$IQ$200,0),1),"")</f>
        <v/>
      </c>
      <c r="IS54" s="259" t="str">
        <f t="shared" ca="1" si="117"/>
        <v/>
      </c>
      <c r="IT54" s="259" t="str">
        <f t="shared" ca="1" si="118"/>
        <v/>
      </c>
      <c r="IU54" s="259" t="str">
        <f t="shared" ca="1" si="119"/>
        <v/>
      </c>
      <c r="IV54" s="259" t="str">
        <f t="shared" ca="1" si="120"/>
        <v/>
      </c>
      <c r="IW54" s="259" t="str">
        <f t="shared" ca="1" si="121"/>
        <v/>
      </c>
      <c r="IX54" s="259" t="str">
        <f t="shared" ca="1" si="122"/>
        <v/>
      </c>
      <c r="IY54" s="259" t="str">
        <f t="shared" ca="1" si="123"/>
        <v/>
      </c>
      <c r="IZ54" s="259" t="str">
        <f t="shared" ca="1" si="124"/>
        <v/>
      </c>
      <c r="JA54" s="259" t="str">
        <f t="shared" ca="1" si="125"/>
        <v/>
      </c>
      <c r="JB54" s="259">
        <f t="shared" ca="1" si="32"/>
        <v>0</v>
      </c>
      <c r="JC54" s="259">
        <f t="shared" ca="1" si="126"/>
        <v>0</v>
      </c>
      <c r="JE54" s="259">
        <f ca="1">IFERROR(INDEX(LIBRO_GIORNALE!$N$11:$O$408,MATCH(ROWS($JE$2:JE53),LIBRO_GIORNALE!$O$11:$O$408,0),1),0)</f>
        <v>0</v>
      </c>
      <c r="JF54" s="259" t="str">
        <f t="shared" ca="1" si="127"/>
        <v>0</v>
      </c>
      <c r="JG54" s="259">
        <f t="shared" ca="1" si="128"/>
        <v>0</v>
      </c>
      <c r="JH54" s="259">
        <f ca="1">IF(JJ54&gt;0,0,MAX($JH$2:JH53)+1)</f>
        <v>52</v>
      </c>
      <c r="JI54" s="259">
        <f ca="1">IF(JG54&gt;0,MAX($JI$2:JI53)+1,0)</f>
        <v>0</v>
      </c>
      <c r="JJ54" s="259">
        <f ca="1">IFERROR(INDEX($JG$3:$JI$124,MATCH(ROWS($JJ$3:JJ54),$JI$3:$JI$124,0),1),0)</f>
        <v>0</v>
      </c>
      <c r="JK54" s="259">
        <f t="shared" ca="1" si="129"/>
        <v>0</v>
      </c>
      <c r="JL54" s="259">
        <f t="shared" ca="1" si="130"/>
        <v>52</v>
      </c>
    </row>
    <row r="55" spans="1:272">
      <c r="A55" s="259" t="str">
        <f t="shared" si="33"/>
        <v>06.20</v>
      </c>
      <c r="B55" s="259" t="str">
        <f t="shared" si="34"/>
        <v>PERSONALE C/ACCONTI</v>
      </c>
      <c r="C55" s="259" t="str">
        <f t="shared" si="35"/>
        <v>F</v>
      </c>
      <c r="D55" s="259" t="str">
        <f t="shared" si="36"/>
        <v>D</v>
      </c>
      <c r="E55" s="259" t="str">
        <f t="shared" si="37"/>
        <v>CREDITI</v>
      </c>
      <c r="F55" s="259" t="str">
        <f t="shared" si="38"/>
        <v>SP DARE</v>
      </c>
      <c r="G55" s="259">
        <f t="shared" ca="1" si="39"/>
        <v>0</v>
      </c>
      <c r="H55" s="259">
        <f t="shared" ca="1" si="40"/>
        <v>1</v>
      </c>
      <c r="I55" s="259">
        <f t="shared" ca="1" si="41"/>
        <v>1</v>
      </c>
      <c r="K55" s="259" t="str">
        <f ca="1">IFERROR(IF($I$1=1,INDEX($AA$3:$AS$220,MATCH(ROWS($K$3:K55),$AQ$3:$AQ$220,0),1),IF($I$1=2,INDEX($AA$3:$AS$220,MATCH(ROWS($K$3:K55),$AR$3:$AR$220,0),1),IF($I$1=3,INDEX($AA$3:$AS$220,MATCH(ROWS($K$3:K55),$AS$3:$AS$220,0),1),""))),"")</f>
        <v>RATEI ATTIVI</v>
      </c>
      <c r="L55" s="259">
        <f ca="1">IF(AND($L$1="VISUALIZZA TUTTI I CONTI",K55&lt;&gt;""),MAX(L54:L54)+1,IFERROR(IF($J$1=1,IF(INDEX(PIANO_DEI_CONTI,MATCH($K55,DENOMINAZIONE,0),5)=$L$1,MAX($L$2:L54)+1,0),IF($J$1=2,IF(INDEX(PIANO_DEI_CONTI,MATCH($K55,DENOMINAZIONE,0),7)=$L$1,MAX($L$2:L54)+1,0))),0))</f>
        <v>53</v>
      </c>
      <c r="M55" s="259" t="str">
        <f ca="1">IFERROR(INDEX($K$3:$K$220,MATCH(ROWS($M$3:M55),$L$3:$L$220,0),1),"")</f>
        <v>RATEI ATTIVI</v>
      </c>
      <c r="N55" s="259" t="str">
        <f t="shared" si="143"/>
        <v/>
      </c>
      <c r="O55" s="259" t="str">
        <f t="shared" ca="1" si="170"/>
        <v/>
      </c>
      <c r="P55" s="259">
        <f ca="1">IF(AND(N55=O55,O55&lt;&gt;""),MAX(P$2:P54)+1,0)</f>
        <v>0</v>
      </c>
      <c r="Q55" s="259" t="str">
        <f ca="1">IF(IFERROR(INDEX($O$3:$P$220,MATCH(ROWS(Q$3:Q55),$P$3:$P$220,0),1),"")=0,"",IFERROR(INDEX($O$3:$P$220,MATCH(ROWS(Q$3:Q55),$P$3:$P$220,0),1),""))</f>
        <v/>
      </c>
      <c r="R55" s="259" t="str">
        <f t="shared" si="1"/>
        <v>RATEI ATTIVI</v>
      </c>
      <c r="S55" s="259">
        <f ca="1">IF(IFERROR(MATCH(R55,DENOMINAZIONE_GIORNALE,0),0)&gt;0,MAX(S$2:S54)+1,0)</f>
        <v>0</v>
      </c>
      <c r="T55" s="259" t="str">
        <f ca="1">IFERROR(INDEX($R$3:$S$220,MATCH(ROWS($T$3:T55),$S$3:$S$220,0),1),"")</f>
        <v/>
      </c>
      <c r="U55" s="259">
        <f t="shared" ca="1" si="2"/>
        <v>0</v>
      </c>
      <c r="V55" s="259">
        <f ca="1">IF(IF(U55&lt;&gt;0,MAX($V$2:V54)+1,0)=0,0,IF(U55&lt;&gt;0,MAX($V$2:V54)+1,0))</f>
        <v>0</v>
      </c>
      <c r="W55" s="259" t="str">
        <f t="shared" si="43"/>
        <v>06.20</v>
      </c>
      <c r="X55" s="259" t="str">
        <f t="shared" si="44"/>
        <v>PERSONALE C/ACCONTI</v>
      </c>
      <c r="Y55" s="259">
        <f>IF(W55="",0,MAX($Y$2:Y54)+1)</f>
        <v>47</v>
      </c>
      <c r="Z55" s="259" t="str">
        <f>IFERROR(INDEX($W$3:$Y$220,MATCH(ROWS($Z$2:Z54),$Y$3:$Y$220,0),1),"")</f>
        <v>09.01</v>
      </c>
      <c r="AA55" s="259" t="str">
        <f t="shared" si="45"/>
        <v>RATEI ATTIVI</v>
      </c>
      <c r="AB55" s="259" t="str">
        <f t="shared" si="46"/>
        <v>F</v>
      </c>
      <c r="AC55" s="259" t="str">
        <f t="shared" si="47"/>
        <v>D</v>
      </c>
      <c r="AD55" s="259" t="str">
        <f t="shared" si="48"/>
        <v>RATEI, FONDI RISCHI E ONERI</v>
      </c>
      <c r="AE55" s="259" t="str">
        <f t="shared" si="49"/>
        <v>SP DARE</v>
      </c>
      <c r="AF55" s="259" t="str">
        <f t="shared" si="50"/>
        <v>RATEI E RISCONTI ATTIVI</v>
      </c>
      <c r="AG55" s="259">
        <f t="shared" ca="1" si="51"/>
        <v>0</v>
      </c>
      <c r="AH55" s="259">
        <f t="shared" ca="1" si="52"/>
        <v>0</v>
      </c>
      <c r="AI55" s="259">
        <f t="shared" ca="1" si="53"/>
        <v>1</v>
      </c>
      <c r="AJ55" s="259" t="str">
        <f t="shared" si="54"/>
        <v>09</v>
      </c>
      <c r="AK55" s="259" t="str">
        <f t="shared" si="55"/>
        <v/>
      </c>
      <c r="AL55" s="259">
        <f>IF(AK55&lt;&gt;"",MAX($AL$2:AL54)+1,0)</f>
        <v>0</v>
      </c>
      <c r="AM55" s="259" t="str">
        <f>IFERROR(INDEX($AK$3:$AL$220,MATCH(ROWS($AM$3:AM55),$AL$3:$AL$220,0),1),"")</f>
        <v/>
      </c>
      <c r="AN55" s="259" t="str">
        <f t="shared" si="56"/>
        <v/>
      </c>
      <c r="AO55" s="259" t="str">
        <f t="shared" si="57"/>
        <v/>
      </c>
      <c r="AP55" s="259" t="str">
        <f t="shared" si="58"/>
        <v>RATEI E RISCONTI ATTIVI</v>
      </c>
      <c r="AQ55" s="259">
        <f ca="1">IF(OR(AG55=0,AG55=""),0,MAX(AQ$2:AQ54)+1)</f>
        <v>0</v>
      </c>
      <c r="AR55" s="259">
        <f ca="1">IF(OR(AH55=0,AH55=""),0,MAX(AR$2:AR54)+1)</f>
        <v>0</v>
      </c>
      <c r="AS55" s="259">
        <f ca="1">IF(OR(AI55=0,AI55=""),0,MAX(AS$2:AS54)+1)</f>
        <v>53</v>
      </c>
      <c r="AT55" s="259" t="str">
        <f ca="1">IFERROR(INDEX($AD$3:$AS$220,MATCH(ROWS(AT$3:AT55),AQ$3:AQ$220,0),1),"")</f>
        <v>RICAVI D'ESERCIZIO</v>
      </c>
      <c r="AU55" s="259" t="str">
        <f ca="1">IFERROR(INDEX($AD$3:$AS$220,MATCH(ROWS(AU$3:AU55),AR$3:AR$220,0),1),"")</f>
        <v>DEBITI</v>
      </c>
      <c r="AV55" s="259" t="str">
        <f ca="1">IFERROR(INDEX($AD$3:$AS$220,MATCH(ROWS(AV$3:AV55),AS$3:AS$220,0),1),"")</f>
        <v>RATEI, FONDI RISCHI E ONERI</v>
      </c>
      <c r="AW55" s="259" t="str">
        <f ca="1">IFERROR(INDEX($AP$3:$AS$220,MATCH(ROWS(AW$3:AW55),AQ$3:AQ$220,0),1),"")</f>
        <v>VALORE DELLA PRODUZIONE</v>
      </c>
      <c r="AX55" s="259" t="str">
        <f ca="1">IFERROR(INDEX($AP$3:$AS$220,MATCH(ROWS(AX$3:AX55),AR$3:AR$220,0),1),"")</f>
        <v>DEBITI COMMERCIALI</v>
      </c>
      <c r="AY55" s="259" t="str">
        <f ca="1">IFERROR(INDEX($AP$3:$AS$220,MATCH(ROWS(AY$3:AY55),AS$3:AS$220,0),1),"")</f>
        <v>RATEI E RISCONTI ATTIVI</v>
      </c>
      <c r="AZ55" s="276" t="str">
        <f t="shared" ca="1" si="59"/>
        <v/>
      </c>
      <c r="BA55" s="259">
        <f t="shared" ca="1" si="153"/>
        <v>0</v>
      </c>
      <c r="BB55" s="259">
        <f ca="1">IFERROR(INDEX($FG$3:$FL$400,MATCH(ROWS($BB$3:BB55),$FL$3:$FL$400,0),1),0)</f>
        <v>0</v>
      </c>
      <c r="BC55" s="259" t="str">
        <f t="shared" ca="1" si="60"/>
        <v/>
      </c>
      <c r="BD55" s="259">
        <f ca="1">IFERROR(INDEX($FG$3:$FL$400,MATCH(ROWS($BD$3:BD55),$FL$3:$FL$400,0),4),0)</f>
        <v>0</v>
      </c>
      <c r="BE55" s="259">
        <f ca="1">IFERROR(INDEX($FG$3:$FL$400,MATCH(ROWS($BE$3:BE55),$FL$3:$FL$400,0),5),0)</f>
        <v>0</v>
      </c>
      <c r="BG55" s="259" t="str">
        <f t="shared" si="4"/>
        <v/>
      </c>
      <c r="BH55" s="259">
        <f ca="1">IF(IFERROR(MATCH(BG55,DENOMINAZIONE_GIORNALE,0),0)&gt;0,MAX(BH$2:BH54)+1,0)</f>
        <v>0</v>
      </c>
      <c r="BI55" s="259" t="str">
        <f ca="1">IFERROR(INDEX($BG$3:$BH$220,MATCH(ROWS($BI$3:BI55),$BH$3:$BH$220,0),1),"")</f>
        <v/>
      </c>
      <c r="BJ55" s="259" t="str">
        <f t="shared" ca="1" si="5"/>
        <v/>
      </c>
      <c r="BK55" s="259" t="str">
        <f ca="1">IF(IF(BJ55&lt;&gt;"",MAX($BK$2:BK54)+1,0)=0,"",IF(BJ55&lt;&gt;"",MAX($BK$2:BK54)+1,0))</f>
        <v/>
      </c>
      <c r="BL55" s="259" t="str">
        <f ca="1">IFERROR(INDEX($T$3:$U$220, MATCH(ROWS(BL$3:BL55),$V$3:$V$220,0),1),"")</f>
        <v/>
      </c>
      <c r="BM55" s="259" t="str">
        <f ca="1">IFERROR(INDEX($T$3:$U$220, MATCH(ROWS(BM$3:BM55),$V$3:$V$220,0),2),"")</f>
        <v/>
      </c>
      <c r="BN55" s="259" t="str">
        <f ca="1">IF(IFERROR(INDEX($BI$3:$BJ$220,MATCH(ROWS(BN$3:BN55),$BK$3:$BK$220,0),1),"")="PATRIMONIO NETTO","",IFERROR(INDEX($BI$3:$BJ$220,MATCH(ROWS(BN$3:BN55),$BK$3:$BK$220,0),1),""))</f>
        <v/>
      </c>
      <c r="BO55" s="259" t="str">
        <f ca="1">IFERROR(INDEX($BI$3:$BJ$220,MATCH(ROWS(BO$3:BO55),$BK$3:$BK$220,0),2),"")</f>
        <v/>
      </c>
      <c r="BP55" s="259">
        <f ca="1">IF(BN55&lt;&gt;"",MAX(BP$2:$BP54)+1,0)</f>
        <v>0</v>
      </c>
      <c r="BQ55" s="259" t="str">
        <f ca="1">IFERROR(INDEX($BN$3:$BO$200,MATCH(ROWS(BQ$3:BQ55),$BP$3:$BP$220,0),1),"")</f>
        <v/>
      </c>
      <c r="BR55" s="259" t="str">
        <f ca="1">IFERROR(INDEX($BN$3:$BO$220,MATCH(ROWS(BR$3:BR55),$BP$3:$BP$220,0),2),"")</f>
        <v/>
      </c>
      <c r="BS55" s="259" t="str">
        <f ca="1">IFERROR(IF(OR(INDEX($T$3:$U$220,MATCH(ROWS(BL$3:BL55),$V$3:$V$220,0),1)="PRELEVAMENTI EXTRAGESTIONE",INDEX($T$3:$U$220,MATCH(ROWS(BL$3:BL55),$V$3:$V$220,0),1)="TITOLARE C/RITENUTE SUBITE"),"",INDEX($T$3:$U$220,MATCH(ROWS(BL$3:BL55),$V$3:$V$220,0),1)),"")</f>
        <v/>
      </c>
      <c r="BT55" s="259">
        <f t="shared" ca="1" si="61"/>
        <v>0</v>
      </c>
      <c r="BU55" s="259">
        <f ca="1">IF(BS55&lt;&gt;"",MAX(BU$2:BU54)+1,0)</f>
        <v>0</v>
      </c>
      <c r="BV55" s="259" t="str">
        <f ca="1">IFERROR(INDEX($BS$3:$BT$223,MATCH(ROWS(BV$3:BV55),$BU$3:$BU$223,0),1),"")</f>
        <v/>
      </c>
      <c r="BW55" s="259">
        <f t="shared" ca="1" si="62"/>
        <v>0</v>
      </c>
      <c r="BX55" s="259" t="str">
        <f t="shared" ca="1" si="63"/>
        <v/>
      </c>
      <c r="BY55" s="259" t="str">
        <f t="shared" ca="1" si="64"/>
        <v/>
      </c>
      <c r="BZ55" s="259" t="str">
        <f ca="1">IFERROR(IF(OR($DS$231&lt;&gt;$DT$231,$DU$231&lt;&gt;$DV$231,$EO$25&lt;&gt;0,$EO$26&lt;&gt;0),INDEX($T$3:$V$220,MATCH(ROWS($BV$3:BV55),$V$3:$V$220,0),1),CONCATENATE(BV55,BY55)),"")</f>
        <v/>
      </c>
      <c r="CA55" s="259">
        <f t="shared" ca="1" si="65"/>
        <v>0</v>
      </c>
      <c r="CB55" s="259" t="str">
        <f ca="1">IFERROR(IF(OR($BB$1&lt;&gt;$BD$1,$BC$1&lt;&gt;$BE$1,$DS$231&lt;&gt;$DT$231,$DU$231&lt;&gt;$DV$231,$EO$25&lt;&gt;0,$EO$26&lt;&gt;0),INDEX($BI$3:$BK$220,MATCH(ROWS($CB$3:CB55),$BK$3:$BK$220,0),1),CONCATENATE(BQ55,BX55)),"")</f>
        <v/>
      </c>
      <c r="CC55" s="259" t="str">
        <f t="shared" ca="1" si="66"/>
        <v/>
      </c>
      <c r="CD55" s="259" t="str">
        <f t="shared" si="6"/>
        <v/>
      </c>
      <c r="CE55" s="259">
        <f ca="1">IF(IFERROR(MATCH(CD55,DENOMINAZIONE_GIORNALE,0),0)&gt;0,MAX(CE$2:CE54)+1,0)</f>
        <v>0</v>
      </c>
      <c r="CF55" s="259" t="str">
        <f ca="1">IFERROR(INDEX($CD$3:$CE$220,MATCH(ROWS($CF$3:CF55),$CE$3:$CE$220,0),1),"")</f>
        <v/>
      </c>
      <c r="CG55" s="259">
        <f t="shared" ca="1" si="7"/>
        <v>0</v>
      </c>
      <c r="CH55" s="259" t="str">
        <f ca="1">IF(IF(CG55&lt;&gt;0,MAX($CH$2:CH54)+1,0)=0,"",IF(CG55&lt;&gt;"",MAX($CH$2:CH54)+1,0))</f>
        <v/>
      </c>
      <c r="CI55" s="259" t="str">
        <f ca="1">IFERROR(INDEX($CF$3:$CG$220,MATCH(ROWS($CI$3:CI55),$CH$3:$CH$220,0),1),"")</f>
        <v/>
      </c>
      <c r="CJ55" s="259" t="str">
        <f t="shared" ca="1" si="67"/>
        <v/>
      </c>
      <c r="CK55" s="259" t="str">
        <f t="shared" si="8"/>
        <v/>
      </c>
      <c r="CL55" s="259">
        <f ca="1">IF(IFERROR(MATCH(CK55,DENOMINAZIONE_GIORNALE,0),0)&gt;0,MAX(CL$2:CL54)+1,0)</f>
        <v>0</v>
      </c>
      <c r="CM55" s="259" t="str">
        <f ca="1">IFERROR(INDEX($CK$3:$CL$220,MATCH(ROWS($CM$3:CM55),$CL$3:$CL$220,0),1),"")</f>
        <v/>
      </c>
      <c r="CN55" s="259" t="str">
        <f t="shared" ca="1" si="9"/>
        <v/>
      </c>
      <c r="CO55" s="259">
        <f ca="1">IF(IF(CN55&lt;&gt;0,MAX($CO$2:CO54)+1,0)=0,"",IF(CN55&lt;&gt;"",MAX($CO$2:CO54)+1,0))</f>
        <v>0</v>
      </c>
      <c r="CP55" s="259" t="str">
        <f ca="1">IFERROR(INDEX($CM$3:$CN$220,MATCH(ROWS(CP$3:CP55),$CO$3:$CO$220,0),1),"")</f>
        <v/>
      </c>
      <c r="CQ55" s="259" t="str">
        <f ca="1">IFERROR(INDEX($CM$3:$CN$220,MATCH(ROWS(CQ$3:CQ55),$CO$3:$CO$220,0),2),"")</f>
        <v/>
      </c>
      <c r="CR55" s="259" t="str">
        <f t="shared" ca="1" si="154"/>
        <v/>
      </c>
      <c r="CS55" s="259">
        <f t="shared" ca="1" si="11"/>
        <v>0</v>
      </c>
      <c r="CT55" s="259">
        <f t="shared" ca="1" si="12"/>
        <v>0</v>
      </c>
      <c r="CU55" s="259">
        <f ca="1">IF(OR(CS55&gt;0,CT55&gt;0),MAX($CU$2:CU54)+1,0)</f>
        <v>0</v>
      </c>
      <c r="CV55" s="259" t="str">
        <f ca="1">IFERROR(INDEX(PIANO_DEI_CONTI,MATCH(ROWS($CV$3:CV55),$CU$3:$CU$200,0),2),"")</f>
        <v/>
      </c>
      <c r="CW55" s="259">
        <f ca="1">IFERROR(IF(CV55&lt;&gt;"",MAX($CW$2:CW54)+1,0),0)</f>
        <v>0</v>
      </c>
      <c r="CX55" s="259">
        <f t="shared" ca="1" si="162"/>
        <v>3</v>
      </c>
      <c r="CY55" s="259" t="str">
        <f t="shared" ca="1" si="161"/>
        <v>MASTRO</v>
      </c>
      <c r="CZ55" s="259" t="e">
        <f t="shared" ca="1" si="164"/>
        <v>#N/A</v>
      </c>
      <c r="DA55" s="259" t="str">
        <f t="shared" ca="1" si="169"/>
        <v/>
      </c>
      <c r="DB55" s="259" t="str">
        <f t="shared" ca="1" si="165"/>
        <v/>
      </c>
      <c r="DC55" s="259" t="str">
        <f t="shared" ca="1" si="166"/>
        <v/>
      </c>
      <c r="DD55" s="259" t="str">
        <f t="shared" ca="1" si="167"/>
        <v/>
      </c>
      <c r="DE55" s="259" t="str">
        <f t="shared" ca="1" si="168"/>
        <v/>
      </c>
      <c r="DF55" s="259">
        <f ca="1">IF(AND(CX55=$DE$2,$DF$2&lt;&gt;0),0,IF(AND(DB55&lt;&gt;"",OR(DB54&lt;&gt;"",DB56&lt;&gt;"")),MAX($DF$2:DF54)+1,0))</f>
        <v>0</v>
      </c>
      <c r="DG55" s="259" t="str">
        <f>IF(OR(VALORI_INIZIALI!E60="",AND(VALORI_INIZIALI!E60&lt;&gt;"",VALORI_INIZIALI!H60=0,VALORI_INIZIALI!I60=0)),"",IFERROR(INDEX(PIANO_DEI_CONTI,MATCH(BB55,DENOMINAZIONE,0),1),0))</f>
        <v/>
      </c>
      <c r="DH55" s="259">
        <f ca="1">IFERROR(IF($J$1=1,IF(INDEX(PIANO_DEI_CONTI,MATCH($K55,DENOMINAZIONE,0),5)=$DF$1,MAX($DH$2:DH54)+1,0),IF($J$1=2,IF(INDEX(PIANO_DEI_CONTI,MATCH($K55,DENOMINAZIONE,0),7)=$DF$1,MAX($DH$2:DH54)+1,0))),0)</f>
        <v>0</v>
      </c>
      <c r="DI55" s="259">
        <f ca="1">IFERROR(INDEX($K$3:$K$220,MATCH(ROWS($DI$3:DI55),$DH$3:$DH$220,0),1),0)</f>
        <v>0</v>
      </c>
      <c r="DJ55" s="259">
        <f t="shared" ca="1" si="14"/>
        <v>0</v>
      </c>
      <c r="DK55" s="259">
        <f ca="1">IF(DJ55=0,0,MAX(DK$2:DK54)+1)</f>
        <v>0</v>
      </c>
      <c r="DL55" s="259">
        <f ca="1">IFERROR(INDEX(PIANO_DEI_CONTI,MATCH(ROWS(DL$3:DL55),$DK$3:DK282,0),2),0)</f>
        <v>0</v>
      </c>
      <c r="DM55" s="259">
        <f t="shared" ca="1" si="15"/>
        <v>0</v>
      </c>
      <c r="DN55" s="259">
        <f t="shared" ca="1" si="16"/>
        <v>0</v>
      </c>
      <c r="DO55" s="259">
        <f t="shared" ca="1" si="69"/>
        <v>0</v>
      </c>
      <c r="DP55" s="259">
        <f t="shared" ca="1" si="70"/>
        <v>0</v>
      </c>
      <c r="DQ55" s="259">
        <f ca="1">IF(OR($DQ$1="TOTALI",$DQ$1="TOTALI ED ECCEDENZE"),IF(OR(DM55&gt;0,DN55&gt;0),MAX(DQ$2:DQ54)+1,0),IF($DQ$1="ECCEDENZE",IF(OR(DO55&gt;0,DP55&gt;0),MAX(DQ$2:DQ54)+1,0),""))</f>
        <v>0</v>
      </c>
      <c r="DR55" s="259" t="str">
        <f ca="1">IFERROR(INDEX($DL$3:$DQ$230,MATCH(ROWS(DR$3:DR55),$DQ$3:$DQ$230,0),1),"")</f>
        <v/>
      </c>
      <c r="DS55" s="259" t="str">
        <f t="shared" ca="1" si="71"/>
        <v/>
      </c>
      <c r="DT55" s="259" t="str">
        <f t="shared" ca="1" si="72"/>
        <v/>
      </c>
      <c r="DU55" s="259" t="str">
        <f t="shared" ca="1" si="73"/>
        <v/>
      </c>
      <c r="DV55" s="259" t="str">
        <f t="shared" ca="1" si="74"/>
        <v/>
      </c>
      <c r="DW55" s="259">
        <f t="shared" ca="1" si="75"/>
        <v>0</v>
      </c>
      <c r="DX55" s="259" t="str">
        <f t="shared" ca="1" si="76"/>
        <v/>
      </c>
      <c r="DY55" s="259" t="str">
        <f t="shared" ca="1" si="77"/>
        <v/>
      </c>
      <c r="DZ55" s="259" t="str">
        <f t="shared" ca="1" si="78"/>
        <v/>
      </c>
      <c r="EA55" s="259">
        <f t="shared" ca="1" si="79"/>
        <v>53</v>
      </c>
      <c r="EB55" s="259" t="str">
        <f t="shared" ref="EB55:EB56" ca="1" si="172">IF($ID$1=1,"pad","pac2")</f>
        <v>pad</v>
      </c>
      <c r="ED55" s="259">
        <f t="shared" ca="1" si="17"/>
        <v>0</v>
      </c>
      <c r="EE55" s="259" t="str">
        <f t="shared" ca="1" si="155"/>
        <v/>
      </c>
      <c r="EF55" s="259" t="str">
        <f t="shared" ca="1" si="19"/>
        <v/>
      </c>
      <c r="EG55" s="259" t="str">
        <f t="shared" ca="1" si="136"/>
        <v/>
      </c>
      <c r="EH55" s="259" t="str">
        <f t="shared" ca="1" si="80"/>
        <v/>
      </c>
      <c r="EI55" s="260" t="b">
        <f t="shared" ca="1" si="137"/>
        <v>0</v>
      </c>
      <c r="EJ55" s="260" t="b">
        <f t="shared" ca="1" si="138"/>
        <v>1</v>
      </c>
      <c r="EK55" s="260" t="b">
        <f t="shared" ca="1" si="139"/>
        <v>1</v>
      </c>
      <c r="EL55" s="259">
        <f t="shared" si="81"/>
        <v>53</v>
      </c>
      <c r="EM55" s="259">
        <f ca="1">IF(AND(BA55&gt;0,BA55&lt;=$EM$1),MAX($EM$2:EM54)+1,0)</f>
        <v>0</v>
      </c>
      <c r="EN55" s="259">
        <f t="shared" ca="1" si="82"/>
        <v>55</v>
      </c>
      <c r="EP55" s="259" t="str">
        <f t="shared" ca="1" si="20"/>
        <v/>
      </c>
      <c r="EQ55" s="259">
        <f t="shared" ca="1" si="21"/>
        <v>0</v>
      </c>
      <c r="ER55" s="259">
        <f ca="1">IF(ISNA(EQ55),MAX(ER$2:ER54)+1,0)</f>
        <v>0</v>
      </c>
      <c r="ES55" s="259" t="str">
        <f t="shared" ca="1" si="83"/>
        <v/>
      </c>
      <c r="ET55" s="259" t="str">
        <f ca="1">IFERROR(UPPER(INDEX($ER$3:$ES$500,MATCH(ROWS(ET$3:ET55),$ER$3:$ER$500,0),2)),"")</f>
        <v/>
      </c>
      <c r="EY55" s="259">
        <f t="shared" ca="1" si="84"/>
        <v>0</v>
      </c>
      <c r="EZ55" s="259">
        <f t="shared" ca="1" si="84"/>
        <v>0</v>
      </c>
      <c r="FA55" s="259" t="str">
        <f t="shared" ca="1" si="85"/>
        <v/>
      </c>
      <c r="FB55" s="259">
        <f t="shared" ca="1" si="86"/>
        <v>0</v>
      </c>
      <c r="FC55" s="259">
        <f t="shared" ca="1" si="87"/>
        <v>0</v>
      </c>
      <c r="FD55" s="259">
        <f t="shared" ca="1" si="22"/>
        <v>0</v>
      </c>
      <c r="FE55" s="259" t="str">
        <f t="shared" ca="1" si="23"/>
        <v/>
      </c>
      <c r="FF55" s="259" t="str">
        <f t="shared" ca="1" si="88"/>
        <v/>
      </c>
      <c r="FG55" s="259" t="str">
        <f t="shared" si="89"/>
        <v>RATEI ATTIVI</v>
      </c>
      <c r="FH55" s="259">
        <f t="shared" ca="1" si="156"/>
        <v>0</v>
      </c>
      <c r="FI55" s="259">
        <f t="shared" ca="1" si="25"/>
        <v>0</v>
      </c>
      <c r="FJ55" s="259">
        <f t="shared" ca="1" si="90"/>
        <v>0</v>
      </c>
      <c r="FK55" s="259">
        <f t="shared" ca="1" si="91"/>
        <v>0</v>
      </c>
      <c r="FL55" s="259">
        <f ca="1">IF(OR(FJ55&gt;0,FK55&gt;0),MAX($FL$2:FL54)+1,0)</f>
        <v>0</v>
      </c>
      <c r="FM55" s="259">
        <f t="shared" ca="1" si="26"/>
        <v>0</v>
      </c>
      <c r="FN55" s="259">
        <f ca="1">IF(FM55&lt;0,MAX($FN$2:FN54)+1,0)</f>
        <v>0</v>
      </c>
      <c r="FO55" s="259" t="str">
        <f t="shared" ca="1" si="92"/>
        <v/>
      </c>
      <c r="FP55" s="259" t="str">
        <f ca="1">IFERROR(INDEX($FN$3:$FO$400,MATCH(ROWS($FP$3:FP55),$FN$3:$FN$400,0),2),"")</f>
        <v/>
      </c>
      <c r="FQ55" s="259" t="str">
        <f>IF(AE55="SE AVERE",MAX($FQ$2:FQ54)+1,"")</f>
        <v/>
      </c>
      <c r="FR55" s="259" t="str">
        <f>IF(AE55="SE DARE",MAX($FR$2:FR54)+1,"")</f>
        <v/>
      </c>
      <c r="FS55" s="259">
        <f ca="1">IF(AND(AE55="SP DARE",AA55&lt;&gt;$FS$1,AA55&lt;&gt;$FT$1),MAX($FS$2:FS54)+1,IF(AND(GQ55="SP DARE",AA55&lt;&gt;$FS$1,AA55&lt;&gt;$FT$1),MAX($FS$2:FS54)+1,""))</f>
        <v>130</v>
      </c>
      <c r="FT55" s="259" t="str">
        <f ca="1">IF(AND(AE55="SP AVERE",AA55&lt;&gt;$FU$1),MAX($FT$2:FT54)+1,IF(AND(GQ55="SP AVERE",AA55&lt;&gt;$FU$1),MAX($FT$2:FT54)+1,""))</f>
        <v/>
      </c>
      <c r="FU55" s="259">
        <f t="shared" ca="1" si="93"/>
        <v>130</v>
      </c>
      <c r="FV55" s="259" t="str">
        <f t="shared" si="94"/>
        <v>RATEI ATTIVI</v>
      </c>
      <c r="FW55" s="259" t="str">
        <f ca="1">IFERROR(INDEX($FU$3:$FV$500,MATCH(ROWS($FW$3:FW55),$FU$3:$FU$500,0),2),0)</f>
        <v>AMMORTAMENTO FABBRICATI</v>
      </c>
      <c r="FX55" s="259">
        <f t="shared" ca="1" si="95"/>
        <v>53</v>
      </c>
      <c r="FY55" s="259">
        <f t="shared" ca="1" si="96"/>
        <v>0</v>
      </c>
      <c r="FZ55" s="259">
        <f ca="1">IF(FY55&gt;0,MAX($FZ$2:FZ54)+1,0)</f>
        <v>0</v>
      </c>
      <c r="GA55" s="259">
        <f ca="1">IFERROR(INDEX($FY$3:$FZ$500,MATCH(ROWS($GA$3:GA55),$FZ$3:$FZ$500,0),1),0)</f>
        <v>0</v>
      </c>
      <c r="GC55" s="259">
        <f t="shared" ca="1" si="97"/>
        <v>53</v>
      </c>
      <c r="GD55" s="259" t="str">
        <f t="shared" ca="1" si="98"/>
        <v>AMMORTAMENTO FABBRICATI</v>
      </c>
      <c r="GG55" s="259">
        <f t="shared" ca="1" si="27"/>
        <v>0</v>
      </c>
      <c r="GH55" s="259">
        <f t="shared" ca="1" si="99"/>
        <v>0</v>
      </c>
      <c r="GI55" s="259">
        <f t="shared" ca="1" si="100"/>
        <v>0</v>
      </c>
      <c r="GJ55" s="259">
        <f t="shared" ca="1" si="101"/>
        <v>0</v>
      </c>
      <c r="GK55" s="259">
        <f t="shared" ca="1" si="102"/>
        <v>0</v>
      </c>
      <c r="GL55" s="259">
        <f t="shared" ca="1" si="103"/>
        <v>0</v>
      </c>
      <c r="GM55" s="259">
        <f ca="1">IF(OR(GK55&gt;0,GL55&gt;0),MAX($GM$2:GM54)+1,0)</f>
        <v>0</v>
      </c>
      <c r="GN55" s="259" t="str">
        <f ca="1">IFERROR(INDEX($GD$3:$GM$400,MATCH(ROWS($GN$3:GN55),$GM$3:$GM$400,0),1),"")</f>
        <v/>
      </c>
      <c r="GO55" s="259" t="str">
        <f ca="1">IFERROR(INDEX($GD$3:$GM$400,MATCH(ROWS($GO$3:GO55),$GM$3:$GM$400,0),8),"")</f>
        <v/>
      </c>
      <c r="GP55" s="259" t="str">
        <f ca="1">IFERROR(INDEX($GD$3:$GM$400,MATCH(ROWS($GP$3:GP55),$GM$3:$GM$400,0),9),"")</f>
        <v/>
      </c>
      <c r="GQ55" s="259">
        <f t="shared" ca="1" si="28"/>
        <v>0</v>
      </c>
      <c r="GR55" s="259">
        <f t="shared" ca="1" si="104"/>
        <v>0</v>
      </c>
      <c r="GS55" s="259" t="str">
        <f t="shared" si="105"/>
        <v>epilogo a Conto economico</v>
      </c>
      <c r="GT55" s="259" t="str">
        <f ca="1">IFERROR(INDEX($GD$3:$GS$400,MATCH(ROWS($GT$3:GT55),$GM$3:$GM$400,0),16),"")</f>
        <v/>
      </c>
      <c r="GU55" s="259">
        <f ca="1">IF(GQ55&lt;&gt;0,MAX($GU$2:$GU54)+1,0)</f>
        <v>0</v>
      </c>
      <c r="GV55" s="259">
        <f t="shared" ca="1" si="106"/>
        <v>0</v>
      </c>
      <c r="GW55" s="259" t="str">
        <f ca="1">IF(AND(IFERROR(INDEX($GU$3:$GV$400,MATCH(ROWS($GW$3:GW55),$GU$3:$GU$400,0),2),"")&lt;&gt;"",GW56&lt;&gt;""),CONCATENATE(IFERROR(INDEX($GU$3:$GV$400,MATCH(ROWS($GW$3:GW55),$GU$3:$GU$400,0),2),"")," - "),IFERROR(INDEX($GU$3:$GV$400,MATCH(ROWS($GW$3:GW55),$GU$3:$GU$400,0),2),""))</f>
        <v/>
      </c>
      <c r="GX55" s="259">
        <f ca="1">IF(OR(GN55="IVA NS/CREDITO",GN55="IVA NS/DEBITO",GN55="IVA C/ACCONTO",GN55="IMPOSTE C/ACCONTO"),MAX($GX$2:GX54)+1,0)</f>
        <v>0</v>
      </c>
      <c r="GY55" s="259" t="str">
        <f ca="1">IF(AND(IFERROR(INDEX($GN$3:$GX$200,MATCH(ROWS($GY$3:GY55),$GX$3:$GX$200,0),1),"")&lt;&gt;"",GY56&lt;&gt;""),CONCATENATE(IFERROR(INDEX($GN$3:$GX$200,MATCH(ROWS($GY$3:GY55),$GX$3:$GX$200,0),1),"")," - "),IFERROR(INDEX($GN$3:$GX$200,MATCH(ROWS($GY$3:GY55),$GX$3:$GX$200,0),1),""))</f>
        <v/>
      </c>
      <c r="GZ55" s="259" t="s">
        <v>514</v>
      </c>
      <c r="HA55" s="259" t="s">
        <v>515</v>
      </c>
      <c r="HB55" s="269" t="s">
        <v>257</v>
      </c>
      <c r="HC55" s="269" t="s">
        <v>276</v>
      </c>
      <c r="HD55" s="269" t="s">
        <v>6</v>
      </c>
      <c r="HE55" s="269" t="s">
        <v>206</v>
      </c>
      <c r="HL55" s="259" t="str">
        <f t="shared" ca="1" si="157"/>
        <v/>
      </c>
      <c r="HM55" s="259" t="str">
        <f t="shared" ca="1" si="158"/>
        <v/>
      </c>
      <c r="HN55" s="259" t="str">
        <f t="shared" ca="1" si="159"/>
        <v/>
      </c>
      <c r="HO55" s="259">
        <f ca="1">IF(HL55&lt;&gt;"",MAX($HO$2:HO54)+1,0)</f>
        <v>0</v>
      </c>
      <c r="HP55" s="259">
        <f ca="1">IF(HM55&lt;&gt;"",MAX($HP$2:HP54)+1,0)</f>
        <v>0</v>
      </c>
      <c r="HQ55" s="259">
        <f ca="1">IF(HN55&lt;&gt;"",MAX($HQ$2:HQ54)+1,0)</f>
        <v>0</v>
      </c>
      <c r="HR55" s="259" t="str">
        <f t="shared" ca="1" si="107"/>
        <v/>
      </c>
      <c r="HS55" s="259" t="str">
        <f t="shared" ca="1" si="108"/>
        <v/>
      </c>
      <c r="HT55" s="259">
        <f t="shared" ca="1" si="109"/>
        <v>0</v>
      </c>
      <c r="HU55" s="259">
        <f t="shared" ca="1" si="110"/>
        <v>0</v>
      </c>
      <c r="HV55" s="259" t="str">
        <f ca="1">CONCATENATE(IFERROR(INDEX($HS$3:$HT$102,MATCH(ROWS($HV$3:HV55),$HT$3:$HT$102,0),1),""),HR55)</f>
        <v/>
      </c>
      <c r="IA55" s="259" t="s">
        <v>375</v>
      </c>
      <c r="IB55" s="259" t="s">
        <v>316</v>
      </c>
      <c r="IC55" s="259">
        <f ca="1">IFERROR(INDEX(PIANO_DEI_CONTI,MATCH(ROWS(DL$3:DL55),$DK$3:DK282,0),2),0)</f>
        <v>0</v>
      </c>
      <c r="ID55" s="259">
        <f t="shared" ca="1" si="111"/>
        <v>0</v>
      </c>
      <c r="IE55" s="259">
        <f t="shared" ca="1" si="112"/>
        <v>0</v>
      </c>
      <c r="IF55" s="259">
        <f t="shared" ca="1" si="113"/>
        <v>0</v>
      </c>
      <c r="IG55" s="259">
        <f t="shared" ca="1" si="171"/>
        <v>0</v>
      </c>
      <c r="IH55" s="259">
        <f ca="1">IF(IG55&lt;&gt;0,MAX($IH$35:IH54)+1,0)</f>
        <v>0</v>
      </c>
      <c r="II55" s="259">
        <f>IF(AD55="costi pluriennali",MAX($II$2:II54)+1,0)</f>
        <v>0</v>
      </c>
      <c r="IJ55" s="259">
        <f>IF($AD55="rettifiche costi pluriennali",MAX($IJ$2:IJ54)+1,0)</f>
        <v>0</v>
      </c>
      <c r="IK55" s="259">
        <f t="shared" si="114"/>
        <v>0</v>
      </c>
      <c r="IL55" s="259" t="str">
        <f t="shared" si="115"/>
        <v/>
      </c>
      <c r="IM55" s="259">
        <f t="shared" ca="1" si="116"/>
        <v>0</v>
      </c>
      <c r="IN55" s="259">
        <f t="shared" ca="1" si="141"/>
        <v>0</v>
      </c>
      <c r="IO55" s="259">
        <f>SUMIFS($IM$3:$IM$200,$IK$3:$IK$200,ROWS($IO$3:IO55))-SUMIFS($IN$3:$IN$200,$IK$3:$IK$200,ROWS($IO$3:IO55))</f>
        <v>0</v>
      </c>
      <c r="IP55" s="259" t="str">
        <f>IF(IO55&lt;0,INDEX($IJ$3:$IL$200,MATCH(ROWS($IP$3:IP55),$IJ$3:$IJ$200,0),3),"")</f>
        <v/>
      </c>
      <c r="IQ55" s="259">
        <f>IF(IP55&lt;&gt;"",MAX($IQ$2:IQ54)+1,0)</f>
        <v>0</v>
      </c>
      <c r="IR55" s="259" t="str">
        <f ca="1">IFERROR(INDEX($IP$3:$IQ$200,MATCH(ROWS($IR$3:IR55),$IQ$3:$IQ$200,0),1),"")</f>
        <v/>
      </c>
      <c r="IS55" s="259" t="str">
        <f t="shared" ca="1" si="117"/>
        <v/>
      </c>
      <c r="IT55" s="259" t="str">
        <f t="shared" ca="1" si="118"/>
        <v/>
      </c>
      <c r="IU55" s="259" t="str">
        <f t="shared" ca="1" si="119"/>
        <v/>
      </c>
      <c r="IV55" s="259" t="str">
        <f t="shared" ca="1" si="120"/>
        <v/>
      </c>
      <c r="IW55" s="259" t="str">
        <f t="shared" ca="1" si="121"/>
        <v/>
      </c>
      <c r="IX55" s="259" t="str">
        <f t="shared" ca="1" si="122"/>
        <v/>
      </c>
      <c r="IY55" s="259" t="str">
        <f t="shared" ca="1" si="123"/>
        <v/>
      </c>
      <c r="IZ55" s="259" t="str">
        <f t="shared" ca="1" si="124"/>
        <v/>
      </c>
      <c r="JA55" s="259" t="str">
        <f t="shared" ca="1" si="125"/>
        <v/>
      </c>
      <c r="JB55" s="259">
        <f t="shared" ca="1" si="32"/>
        <v>0</v>
      </c>
      <c r="JC55" s="259">
        <f t="shared" ca="1" si="126"/>
        <v>0</v>
      </c>
      <c r="JE55" s="259">
        <f ca="1">IFERROR(INDEX(LIBRO_GIORNALE!$N$11:$O$408,MATCH(ROWS($JE$2:JE54),LIBRO_GIORNALE!$O$11:$O$408,0),1),0)</f>
        <v>0</v>
      </c>
      <c r="JF55" s="259" t="str">
        <f t="shared" ca="1" si="127"/>
        <v>0</v>
      </c>
      <c r="JG55" s="259">
        <f t="shared" ca="1" si="128"/>
        <v>0</v>
      </c>
      <c r="JH55" s="259">
        <f ca="1">IF(JJ55&gt;0,0,MAX($JH$2:JH54)+1)</f>
        <v>53</v>
      </c>
      <c r="JI55" s="259">
        <f ca="1">IF(JG55&gt;0,MAX($JI$2:JI54)+1,0)</f>
        <v>0</v>
      </c>
      <c r="JJ55" s="259">
        <f ca="1">IFERROR(INDEX($JG$3:$JI$124,MATCH(ROWS($JJ$3:JJ55),$JI$3:$JI$124,0),1),0)</f>
        <v>0</v>
      </c>
      <c r="JK55" s="259">
        <f t="shared" ca="1" si="129"/>
        <v>0</v>
      </c>
      <c r="JL55" s="259">
        <f t="shared" ca="1" si="130"/>
        <v>53</v>
      </c>
    </row>
    <row r="56" spans="1:272">
      <c r="A56" s="259" t="str">
        <f t="shared" si="33"/>
        <v>08.00</v>
      </c>
      <c r="B56" s="259" t="str">
        <f t="shared" si="34"/>
        <v>DISPONIBILITÀ LIQUIDE</v>
      </c>
      <c r="C56" s="259">
        <f t="shared" si="35"/>
        <v>0</v>
      </c>
      <c r="D56" s="259">
        <f t="shared" si="36"/>
        <v>0</v>
      </c>
      <c r="E56" s="259">
        <f t="shared" si="37"/>
        <v>0</v>
      </c>
      <c r="F56" s="259">
        <f t="shared" si="38"/>
        <v>0</v>
      </c>
      <c r="G56" s="259">
        <f t="shared" ca="1" si="39"/>
        <v>0</v>
      </c>
      <c r="H56" s="259">
        <f t="shared" ca="1" si="40"/>
        <v>0</v>
      </c>
      <c r="I56" s="259">
        <f t="shared" ca="1" si="41"/>
        <v>0</v>
      </c>
      <c r="K56" s="259" t="str">
        <f ca="1">IFERROR(IF($I$1=1,INDEX($AA$3:$AS$220,MATCH(ROWS($K$3:K56),$AQ$3:$AQ$220,0),1),IF($I$1=2,INDEX($AA$3:$AS$220,MATCH(ROWS($K$3:K56),$AR$3:$AR$220,0),1),IF($I$1=3,INDEX($AA$3:$AS$220,MATCH(ROWS($K$3:K56),$AS$3:$AS$220,0),1),""))),"")</f>
        <v>RISCONTI ATTIVI</v>
      </c>
      <c r="L56" s="259">
        <f ca="1">IF(AND($L$1="VISUALIZZA TUTTI I CONTI",K56&lt;&gt;""),MAX(L55:L55)+1,IFERROR(IF($J$1=1,IF(INDEX(PIANO_DEI_CONTI,MATCH($K56,DENOMINAZIONE,0),5)=$L$1,MAX($L$2:L55)+1,0),IF($J$1=2,IF(INDEX(PIANO_DEI_CONTI,MATCH($K56,DENOMINAZIONE,0),7)=$L$1,MAX($L$2:L55)+1,0))),0))</f>
        <v>54</v>
      </c>
      <c r="M56" s="259" t="str">
        <f ca="1">IFERROR(INDEX($K$3:$K$220,MATCH(ROWS($M$3:M56),$L$3:$L$220,0),1),"")</f>
        <v>RISCONTI ATTIVI</v>
      </c>
      <c r="N56" s="259" t="str">
        <f t="shared" si="143"/>
        <v/>
      </c>
      <c r="O56" s="259" t="str">
        <f t="shared" ca="1" si="170"/>
        <v/>
      </c>
      <c r="P56" s="259">
        <f ca="1">IF(AND(N56=O56,O56&lt;&gt;""),MAX(P$2:P55)+1,0)</f>
        <v>0</v>
      </c>
      <c r="Q56" s="259" t="str">
        <f ca="1">IF(IFERROR(INDEX($O$3:$P$220,MATCH(ROWS(Q$3:Q56),$P$3:$P$220,0),1),"")=0,"",IFERROR(INDEX($O$3:$P$220,MATCH(ROWS(Q$3:Q56),$P$3:$P$220,0),1),""))</f>
        <v/>
      </c>
      <c r="R56" s="259" t="str">
        <f t="shared" si="1"/>
        <v>RISCONTI ATTIVI</v>
      </c>
      <c r="S56" s="259">
        <f ca="1">IF(IFERROR(MATCH(R56,DENOMINAZIONE_GIORNALE,0),0)&gt;0,MAX(S$2:S55)+1,0)</f>
        <v>0</v>
      </c>
      <c r="T56" s="259" t="str">
        <f ca="1">IFERROR(INDEX($R$3:$S$220,MATCH(ROWS($T$3:T56),$S$3:$S$220,0),1),"")</f>
        <v/>
      </c>
      <c r="U56" s="259">
        <f t="shared" ca="1" si="2"/>
        <v>0</v>
      </c>
      <c r="V56" s="259">
        <f ca="1">IF(IF(U56&lt;&gt;0,MAX($V$2:V55)+1,0)=0,0,IF(U56&lt;&gt;0,MAX($V$2:V55)+1,0))</f>
        <v>0</v>
      </c>
      <c r="W56" s="259" t="str">
        <f t="shared" si="43"/>
        <v/>
      </c>
      <c r="X56" s="259" t="str">
        <f t="shared" si="44"/>
        <v/>
      </c>
      <c r="Y56" s="259">
        <f>IF(W56="",0,MAX($Y$2:Y55)+1)</f>
        <v>0</v>
      </c>
      <c r="Z56" s="259" t="str">
        <f>IFERROR(INDEX($W$3:$Y$220,MATCH(ROWS($Z$2:Z55),$Y$3:$Y$220,0),1),"")</f>
        <v>09.02</v>
      </c>
      <c r="AA56" s="259" t="str">
        <f t="shared" si="45"/>
        <v>RISCONTI ATTIVI</v>
      </c>
      <c r="AB56" s="259" t="str">
        <f t="shared" si="46"/>
        <v>E</v>
      </c>
      <c r="AC56" s="259" t="str">
        <f t="shared" si="47"/>
        <v>D</v>
      </c>
      <c r="AD56" s="259" t="str">
        <f t="shared" si="48"/>
        <v>COSTI SOSPESI</v>
      </c>
      <c r="AE56" s="259" t="str">
        <f t="shared" si="49"/>
        <v>SP DARE</v>
      </c>
      <c r="AF56" s="259" t="str">
        <f t="shared" si="50"/>
        <v>RATEI E RISCONTI ATTIVI</v>
      </c>
      <c r="AG56" s="259">
        <f t="shared" ca="1" si="51"/>
        <v>0</v>
      </c>
      <c r="AH56" s="259">
        <f t="shared" ca="1" si="52"/>
        <v>0</v>
      </c>
      <c r="AI56" s="259">
        <f t="shared" ca="1" si="53"/>
        <v>1</v>
      </c>
      <c r="AJ56" s="259" t="str">
        <f t="shared" si="54"/>
        <v>09</v>
      </c>
      <c r="AK56" s="259" t="str">
        <f t="shared" si="55"/>
        <v>08</v>
      </c>
      <c r="AL56" s="259">
        <f>IF(AK56&lt;&gt;"",MAX($AL$2:AL55)+1,0)</f>
        <v>7</v>
      </c>
      <c r="AM56" s="259" t="str">
        <f>IFERROR(INDEX($AK$3:$AL$220,MATCH(ROWS($AM$3:AM56),$AL$3:$AL$220,0),1),"")</f>
        <v/>
      </c>
      <c r="AN56" s="259" t="str">
        <f t="shared" si="56"/>
        <v/>
      </c>
      <c r="AO56" s="259" t="str">
        <f t="shared" si="57"/>
        <v/>
      </c>
      <c r="AP56" s="259" t="str">
        <f t="shared" si="58"/>
        <v>RATEI E RISCONTI ATTIVI</v>
      </c>
      <c r="AQ56" s="259">
        <f ca="1">IF(OR(AG56=0,AG56=""),0,MAX(AQ$2:AQ55)+1)</f>
        <v>0</v>
      </c>
      <c r="AR56" s="259">
        <f ca="1">IF(OR(AH56=0,AH56=""),0,MAX(AR$2:AR55)+1)</f>
        <v>0</v>
      </c>
      <c r="AS56" s="259">
        <f ca="1">IF(OR(AI56=0,AI56=""),0,MAX(AS$2:AS55)+1)</f>
        <v>54</v>
      </c>
      <c r="AT56" s="259" t="str">
        <f ca="1">IFERROR(INDEX($AD$3:$AS$220,MATCH(ROWS(AT$3:AT56),AQ$3:AQ$220,0),1),"")</f>
        <v>RICAVI D'ESERCIZIO</v>
      </c>
      <c r="AU56" s="259" t="str">
        <f ca="1">IFERROR(INDEX($AD$3:$AS$220,MATCH(ROWS(AU$3:AU56),AR$3:AR$220,0),1),"")</f>
        <v>DEBITI</v>
      </c>
      <c r="AV56" s="259" t="str">
        <f ca="1">IFERROR(INDEX($AD$3:$AS$220,MATCH(ROWS(AV$3:AV56),AS$3:AS$220,0),1),"")</f>
        <v>COSTI SOSPESI</v>
      </c>
      <c r="AW56" s="259" t="str">
        <f ca="1">IFERROR(INDEX($AP$3:$AS$220,MATCH(ROWS(AW$3:AW56),AQ$3:AQ$220,0),1),"")</f>
        <v>VALORE DELLA PRODUZIONE</v>
      </c>
      <c r="AX56" s="259" t="str">
        <f ca="1">IFERROR(INDEX($AP$3:$AS$220,MATCH(ROWS(AX$3:AX56),AR$3:AR$220,0),1),"")</f>
        <v>DEBITI COMMERCIALI</v>
      </c>
      <c r="AY56" s="259" t="str">
        <f ca="1">IFERROR(INDEX($AP$3:$AS$220,MATCH(ROWS(AY$3:AY56),AS$3:AS$220,0),1),"")</f>
        <v>RATEI E RISCONTI ATTIVI</v>
      </c>
      <c r="AZ56" s="276" t="str">
        <f t="shared" ca="1" si="59"/>
        <v/>
      </c>
      <c r="BA56" s="259">
        <f t="shared" ca="1" si="153"/>
        <v>0</v>
      </c>
      <c r="BB56" s="259">
        <f ca="1">IFERROR(INDEX($FG$3:$FL$400,MATCH(ROWS($BB$3:BB56),$FL$3:$FL$400,0),1),0)</f>
        <v>0</v>
      </c>
      <c r="BC56" s="259" t="str">
        <f t="shared" ca="1" si="60"/>
        <v/>
      </c>
      <c r="BD56" s="259">
        <f ca="1">IFERROR(INDEX($FG$3:$FL$400,MATCH(ROWS($BD$3:BD56),$FL$3:$FL$400,0),4),0)</f>
        <v>0</v>
      </c>
      <c r="BE56" s="259">
        <f ca="1">IFERROR(INDEX($FG$3:$FL$400,MATCH(ROWS($BE$3:BE56),$FL$3:$FL$400,0),5),0)</f>
        <v>0</v>
      </c>
      <c r="BG56" s="259" t="str">
        <f t="shared" si="4"/>
        <v/>
      </c>
      <c r="BH56" s="259">
        <f ca="1">IF(IFERROR(MATCH(BG56,DENOMINAZIONE_GIORNALE,0),0)&gt;0,MAX(BH$2:BH55)+1,0)</f>
        <v>0</v>
      </c>
      <c r="BI56" s="259" t="str">
        <f ca="1">IFERROR(INDEX($BG$3:$BH$220,MATCH(ROWS($BI$3:BI56),$BH$3:$BH$220,0),1),"")</f>
        <v/>
      </c>
      <c r="BJ56" s="259" t="str">
        <f t="shared" ca="1" si="5"/>
        <v/>
      </c>
      <c r="BK56" s="259" t="str">
        <f ca="1">IF(IF(BJ56&lt;&gt;"",MAX($BK$2:BK55)+1,0)=0,"",IF(BJ56&lt;&gt;"",MAX($BK$2:BK55)+1,0))</f>
        <v/>
      </c>
      <c r="BL56" s="259" t="str">
        <f ca="1">IFERROR(INDEX($T$3:$U$220, MATCH(ROWS(BL$3:BL56),$V$3:$V$220,0),1),"")</f>
        <v/>
      </c>
      <c r="BM56" s="259" t="str">
        <f ca="1">IFERROR(INDEX($T$3:$U$220, MATCH(ROWS(BM$3:BM56),$V$3:$V$220,0),2),"")</f>
        <v/>
      </c>
      <c r="BN56" s="259" t="str">
        <f ca="1">IF(IFERROR(INDEX($BI$3:$BJ$220,MATCH(ROWS(BN$3:BN56),$BK$3:$BK$220,0),1),"")="PATRIMONIO NETTO","",IFERROR(INDEX($BI$3:$BJ$220,MATCH(ROWS(BN$3:BN56),$BK$3:$BK$220,0),1),""))</f>
        <v/>
      </c>
      <c r="BO56" s="259" t="str">
        <f ca="1">IFERROR(INDEX($BI$3:$BJ$220,MATCH(ROWS(BO$3:BO56),$BK$3:$BK$220,0),2),"")</f>
        <v/>
      </c>
      <c r="BP56" s="259">
        <f ca="1">IF(BN56&lt;&gt;"",MAX(BP$2:$BP55)+1,0)</f>
        <v>0</v>
      </c>
      <c r="BQ56" s="259" t="str">
        <f ca="1">IFERROR(INDEX($BN$3:$BO$200,MATCH(ROWS(BQ$3:BQ56),$BP$3:$BP$220,0),1),"")</f>
        <v/>
      </c>
      <c r="BR56" s="259" t="str">
        <f ca="1">IFERROR(INDEX($BN$3:$BO$220,MATCH(ROWS(BR$3:BR56),$BP$3:$BP$220,0),2),"")</f>
        <v/>
      </c>
      <c r="BS56" s="259" t="str">
        <f ca="1">IFERROR(IF(OR(INDEX($T$3:$U$220,MATCH(ROWS(BL$3:BL56),$V$3:$V$220,0),1)="PRELEVAMENTI EXTRAGESTIONE",INDEX($T$3:$U$220,MATCH(ROWS(BL$3:BL56),$V$3:$V$220,0),1)="TITOLARE C/RITENUTE SUBITE"),"",INDEX($T$3:$U$220,MATCH(ROWS(BL$3:BL56),$V$3:$V$220,0),1)),"")</f>
        <v/>
      </c>
      <c r="BT56" s="259">
        <f t="shared" ca="1" si="61"/>
        <v>0</v>
      </c>
      <c r="BU56" s="259">
        <f ca="1">IF(BS56&lt;&gt;"",MAX(BU$2:BU55)+1,0)</f>
        <v>0</v>
      </c>
      <c r="BV56" s="259" t="str">
        <f ca="1">IFERROR(INDEX($BS$3:$BT$223,MATCH(ROWS(BV$3:BV56),$BU$3:$BU$223,0),1),"")</f>
        <v/>
      </c>
      <c r="BW56" s="259">
        <f t="shared" ca="1" si="62"/>
        <v>0</v>
      </c>
      <c r="BX56" s="259" t="str">
        <f t="shared" ca="1" si="63"/>
        <v/>
      </c>
      <c r="BY56" s="259" t="str">
        <f t="shared" ca="1" si="64"/>
        <v/>
      </c>
      <c r="BZ56" s="259" t="str">
        <f ca="1">IFERROR(IF(OR($DS$231&lt;&gt;$DT$231,$DU$231&lt;&gt;$DV$231,$EO$25&lt;&gt;0,$EO$26&lt;&gt;0),INDEX($T$3:$V$220,MATCH(ROWS($BV$3:BV56),$V$3:$V$220,0),1),CONCATENATE(BV56,BY56)),"")</f>
        <v/>
      </c>
      <c r="CA56" s="259">
        <f t="shared" ca="1" si="65"/>
        <v>0</v>
      </c>
      <c r="CB56" s="259" t="str">
        <f ca="1">IFERROR(IF(OR($BB$1&lt;&gt;$BD$1,$BC$1&lt;&gt;$BE$1,$DS$231&lt;&gt;$DT$231,$DU$231&lt;&gt;$DV$231,$EO$25&lt;&gt;0,$EO$26&lt;&gt;0),INDEX($BI$3:$BK$220,MATCH(ROWS($CB$3:CB56),$BK$3:$BK$220,0),1),CONCATENATE(BQ56,BX56)),"")</f>
        <v/>
      </c>
      <c r="CC56" s="259" t="str">
        <f t="shared" ca="1" si="66"/>
        <v/>
      </c>
      <c r="CD56" s="259" t="str">
        <f t="shared" si="6"/>
        <v/>
      </c>
      <c r="CE56" s="259">
        <f ca="1">IF(IFERROR(MATCH(CD56,DENOMINAZIONE_GIORNALE,0),0)&gt;0,MAX(CE$2:CE55)+1,0)</f>
        <v>0</v>
      </c>
      <c r="CF56" s="259" t="str">
        <f ca="1">IFERROR(INDEX($CD$3:$CE$220,MATCH(ROWS($CF$3:CF56),$CE$3:$CE$220,0),1),"")</f>
        <v/>
      </c>
      <c r="CG56" s="259">
        <f t="shared" ca="1" si="7"/>
        <v>0</v>
      </c>
      <c r="CH56" s="259" t="str">
        <f ca="1">IF(IF(CG56&lt;&gt;0,MAX($CH$2:CH55)+1,0)=0,"",IF(CG56&lt;&gt;"",MAX($CH$2:CH55)+1,0))</f>
        <v/>
      </c>
      <c r="CI56" s="259" t="str">
        <f ca="1">IFERROR(INDEX($CF$3:$CG$220,MATCH(ROWS($CI$3:CI56),$CH$3:$CH$220,0),1),"")</f>
        <v/>
      </c>
      <c r="CJ56" s="259" t="str">
        <f t="shared" ca="1" si="67"/>
        <v/>
      </c>
      <c r="CK56" s="259" t="str">
        <f t="shared" si="8"/>
        <v/>
      </c>
      <c r="CL56" s="259">
        <f ca="1">IF(IFERROR(MATCH(CK56,DENOMINAZIONE_GIORNALE,0),0)&gt;0,MAX(CL$2:CL55)+1,0)</f>
        <v>0</v>
      </c>
      <c r="CM56" s="259" t="str">
        <f ca="1">IFERROR(INDEX($CK$3:$CL$220,MATCH(ROWS($CM$3:CM56),$CL$3:$CL$220,0),1),"")</f>
        <v/>
      </c>
      <c r="CN56" s="259" t="str">
        <f t="shared" ca="1" si="9"/>
        <v/>
      </c>
      <c r="CO56" s="259">
        <f ca="1">IF(IF(CN56&lt;&gt;0,MAX($CO$2:CO55)+1,0)=0,"",IF(CN56&lt;&gt;"",MAX($CO$2:CO55)+1,0))</f>
        <v>0</v>
      </c>
      <c r="CP56" s="259" t="str">
        <f ca="1">IFERROR(INDEX($CM$3:$CN$220,MATCH(ROWS(CP$3:CP56),$CO$3:$CO$220,0),1),"")</f>
        <v/>
      </c>
      <c r="CQ56" s="259" t="str">
        <f ca="1">IFERROR(INDEX($CM$3:$CN$220,MATCH(ROWS(CQ$3:CQ56),$CO$3:$CO$220,0),2),"")</f>
        <v/>
      </c>
      <c r="CR56" s="259" t="str">
        <f t="shared" ca="1" si="154"/>
        <v/>
      </c>
      <c r="CS56" s="259">
        <f t="shared" ca="1" si="11"/>
        <v>0</v>
      </c>
      <c r="CT56" s="259">
        <f t="shared" ca="1" si="12"/>
        <v>0</v>
      </c>
      <c r="CU56" s="259">
        <f ca="1">IF(OR(CS56&gt;0,CT56&gt;0),MAX($CU$2:CU55)+1,0)</f>
        <v>0</v>
      </c>
      <c r="CV56" s="259" t="str">
        <f ca="1">IFERROR(INDEX(PIANO_DEI_CONTI,MATCH(ROWS($CV$3:CV56),$CU$3:$CU$200,0),2),"")</f>
        <v/>
      </c>
      <c r="CW56" s="259">
        <f ca="1">IFERROR(IF(CV56&lt;&gt;"",MAX($CW$2:CW55)+1,0),0)</f>
        <v>0</v>
      </c>
      <c r="CX56" s="259" t="str">
        <f>IFERROR(IF(CX38+1=1,"",(CX38+1)),"")</f>
        <v/>
      </c>
      <c r="CY56" s="259" t="str">
        <f t="shared" ca="1" si="161"/>
        <v>MASTRO</v>
      </c>
      <c r="DB56" s="259" t="str">
        <f t="shared" ref="DB56" ca="1" si="173">CY56</f>
        <v>MASTRO</v>
      </c>
      <c r="DF56" s="259">
        <f ca="1">IF(AND(CX56=$DE$2,$DF$2&lt;&gt;0),0,IF(AND(DB56&lt;&gt;"",OR(DB55&lt;&gt;"",DB57&lt;&gt;"")),MAX($DF$2:DF55)+1,0))</f>
        <v>0</v>
      </c>
      <c r="DG56" s="259" t="str">
        <f>IF(OR(VALORI_INIZIALI!E61="",AND(VALORI_INIZIALI!E61&lt;&gt;"",VALORI_INIZIALI!H61=0,VALORI_INIZIALI!I61=0)),"",IFERROR(INDEX(PIANO_DEI_CONTI,MATCH(BB56,DENOMINAZIONE,0),1),0))</f>
        <v/>
      </c>
      <c r="DH56" s="259">
        <f ca="1">IFERROR(IF($J$1=1,IF(INDEX(PIANO_DEI_CONTI,MATCH($K56,DENOMINAZIONE,0),5)=$DF$1,MAX($DH$2:DH55)+1,0),IF($J$1=2,IF(INDEX(PIANO_DEI_CONTI,MATCH($K56,DENOMINAZIONE,0),7)=$DF$1,MAX($DH$2:DH55)+1,0))),0)</f>
        <v>0</v>
      </c>
      <c r="DI56" s="259">
        <f ca="1">IFERROR(INDEX($K$3:$K$220,MATCH(ROWS($DI$3:DI56),$DH$3:$DH$220,0),1),0)</f>
        <v>0</v>
      </c>
      <c r="DJ56" s="259">
        <f t="shared" ca="1" si="14"/>
        <v>0</v>
      </c>
      <c r="DK56" s="259">
        <f ca="1">IF(DJ56=0,0,MAX(DK$2:DK55)+1)</f>
        <v>0</v>
      </c>
      <c r="DL56" s="259">
        <f ca="1">IFERROR(INDEX(PIANO_DEI_CONTI,MATCH(ROWS(DL$3:DL56),$DK$3:DK283,0),2),0)</f>
        <v>0</v>
      </c>
      <c r="DM56" s="259">
        <f t="shared" ca="1" si="15"/>
        <v>0</v>
      </c>
      <c r="DN56" s="259">
        <f t="shared" ca="1" si="16"/>
        <v>0</v>
      </c>
      <c r="DO56" s="259">
        <f t="shared" ca="1" si="69"/>
        <v>0</v>
      </c>
      <c r="DP56" s="259">
        <f t="shared" ca="1" si="70"/>
        <v>0</v>
      </c>
      <c r="DQ56" s="259">
        <f ca="1">IF(OR($DQ$1="TOTALI",$DQ$1="TOTALI ED ECCEDENZE"),IF(OR(DM56&gt;0,DN56&gt;0),MAX(DQ$2:DQ55)+1,0),IF($DQ$1="ECCEDENZE",IF(OR(DO56&gt;0,DP56&gt;0),MAX(DQ$2:DQ55)+1,0),""))</f>
        <v>0</v>
      </c>
      <c r="DR56" s="259" t="str">
        <f ca="1">IFERROR(INDEX($DL$3:$DQ$230,MATCH(ROWS(DR$3:DR56),$DQ$3:$DQ$230,0),1),"")</f>
        <v/>
      </c>
      <c r="DS56" s="259" t="str">
        <f t="shared" ca="1" si="71"/>
        <v/>
      </c>
      <c r="DT56" s="259" t="str">
        <f t="shared" ca="1" si="72"/>
        <v/>
      </c>
      <c r="DU56" s="259" t="str">
        <f t="shared" ca="1" si="73"/>
        <v/>
      </c>
      <c r="DV56" s="259" t="str">
        <f t="shared" ca="1" si="74"/>
        <v/>
      </c>
      <c r="DW56" s="259">
        <f t="shared" ca="1" si="75"/>
        <v>0</v>
      </c>
      <c r="DX56" s="259" t="str">
        <f t="shared" ca="1" si="76"/>
        <v/>
      </c>
      <c r="DY56" s="259" t="str">
        <f t="shared" ca="1" si="77"/>
        <v/>
      </c>
      <c r="DZ56" s="259" t="str">
        <f t="shared" ca="1" si="78"/>
        <v/>
      </c>
      <c r="EA56" s="259">
        <f t="shared" ca="1" si="79"/>
        <v>54</v>
      </c>
      <c r="EB56" s="259" t="str">
        <f t="shared" ca="1" si="172"/>
        <v>pad</v>
      </c>
      <c r="ED56" s="259">
        <f t="shared" ca="1" si="17"/>
        <v>0</v>
      </c>
      <c r="EE56" s="259" t="str">
        <f t="shared" ca="1" si="155"/>
        <v/>
      </c>
      <c r="EF56" s="259" t="str">
        <f t="shared" ca="1" si="19"/>
        <v/>
      </c>
      <c r="EG56" s="259" t="str">
        <f t="shared" ca="1" si="136"/>
        <v/>
      </c>
      <c r="EH56" s="259" t="str">
        <f t="shared" ca="1" si="80"/>
        <v/>
      </c>
      <c r="EI56" s="260" t="b">
        <f t="shared" ca="1" si="137"/>
        <v>0</v>
      </c>
      <c r="EJ56" s="260" t="b">
        <f t="shared" ca="1" si="138"/>
        <v>0</v>
      </c>
      <c r="EK56" s="260" t="b">
        <f t="shared" ca="1" si="139"/>
        <v>0</v>
      </c>
      <c r="EL56" s="259">
        <f t="shared" si="81"/>
        <v>54</v>
      </c>
      <c r="EM56" s="259">
        <f ca="1">IF(AND(BA56&gt;0,BA56&lt;=$EM$1),MAX($EM$2:EM55)+1,0)</f>
        <v>0</v>
      </c>
      <c r="EN56" s="259">
        <f t="shared" ca="1" si="82"/>
        <v>56</v>
      </c>
      <c r="EP56" s="259" t="str">
        <f t="shared" ca="1" si="20"/>
        <v/>
      </c>
      <c r="EQ56" s="259">
        <f t="shared" ca="1" si="21"/>
        <v>0</v>
      </c>
      <c r="ER56" s="259">
        <f ca="1">IF(ISNA(EQ56),MAX(ER$2:ER55)+1,0)</f>
        <v>0</v>
      </c>
      <c r="ES56" s="259" t="str">
        <f t="shared" ca="1" si="83"/>
        <v/>
      </c>
      <c r="ET56" s="259" t="str">
        <f ca="1">IFERROR(UPPER(INDEX($ER$3:$ES$500,MATCH(ROWS(ET$3:ET56),$ER$3:$ER$500,0),2)),"")</f>
        <v/>
      </c>
      <c r="EY56" s="259">
        <f t="shared" ca="1" si="84"/>
        <v>0</v>
      </c>
      <c r="EZ56" s="259">
        <f t="shared" ca="1" si="84"/>
        <v>0</v>
      </c>
      <c r="FA56" s="259" t="str">
        <f t="shared" ca="1" si="85"/>
        <v/>
      </c>
      <c r="FB56" s="259">
        <f t="shared" ca="1" si="86"/>
        <v>0</v>
      </c>
      <c r="FC56" s="259">
        <f t="shared" ca="1" si="87"/>
        <v>0</v>
      </c>
      <c r="FD56" s="259">
        <f t="shared" ca="1" si="22"/>
        <v>0</v>
      </c>
      <c r="FE56" s="259" t="str">
        <f t="shared" ca="1" si="23"/>
        <v/>
      </c>
      <c r="FF56" s="259" t="str">
        <f t="shared" ca="1" si="88"/>
        <v/>
      </c>
      <c r="FG56" s="259" t="str">
        <f t="shared" si="89"/>
        <v>RISCONTI ATTIVI</v>
      </c>
      <c r="FH56" s="259">
        <f t="shared" ca="1" si="156"/>
        <v>0</v>
      </c>
      <c r="FI56" s="259">
        <f t="shared" ca="1" si="25"/>
        <v>0</v>
      </c>
      <c r="FJ56" s="259">
        <f t="shared" ca="1" si="90"/>
        <v>0</v>
      </c>
      <c r="FK56" s="259">
        <f t="shared" ca="1" si="91"/>
        <v>0</v>
      </c>
      <c r="FL56" s="259">
        <f ca="1">IF(OR(FJ56&gt;0,FK56&gt;0),MAX($FL$2:FL55)+1,0)</f>
        <v>0</v>
      </c>
      <c r="FM56" s="259">
        <f t="shared" ca="1" si="26"/>
        <v>0</v>
      </c>
      <c r="FN56" s="259">
        <f ca="1">IF(FM56&lt;0,MAX($FN$2:FN55)+1,0)</f>
        <v>0</v>
      </c>
      <c r="FO56" s="259" t="str">
        <f t="shared" ca="1" si="92"/>
        <v/>
      </c>
      <c r="FP56" s="259" t="str">
        <f ca="1">IFERROR(INDEX($FN$3:$FO$400,MATCH(ROWS($FP$3:FP56),$FN$3:$FN$400,0),2),"")</f>
        <v/>
      </c>
      <c r="FQ56" s="259" t="str">
        <f>IF(AE56="SE AVERE",MAX($FQ$2:FQ55)+1,"")</f>
        <v/>
      </c>
      <c r="FR56" s="259" t="str">
        <f>IF(AE56="SE DARE",MAX($FR$2:FR55)+1,"")</f>
        <v/>
      </c>
      <c r="FS56" s="259">
        <f ca="1">IF(AND(AE56="SP DARE",AA56&lt;&gt;$FS$1,AA56&lt;&gt;$FT$1),MAX($FS$2:FS55)+1,IF(AND(GQ56="SP DARE",AA56&lt;&gt;$FS$1,AA56&lt;&gt;$FT$1),MAX($FS$2:FS55)+1,""))</f>
        <v>131</v>
      </c>
      <c r="FT56" s="259" t="str">
        <f ca="1">IF(AND(AE56="SP AVERE",AA56&lt;&gt;$FU$1),MAX($FT$2:FT55)+1,IF(AND(GQ56="SP AVERE",AA56&lt;&gt;$FU$1),MAX($FT$2:FT55)+1,""))</f>
        <v/>
      </c>
      <c r="FU56" s="259">
        <f t="shared" ca="1" si="93"/>
        <v>131</v>
      </c>
      <c r="FV56" s="259" t="str">
        <f t="shared" si="94"/>
        <v>RISCONTI ATTIVI</v>
      </c>
      <c r="FW56" s="259" t="str">
        <f ca="1">IFERROR(INDEX($FU$3:$FV$500,MATCH(ROWS($FW$3:FW56),$FU$3:$FU$500,0),2),0)</f>
        <v>AMMORTAMENTO IMPIANTI E MACCHINARI</v>
      </c>
      <c r="FX56" s="259">
        <f t="shared" ca="1" si="95"/>
        <v>54</v>
      </c>
      <c r="FY56" s="259">
        <f t="shared" ca="1" si="96"/>
        <v>0</v>
      </c>
      <c r="FZ56" s="259">
        <f ca="1">IF(FY56&gt;0,MAX($FZ$2:FZ55)+1,0)</f>
        <v>0</v>
      </c>
      <c r="GA56" s="259">
        <f ca="1">IFERROR(INDEX($FY$3:$FZ$500,MATCH(ROWS($GA$3:GA56),$FZ$3:$FZ$500,0),1),0)</f>
        <v>0</v>
      </c>
      <c r="GC56" s="259">
        <f t="shared" ca="1" si="97"/>
        <v>54</v>
      </c>
      <c r="GD56" s="259" t="str">
        <f t="shared" ca="1" si="98"/>
        <v>AMMORTAMENTO IMPIANTI E MACCHINARI</v>
      </c>
      <c r="GG56" s="259">
        <f t="shared" ca="1" si="27"/>
        <v>0</v>
      </c>
      <c r="GH56" s="259">
        <f t="shared" ca="1" si="99"/>
        <v>0</v>
      </c>
      <c r="GI56" s="259">
        <f t="shared" ca="1" si="100"/>
        <v>0</v>
      </c>
      <c r="GJ56" s="259">
        <f t="shared" ca="1" si="101"/>
        <v>0</v>
      </c>
      <c r="GK56" s="259">
        <f t="shared" ca="1" si="102"/>
        <v>0</v>
      </c>
      <c r="GL56" s="259">
        <f t="shared" ca="1" si="103"/>
        <v>0</v>
      </c>
      <c r="GM56" s="259">
        <f ca="1">IF(OR(GK56&gt;0,GL56&gt;0),MAX($GM$2:GM55)+1,0)</f>
        <v>0</v>
      </c>
      <c r="GN56" s="259" t="str">
        <f ca="1">IFERROR(INDEX($GD$3:$GM$400,MATCH(ROWS($GN$3:GN56),$GM$3:$GM$400,0),1),"")</f>
        <v/>
      </c>
      <c r="GO56" s="259" t="str">
        <f ca="1">IFERROR(INDEX($GD$3:$GM$400,MATCH(ROWS($GO$3:GO56),$GM$3:$GM$400,0),8),"")</f>
        <v/>
      </c>
      <c r="GP56" s="259" t="str">
        <f ca="1">IFERROR(INDEX($GD$3:$GM$400,MATCH(ROWS($GP$3:GP56),$GM$3:$GM$400,0),9),"")</f>
        <v/>
      </c>
      <c r="GQ56" s="259">
        <f t="shared" ca="1" si="28"/>
        <v>0</v>
      </c>
      <c r="GR56" s="259">
        <f t="shared" ca="1" si="104"/>
        <v>0</v>
      </c>
      <c r="GS56" s="259" t="str">
        <f t="shared" si="105"/>
        <v>epilogo a Conto economico</v>
      </c>
      <c r="GT56" s="259" t="str">
        <f ca="1">IFERROR(INDEX($GD$3:$GS$400,MATCH(ROWS($GT$3:GT56),$GM$3:$GM$400,0),16),"")</f>
        <v/>
      </c>
      <c r="GU56" s="259">
        <f ca="1">IF(GQ56&lt;&gt;0,MAX($GU$2:$GU55)+1,0)</f>
        <v>0</v>
      </c>
      <c r="GV56" s="259">
        <f t="shared" ca="1" si="106"/>
        <v>0</v>
      </c>
      <c r="GW56" s="259" t="str">
        <f ca="1">IF(AND(IFERROR(INDEX($GU$3:$GV$400,MATCH(ROWS($GW$3:GW56),$GU$3:$GU$400,0),2),"")&lt;&gt;"",GW57&lt;&gt;""),CONCATENATE(IFERROR(INDEX($GU$3:$GV$400,MATCH(ROWS($GW$3:GW56),$GU$3:$GU$400,0),2),"")," - "),IFERROR(INDEX($GU$3:$GV$400,MATCH(ROWS($GW$3:GW56),$GU$3:$GU$400,0),2),""))</f>
        <v/>
      </c>
      <c r="GX56" s="259">
        <f ca="1">IF(OR(GN56="IVA NS/CREDITO",GN56="IVA NS/DEBITO",GN56="IVA C/ACCONTO",GN56="IMPOSTE C/ACCONTO"),MAX($GX$2:GX55)+1,0)</f>
        <v>0</v>
      </c>
      <c r="GY56" s="259" t="str">
        <f ca="1">IF(AND(IFERROR(INDEX($GN$3:$GX$200,MATCH(ROWS($GY$3:GY56),$GX$3:$GX$200,0),1),"")&lt;&gt;"",GY57&lt;&gt;""),CONCATENATE(IFERROR(INDEX($GN$3:$GX$200,MATCH(ROWS($GY$3:GY56),$GX$3:$GX$200,0),1),"")," - "),IFERROR(INDEX($GN$3:$GX$200,MATCH(ROWS($GY$3:GY56),$GX$3:$GX$200,0),1),""))</f>
        <v/>
      </c>
      <c r="GZ56" s="259" t="s">
        <v>72</v>
      </c>
      <c r="HA56" s="270" t="s">
        <v>73</v>
      </c>
      <c r="HL56" s="259" t="str">
        <f t="shared" ca="1" si="157"/>
        <v/>
      </c>
      <c r="HM56" s="259" t="str">
        <f t="shared" ca="1" si="158"/>
        <v/>
      </c>
      <c r="HN56" s="259" t="str">
        <f t="shared" ca="1" si="159"/>
        <v/>
      </c>
      <c r="HO56" s="259">
        <f ca="1">IF(HL56&lt;&gt;"",MAX($HO$2:HO55)+1,0)</f>
        <v>0</v>
      </c>
      <c r="HP56" s="259">
        <f ca="1">IF(HM56&lt;&gt;"",MAX($HP$2:HP55)+1,0)</f>
        <v>0</v>
      </c>
      <c r="HQ56" s="259">
        <f ca="1">IF(HN56&lt;&gt;"",MAX($HQ$2:HQ55)+1,0)</f>
        <v>0</v>
      </c>
      <c r="HR56" s="259" t="str">
        <f t="shared" ca="1" si="107"/>
        <v/>
      </c>
      <c r="HS56" s="259" t="str">
        <f t="shared" ca="1" si="108"/>
        <v/>
      </c>
      <c r="HT56" s="259">
        <f t="shared" ca="1" si="109"/>
        <v>0</v>
      </c>
      <c r="HU56" s="259">
        <f t="shared" ca="1" si="110"/>
        <v>0</v>
      </c>
      <c r="HV56" s="259" t="str">
        <f ca="1">CONCATENATE(IFERROR(INDEX($HS$3:$HT$102,MATCH(ROWS($HV$3:HV56),$HT$3:$HT$102,0),1),""),HR56)</f>
        <v/>
      </c>
      <c r="IA56" s="259" t="s">
        <v>376</v>
      </c>
      <c r="IB56" s="259" t="s">
        <v>317</v>
      </c>
      <c r="IC56" s="259">
        <f ca="1">IFERROR(INDEX(PIANO_DEI_CONTI,MATCH(ROWS(DL$3:DL56),$DK$3:DK283,0),2),0)</f>
        <v>0</v>
      </c>
      <c r="ID56" s="259">
        <f t="shared" ca="1" si="111"/>
        <v>0</v>
      </c>
      <c r="IE56" s="259">
        <f t="shared" ca="1" si="112"/>
        <v>0</v>
      </c>
      <c r="IF56" s="259">
        <f t="shared" ca="1" si="113"/>
        <v>0</v>
      </c>
      <c r="IG56" s="259">
        <f t="shared" ca="1" si="171"/>
        <v>0</v>
      </c>
      <c r="IH56" s="259">
        <f ca="1">IF(IG56&lt;&gt;0,MAX($IH$35:IH55)+1,0)</f>
        <v>0</v>
      </c>
      <c r="II56" s="259">
        <f>IF(AD56="costi pluriennali",MAX($II$2:II55)+1,0)</f>
        <v>0</v>
      </c>
      <c r="IJ56" s="259">
        <f>IF($AD56="rettifiche costi pluriennali",MAX($IJ$2:IJ55)+1,0)</f>
        <v>0</v>
      </c>
      <c r="IK56" s="259">
        <f t="shared" si="114"/>
        <v>0</v>
      </c>
      <c r="IL56" s="259" t="str">
        <f t="shared" si="115"/>
        <v/>
      </c>
      <c r="IM56" s="259">
        <f t="shared" ca="1" si="116"/>
        <v>0</v>
      </c>
      <c r="IN56" s="259">
        <f t="shared" ca="1" si="141"/>
        <v>0</v>
      </c>
      <c r="IO56" s="259">
        <f>SUMIFS($IM$3:$IM$200,$IK$3:$IK$200,ROWS($IO$3:IO56))-SUMIFS($IN$3:$IN$200,$IK$3:$IK$200,ROWS($IO$3:IO56))</f>
        <v>0</v>
      </c>
      <c r="IP56" s="259" t="str">
        <f>IF(IO56&lt;0,INDEX($IJ$3:$IL$200,MATCH(ROWS($IP$3:IP56),$IJ$3:$IJ$200,0),3),"")</f>
        <v/>
      </c>
      <c r="IQ56" s="259">
        <f>IF(IP56&lt;&gt;"",MAX($IQ$2:IQ55)+1,0)</f>
        <v>0</v>
      </c>
      <c r="IR56" s="259" t="str">
        <f ca="1">IFERROR(INDEX($IP$3:$IQ$200,MATCH(ROWS($IR$3:IR56),$IQ$3:$IQ$200,0),1),"")</f>
        <v/>
      </c>
      <c r="IS56" s="259" t="str">
        <f t="shared" ca="1" si="117"/>
        <v/>
      </c>
      <c r="IT56" s="259" t="str">
        <f t="shared" ca="1" si="118"/>
        <v/>
      </c>
      <c r="IU56" s="259" t="str">
        <f t="shared" ca="1" si="119"/>
        <v/>
      </c>
      <c r="IV56" s="259" t="str">
        <f t="shared" ca="1" si="120"/>
        <v/>
      </c>
      <c r="IW56" s="259" t="str">
        <f t="shared" ca="1" si="121"/>
        <v/>
      </c>
      <c r="IX56" s="259" t="str">
        <f t="shared" ca="1" si="122"/>
        <v/>
      </c>
      <c r="IY56" s="259" t="str">
        <f t="shared" ca="1" si="123"/>
        <v/>
      </c>
      <c r="IZ56" s="259" t="str">
        <f t="shared" ca="1" si="124"/>
        <v/>
      </c>
      <c r="JA56" s="259" t="str">
        <f t="shared" ca="1" si="125"/>
        <v/>
      </c>
      <c r="JB56" s="259">
        <f t="shared" ca="1" si="32"/>
        <v>0</v>
      </c>
      <c r="JC56" s="259">
        <f t="shared" ca="1" si="126"/>
        <v>0</v>
      </c>
      <c r="JE56" s="259">
        <f ca="1">IFERROR(INDEX(LIBRO_GIORNALE!$N$11:$O$408,MATCH(ROWS($JE$2:JE55),LIBRO_GIORNALE!$O$11:$O$408,0),1),0)</f>
        <v>0</v>
      </c>
      <c r="JF56" s="259" t="str">
        <f t="shared" ca="1" si="127"/>
        <v>0</v>
      </c>
      <c r="JG56" s="259">
        <f t="shared" ca="1" si="128"/>
        <v>0</v>
      </c>
      <c r="JH56" s="259">
        <f ca="1">IF(JJ56&gt;0,0,MAX($JH$2:JH55)+1)</f>
        <v>54</v>
      </c>
      <c r="JI56" s="259">
        <f ca="1">IF(JG56&gt;0,MAX($JI$2:JI55)+1,0)</f>
        <v>0</v>
      </c>
      <c r="JJ56" s="259">
        <f ca="1">IFERROR(INDEX($JG$3:$JI$124,MATCH(ROWS($JJ$3:JJ56),$JI$3:$JI$124,0),1),0)</f>
        <v>0</v>
      </c>
      <c r="JK56" s="259">
        <f t="shared" ca="1" si="129"/>
        <v>0</v>
      </c>
      <c r="JL56" s="259">
        <f t="shared" ca="1" si="130"/>
        <v>54</v>
      </c>
    </row>
    <row r="57" spans="1:272">
      <c r="A57" s="259" t="str">
        <f t="shared" si="33"/>
        <v>08.01</v>
      </c>
      <c r="B57" s="259" t="str">
        <f t="shared" si="34"/>
        <v>BANCHE C/C ATTIVI</v>
      </c>
      <c r="C57" s="259" t="str">
        <f t="shared" si="35"/>
        <v>F</v>
      </c>
      <c r="D57" s="259" t="str">
        <f t="shared" si="36"/>
        <v>D</v>
      </c>
      <c r="E57" s="259" t="str">
        <f t="shared" si="37"/>
        <v>DISPONIBILITÀ LIQUIDE</v>
      </c>
      <c r="F57" s="259" t="str">
        <f t="shared" si="38"/>
        <v>SP DARE</v>
      </c>
      <c r="G57" s="259">
        <f t="shared" ca="1" si="39"/>
        <v>0</v>
      </c>
      <c r="H57" s="259">
        <f t="shared" ca="1" si="40"/>
        <v>0</v>
      </c>
      <c r="I57" s="259">
        <f t="shared" ca="1" si="41"/>
        <v>1</v>
      </c>
      <c r="K57" s="259" t="str">
        <f ca="1">IFERROR(IF($I$1=1,INDEX($AA$3:$AS$220,MATCH(ROWS($K$3:K57),$AQ$3:$AQ$220,0),1),IF($I$1=2,INDEX($AA$3:$AS$220,MATCH(ROWS($K$3:K57),$AR$3:$AR$220,0),1),IF($I$1=3,INDEX($AA$3:$AS$220,MATCH(ROWS($K$3:K57),$AS$3:$AS$220,0),1),""))),"")</f>
        <v>PATRIMONIO NETTO</v>
      </c>
      <c r="L57" s="259">
        <f ca="1">IF(AND($L$1="VISUALIZZA TUTTI I CONTI",K57&lt;&gt;""),MAX(L56:L56)+1,IFERROR(IF($J$1=1,IF(INDEX(PIANO_DEI_CONTI,MATCH($K57,DENOMINAZIONE,0),5)=$L$1,MAX($L$2:L56)+1,0),IF($J$1=2,IF(INDEX(PIANO_DEI_CONTI,MATCH($K57,DENOMINAZIONE,0),7)=$L$1,MAX($L$2:L56)+1,0))),0))</f>
        <v>55</v>
      </c>
      <c r="M57" s="259" t="str">
        <f ca="1">IFERROR(INDEX($K$3:$K$220,MATCH(ROWS($M$3:M57),$L$3:$L$220,0),1),"")</f>
        <v>PATRIMONIO NETTO</v>
      </c>
      <c r="N57" s="259" t="str">
        <f t="shared" si="143"/>
        <v/>
      </c>
      <c r="O57" s="259" t="str">
        <f t="shared" ca="1" si="170"/>
        <v/>
      </c>
      <c r="P57" s="259">
        <f ca="1">IF(AND(N57=O57,O57&lt;&gt;""),MAX(P$2:P56)+1,0)</f>
        <v>0</v>
      </c>
      <c r="Q57" s="259" t="str">
        <f ca="1">IF(IFERROR(INDEX($O$3:$P$220,MATCH(ROWS(Q$3:Q57),$P$3:$P$220,0),1),"")=0,"",IFERROR(INDEX($O$3:$P$220,MATCH(ROWS(Q$3:Q57),$P$3:$P$220,0),1),""))</f>
        <v/>
      </c>
      <c r="R57" s="259" t="str">
        <f t="shared" si="1"/>
        <v/>
      </c>
      <c r="S57" s="259">
        <f ca="1">IF(IFERROR(MATCH(R57,DENOMINAZIONE_GIORNALE,0),0)&gt;0,MAX(S$2:S56)+1,0)</f>
        <v>0</v>
      </c>
      <c r="T57" s="259" t="str">
        <f ca="1">IFERROR(INDEX($R$3:$S$220,MATCH(ROWS($T$3:T57),$S$3:$S$220,0),1),"")</f>
        <v/>
      </c>
      <c r="U57" s="259">
        <f t="shared" ca="1" si="2"/>
        <v>0</v>
      </c>
      <c r="V57" s="259">
        <f ca="1">IF(IF(U57&lt;&gt;0,MAX($V$2:V56)+1,0)=0,0,IF(U57&lt;&gt;0,MAX($V$2:V56)+1,0))</f>
        <v>0</v>
      </c>
      <c r="W57" s="259" t="str">
        <f t="shared" si="43"/>
        <v>08.01</v>
      </c>
      <c r="X57" s="259" t="str">
        <f t="shared" si="44"/>
        <v>BANCHE C/C ATTIVI</v>
      </c>
      <c r="Y57" s="259">
        <f>IF(W57="",0,MAX($Y$2:Y56)+1)</f>
        <v>48</v>
      </c>
      <c r="Z57" s="259" t="str">
        <f>IFERROR(INDEX($W$3:$Y$220,MATCH(ROWS($Z$2:Z56),$Y$3:$Y$220,0),1),"")</f>
        <v>10.01</v>
      </c>
      <c r="AA57" s="259" t="str">
        <f t="shared" si="45"/>
        <v>PATRIMONIO NETTO</v>
      </c>
      <c r="AB57" s="259" t="str">
        <f t="shared" si="46"/>
        <v>E</v>
      </c>
      <c r="AC57" s="259" t="str">
        <f t="shared" si="47"/>
        <v>A</v>
      </c>
      <c r="AD57" s="259" t="str">
        <f t="shared" si="48"/>
        <v>PATRIMONIO NETTO</v>
      </c>
      <c r="AE57" s="259" t="str">
        <f t="shared" si="49"/>
        <v>SP AVERE</v>
      </c>
      <c r="AF57" s="259" t="str">
        <f t="shared" si="50"/>
        <v>PATRIMONIO NETTO</v>
      </c>
      <c r="AG57" s="259">
        <f t="shared" ca="1" si="51"/>
        <v>1</v>
      </c>
      <c r="AH57" s="259">
        <f t="shared" ca="1" si="52"/>
        <v>1</v>
      </c>
      <c r="AI57" s="259">
        <f t="shared" ca="1" si="53"/>
        <v>1</v>
      </c>
      <c r="AJ57" s="259" t="str">
        <f t="shared" si="54"/>
        <v>10</v>
      </c>
      <c r="AK57" s="259" t="str">
        <f t="shared" si="55"/>
        <v/>
      </c>
      <c r="AL57" s="259">
        <f>IF(AK57&lt;&gt;"",MAX($AL$2:AL56)+1,0)</f>
        <v>0</v>
      </c>
      <c r="AM57" s="259" t="str">
        <f>IFERROR(INDEX($AK$3:$AL$220,MATCH(ROWS($AM$3:AM57),$AL$3:$AL$220,0),1),"")</f>
        <v/>
      </c>
      <c r="AN57" s="259" t="str">
        <f t="shared" si="56"/>
        <v/>
      </c>
      <c r="AO57" s="259" t="str">
        <f t="shared" si="57"/>
        <v/>
      </c>
      <c r="AP57" s="259" t="str">
        <f t="shared" si="58"/>
        <v>PATRIMONIO NETTO</v>
      </c>
      <c r="AQ57" s="259">
        <f ca="1">IF(OR(AG57=0,AG57=""),0,MAX(AQ$2:AQ56)+1)</f>
        <v>30</v>
      </c>
      <c r="AR57" s="259">
        <f ca="1">IF(OR(AH57=0,AH57=""),0,MAX(AR$2:AR56)+1)</f>
        <v>44</v>
      </c>
      <c r="AS57" s="259">
        <f ca="1">IF(OR(AI57=0,AI57=""),0,MAX(AS$2:AS56)+1)</f>
        <v>55</v>
      </c>
      <c r="AT57" s="259" t="str">
        <f ca="1">IFERROR(INDEX($AD$3:$AS$220,MATCH(ROWS(AT$3:AT57),AQ$3:AQ$220,0),1),"")</f>
        <v>RICAVI D'ESERCIZIO</v>
      </c>
      <c r="AU57" s="259" t="str">
        <f ca="1">IFERROR(INDEX($AD$3:$AS$220,MATCH(ROWS(AU$3:AU57),AR$3:AR$220,0),1),"")</f>
        <v>DEBITI</v>
      </c>
      <c r="AV57" s="259" t="str">
        <f ca="1">IFERROR(INDEX($AD$3:$AS$220,MATCH(ROWS(AV$3:AV57),AS$3:AS$220,0),1),"")</f>
        <v>PATRIMONIO NETTO</v>
      </c>
      <c r="AW57" s="259" t="str">
        <f ca="1">IFERROR(INDEX($AP$3:$AS$220,MATCH(ROWS(AW$3:AW57),AQ$3:AQ$220,0),1),"")</f>
        <v>VALORE DELLA PRODUZIONE</v>
      </c>
      <c r="AX57" s="259" t="str">
        <f ca="1">IFERROR(INDEX($AP$3:$AS$220,MATCH(ROWS(AX$3:AX57),AR$3:AR$220,0),1),"")</f>
        <v>DEBITI COMMERCIALI</v>
      </c>
      <c r="AY57" s="259" t="str">
        <f ca="1">IFERROR(INDEX($AP$3:$AS$220,MATCH(ROWS(AY$3:AY57),AS$3:AS$220,0),1),"")</f>
        <v>PATRIMONIO NETTO</v>
      </c>
      <c r="AZ57" s="276" t="str">
        <f t="shared" ca="1" si="59"/>
        <v/>
      </c>
      <c r="BA57" s="259">
        <f t="shared" ca="1" si="153"/>
        <v>0</v>
      </c>
      <c r="BB57" s="259">
        <f ca="1">IFERROR(INDEX($FG$3:$FL$400,MATCH(ROWS($BB$3:BB57),$FL$3:$FL$400,0),1),0)</f>
        <v>0</v>
      </c>
      <c r="BC57" s="259" t="str">
        <f t="shared" ca="1" si="60"/>
        <v/>
      </c>
      <c r="BD57" s="259">
        <f ca="1">IFERROR(INDEX($FG$3:$FL$400,MATCH(ROWS($BD$3:BD57),$FL$3:$FL$400,0),4),0)</f>
        <v>0</v>
      </c>
      <c r="BE57" s="259">
        <f ca="1">IFERROR(INDEX($FG$3:$FL$400,MATCH(ROWS($BE$3:BE57),$FL$3:$FL$400,0),5),0)</f>
        <v>0</v>
      </c>
      <c r="BG57" s="259" t="str">
        <f t="shared" si="4"/>
        <v>PATRIMONIO NETTO</v>
      </c>
      <c r="BH57" s="259">
        <f ca="1">IF(IFERROR(MATCH(BG57,DENOMINAZIONE_GIORNALE,0),0)&gt;0,MAX(BH$2:BH56)+1,0)</f>
        <v>0</v>
      </c>
      <c r="BI57" s="259" t="str">
        <f ca="1">IFERROR(INDEX($BG$3:$BH$220,MATCH(ROWS($BI$3:BI57),$BH$3:$BH$220,0),1),"")</f>
        <v/>
      </c>
      <c r="BJ57" s="259" t="str">
        <f t="shared" ca="1" si="5"/>
        <v/>
      </c>
      <c r="BK57" s="259" t="str">
        <f ca="1">IF(IF(BJ57&lt;&gt;"",MAX($BK$2:BK56)+1,0)=0,"",IF(BJ57&lt;&gt;"",MAX($BK$2:BK56)+1,0))</f>
        <v/>
      </c>
      <c r="BL57" s="259" t="str">
        <f ca="1">IFERROR(INDEX($T$3:$U$220, MATCH(ROWS(BL$3:BL57),$V$3:$V$220,0),1),"")</f>
        <v/>
      </c>
      <c r="BM57" s="259" t="str">
        <f ca="1">IFERROR(INDEX($T$3:$U$220, MATCH(ROWS(BM$3:BM57),$V$3:$V$220,0),2),"")</f>
        <v/>
      </c>
      <c r="BN57" s="259" t="str">
        <f ca="1">IF(IFERROR(INDEX($BI$3:$BJ$220,MATCH(ROWS(BN$3:BN57),$BK$3:$BK$220,0),1),"")="PATRIMONIO NETTO","",IFERROR(INDEX($BI$3:$BJ$220,MATCH(ROWS(BN$3:BN57),$BK$3:$BK$220,0),1),""))</f>
        <v/>
      </c>
      <c r="BO57" s="259" t="str">
        <f ca="1">IFERROR(INDEX($BI$3:$BJ$220,MATCH(ROWS(BO$3:BO57),$BK$3:$BK$220,0),2),"")</f>
        <v/>
      </c>
      <c r="BP57" s="259">
        <f ca="1">IF(BN57&lt;&gt;"",MAX(BP$2:$BP56)+1,0)</f>
        <v>0</v>
      </c>
      <c r="BQ57" s="259" t="str">
        <f ca="1">IFERROR(INDEX($BN$3:$BO$200,MATCH(ROWS(BQ$3:BQ57),$BP$3:$BP$220,0),1),"")</f>
        <v/>
      </c>
      <c r="BR57" s="259" t="str">
        <f ca="1">IFERROR(INDEX($BN$3:$BO$220,MATCH(ROWS(BR$3:BR57),$BP$3:$BP$220,0),2),"")</f>
        <v/>
      </c>
      <c r="BS57" s="259" t="str">
        <f ca="1">IFERROR(IF(OR(INDEX($T$3:$U$220,MATCH(ROWS(BL$3:BL57),$V$3:$V$220,0),1)="PRELEVAMENTI EXTRAGESTIONE",INDEX($T$3:$U$220,MATCH(ROWS(BL$3:BL57),$V$3:$V$220,0),1)="TITOLARE C/RITENUTE SUBITE"),"",INDEX($T$3:$U$220,MATCH(ROWS(BL$3:BL57),$V$3:$V$220,0),1)),"")</f>
        <v/>
      </c>
      <c r="BT57" s="259">
        <f t="shared" ca="1" si="61"/>
        <v>0</v>
      </c>
      <c r="BU57" s="259">
        <f ca="1">IF(BS57&lt;&gt;"",MAX(BU$2:BU56)+1,0)</f>
        <v>0</v>
      </c>
      <c r="BV57" s="259" t="str">
        <f ca="1">IFERROR(INDEX($BS$3:$BT$223,MATCH(ROWS(BV$3:BV57),$BU$3:$BU$223,0),1),"")</f>
        <v/>
      </c>
      <c r="BW57" s="259">
        <f t="shared" ca="1" si="62"/>
        <v>0</v>
      </c>
      <c r="BX57" s="259" t="str">
        <f t="shared" ca="1" si="63"/>
        <v/>
      </c>
      <c r="BY57" s="259" t="str">
        <f t="shared" ca="1" si="64"/>
        <v/>
      </c>
      <c r="BZ57" s="259" t="str">
        <f ca="1">IFERROR(IF(OR($DS$231&lt;&gt;$DT$231,$DU$231&lt;&gt;$DV$231,$EO$25&lt;&gt;0,$EO$26&lt;&gt;0),INDEX($T$3:$V$220,MATCH(ROWS($BV$3:BV57),$V$3:$V$220,0),1),CONCATENATE(BV57,BY57)),"")</f>
        <v/>
      </c>
      <c r="CA57" s="259">
        <f t="shared" ca="1" si="65"/>
        <v>0</v>
      </c>
      <c r="CB57" s="259" t="str">
        <f ca="1">IFERROR(IF(OR($BB$1&lt;&gt;$BD$1,$BC$1&lt;&gt;$BE$1,$DS$231&lt;&gt;$DT$231,$DU$231&lt;&gt;$DV$231,$EO$25&lt;&gt;0,$EO$26&lt;&gt;0),INDEX($BI$3:$BK$220,MATCH(ROWS($CB$3:CB57),$BK$3:$BK$220,0),1),CONCATENATE(BQ57,BX57)),"")</f>
        <v/>
      </c>
      <c r="CC57" s="259" t="str">
        <f t="shared" ca="1" si="66"/>
        <v/>
      </c>
      <c r="CD57" s="259" t="str">
        <f t="shared" si="6"/>
        <v/>
      </c>
      <c r="CE57" s="259">
        <f ca="1">IF(IFERROR(MATCH(CD57,DENOMINAZIONE_GIORNALE,0),0)&gt;0,MAX(CE$2:CE56)+1,0)</f>
        <v>0</v>
      </c>
      <c r="CF57" s="259" t="str">
        <f ca="1">IFERROR(INDEX($CD$3:$CE$220,MATCH(ROWS($CF$3:CF57),$CE$3:$CE$220,0),1),"")</f>
        <v/>
      </c>
      <c r="CG57" s="259">
        <f t="shared" ca="1" si="7"/>
        <v>0</v>
      </c>
      <c r="CH57" s="259" t="str">
        <f ca="1">IF(IF(CG57&lt;&gt;0,MAX($CH$2:CH56)+1,0)=0,"",IF(CG57&lt;&gt;"",MAX($CH$2:CH56)+1,0))</f>
        <v/>
      </c>
      <c r="CI57" s="259" t="str">
        <f ca="1">IFERROR(INDEX($CF$3:$CG$220,MATCH(ROWS($CI$3:CI57),$CH$3:$CH$220,0),1),"")</f>
        <v/>
      </c>
      <c r="CJ57" s="259" t="str">
        <f t="shared" ca="1" si="67"/>
        <v/>
      </c>
      <c r="CK57" s="259" t="str">
        <f t="shared" si="8"/>
        <v/>
      </c>
      <c r="CL57" s="259">
        <f ca="1">IF(IFERROR(MATCH(CK57,DENOMINAZIONE_GIORNALE,0),0)&gt;0,MAX(CL$2:CL56)+1,0)</f>
        <v>0</v>
      </c>
      <c r="CM57" s="259" t="str">
        <f ca="1">IFERROR(INDEX($CK$3:$CL$220,MATCH(ROWS($CM$3:CM57),$CL$3:$CL$220,0),1),"")</f>
        <v/>
      </c>
      <c r="CN57" s="259" t="str">
        <f t="shared" ca="1" si="9"/>
        <v/>
      </c>
      <c r="CO57" s="259">
        <f ca="1">IF(IF(CN57&lt;&gt;0,MAX($CO$2:CO56)+1,0)=0,"",IF(CN57&lt;&gt;"",MAX($CO$2:CO56)+1,0))</f>
        <v>0</v>
      </c>
      <c r="CP57" s="259" t="str">
        <f ca="1">IFERROR(INDEX($CM$3:$CN$220,MATCH(ROWS(CP$3:CP57),$CO$3:$CO$220,0),1),"")</f>
        <v/>
      </c>
      <c r="CQ57" s="259" t="str">
        <f ca="1">IFERROR(INDEX($CM$3:$CN$220,MATCH(ROWS(CQ$3:CQ57),$CO$3:$CO$220,0),2),"")</f>
        <v/>
      </c>
      <c r="CR57" s="259" t="str">
        <f t="shared" ca="1" si="154"/>
        <v/>
      </c>
      <c r="CS57" s="259">
        <f t="shared" ca="1" si="11"/>
        <v>0</v>
      </c>
      <c r="CT57" s="259">
        <f t="shared" ca="1" si="12"/>
        <v>0</v>
      </c>
      <c r="CU57" s="259">
        <f ca="1">IF(OR(CS57&gt;0,CT57&gt;0),MAX($CU$2:CU56)+1,0)</f>
        <v>0</v>
      </c>
      <c r="CV57" s="259" t="str">
        <f ca="1">IFERROR(INDEX(PIANO_DEI_CONTI,MATCH(ROWS($CV$3:CV57),$CU$3:$CU$200,0),2),"")</f>
        <v/>
      </c>
      <c r="CW57" s="259">
        <f ca="1">IFERROR(IF(CV57&lt;&gt;"",MAX($CW$2:CW56)+1,0),0)</f>
        <v>0</v>
      </c>
      <c r="CX57" s="259">
        <f ca="1">$EA$6</f>
        <v>4</v>
      </c>
      <c r="CY57" s="259" t="str">
        <f t="shared" ca="1" si="161"/>
        <v>MASTRO</v>
      </c>
      <c r="DA57" s="259" t="str">
        <f ca="1">IF(CY56="MASTRO","Conto n.","")</f>
        <v>Conto n.</v>
      </c>
      <c r="DB57" s="259" t="str">
        <f ca="1">IF(CY57=0,"",INDEX(PIANO_DEI_CONTI,MATCH(DC57,DENOMINAZIONE,0),1))</f>
        <v/>
      </c>
      <c r="DC57" s="259" t="str">
        <f ca="1">IF(OR(CY57=0,CY57="mastro"),"",CY57)</f>
        <v/>
      </c>
      <c r="DD57" s="259" t="str">
        <f ca="1">IF(AND($DA$2=TRUE,OR(INDEX(PIANO_DEI_CONTI,MATCH($DC57,DENOMINAZIONE,0),4)="A",INDEX(PIANO_DEI_CONTI,MATCH($DC57,DENOMINAZIONE,0),4)="D/A"),SUMIFS(AVERE,DENOMINAZIONE_GIORNALE,"="&amp;$DC57)&gt;SUMIFS(DARE,DENOMINAZIONE_GIORNALE,"="&amp;$DC57)),CONCATENATE("s ",FIXED(ABS(SUMIFS(AVERE,DENOMINAZIONE_GIORNALE,"="&amp;$DC57)-SUMIFS(DARE,DENOMINAZIONE_GIORNALE,"="&amp;$DC57)),2)),"")</f>
        <v/>
      </c>
      <c r="DE57" s="259" t="str">
        <f ca="1">IF(AND($DA$2=TRUE,OR(INDEX(PIANO_DEI_CONTI,MATCH($DC57,DENOMINAZIONE,0),4)="D",INDEX(PIANO_DEI_CONTI,MATCH($DC57,DENOMINAZIONE,0),4)="D/A"),SUMIFS(DARE,DENOMINAZIONE_GIORNALE,"="&amp;$DC57)&gt;SUMIFS(AVERE,DENOMINAZIONE_GIORNALE,"="&amp;$DC57)),CONCATENATE("s ",FIXED(ABS(SUMIFS(DARE,DENOMINAZIONE_GIORNALE,"="&amp;$DC57)-SUMIFS(AVERE,DENOMINAZIONE_GIORNALE,"="&amp;$DC57)),2)),"")</f>
        <v/>
      </c>
      <c r="DF57" s="259">
        <f ca="1">IF(AND(CX57=$DE$2,$DF$2&lt;&gt;0),0,IF(AND(DB57&lt;&gt;"",OR(DB56&lt;&gt;"",DB58&lt;&gt;"")),MAX($DF$2:DF56)+1,0))</f>
        <v>0</v>
      </c>
      <c r="DG57" s="259" t="str">
        <f>IF(OR(VALORI_INIZIALI!E62="",AND(VALORI_INIZIALI!E62&lt;&gt;"",VALORI_INIZIALI!H62=0,VALORI_INIZIALI!I62=0)),"",IFERROR(INDEX(PIANO_DEI_CONTI,MATCH(BB57,DENOMINAZIONE,0),1),0))</f>
        <v/>
      </c>
      <c r="DH57" s="259">
        <f ca="1">IFERROR(IF($J$1=1,IF(INDEX(PIANO_DEI_CONTI,MATCH($K57,DENOMINAZIONE,0),5)=$DF$1,MAX($DH$2:DH56)+1,0),IF($J$1=2,IF(INDEX(PIANO_DEI_CONTI,MATCH($K57,DENOMINAZIONE,0),7)=$DF$1,MAX($DH$2:DH56)+1,0))),0)</f>
        <v>0</v>
      </c>
      <c r="DI57" s="259">
        <f ca="1">IFERROR(INDEX($K$3:$K$220,MATCH(ROWS($DI$3:DI57),$DH$3:$DH$220,0),1),0)</f>
        <v>0</v>
      </c>
      <c r="DJ57" s="259">
        <f t="shared" ca="1" si="14"/>
        <v>0</v>
      </c>
      <c r="DK57" s="259">
        <f ca="1">IF(DJ57=0,0,MAX(DK$2:DK56)+1)</f>
        <v>0</v>
      </c>
      <c r="DL57" s="259">
        <f ca="1">IFERROR(INDEX(PIANO_DEI_CONTI,MATCH(ROWS(DL$3:DL57),$DK$3:DK284,0),2),0)</f>
        <v>0</v>
      </c>
      <c r="DM57" s="259">
        <f t="shared" ca="1" si="15"/>
        <v>0</v>
      </c>
      <c r="DN57" s="259">
        <f t="shared" ca="1" si="16"/>
        <v>0</v>
      </c>
      <c r="DO57" s="259">
        <f t="shared" ca="1" si="69"/>
        <v>0</v>
      </c>
      <c r="DP57" s="259">
        <f t="shared" ca="1" si="70"/>
        <v>0</v>
      </c>
      <c r="DQ57" s="259">
        <f ca="1">IF(OR($DQ$1="TOTALI",$DQ$1="TOTALI ED ECCEDENZE"),IF(OR(DM57&gt;0,DN57&gt;0),MAX(DQ$2:DQ56)+1,0),IF($DQ$1="ECCEDENZE",IF(OR(DO57&gt;0,DP57&gt;0),MAX(DQ$2:DQ56)+1,0),""))</f>
        <v>0</v>
      </c>
      <c r="DR57" s="259" t="str">
        <f ca="1">IFERROR(INDEX($DL$3:$DQ$230,MATCH(ROWS(DR$3:DR57),$DQ$3:$DQ$230,0),1),"")</f>
        <v/>
      </c>
      <c r="DS57" s="259" t="str">
        <f t="shared" ca="1" si="71"/>
        <v/>
      </c>
      <c r="DT57" s="259" t="str">
        <f t="shared" ca="1" si="72"/>
        <v/>
      </c>
      <c r="DU57" s="259" t="str">
        <f t="shared" ca="1" si="73"/>
        <v/>
      </c>
      <c r="DV57" s="259" t="str">
        <f t="shared" ca="1" si="74"/>
        <v/>
      </c>
      <c r="DW57" s="259">
        <f t="shared" ca="1" si="75"/>
        <v>0</v>
      </c>
      <c r="DX57" s="259" t="str">
        <f t="shared" ca="1" si="76"/>
        <v/>
      </c>
      <c r="DY57" s="259" t="str">
        <f t="shared" ca="1" si="77"/>
        <v/>
      </c>
      <c r="DZ57" s="259" t="str">
        <f t="shared" ca="1" si="78"/>
        <v/>
      </c>
      <c r="EA57" s="259">
        <f t="shared" ca="1" si="79"/>
        <v>55</v>
      </c>
      <c r="EB57" s="259" t="s">
        <v>356</v>
      </c>
      <c r="ED57" s="259">
        <f t="shared" ca="1" si="17"/>
        <v>0</v>
      </c>
      <c r="EE57" s="259" t="str">
        <f t="shared" ca="1" si="155"/>
        <v/>
      </c>
      <c r="EF57" s="259" t="str">
        <f t="shared" ca="1" si="19"/>
        <v/>
      </c>
      <c r="EG57" s="259" t="str">
        <f t="shared" ca="1" si="136"/>
        <v/>
      </c>
      <c r="EH57" s="259" t="str">
        <f t="shared" ca="1" si="80"/>
        <v/>
      </c>
      <c r="EI57" s="260" t="b">
        <f t="shared" ca="1" si="137"/>
        <v>0</v>
      </c>
      <c r="EJ57" s="260" t="b">
        <f t="shared" ca="1" si="138"/>
        <v>0</v>
      </c>
      <c r="EK57" s="260" t="b">
        <f t="shared" ca="1" si="139"/>
        <v>1</v>
      </c>
      <c r="EL57" s="259">
        <f t="shared" si="81"/>
        <v>55</v>
      </c>
      <c r="EM57" s="259">
        <f ca="1">IF(AND(BA57&gt;0,BA57&lt;=$EM$1),MAX($EM$2:EM56)+1,0)</f>
        <v>0</v>
      </c>
      <c r="EN57" s="259">
        <f t="shared" ca="1" si="82"/>
        <v>57</v>
      </c>
      <c r="EP57" s="259" t="str">
        <f t="shared" ca="1" si="20"/>
        <v/>
      </c>
      <c r="EQ57" s="259">
        <f t="shared" ca="1" si="21"/>
        <v>0</v>
      </c>
      <c r="ER57" s="259">
        <f ca="1">IF(ISNA(EQ57),MAX(ER$2:ER56)+1,0)</f>
        <v>0</v>
      </c>
      <c r="ES57" s="259" t="str">
        <f t="shared" ca="1" si="83"/>
        <v/>
      </c>
      <c r="ET57" s="259" t="str">
        <f ca="1">IFERROR(UPPER(INDEX($ER$3:$ES$500,MATCH(ROWS(ET$3:ET57),$ER$3:$ER$500,0),2)),"")</f>
        <v/>
      </c>
      <c r="EY57" s="259">
        <f t="shared" ca="1" si="84"/>
        <v>0</v>
      </c>
      <c r="EZ57" s="259">
        <f t="shared" ca="1" si="84"/>
        <v>0</v>
      </c>
      <c r="FA57" s="259" t="str">
        <f t="shared" ca="1" si="85"/>
        <v/>
      </c>
      <c r="FB57" s="259">
        <f t="shared" ca="1" si="86"/>
        <v>0</v>
      </c>
      <c r="FC57" s="259">
        <f t="shared" ca="1" si="87"/>
        <v>0</v>
      </c>
      <c r="FD57" s="259">
        <f t="shared" ca="1" si="22"/>
        <v>0</v>
      </c>
      <c r="FE57" s="259" t="str">
        <f t="shared" ca="1" si="23"/>
        <v/>
      </c>
      <c r="FF57" s="259" t="str">
        <f t="shared" ca="1" si="88"/>
        <v/>
      </c>
      <c r="FG57" s="259" t="str">
        <f t="shared" si="89"/>
        <v/>
      </c>
      <c r="FH57" s="259">
        <f t="shared" ca="1" si="156"/>
        <v>0</v>
      </c>
      <c r="FI57" s="259">
        <f t="shared" ca="1" si="25"/>
        <v>0</v>
      </c>
      <c r="FJ57" s="259">
        <f t="shared" ca="1" si="90"/>
        <v>0</v>
      </c>
      <c r="FK57" s="259">
        <f t="shared" ca="1" si="91"/>
        <v>0</v>
      </c>
      <c r="FL57" s="259">
        <f ca="1">IF(OR(FJ57&gt;0,FK57&gt;0),MAX($FL$2:FL56)+1,0)</f>
        <v>0</v>
      </c>
      <c r="FM57" s="259">
        <f t="shared" ca="1" si="26"/>
        <v>0</v>
      </c>
      <c r="FN57" s="259">
        <f ca="1">IF(FM57&lt;0,MAX($FN$2:FN56)+1,0)</f>
        <v>0</v>
      </c>
      <c r="FO57" s="259" t="str">
        <f t="shared" ca="1" si="92"/>
        <v/>
      </c>
      <c r="FP57" s="259" t="str">
        <f ca="1">IFERROR(INDEX($FN$3:$FO$400,MATCH(ROWS($FP$3:FP57),$FN$3:$FN$400,0),2),"")</f>
        <v/>
      </c>
      <c r="FQ57" s="259" t="str">
        <f>IF(AE57="SE AVERE",MAX($FQ$2:FQ56)+1,"")</f>
        <v/>
      </c>
      <c r="FR57" s="259" t="str">
        <f>IF(AE57="SE DARE",MAX($FR$2:FR56)+1,"")</f>
        <v/>
      </c>
      <c r="FS57" s="259" t="str">
        <f ca="1">IF(AND(AE57="SP DARE",AA57&lt;&gt;$FS$1,AA57&lt;&gt;$FT$1),MAX($FS$2:FS56)+1,IF(AND(GQ57="SP DARE",AA57&lt;&gt;$FS$1,AA57&lt;&gt;$FT$1),MAX($FS$2:FS56)+1,""))</f>
        <v/>
      </c>
      <c r="FT57" s="259" t="str">
        <f ca="1">IF(AND(AE57="SP AVERE",AA57&lt;&gt;$FU$1),MAX($FT$2:FT56)+1,IF(AND(GQ57="SP AVERE",AA57&lt;&gt;$FU$1),MAX($FT$2:FT56)+1,""))</f>
        <v/>
      </c>
      <c r="FU57" s="259">
        <f t="shared" ca="1" si="93"/>
        <v>0</v>
      </c>
      <c r="FV57" s="259" t="str">
        <f t="shared" si="94"/>
        <v>PATRIMONIO NETTO</v>
      </c>
      <c r="FW57" s="259" t="str">
        <f ca="1">IFERROR(INDEX($FU$3:$FV$500,MATCH(ROWS($FW$3:FW57),$FU$3:$FU$500,0),2),0)</f>
        <v>AMMORTAMENTO ATTREZZATURE COMMERCIALI</v>
      </c>
      <c r="FX57" s="259">
        <f t="shared" ca="1" si="95"/>
        <v>55</v>
      </c>
      <c r="FY57" s="259">
        <f t="shared" ca="1" si="96"/>
        <v>0</v>
      </c>
      <c r="FZ57" s="259">
        <f ca="1">IF(FY57&gt;0,MAX($FZ$2:FZ56)+1,0)</f>
        <v>0</v>
      </c>
      <c r="GA57" s="259">
        <f ca="1">IFERROR(INDEX($FY$3:$FZ$500,MATCH(ROWS($GA$3:GA57),$FZ$3:$FZ$500,0),1),0)</f>
        <v>0</v>
      </c>
      <c r="GC57" s="259">
        <f t="shared" ca="1" si="97"/>
        <v>55</v>
      </c>
      <c r="GD57" s="259" t="str">
        <f t="shared" ca="1" si="98"/>
        <v>AMMORTAMENTO ATTREZZATURE COMMERCIALI</v>
      </c>
      <c r="GG57" s="259">
        <f t="shared" ca="1" si="27"/>
        <v>0</v>
      </c>
      <c r="GH57" s="259">
        <f t="shared" ca="1" si="99"/>
        <v>0</v>
      </c>
      <c r="GI57" s="259">
        <f t="shared" ca="1" si="100"/>
        <v>0</v>
      </c>
      <c r="GJ57" s="259">
        <f t="shared" ca="1" si="101"/>
        <v>0</v>
      </c>
      <c r="GK57" s="259">
        <f t="shared" ca="1" si="102"/>
        <v>0</v>
      </c>
      <c r="GL57" s="259">
        <f t="shared" ca="1" si="103"/>
        <v>0</v>
      </c>
      <c r="GM57" s="259">
        <f ca="1">IF(OR(GK57&gt;0,GL57&gt;0),MAX($GM$2:GM56)+1,0)</f>
        <v>0</v>
      </c>
      <c r="GN57" s="259" t="str">
        <f ca="1">IFERROR(INDEX($GD$3:$GM$400,MATCH(ROWS($GN$3:GN57),$GM$3:$GM$400,0),1),"")</f>
        <v/>
      </c>
      <c r="GO57" s="259" t="str">
        <f ca="1">IFERROR(INDEX($GD$3:$GM$400,MATCH(ROWS($GO$3:GO57),$GM$3:$GM$400,0),8),"")</f>
        <v/>
      </c>
      <c r="GP57" s="259" t="str">
        <f ca="1">IFERROR(INDEX($GD$3:$GM$400,MATCH(ROWS($GP$3:GP57),$GM$3:$GM$400,0),9),"")</f>
        <v/>
      </c>
      <c r="GQ57" s="259">
        <f t="shared" ca="1" si="28"/>
        <v>0</v>
      </c>
      <c r="GR57" s="259">
        <f t="shared" ca="1" si="104"/>
        <v>0</v>
      </c>
      <c r="GS57" s="259" t="str">
        <f t="shared" si="105"/>
        <v>epilogo a Conto economico</v>
      </c>
      <c r="GT57" s="259" t="str">
        <f ca="1">IFERROR(INDEX($GD$3:$GS$400,MATCH(ROWS($GT$3:GT57),$GM$3:$GM$400,0),16),"")</f>
        <v/>
      </c>
      <c r="GU57" s="259">
        <f ca="1">IF(GQ57&lt;&gt;0,MAX($GU$2:$GU56)+1,0)</f>
        <v>0</v>
      </c>
      <c r="GV57" s="259">
        <f t="shared" ca="1" si="106"/>
        <v>0</v>
      </c>
      <c r="GW57" s="259" t="str">
        <f ca="1">IF(AND(IFERROR(INDEX($GU$3:$GV$400,MATCH(ROWS($GW$3:GW57),$GU$3:$GU$400,0),2),"")&lt;&gt;"",GW58&lt;&gt;""),CONCATENATE(IFERROR(INDEX($GU$3:$GV$400,MATCH(ROWS($GW$3:GW57),$GU$3:$GU$400,0),2),"")," - "),IFERROR(INDEX($GU$3:$GV$400,MATCH(ROWS($GW$3:GW57),$GU$3:$GU$400,0),2),""))</f>
        <v/>
      </c>
      <c r="GX57" s="259">
        <f ca="1">IF(OR(GN57="IVA NS/CREDITO",GN57="IVA NS/DEBITO",GN57="IVA C/ACCONTO",GN57="IMPOSTE C/ACCONTO"),MAX($GX$2:GX56)+1,0)</f>
        <v>0</v>
      </c>
      <c r="GY57" s="259" t="str">
        <f ca="1">IF(AND(IFERROR(INDEX($GN$3:$GX$200,MATCH(ROWS($GY$3:GY57),$GX$3:$GX$200,0),1),"")&lt;&gt;"",GY58&lt;&gt;""),CONCATENATE(IFERROR(INDEX($GN$3:$GX$200,MATCH(ROWS($GY$3:GY57),$GX$3:$GX$200,0),1),"")," - "),IFERROR(INDEX($GN$3:$GX$200,MATCH(ROWS($GY$3:GY57),$GX$3:$GX$200,0),1),""))</f>
        <v/>
      </c>
      <c r="GZ57" s="259" t="s">
        <v>75</v>
      </c>
      <c r="HA57" s="259" t="s">
        <v>474</v>
      </c>
      <c r="HB57" s="269" t="s">
        <v>257</v>
      </c>
      <c r="HC57" s="269" t="s">
        <v>276</v>
      </c>
      <c r="HD57" s="269" t="s">
        <v>73</v>
      </c>
      <c r="HE57" s="269" t="s">
        <v>206</v>
      </c>
      <c r="HL57" s="259" t="str">
        <f t="shared" ca="1" si="157"/>
        <v/>
      </c>
      <c r="HM57" s="259" t="str">
        <f t="shared" ca="1" si="158"/>
        <v/>
      </c>
      <c r="HN57" s="259" t="str">
        <f t="shared" ca="1" si="159"/>
        <v/>
      </c>
      <c r="HO57" s="259">
        <f ca="1">IF(HL57&lt;&gt;"",MAX($HO$2:HO56)+1,0)</f>
        <v>0</v>
      </c>
      <c r="HP57" s="259">
        <f ca="1">IF(HM57&lt;&gt;"",MAX($HP$2:HP56)+1,0)</f>
        <v>0</v>
      </c>
      <c r="HQ57" s="259">
        <f ca="1">IF(HN57&lt;&gt;"",MAX($HQ$2:HQ56)+1,0)</f>
        <v>0</v>
      </c>
      <c r="HR57" s="259" t="str">
        <f t="shared" ca="1" si="107"/>
        <v/>
      </c>
      <c r="HS57" s="259" t="str">
        <f t="shared" ca="1" si="108"/>
        <v/>
      </c>
      <c r="HT57" s="259">
        <f t="shared" ca="1" si="109"/>
        <v>0</v>
      </c>
      <c r="HU57" s="259">
        <f t="shared" ca="1" si="110"/>
        <v>0</v>
      </c>
      <c r="HV57" s="259" t="str">
        <f ca="1">CONCATENATE(IFERROR(INDEX($HS$3:$HT$102,MATCH(ROWS($HV$3:HV57),$HT$3:$HT$102,0),1),""),HR57)</f>
        <v/>
      </c>
      <c r="IA57" s="259" t="s">
        <v>377</v>
      </c>
      <c r="IB57" s="259" t="s">
        <v>318</v>
      </c>
      <c r="IC57" s="259">
        <f ca="1">IFERROR(INDEX(PIANO_DEI_CONTI,MATCH(ROWS(DL$3:DL57),$DK$3:DK284,0),2),0)</f>
        <v>0</v>
      </c>
      <c r="ID57" s="259">
        <f t="shared" ca="1" si="111"/>
        <v>0</v>
      </c>
      <c r="IE57" s="259">
        <f t="shared" ca="1" si="112"/>
        <v>0</v>
      </c>
      <c r="IF57" s="259">
        <f t="shared" ca="1" si="113"/>
        <v>0</v>
      </c>
      <c r="IG57" s="259">
        <f ca="1">IF(OR(IG58&gt;0,IG59&gt;0,IG60&gt;0,IG61&gt;0),"",0)</f>
        <v>0</v>
      </c>
      <c r="IH57" s="259">
        <f ca="1">IF(IG57&lt;&gt;0,MAX($IH$35:IH56)+1,0)</f>
        <v>0</v>
      </c>
      <c r="II57" s="259">
        <f>IF(AD57="costi pluriennali",MAX($II$2:II56)+1,0)</f>
        <v>0</v>
      </c>
      <c r="IJ57" s="259">
        <f>IF($AD57="rettifiche costi pluriennali",MAX($IJ$2:IJ56)+1,0)</f>
        <v>0</v>
      </c>
      <c r="IK57" s="259">
        <f t="shared" si="114"/>
        <v>0</v>
      </c>
      <c r="IL57" s="259" t="str">
        <f t="shared" si="115"/>
        <v/>
      </c>
      <c r="IM57" s="259">
        <f t="shared" ca="1" si="116"/>
        <v>0</v>
      </c>
      <c r="IN57" s="259">
        <f t="shared" ca="1" si="141"/>
        <v>0</v>
      </c>
      <c r="IO57" s="259">
        <f>SUMIFS($IM$3:$IM$200,$IK$3:$IK$200,ROWS($IO$3:IO57))-SUMIFS($IN$3:$IN$200,$IK$3:$IK$200,ROWS($IO$3:IO57))</f>
        <v>0</v>
      </c>
      <c r="IP57" s="259" t="str">
        <f>IF(IO57&lt;0,INDEX($IJ$3:$IL$200,MATCH(ROWS($IP$3:IP57),$IJ$3:$IJ$200,0),3),"")</f>
        <v/>
      </c>
      <c r="IQ57" s="259">
        <f>IF(IP57&lt;&gt;"",MAX($IQ$2:IQ56)+1,0)</f>
        <v>0</v>
      </c>
      <c r="IR57" s="259" t="str">
        <f ca="1">IFERROR(INDEX($IP$3:$IQ$200,MATCH(ROWS($IR$3:IR57),$IQ$3:$IQ$200,0),1),"")</f>
        <v/>
      </c>
      <c r="IS57" s="259" t="str">
        <f t="shared" ca="1" si="117"/>
        <v/>
      </c>
      <c r="IT57" s="259" t="str">
        <f t="shared" ca="1" si="118"/>
        <v/>
      </c>
      <c r="IU57" s="259" t="str">
        <f t="shared" ca="1" si="119"/>
        <v/>
      </c>
      <c r="IV57" s="259" t="str">
        <f t="shared" ca="1" si="120"/>
        <v/>
      </c>
      <c r="IW57" s="259" t="str">
        <f t="shared" ca="1" si="121"/>
        <v/>
      </c>
      <c r="IX57" s="259" t="str">
        <f t="shared" ca="1" si="122"/>
        <v/>
      </c>
      <c r="IY57" s="259" t="str">
        <f t="shared" ca="1" si="123"/>
        <v/>
      </c>
      <c r="IZ57" s="259" t="str">
        <f t="shared" ca="1" si="124"/>
        <v/>
      </c>
      <c r="JA57" s="259" t="str">
        <f t="shared" ca="1" si="125"/>
        <v/>
      </c>
      <c r="JB57" s="259">
        <f t="shared" ca="1" si="32"/>
        <v>0</v>
      </c>
      <c r="JC57" s="259">
        <f t="shared" ca="1" si="126"/>
        <v>0</v>
      </c>
      <c r="JE57" s="259">
        <f ca="1">IFERROR(INDEX(LIBRO_GIORNALE!$N$11:$O$408,MATCH(ROWS($JE$2:JE56),LIBRO_GIORNALE!$O$11:$O$408,0),1),0)</f>
        <v>0</v>
      </c>
      <c r="JF57" s="259" t="str">
        <f t="shared" ca="1" si="127"/>
        <v>0</v>
      </c>
      <c r="JG57" s="259">
        <f t="shared" ca="1" si="128"/>
        <v>0</v>
      </c>
      <c r="JH57" s="259">
        <f ca="1">IF(JJ57&gt;0,0,MAX($JH$2:JH56)+1)</f>
        <v>55</v>
      </c>
      <c r="JI57" s="259">
        <f ca="1">IF(JG57&gt;0,MAX($JI$2:JI56)+1,0)</f>
        <v>0</v>
      </c>
      <c r="JJ57" s="259">
        <f ca="1">IFERROR(INDEX($JG$3:$JI$124,MATCH(ROWS($JJ$3:JJ57),$JI$3:$JI$124,0),1),0)</f>
        <v>0</v>
      </c>
      <c r="JK57" s="259">
        <f t="shared" ca="1" si="129"/>
        <v>0</v>
      </c>
      <c r="JL57" s="259">
        <f t="shared" ca="1" si="130"/>
        <v>55</v>
      </c>
    </row>
    <row r="58" spans="1:272">
      <c r="A58" s="259" t="str">
        <f t="shared" si="33"/>
        <v>08.02</v>
      </c>
      <c r="B58" s="259" t="str">
        <f t="shared" si="34"/>
        <v>C/C POSTALI</v>
      </c>
      <c r="C58" s="259" t="str">
        <f t="shared" si="35"/>
        <v>F</v>
      </c>
      <c r="D58" s="259" t="str">
        <f t="shared" si="36"/>
        <v>D</v>
      </c>
      <c r="E58" s="259" t="str">
        <f t="shared" si="37"/>
        <v>DISPONIBILITÀ LIQUIDE</v>
      </c>
      <c r="F58" s="259" t="str">
        <f t="shared" si="38"/>
        <v>SP DARE</v>
      </c>
      <c r="G58" s="259">
        <f t="shared" ca="1" si="39"/>
        <v>1</v>
      </c>
      <c r="H58" s="259">
        <f t="shared" ca="1" si="40"/>
        <v>1</v>
      </c>
      <c r="I58" s="259">
        <f t="shared" ca="1" si="41"/>
        <v>1</v>
      </c>
      <c r="K58" s="259" t="str">
        <f ca="1">IFERROR(IF($I$1=1,INDEX($AA$3:$AS$220,MATCH(ROWS($K$3:K58),$AQ$3:$AQ$220,0),1),IF($I$1=2,INDEX($AA$3:$AS$220,MATCH(ROWS($K$3:K58),$AR$3:$AR$220,0),1),IF($I$1=3,INDEX($AA$3:$AS$220,MATCH(ROWS($K$3:K58),$AS$3:$AS$220,0),1),""))),"")</f>
        <v>PRELEVAMENTI EXTRAGESTIONE</v>
      </c>
      <c r="L58" s="259">
        <f ca="1">IF(AND($L$1="VISUALIZZA TUTTI I CONTI",K58&lt;&gt;""),MAX(L57:L57)+1,IFERROR(IF($J$1=1,IF(INDEX(PIANO_DEI_CONTI,MATCH($K58,DENOMINAZIONE,0),5)=$L$1,MAX($L$2:L57)+1,0),IF($J$1=2,IF(INDEX(PIANO_DEI_CONTI,MATCH($K58,DENOMINAZIONE,0),7)=$L$1,MAX($L$2:L57)+1,0))),0))</f>
        <v>56</v>
      </c>
      <c r="M58" s="259" t="str">
        <f ca="1">IFERROR(INDEX($K$3:$K$220,MATCH(ROWS($M$3:M58),$L$3:$L$220,0),1),"")</f>
        <v>PRELEVAMENTI EXTRAGESTIONE</v>
      </c>
      <c r="N58" s="259" t="str">
        <f t="shared" si="143"/>
        <v/>
      </c>
      <c r="O58" s="259" t="str">
        <f t="shared" ca="1" si="170"/>
        <v/>
      </c>
      <c r="P58" s="259">
        <f ca="1">IF(AND(N58=O58,O58&lt;&gt;""),MAX(P$2:P57)+1,0)</f>
        <v>0</v>
      </c>
      <c r="Q58" s="259" t="str">
        <f ca="1">IF(IFERROR(INDEX($O$3:$P$220,MATCH(ROWS(Q$3:Q58),$P$3:$P$220,0),1),"")=0,"",IFERROR(INDEX($O$3:$P$220,MATCH(ROWS(Q$3:Q58),$P$3:$P$220,0),1),""))</f>
        <v/>
      </c>
      <c r="R58" s="259" t="str">
        <f t="shared" si="1"/>
        <v>PRELEVAMENTI EXTRAGESTIONE</v>
      </c>
      <c r="S58" s="259">
        <f ca="1">IF(IFERROR(MATCH(R58,DENOMINAZIONE_GIORNALE,0),0)&gt;0,MAX(S$2:S57)+1,0)</f>
        <v>0</v>
      </c>
      <c r="T58" s="259" t="str">
        <f ca="1">IFERROR(INDEX($R$3:$S$220,MATCH(ROWS($T$3:T58),$S$3:$S$220,0),1),"")</f>
        <v/>
      </c>
      <c r="U58" s="259">
        <f t="shared" ca="1" si="2"/>
        <v>0</v>
      </c>
      <c r="V58" s="259">
        <f ca="1">IF(IF(U58&lt;&gt;0,MAX($V$2:V57)+1,0)=0,0,IF(U58&lt;&gt;0,MAX($V$2:V57)+1,0))</f>
        <v>0</v>
      </c>
      <c r="W58" s="259" t="str">
        <f t="shared" si="43"/>
        <v>08.02</v>
      </c>
      <c r="X58" s="259" t="str">
        <f t="shared" si="44"/>
        <v>C/C POSTALI</v>
      </c>
      <c r="Y58" s="259">
        <f>IF(W58="",0,MAX($Y$2:Y57)+1)</f>
        <v>49</v>
      </c>
      <c r="Z58" s="259" t="str">
        <f>IFERROR(INDEX($W$3:$Y$220,MATCH(ROWS($Z$2:Z57),$Y$3:$Y$220,0),1),"")</f>
        <v>10.02</v>
      </c>
      <c r="AA58" s="259" t="str">
        <f t="shared" si="45"/>
        <v>PRELEVAMENTI EXTRAGESTIONE</v>
      </c>
      <c r="AB58" s="259" t="str">
        <f t="shared" si="46"/>
        <v>E</v>
      </c>
      <c r="AC58" s="259" t="str">
        <f t="shared" si="47"/>
        <v>D</v>
      </c>
      <c r="AD58" s="259" t="str">
        <f t="shared" si="48"/>
        <v>PATRIMONIO NETTO</v>
      </c>
      <c r="AE58" s="259" t="str">
        <f t="shared" si="49"/>
        <v>SP DARE</v>
      </c>
      <c r="AF58" s="259" t="str">
        <f t="shared" si="50"/>
        <v>PATRIMONIO NETTO</v>
      </c>
      <c r="AG58" s="259">
        <f t="shared" ca="1" si="51"/>
        <v>1</v>
      </c>
      <c r="AH58" s="259">
        <f t="shared" ca="1" si="52"/>
        <v>1</v>
      </c>
      <c r="AI58" s="259">
        <f t="shared" ca="1" si="53"/>
        <v>1</v>
      </c>
      <c r="AJ58" s="259" t="str">
        <f t="shared" si="54"/>
        <v>10</v>
      </c>
      <c r="AK58" s="259" t="str">
        <f t="shared" si="55"/>
        <v/>
      </c>
      <c r="AL58" s="259">
        <f>IF(AK58&lt;&gt;"",MAX($AL$2:AL57)+1,0)</f>
        <v>0</v>
      </c>
      <c r="AM58" s="259" t="str">
        <f>IFERROR(INDEX($AK$3:$AL$220,MATCH(ROWS($AM$3:AM58),$AL$3:$AL$220,0),1),"")</f>
        <v/>
      </c>
      <c r="AN58" s="259" t="str">
        <f t="shared" si="56"/>
        <v/>
      </c>
      <c r="AO58" s="259" t="str">
        <f t="shared" si="57"/>
        <v/>
      </c>
      <c r="AP58" s="259" t="str">
        <f t="shared" si="58"/>
        <v>PATRIMONIO NETTO</v>
      </c>
      <c r="AQ58" s="259">
        <f ca="1">IF(OR(AG58=0,AG58=""),0,MAX(AQ$2:AQ57)+1)</f>
        <v>31</v>
      </c>
      <c r="AR58" s="259">
        <f ca="1">IF(OR(AH58=0,AH58=""),0,MAX(AR$2:AR57)+1)</f>
        <v>45</v>
      </c>
      <c r="AS58" s="259">
        <f ca="1">IF(OR(AI58=0,AI58=""),0,MAX(AS$2:AS57)+1)</f>
        <v>56</v>
      </c>
      <c r="AT58" s="259" t="str">
        <f ca="1">IFERROR(INDEX($AD$3:$AS$220,MATCH(ROWS(AT$3:AT58),AQ$3:AQ$220,0),1),"")</f>
        <v>COSTI D'ESERCIZIO</v>
      </c>
      <c r="AU58" s="259" t="str">
        <f ca="1">IFERROR(INDEX($AD$3:$AS$220,MATCH(ROWS(AU$3:AU58),AR$3:AR$220,0),1),"")</f>
        <v>DEBITI</v>
      </c>
      <c r="AV58" s="259" t="str">
        <f ca="1">IFERROR(INDEX($AD$3:$AS$220,MATCH(ROWS(AV$3:AV58),AS$3:AS$220,0),1),"")</f>
        <v>PATRIMONIO NETTO</v>
      </c>
      <c r="AW58" s="259" t="str">
        <f ca="1">IFERROR(INDEX($AP$3:$AS$220,MATCH(ROWS(AW$3:AW58),AQ$3:AQ$220,0),1),"")</f>
        <v>COSTI PER MERCI E MATERIE DI CONSUMO</v>
      </c>
      <c r="AX58" s="259" t="str">
        <f ca="1">IFERROR(INDEX($AP$3:$AS$220,MATCH(ROWS(AX$3:AX58),AR$3:AR$220,0),1),"")</f>
        <v>DEBITI DIVERSI</v>
      </c>
      <c r="AY58" s="259" t="str">
        <f ca="1">IFERROR(INDEX($AP$3:$AS$220,MATCH(ROWS(AY$3:AY58),AS$3:AS$220,0),1),"")</f>
        <v>PATRIMONIO NETTO</v>
      </c>
      <c r="AZ58" s="276" t="str">
        <f t="shared" ca="1" si="59"/>
        <v/>
      </c>
      <c r="BA58" s="259">
        <f t="shared" ca="1" si="153"/>
        <v>0</v>
      </c>
      <c r="BB58" s="259">
        <f ca="1">IFERROR(INDEX($FG$3:$FL$400,MATCH(ROWS($BB$3:BB58),$FL$3:$FL$400,0),1),0)</f>
        <v>0</v>
      </c>
      <c r="BC58" s="259" t="str">
        <f t="shared" ca="1" si="60"/>
        <v/>
      </c>
      <c r="BD58" s="259">
        <f ca="1">IFERROR(INDEX($FG$3:$FL$400,MATCH(ROWS($BD$3:BD58),$FL$3:$FL$400,0),4),0)</f>
        <v>0</v>
      </c>
      <c r="BE58" s="259">
        <f ca="1">IFERROR(INDEX($FG$3:$FL$400,MATCH(ROWS($BE$3:BE58),$FL$3:$FL$400,0),5),0)</f>
        <v>0</v>
      </c>
      <c r="BG58" s="259" t="str">
        <f t="shared" si="4"/>
        <v/>
      </c>
      <c r="BH58" s="259">
        <f ca="1">IF(IFERROR(MATCH(BG58,DENOMINAZIONE_GIORNALE,0),0)&gt;0,MAX(BH$2:BH57)+1,0)</f>
        <v>0</v>
      </c>
      <c r="BI58" s="259" t="str">
        <f ca="1">IFERROR(INDEX($BG$3:$BH$220,MATCH(ROWS($BI$3:BI58),$BH$3:$BH$220,0),1),"")</f>
        <v/>
      </c>
      <c r="BJ58" s="259" t="str">
        <f t="shared" ca="1" si="5"/>
        <v/>
      </c>
      <c r="BK58" s="259" t="str">
        <f ca="1">IF(IF(BJ58&lt;&gt;"",MAX($BK$2:BK57)+1,0)=0,"",IF(BJ58&lt;&gt;"",MAX($BK$2:BK57)+1,0))</f>
        <v/>
      </c>
      <c r="BL58" s="259" t="str">
        <f ca="1">IFERROR(INDEX($T$3:$U$220, MATCH(ROWS(BL$3:BL58),$V$3:$V$220,0),1),"")</f>
        <v/>
      </c>
      <c r="BM58" s="259" t="str">
        <f ca="1">IFERROR(INDEX($T$3:$U$220, MATCH(ROWS(BM$3:BM58),$V$3:$V$220,0),2),"")</f>
        <v/>
      </c>
      <c r="BN58" s="259" t="str">
        <f ca="1">IF(IFERROR(INDEX($BI$3:$BJ$220,MATCH(ROWS(BN$3:BN58),$BK$3:$BK$220,0),1),"")="PATRIMONIO NETTO","",IFERROR(INDEX($BI$3:$BJ$220,MATCH(ROWS(BN$3:BN58),$BK$3:$BK$220,0),1),""))</f>
        <v/>
      </c>
      <c r="BO58" s="259" t="str">
        <f ca="1">IFERROR(INDEX($BI$3:$BJ$220,MATCH(ROWS(BO$3:BO58),$BK$3:$BK$220,0),2),"")</f>
        <v/>
      </c>
      <c r="BP58" s="259">
        <f ca="1">IF(BN58&lt;&gt;"",MAX(BP$2:$BP57)+1,0)</f>
        <v>0</v>
      </c>
      <c r="BQ58" s="259" t="str">
        <f ca="1">IFERROR(INDEX($BN$3:$BO$200,MATCH(ROWS(BQ$3:BQ58),$BP$3:$BP$220,0),1),"")</f>
        <v/>
      </c>
      <c r="BR58" s="259" t="str">
        <f ca="1">IFERROR(INDEX($BN$3:$BO$220,MATCH(ROWS(BR$3:BR58),$BP$3:$BP$220,0),2),"")</f>
        <v/>
      </c>
      <c r="BS58" s="259" t="str">
        <f ca="1">IFERROR(IF(OR(INDEX($T$3:$U$220,MATCH(ROWS(BL$3:BL58),$V$3:$V$220,0),1)="PRELEVAMENTI EXTRAGESTIONE",INDEX($T$3:$U$220,MATCH(ROWS(BL$3:BL58),$V$3:$V$220,0),1)="TITOLARE C/RITENUTE SUBITE"),"",INDEX($T$3:$U$220,MATCH(ROWS(BL$3:BL58),$V$3:$V$220,0),1)),"")</f>
        <v/>
      </c>
      <c r="BT58" s="259">
        <f t="shared" ca="1" si="61"/>
        <v>0</v>
      </c>
      <c r="BU58" s="259">
        <f ca="1">IF(BS58&lt;&gt;"",MAX(BU$2:BU57)+1,0)</f>
        <v>0</v>
      </c>
      <c r="BV58" s="259" t="str">
        <f ca="1">IFERROR(INDEX($BS$3:$BT$223,MATCH(ROWS(BV$3:BV58),$BU$3:$BU$223,0),1),"")</f>
        <v/>
      </c>
      <c r="BW58" s="259">
        <f t="shared" ca="1" si="62"/>
        <v>0</v>
      </c>
      <c r="BX58" s="259" t="str">
        <f t="shared" ca="1" si="63"/>
        <v/>
      </c>
      <c r="BY58" s="259" t="str">
        <f t="shared" ca="1" si="64"/>
        <v/>
      </c>
      <c r="BZ58" s="259" t="str">
        <f ca="1">IFERROR(IF(OR($DS$231&lt;&gt;$DT$231,$DU$231&lt;&gt;$DV$231,$EO$25&lt;&gt;0,$EO$26&lt;&gt;0),INDEX($T$3:$V$220,MATCH(ROWS($BV$3:BV58),$V$3:$V$220,0),1),CONCATENATE(BV58,BY58)),"")</f>
        <v/>
      </c>
      <c r="CA58" s="259">
        <f t="shared" ca="1" si="65"/>
        <v>0</v>
      </c>
      <c r="CB58" s="259" t="str">
        <f ca="1">IFERROR(IF(OR($BB$1&lt;&gt;$BD$1,$BC$1&lt;&gt;$BE$1,$DS$231&lt;&gt;$DT$231,$DU$231&lt;&gt;$DV$231,$EO$25&lt;&gt;0,$EO$26&lt;&gt;0),INDEX($BI$3:$BK$220,MATCH(ROWS($CB$3:CB58),$BK$3:$BK$220,0),1),CONCATENATE(BQ58,BX58)),"")</f>
        <v/>
      </c>
      <c r="CC58" s="259" t="str">
        <f t="shared" ca="1" si="66"/>
        <v/>
      </c>
      <c r="CD58" s="259" t="str">
        <f t="shared" si="6"/>
        <v/>
      </c>
      <c r="CE58" s="259">
        <f ca="1">IF(IFERROR(MATCH(CD58,DENOMINAZIONE_GIORNALE,0),0)&gt;0,MAX(CE$2:CE57)+1,0)</f>
        <v>0</v>
      </c>
      <c r="CF58" s="259" t="str">
        <f ca="1">IFERROR(INDEX($CD$3:$CE$220,MATCH(ROWS($CF$3:CF58),$CE$3:$CE$220,0),1),"")</f>
        <v/>
      </c>
      <c r="CG58" s="259">
        <f t="shared" ca="1" si="7"/>
        <v>0</v>
      </c>
      <c r="CH58" s="259" t="str">
        <f ca="1">IF(IF(CG58&lt;&gt;0,MAX($CH$2:CH57)+1,0)=0,"",IF(CG58&lt;&gt;"",MAX($CH$2:CH57)+1,0))</f>
        <v/>
      </c>
      <c r="CI58" s="259" t="str">
        <f ca="1">IFERROR(INDEX($CF$3:$CG$220,MATCH(ROWS($CI$3:CI58),$CH$3:$CH$220,0),1),"")</f>
        <v/>
      </c>
      <c r="CJ58" s="259" t="str">
        <f t="shared" ca="1" si="67"/>
        <v/>
      </c>
      <c r="CK58" s="259" t="str">
        <f t="shared" si="8"/>
        <v/>
      </c>
      <c r="CL58" s="259">
        <f ca="1">IF(IFERROR(MATCH(CK58,DENOMINAZIONE_GIORNALE,0),0)&gt;0,MAX(CL$2:CL57)+1,0)</f>
        <v>0</v>
      </c>
      <c r="CM58" s="259" t="str">
        <f ca="1">IFERROR(INDEX($CK$3:$CL$220,MATCH(ROWS($CM$3:CM58),$CL$3:$CL$220,0),1),"")</f>
        <v/>
      </c>
      <c r="CN58" s="259" t="str">
        <f t="shared" ca="1" si="9"/>
        <v/>
      </c>
      <c r="CO58" s="259">
        <f ca="1">IF(IF(CN58&lt;&gt;0,MAX($CO$2:CO57)+1,0)=0,"",IF(CN58&lt;&gt;"",MAX($CO$2:CO57)+1,0))</f>
        <v>0</v>
      </c>
      <c r="CP58" s="259" t="str">
        <f ca="1">IFERROR(INDEX($CM$3:$CN$220,MATCH(ROWS(CP$3:CP58),$CO$3:$CO$220,0),1),"")</f>
        <v/>
      </c>
      <c r="CQ58" s="259" t="str">
        <f ca="1">IFERROR(INDEX($CM$3:$CN$220,MATCH(ROWS(CQ$3:CQ58),$CO$3:$CO$220,0),2),"")</f>
        <v/>
      </c>
      <c r="CR58" s="259" t="str">
        <f t="shared" ca="1" si="154"/>
        <v/>
      </c>
      <c r="CS58" s="259">
        <f t="shared" ca="1" si="11"/>
        <v>0</v>
      </c>
      <c r="CT58" s="259">
        <f t="shared" ca="1" si="12"/>
        <v>0</v>
      </c>
      <c r="CU58" s="259">
        <f ca="1">IF(OR(CS58&gt;0,CT58&gt;0),MAX($CU$2:CU57)+1,0)</f>
        <v>0</v>
      </c>
      <c r="CV58" s="259" t="str">
        <f ca="1">IFERROR(INDEX(PIANO_DEI_CONTI,MATCH(ROWS($CV$3:CV58),$CU$3:$CU$200,0),2),"")</f>
        <v/>
      </c>
      <c r="CW58" s="259">
        <f ca="1">IFERROR(IF(CV58&lt;&gt;"",MAX($CW$2:CW57)+1,0),0)</f>
        <v>0</v>
      </c>
      <c r="CX58" s="259">
        <f t="shared" ref="CX58:CX73" ca="1" si="174">$EA$6</f>
        <v>4</v>
      </c>
      <c r="CY58" s="259" t="str">
        <f t="shared" ca="1" si="161"/>
        <v>MASTRO</v>
      </c>
      <c r="DA58" s="259" t="str">
        <f ca="1">IF(DB57="","","Num. riga")</f>
        <v/>
      </c>
      <c r="DB58" s="259" t="str">
        <f t="shared" ref="DB58" ca="1" si="175">IF(DB57="","","Data")</f>
        <v/>
      </c>
      <c r="DC58" s="259" t="str">
        <f ca="1">IF(DB57="","","Operazioni")</f>
        <v/>
      </c>
      <c r="DD58" s="259" t="str">
        <f ca="1">IF(DB57="","","Dare        ")</f>
        <v/>
      </c>
      <c r="DE58" s="259" t="str">
        <f ca="1">IF(DB57="","","Avere        ")</f>
        <v/>
      </c>
      <c r="DF58" s="259">
        <f ca="1">IF(AND(CX58=$DE$2,$DF$2&lt;&gt;0),0,IF(AND(DB58&lt;&gt;"",OR(DB57&lt;&gt;"",DB59&lt;&gt;"")),MAX($DF$2:DF57)+1,0))</f>
        <v>0</v>
      </c>
      <c r="DG58" s="259" t="str">
        <f>IF(OR(VALORI_INIZIALI!E63="",AND(VALORI_INIZIALI!E63&lt;&gt;"",VALORI_INIZIALI!H63=0,VALORI_INIZIALI!I63=0)),"",IFERROR(INDEX(PIANO_DEI_CONTI,MATCH(BB58,DENOMINAZIONE,0),1),0))</f>
        <v/>
      </c>
      <c r="DH58" s="259">
        <f ca="1">IFERROR(IF($J$1=1,IF(INDEX(PIANO_DEI_CONTI,MATCH($K58,DENOMINAZIONE,0),5)=$DF$1,MAX($DH$2:DH57)+1,0),IF($J$1=2,IF(INDEX(PIANO_DEI_CONTI,MATCH($K58,DENOMINAZIONE,0),7)=$DF$1,MAX($DH$2:DH57)+1,0))),0)</f>
        <v>0</v>
      </c>
      <c r="DI58" s="259">
        <f ca="1">IFERROR(INDEX($K$3:$K$220,MATCH(ROWS($DI$3:DI58),$DH$3:$DH$220,0),1),0)</f>
        <v>0</v>
      </c>
      <c r="DJ58" s="259">
        <f t="shared" ca="1" si="14"/>
        <v>0</v>
      </c>
      <c r="DK58" s="259">
        <f ca="1">IF(DJ58=0,0,MAX(DK$2:DK57)+1)</f>
        <v>0</v>
      </c>
      <c r="DL58" s="259">
        <f ca="1">IFERROR(INDEX(PIANO_DEI_CONTI,MATCH(ROWS(DL$3:DL58),$DK$3:DK285,0),2),0)</f>
        <v>0</v>
      </c>
      <c r="DM58" s="259">
        <f t="shared" ca="1" si="15"/>
        <v>0</v>
      </c>
      <c r="DN58" s="259">
        <f t="shared" ca="1" si="16"/>
        <v>0</v>
      </c>
      <c r="DO58" s="259">
        <f t="shared" ca="1" si="69"/>
        <v>0</v>
      </c>
      <c r="DP58" s="259">
        <f t="shared" ca="1" si="70"/>
        <v>0</v>
      </c>
      <c r="DQ58" s="259">
        <f ca="1">IF(OR($DQ$1="TOTALI",$DQ$1="TOTALI ED ECCEDENZE"),IF(OR(DM58&gt;0,DN58&gt;0),MAX(DQ$2:DQ57)+1,0),IF($DQ$1="ECCEDENZE",IF(OR(DO58&gt;0,DP58&gt;0),MAX(DQ$2:DQ57)+1,0),""))</f>
        <v>0</v>
      </c>
      <c r="DR58" s="259" t="str">
        <f ca="1">IFERROR(INDEX($DL$3:$DQ$230,MATCH(ROWS(DR$3:DR58),$DQ$3:$DQ$230,0),1),"")</f>
        <v/>
      </c>
      <c r="DS58" s="259" t="str">
        <f t="shared" ca="1" si="71"/>
        <v/>
      </c>
      <c r="DT58" s="259" t="str">
        <f t="shared" ca="1" si="72"/>
        <v/>
      </c>
      <c r="DU58" s="259" t="str">
        <f t="shared" ca="1" si="73"/>
        <v/>
      </c>
      <c r="DV58" s="259" t="str">
        <f t="shared" ca="1" si="74"/>
        <v/>
      </c>
      <c r="DW58" s="259">
        <f t="shared" ca="1" si="75"/>
        <v>0</v>
      </c>
      <c r="DX58" s="259" t="str">
        <f t="shared" ca="1" si="76"/>
        <v/>
      </c>
      <c r="DY58" s="259" t="str">
        <f t="shared" ca="1" si="77"/>
        <v/>
      </c>
      <c r="DZ58" s="259" t="str">
        <f t="shared" ca="1" si="78"/>
        <v/>
      </c>
      <c r="EA58" s="259">
        <f t="shared" ca="1" si="79"/>
        <v>56</v>
      </c>
      <c r="EB58" s="259" t="s">
        <v>356</v>
      </c>
      <c r="ED58" s="259">
        <f t="shared" ca="1" si="17"/>
        <v>0</v>
      </c>
      <c r="EE58" s="259" t="str">
        <f t="shared" ca="1" si="155"/>
        <v/>
      </c>
      <c r="EF58" s="259" t="str">
        <f t="shared" ca="1" si="19"/>
        <v/>
      </c>
      <c r="EG58" s="259" t="str">
        <f t="shared" ca="1" si="136"/>
        <v/>
      </c>
      <c r="EH58" s="259" t="str">
        <f t="shared" ca="1" si="80"/>
        <v/>
      </c>
      <c r="EI58" s="260" t="b">
        <f t="shared" ca="1" si="137"/>
        <v>1</v>
      </c>
      <c r="EJ58" s="260" t="b">
        <f t="shared" ca="1" si="138"/>
        <v>1</v>
      </c>
      <c r="EK58" s="260" t="b">
        <f t="shared" ca="1" si="139"/>
        <v>1</v>
      </c>
      <c r="EL58" s="259">
        <f t="shared" si="81"/>
        <v>56</v>
      </c>
      <c r="EM58" s="259">
        <f ca="1">IF(AND(BA58&gt;0,BA58&lt;=$EM$1),MAX($EM$2:EM57)+1,0)</f>
        <v>0</v>
      </c>
      <c r="EN58" s="259">
        <f t="shared" ca="1" si="82"/>
        <v>58</v>
      </c>
      <c r="EP58" s="259" t="str">
        <f t="shared" ca="1" si="20"/>
        <v/>
      </c>
      <c r="EQ58" s="259">
        <f t="shared" ca="1" si="21"/>
        <v>0</v>
      </c>
      <c r="ER58" s="259">
        <f ca="1">IF(ISNA(EQ58),MAX(ER$2:ER57)+1,0)</f>
        <v>0</v>
      </c>
      <c r="ES58" s="259" t="str">
        <f t="shared" ca="1" si="83"/>
        <v/>
      </c>
      <c r="ET58" s="259" t="str">
        <f ca="1">IFERROR(UPPER(INDEX($ER$3:$ES$500,MATCH(ROWS(ET$3:ET58),$ER$3:$ER$500,0),2)),"")</f>
        <v/>
      </c>
      <c r="EY58" s="259">
        <f t="shared" ca="1" si="84"/>
        <v>0</v>
      </c>
      <c r="EZ58" s="259">
        <f t="shared" ca="1" si="84"/>
        <v>0</v>
      </c>
      <c r="FA58" s="259" t="str">
        <f t="shared" ca="1" si="85"/>
        <v/>
      </c>
      <c r="FB58" s="259">
        <f t="shared" ca="1" si="86"/>
        <v>0</v>
      </c>
      <c r="FC58" s="259">
        <f t="shared" ca="1" si="87"/>
        <v>0</v>
      </c>
      <c r="FD58" s="259">
        <f t="shared" ca="1" si="22"/>
        <v>0</v>
      </c>
      <c r="FE58" s="259" t="str">
        <f t="shared" ca="1" si="23"/>
        <v/>
      </c>
      <c r="FF58" s="259" t="str">
        <f t="shared" ca="1" si="88"/>
        <v/>
      </c>
      <c r="FG58" s="259" t="str">
        <f t="shared" si="89"/>
        <v/>
      </c>
      <c r="FH58" s="259">
        <f t="shared" ca="1" si="156"/>
        <v>0</v>
      </c>
      <c r="FI58" s="259">
        <f t="shared" ca="1" si="25"/>
        <v>0</v>
      </c>
      <c r="FJ58" s="259">
        <f t="shared" ca="1" si="90"/>
        <v>0</v>
      </c>
      <c r="FK58" s="259">
        <f t="shared" ca="1" si="91"/>
        <v>0</v>
      </c>
      <c r="FL58" s="259">
        <f ca="1">IF(OR(FJ58&gt;0,FK58&gt;0),MAX($FL$2:FL57)+1,0)</f>
        <v>0</v>
      </c>
      <c r="FM58" s="259">
        <f t="shared" ca="1" si="26"/>
        <v>0</v>
      </c>
      <c r="FN58" s="259">
        <f ca="1">IF(FM58&lt;0,MAX($FN$2:FN57)+1,0)</f>
        <v>0</v>
      </c>
      <c r="FO58" s="259" t="str">
        <f t="shared" ca="1" si="92"/>
        <v/>
      </c>
      <c r="FP58" s="259" t="str">
        <f ca="1">IFERROR(INDEX($FN$3:$FO$400,MATCH(ROWS($FP$3:FP58),$FN$3:$FN$400,0),2),"")</f>
        <v/>
      </c>
      <c r="FQ58" s="259" t="str">
        <f>IF(AE58="SE AVERE",MAX($FQ$2:FQ57)+1,"")</f>
        <v/>
      </c>
      <c r="FR58" s="259" t="str">
        <f>IF(AE58="SE DARE",MAX($FR$2:FR57)+1,"")</f>
        <v/>
      </c>
      <c r="FS58" s="259" t="str">
        <f ca="1">IF(AND(AE58="SP DARE",AA58&lt;&gt;$FS$1,AA58&lt;&gt;$FT$1),MAX($FS$2:FS57)+1,IF(AND(GQ58="SP DARE",AA58&lt;&gt;$FS$1,AA58&lt;&gt;$FT$1),MAX($FS$2:FS57)+1,""))</f>
        <v/>
      </c>
      <c r="FT58" s="259" t="str">
        <f ca="1">IF(AND(AE58="SP AVERE",AA58&lt;&gt;$FU$1),MAX($FT$2:FT57)+1,IF(AND(GQ58="SP AVERE",AA58&lt;&gt;$FU$1),MAX($FT$2:FT57)+1,""))</f>
        <v/>
      </c>
      <c r="FU58" s="259">
        <f t="shared" ca="1" si="93"/>
        <v>0</v>
      </c>
      <c r="FV58" s="259" t="str">
        <f t="shared" si="94"/>
        <v>PRELEVAMENTI EXTRAGESTIONE</v>
      </c>
      <c r="FW58" s="259" t="str">
        <f ca="1">IFERROR(INDEX($FU$3:$FV$500,MATCH(ROWS($FW$3:FW58),$FU$3:$FU$500,0),2),0)</f>
        <v>AMMORTAMENTO MACCHINE D'UFFICIO</v>
      </c>
      <c r="FX58" s="259">
        <f t="shared" ca="1" si="95"/>
        <v>56</v>
      </c>
      <c r="FY58" s="259">
        <f t="shared" ca="1" si="96"/>
        <v>0</v>
      </c>
      <c r="FZ58" s="259">
        <f ca="1">IF(FY58&gt;0,MAX($FZ$2:FZ57)+1,0)</f>
        <v>0</v>
      </c>
      <c r="GA58" s="259">
        <f ca="1">IFERROR(INDEX($FY$3:$FZ$500,MATCH(ROWS($GA$3:GA58),$FZ$3:$FZ$500,0),1),0)</f>
        <v>0</v>
      </c>
      <c r="GC58" s="259">
        <f t="shared" ca="1" si="97"/>
        <v>56</v>
      </c>
      <c r="GD58" s="259" t="str">
        <f t="shared" ca="1" si="98"/>
        <v>AMMORTAMENTO MACCHINE D'UFFICIO</v>
      </c>
      <c r="GG58" s="259">
        <f t="shared" ca="1" si="27"/>
        <v>0</v>
      </c>
      <c r="GH58" s="259">
        <f t="shared" ca="1" si="99"/>
        <v>0</v>
      </c>
      <c r="GI58" s="259">
        <f t="shared" ca="1" si="100"/>
        <v>0</v>
      </c>
      <c r="GJ58" s="259">
        <f t="shared" ca="1" si="101"/>
        <v>0</v>
      </c>
      <c r="GK58" s="259">
        <f t="shared" ca="1" si="102"/>
        <v>0</v>
      </c>
      <c r="GL58" s="259">
        <f t="shared" ca="1" si="103"/>
        <v>0</v>
      </c>
      <c r="GM58" s="259">
        <f ca="1">IF(OR(GK58&gt;0,GL58&gt;0),MAX($GM$2:GM57)+1,0)</f>
        <v>0</v>
      </c>
      <c r="GN58" s="259" t="str">
        <f ca="1">IFERROR(INDEX($GD$3:$GM$400,MATCH(ROWS($GN$3:GN58),$GM$3:$GM$400,0),1),"")</f>
        <v/>
      </c>
      <c r="GO58" s="259" t="str">
        <f ca="1">IFERROR(INDEX($GD$3:$GM$400,MATCH(ROWS($GO$3:GO58),$GM$3:$GM$400,0),8),"")</f>
        <v/>
      </c>
      <c r="GP58" s="259" t="str">
        <f ca="1">IFERROR(INDEX($GD$3:$GM$400,MATCH(ROWS($GP$3:GP58),$GM$3:$GM$400,0),9),"")</f>
        <v/>
      </c>
      <c r="GQ58" s="259">
        <f t="shared" ca="1" si="28"/>
        <v>0</v>
      </c>
      <c r="GR58" s="259">
        <f t="shared" ca="1" si="104"/>
        <v>0</v>
      </c>
      <c r="GS58" s="259" t="str">
        <f t="shared" si="105"/>
        <v>epilogo a Conto economico</v>
      </c>
      <c r="GT58" s="259" t="str">
        <f ca="1">IFERROR(INDEX($GD$3:$GS$400,MATCH(ROWS($GT$3:GT58),$GM$3:$GM$400,0),16),"")</f>
        <v/>
      </c>
      <c r="GU58" s="259">
        <f ca="1">IF(GQ58&lt;&gt;0,MAX($GU$2:$GU57)+1,0)</f>
        <v>0</v>
      </c>
      <c r="GV58" s="259">
        <f t="shared" ca="1" si="106"/>
        <v>0</v>
      </c>
      <c r="GW58" s="259" t="str">
        <f ca="1">IF(AND(IFERROR(INDEX($GU$3:$GV$400,MATCH(ROWS($GW$3:GW58),$GU$3:$GU$400,0),2),"")&lt;&gt;"",GW59&lt;&gt;""),CONCATENATE(IFERROR(INDEX($GU$3:$GV$400,MATCH(ROWS($GW$3:GW58),$GU$3:$GU$400,0),2),"")," - "),IFERROR(INDEX($GU$3:$GV$400,MATCH(ROWS($GW$3:GW58),$GU$3:$GU$400,0),2),""))</f>
        <v/>
      </c>
      <c r="GX58" s="259">
        <f ca="1">IF(OR(GN58="IVA NS/CREDITO",GN58="IVA NS/DEBITO",GN58="IVA C/ACCONTO",GN58="IMPOSTE C/ACCONTO"),MAX($GX$2:GX57)+1,0)</f>
        <v>0</v>
      </c>
      <c r="GY58" s="259" t="str">
        <f ca="1">IF(AND(IFERROR(INDEX($GN$3:$GX$200,MATCH(ROWS($GY$3:GY58),$GX$3:$GX$200,0),1),"")&lt;&gt;"",GY59&lt;&gt;""),CONCATENATE(IFERROR(INDEX($GN$3:$GX$200,MATCH(ROWS($GY$3:GY58),$GX$3:$GX$200,0),1),"")," - "),IFERROR(INDEX($GN$3:$GX$200,MATCH(ROWS($GY$3:GY58),$GX$3:$GX$200,0),1),""))</f>
        <v/>
      </c>
      <c r="GZ58" s="259" t="s">
        <v>634</v>
      </c>
      <c r="HA58" s="259" t="s">
        <v>74</v>
      </c>
      <c r="HB58" s="269" t="s">
        <v>257</v>
      </c>
      <c r="HC58" s="269" t="s">
        <v>276</v>
      </c>
      <c r="HD58" s="269" t="s">
        <v>73</v>
      </c>
      <c r="HE58" s="269" t="s">
        <v>206</v>
      </c>
      <c r="HG58" s="270"/>
      <c r="HL58" s="259" t="str">
        <f t="shared" ca="1" si="157"/>
        <v/>
      </c>
      <c r="HM58" s="259" t="str">
        <f t="shared" ca="1" si="158"/>
        <v/>
      </c>
      <c r="HN58" s="259" t="str">
        <f t="shared" ca="1" si="159"/>
        <v/>
      </c>
      <c r="HO58" s="259">
        <f ca="1">IF(HL58&lt;&gt;"",MAX($HO$2:HO57)+1,0)</f>
        <v>0</v>
      </c>
      <c r="HP58" s="259">
        <f ca="1">IF(HM58&lt;&gt;"",MAX($HP$2:HP57)+1,0)</f>
        <v>0</v>
      </c>
      <c r="HQ58" s="259">
        <f ca="1">IF(HN58&lt;&gt;"",MAX($HQ$2:HQ57)+1,0)</f>
        <v>0</v>
      </c>
      <c r="HR58" s="259" t="str">
        <f t="shared" ca="1" si="107"/>
        <v/>
      </c>
      <c r="HS58" s="259" t="str">
        <f t="shared" ca="1" si="108"/>
        <v/>
      </c>
      <c r="HT58" s="259">
        <f t="shared" ca="1" si="109"/>
        <v>0</v>
      </c>
      <c r="HU58" s="259">
        <f t="shared" ca="1" si="110"/>
        <v>0</v>
      </c>
      <c r="HV58" s="259" t="str">
        <f ca="1">CONCATENATE(IFERROR(INDEX($HS$3:$HT$102,MATCH(ROWS($HV$3:HV58),$HT$3:$HT$102,0),1),""),HR58)</f>
        <v/>
      </c>
      <c r="IA58" s="259" t="s">
        <v>378</v>
      </c>
      <c r="IB58" s="259" t="s">
        <v>489</v>
      </c>
      <c r="IC58" s="259">
        <f ca="1">IFERROR(INDEX(PIANO_DEI_CONTI,MATCH(ROWS(DL$3:DL58),$DK$3:DK285,0),2),0)</f>
        <v>0</v>
      </c>
      <c r="ID58" s="259">
        <f t="shared" ca="1" si="111"/>
        <v>0</v>
      </c>
      <c r="IE58" s="259">
        <f t="shared" ca="1" si="112"/>
        <v>0</v>
      </c>
      <c r="IF58" s="259">
        <f t="shared" ca="1" si="113"/>
        <v>0</v>
      </c>
      <c r="IG58" s="259">
        <f t="shared" ca="1" si="171"/>
        <v>0</v>
      </c>
      <c r="IH58" s="259">
        <f ca="1">IF(IG58&lt;&gt;0,MAX($IH$35:IH57)+1,0)</f>
        <v>0</v>
      </c>
      <c r="II58" s="259">
        <f>IF(AD58="costi pluriennali",MAX($II$2:II57)+1,0)</f>
        <v>0</v>
      </c>
      <c r="IJ58" s="259">
        <f>IF($AD58="rettifiche costi pluriennali",MAX($IJ$2:IJ57)+1,0)</f>
        <v>0</v>
      </c>
      <c r="IK58" s="259">
        <f t="shared" si="114"/>
        <v>0</v>
      </c>
      <c r="IL58" s="259" t="str">
        <f t="shared" si="115"/>
        <v/>
      </c>
      <c r="IM58" s="259">
        <f t="shared" ca="1" si="116"/>
        <v>0</v>
      </c>
      <c r="IN58" s="259">
        <f t="shared" ca="1" si="141"/>
        <v>0</v>
      </c>
      <c r="IO58" s="259">
        <f>SUMIFS($IM$3:$IM$200,$IK$3:$IK$200,ROWS($IO$3:IO58))-SUMIFS($IN$3:$IN$200,$IK$3:$IK$200,ROWS($IO$3:IO58))</f>
        <v>0</v>
      </c>
      <c r="IP58" s="259" t="str">
        <f>IF(IO58&lt;0,INDEX($IJ$3:$IL$200,MATCH(ROWS($IP$3:IP58),$IJ$3:$IJ$200,0),3),"")</f>
        <v/>
      </c>
      <c r="IQ58" s="259">
        <f>IF(IP58&lt;&gt;"",MAX($IQ$2:IQ57)+1,0)</f>
        <v>0</v>
      </c>
      <c r="IR58" s="259" t="str">
        <f ca="1">IFERROR(INDEX($IP$3:$IQ$200,MATCH(ROWS($IR$3:IR58),$IQ$3:$IQ$200,0),1),"")</f>
        <v/>
      </c>
      <c r="IS58" s="259" t="str">
        <f t="shared" ca="1" si="117"/>
        <v/>
      </c>
      <c r="IT58" s="259" t="str">
        <f t="shared" ca="1" si="118"/>
        <v/>
      </c>
      <c r="IU58" s="259" t="str">
        <f t="shared" ca="1" si="119"/>
        <v/>
      </c>
      <c r="IV58" s="259" t="str">
        <f t="shared" ca="1" si="120"/>
        <v/>
      </c>
      <c r="IW58" s="259" t="str">
        <f t="shared" ca="1" si="121"/>
        <v/>
      </c>
      <c r="IX58" s="259" t="str">
        <f t="shared" ca="1" si="122"/>
        <v/>
      </c>
      <c r="IY58" s="259" t="str">
        <f t="shared" ca="1" si="123"/>
        <v/>
      </c>
      <c r="IZ58" s="259" t="str">
        <f t="shared" ca="1" si="124"/>
        <v/>
      </c>
      <c r="JA58" s="259" t="str">
        <f t="shared" ca="1" si="125"/>
        <v/>
      </c>
      <c r="JB58" s="259">
        <f t="shared" ca="1" si="32"/>
        <v>0</v>
      </c>
      <c r="JC58" s="259">
        <f t="shared" ca="1" si="126"/>
        <v>0</v>
      </c>
      <c r="JE58" s="259">
        <f ca="1">IFERROR(INDEX(LIBRO_GIORNALE!$N$11:$O$408,MATCH(ROWS($JE$2:JE57),LIBRO_GIORNALE!$O$11:$O$408,0),1),0)</f>
        <v>0</v>
      </c>
      <c r="JF58" s="259" t="str">
        <f t="shared" ca="1" si="127"/>
        <v>0</v>
      </c>
      <c r="JG58" s="259">
        <f t="shared" ca="1" si="128"/>
        <v>0</v>
      </c>
      <c r="JH58" s="259">
        <f ca="1">IF(JJ58&gt;0,0,MAX($JH$2:JH57)+1)</f>
        <v>56</v>
      </c>
      <c r="JI58" s="259">
        <f ca="1">IF(JG58&gt;0,MAX($JI$2:JI57)+1,0)</f>
        <v>0</v>
      </c>
      <c r="JJ58" s="259">
        <f ca="1">IFERROR(INDEX($JG$3:$JI$124,MATCH(ROWS($JJ$3:JJ58),$JI$3:$JI$124,0),1),0)</f>
        <v>0</v>
      </c>
      <c r="JK58" s="259">
        <f t="shared" ca="1" si="129"/>
        <v>0</v>
      </c>
      <c r="JL58" s="259">
        <f t="shared" ca="1" si="130"/>
        <v>56</v>
      </c>
    </row>
    <row r="59" spans="1:272">
      <c r="A59" s="259" t="str">
        <f t="shared" si="33"/>
        <v>08.10</v>
      </c>
      <c r="B59" s="259" t="str">
        <f t="shared" si="34"/>
        <v>ASSEGNI</v>
      </c>
      <c r="C59" s="259" t="str">
        <f t="shared" si="35"/>
        <v>F</v>
      </c>
      <c r="D59" s="259" t="str">
        <f t="shared" si="36"/>
        <v>D</v>
      </c>
      <c r="E59" s="259" t="str">
        <f t="shared" si="37"/>
        <v>DISPONIBILITÀ LIQUIDE</v>
      </c>
      <c r="F59" s="259" t="str">
        <f t="shared" si="38"/>
        <v>SP DARE</v>
      </c>
      <c r="G59" s="259">
        <f t="shared" ca="1" si="39"/>
        <v>1</v>
      </c>
      <c r="H59" s="259">
        <f t="shared" ca="1" si="40"/>
        <v>1</v>
      </c>
      <c r="I59" s="259">
        <f t="shared" ca="1" si="41"/>
        <v>1</v>
      </c>
      <c r="K59" s="259" t="str">
        <f ca="1">IFERROR(IF($I$1=1,INDEX($AA$3:$AS$220,MATCH(ROWS($K$3:K59),$AQ$3:$AQ$220,0),1),IF($I$1=2,INDEX($AA$3:$AS$220,MATCH(ROWS($K$3:K59),$AR$3:$AR$220,0),1),IF($I$1=3,INDEX($AA$3:$AS$220,MATCH(ROWS($K$3:K59),$AS$3:$AS$220,0),1),""))),"")</f>
        <v>TITOLARE C/RITENUTE SUBITE</v>
      </c>
      <c r="L59" s="259">
        <f ca="1">IF(AND($L$1="VISUALIZZA TUTTI I CONTI",K59&lt;&gt;""),MAX(L58:L58)+1,IFERROR(IF($J$1=1,IF(INDEX(PIANO_DEI_CONTI,MATCH($K59,DENOMINAZIONE,0),5)=$L$1,MAX($L$2:L58)+1,0),IF($J$1=2,IF(INDEX(PIANO_DEI_CONTI,MATCH($K59,DENOMINAZIONE,0),7)=$L$1,MAX($L$2:L58)+1,0))),0))</f>
        <v>57</v>
      </c>
      <c r="M59" s="259" t="str">
        <f ca="1">IFERROR(INDEX($K$3:$K$220,MATCH(ROWS($M$3:M59),$L$3:$L$220,0),1),"")</f>
        <v>TITOLARE C/RITENUTE SUBITE</v>
      </c>
      <c r="N59" s="259" t="str">
        <f t="shared" si="143"/>
        <v/>
      </c>
      <c r="O59" s="259" t="str">
        <f t="shared" ca="1" si="170"/>
        <v/>
      </c>
      <c r="P59" s="259">
        <f ca="1">IF(AND(N59=O59,O59&lt;&gt;""),MAX(P$2:P58)+1,0)</f>
        <v>0</v>
      </c>
      <c r="Q59" s="259" t="str">
        <f ca="1">IF(IFERROR(INDEX($O$3:$P$220,MATCH(ROWS(Q$3:Q59),$P$3:$P$220,0),1),"")=0,"",IFERROR(INDEX($O$3:$P$220,MATCH(ROWS(Q$3:Q59),$P$3:$P$220,0),1),""))</f>
        <v/>
      </c>
      <c r="R59" s="259" t="str">
        <f t="shared" si="1"/>
        <v>TITOLARE C/RITENUTE SUBITE</v>
      </c>
      <c r="S59" s="259">
        <f ca="1">IF(IFERROR(MATCH(R59,DENOMINAZIONE_GIORNALE,0),0)&gt;0,MAX(S$2:S58)+1,0)</f>
        <v>0</v>
      </c>
      <c r="T59" s="259" t="str">
        <f ca="1">IFERROR(INDEX($R$3:$S$220,MATCH(ROWS($T$3:T59),$S$3:$S$220,0),1),"")</f>
        <v/>
      </c>
      <c r="U59" s="259">
        <f t="shared" ca="1" si="2"/>
        <v>0</v>
      </c>
      <c r="V59" s="259">
        <f ca="1">IF(IF(U59&lt;&gt;0,MAX($V$2:V58)+1,0)=0,0,IF(U59&lt;&gt;0,MAX($V$2:V58)+1,0))</f>
        <v>0</v>
      </c>
      <c r="W59" s="259" t="str">
        <f t="shared" si="43"/>
        <v>08.10</v>
      </c>
      <c r="X59" s="259" t="str">
        <f t="shared" si="44"/>
        <v>ASSEGNI</v>
      </c>
      <c r="Y59" s="259">
        <f>IF(W59="",0,MAX($Y$2:Y58)+1)</f>
        <v>50</v>
      </c>
      <c r="Z59" s="259" t="str">
        <f>IFERROR(INDEX($W$3:$Y$220,MATCH(ROWS($Z$2:Z58),$Y$3:$Y$220,0),1),"")</f>
        <v>10.03</v>
      </c>
      <c r="AA59" s="259" t="str">
        <f t="shared" si="45"/>
        <v>TITOLARE C/RITENUTE SUBITE</v>
      </c>
      <c r="AB59" s="259" t="str">
        <f t="shared" si="46"/>
        <v>E</v>
      </c>
      <c r="AC59" s="259" t="str">
        <f t="shared" si="47"/>
        <v>D</v>
      </c>
      <c r="AD59" s="259" t="str">
        <f t="shared" si="48"/>
        <v>PATRIMONIO NETTO</v>
      </c>
      <c r="AE59" s="259" t="str">
        <f t="shared" si="49"/>
        <v>SP DARE</v>
      </c>
      <c r="AF59" s="259" t="str">
        <f t="shared" si="50"/>
        <v>PATRIMONIO NETTO</v>
      </c>
      <c r="AG59" s="259">
        <f t="shared" ca="1" si="51"/>
        <v>0</v>
      </c>
      <c r="AH59" s="259">
        <f t="shared" ca="1" si="52"/>
        <v>1</v>
      </c>
      <c r="AI59" s="259">
        <f t="shared" ca="1" si="53"/>
        <v>1</v>
      </c>
      <c r="AJ59" s="259" t="str">
        <f t="shared" si="54"/>
        <v>10</v>
      </c>
      <c r="AK59" s="259" t="str">
        <f t="shared" si="55"/>
        <v/>
      </c>
      <c r="AL59" s="259">
        <f>IF(AK59&lt;&gt;"",MAX($AL$2:AL58)+1,0)</f>
        <v>0</v>
      </c>
      <c r="AM59" s="259" t="str">
        <f>IFERROR(INDEX($AK$3:$AL$220,MATCH(ROWS($AM$3:AM59),$AL$3:$AL$220,0),1),"")</f>
        <v/>
      </c>
      <c r="AN59" s="259" t="str">
        <f t="shared" si="56"/>
        <v/>
      </c>
      <c r="AO59" s="259" t="str">
        <f t="shared" si="57"/>
        <v/>
      </c>
      <c r="AP59" s="259" t="str">
        <f t="shared" si="58"/>
        <v>PATRIMONIO NETTO</v>
      </c>
      <c r="AQ59" s="259">
        <f ca="1">IF(OR(AG59=0,AG59=""),0,MAX(AQ$2:AQ58)+1)</f>
        <v>0</v>
      </c>
      <c r="AR59" s="259">
        <f ca="1">IF(OR(AH59=0,AH59=""),0,MAX(AR$2:AR58)+1)</f>
        <v>46</v>
      </c>
      <c r="AS59" s="259">
        <f ca="1">IF(OR(AI59=0,AI59=""),0,MAX(AS$2:AS58)+1)</f>
        <v>57</v>
      </c>
      <c r="AT59" s="259" t="str">
        <f ca="1">IFERROR(INDEX($AD$3:$AS$220,MATCH(ROWS(AT$3:AT59),AQ$3:AQ$220,0),1),"")</f>
        <v>COSTI D'ESERCIZIO</v>
      </c>
      <c r="AU59" s="259" t="str">
        <f ca="1">IFERROR(INDEX($AD$3:$AS$220,MATCH(ROWS(AU$3:AU59),AR$3:AR$220,0),1),"")</f>
        <v>DEBITI</v>
      </c>
      <c r="AV59" s="259" t="str">
        <f ca="1">IFERROR(INDEX($AD$3:$AS$220,MATCH(ROWS(AV$3:AV59),AS$3:AS$220,0),1),"")</f>
        <v>PATRIMONIO NETTO</v>
      </c>
      <c r="AW59" s="259" t="str">
        <f ca="1">IFERROR(INDEX($AP$3:$AS$220,MATCH(ROWS(AW$3:AW59),AQ$3:AQ$220,0),1),"")</f>
        <v>COSTI PER MERCI E MATERIE DI CONSUMO</v>
      </c>
      <c r="AX59" s="259" t="str">
        <f ca="1">IFERROR(INDEX($AP$3:$AS$220,MATCH(ROWS(AX$3:AX59),AR$3:AR$220,0),1),"")</f>
        <v>DEBITI DIVERSI</v>
      </c>
      <c r="AY59" s="259" t="str">
        <f ca="1">IFERROR(INDEX($AP$3:$AS$220,MATCH(ROWS(AY$3:AY59),AS$3:AS$220,0),1),"")</f>
        <v>PATRIMONIO NETTO</v>
      </c>
      <c r="AZ59" s="276" t="str">
        <f t="shared" ca="1" si="59"/>
        <v/>
      </c>
      <c r="BA59" s="259">
        <f t="shared" ca="1" si="153"/>
        <v>0</v>
      </c>
      <c r="BB59" s="259">
        <f ca="1">IFERROR(INDEX($FG$3:$FL$400,MATCH(ROWS($BB$3:BB59),$FL$3:$FL$400,0),1),0)</f>
        <v>0</v>
      </c>
      <c r="BC59" s="259" t="str">
        <f t="shared" ca="1" si="60"/>
        <v/>
      </c>
      <c r="BD59" s="259">
        <f ca="1">IFERROR(INDEX($FG$3:$FL$400,MATCH(ROWS($BD$3:BD59),$FL$3:$FL$400,0),4),0)</f>
        <v>0</v>
      </c>
      <c r="BE59" s="259">
        <f ca="1">IFERROR(INDEX($FG$3:$FL$400,MATCH(ROWS($BE$3:BE59),$FL$3:$FL$400,0),5),0)</f>
        <v>0</v>
      </c>
      <c r="BG59" s="259" t="str">
        <f t="shared" si="4"/>
        <v/>
      </c>
      <c r="BH59" s="259">
        <f ca="1">IF(IFERROR(MATCH(BG59,DENOMINAZIONE_GIORNALE,0),0)&gt;0,MAX(BH$2:BH58)+1,0)</f>
        <v>0</v>
      </c>
      <c r="BI59" s="259" t="str">
        <f ca="1">IFERROR(INDEX($BG$3:$BH$220,MATCH(ROWS($BI$3:BI59),$BH$3:$BH$220,0),1),"")</f>
        <v/>
      </c>
      <c r="BJ59" s="259" t="str">
        <f t="shared" ca="1" si="5"/>
        <v/>
      </c>
      <c r="BK59" s="259" t="str">
        <f ca="1">IF(IF(BJ59&lt;&gt;"",MAX($BK$2:BK58)+1,0)=0,"",IF(BJ59&lt;&gt;"",MAX($BK$2:BK58)+1,0))</f>
        <v/>
      </c>
      <c r="BL59" s="259" t="str">
        <f ca="1">IFERROR(INDEX($T$3:$U$220, MATCH(ROWS(BL$3:BL59),$V$3:$V$220,0),1),"")</f>
        <v/>
      </c>
      <c r="BM59" s="259" t="str">
        <f ca="1">IFERROR(INDEX($T$3:$U$220, MATCH(ROWS(BM$3:BM59),$V$3:$V$220,0),2),"")</f>
        <v/>
      </c>
      <c r="BN59" s="259" t="str">
        <f ca="1">IF(IFERROR(INDEX($BI$3:$BJ$220,MATCH(ROWS(BN$3:BN59),$BK$3:$BK$220,0),1),"")="PATRIMONIO NETTO","",IFERROR(INDEX($BI$3:$BJ$220,MATCH(ROWS(BN$3:BN59),$BK$3:$BK$220,0),1),""))</f>
        <v/>
      </c>
      <c r="BO59" s="259" t="str">
        <f ca="1">IFERROR(INDEX($BI$3:$BJ$220,MATCH(ROWS(BO$3:BO59),$BK$3:$BK$220,0),2),"")</f>
        <v/>
      </c>
      <c r="BP59" s="259">
        <f ca="1">IF(BN59&lt;&gt;"",MAX(BP$2:$BP58)+1,0)</f>
        <v>0</v>
      </c>
      <c r="BQ59" s="259" t="str">
        <f ca="1">IFERROR(INDEX($BN$3:$BO$200,MATCH(ROWS(BQ$3:BQ59),$BP$3:$BP$220,0),1),"")</f>
        <v/>
      </c>
      <c r="BR59" s="259" t="str">
        <f ca="1">IFERROR(INDEX($BN$3:$BO$220,MATCH(ROWS(BR$3:BR59),$BP$3:$BP$220,0),2),"")</f>
        <v/>
      </c>
      <c r="BS59" s="259" t="str">
        <f ca="1">IFERROR(IF(OR(INDEX($T$3:$U$220,MATCH(ROWS(BL$3:BL59),$V$3:$V$220,0),1)="PRELEVAMENTI EXTRAGESTIONE",INDEX($T$3:$U$220,MATCH(ROWS(BL$3:BL59),$V$3:$V$220,0),1)="TITOLARE C/RITENUTE SUBITE"),"",INDEX($T$3:$U$220,MATCH(ROWS(BL$3:BL59),$V$3:$V$220,0),1)),"")</f>
        <v/>
      </c>
      <c r="BT59" s="259">
        <f t="shared" ca="1" si="61"/>
        <v>0</v>
      </c>
      <c r="BU59" s="259">
        <f ca="1">IF(BS59&lt;&gt;"",MAX(BU$2:BU58)+1,0)</f>
        <v>0</v>
      </c>
      <c r="BV59" s="259" t="str">
        <f ca="1">IFERROR(INDEX($BS$3:$BT$223,MATCH(ROWS(BV$3:BV59),$BU$3:$BU$223,0),1),"")</f>
        <v/>
      </c>
      <c r="BW59" s="259">
        <f t="shared" ca="1" si="62"/>
        <v>0</v>
      </c>
      <c r="BX59" s="259" t="str">
        <f t="shared" ca="1" si="63"/>
        <v/>
      </c>
      <c r="BY59" s="259" t="str">
        <f t="shared" ca="1" si="64"/>
        <v/>
      </c>
      <c r="BZ59" s="259" t="str">
        <f ca="1">IFERROR(IF(OR($DS$231&lt;&gt;$DT$231,$DU$231&lt;&gt;$DV$231,$EO$25&lt;&gt;0,$EO$26&lt;&gt;0),INDEX($T$3:$V$220,MATCH(ROWS($BV$3:BV59),$V$3:$V$220,0),1),CONCATENATE(BV59,BY59)),"")</f>
        <v/>
      </c>
      <c r="CA59" s="259">
        <f t="shared" ca="1" si="65"/>
        <v>0</v>
      </c>
      <c r="CB59" s="259" t="str">
        <f ca="1">IFERROR(IF(OR($BB$1&lt;&gt;$BD$1,$BC$1&lt;&gt;$BE$1,$DS$231&lt;&gt;$DT$231,$DU$231&lt;&gt;$DV$231,$EO$25&lt;&gt;0,$EO$26&lt;&gt;0),INDEX($BI$3:$BK$220,MATCH(ROWS($CB$3:CB59),$BK$3:$BK$220,0),1),CONCATENATE(BQ59,BX59)),"")</f>
        <v/>
      </c>
      <c r="CC59" s="259" t="str">
        <f t="shared" ca="1" si="66"/>
        <v/>
      </c>
      <c r="CD59" s="259" t="str">
        <f t="shared" si="6"/>
        <v/>
      </c>
      <c r="CE59" s="259">
        <f ca="1">IF(IFERROR(MATCH(CD59,DENOMINAZIONE_GIORNALE,0),0)&gt;0,MAX(CE$2:CE58)+1,0)</f>
        <v>0</v>
      </c>
      <c r="CF59" s="259" t="str">
        <f ca="1">IFERROR(INDEX($CD$3:$CE$220,MATCH(ROWS($CF$3:CF59),$CE$3:$CE$220,0),1),"")</f>
        <v/>
      </c>
      <c r="CG59" s="259">
        <f t="shared" ca="1" si="7"/>
        <v>0</v>
      </c>
      <c r="CH59" s="259" t="str">
        <f ca="1">IF(IF(CG59&lt;&gt;0,MAX($CH$2:CH58)+1,0)=0,"",IF(CG59&lt;&gt;"",MAX($CH$2:CH58)+1,0))</f>
        <v/>
      </c>
      <c r="CI59" s="259" t="str">
        <f ca="1">IFERROR(INDEX($CF$3:$CG$220,MATCH(ROWS($CI$3:CI59),$CH$3:$CH$220,0),1),"")</f>
        <v/>
      </c>
      <c r="CJ59" s="259" t="str">
        <f t="shared" ca="1" si="67"/>
        <v/>
      </c>
      <c r="CK59" s="259" t="str">
        <f t="shared" si="8"/>
        <v/>
      </c>
      <c r="CL59" s="259">
        <f ca="1">IF(IFERROR(MATCH(CK59,DENOMINAZIONE_GIORNALE,0),0)&gt;0,MAX(CL$2:CL58)+1,0)</f>
        <v>0</v>
      </c>
      <c r="CM59" s="259" t="str">
        <f ca="1">IFERROR(INDEX($CK$3:$CL$220,MATCH(ROWS($CM$3:CM59),$CL$3:$CL$220,0),1),"")</f>
        <v/>
      </c>
      <c r="CN59" s="259" t="str">
        <f t="shared" ca="1" si="9"/>
        <v/>
      </c>
      <c r="CO59" s="259">
        <f ca="1">IF(IF(CN59&lt;&gt;0,MAX($CO$2:CO58)+1,0)=0,"",IF(CN59&lt;&gt;"",MAX($CO$2:CO58)+1,0))</f>
        <v>0</v>
      </c>
      <c r="CP59" s="259" t="str">
        <f ca="1">IFERROR(INDEX($CM$3:$CN$220,MATCH(ROWS(CP$3:CP59),$CO$3:$CO$220,0),1),"")</f>
        <v/>
      </c>
      <c r="CQ59" s="259" t="str">
        <f ca="1">IFERROR(INDEX($CM$3:$CN$220,MATCH(ROWS(CQ$3:CQ59),$CO$3:$CO$220,0),2),"")</f>
        <v/>
      </c>
      <c r="CR59" s="259" t="str">
        <f t="shared" ca="1" si="154"/>
        <v/>
      </c>
      <c r="CS59" s="259">
        <f t="shared" ca="1" si="11"/>
        <v>0</v>
      </c>
      <c r="CT59" s="259">
        <f t="shared" ca="1" si="12"/>
        <v>0</v>
      </c>
      <c r="CU59" s="259">
        <f ca="1">IF(OR(CS59&gt;0,CT59&gt;0),MAX($CU$2:CU58)+1,0)</f>
        <v>0</v>
      </c>
      <c r="CV59" s="259" t="str">
        <f ca="1">IFERROR(INDEX(PIANO_DEI_CONTI,MATCH(ROWS($CV$3:CV59),$CU$3:$CU$200,0),2),"")</f>
        <v/>
      </c>
      <c r="CW59" s="259">
        <f ca="1">IFERROR(IF(CV59&lt;&gt;"",MAX($CW$2:CW58)+1,0),0)</f>
        <v>0</v>
      </c>
      <c r="CX59" s="259">
        <f t="shared" ca="1" si="174"/>
        <v>4</v>
      </c>
      <c r="CY59" s="259" t="str">
        <f t="shared" ca="1" si="161"/>
        <v>MASTRO</v>
      </c>
      <c r="CZ59" s="259" t="e">
        <f t="shared" ref="CZ59:CZ73" ca="1" si="176">SUM(MATCH($CY59,INDIRECT(ADDRESS(SUM(CZ58)+3,54)&amp;":"&amp;ADDRESS(400,54)),0),CZ58)</f>
        <v>#N/A</v>
      </c>
      <c r="DA59" s="259" t="str">
        <f ca="1">IFERROR(INDEX(LIBRO_GIORNALE,CZ59,1),"")</f>
        <v/>
      </c>
      <c r="DB59" s="259" t="str">
        <f t="shared" ref="DB59:DB73" ca="1" si="177">IF(RIGHT(TEXT(IFERROR(INDEX(LIBRO_GIORNALE,CZ59,2),""),"gg/mm/aa"),1)="a",TEXT(IFERROR(INDEX(LIBRO_GIORNALE,CZ59,2),""),"dd/mm/yy"),TEXT(IFERROR(INDEX(LIBRO_GIORNALE,CZ59,2),""),"gg/mm/aa"))</f>
        <v/>
      </c>
      <c r="DC59" s="259" t="str">
        <f t="shared" ref="DC59:DC73" ca="1" si="178">IF(IFERROR(INDEX(LIBRO_GIORNALE,CZ59,4),"")=0,"manca la descrizione dell'operazione",IFERROR(INDEX(LIBRO_GIORNALE,CZ59,4),""))</f>
        <v/>
      </c>
      <c r="DD59" s="259" t="str">
        <f t="shared" ref="DD59:DD73" ca="1" si="179">IFERROR(IF(INDEX(LIBRO_GIORNALE,CZ59,5)&gt;0,INDEX(LIBRO_GIORNALE,CZ59,5),""),"")</f>
        <v/>
      </c>
      <c r="DE59" s="259" t="str">
        <f t="shared" ref="DE59:DE73" ca="1" si="180">IFERROR(IF(INDEX(LIBRO_GIORNALE,CZ59,6)&gt;0,INDEX(LIBRO_GIORNALE,CZ59,6),""),"")</f>
        <v/>
      </c>
      <c r="DF59" s="259">
        <f ca="1">IF(AND(CX59=$DE$2,$DF$2&lt;&gt;0),0,IF(AND(DB59&lt;&gt;"",OR(DB58&lt;&gt;"",DB60&lt;&gt;"")),MAX($DF$2:DF58)+1,0))</f>
        <v>0</v>
      </c>
      <c r="DG59" s="259" t="str">
        <f>IF(OR(VALORI_INIZIALI!E64="",AND(VALORI_INIZIALI!E64&lt;&gt;"",VALORI_INIZIALI!H64=0,VALORI_INIZIALI!I64=0)),"",IFERROR(INDEX(PIANO_DEI_CONTI,MATCH(BB59,DENOMINAZIONE,0),1),0))</f>
        <v/>
      </c>
      <c r="DH59" s="259">
        <f ca="1">IFERROR(IF($J$1=1,IF(INDEX(PIANO_DEI_CONTI,MATCH($K59,DENOMINAZIONE,0),5)=$DF$1,MAX($DH$2:DH58)+1,0),IF($J$1=2,IF(INDEX(PIANO_DEI_CONTI,MATCH($K59,DENOMINAZIONE,0),7)=$DF$1,MAX($DH$2:DH58)+1,0))),0)</f>
        <v>0</v>
      </c>
      <c r="DI59" s="259">
        <f ca="1">IFERROR(INDEX($K$3:$K$220,MATCH(ROWS($DI$3:DI59),$DH$3:$DH$220,0),1),0)</f>
        <v>0</v>
      </c>
      <c r="DJ59" s="259">
        <f t="shared" ca="1" si="14"/>
        <v>0</v>
      </c>
      <c r="DK59" s="259">
        <f ca="1">IF(DJ59=0,0,MAX(DK$2:DK58)+1)</f>
        <v>0</v>
      </c>
      <c r="DL59" s="259">
        <f ca="1">IFERROR(INDEX(PIANO_DEI_CONTI,MATCH(ROWS(DL$3:DL59),$DK$3:DK286,0),2),0)</f>
        <v>0</v>
      </c>
      <c r="DM59" s="259">
        <f t="shared" ca="1" si="15"/>
        <v>0</v>
      </c>
      <c r="DN59" s="259">
        <f t="shared" ca="1" si="16"/>
        <v>0</v>
      </c>
      <c r="DO59" s="259">
        <f t="shared" ca="1" si="69"/>
        <v>0</v>
      </c>
      <c r="DP59" s="259">
        <f t="shared" ca="1" si="70"/>
        <v>0</v>
      </c>
      <c r="DQ59" s="259">
        <f ca="1">IF(OR($DQ$1="TOTALI",$DQ$1="TOTALI ED ECCEDENZE"),IF(OR(DM59&gt;0,DN59&gt;0),MAX(DQ$2:DQ58)+1,0),IF($DQ$1="ECCEDENZE",IF(OR(DO59&gt;0,DP59&gt;0),MAX(DQ$2:DQ58)+1,0),""))</f>
        <v>0</v>
      </c>
      <c r="DR59" s="259" t="str">
        <f ca="1">IFERROR(INDEX($DL$3:$DQ$230,MATCH(ROWS(DR$3:DR59),$DQ$3:$DQ$230,0),1),"")</f>
        <v/>
      </c>
      <c r="DS59" s="259" t="str">
        <f t="shared" ca="1" si="71"/>
        <v/>
      </c>
      <c r="DT59" s="259" t="str">
        <f t="shared" ca="1" si="72"/>
        <v/>
      </c>
      <c r="DU59" s="259" t="str">
        <f t="shared" ca="1" si="73"/>
        <v/>
      </c>
      <c r="DV59" s="259" t="str">
        <f t="shared" ca="1" si="74"/>
        <v/>
      </c>
      <c r="DW59" s="259">
        <f t="shared" ca="1" si="75"/>
        <v>0</v>
      </c>
      <c r="DX59" s="259" t="str">
        <f t="shared" ca="1" si="76"/>
        <v/>
      </c>
      <c r="DY59" s="259" t="str">
        <f t="shared" ca="1" si="77"/>
        <v/>
      </c>
      <c r="DZ59" s="259" t="str">
        <f t="shared" ca="1" si="78"/>
        <v/>
      </c>
      <c r="EA59" s="259">
        <f t="shared" ca="1" si="79"/>
        <v>57</v>
      </c>
      <c r="EB59" s="259" t="s">
        <v>356</v>
      </c>
      <c r="ED59" s="259">
        <f t="shared" ca="1" si="17"/>
        <v>0</v>
      </c>
      <c r="EE59" s="259" t="str">
        <f t="shared" ca="1" si="155"/>
        <v/>
      </c>
      <c r="EF59" s="259" t="str">
        <f t="shared" ca="1" si="19"/>
        <v/>
      </c>
      <c r="EG59" s="259" t="str">
        <f t="shared" ca="1" si="136"/>
        <v/>
      </c>
      <c r="EH59" s="259" t="str">
        <f t="shared" ca="1" si="80"/>
        <v/>
      </c>
      <c r="EI59" s="260" t="b">
        <f t="shared" ca="1" si="137"/>
        <v>1</v>
      </c>
      <c r="EJ59" s="260" t="b">
        <f t="shared" ca="1" si="138"/>
        <v>1</v>
      </c>
      <c r="EK59" s="260" t="b">
        <f t="shared" ca="1" si="139"/>
        <v>1</v>
      </c>
      <c r="EL59" s="259">
        <f t="shared" si="81"/>
        <v>57</v>
      </c>
      <c r="EM59" s="259">
        <f ca="1">IF(AND(BA59&gt;0,BA59&lt;=$EM$1),MAX($EM$2:EM58)+1,0)</f>
        <v>0</v>
      </c>
      <c r="EN59" s="259">
        <f t="shared" ca="1" si="82"/>
        <v>59</v>
      </c>
      <c r="EP59" s="259" t="str">
        <f t="shared" ca="1" si="20"/>
        <v/>
      </c>
      <c r="EQ59" s="259">
        <f t="shared" ca="1" si="21"/>
        <v>0</v>
      </c>
      <c r="ER59" s="259">
        <f ca="1">IF(ISNA(EQ59),MAX(ER$2:ER58)+1,0)</f>
        <v>0</v>
      </c>
      <c r="ES59" s="259" t="str">
        <f t="shared" ca="1" si="83"/>
        <v/>
      </c>
      <c r="ET59" s="259" t="str">
        <f ca="1">IFERROR(UPPER(INDEX($ER$3:$ES$500,MATCH(ROWS(ET$3:ET59),$ER$3:$ER$500,0),2)),"")</f>
        <v/>
      </c>
      <c r="EY59" s="259">
        <f t="shared" ca="1" si="84"/>
        <v>0</v>
      </c>
      <c r="EZ59" s="259">
        <f t="shared" ca="1" si="84"/>
        <v>0</v>
      </c>
      <c r="FA59" s="259" t="str">
        <f t="shared" ca="1" si="85"/>
        <v/>
      </c>
      <c r="FB59" s="259">
        <f t="shared" ca="1" si="86"/>
        <v>0</v>
      </c>
      <c r="FC59" s="259">
        <f t="shared" ca="1" si="87"/>
        <v>0</v>
      </c>
      <c r="FD59" s="259">
        <f t="shared" ca="1" si="22"/>
        <v>0</v>
      </c>
      <c r="FE59" s="259" t="str">
        <f t="shared" ca="1" si="23"/>
        <v/>
      </c>
      <c r="FF59" s="259" t="str">
        <f t="shared" ca="1" si="88"/>
        <v/>
      </c>
      <c r="FG59" s="259" t="str">
        <f t="shared" si="89"/>
        <v/>
      </c>
      <c r="FH59" s="259">
        <f t="shared" ca="1" si="156"/>
        <v>0</v>
      </c>
      <c r="FI59" s="259">
        <f t="shared" ca="1" si="25"/>
        <v>0</v>
      </c>
      <c r="FJ59" s="259">
        <f t="shared" ca="1" si="90"/>
        <v>0</v>
      </c>
      <c r="FK59" s="259">
        <f t="shared" ca="1" si="91"/>
        <v>0</v>
      </c>
      <c r="FL59" s="259">
        <f ca="1">IF(OR(FJ59&gt;0,FK59&gt;0),MAX($FL$2:FL58)+1,0)</f>
        <v>0</v>
      </c>
      <c r="FM59" s="259">
        <f t="shared" ca="1" si="26"/>
        <v>0</v>
      </c>
      <c r="FN59" s="259">
        <f ca="1">IF(FM59&lt;0,MAX($FN$2:FN58)+1,0)</f>
        <v>0</v>
      </c>
      <c r="FO59" s="259" t="str">
        <f t="shared" ca="1" si="92"/>
        <v/>
      </c>
      <c r="FP59" s="259" t="str">
        <f ca="1">IFERROR(INDEX($FN$3:$FO$400,MATCH(ROWS($FP$3:FP59),$FN$3:$FN$400,0),2),"")</f>
        <v/>
      </c>
      <c r="FQ59" s="259" t="str">
        <f>IF(AE59="SE AVERE",MAX($FQ$2:FQ58)+1,"")</f>
        <v/>
      </c>
      <c r="FR59" s="259" t="str">
        <f>IF(AE59="SE DARE",MAX($FR$2:FR58)+1,"")</f>
        <v/>
      </c>
      <c r="FS59" s="259" t="str">
        <f ca="1">IF(AND(AE59="SP DARE",AA59&lt;&gt;$FS$1,AA59&lt;&gt;$FT$1),MAX($FS$2:FS58)+1,IF(AND(GQ59="SP DARE",AA59&lt;&gt;$FS$1,AA59&lt;&gt;$FT$1),MAX($FS$2:FS58)+1,""))</f>
        <v/>
      </c>
      <c r="FT59" s="259" t="str">
        <f ca="1">IF(AND(AE59="SP AVERE",AA59&lt;&gt;$FU$1),MAX($FT$2:FT58)+1,IF(AND(GQ59="SP AVERE",AA59&lt;&gt;$FU$1),MAX($FT$2:FT58)+1,""))</f>
        <v/>
      </c>
      <c r="FU59" s="259">
        <f t="shared" ca="1" si="93"/>
        <v>0</v>
      </c>
      <c r="FV59" s="259" t="str">
        <f t="shared" si="94"/>
        <v>TITOLARE C/RITENUTE SUBITE</v>
      </c>
      <c r="FW59" s="259" t="str">
        <f ca="1">IFERROR(INDEX($FU$3:$FV$500,MATCH(ROWS($FW$3:FW59),$FU$3:$FU$500,0),2),0)</f>
        <v>AMMORTAMENTO ARREDAMENTO</v>
      </c>
      <c r="FX59" s="259">
        <f t="shared" ca="1" si="95"/>
        <v>57</v>
      </c>
      <c r="FY59" s="259">
        <f t="shared" ca="1" si="96"/>
        <v>0</v>
      </c>
      <c r="FZ59" s="259">
        <f ca="1">IF(FY59&gt;0,MAX($FZ$2:FZ58)+1,0)</f>
        <v>0</v>
      </c>
      <c r="GA59" s="259">
        <f ca="1">IFERROR(INDEX($FY$3:$FZ$500,MATCH(ROWS($GA$3:GA59),$FZ$3:$FZ$500,0),1),0)</f>
        <v>0</v>
      </c>
      <c r="GC59" s="259">
        <f t="shared" ca="1" si="97"/>
        <v>57</v>
      </c>
      <c r="GD59" s="259" t="str">
        <f t="shared" ca="1" si="98"/>
        <v>AMMORTAMENTO ARREDAMENTO</v>
      </c>
      <c r="GG59" s="259">
        <f t="shared" ca="1" si="27"/>
        <v>0</v>
      </c>
      <c r="GH59" s="259">
        <f t="shared" ca="1" si="99"/>
        <v>0</v>
      </c>
      <c r="GI59" s="259">
        <f t="shared" ca="1" si="100"/>
        <v>0</v>
      </c>
      <c r="GJ59" s="259">
        <f t="shared" ca="1" si="101"/>
        <v>0</v>
      </c>
      <c r="GK59" s="259">
        <f t="shared" ca="1" si="102"/>
        <v>0</v>
      </c>
      <c r="GL59" s="259">
        <f t="shared" ca="1" si="103"/>
        <v>0</v>
      </c>
      <c r="GM59" s="259">
        <f ca="1">IF(OR(GK59&gt;0,GL59&gt;0),MAX($GM$2:GM58)+1,0)</f>
        <v>0</v>
      </c>
      <c r="GN59" s="259" t="str">
        <f ca="1">IFERROR(INDEX($GD$3:$GM$400,MATCH(ROWS($GN$3:GN59),$GM$3:$GM$400,0),1),"")</f>
        <v/>
      </c>
      <c r="GO59" s="259" t="str">
        <f ca="1">IFERROR(INDEX($GD$3:$GM$400,MATCH(ROWS($GO$3:GO59),$GM$3:$GM$400,0),8),"")</f>
        <v/>
      </c>
      <c r="GP59" s="259" t="str">
        <f ca="1">IFERROR(INDEX($GD$3:$GM$400,MATCH(ROWS($GP$3:GP59),$GM$3:$GM$400,0),9),"")</f>
        <v/>
      </c>
      <c r="GQ59" s="259">
        <f t="shared" ca="1" si="28"/>
        <v>0</v>
      </c>
      <c r="GR59" s="259">
        <f t="shared" ca="1" si="104"/>
        <v>0</v>
      </c>
      <c r="GS59" s="259" t="str">
        <f t="shared" si="105"/>
        <v>epilogo a Conto economico</v>
      </c>
      <c r="GT59" s="259" t="str">
        <f ca="1">IFERROR(INDEX($GD$3:$GS$400,MATCH(ROWS($GT$3:GT59),$GM$3:$GM$400,0),16),"")</f>
        <v/>
      </c>
      <c r="GU59" s="259">
        <f ca="1">IF(GQ59&lt;&gt;0,MAX($GU$2:$GU58)+1,0)</f>
        <v>0</v>
      </c>
      <c r="GV59" s="259">
        <f t="shared" ca="1" si="106"/>
        <v>0</v>
      </c>
      <c r="GW59" s="259" t="str">
        <f ca="1">IF(AND(IFERROR(INDEX($GU$3:$GV$400,MATCH(ROWS($GW$3:GW59),$GU$3:$GU$400,0),2),"")&lt;&gt;"",GW60&lt;&gt;""),CONCATENATE(IFERROR(INDEX($GU$3:$GV$400,MATCH(ROWS($GW$3:GW59),$GU$3:$GU$400,0),2),"")," - "),IFERROR(INDEX($GU$3:$GV$400,MATCH(ROWS($GW$3:GW59),$GU$3:$GU$400,0),2),""))</f>
        <v/>
      </c>
      <c r="GX59" s="259">
        <f ca="1">IF(OR(GN59="IVA NS/CREDITO",GN59="IVA NS/DEBITO",GN59="IVA C/ACCONTO",GN59="IMPOSTE C/ACCONTO"),MAX($GX$2:GX58)+1,0)</f>
        <v>0</v>
      </c>
      <c r="GY59" s="259" t="str">
        <f ca="1">IF(AND(IFERROR(INDEX($GN$3:$GX$200,MATCH(ROWS($GY$3:GY59),$GX$3:$GX$200,0),1),"")&lt;&gt;"",GY60&lt;&gt;""),CONCATENATE(IFERROR(INDEX($GN$3:$GX$200,MATCH(ROWS($GY$3:GY59),$GX$3:$GX$200,0),1),"")," - "),IFERROR(INDEX($GN$3:$GX$200,MATCH(ROWS($GY$3:GY59),$GX$3:$GX$200,0),1),""))</f>
        <v/>
      </c>
      <c r="GZ59" s="259" t="s">
        <v>516</v>
      </c>
      <c r="HA59" s="259" t="s">
        <v>76</v>
      </c>
      <c r="HB59" s="269" t="s">
        <v>257</v>
      </c>
      <c r="HC59" s="269" t="s">
        <v>276</v>
      </c>
      <c r="HD59" s="269" t="s">
        <v>73</v>
      </c>
      <c r="HE59" s="269" t="s">
        <v>206</v>
      </c>
      <c r="HL59" s="259" t="str">
        <f t="shared" ca="1" si="157"/>
        <v/>
      </c>
      <c r="HM59" s="259" t="str">
        <f t="shared" ca="1" si="158"/>
        <v/>
      </c>
      <c r="HN59" s="259" t="str">
        <f t="shared" ca="1" si="159"/>
        <v/>
      </c>
      <c r="HO59" s="259">
        <f ca="1">IF(HL59&lt;&gt;"",MAX($HO$2:HO58)+1,0)</f>
        <v>0</v>
      </c>
      <c r="HP59" s="259">
        <f ca="1">IF(HM59&lt;&gt;"",MAX($HP$2:HP58)+1,0)</f>
        <v>0</v>
      </c>
      <c r="HQ59" s="259">
        <f ca="1">IF(HN59&lt;&gt;"",MAX($HQ$2:HQ58)+1,0)</f>
        <v>0</v>
      </c>
      <c r="HR59" s="259" t="str">
        <f t="shared" ca="1" si="107"/>
        <v/>
      </c>
      <c r="HS59" s="259" t="str">
        <f t="shared" ca="1" si="108"/>
        <v/>
      </c>
      <c r="HT59" s="259">
        <f t="shared" ca="1" si="109"/>
        <v>0</v>
      </c>
      <c r="HU59" s="259">
        <f t="shared" ca="1" si="110"/>
        <v>0</v>
      </c>
      <c r="HV59" s="259" t="str">
        <f ca="1">CONCATENATE(IFERROR(INDEX($HS$3:$HT$102,MATCH(ROWS($HV$3:HV59),$HT$3:$HT$102,0),1),""),HR59)</f>
        <v/>
      </c>
      <c r="IA59" s="259" t="s">
        <v>379</v>
      </c>
      <c r="IB59" s="259" t="s">
        <v>319</v>
      </c>
      <c r="IC59" s="259">
        <f ca="1">IFERROR(INDEX(PIANO_DEI_CONTI,MATCH(ROWS(DL$3:DL59),$DK$3:DK286,0),2),0)</f>
        <v>0</v>
      </c>
      <c r="ID59" s="259">
        <f t="shared" ca="1" si="111"/>
        <v>0</v>
      </c>
      <c r="IE59" s="259">
        <f t="shared" ca="1" si="112"/>
        <v>0</v>
      </c>
      <c r="IF59" s="259">
        <f t="shared" ca="1" si="113"/>
        <v>0</v>
      </c>
      <c r="IG59" s="259">
        <f t="shared" ca="1" si="171"/>
        <v>0</v>
      </c>
      <c r="IH59" s="259">
        <f ca="1">IF(IG59&lt;&gt;0,MAX($IH$35:IH58)+1,0)</f>
        <v>0</v>
      </c>
      <c r="II59" s="259">
        <f>IF(AD59="costi pluriennali",MAX($II$2:II58)+1,0)</f>
        <v>0</v>
      </c>
      <c r="IJ59" s="259">
        <f>IF($AD59="rettifiche costi pluriennali",MAX($IJ$2:IJ58)+1,0)</f>
        <v>0</v>
      </c>
      <c r="IK59" s="259">
        <f t="shared" si="114"/>
        <v>0</v>
      </c>
      <c r="IL59" s="259" t="str">
        <f t="shared" si="115"/>
        <v/>
      </c>
      <c r="IM59" s="259">
        <f t="shared" ca="1" si="116"/>
        <v>0</v>
      </c>
      <c r="IN59" s="259">
        <f t="shared" ca="1" si="141"/>
        <v>0</v>
      </c>
      <c r="IO59" s="259">
        <f>SUMIFS($IM$3:$IM$200,$IK$3:$IK$200,ROWS($IO$3:IO59))-SUMIFS($IN$3:$IN$200,$IK$3:$IK$200,ROWS($IO$3:IO59))</f>
        <v>0</v>
      </c>
      <c r="IP59" s="259" t="str">
        <f>IF(IO59&lt;0,INDEX($IJ$3:$IL$200,MATCH(ROWS($IP$3:IP59),$IJ$3:$IJ$200,0),3),"")</f>
        <v/>
      </c>
      <c r="IQ59" s="259">
        <f>IF(IP59&lt;&gt;"",MAX($IQ$2:IQ58)+1,0)</f>
        <v>0</v>
      </c>
      <c r="IR59" s="259" t="str">
        <f ca="1">IFERROR(INDEX($IP$3:$IQ$200,MATCH(ROWS($IR$3:IR59),$IQ$3:$IQ$200,0),1),"")</f>
        <v/>
      </c>
      <c r="IS59" s="259" t="str">
        <f t="shared" ca="1" si="117"/>
        <v/>
      </c>
      <c r="IT59" s="259" t="str">
        <f t="shared" ca="1" si="118"/>
        <v/>
      </c>
      <c r="IU59" s="259" t="str">
        <f t="shared" ca="1" si="119"/>
        <v/>
      </c>
      <c r="IV59" s="259" t="str">
        <f t="shared" ca="1" si="120"/>
        <v/>
      </c>
      <c r="IW59" s="259" t="str">
        <f t="shared" ca="1" si="121"/>
        <v/>
      </c>
      <c r="IX59" s="259" t="str">
        <f t="shared" ca="1" si="122"/>
        <v/>
      </c>
      <c r="IY59" s="259" t="str">
        <f t="shared" ca="1" si="123"/>
        <v/>
      </c>
      <c r="IZ59" s="259" t="str">
        <f t="shared" ca="1" si="124"/>
        <v/>
      </c>
      <c r="JA59" s="259" t="str">
        <f t="shared" ca="1" si="125"/>
        <v/>
      </c>
      <c r="JB59" s="259">
        <f t="shared" ca="1" si="32"/>
        <v>0</v>
      </c>
      <c r="JC59" s="259">
        <f t="shared" ca="1" si="126"/>
        <v>0</v>
      </c>
      <c r="JE59" s="259">
        <f ca="1">IFERROR(INDEX(LIBRO_GIORNALE!$N$11:$O$408,MATCH(ROWS($JE$2:JE58),LIBRO_GIORNALE!$O$11:$O$408,0),1),0)</f>
        <v>0</v>
      </c>
      <c r="JF59" s="259" t="str">
        <f t="shared" ca="1" si="127"/>
        <v>0</v>
      </c>
      <c r="JG59" s="259">
        <f t="shared" ca="1" si="128"/>
        <v>0</v>
      </c>
      <c r="JH59" s="259">
        <f ca="1">IF(JJ59&gt;0,0,MAX($JH$2:JH58)+1)</f>
        <v>57</v>
      </c>
      <c r="JI59" s="259">
        <f ca="1">IF(JG59&gt;0,MAX($JI$2:JI58)+1,0)</f>
        <v>0</v>
      </c>
      <c r="JJ59" s="259">
        <f ca="1">IFERROR(INDEX($JG$3:$JI$124,MATCH(ROWS($JJ$3:JJ59),$JI$3:$JI$124,0),1),0)</f>
        <v>0</v>
      </c>
      <c r="JK59" s="259">
        <f t="shared" ca="1" si="129"/>
        <v>0</v>
      </c>
      <c r="JL59" s="259">
        <f t="shared" ca="1" si="130"/>
        <v>57</v>
      </c>
    </row>
    <row r="60" spans="1:272">
      <c r="A60" s="259" t="str">
        <f t="shared" si="33"/>
        <v>08.20</v>
      </c>
      <c r="B60" s="259" t="str">
        <f t="shared" si="34"/>
        <v>DENARO IN CASSA</v>
      </c>
      <c r="C60" s="259" t="str">
        <f t="shared" si="35"/>
        <v>F</v>
      </c>
      <c r="D60" s="259" t="str">
        <f t="shared" si="36"/>
        <v>D</v>
      </c>
      <c r="E60" s="259" t="str">
        <f t="shared" si="37"/>
        <v>DISPONIBILITÀ LIQUIDE</v>
      </c>
      <c r="F60" s="259" t="str">
        <f t="shared" si="38"/>
        <v>SP DARE</v>
      </c>
      <c r="G60" s="259">
        <f t="shared" ca="1" si="39"/>
        <v>1</v>
      </c>
      <c r="H60" s="259">
        <f t="shared" ca="1" si="40"/>
        <v>1</v>
      </c>
      <c r="I60" s="259">
        <f t="shared" ca="1" si="41"/>
        <v>1</v>
      </c>
      <c r="K60" s="259" t="str">
        <f ca="1">IFERROR(IF($I$1=1,INDEX($AA$3:$AS$220,MATCH(ROWS($K$3:K60),$AQ$3:$AQ$220,0),1),IF($I$1=2,INDEX($AA$3:$AS$220,MATCH(ROWS($K$3:K60),$AR$3:$AR$220,0),1),IF($I$1=3,INDEX($AA$3:$AS$220,MATCH(ROWS($K$3:K60),$AS$3:$AS$220,0),1),""))),"")</f>
        <v>FONDO RESPONSABILITÀ CIVILE</v>
      </c>
      <c r="L60" s="259">
        <f ca="1">IF(AND($L$1="VISUALIZZA TUTTI I CONTI",K60&lt;&gt;""),MAX(L59:L59)+1,IFERROR(IF($J$1=1,IF(INDEX(PIANO_DEI_CONTI,MATCH($K60,DENOMINAZIONE,0),5)=$L$1,MAX($L$2:L59)+1,0),IF($J$1=2,IF(INDEX(PIANO_DEI_CONTI,MATCH($K60,DENOMINAZIONE,0),7)=$L$1,MAX($L$2:L59)+1,0))),0))</f>
        <v>58</v>
      </c>
      <c r="M60" s="259" t="str">
        <f ca="1">IFERROR(INDEX($K$3:$K$220,MATCH(ROWS($M$3:M60),$L$3:$L$220,0),1),"")</f>
        <v>FONDO RESPONSABILITÀ CIVILE</v>
      </c>
      <c r="N60" s="259" t="str">
        <f t="shared" si="143"/>
        <v/>
      </c>
      <c r="O60" s="259" t="str">
        <f t="shared" ca="1" si="170"/>
        <v/>
      </c>
      <c r="P60" s="259">
        <f ca="1">IF(AND(N60=O60,O60&lt;&gt;""),MAX(P$2:P59)+1,0)</f>
        <v>0</v>
      </c>
      <c r="Q60" s="259" t="str">
        <f ca="1">IF(IFERROR(INDEX($O$3:$P$220,MATCH(ROWS(Q$3:Q60),$P$3:$P$220,0),1),"")=0,"",IFERROR(INDEX($O$3:$P$220,MATCH(ROWS(Q$3:Q60),$P$3:$P$220,0),1),""))</f>
        <v/>
      </c>
      <c r="R60" s="259" t="str">
        <f t="shared" si="1"/>
        <v/>
      </c>
      <c r="S60" s="259">
        <f ca="1">IF(IFERROR(MATCH(R60,DENOMINAZIONE_GIORNALE,0),0)&gt;0,MAX(S$2:S59)+1,0)</f>
        <v>0</v>
      </c>
      <c r="T60" s="259" t="str">
        <f ca="1">IFERROR(INDEX($R$3:$S$220,MATCH(ROWS($T$3:T60),$S$3:$S$220,0),1),"")</f>
        <v/>
      </c>
      <c r="U60" s="259">
        <f t="shared" ca="1" si="2"/>
        <v>0</v>
      </c>
      <c r="V60" s="259">
        <f ca="1">IF(IF(U60&lt;&gt;0,MAX($V$2:V59)+1,0)=0,0,IF(U60&lt;&gt;0,MAX($V$2:V59)+1,0))</f>
        <v>0</v>
      </c>
      <c r="W60" s="259" t="str">
        <f t="shared" si="43"/>
        <v>08.20</v>
      </c>
      <c r="X60" s="259" t="str">
        <f t="shared" si="44"/>
        <v>DENARO IN CASSA</v>
      </c>
      <c r="Y60" s="259">
        <f>IF(W60="",0,MAX($Y$2:Y59)+1)</f>
        <v>51</v>
      </c>
      <c r="Z60" s="259" t="str">
        <f>IFERROR(INDEX($W$3:$Y$220,MATCH(ROWS($Z$2:Z59),$Y$3:$Y$220,0),1),"")</f>
        <v>10.04</v>
      </c>
      <c r="AA60" s="259" t="str">
        <f t="shared" si="45"/>
        <v>UTILE D'ESERCIZIO</v>
      </c>
      <c r="AB60" s="259" t="str">
        <f t="shared" si="46"/>
        <v>E</v>
      </c>
      <c r="AC60" s="259" t="str">
        <f t="shared" si="47"/>
        <v>A</v>
      </c>
      <c r="AD60" s="259" t="str">
        <f t="shared" si="48"/>
        <v>PATRIMONIO NETTO</v>
      </c>
      <c r="AE60" s="259" t="str">
        <f t="shared" si="49"/>
        <v>SP AVERE - SE DARE</v>
      </c>
      <c r="AF60" s="259" t="str">
        <f t="shared" si="50"/>
        <v>PATRIMONIO NETTO</v>
      </c>
      <c r="AG60" s="259">
        <f t="shared" ca="1" si="51"/>
        <v>0</v>
      </c>
      <c r="AH60" s="259">
        <f t="shared" ca="1" si="52"/>
        <v>0</v>
      </c>
      <c r="AI60" s="259">
        <f t="shared" ca="1" si="53"/>
        <v>0</v>
      </c>
      <c r="AJ60" s="259" t="str">
        <f t="shared" si="54"/>
        <v>10</v>
      </c>
      <c r="AK60" s="259" t="str">
        <f t="shared" si="55"/>
        <v/>
      </c>
      <c r="AL60" s="259">
        <f>IF(AK60&lt;&gt;"",MAX($AL$2:AL59)+1,0)</f>
        <v>0</v>
      </c>
      <c r="AM60" s="259" t="str">
        <f>IFERROR(INDEX($AK$3:$AL$220,MATCH(ROWS($AM$3:AM60),$AL$3:$AL$220,0),1),"")</f>
        <v/>
      </c>
      <c r="AN60" s="259" t="str">
        <f t="shared" si="56"/>
        <v/>
      </c>
      <c r="AO60" s="259" t="str">
        <f t="shared" si="57"/>
        <v/>
      </c>
      <c r="AP60" s="259" t="str">
        <f t="shared" si="58"/>
        <v>PATRIMONIO NETTO</v>
      </c>
      <c r="AQ60" s="259">
        <f ca="1">IF(OR(AG60=0,AG60=""),0,MAX(AQ$2:AQ59)+1)</f>
        <v>0</v>
      </c>
      <c r="AR60" s="259">
        <f ca="1">IF(OR(AH60=0,AH60=""),0,MAX(AR$2:AR59)+1)</f>
        <v>0</v>
      </c>
      <c r="AS60" s="259">
        <f ca="1">IF(OR(AI60=0,AI60=""),0,MAX(AS$2:AS59)+1)</f>
        <v>0</v>
      </c>
      <c r="AT60" s="259" t="str">
        <f ca="1">IFERROR(INDEX($AD$3:$AS$220,MATCH(ROWS(AT$3:AT60),AQ$3:AQ$220,0),1),"")</f>
        <v>COSTI D'ESERCIZIO</v>
      </c>
      <c r="AU60" s="259" t="str">
        <f ca="1">IFERROR(INDEX($AD$3:$AS$220,MATCH(ROWS(AU$3:AU60),AR$3:AR$220,0),1),"")</f>
        <v>DEBITI</v>
      </c>
      <c r="AV60" s="259" t="str">
        <f ca="1">IFERROR(INDEX($AD$3:$AS$220,MATCH(ROWS(AV$3:AV60),AS$3:AS$220,0),1),"")</f>
        <v>RATEI, FONDI RISCHI E ONERI</v>
      </c>
      <c r="AW60" s="259" t="str">
        <f ca="1">IFERROR(INDEX($AP$3:$AS$220,MATCH(ROWS(AW$3:AW60),AQ$3:AQ$220,0),1),"")</f>
        <v>COSTI PER MERCI E MATERIE DI CONSUMO</v>
      </c>
      <c r="AX60" s="259" t="str">
        <f ca="1">IFERROR(INDEX($AP$3:$AS$220,MATCH(ROWS(AX$3:AX60),AR$3:AR$220,0),1),"")</f>
        <v>DEBITI DIVERSI</v>
      </c>
      <c r="AY60" s="259" t="str">
        <f ca="1">IFERROR(INDEX($AP$3:$AS$220,MATCH(ROWS(AY$3:AY60),AS$3:AS$220,0),1),"")</f>
        <v>FONDI PER RISCHI E ONERI</v>
      </c>
      <c r="AZ60" s="276" t="str">
        <f t="shared" ca="1" si="59"/>
        <v/>
      </c>
      <c r="BA60" s="259">
        <f t="shared" ca="1" si="153"/>
        <v>0</v>
      </c>
      <c r="BB60" s="259">
        <f ca="1">IFERROR(INDEX($FG$3:$FL$400,MATCH(ROWS($BB$3:BB60),$FL$3:$FL$400,0),1),0)</f>
        <v>0</v>
      </c>
      <c r="BC60" s="259" t="str">
        <f t="shared" ca="1" si="60"/>
        <v/>
      </c>
      <c r="BD60" s="259">
        <f ca="1">IFERROR(INDEX($FG$3:$FL$400,MATCH(ROWS($BD$3:BD60),$FL$3:$FL$400,0),4),0)</f>
        <v>0</v>
      </c>
      <c r="BE60" s="259">
        <f ca="1">IFERROR(INDEX($FG$3:$FL$400,MATCH(ROWS($BE$3:BE60),$FL$3:$FL$400,0),5),0)</f>
        <v>0</v>
      </c>
      <c r="BG60" s="259" t="str">
        <f t="shared" si="4"/>
        <v/>
      </c>
      <c r="BH60" s="259">
        <f ca="1">IF(IFERROR(MATCH(BG60,DENOMINAZIONE_GIORNALE,0),0)&gt;0,MAX(BH$2:BH59)+1,0)</f>
        <v>0</v>
      </c>
      <c r="BI60" s="259" t="str">
        <f ca="1">IFERROR(INDEX($BG$3:$BH$220,MATCH(ROWS($BI$3:BI60),$BH$3:$BH$220,0),1),"")</f>
        <v/>
      </c>
      <c r="BJ60" s="259" t="str">
        <f t="shared" ca="1" si="5"/>
        <v/>
      </c>
      <c r="BK60" s="259" t="str">
        <f ca="1">IF(IF(BJ60&lt;&gt;"",MAX($BK$2:BK59)+1,0)=0,"",IF(BJ60&lt;&gt;"",MAX($BK$2:BK59)+1,0))</f>
        <v/>
      </c>
      <c r="BL60" s="259" t="str">
        <f ca="1">IFERROR(INDEX($T$3:$U$220, MATCH(ROWS(BL$3:BL60),$V$3:$V$220,0),1),"")</f>
        <v/>
      </c>
      <c r="BM60" s="259" t="str">
        <f ca="1">IFERROR(INDEX($T$3:$U$220, MATCH(ROWS(BM$3:BM60),$V$3:$V$220,0),2),"")</f>
        <v/>
      </c>
      <c r="BN60" s="259" t="str">
        <f ca="1">IF(IFERROR(INDEX($BI$3:$BJ$220,MATCH(ROWS(BN$3:BN60),$BK$3:$BK$220,0),1),"")="PATRIMONIO NETTO","",IFERROR(INDEX($BI$3:$BJ$220,MATCH(ROWS(BN$3:BN60),$BK$3:$BK$220,0),1),""))</f>
        <v/>
      </c>
      <c r="BO60" s="259" t="str">
        <f ca="1">IFERROR(INDEX($BI$3:$BJ$220,MATCH(ROWS(BO$3:BO60),$BK$3:$BK$220,0),2),"")</f>
        <v/>
      </c>
      <c r="BP60" s="259">
        <f ca="1">IF(BN60&lt;&gt;"",MAX(BP$2:$BP59)+1,0)</f>
        <v>0</v>
      </c>
      <c r="BQ60" s="259" t="str">
        <f ca="1">IFERROR(INDEX($BN$3:$BO$200,MATCH(ROWS(BQ$3:BQ60),$BP$3:$BP$220,0),1),"")</f>
        <v/>
      </c>
      <c r="BR60" s="259" t="str">
        <f ca="1">IFERROR(INDEX($BN$3:$BO$220,MATCH(ROWS(BR$3:BR60),$BP$3:$BP$220,0),2),"")</f>
        <v/>
      </c>
      <c r="BS60" s="259" t="str">
        <f ca="1">IFERROR(IF(OR(INDEX($T$3:$U$220,MATCH(ROWS(BL$3:BL60),$V$3:$V$220,0),1)="PRELEVAMENTI EXTRAGESTIONE",INDEX($T$3:$U$220,MATCH(ROWS(BL$3:BL60),$V$3:$V$220,0),1)="TITOLARE C/RITENUTE SUBITE"),"",INDEX($T$3:$U$220,MATCH(ROWS(BL$3:BL60),$V$3:$V$220,0),1)),"")</f>
        <v/>
      </c>
      <c r="BT60" s="259">
        <f t="shared" ca="1" si="61"/>
        <v>0</v>
      </c>
      <c r="BU60" s="259">
        <f ca="1">IF(BS60&lt;&gt;"",MAX(BU$2:BU59)+1,0)</f>
        <v>0</v>
      </c>
      <c r="BV60" s="259" t="str">
        <f ca="1">IFERROR(INDEX($BS$3:$BT$223,MATCH(ROWS(BV$3:BV60),$BU$3:$BU$223,0),1),"")</f>
        <v/>
      </c>
      <c r="BW60" s="259">
        <f t="shared" ca="1" si="62"/>
        <v>0</v>
      </c>
      <c r="BX60" s="259" t="str">
        <f t="shared" ca="1" si="63"/>
        <v/>
      </c>
      <c r="BY60" s="259" t="str">
        <f t="shared" ca="1" si="64"/>
        <v/>
      </c>
      <c r="BZ60" s="259" t="str">
        <f ca="1">IFERROR(IF(OR($DS$231&lt;&gt;$DT$231,$DU$231&lt;&gt;$DV$231,$EO$25&lt;&gt;0,$EO$26&lt;&gt;0),INDEX($T$3:$V$220,MATCH(ROWS($BV$3:BV60),$V$3:$V$220,0),1),CONCATENATE(BV60,BY60)),"")</f>
        <v/>
      </c>
      <c r="CA60" s="259">
        <f t="shared" ca="1" si="65"/>
        <v>0</v>
      </c>
      <c r="CB60" s="259" t="str">
        <f ca="1">IFERROR(IF(OR($BB$1&lt;&gt;$BD$1,$BC$1&lt;&gt;$BE$1,$DS$231&lt;&gt;$DT$231,$DU$231&lt;&gt;$DV$231,$EO$25&lt;&gt;0,$EO$26&lt;&gt;0),INDEX($BI$3:$BK$220,MATCH(ROWS($CB$3:CB60),$BK$3:$BK$220,0),1),CONCATENATE(BQ60,BX60)),"")</f>
        <v/>
      </c>
      <c r="CC60" s="259" t="str">
        <f t="shared" ca="1" si="66"/>
        <v/>
      </c>
      <c r="CD60" s="259" t="str">
        <f t="shared" si="6"/>
        <v/>
      </c>
      <c r="CE60" s="259">
        <f ca="1">IF(IFERROR(MATCH(CD60,DENOMINAZIONE_GIORNALE,0),0)&gt;0,MAX(CE$2:CE59)+1,0)</f>
        <v>0</v>
      </c>
      <c r="CF60" s="259" t="str">
        <f ca="1">IFERROR(INDEX($CD$3:$CE$220,MATCH(ROWS($CF$3:CF60),$CE$3:$CE$220,0),1),"")</f>
        <v/>
      </c>
      <c r="CG60" s="259">
        <f t="shared" ca="1" si="7"/>
        <v>0</v>
      </c>
      <c r="CH60" s="259" t="str">
        <f ca="1">IF(IF(CG60&lt;&gt;0,MAX($CH$2:CH59)+1,0)=0,"",IF(CG60&lt;&gt;"",MAX($CH$2:CH59)+1,0))</f>
        <v/>
      </c>
      <c r="CI60" s="259" t="str">
        <f ca="1">IFERROR(INDEX($CF$3:$CG$220,MATCH(ROWS($CI$3:CI60),$CH$3:$CH$220,0),1),"")</f>
        <v/>
      </c>
      <c r="CJ60" s="259" t="str">
        <f t="shared" ca="1" si="67"/>
        <v/>
      </c>
      <c r="CK60" s="259" t="str">
        <f t="shared" si="8"/>
        <v/>
      </c>
      <c r="CL60" s="259">
        <f ca="1">IF(IFERROR(MATCH(CK60,DENOMINAZIONE_GIORNALE,0),0)&gt;0,MAX(CL$2:CL59)+1,0)</f>
        <v>0</v>
      </c>
      <c r="CM60" s="259" t="str">
        <f ca="1">IFERROR(INDEX($CK$3:$CL$220,MATCH(ROWS($CM$3:CM60),$CL$3:$CL$220,0),1),"")</f>
        <v/>
      </c>
      <c r="CN60" s="259" t="str">
        <f t="shared" ca="1" si="9"/>
        <v/>
      </c>
      <c r="CO60" s="259">
        <f ca="1">IF(IF(CN60&lt;&gt;0,MAX($CO$2:CO59)+1,0)=0,"",IF(CN60&lt;&gt;"",MAX($CO$2:CO59)+1,0))</f>
        <v>0</v>
      </c>
      <c r="CP60" s="259" t="str">
        <f ca="1">IFERROR(INDEX($CM$3:$CN$220,MATCH(ROWS(CP$3:CP60),$CO$3:$CO$220,0),1),"")</f>
        <v/>
      </c>
      <c r="CQ60" s="259" t="str">
        <f ca="1">IFERROR(INDEX($CM$3:$CN$220,MATCH(ROWS(CQ$3:CQ60),$CO$3:$CO$220,0),2),"")</f>
        <v/>
      </c>
      <c r="CR60" s="259" t="str">
        <f t="shared" ca="1" si="154"/>
        <v/>
      </c>
      <c r="CS60" s="259">
        <f t="shared" ca="1" si="11"/>
        <v>0</v>
      </c>
      <c r="CT60" s="259">
        <f t="shared" ca="1" si="12"/>
        <v>0</v>
      </c>
      <c r="CU60" s="259">
        <f ca="1">IF(OR(CS60&gt;0,CT60&gt;0),MAX($CU$2:CU59)+1,0)</f>
        <v>0</v>
      </c>
      <c r="CV60" s="259" t="str">
        <f ca="1">IFERROR(INDEX(PIANO_DEI_CONTI,MATCH(ROWS($CV$3:CV60),$CU$3:$CU$200,0),2),"")</f>
        <v/>
      </c>
      <c r="CW60" s="259">
        <f ca="1">IFERROR(IF(CV60&lt;&gt;"",MAX($CW$2:CW59)+1,0),0)</f>
        <v>0</v>
      </c>
      <c r="CX60" s="259">
        <f t="shared" ca="1" si="174"/>
        <v>4</v>
      </c>
      <c r="CY60" s="259" t="str">
        <f t="shared" ca="1" si="161"/>
        <v>MASTRO</v>
      </c>
      <c r="CZ60" s="259" t="e">
        <f t="shared" ca="1" si="176"/>
        <v>#N/A</v>
      </c>
      <c r="DA60" s="259" t="str">
        <f t="shared" ref="DA60:DA73" ca="1" si="181">IFERROR(INDEX(LIBRO_GIORNALE,CZ60,1),"")</f>
        <v/>
      </c>
      <c r="DB60" s="259" t="str">
        <f t="shared" ca="1" si="177"/>
        <v/>
      </c>
      <c r="DC60" s="259" t="str">
        <f t="shared" ca="1" si="178"/>
        <v/>
      </c>
      <c r="DD60" s="259" t="str">
        <f t="shared" ca="1" si="179"/>
        <v/>
      </c>
      <c r="DE60" s="259" t="str">
        <f t="shared" ca="1" si="180"/>
        <v/>
      </c>
      <c r="DF60" s="259">
        <f ca="1">IF(AND(CX60=$DE$2,$DF$2&lt;&gt;0),0,IF(AND(DB60&lt;&gt;"",OR(DB59&lt;&gt;"",DB61&lt;&gt;"")),MAX($DF$2:DF59)+1,0))</f>
        <v>0</v>
      </c>
      <c r="DG60" s="259" t="str">
        <f>IF(OR(VALORI_INIZIALI!E65="",AND(VALORI_INIZIALI!E65&lt;&gt;"",VALORI_INIZIALI!H65=0,VALORI_INIZIALI!I65=0)),"",IFERROR(INDEX(PIANO_DEI_CONTI,MATCH(BB60,DENOMINAZIONE,0),1),0))</f>
        <v/>
      </c>
      <c r="DH60" s="259">
        <f ca="1">IFERROR(IF($J$1=1,IF(INDEX(PIANO_DEI_CONTI,MATCH($K60,DENOMINAZIONE,0),5)=$DF$1,MAX($DH$2:DH59)+1,0),IF($J$1=2,IF(INDEX(PIANO_DEI_CONTI,MATCH($K60,DENOMINAZIONE,0),7)=$DF$1,MAX($DH$2:DH59)+1,0))),0)</f>
        <v>0</v>
      </c>
      <c r="DI60" s="259">
        <f ca="1">IFERROR(INDEX($K$3:$K$220,MATCH(ROWS($DI$3:DI60),$DH$3:$DH$220,0),1),0)</f>
        <v>0</v>
      </c>
      <c r="DJ60" s="259">
        <f t="shared" ca="1" si="14"/>
        <v>0</v>
      </c>
      <c r="DK60" s="259">
        <f ca="1">IF(DJ60=0,0,MAX(DK$2:DK59)+1)</f>
        <v>0</v>
      </c>
      <c r="DL60" s="259">
        <f ca="1">IFERROR(INDEX(PIANO_DEI_CONTI,MATCH(ROWS(DL$3:DL60),$DK$3:DK287,0),2),0)</f>
        <v>0</v>
      </c>
      <c r="DM60" s="259">
        <f t="shared" ca="1" si="15"/>
        <v>0</v>
      </c>
      <c r="DN60" s="259">
        <f t="shared" ca="1" si="16"/>
        <v>0</v>
      </c>
      <c r="DO60" s="259">
        <f t="shared" ca="1" si="69"/>
        <v>0</v>
      </c>
      <c r="DP60" s="259">
        <f t="shared" ca="1" si="70"/>
        <v>0</v>
      </c>
      <c r="DQ60" s="259">
        <f ca="1">IF(OR($DQ$1="TOTALI",$DQ$1="TOTALI ED ECCEDENZE"),IF(OR(DM60&gt;0,DN60&gt;0),MAX(DQ$2:DQ59)+1,0),IF($DQ$1="ECCEDENZE",IF(OR(DO60&gt;0,DP60&gt;0),MAX(DQ$2:DQ59)+1,0),""))</f>
        <v>0</v>
      </c>
      <c r="DR60" s="259" t="str">
        <f ca="1">IFERROR(INDEX($DL$3:$DQ$230,MATCH(ROWS(DR$3:DR60),$DQ$3:$DQ$230,0),1),"")</f>
        <v/>
      </c>
      <c r="DS60" s="259" t="str">
        <f t="shared" ca="1" si="71"/>
        <v/>
      </c>
      <c r="DT60" s="259" t="str">
        <f t="shared" ca="1" si="72"/>
        <v/>
      </c>
      <c r="DU60" s="259" t="str">
        <f t="shared" ca="1" si="73"/>
        <v/>
      </c>
      <c r="DV60" s="259" t="str">
        <f t="shared" ca="1" si="74"/>
        <v/>
      </c>
      <c r="DW60" s="259">
        <f t="shared" ca="1" si="75"/>
        <v>0</v>
      </c>
      <c r="DX60" s="259" t="str">
        <f t="shared" ca="1" si="76"/>
        <v/>
      </c>
      <c r="DY60" s="259" t="str">
        <f t="shared" ca="1" si="77"/>
        <v/>
      </c>
      <c r="DZ60" s="259" t="str">
        <f t="shared" ca="1" si="78"/>
        <v/>
      </c>
      <c r="EA60" s="259">
        <f t="shared" ca="1" si="79"/>
        <v>58</v>
      </c>
      <c r="EB60" s="259" t="s">
        <v>358</v>
      </c>
      <c r="ED60" s="259">
        <f t="shared" ca="1" si="17"/>
        <v>0</v>
      </c>
      <c r="EE60" s="259" t="str">
        <f t="shared" ca="1" si="155"/>
        <v/>
      </c>
      <c r="EF60" s="259" t="str">
        <f t="shared" ca="1" si="19"/>
        <v/>
      </c>
      <c r="EG60" s="259" t="str">
        <f t="shared" ca="1" si="136"/>
        <v/>
      </c>
      <c r="EH60" s="259" t="str">
        <f t="shared" ca="1" si="80"/>
        <v/>
      </c>
      <c r="EI60" s="260" t="b">
        <f t="shared" ca="1" si="137"/>
        <v>1</v>
      </c>
      <c r="EJ60" s="260" t="b">
        <f t="shared" ca="1" si="138"/>
        <v>1</v>
      </c>
      <c r="EK60" s="260" t="b">
        <f t="shared" ca="1" si="139"/>
        <v>1</v>
      </c>
      <c r="EL60" s="259">
        <f t="shared" si="81"/>
        <v>58</v>
      </c>
      <c r="EM60" s="259">
        <f ca="1">IF(AND(BA60&gt;0,BA60&lt;=$EM$1),MAX($EM$2:EM59)+1,0)</f>
        <v>0</v>
      </c>
      <c r="EN60" s="259">
        <f t="shared" ca="1" si="82"/>
        <v>60</v>
      </c>
      <c r="EP60" s="259" t="str">
        <f t="shared" ca="1" si="20"/>
        <v/>
      </c>
      <c r="EQ60" s="259">
        <f t="shared" ca="1" si="21"/>
        <v>0</v>
      </c>
      <c r="ER60" s="259">
        <f ca="1">IF(ISNA(EQ60),MAX(ER$2:ER59)+1,0)</f>
        <v>0</v>
      </c>
      <c r="ES60" s="259" t="str">
        <f t="shared" ca="1" si="83"/>
        <v/>
      </c>
      <c r="ET60" s="259" t="str">
        <f ca="1">IFERROR(UPPER(INDEX($ER$3:$ES$500,MATCH(ROWS(ET$3:ET60),$ER$3:$ER$500,0),2)),"")</f>
        <v/>
      </c>
      <c r="EY60" s="259">
        <f t="shared" ca="1" si="84"/>
        <v>0</v>
      </c>
      <c r="EZ60" s="259">
        <f t="shared" ca="1" si="84"/>
        <v>0</v>
      </c>
      <c r="FA60" s="259" t="str">
        <f t="shared" ca="1" si="85"/>
        <v/>
      </c>
      <c r="FB60" s="259">
        <f t="shared" ca="1" si="86"/>
        <v>0</v>
      </c>
      <c r="FC60" s="259">
        <f t="shared" ca="1" si="87"/>
        <v>0</v>
      </c>
      <c r="FD60" s="259">
        <f t="shared" ca="1" si="22"/>
        <v>0</v>
      </c>
      <c r="FE60" s="259" t="str">
        <f t="shared" ca="1" si="23"/>
        <v/>
      </c>
      <c r="FF60" s="259" t="str">
        <f t="shared" ca="1" si="88"/>
        <v/>
      </c>
      <c r="FG60" s="259" t="str">
        <f t="shared" si="89"/>
        <v>UTILE D'ESERCIZIO</v>
      </c>
      <c r="FH60" s="259">
        <f t="shared" ca="1" si="156"/>
        <v>0</v>
      </c>
      <c r="FI60" s="259">
        <f t="shared" ca="1" si="25"/>
        <v>0</v>
      </c>
      <c r="FJ60" s="259">
        <f t="shared" ca="1" si="90"/>
        <v>0</v>
      </c>
      <c r="FK60" s="259">
        <f t="shared" ca="1" si="91"/>
        <v>0</v>
      </c>
      <c r="FL60" s="259">
        <f ca="1">IF(OR(FJ60&gt;0,FK60&gt;0),MAX($FL$2:FL59)+1,0)</f>
        <v>0</v>
      </c>
      <c r="FM60" s="259">
        <f t="shared" si="26"/>
        <v>0</v>
      </c>
      <c r="FN60" s="259">
        <f>IF(FM60&lt;0,MAX($FN$2:FN59)+1,0)</f>
        <v>0</v>
      </c>
      <c r="FO60" s="259" t="str">
        <f t="shared" si="92"/>
        <v/>
      </c>
      <c r="FP60" s="259" t="str">
        <f ca="1">IFERROR(INDEX($FN$3:$FO$400,MATCH(ROWS($FP$3:FP60),$FN$3:$FN$400,0),2),"")</f>
        <v/>
      </c>
      <c r="FQ60" s="259" t="str">
        <f>IF(AE60="SE AVERE",MAX($FQ$2:FQ59)+1,"")</f>
        <v/>
      </c>
      <c r="FR60" s="259" t="str">
        <f>IF(AE60="SE DARE",MAX($FR$2:FR59)+1,"")</f>
        <v/>
      </c>
      <c r="FS60" s="259" t="str">
        <f ca="1">IF(AND(AE60="SP DARE",AA60&lt;&gt;$FS$1,AA60&lt;&gt;$FT$1),MAX($FS$2:FS59)+1,IF(AND(GQ60="SP DARE",AA60&lt;&gt;$FS$1,AA60&lt;&gt;$FT$1),MAX($FS$2:FS59)+1,""))</f>
        <v/>
      </c>
      <c r="FT60" s="259" t="str">
        <f ca="1">IF(AND(AE60="SP AVERE",AA60&lt;&gt;$FU$1),MAX($FT$2:FT59)+1,IF(AND(GQ60="SP AVERE",AA60&lt;&gt;$FU$1),MAX($FT$2:FT59)+1,""))</f>
        <v/>
      </c>
      <c r="FU60" s="259">
        <f t="shared" ca="1" si="93"/>
        <v>0</v>
      </c>
      <c r="FV60" s="259" t="str">
        <f t="shared" si="94"/>
        <v>UTILE D'ESERCIZIO</v>
      </c>
      <c r="FW60" s="259" t="str">
        <f ca="1">IFERROR(INDEX($FU$3:$FV$500,MATCH(ROWS($FW$3:FW60),$FU$3:$FU$500,0),2),0)</f>
        <v>AMMORTAMENTO AUTOMEZZI</v>
      </c>
      <c r="FX60" s="259">
        <f t="shared" ca="1" si="95"/>
        <v>58</v>
      </c>
      <c r="FY60" s="259">
        <f t="shared" ca="1" si="96"/>
        <v>0</v>
      </c>
      <c r="FZ60" s="259">
        <f ca="1">IF(FY60&gt;0,MAX($FZ$2:FZ59)+1,0)</f>
        <v>0</v>
      </c>
      <c r="GA60" s="259">
        <f ca="1">IFERROR(INDEX($FY$3:$FZ$500,MATCH(ROWS($GA$3:GA60),$FZ$3:$FZ$500,0),1),0)</f>
        <v>0</v>
      </c>
      <c r="GC60" s="259">
        <f t="shared" ca="1" si="97"/>
        <v>58</v>
      </c>
      <c r="GD60" s="259" t="str">
        <f t="shared" ca="1" si="98"/>
        <v>AMMORTAMENTO AUTOMEZZI</v>
      </c>
      <c r="GG60" s="259">
        <f t="shared" ca="1" si="27"/>
        <v>0</v>
      </c>
      <c r="GH60" s="259">
        <f t="shared" ca="1" si="99"/>
        <v>0</v>
      </c>
      <c r="GI60" s="259">
        <f t="shared" ca="1" si="100"/>
        <v>0</v>
      </c>
      <c r="GJ60" s="259">
        <f t="shared" ca="1" si="101"/>
        <v>0</v>
      </c>
      <c r="GK60" s="259">
        <f t="shared" ca="1" si="102"/>
        <v>0</v>
      </c>
      <c r="GL60" s="259">
        <f t="shared" ca="1" si="103"/>
        <v>0</v>
      </c>
      <c r="GM60" s="259">
        <f ca="1">IF(OR(GK60&gt;0,GL60&gt;0),MAX($GM$2:GM59)+1,0)</f>
        <v>0</v>
      </c>
      <c r="GN60" s="259" t="str">
        <f ca="1">IFERROR(INDEX($GD$3:$GM$400,MATCH(ROWS($GN$3:GN60),$GM$3:$GM$400,0),1),"")</f>
        <v/>
      </c>
      <c r="GO60" s="259" t="str">
        <f ca="1">IFERROR(INDEX($GD$3:$GM$400,MATCH(ROWS($GO$3:GO60),$GM$3:$GM$400,0),8),"")</f>
        <v/>
      </c>
      <c r="GP60" s="259" t="str">
        <f ca="1">IFERROR(INDEX($GD$3:$GM$400,MATCH(ROWS($GP$3:GP60),$GM$3:$GM$400,0),9),"")</f>
        <v/>
      </c>
      <c r="GQ60" s="259">
        <f t="shared" ca="1" si="28"/>
        <v>0</v>
      </c>
      <c r="GR60" s="259">
        <f t="shared" ca="1" si="104"/>
        <v>0</v>
      </c>
      <c r="GS60" s="259" t="str">
        <f t="shared" si="105"/>
        <v>epilogo a Conto economico</v>
      </c>
      <c r="GT60" s="259" t="str">
        <f ca="1">IFERROR(INDEX($GD$3:$GS$400,MATCH(ROWS($GT$3:GT60),$GM$3:$GM$400,0),16),"")</f>
        <v/>
      </c>
      <c r="GU60" s="259">
        <f ca="1">IF(GQ60&lt;&gt;0,MAX($GU$2:$GU59)+1,0)</f>
        <v>0</v>
      </c>
      <c r="GV60" s="259">
        <f t="shared" ca="1" si="106"/>
        <v>0</v>
      </c>
      <c r="GW60" s="259" t="str">
        <f ca="1">IF(AND(IFERROR(INDEX($GU$3:$GV$400,MATCH(ROWS($GW$3:GW60),$GU$3:$GU$400,0),2),"")&lt;&gt;"",GW61&lt;&gt;""),CONCATENATE(IFERROR(INDEX($GU$3:$GV$400,MATCH(ROWS($GW$3:GW60),$GU$3:$GU$400,0),2),"")," - "),IFERROR(INDEX($GU$3:$GV$400,MATCH(ROWS($GW$3:GW60),$GU$3:$GU$400,0),2),""))</f>
        <v/>
      </c>
      <c r="GX60" s="259">
        <f ca="1">IF(OR(GN60="IVA NS/CREDITO",GN60="IVA NS/DEBITO",GN60="IVA C/ACCONTO",GN60="IMPOSTE C/ACCONTO"),MAX($GX$2:GX59)+1,0)</f>
        <v>0</v>
      </c>
      <c r="GY60" s="259" t="str">
        <f ca="1">IF(AND(IFERROR(INDEX($GN$3:$GX$200,MATCH(ROWS($GY$3:GY60),$GX$3:$GX$200,0),1),"")&lt;&gt;"",GY61&lt;&gt;""),CONCATENATE(IFERROR(INDEX($GN$3:$GX$200,MATCH(ROWS($GY$3:GY60),$GX$3:$GX$200,0),1),"")," - "),IFERROR(INDEX($GN$3:$GX$200,MATCH(ROWS($GY$3:GY60),$GX$3:$GX$200,0),1),""))</f>
        <v/>
      </c>
      <c r="GZ60" s="259" t="s">
        <v>517</v>
      </c>
      <c r="HA60" s="259" t="s">
        <v>77</v>
      </c>
      <c r="HB60" s="269" t="s">
        <v>257</v>
      </c>
      <c r="HC60" s="269" t="s">
        <v>276</v>
      </c>
      <c r="HD60" s="269" t="s">
        <v>73</v>
      </c>
      <c r="HE60" s="269" t="s">
        <v>206</v>
      </c>
      <c r="HL60" s="259" t="str">
        <f t="shared" ca="1" si="157"/>
        <v/>
      </c>
      <c r="HM60" s="259" t="str">
        <f t="shared" ca="1" si="158"/>
        <v/>
      </c>
      <c r="HN60" s="259" t="str">
        <f t="shared" ca="1" si="159"/>
        <v/>
      </c>
      <c r="HO60" s="259">
        <f ca="1">IF(HL60&lt;&gt;"",MAX($HO$2:HO59)+1,0)</f>
        <v>0</v>
      </c>
      <c r="HP60" s="259">
        <f ca="1">IF(HM60&lt;&gt;"",MAX($HP$2:HP59)+1,0)</f>
        <v>0</v>
      </c>
      <c r="HQ60" s="259">
        <f ca="1">IF(HN60&lt;&gt;"",MAX($HQ$2:HQ59)+1,0)</f>
        <v>0</v>
      </c>
      <c r="HR60" s="259" t="str">
        <f t="shared" ca="1" si="107"/>
        <v/>
      </c>
      <c r="HS60" s="259" t="str">
        <f t="shared" ca="1" si="108"/>
        <v/>
      </c>
      <c r="HT60" s="259">
        <f t="shared" ca="1" si="109"/>
        <v>0</v>
      </c>
      <c r="HU60" s="259">
        <f t="shared" ca="1" si="110"/>
        <v>0</v>
      </c>
      <c r="HV60" s="259" t="str">
        <f ca="1">CONCATENATE(IFERROR(INDEX($HS$3:$HT$102,MATCH(ROWS($HV$3:HV60),$HT$3:$HT$102,0),1),""),HR60)</f>
        <v/>
      </c>
      <c r="IA60" s="259" t="s">
        <v>380</v>
      </c>
      <c r="IB60" s="259" t="s">
        <v>320</v>
      </c>
      <c r="IC60" s="259">
        <f ca="1">IFERROR(INDEX(PIANO_DEI_CONTI,MATCH(ROWS(DL$3:DL60),$DK$3:DK287,0),2),0)</f>
        <v>0</v>
      </c>
      <c r="ID60" s="259">
        <f t="shared" ca="1" si="111"/>
        <v>0</v>
      </c>
      <c r="IE60" s="259">
        <f t="shared" ca="1" si="112"/>
        <v>0</v>
      </c>
      <c r="IF60" s="259">
        <f t="shared" ca="1" si="113"/>
        <v>0</v>
      </c>
      <c r="IG60" s="259">
        <f t="shared" ca="1" si="171"/>
        <v>0</v>
      </c>
      <c r="IH60" s="259">
        <f ca="1">IF(IG60&lt;&gt;0,MAX($IH$35:IH59)+1,0)</f>
        <v>0</v>
      </c>
      <c r="II60" s="259">
        <f>IF(AD60="costi pluriennali",MAX($II$2:II59)+1,0)</f>
        <v>0</v>
      </c>
      <c r="IJ60" s="259">
        <f>IF($AD60="rettifiche costi pluriennali",MAX($IJ$2:IJ59)+1,0)</f>
        <v>0</v>
      </c>
      <c r="IK60" s="259">
        <f t="shared" si="114"/>
        <v>0</v>
      </c>
      <c r="IL60" s="259" t="str">
        <f t="shared" si="115"/>
        <v/>
      </c>
      <c r="IM60" s="259">
        <f t="shared" ca="1" si="116"/>
        <v>0</v>
      </c>
      <c r="IN60" s="259">
        <f t="shared" ca="1" si="141"/>
        <v>0</v>
      </c>
      <c r="IO60" s="259">
        <f>SUMIFS($IM$3:$IM$200,$IK$3:$IK$200,ROWS($IO$3:IO60))-SUMIFS($IN$3:$IN$200,$IK$3:$IK$200,ROWS($IO$3:IO60))</f>
        <v>0</v>
      </c>
      <c r="IP60" s="259" t="str">
        <f>IF(IO60&lt;0,INDEX($IJ$3:$IL$200,MATCH(ROWS($IP$3:IP60),$IJ$3:$IJ$200,0),3),"")</f>
        <v/>
      </c>
      <c r="IQ60" s="259">
        <f>IF(IP60&lt;&gt;"",MAX($IQ$2:IQ59)+1,0)</f>
        <v>0</v>
      </c>
      <c r="IR60" s="259" t="str">
        <f ca="1">IFERROR(INDEX($IP$3:$IQ$200,MATCH(ROWS($IR$3:IR60),$IQ$3:$IQ$200,0),1),"")</f>
        <v/>
      </c>
      <c r="IS60" s="259" t="str">
        <f t="shared" ca="1" si="117"/>
        <v/>
      </c>
      <c r="IT60" s="259" t="str">
        <f t="shared" ca="1" si="118"/>
        <v/>
      </c>
      <c r="IU60" s="259" t="str">
        <f t="shared" ca="1" si="119"/>
        <v/>
      </c>
      <c r="IV60" s="259" t="str">
        <f t="shared" ca="1" si="120"/>
        <v/>
      </c>
      <c r="IW60" s="259" t="str">
        <f t="shared" ca="1" si="121"/>
        <v/>
      </c>
      <c r="IX60" s="259" t="str">
        <f t="shared" ca="1" si="122"/>
        <v/>
      </c>
      <c r="IY60" s="259" t="str">
        <f t="shared" ca="1" si="123"/>
        <v/>
      </c>
      <c r="IZ60" s="259" t="str">
        <f t="shared" ca="1" si="124"/>
        <v/>
      </c>
      <c r="JA60" s="259" t="str">
        <f t="shared" ca="1" si="125"/>
        <v/>
      </c>
      <c r="JB60" s="259">
        <f t="shared" ca="1" si="32"/>
        <v>0</v>
      </c>
      <c r="JC60" s="259">
        <f t="shared" ca="1" si="126"/>
        <v>0</v>
      </c>
      <c r="JE60" s="259">
        <f ca="1">IFERROR(INDEX(LIBRO_GIORNALE!$N$11:$O$408,MATCH(ROWS($JE$2:JE59),LIBRO_GIORNALE!$O$11:$O$408,0),1),0)</f>
        <v>0</v>
      </c>
      <c r="JF60" s="259" t="str">
        <f t="shared" ca="1" si="127"/>
        <v>0</v>
      </c>
      <c r="JG60" s="259">
        <f t="shared" ca="1" si="128"/>
        <v>0</v>
      </c>
      <c r="JH60" s="259">
        <f ca="1">IF(JJ60&gt;0,0,MAX($JH$2:JH59)+1)</f>
        <v>58</v>
      </c>
      <c r="JI60" s="259">
        <f ca="1">IF(JG60&gt;0,MAX($JI$2:JI59)+1,0)</f>
        <v>0</v>
      </c>
      <c r="JJ60" s="259">
        <f ca="1">IFERROR(INDEX($JG$3:$JI$124,MATCH(ROWS($JJ$3:JJ60),$JI$3:$JI$124,0),1),0)</f>
        <v>0</v>
      </c>
      <c r="JK60" s="259">
        <f t="shared" ca="1" si="129"/>
        <v>0</v>
      </c>
      <c r="JL60" s="259">
        <f t="shared" ca="1" si="130"/>
        <v>58</v>
      </c>
    </row>
    <row r="61" spans="1:272">
      <c r="A61" s="259" t="str">
        <f t="shared" si="33"/>
        <v>08.21</v>
      </c>
      <c r="B61" s="259" t="str">
        <f t="shared" si="34"/>
        <v>VALORI BOLLATI</v>
      </c>
      <c r="C61" s="259" t="str">
        <f t="shared" si="35"/>
        <v>F</v>
      </c>
      <c r="D61" s="259" t="str">
        <f t="shared" si="36"/>
        <v>D</v>
      </c>
      <c r="E61" s="259" t="str">
        <f t="shared" si="37"/>
        <v>DISPONIBILITÀ LIQUIDE</v>
      </c>
      <c r="F61" s="259" t="str">
        <f t="shared" si="38"/>
        <v>SP DARE</v>
      </c>
      <c r="G61" s="259">
        <f t="shared" ca="1" si="39"/>
        <v>0</v>
      </c>
      <c r="H61" s="259">
        <f t="shared" ca="1" si="40"/>
        <v>1</v>
      </c>
      <c r="I61" s="259">
        <f t="shared" ca="1" si="41"/>
        <v>1</v>
      </c>
      <c r="K61" s="259" t="str">
        <f ca="1">IFERROR(IF($I$1=1,INDEX($AA$3:$AS$220,MATCH(ROWS($K$3:K61),$AQ$3:$AQ$220,0),1),IF($I$1=2,INDEX($AA$3:$AS$220,MATCH(ROWS($K$3:K61),$AR$3:$AR$220,0),1),IF($I$1=3,INDEX($AA$3:$AS$220,MATCH(ROWS($K$3:K61),$AS$3:$AS$220,0),1),""))),"")</f>
        <v>FONDO MANUTENZIONI PROGRAMMATE</v>
      </c>
      <c r="L61" s="259">
        <f ca="1">IF(AND($L$1="VISUALIZZA TUTTI I CONTI",K61&lt;&gt;""),MAX(L60:L60)+1,IFERROR(IF($J$1=1,IF(INDEX(PIANO_DEI_CONTI,MATCH($K61,DENOMINAZIONE,0),5)=$L$1,MAX($L$2:L60)+1,0),IF($J$1=2,IF(INDEX(PIANO_DEI_CONTI,MATCH($K61,DENOMINAZIONE,0),7)=$L$1,MAX($L$2:L60)+1,0))),0))</f>
        <v>59</v>
      </c>
      <c r="M61" s="259" t="str">
        <f ca="1">IFERROR(INDEX($K$3:$K$220,MATCH(ROWS($M$3:M61),$L$3:$L$220,0),1),"")</f>
        <v>FONDO MANUTENZIONI PROGRAMMATE</v>
      </c>
      <c r="Q61" s="259" t="str">
        <f ca="1">IF(IFERROR(INDEX($O$3:$P$220,MATCH(ROWS(Q$3:Q61),$P$3:$P$220,0),1),"")=0,"",IFERROR(INDEX($O$3:$P$220,MATCH(ROWS(Q$3:Q61),$P$3:$P$220,0),1),""))</f>
        <v/>
      </c>
      <c r="R61" s="259" t="str">
        <f t="shared" si="1"/>
        <v/>
      </c>
      <c r="S61" s="259">
        <f ca="1">IF(IFERROR(MATCH(R61,DENOMINAZIONE_GIORNALE,0),0)&gt;0,MAX(S$2:S60)+1,0)</f>
        <v>0</v>
      </c>
      <c r="T61" s="259" t="str">
        <f ca="1">IFERROR(INDEX($R$3:$S$220,MATCH(ROWS($T$3:T61),$S$3:$S$220,0),1),"")</f>
        <v/>
      </c>
      <c r="U61" s="259">
        <f t="shared" ca="1" si="2"/>
        <v>0</v>
      </c>
      <c r="V61" s="259">
        <f ca="1">IF(IF(U61&lt;&gt;0,MAX($V$2:V60)+1,0)=0,0,IF(U61&lt;&gt;0,MAX($V$2:V60)+1,0))</f>
        <v>0</v>
      </c>
      <c r="W61" s="259" t="str">
        <f t="shared" si="43"/>
        <v>08.21</v>
      </c>
      <c r="X61" s="259" t="str">
        <f t="shared" si="44"/>
        <v>VALORI BOLLATI</v>
      </c>
      <c r="Y61" s="259">
        <f>IF(W61="",0,MAX($Y$2:Y60)+1)</f>
        <v>52</v>
      </c>
      <c r="Z61" s="259" t="str">
        <f>IFERROR(INDEX($W$3:$Y$220,MATCH(ROWS($Z$2:Z60),$Y$3:$Y$220,0),1),"")</f>
        <v>10.05</v>
      </c>
      <c r="AA61" s="259" t="str">
        <f t="shared" si="45"/>
        <v>PERDITA D'ESERCIZIO</v>
      </c>
      <c r="AB61" s="259" t="str">
        <f t="shared" si="46"/>
        <v>E</v>
      </c>
      <c r="AC61" s="259" t="str">
        <f t="shared" si="47"/>
        <v>D</v>
      </c>
      <c r="AD61" s="259" t="str">
        <f t="shared" si="48"/>
        <v>PATRIMONIO NETTO</v>
      </c>
      <c r="AE61" s="259" t="str">
        <f t="shared" si="49"/>
        <v>SP DARE - SE AVERE</v>
      </c>
      <c r="AF61" s="259" t="str">
        <f t="shared" si="50"/>
        <v>PATRIMONIO NETTO</v>
      </c>
      <c r="AG61" s="259">
        <f t="shared" ca="1" si="51"/>
        <v>0</v>
      </c>
      <c r="AH61" s="259">
        <f t="shared" ca="1" si="52"/>
        <v>0</v>
      </c>
      <c r="AI61" s="259">
        <f t="shared" ca="1" si="53"/>
        <v>0</v>
      </c>
      <c r="AJ61" s="259" t="str">
        <f t="shared" si="54"/>
        <v>10</v>
      </c>
      <c r="AK61" s="259" t="str">
        <f t="shared" si="55"/>
        <v/>
      </c>
      <c r="AL61" s="259">
        <f>IF(AK61&lt;&gt;"",MAX($AL$2:AL60)+1,0)</f>
        <v>0</v>
      </c>
      <c r="AM61" s="259" t="str">
        <f>IFERROR(INDEX($AK$3:$AL$220,MATCH(ROWS($AM$3:AM61),$AL$3:$AL$220,0),1),"")</f>
        <v/>
      </c>
      <c r="AN61" s="259" t="str">
        <f t="shared" si="56"/>
        <v/>
      </c>
      <c r="AO61" s="259" t="str">
        <f t="shared" si="57"/>
        <v/>
      </c>
      <c r="AP61" s="259" t="str">
        <f t="shared" si="58"/>
        <v>PATRIMONIO NETTO</v>
      </c>
      <c r="AQ61" s="259">
        <f ca="1">IF(OR(AG61=0,AG61=""),0,MAX(AQ$2:AQ60)+1)</f>
        <v>0</v>
      </c>
      <c r="AR61" s="259">
        <f ca="1">IF(OR(AH61=0,AH61=""),0,MAX(AR$2:AR60)+1)</f>
        <v>0</v>
      </c>
      <c r="AS61" s="259">
        <f ca="1">IF(OR(AI61=0,AI61=""),0,MAX(AS$2:AS60)+1)</f>
        <v>0</v>
      </c>
      <c r="AT61" s="259" t="str">
        <f ca="1">IFERROR(INDEX($AD$3:$AS$220,MATCH(ROWS(AT$3:AT61),AQ$3:AQ$220,0),1),"")</f>
        <v>RETTIFICHE COSTI D'ESERCIZIO</v>
      </c>
      <c r="AU61" s="259" t="str">
        <f ca="1">IFERROR(INDEX($AD$3:$AS$220,MATCH(ROWS(AU$3:AU61),AR$3:AR$220,0),1),"")</f>
        <v>DEBITI</v>
      </c>
      <c r="AV61" s="259" t="str">
        <f ca="1">IFERROR(INDEX($AD$3:$AS$220,MATCH(ROWS(AV$3:AV61),AS$3:AS$220,0),1),"")</f>
        <v>RATEI, FONDI RISCHI E ONERI</v>
      </c>
      <c r="AW61" s="259" t="str">
        <f ca="1">IFERROR(INDEX($AP$3:$AS$220,MATCH(ROWS(AW$3:AW61),AQ$3:AQ$220,0),1),"")</f>
        <v>COSTI PER MERCI E MATERIE DI CONSUMO</v>
      </c>
      <c r="AX61" s="259" t="str">
        <f ca="1">IFERROR(INDEX($AP$3:$AS$220,MATCH(ROWS(AX$3:AX61),AR$3:AR$220,0),1),"")</f>
        <v>DEBITI DIVERSI</v>
      </c>
      <c r="AY61" s="259" t="str">
        <f ca="1">IFERROR(INDEX($AP$3:$AS$220,MATCH(ROWS(AY$3:AY61),AS$3:AS$220,0),1),"")</f>
        <v>FONDI PER RISCHI E ONERI</v>
      </c>
      <c r="AZ61" s="276" t="str">
        <f t="shared" ca="1" si="59"/>
        <v/>
      </c>
      <c r="BA61" s="259">
        <f t="shared" ca="1" si="153"/>
        <v>0</v>
      </c>
      <c r="BB61" s="259">
        <f ca="1">IFERROR(INDEX($FG$3:$FL$400,MATCH(ROWS($BB$3:BB61),$FL$3:$FL$400,0),1),0)</f>
        <v>0</v>
      </c>
      <c r="BC61" s="259" t="str">
        <f t="shared" ca="1" si="60"/>
        <v/>
      </c>
      <c r="BD61" s="259">
        <f ca="1">IFERROR(INDEX($FG$3:$FL$400,MATCH(ROWS($BD$3:BD61),$FL$3:$FL$400,0),4),0)</f>
        <v>0</v>
      </c>
      <c r="BE61" s="259">
        <f ca="1">IFERROR(INDEX($FG$3:$FL$400,MATCH(ROWS($BE$3:BE61),$FL$3:$FL$400,0),5),0)</f>
        <v>0</v>
      </c>
      <c r="BG61" s="259" t="str">
        <f t="shared" si="4"/>
        <v/>
      </c>
      <c r="BH61" s="259">
        <f ca="1">IF(IFERROR(MATCH(BG61,DENOMINAZIONE_GIORNALE,0),0)&gt;0,MAX(BH$2:BH60)+1,0)</f>
        <v>0</v>
      </c>
      <c r="BI61" s="259" t="str">
        <f ca="1">IFERROR(INDEX($BG$3:$BH$220,MATCH(ROWS($BI$3:BI61),$BH$3:$BH$220,0),1),"")</f>
        <v/>
      </c>
      <c r="BJ61" s="259" t="str">
        <f t="shared" ca="1" si="5"/>
        <v/>
      </c>
      <c r="BK61" s="259" t="str">
        <f ca="1">IF(IF(BJ61&lt;&gt;"",MAX($BK$2:BK60)+1,0)=0,"",IF(BJ61&lt;&gt;"",MAX($BK$2:BK60)+1,0))</f>
        <v/>
      </c>
      <c r="BL61" s="259" t="str">
        <f ca="1">IFERROR(INDEX($T$3:$U$220, MATCH(ROWS(BL$3:BL61),$V$3:$V$220,0),1),"")</f>
        <v/>
      </c>
      <c r="BM61" s="259" t="str">
        <f ca="1">IFERROR(INDEX($T$3:$U$220, MATCH(ROWS(BM$3:BM61),$V$3:$V$220,0),2),"")</f>
        <v/>
      </c>
      <c r="BN61" s="259" t="str">
        <f ca="1">IF(IFERROR(INDEX($BI$3:$BJ$220,MATCH(ROWS(BN$3:BN61),$BK$3:$BK$220,0),1),"")="PATRIMONIO NETTO","",IFERROR(INDEX($BI$3:$BJ$220,MATCH(ROWS(BN$3:BN61),$BK$3:$BK$220,0),1),""))</f>
        <v/>
      </c>
      <c r="BO61" s="259" t="str">
        <f ca="1">IFERROR(INDEX($BI$3:$BJ$220,MATCH(ROWS(BO$3:BO61),$BK$3:$BK$220,0),2),"")</f>
        <v/>
      </c>
      <c r="BP61" s="259">
        <f ca="1">IF(BN61&lt;&gt;"",MAX(BP$2:$BP60)+1,0)</f>
        <v>0</v>
      </c>
      <c r="BQ61" s="259" t="str">
        <f ca="1">IFERROR(INDEX($BN$3:$BO$200,MATCH(ROWS(BQ$3:BQ61),$BP$3:$BP$220,0),1),"")</f>
        <v/>
      </c>
      <c r="BR61" s="259" t="str">
        <f ca="1">IFERROR(INDEX($BN$3:$BO$220,MATCH(ROWS(BR$3:BR61),$BP$3:$BP$220,0),2),"")</f>
        <v/>
      </c>
      <c r="BS61" s="259" t="str">
        <f ca="1">IFERROR(IF(OR(INDEX($T$3:$U$220,MATCH(ROWS(BL$3:BL61),$V$3:$V$220,0),1)="PRELEVAMENTI EXTRAGESTIONE",INDEX($T$3:$U$220,MATCH(ROWS(BL$3:BL61),$V$3:$V$220,0),1)="TITOLARE C/RITENUTE SUBITE"),"",INDEX($T$3:$U$220,MATCH(ROWS(BL$3:BL61),$V$3:$V$220,0),1)),"")</f>
        <v/>
      </c>
      <c r="BT61" s="259">
        <f t="shared" ca="1" si="61"/>
        <v>0</v>
      </c>
      <c r="BU61" s="259">
        <f ca="1">IF(BS61&lt;&gt;"",MAX(BU$2:BU60)+1,0)</f>
        <v>0</v>
      </c>
      <c r="BV61" s="259" t="str">
        <f ca="1">IFERROR(INDEX($BS$3:$BT$223,MATCH(ROWS(BV$3:BV61),$BU$3:$BU$223,0),1),"")</f>
        <v/>
      </c>
      <c r="BW61" s="259">
        <f t="shared" ca="1" si="62"/>
        <v>0</v>
      </c>
      <c r="BX61" s="259" t="str">
        <f t="shared" ca="1" si="63"/>
        <v/>
      </c>
      <c r="BY61" s="259" t="str">
        <f t="shared" ca="1" si="64"/>
        <v/>
      </c>
      <c r="BZ61" s="259" t="str">
        <f ca="1">IFERROR(IF(OR($DS$231&lt;&gt;$DT$231,$DU$231&lt;&gt;$DV$231,$EO$25&lt;&gt;0,$EO$26&lt;&gt;0),INDEX($T$3:$V$220,MATCH(ROWS($BV$3:BV61),$V$3:$V$220,0),1),CONCATENATE(BV61,BY61)),"")</f>
        <v/>
      </c>
      <c r="CA61" s="259">
        <f t="shared" ca="1" si="65"/>
        <v>0</v>
      </c>
      <c r="CB61" s="259" t="str">
        <f ca="1">IFERROR(IF(OR($BB$1&lt;&gt;$BD$1,$BC$1&lt;&gt;$BE$1,$DS$231&lt;&gt;$DT$231,$DU$231&lt;&gt;$DV$231,$EO$25&lt;&gt;0,$EO$26&lt;&gt;0),INDEX($BI$3:$BK$220,MATCH(ROWS($CB$3:CB61),$BK$3:$BK$220,0),1),CONCATENATE(BQ61,BX61)),"")</f>
        <v/>
      </c>
      <c r="CC61" s="259" t="str">
        <f t="shared" ca="1" si="66"/>
        <v/>
      </c>
      <c r="CD61" s="259" t="str">
        <f t="shared" si="6"/>
        <v/>
      </c>
      <c r="CE61" s="259">
        <f ca="1">IF(IFERROR(MATCH(CD61,DENOMINAZIONE_GIORNALE,0),0)&gt;0,MAX(CE$2:CE60)+1,0)</f>
        <v>0</v>
      </c>
      <c r="CF61" s="259" t="str">
        <f ca="1">IFERROR(INDEX($CD$3:$CE$220,MATCH(ROWS($CF$3:CF61),$CE$3:$CE$220,0),1),"")</f>
        <v/>
      </c>
      <c r="CG61" s="259">
        <f t="shared" ca="1" si="7"/>
        <v>0</v>
      </c>
      <c r="CH61" s="259" t="str">
        <f ca="1">IF(IF(CG61&lt;&gt;0,MAX($CH$2:CH60)+1,0)=0,"",IF(CG61&lt;&gt;"",MAX($CH$2:CH60)+1,0))</f>
        <v/>
      </c>
      <c r="CI61" s="259" t="str">
        <f ca="1">IFERROR(INDEX($CF$3:$CG$220,MATCH(ROWS($CI$3:CI61),$CH$3:$CH$220,0),1),"")</f>
        <v/>
      </c>
      <c r="CJ61" s="259" t="str">
        <f t="shared" ca="1" si="67"/>
        <v/>
      </c>
      <c r="CK61" s="259" t="str">
        <f t="shared" si="8"/>
        <v/>
      </c>
      <c r="CL61" s="259">
        <f ca="1">IF(IFERROR(MATCH(CK61,DENOMINAZIONE_GIORNALE,0),0)&gt;0,MAX(CL$2:CL60)+1,0)</f>
        <v>0</v>
      </c>
      <c r="CM61" s="259" t="str">
        <f ca="1">IFERROR(INDEX($CK$3:$CL$220,MATCH(ROWS($CM$3:CM61),$CL$3:$CL$220,0),1),"")</f>
        <v/>
      </c>
      <c r="CN61" s="259" t="str">
        <f t="shared" ca="1" si="9"/>
        <v/>
      </c>
      <c r="CO61" s="259">
        <f ca="1">IF(IF(CN61&lt;&gt;0,MAX($CO$2:CO60)+1,0)=0,"",IF(CN61&lt;&gt;"",MAX($CO$2:CO60)+1,0))</f>
        <v>0</v>
      </c>
      <c r="CP61" s="259" t="str">
        <f ca="1">IFERROR(INDEX($CM$3:$CN$220,MATCH(ROWS(CP$3:CP61),$CO$3:$CO$220,0),1),"")</f>
        <v/>
      </c>
      <c r="CQ61" s="259" t="str">
        <f ca="1">IFERROR(INDEX($CM$3:$CN$220,MATCH(ROWS(CQ$3:CQ61),$CO$3:$CO$220,0),2),"")</f>
        <v/>
      </c>
      <c r="CR61" s="259" t="str">
        <f t="shared" ca="1" si="154"/>
        <v/>
      </c>
      <c r="CS61" s="259">
        <f t="shared" ca="1" si="11"/>
        <v>0</v>
      </c>
      <c r="CT61" s="259">
        <f t="shared" ca="1" si="12"/>
        <v>0</v>
      </c>
      <c r="CU61" s="259">
        <f ca="1">IF(OR(CS61&gt;0,CT61&gt;0),MAX($CU$2:CU60)+1,0)</f>
        <v>0</v>
      </c>
      <c r="CV61" s="259" t="str">
        <f ca="1">IFERROR(INDEX(PIANO_DEI_CONTI,MATCH(ROWS($CV$3:CV61),$CU$3:$CU$200,0),2),"")</f>
        <v/>
      </c>
      <c r="CW61" s="259">
        <f ca="1">IFERROR(IF(CV61&lt;&gt;"",MAX($CW$2:CW60)+1,0),0)</f>
        <v>0</v>
      </c>
      <c r="CX61" s="259">
        <f t="shared" ca="1" si="174"/>
        <v>4</v>
      </c>
      <c r="CY61" s="259" t="str">
        <f t="shared" ca="1" si="161"/>
        <v>MASTRO</v>
      </c>
      <c r="CZ61" s="259" t="e">
        <f t="shared" ca="1" si="176"/>
        <v>#N/A</v>
      </c>
      <c r="DA61" s="259" t="str">
        <f t="shared" ca="1" si="181"/>
        <v/>
      </c>
      <c r="DB61" s="259" t="str">
        <f t="shared" ca="1" si="177"/>
        <v/>
      </c>
      <c r="DC61" s="259" t="str">
        <f t="shared" ca="1" si="178"/>
        <v/>
      </c>
      <c r="DD61" s="259" t="str">
        <f t="shared" ca="1" si="179"/>
        <v/>
      </c>
      <c r="DE61" s="259" t="str">
        <f t="shared" ca="1" si="180"/>
        <v/>
      </c>
      <c r="DF61" s="259">
        <f ca="1">IF(AND(CX61=$DE$2,$DF$2&lt;&gt;0),0,IF(AND(DB61&lt;&gt;"",OR(DB60&lt;&gt;"",DB62&lt;&gt;"")),MAX($DF$2:DF60)+1,0))</f>
        <v>0</v>
      </c>
      <c r="DG61" s="259" t="str">
        <f>IF(OR(VALORI_INIZIALI!E66="",AND(VALORI_INIZIALI!E66&lt;&gt;"",VALORI_INIZIALI!H66=0,VALORI_INIZIALI!I66=0)),"",IFERROR(INDEX(PIANO_DEI_CONTI,MATCH(BB61,DENOMINAZIONE,0),1),0))</f>
        <v/>
      </c>
      <c r="DH61" s="259">
        <f ca="1">IFERROR(IF($J$1=1,IF(INDEX(PIANO_DEI_CONTI,MATCH($K61,DENOMINAZIONE,0),5)=$DF$1,MAX($DH$2:DH60)+1,0),IF($J$1=2,IF(INDEX(PIANO_DEI_CONTI,MATCH($K61,DENOMINAZIONE,0),7)=$DF$1,MAX($DH$2:DH60)+1,0))),0)</f>
        <v>0</v>
      </c>
      <c r="DI61" s="259">
        <f ca="1">IFERROR(INDEX($K$3:$K$220,MATCH(ROWS($DI$3:DI61),$DH$3:$DH$220,0),1),0)</f>
        <v>0</v>
      </c>
      <c r="DJ61" s="259">
        <f t="shared" ca="1" si="14"/>
        <v>0</v>
      </c>
      <c r="DK61" s="259">
        <f ca="1">IF(DJ61=0,0,MAX(DK$2:DK60)+1)</f>
        <v>0</v>
      </c>
      <c r="DL61" s="259">
        <f ca="1">IFERROR(INDEX(PIANO_DEI_CONTI,MATCH(ROWS(DL$3:DL61),$DK$3:DK288,0),2),0)</f>
        <v>0</v>
      </c>
      <c r="DM61" s="259">
        <f t="shared" ca="1" si="15"/>
        <v>0</v>
      </c>
      <c r="DN61" s="259">
        <f t="shared" ca="1" si="16"/>
        <v>0</v>
      </c>
      <c r="DO61" s="259">
        <f t="shared" ca="1" si="69"/>
        <v>0</v>
      </c>
      <c r="DP61" s="259">
        <f t="shared" ca="1" si="70"/>
        <v>0</v>
      </c>
      <c r="DQ61" s="259">
        <f ca="1">IF(OR($DQ$1="TOTALI",$DQ$1="TOTALI ED ECCEDENZE"),IF(OR(DM61&gt;0,DN61&gt;0),MAX(DQ$2:DQ60)+1,0),IF($DQ$1="ECCEDENZE",IF(OR(DO61&gt;0,DP61&gt;0),MAX(DQ$2:DQ60)+1,0),""))</f>
        <v>0</v>
      </c>
      <c r="DR61" s="259" t="str">
        <f ca="1">IFERROR(INDEX($DL$3:$DQ$230,MATCH(ROWS(DR$3:DR61),$DQ$3:$DQ$230,0),1),"")</f>
        <v/>
      </c>
      <c r="DS61" s="259" t="str">
        <f t="shared" ca="1" si="71"/>
        <v/>
      </c>
      <c r="DT61" s="259" t="str">
        <f t="shared" ca="1" si="72"/>
        <v/>
      </c>
      <c r="DU61" s="259" t="str">
        <f t="shared" ca="1" si="73"/>
        <v/>
      </c>
      <c r="DV61" s="259" t="str">
        <f t="shared" ca="1" si="74"/>
        <v/>
      </c>
      <c r="DW61" s="259">
        <f t="shared" ca="1" si="75"/>
        <v>0</v>
      </c>
      <c r="DX61" s="259" t="str">
        <f t="shared" ca="1" si="76"/>
        <v/>
      </c>
      <c r="DY61" s="259" t="str">
        <f t="shared" ca="1" si="77"/>
        <v/>
      </c>
      <c r="DZ61" s="259" t="str">
        <f t="shared" ca="1" si="78"/>
        <v/>
      </c>
      <c r="EA61" s="259">
        <f t="shared" ca="1" si="79"/>
        <v>59</v>
      </c>
      <c r="EB61" s="259" t="s">
        <v>358</v>
      </c>
      <c r="ED61" s="259">
        <f t="shared" ca="1" si="17"/>
        <v>0</v>
      </c>
      <c r="EE61" s="259" t="str">
        <f t="shared" ca="1" si="155"/>
        <v/>
      </c>
      <c r="EF61" s="259" t="str">
        <f t="shared" ca="1" si="19"/>
        <v/>
      </c>
      <c r="EG61" s="259" t="str">
        <f t="shared" ca="1" si="136"/>
        <v/>
      </c>
      <c r="EH61" s="259" t="str">
        <f t="shared" ca="1" si="80"/>
        <v/>
      </c>
      <c r="EI61" s="260" t="b">
        <f t="shared" ca="1" si="137"/>
        <v>0</v>
      </c>
      <c r="EJ61" s="260" t="b">
        <f t="shared" ca="1" si="138"/>
        <v>1</v>
      </c>
      <c r="EK61" s="260" t="b">
        <f t="shared" ca="1" si="139"/>
        <v>1</v>
      </c>
      <c r="EL61" s="259">
        <f t="shared" si="81"/>
        <v>59</v>
      </c>
      <c r="EM61" s="259">
        <f ca="1">IF(AND(BA61&gt;0,BA61&lt;=$EM$1),MAX($EM$2:EM60)+1,0)</f>
        <v>0</v>
      </c>
      <c r="EN61" s="259">
        <f t="shared" ca="1" si="82"/>
        <v>61</v>
      </c>
      <c r="EP61" s="259" t="str">
        <f t="shared" ca="1" si="20"/>
        <v/>
      </c>
      <c r="EQ61" s="259">
        <f t="shared" ca="1" si="21"/>
        <v>0</v>
      </c>
      <c r="ER61" s="259">
        <f ca="1">IF(ISNA(EQ61),MAX(ER$2:ER60)+1,0)</f>
        <v>0</v>
      </c>
      <c r="ES61" s="259" t="str">
        <f t="shared" ca="1" si="83"/>
        <v/>
      </c>
      <c r="ET61" s="259" t="str">
        <f ca="1">IFERROR(UPPER(INDEX($ER$3:$ES$500,MATCH(ROWS(ET$3:ET61),$ER$3:$ER$500,0),2)),"")</f>
        <v/>
      </c>
      <c r="EY61" s="259">
        <f t="shared" ca="1" si="84"/>
        <v>0</v>
      </c>
      <c r="EZ61" s="259">
        <f t="shared" ca="1" si="84"/>
        <v>0</v>
      </c>
      <c r="FA61" s="259" t="str">
        <f t="shared" ca="1" si="85"/>
        <v/>
      </c>
      <c r="FB61" s="259">
        <f t="shared" ca="1" si="86"/>
        <v>0</v>
      </c>
      <c r="FC61" s="259">
        <f t="shared" ca="1" si="87"/>
        <v>0</v>
      </c>
      <c r="FD61" s="259">
        <f t="shared" ca="1" si="22"/>
        <v>0</v>
      </c>
      <c r="FE61" s="259" t="str">
        <f t="shared" ca="1" si="23"/>
        <v/>
      </c>
      <c r="FF61" s="259" t="str">
        <f t="shared" ca="1" si="88"/>
        <v/>
      </c>
      <c r="FG61" s="259" t="str">
        <f t="shared" si="89"/>
        <v>PERDITA D'ESERCIZIO</v>
      </c>
      <c r="FH61" s="259">
        <f t="shared" ca="1" si="156"/>
        <v>0</v>
      </c>
      <c r="FI61" s="259">
        <f t="shared" ca="1" si="25"/>
        <v>0</v>
      </c>
      <c r="FJ61" s="259">
        <f t="shared" ca="1" si="90"/>
        <v>0</v>
      </c>
      <c r="FK61" s="259">
        <f t="shared" ca="1" si="91"/>
        <v>0</v>
      </c>
      <c r="FL61" s="259">
        <f ca="1">IF(OR(FJ61&gt;0,FK61&gt;0),MAX($FL$2:FL60)+1,0)</f>
        <v>0</v>
      </c>
      <c r="FM61" s="259">
        <f t="shared" si="26"/>
        <v>0</v>
      </c>
      <c r="FN61" s="259">
        <f>IF(FM61&lt;0,MAX($FN$2:FN60)+1,0)</f>
        <v>0</v>
      </c>
      <c r="FO61" s="259" t="str">
        <f t="shared" si="92"/>
        <v/>
      </c>
      <c r="FP61" s="259" t="str">
        <f ca="1">IFERROR(INDEX($FN$3:$FO$400,MATCH(ROWS($FP$3:FP61),$FN$3:$FN$400,0),2),"")</f>
        <v/>
      </c>
      <c r="FQ61" s="259" t="str">
        <f>IF(AE61="SE AVERE",MAX($FQ$2:FQ60)+1,"")</f>
        <v/>
      </c>
      <c r="FR61" s="259" t="str">
        <f>IF(AE61="SE DARE",MAX($FR$2:FR60)+1,"")</f>
        <v/>
      </c>
      <c r="FS61" s="259" t="str">
        <f ca="1">IF(AND(AE61="SP DARE",AA61&lt;&gt;$FS$1,AA61&lt;&gt;$FT$1),MAX($FS$2:FS60)+1,IF(AND(GQ61="SP DARE",AA61&lt;&gt;$FS$1,AA61&lt;&gt;$FT$1),MAX($FS$2:FS60)+1,""))</f>
        <v/>
      </c>
      <c r="FT61" s="259" t="str">
        <f ca="1">IF(AND(AE61="SP AVERE",AA61&lt;&gt;$FU$1),MAX($FT$2:FT60)+1,IF(AND(GQ61="SP AVERE",AA61&lt;&gt;$FU$1),MAX($FT$2:FT60)+1,""))</f>
        <v/>
      </c>
      <c r="FU61" s="259">
        <f t="shared" ca="1" si="93"/>
        <v>0</v>
      </c>
      <c r="FV61" s="259" t="str">
        <f t="shared" si="94"/>
        <v>PERDITA D'ESERCIZIO</v>
      </c>
      <c r="FW61" s="259" t="str">
        <f ca="1">IFERROR(INDEX($FU$3:$FV$500,MATCH(ROWS($FW$3:FW61),$FU$3:$FU$500,0),2),0)</f>
        <v>AMMORTAMENTO IMBALLAGGI DUREVOLI</v>
      </c>
      <c r="FX61" s="259">
        <f t="shared" ca="1" si="95"/>
        <v>59</v>
      </c>
      <c r="FY61" s="259">
        <f t="shared" ca="1" si="96"/>
        <v>0</v>
      </c>
      <c r="FZ61" s="259">
        <f ca="1">IF(FY61&gt;0,MAX($FZ$2:FZ60)+1,0)</f>
        <v>0</v>
      </c>
      <c r="GA61" s="259">
        <f ca="1">IFERROR(INDEX($FY$3:$FZ$500,MATCH(ROWS($GA$3:GA61),$FZ$3:$FZ$500,0),1),0)</f>
        <v>0</v>
      </c>
      <c r="GC61" s="259">
        <f t="shared" ca="1" si="97"/>
        <v>59</v>
      </c>
      <c r="GD61" s="259" t="str">
        <f t="shared" ca="1" si="98"/>
        <v>AMMORTAMENTO IMBALLAGGI DUREVOLI</v>
      </c>
      <c r="GG61" s="259">
        <f t="shared" ca="1" si="27"/>
        <v>0</v>
      </c>
      <c r="GH61" s="259">
        <f t="shared" ca="1" si="99"/>
        <v>0</v>
      </c>
      <c r="GI61" s="259">
        <f t="shared" ca="1" si="100"/>
        <v>0</v>
      </c>
      <c r="GJ61" s="259">
        <f t="shared" ca="1" si="101"/>
        <v>0</v>
      </c>
      <c r="GK61" s="259">
        <f t="shared" ca="1" si="102"/>
        <v>0</v>
      </c>
      <c r="GL61" s="259">
        <f t="shared" ca="1" si="103"/>
        <v>0</v>
      </c>
      <c r="GM61" s="259">
        <f ca="1">IF(OR(GK61&gt;0,GL61&gt;0),MAX($GM$2:GM60)+1,0)</f>
        <v>0</v>
      </c>
      <c r="GN61" s="259" t="str">
        <f ca="1">IFERROR(INDEX($GD$3:$GM$400,MATCH(ROWS($GN$3:GN61),$GM$3:$GM$400,0),1),"")</f>
        <v/>
      </c>
      <c r="GO61" s="259" t="str">
        <f ca="1">IFERROR(INDEX($GD$3:$GM$400,MATCH(ROWS($GO$3:GO61),$GM$3:$GM$400,0),8),"")</f>
        <v/>
      </c>
      <c r="GP61" s="259" t="str">
        <f ca="1">IFERROR(INDEX($GD$3:$GM$400,MATCH(ROWS($GP$3:GP61),$GM$3:$GM$400,0),9),"")</f>
        <v/>
      </c>
      <c r="GQ61" s="259">
        <f t="shared" ca="1" si="28"/>
        <v>0</v>
      </c>
      <c r="GR61" s="259">
        <f t="shared" ca="1" si="104"/>
        <v>0</v>
      </c>
      <c r="GS61" s="259" t="str">
        <f t="shared" si="105"/>
        <v>epilogo a Conto economico</v>
      </c>
      <c r="GT61" s="259" t="str">
        <f ca="1">IFERROR(INDEX($GD$3:$GS$400,MATCH(ROWS($GT$3:GT61),$GM$3:$GM$400,0),16),"")</f>
        <v/>
      </c>
      <c r="GU61" s="259">
        <f ca="1">IF(GQ61&lt;&gt;0,MAX($GU$2:$GU60)+1,0)</f>
        <v>0</v>
      </c>
      <c r="GV61" s="259">
        <f t="shared" ca="1" si="106"/>
        <v>0</v>
      </c>
      <c r="GW61" s="259" t="str">
        <f ca="1">IF(AND(IFERROR(INDEX($GU$3:$GV$400,MATCH(ROWS($GW$3:GW61),$GU$3:$GU$400,0),2),"")&lt;&gt;"",GW62&lt;&gt;""),CONCATENATE(IFERROR(INDEX($GU$3:$GV$400,MATCH(ROWS($GW$3:GW61),$GU$3:$GU$400,0),2),"")," - "),IFERROR(INDEX($GU$3:$GV$400,MATCH(ROWS($GW$3:GW61),$GU$3:$GU$400,0),2),""))</f>
        <v/>
      </c>
      <c r="GX61" s="259">
        <f ca="1">IF(OR(GN61="IVA NS/CREDITO",GN61="IVA NS/DEBITO",GN61="IVA C/ACCONTO",GN61="IMPOSTE C/ACCONTO"),MAX($GX$2:GX60)+1,0)</f>
        <v>0</v>
      </c>
      <c r="GY61" s="259" t="str">
        <f ca="1">IF(AND(IFERROR(INDEX($GN$3:$GX$200,MATCH(ROWS($GY$3:GY61),$GX$3:$GX$200,0),1),"")&lt;&gt;"",GY62&lt;&gt;""),CONCATENATE(IFERROR(INDEX($GN$3:$GX$200,MATCH(ROWS($GY$3:GY61),$GX$3:$GX$200,0),1),"")," - "),IFERROR(INDEX($GN$3:$GX$200,MATCH(ROWS($GY$3:GY61),$GX$3:$GX$200,0),1),""))</f>
        <v/>
      </c>
      <c r="GZ61" s="259" t="s">
        <v>518</v>
      </c>
      <c r="HA61" s="259" t="s">
        <v>519</v>
      </c>
      <c r="HB61" s="269" t="s">
        <v>257</v>
      </c>
      <c r="HC61" s="269" t="s">
        <v>276</v>
      </c>
      <c r="HD61" s="269" t="s">
        <v>73</v>
      </c>
      <c r="HE61" s="269" t="s">
        <v>206</v>
      </c>
      <c r="HG61" s="270"/>
      <c r="HL61" s="259" t="str">
        <f t="shared" ca="1" si="157"/>
        <v/>
      </c>
      <c r="HM61" s="259" t="str">
        <f t="shared" ca="1" si="158"/>
        <v/>
      </c>
      <c r="HN61" s="259" t="str">
        <f t="shared" ca="1" si="159"/>
        <v/>
      </c>
      <c r="HO61" s="259">
        <f ca="1">IF(HL61&lt;&gt;"",MAX($HO$2:HO60)+1,0)</f>
        <v>0</v>
      </c>
      <c r="HP61" s="259">
        <f ca="1">IF(HM61&lt;&gt;"",MAX($HP$2:HP60)+1,0)</f>
        <v>0</v>
      </c>
      <c r="HQ61" s="259">
        <f ca="1">IF(HN61&lt;&gt;"",MAX($HQ$2:HQ60)+1,0)</f>
        <v>0</v>
      </c>
      <c r="HR61" s="259" t="str">
        <f t="shared" ca="1" si="107"/>
        <v/>
      </c>
      <c r="HS61" s="259" t="str">
        <f t="shared" ca="1" si="108"/>
        <v/>
      </c>
      <c r="HT61" s="259">
        <f t="shared" ca="1" si="109"/>
        <v>0</v>
      </c>
      <c r="HU61" s="259">
        <f t="shared" ca="1" si="110"/>
        <v>0</v>
      </c>
      <c r="HV61" s="259" t="str">
        <f ca="1">CONCATENATE(IFERROR(INDEX($HS$3:$HT$102,MATCH(ROWS($HV$3:HV61),$HT$3:$HT$102,0),1),""),HR61)</f>
        <v/>
      </c>
      <c r="IA61" s="259" t="s">
        <v>381</v>
      </c>
      <c r="IB61" s="259" t="s">
        <v>321</v>
      </c>
      <c r="IC61" s="259">
        <f ca="1">IFERROR(INDEX(PIANO_DEI_CONTI,MATCH(ROWS(DL$3:DL61),$DK$3:DK288,0),2),0)</f>
        <v>0</v>
      </c>
      <c r="ID61" s="259">
        <f t="shared" ca="1" si="111"/>
        <v>0</v>
      </c>
      <c r="IE61" s="259">
        <f t="shared" ca="1" si="112"/>
        <v>0</v>
      </c>
      <c r="IF61" s="259">
        <f t="shared" ca="1" si="113"/>
        <v>0</v>
      </c>
      <c r="IG61" s="259">
        <f t="shared" ca="1" si="171"/>
        <v>0</v>
      </c>
      <c r="IH61" s="259">
        <f ca="1">IF(IG61&lt;&gt;0,MAX($IH$35:IH60)+1,0)</f>
        <v>0</v>
      </c>
      <c r="II61" s="259">
        <f>IF(AD61="costi pluriennali",MAX($II$2:II60)+1,0)</f>
        <v>0</v>
      </c>
      <c r="IJ61" s="259">
        <f>IF($AD61="rettifiche costi pluriennali",MAX($IJ$2:IJ60)+1,0)</f>
        <v>0</v>
      </c>
      <c r="IK61" s="259">
        <f t="shared" si="114"/>
        <v>0</v>
      </c>
      <c r="IL61" s="259" t="str">
        <f t="shared" si="115"/>
        <v/>
      </c>
      <c r="IM61" s="259">
        <f t="shared" ca="1" si="116"/>
        <v>0</v>
      </c>
      <c r="IN61" s="259">
        <f t="shared" ca="1" si="141"/>
        <v>0</v>
      </c>
      <c r="IO61" s="259">
        <f>SUMIFS($IM$3:$IM$200,$IK$3:$IK$200,ROWS($IO$3:IO61))-SUMIFS($IN$3:$IN$200,$IK$3:$IK$200,ROWS($IO$3:IO61))</f>
        <v>0</v>
      </c>
      <c r="IP61" s="259" t="str">
        <f>IF(IO61&lt;0,INDEX($IJ$3:$IL$200,MATCH(ROWS($IP$3:IP61),$IJ$3:$IJ$200,0),3),"")</f>
        <v/>
      </c>
      <c r="IQ61" s="259">
        <f>IF(IP61&lt;&gt;"",MAX($IQ$2:IQ60)+1,0)</f>
        <v>0</v>
      </c>
      <c r="IR61" s="259" t="str">
        <f ca="1">IFERROR(INDEX($IP$3:$IQ$200,MATCH(ROWS($IR$3:IR61),$IQ$3:$IQ$200,0),1),"")</f>
        <v/>
      </c>
      <c r="IS61" s="259" t="str">
        <f t="shared" ca="1" si="117"/>
        <v/>
      </c>
      <c r="IT61" s="259" t="str">
        <f t="shared" ca="1" si="118"/>
        <v/>
      </c>
      <c r="IU61" s="259" t="str">
        <f t="shared" ca="1" si="119"/>
        <v/>
      </c>
      <c r="IV61" s="259" t="str">
        <f t="shared" ca="1" si="120"/>
        <v/>
      </c>
      <c r="IW61" s="259" t="str">
        <f t="shared" ca="1" si="121"/>
        <v/>
      </c>
      <c r="IX61" s="259" t="str">
        <f t="shared" ca="1" si="122"/>
        <v/>
      </c>
      <c r="IY61" s="259" t="str">
        <f t="shared" ca="1" si="123"/>
        <v/>
      </c>
      <c r="IZ61" s="259" t="str">
        <f t="shared" ca="1" si="124"/>
        <v/>
      </c>
      <c r="JA61" s="259" t="str">
        <f t="shared" ca="1" si="125"/>
        <v/>
      </c>
      <c r="JB61" s="259">
        <f t="shared" ca="1" si="32"/>
        <v>0</v>
      </c>
      <c r="JC61" s="259">
        <f t="shared" ca="1" si="126"/>
        <v>0</v>
      </c>
      <c r="JE61" s="259">
        <f ca="1">IFERROR(INDEX(LIBRO_GIORNALE!$N$11:$O$408,MATCH(ROWS($JE$2:JE60),LIBRO_GIORNALE!$O$11:$O$408,0),1),0)</f>
        <v>0</v>
      </c>
      <c r="JF61" s="259" t="str">
        <f t="shared" ca="1" si="127"/>
        <v>0</v>
      </c>
      <c r="JG61" s="259">
        <f t="shared" ca="1" si="128"/>
        <v>0</v>
      </c>
      <c r="JH61" s="259">
        <f ca="1">IF(JJ61&gt;0,0,MAX($JH$2:JH60)+1)</f>
        <v>59</v>
      </c>
      <c r="JI61" s="259">
        <f ca="1">IF(JG61&gt;0,MAX($JI$2:JI60)+1,0)</f>
        <v>0</v>
      </c>
      <c r="JJ61" s="259">
        <f ca="1">IFERROR(INDEX($JG$3:$JI$124,MATCH(ROWS($JJ$3:JJ61),$JI$3:$JI$124,0),1),0)</f>
        <v>0</v>
      </c>
      <c r="JK61" s="259">
        <f t="shared" ca="1" si="129"/>
        <v>0</v>
      </c>
      <c r="JL61" s="259">
        <f t="shared" ca="1" si="130"/>
        <v>59</v>
      </c>
    </row>
    <row r="62" spans="1:272">
      <c r="A62" s="259" t="str">
        <f t="shared" si="33"/>
        <v>09.00</v>
      </c>
      <c r="B62" s="259" t="str">
        <f t="shared" si="34"/>
        <v>RATEI E RISCONTI ATTIVI</v>
      </c>
      <c r="C62" s="259">
        <f t="shared" si="35"/>
        <v>0</v>
      </c>
      <c r="D62" s="259">
        <f t="shared" si="36"/>
        <v>0</v>
      </c>
      <c r="E62" s="259">
        <f t="shared" si="37"/>
        <v>0</v>
      </c>
      <c r="F62" s="259">
        <f t="shared" si="38"/>
        <v>0</v>
      </c>
      <c r="G62" s="259">
        <f t="shared" ca="1" si="39"/>
        <v>0</v>
      </c>
      <c r="H62" s="259">
        <f t="shared" ca="1" si="40"/>
        <v>0</v>
      </c>
      <c r="I62" s="259">
        <f t="shared" ca="1" si="41"/>
        <v>0</v>
      </c>
      <c r="K62" s="259" t="str">
        <f ca="1">IFERROR(IF($I$1=1,INDEX($AA$3:$AS$220,MATCH(ROWS($K$3:K62),$AQ$3:$AQ$220,0),1),IF($I$1=2,INDEX($AA$3:$AS$220,MATCH(ROWS($K$3:K62),$AR$3:$AR$220,0),1),IF($I$1=3,INDEX($AA$3:$AS$220,MATCH(ROWS($K$3:K62),$AS$3:$AS$220,0),1),""))),"")</f>
        <v>DEBITI PER TFR</v>
      </c>
      <c r="L62" s="259">
        <f ca="1">IF(AND($L$1="VISUALIZZA TUTTI I CONTI",K62&lt;&gt;""),MAX(L61:L61)+1,IFERROR(IF($J$1=1,IF(INDEX(PIANO_DEI_CONTI,MATCH($K62,DENOMINAZIONE,0),5)=$L$1,MAX($L$2:L61)+1,0),IF($J$1=2,IF(INDEX(PIANO_DEI_CONTI,MATCH($K62,DENOMINAZIONE,0),7)=$L$1,MAX($L$2:L61)+1,0))),0))</f>
        <v>60</v>
      </c>
      <c r="M62" s="259" t="str">
        <f ca="1">IFERROR(INDEX($K$3:$K$220,MATCH(ROWS($M$3:M62),$L$3:$L$220,0),1),"")</f>
        <v>DEBITI PER TFR</v>
      </c>
      <c r="Q62" s="259" t="str">
        <f ca="1">IF(IFERROR(INDEX($O$3:$P$220,MATCH(ROWS(Q$3:Q62),$P$3:$P$220,0),1),"")=0,"",IFERROR(INDEX($O$3:$P$220,MATCH(ROWS(Q$3:Q62),$P$3:$P$220,0),1),""))</f>
        <v/>
      </c>
      <c r="R62" s="259" t="str">
        <f t="shared" si="1"/>
        <v/>
      </c>
      <c r="S62" s="259">
        <f ca="1">IF(IFERROR(MATCH(R62,DENOMINAZIONE_GIORNALE,0),0)&gt;0,MAX(S$2:S61)+1,0)</f>
        <v>0</v>
      </c>
      <c r="T62" s="259" t="str">
        <f ca="1">IFERROR(INDEX($R$3:$S$220,MATCH(ROWS($T$3:T62),$S$3:$S$220,0),1),"")</f>
        <v/>
      </c>
      <c r="U62" s="259">
        <f t="shared" ca="1" si="2"/>
        <v>0</v>
      </c>
      <c r="V62" s="259">
        <f ca="1">IF(IF(U62&lt;&gt;0,MAX($V$2:V61)+1,0)=0,0,IF(U62&lt;&gt;0,MAX($V$2:V61)+1,0))</f>
        <v>0</v>
      </c>
      <c r="W62" s="259" t="str">
        <f t="shared" si="43"/>
        <v/>
      </c>
      <c r="X62" s="259" t="str">
        <f t="shared" si="44"/>
        <v/>
      </c>
      <c r="Y62" s="259">
        <f>IF(W62="",0,MAX($Y$2:Y61)+1)</f>
        <v>0</v>
      </c>
      <c r="Z62" s="259" t="str">
        <f>IFERROR(INDEX($W$3:$Y$220,MATCH(ROWS($Z$2:Z61),$Y$3:$Y$220,0),1),"")</f>
        <v>11.01</v>
      </c>
      <c r="AA62" s="259" t="str">
        <f t="shared" si="45"/>
        <v>FONDO RESPONSABILITÀ CIVILE</v>
      </c>
      <c r="AB62" s="259" t="str">
        <f t="shared" si="46"/>
        <v>F</v>
      </c>
      <c r="AC62" s="259" t="str">
        <f t="shared" si="47"/>
        <v>A</v>
      </c>
      <c r="AD62" s="259" t="str">
        <f t="shared" si="48"/>
        <v>RATEI, FONDI RISCHI E ONERI</v>
      </c>
      <c r="AE62" s="259" t="str">
        <f t="shared" si="49"/>
        <v>SP AVERE</v>
      </c>
      <c r="AF62" s="259" t="str">
        <f t="shared" si="50"/>
        <v>FONDI PER RISCHI E ONERI</v>
      </c>
      <c r="AG62" s="259">
        <f t="shared" ca="1" si="51"/>
        <v>0</v>
      </c>
      <c r="AH62" s="259">
        <f t="shared" ca="1" si="52"/>
        <v>0</v>
      </c>
      <c r="AI62" s="259">
        <f t="shared" ca="1" si="53"/>
        <v>1</v>
      </c>
      <c r="AJ62" s="259" t="str">
        <f t="shared" si="54"/>
        <v>11</v>
      </c>
      <c r="AK62" s="259" t="str">
        <f t="shared" si="55"/>
        <v>09</v>
      </c>
      <c r="AL62" s="259">
        <f>IF(AK62&lt;&gt;"",MAX($AL$2:AL61)+1,0)</f>
        <v>8</v>
      </c>
      <c r="AM62" s="259" t="str">
        <f>IFERROR(INDEX($AK$3:$AL$220,MATCH(ROWS($AM$3:AM62),$AL$3:$AL$220,0),1),"")</f>
        <v/>
      </c>
      <c r="AN62" s="259" t="str">
        <f t="shared" si="56"/>
        <v/>
      </c>
      <c r="AO62" s="259" t="str">
        <f t="shared" si="57"/>
        <v/>
      </c>
      <c r="AP62" s="259" t="str">
        <f t="shared" si="58"/>
        <v>FONDI PER RISCHI E ONERI</v>
      </c>
      <c r="AQ62" s="259">
        <f ca="1">IF(OR(AG62=0,AG62=""),0,MAX(AQ$2:AQ61)+1)</f>
        <v>0</v>
      </c>
      <c r="AR62" s="259">
        <f ca="1">IF(OR(AH62=0,AH62=""),0,MAX(AR$2:AR61)+1)</f>
        <v>0</v>
      </c>
      <c r="AS62" s="259">
        <f ca="1">IF(OR(AI62=0,AI62=""),0,MAX(AS$2:AS61)+1)</f>
        <v>58</v>
      </c>
      <c r="AT62" s="259" t="str">
        <f ca="1">IFERROR(INDEX($AD$3:$AS$220,MATCH(ROWS(AT$3:AT62),AQ$3:AQ$220,0),1),"")</f>
        <v>RETTIFICHE COSTI D'ESERCIZIO</v>
      </c>
      <c r="AU62" s="259" t="str">
        <f ca="1">IFERROR(INDEX($AD$3:$AS$220,MATCH(ROWS(AU$3:AU62),AR$3:AR$220,0),1),"")</f>
        <v>DEBITI</v>
      </c>
      <c r="AV62" s="259" t="str">
        <f ca="1">IFERROR(INDEX($AD$3:$AS$220,MATCH(ROWS(AV$3:AV62),AS$3:AS$220,0),1),"")</f>
        <v>DEBITI</v>
      </c>
      <c r="AW62" s="259" t="str">
        <f ca="1">IFERROR(INDEX($AP$3:$AS$220,MATCH(ROWS(AW$3:AW62),AQ$3:AQ$220,0),1),"")</f>
        <v>COSTI PER MERCI E MATERIE DI CONSUMO</v>
      </c>
      <c r="AX62" s="259" t="str">
        <f ca="1">IFERROR(INDEX($AP$3:$AS$220,MATCH(ROWS(AX$3:AX62),AR$3:AR$220,0),1),"")</f>
        <v>DEBITI DIVERSI</v>
      </c>
      <c r="AY62" s="259" t="str">
        <f ca="1">IFERROR(INDEX($AP$3:$AS$220,MATCH(ROWS(AY$3:AY62),AS$3:AS$220,0),1),"")</f>
        <v>TRATTAMENTO FINE RAPPORTO</v>
      </c>
      <c r="AZ62" s="276" t="str">
        <f t="shared" ca="1" si="59"/>
        <v/>
      </c>
      <c r="BA62" s="259">
        <f t="shared" ca="1" si="153"/>
        <v>0</v>
      </c>
      <c r="BB62" s="259">
        <f ca="1">IFERROR(INDEX($FG$3:$FL$400,MATCH(ROWS($BB$3:BB62),$FL$3:$FL$400,0),1),0)</f>
        <v>0</v>
      </c>
      <c r="BC62" s="259" t="str">
        <f t="shared" ca="1" si="60"/>
        <v/>
      </c>
      <c r="BD62" s="259">
        <f ca="1">IFERROR(INDEX($FG$3:$FL$400,MATCH(ROWS($BD$3:BD62),$FL$3:$FL$400,0),4),0)</f>
        <v>0</v>
      </c>
      <c r="BE62" s="259">
        <f ca="1">IFERROR(INDEX($FG$3:$FL$400,MATCH(ROWS($BE$3:BE62),$FL$3:$FL$400,0),5),0)</f>
        <v>0</v>
      </c>
      <c r="BG62" s="259" t="str">
        <f t="shared" si="4"/>
        <v>FONDO RESPONSABILITÀ CIVILE</v>
      </c>
      <c r="BH62" s="259">
        <f ca="1">IF(IFERROR(MATCH(BG62,DENOMINAZIONE_GIORNALE,0),0)&gt;0,MAX(BH$2:BH61)+1,0)</f>
        <v>0</v>
      </c>
      <c r="BI62" s="259" t="str">
        <f ca="1">IFERROR(INDEX($BG$3:$BH$220,MATCH(ROWS($BI$3:BI62),$BH$3:$BH$220,0),1),"")</f>
        <v/>
      </c>
      <c r="BJ62" s="259" t="str">
        <f t="shared" ca="1" si="5"/>
        <v/>
      </c>
      <c r="BK62" s="259" t="str">
        <f ca="1">IF(IF(BJ62&lt;&gt;"",MAX($BK$2:BK61)+1,0)=0,"",IF(BJ62&lt;&gt;"",MAX($BK$2:BK61)+1,0))</f>
        <v/>
      </c>
      <c r="BL62" s="259" t="str">
        <f ca="1">IFERROR(INDEX($T$3:$U$220, MATCH(ROWS(BL$3:BL62),$V$3:$V$220,0),1),"")</f>
        <v/>
      </c>
      <c r="BM62" s="259" t="str">
        <f ca="1">IFERROR(INDEX($T$3:$U$220, MATCH(ROWS(BM$3:BM62),$V$3:$V$220,0),2),"")</f>
        <v/>
      </c>
      <c r="BN62" s="259" t="str">
        <f ca="1">IF(IFERROR(INDEX($BI$3:$BJ$220,MATCH(ROWS(BN$3:BN62),$BK$3:$BK$220,0),1),"")="PATRIMONIO NETTO","",IFERROR(INDEX($BI$3:$BJ$220,MATCH(ROWS(BN$3:BN62),$BK$3:$BK$220,0),1),""))</f>
        <v/>
      </c>
      <c r="BO62" s="259" t="str">
        <f ca="1">IFERROR(INDEX($BI$3:$BJ$220,MATCH(ROWS(BO$3:BO62),$BK$3:$BK$220,0),2),"")</f>
        <v/>
      </c>
      <c r="BP62" s="259">
        <f ca="1">IF(BN62&lt;&gt;"",MAX(BP$2:$BP61)+1,0)</f>
        <v>0</v>
      </c>
      <c r="BQ62" s="259" t="str">
        <f ca="1">IFERROR(INDEX($BN$3:$BO$200,MATCH(ROWS(BQ$3:BQ62),$BP$3:$BP$220,0),1),"")</f>
        <v/>
      </c>
      <c r="BR62" s="259" t="str">
        <f ca="1">IFERROR(INDEX($BN$3:$BO$220,MATCH(ROWS(BR$3:BR62),$BP$3:$BP$220,0),2),"")</f>
        <v/>
      </c>
      <c r="BS62" s="259" t="str">
        <f ca="1">IFERROR(IF(OR(INDEX($T$3:$U$220,MATCH(ROWS(BL$3:BL62),$V$3:$V$220,0),1)="PRELEVAMENTI EXTRAGESTIONE",INDEX($T$3:$U$220,MATCH(ROWS(BL$3:BL62),$V$3:$V$220,0),1)="TITOLARE C/RITENUTE SUBITE"),"",INDEX($T$3:$U$220,MATCH(ROWS(BL$3:BL62),$V$3:$V$220,0),1)),"")</f>
        <v/>
      </c>
      <c r="BT62" s="259">
        <f t="shared" ca="1" si="61"/>
        <v>0</v>
      </c>
      <c r="BU62" s="259">
        <f ca="1">IF(BS62&lt;&gt;"",MAX(BU$2:BU61)+1,0)</f>
        <v>0</v>
      </c>
      <c r="BV62" s="259" t="str">
        <f ca="1">IFERROR(INDEX($BS$3:$BT$223,MATCH(ROWS(BV$3:BV62),$BU$3:$BU$223,0),1),"")</f>
        <v/>
      </c>
      <c r="BW62" s="259">
        <f t="shared" ca="1" si="62"/>
        <v>0</v>
      </c>
      <c r="BX62" s="259" t="str">
        <f t="shared" ca="1" si="63"/>
        <v/>
      </c>
      <c r="BY62" s="259" t="str">
        <f t="shared" ca="1" si="64"/>
        <v/>
      </c>
      <c r="BZ62" s="259" t="str">
        <f ca="1">IFERROR(IF(OR($DS$231&lt;&gt;$DT$231,$DU$231&lt;&gt;$DV$231,$EO$25&lt;&gt;0,$EO$26&lt;&gt;0),INDEX($T$3:$V$220,MATCH(ROWS($BV$3:BV62),$V$3:$V$220,0),1),CONCATENATE(BV62,BY62)),"")</f>
        <v/>
      </c>
      <c r="CA62" s="259">
        <f t="shared" ca="1" si="65"/>
        <v>0</v>
      </c>
      <c r="CB62" s="259" t="str">
        <f ca="1">IFERROR(IF(OR($BB$1&lt;&gt;$BD$1,$BC$1&lt;&gt;$BE$1,$DS$231&lt;&gt;$DT$231,$DU$231&lt;&gt;$DV$231,$EO$25&lt;&gt;0,$EO$26&lt;&gt;0),INDEX($BI$3:$BK$220,MATCH(ROWS($CB$3:CB62),$BK$3:$BK$220,0),1),CONCATENATE(BQ62,BX62)),"")</f>
        <v/>
      </c>
      <c r="CC62" s="259" t="str">
        <f t="shared" ca="1" si="66"/>
        <v/>
      </c>
      <c r="CD62" s="259" t="str">
        <f t="shared" si="6"/>
        <v/>
      </c>
      <c r="CE62" s="259">
        <f ca="1">IF(IFERROR(MATCH(CD62,DENOMINAZIONE_GIORNALE,0),0)&gt;0,MAX(CE$2:CE61)+1,0)</f>
        <v>0</v>
      </c>
      <c r="CF62" s="259" t="str">
        <f ca="1">IFERROR(INDEX($CD$3:$CE$220,MATCH(ROWS($CF$3:CF62),$CE$3:$CE$220,0),1),"")</f>
        <v/>
      </c>
      <c r="CG62" s="259">
        <f t="shared" ca="1" si="7"/>
        <v>0</v>
      </c>
      <c r="CH62" s="259" t="str">
        <f ca="1">IF(IF(CG62&lt;&gt;0,MAX($CH$2:CH61)+1,0)=0,"",IF(CG62&lt;&gt;"",MAX($CH$2:CH61)+1,0))</f>
        <v/>
      </c>
      <c r="CI62" s="259" t="str">
        <f ca="1">IFERROR(INDEX($CF$3:$CG$220,MATCH(ROWS($CI$3:CI62),$CH$3:$CH$220,0),1),"")</f>
        <v/>
      </c>
      <c r="CJ62" s="259" t="str">
        <f t="shared" ca="1" si="67"/>
        <v/>
      </c>
      <c r="CK62" s="259" t="str">
        <f t="shared" si="8"/>
        <v/>
      </c>
      <c r="CL62" s="259">
        <f ca="1">IF(IFERROR(MATCH(CK62,DENOMINAZIONE_GIORNALE,0),0)&gt;0,MAX(CL$2:CL61)+1,0)</f>
        <v>0</v>
      </c>
      <c r="CM62" s="259" t="str">
        <f ca="1">IFERROR(INDEX($CK$3:$CL$220,MATCH(ROWS($CM$3:CM62),$CL$3:$CL$220,0),1),"")</f>
        <v/>
      </c>
      <c r="CN62" s="259" t="str">
        <f t="shared" ca="1" si="9"/>
        <v/>
      </c>
      <c r="CO62" s="259">
        <f ca="1">IF(IF(CN62&lt;&gt;0,MAX($CO$2:CO61)+1,0)=0,"",IF(CN62&lt;&gt;"",MAX($CO$2:CO61)+1,0))</f>
        <v>0</v>
      </c>
      <c r="CP62" s="259" t="str">
        <f ca="1">IFERROR(INDEX($CM$3:$CN$220,MATCH(ROWS(CP$3:CP62),$CO$3:$CO$220,0),1),"")</f>
        <v/>
      </c>
      <c r="CQ62" s="259" t="str">
        <f ca="1">IFERROR(INDEX($CM$3:$CN$220,MATCH(ROWS(CQ$3:CQ62),$CO$3:$CO$220,0),2),"")</f>
        <v/>
      </c>
      <c r="CR62" s="259" t="str">
        <f t="shared" ca="1" si="154"/>
        <v/>
      </c>
      <c r="CS62" s="259">
        <f t="shared" ca="1" si="11"/>
        <v>0</v>
      </c>
      <c r="CT62" s="259">
        <f t="shared" ca="1" si="12"/>
        <v>0</v>
      </c>
      <c r="CU62" s="259">
        <f ca="1">IF(OR(CS62&gt;0,CT62&gt;0),MAX($CU$2:CU61)+1,0)</f>
        <v>0</v>
      </c>
      <c r="CV62" s="259" t="str">
        <f ca="1">IFERROR(INDEX(PIANO_DEI_CONTI,MATCH(ROWS($CV$3:CV62),$CU$3:$CU$200,0),2),"")</f>
        <v/>
      </c>
      <c r="CW62" s="259">
        <f ca="1">IFERROR(IF(CV62&lt;&gt;"",MAX($CW$2:CW61)+1,0),0)</f>
        <v>0</v>
      </c>
      <c r="CX62" s="259">
        <f t="shared" ca="1" si="174"/>
        <v>4</v>
      </c>
      <c r="CY62" s="259" t="str">
        <f t="shared" ca="1" si="161"/>
        <v>MASTRO</v>
      </c>
      <c r="CZ62" s="259" t="e">
        <f t="shared" ca="1" si="176"/>
        <v>#N/A</v>
      </c>
      <c r="DA62" s="259" t="str">
        <f t="shared" ca="1" si="181"/>
        <v/>
      </c>
      <c r="DB62" s="259" t="str">
        <f t="shared" ca="1" si="177"/>
        <v/>
      </c>
      <c r="DC62" s="259" t="str">
        <f t="shared" ca="1" si="178"/>
        <v/>
      </c>
      <c r="DD62" s="259" t="str">
        <f t="shared" ca="1" si="179"/>
        <v/>
      </c>
      <c r="DE62" s="259" t="str">
        <f t="shared" ca="1" si="180"/>
        <v/>
      </c>
      <c r="DF62" s="259">
        <f ca="1">IF(AND(CX62=$DE$2,$DF$2&lt;&gt;0),0,IF(AND(DB62&lt;&gt;"",OR(DB61&lt;&gt;"",DB63&lt;&gt;"")),MAX($DF$2:DF61)+1,0))</f>
        <v>0</v>
      </c>
      <c r="DG62" s="259" t="str">
        <f>IF(OR(VALORI_INIZIALI!E67="",AND(VALORI_INIZIALI!E67&lt;&gt;"",VALORI_INIZIALI!H67=0,VALORI_INIZIALI!I67=0)),"",IFERROR(INDEX(PIANO_DEI_CONTI,MATCH(BB62,DENOMINAZIONE,0),1),0))</f>
        <v/>
      </c>
      <c r="DH62" s="259">
        <f ca="1">IFERROR(IF($J$1=1,IF(INDEX(PIANO_DEI_CONTI,MATCH($K62,DENOMINAZIONE,0),5)=$DF$1,MAX($DH$2:DH61)+1,0),IF($J$1=2,IF(INDEX(PIANO_DEI_CONTI,MATCH($K62,DENOMINAZIONE,0),7)=$DF$1,MAX($DH$2:DH61)+1,0))),0)</f>
        <v>0</v>
      </c>
      <c r="DI62" s="259">
        <f ca="1">IFERROR(INDEX($K$3:$K$220,MATCH(ROWS($DI$3:DI62),$DH$3:$DH$220,0),1),0)</f>
        <v>0</v>
      </c>
      <c r="DJ62" s="259">
        <f t="shared" ca="1" si="14"/>
        <v>0</v>
      </c>
      <c r="DK62" s="259">
        <f ca="1">IF(DJ62=0,0,MAX(DK$2:DK61)+1)</f>
        <v>0</v>
      </c>
      <c r="DL62" s="259">
        <f ca="1">IFERROR(INDEX(PIANO_DEI_CONTI,MATCH(ROWS(DL$3:DL62),$DK$3:DK289,0),2),0)</f>
        <v>0</v>
      </c>
      <c r="DM62" s="259">
        <f t="shared" ca="1" si="15"/>
        <v>0</v>
      </c>
      <c r="DN62" s="259">
        <f t="shared" ca="1" si="16"/>
        <v>0</v>
      </c>
      <c r="DO62" s="259">
        <f t="shared" ca="1" si="69"/>
        <v>0</v>
      </c>
      <c r="DP62" s="259">
        <f t="shared" ca="1" si="70"/>
        <v>0</v>
      </c>
      <c r="DQ62" s="259">
        <f ca="1">IF(OR($DQ$1="TOTALI",$DQ$1="TOTALI ED ECCEDENZE"),IF(OR(DM62&gt;0,DN62&gt;0),MAX(DQ$2:DQ61)+1,0),IF($DQ$1="ECCEDENZE",IF(OR(DO62&gt;0,DP62&gt;0),MAX(DQ$2:DQ61)+1,0),""))</f>
        <v>0</v>
      </c>
      <c r="DR62" s="259" t="str">
        <f ca="1">IFERROR(INDEX($DL$3:$DQ$230,MATCH(ROWS(DR$3:DR62),$DQ$3:$DQ$230,0),1),"")</f>
        <v/>
      </c>
      <c r="DS62" s="259" t="str">
        <f t="shared" ca="1" si="71"/>
        <v/>
      </c>
      <c r="DT62" s="259" t="str">
        <f t="shared" ca="1" si="72"/>
        <v/>
      </c>
      <c r="DU62" s="259" t="str">
        <f t="shared" ca="1" si="73"/>
        <v/>
      </c>
      <c r="DV62" s="259" t="str">
        <f t="shared" ca="1" si="74"/>
        <v/>
      </c>
      <c r="DW62" s="259">
        <f t="shared" ca="1" si="75"/>
        <v>0</v>
      </c>
      <c r="DX62" s="259" t="str">
        <f t="shared" ca="1" si="76"/>
        <v/>
      </c>
      <c r="DY62" s="259" t="str">
        <f t="shared" ca="1" si="77"/>
        <v/>
      </c>
      <c r="DZ62" s="259" t="str">
        <f t="shared" ca="1" si="78"/>
        <v/>
      </c>
      <c r="EA62" s="259">
        <f t="shared" ca="1" si="79"/>
        <v>60</v>
      </c>
      <c r="EB62" s="259" t="s">
        <v>359</v>
      </c>
      <c r="ED62" s="259">
        <f t="shared" ca="1" si="17"/>
        <v>0</v>
      </c>
      <c r="EE62" s="259" t="str">
        <f t="shared" ca="1" si="155"/>
        <v/>
      </c>
      <c r="EF62" s="259" t="str">
        <f t="shared" ca="1" si="19"/>
        <v/>
      </c>
      <c r="EG62" s="259" t="str">
        <f t="shared" ca="1" si="136"/>
        <v/>
      </c>
      <c r="EH62" s="259" t="str">
        <f t="shared" ca="1" si="80"/>
        <v/>
      </c>
      <c r="EI62" s="260" t="b">
        <f t="shared" ca="1" si="137"/>
        <v>0</v>
      </c>
      <c r="EJ62" s="260" t="b">
        <f t="shared" ca="1" si="138"/>
        <v>0</v>
      </c>
      <c r="EK62" s="260" t="b">
        <f t="shared" ca="1" si="139"/>
        <v>0</v>
      </c>
      <c r="EL62" s="259">
        <f t="shared" si="81"/>
        <v>60</v>
      </c>
      <c r="EM62" s="259">
        <f ca="1">IF(AND(BA62&gt;0,BA62&lt;=$EM$1),MAX($EM$2:EM61)+1,0)</f>
        <v>0</v>
      </c>
      <c r="EN62" s="259">
        <f t="shared" ca="1" si="82"/>
        <v>62</v>
      </c>
      <c r="EP62" s="259" t="str">
        <f t="shared" ca="1" si="20"/>
        <v/>
      </c>
      <c r="EQ62" s="259">
        <f t="shared" ca="1" si="21"/>
        <v>0</v>
      </c>
      <c r="ER62" s="259">
        <f ca="1">IF(ISNA(EQ62),MAX(ER$2:ER61)+1,0)</f>
        <v>0</v>
      </c>
      <c r="ES62" s="259" t="str">
        <f t="shared" ca="1" si="83"/>
        <v/>
      </c>
      <c r="ET62" s="259" t="str">
        <f ca="1">IFERROR(UPPER(INDEX($ER$3:$ES$500,MATCH(ROWS(ET$3:ET62),$ER$3:$ER$500,0),2)),"")</f>
        <v/>
      </c>
      <c r="EY62" s="259">
        <f t="shared" ca="1" si="84"/>
        <v>0</v>
      </c>
      <c r="EZ62" s="259">
        <f t="shared" ca="1" si="84"/>
        <v>0</v>
      </c>
      <c r="FA62" s="259" t="str">
        <f t="shared" ca="1" si="85"/>
        <v/>
      </c>
      <c r="FB62" s="259">
        <f t="shared" ca="1" si="86"/>
        <v>0</v>
      </c>
      <c r="FC62" s="259">
        <f t="shared" ca="1" si="87"/>
        <v>0</v>
      </c>
      <c r="FD62" s="259">
        <f t="shared" ca="1" si="22"/>
        <v>0</v>
      </c>
      <c r="FE62" s="259" t="str">
        <f t="shared" ca="1" si="23"/>
        <v/>
      </c>
      <c r="FF62" s="259" t="str">
        <f t="shared" ca="1" si="88"/>
        <v/>
      </c>
      <c r="FG62" s="259" t="str">
        <f t="shared" si="89"/>
        <v>FONDO RESPONSABILITÀ CIVILE</v>
      </c>
      <c r="FH62" s="259">
        <f t="shared" ca="1" si="156"/>
        <v>0</v>
      </c>
      <c r="FI62" s="259">
        <f t="shared" ca="1" si="25"/>
        <v>0</v>
      </c>
      <c r="FJ62" s="259">
        <f t="shared" ca="1" si="90"/>
        <v>0</v>
      </c>
      <c r="FK62" s="259">
        <f t="shared" ca="1" si="91"/>
        <v>0</v>
      </c>
      <c r="FL62" s="259">
        <f ca="1">IF(OR(FJ62&gt;0,FK62&gt;0),MAX($FL$2:FL61)+1,0)</f>
        <v>0</v>
      </c>
      <c r="FM62" s="259">
        <f t="shared" ca="1" si="26"/>
        <v>0</v>
      </c>
      <c r="FN62" s="259">
        <f ca="1">IF(FM62&lt;0,MAX($FN$2:FN61)+1,0)</f>
        <v>0</v>
      </c>
      <c r="FO62" s="259" t="str">
        <f t="shared" ca="1" si="92"/>
        <v/>
      </c>
      <c r="FP62" s="259" t="str">
        <f ca="1">IFERROR(INDEX($FN$3:$FO$400,MATCH(ROWS($FP$3:FP62),$FN$3:$FN$400,0),2),"")</f>
        <v/>
      </c>
      <c r="FQ62" s="259" t="str">
        <f>IF(AE62="SE AVERE",MAX($FQ$2:FQ61)+1,"")</f>
        <v/>
      </c>
      <c r="FR62" s="259" t="str">
        <f>IF(AE62="SE DARE",MAX($FR$2:FR61)+1,"")</f>
        <v/>
      </c>
      <c r="FS62" s="259" t="str">
        <f ca="1">IF(AND(AE62="SP DARE",AA62&lt;&gt;$FS$1,AA62&lt;&gt;$FT$1),MAX($FS$2:FS61)+1,IF(AND(GQ62="SP DARE",AA62&lt;&gt;$FS$1,AA62&lt;&gt;$FT$1),MAX($FS$2:FS61)+1,""))</f>
        <v/>
      </c>
      <c r="FT62" s="259">
        <f ca="1">IF(AND(AE62="SP AVERE",AA62&lt;&gt;$FU$1),MAX($FT$2:FT61)+1,IF(AND(GQ62="SP AVERE",AA62&lt;&gt;$FU$1),MAX($FT$2:FT61)+1,""))</f>
        <v>144</v>
      </c>
      <c r="FU62" s="259">
        <f t="shared" ca="1" si="93"/>
        <v>144</v>
      </c>
      <c r="FV62" s="259" t="str">
        <f t="shared" si="94"/>
        <v>FONDO RESPONSABILITÀ CIVILE</v>
      </c>
      <c r="FW62" s="259" t="str">
        <f ca="1">IFERROR(INDEX($FU$3:$FV$500,MATCH(ROWS($FW$3:FW62),$FU$3:$FU$500,0),2),0)</f>
        <v>SVALUTAZIONE CREDITI</v>
      </c>
      <c r="FX62" s="259">
        <f t="shared" ca="1" si="95"/>
        <v>60</v>
      </c>
      <c r="FY62" s="259">
        <f t="shared" ca="1" si="96"/>
        <v>0</v>
      </c>
      <c r="FZ62" s="259">
        <f ca="1">IF(FY62&gt;0,MAX($FZ$2:FZ61)+1,0)</f>
        <v>0</v>
      </c>
      <c r="GA62" s="259">
        <f ca="1">IFERROR(INDEX($FY$3:$FZ$500,MATCH(ROWS($GA$3:GA62),$FZ$3:$FZ$500,0),1),0)</f>
        <v>0</v>
      </c>
      <c r="GC62" s="259">
        <f t="shared" ca="1" si="97"/>
        <v>60</v>
      </c>
      <c r="GD62" s="259" t="str">
        <f t="shared" ca="1" si="98"/>
        <v>SVALUTAZIONE CREDITI</v>
      </c>
      <c r="GG62" s="259">
        <f t="shared" ca="1" si="27"/>
        <v>0</v>
      </c>
      <c r="GH62" s="259">
        <f t="shared" ca="1" si="99"/>
        <v>0</v>
      </c>
      <c r="GI62" s="259">
        <f t="shared" ca="1" si="100"/>
        <v>0</v>
      </c>
      <c r="GJ62" s="259">
        <f t="shared" ca="1" si="101"/>
        <v>0</v>
      </c>
      <c r="GK62" s="259">
        <f t="shared" ca="1" si="102"/>
        <v>0</v>
      </c>
      <c r="GL62" s="259">
        <f t="shared" ca="1" si="103"/>
        <v>0</v>
      </c>
      <c r="GM62" s="259">
        <f ca="1">IF(OR(GK62&gt;0,GL62&gt;0),MAX($GM$2:GM61)+1,0)</f>
        <v>0</v>
      </c>
      <c r="GN62" s="259" t="str">
        <f ca="1">IFERROR(INDEX($GD$3:$GM$400,MATCH(ROWS($GN$3:GN62),$GM$3:$GM$400,0),1),"")</f>
        <v/>
      </c>
      <c r="GO62" s="259" t="str">
        <f ca="1">IFERROR(INDEX($GD$3:$GM$400,MATCH(ROWS($GO$3:GO62),$GM$3:$GM$400,0),8),"")</f>
        <v/>
      </c>
      <c r="GP62" s="259" t="str">
        <f ca="1">IFERROR(INDEX($GD$3:$GM$400,MATCH(ROWS($GP$3:GP62),$GM$3:$GM$400,0),9),"")</f>
        <v/>
      </c>
      <c r="GQ62" s="259">
        <f t="shared" ca="1" si="28"/>
        <v>0</v>
      </c>
      <c r="GR62" s="259">
        <f t="shared" ca="1" si="104"/>
        <v>0</v>
      </c>
      <c r="GS62" s="259" t="str">
        <f t="shared" si="105"/>
        <v>epilogo a Conto economico</v>
      </c>
      <c r="GT62" s="259" t="str">
        <f ca="1">IFERROR(INDEX($GD$3:$GS$400,MATCH(ROWS($GT$3:GT62),$GM$3:$GM$400,0),16),"")</f>
        <v/>
      </c>
      <c r="GU62" s="259">
        <f ca="1">IF(GQ62&lt;&gt;0,MAX($GU$2:$GU61)+1,0)</f>
        <v>0</v>
      </c>
      <c r="GV62" s="259">
        <f t="shared" ca="1" si="106"/>
        <v>0</v>
      </c>
      <c r="GW62" s="259" t="str">
        <f ca="1">IF(AND(IFERROR(INDEX($GU$3:$GV$400,MATCH(ROWS($GW$3:GW62),$GU$3:$GU$400,0),2),"")&lt;&gt;"",GW63&lt;&gt;""),CONCATENATE(IFERROR(INDEX($GU$3:$GV$400,MATCH(ROWS($GW$3:GW62),$GU$3:$GU$400,0),2),"")," - "),IFERROR(INDEX($GU$3:$GV$400,MATCH(ROWS($GW$3:GW62),$GU$3:$GU$400,0),2),""))</f>
        <v/>
      </c>
      <c r="GX62" s="259">
        <f ca="1">IF(OR(GN62="IVA NS/CREDITO",GN62="IVA NS/DEBITO",GN62="IVA C/ACCONTO",GN62="IMPOSTE C/ACCONTO"),MAX($GX$2:GX61)+1,0)</f>
        <v>0</v>
      </c>
      <c r="GY62" s="259" t="str">
        <f ca="1">IF(AND(IFERROR(INDEX($GN$3:$GX$200,MATCH(ROWS($GY$3:GY62),$GX$3:$GX$200,0),1),"")&lt;&gt;"",GY63&lt;&gt;""),CONCATENATE(IFERROR(INDEX($GN$3:$GX$200,MATCH(ROWS($GY$3:GY62),$GX$3:$GX$200,0),1),"")," - "),IFERROR(INDEX($GN$3:$GX$200,MATCH(ROWS($GY$3:GY62),$GX$3:$GX$200,0),1),""))</f>
        <v/>
      </c>
      <c r="GZ62" s="259" t="s">
        <v>79</v>
      </c>
      <c r="HA62" s="270" t="s">
        <v>78</v>
      </c>
      <c r="HL62" s="259" t="str">
        <f t="shared" ca="1" si="157"/>
        <v/>
      </c>
      <c r="HM62" s="259" t="str">
        <f t="shared" ca="1" si="158"/>
        <v/>
      </c>
      <c r="HN62" s="259" t="str">
        <f t="shared" ca="1" si="159"/>
        <v/>
      </c>
      <c r="HO62" s="259">
        <f ca="1">IF(HL62&lt;&gt;"",MAX($HO$2:HO61)+1,0)</f>
        <v>0</v>
      </c>
      <c r="HP62" s="259">
        <f ca="1">IF(HM62&lt;&gt;"",MAX($HP$2:HP61)+1,0)</f>
        <v>0</v>
      </c>
      <c r="HQ62" s="259">
        <f ca="1">IF(HN62&lt;&gt;"",MAX($HQ$2:HQ61)+1,0)</f>
        <v>0</v>
      </c>
      <c r="HR62" s="259" t="str">
        <f t="shared" ca="1" si="107"/>
        <v/>
      </c>
      <c r="HS62" s="259" t="str">
        <f t="shared" ca="1" si="108"/>
        <v/>
      </c>
      <c r="HT62" s="259">
        <f t="shared" ca="1" si="109"/>
        <v>0</v>
      </c>
      <c r="HU62" s="259">
        <f t="shared" ca="1" si="110"/>
        <v>0</v>
      </c>
      <c r="HV62" s="259" t="str">
        <f ca="1">CONCATENATE(IFERROR(INDEX($HS$3:$HT$102,MATCH(ROWS($HV$3:HV62),$HT$3:$HT$102,0),1),""),HR62)</f>
        <v/>
      </c>
      <c r="IA62" s="259" t="s">
        <v>382</v>
      </c>
      <c r="IB62" s="259" t="s">
        <v>472</v>
      </c>
      <c r="IC62" s="259">
        <f ca="1">IFERROR(INDEX(PIANO_DEI_CONTI,MATCH(ROWS(DL$3:DL62),$DK$3:DK289,0),2),0)</f>
        <v>0</v>
      </c>
      <c r="ID62" s="259">
        <f t="shared" ca="1" si="111"/>
        <v>0</v>
      </c>
      <c r="IE62" s="259">
        <f t="shared" ca="1" si="112"/>
        <v>0</v>
      </c>
      <c r="IF62" s="259">
        <f t="shared" ca="1" si="113"/>
        <v>0</v>
      </c>
      <c r="IG62" s="259">
        <f ca="1">ROUND(SUMIFS($ID$3:$ID$200,$IF$3:$IF$200,IA62)-SUMIFS($IE$3:$IE$200,$IF$3:$IF$200,IA62),0)</f>
        <v>0</v>
      </c>
      <c r="IH62" s="259">
        <f ca="1">IF(IG62&lt;&gt;0,MAX($IH$35:IH61)+1,0)</f>
        <v>0</v>
      </c>
      <c r="II62" s="259">
        <f>IF(AD62="costi pluriennali",MAX($II$2:II61)+1,0)</f>
        <v>0</v>
      </c>
      <c r="IJ62" s="259">
        <f>IF($AD62="rettifiche costi pluriennali",MAX($IJ$2:IJ61)+1,0)</f>
        <v>0</v>
      </c>
      <c r="IK62" s="259">
        <f t="shared" si="114"/>
        <v>0</v>
      </c>
      <c r="IL62" s="259" t="str">
        <f t="shared" si="115"/>
        <v/>
      </c>
      <c r="IM62" s="259">
        <f t="shared" ca="1" si="116"/>
        <v>0</v>
      </c>
      <c r="IN62" s="259">
        <f t="shared" ca="1" si="141"/>
        <v>0</v>
      </c>
      <c r="IO62" s="259">
        <f>SUMIFS($IM$3:$IM$200,$IK$3:$IK$200,ROWS($IO$3:IO62))-SUMIFS($IN$3:$IN$200,$IK$3:$IK$200,ROWS($IO$3:IO62))</f>
        <v>0</v>
      </c>
      <c r="IP62" s="259" t="str">
        <f>IF(IO62&lt;0,INDEX($IJ$3:$IL$200,MATCH(ROWS($IP$3:IP62),$IJ$3:$IJ$200,0),3),"")</f>
        <v/>
      </c>
      <c r="IQ62" s="259">
        <f>IF(IP62&lt;&gt;"",MAX($IQ$2:IQ61)+1,0)</f>
        <v>0</v>
      </c>
      <c r="IR62" s="259" t="str">
        <f ca="1">IFERROR(INDEX($IP$3:$IQ$200,MATCH(ROWS($IR$3:IR62),$IQ$3:$IQ$200,0),1),"")</f>
        <v/>
      </c>
      <c r="IS62" s="259" t="str">
        <f t="shared" ca="1" si="117"/>
        <v/>
      </c>
      <c r="IT62" s="259" t="str">
        <f t="shared" ca="1" si="118"/>
        <v/>
      </c>
      <c r="IU62" s="259" t="str">
        <f t="shared" ca="1" si="119"/>
        <v/>
      </c>
      <c r="IV62" s="259" t="str">
        <f t="shared" ca="1" si="120"/>
        <v/>
      </c>
      <c r="IW62" s="259" t="str">
        <f t="shared" ca="1" si="121"/>
        <v/>
      </c>
      <c r="IX62" s="259" t="str">
        <f t="shared" ca="1" si="122"/>
        <v/>
      </c>
      <c r="IY62" s="259" t="str">
        <f t="shared" ca="1" si="123"/>
        <v/>
      </c>
      <c r="IZ62" s="259" t="str">
        <f t="shared" ca="1" si="124"/>
        <v/>
      </c>
      <c r="JA62" s="259" t="str">
        <f t="shared" ca="1" si="125"/>
        <v/>
      </c>
      <c r="JB62" s="259">
        <f t="shared" ca="1" si="32"/>
        <v>0</v>
      </c>
      <c r="JC62" s="259">
        <f t="shared" ca="1" si="126"/>
        <v>0</v>
      </c>
      <c r="JE62" s="259">
        <f ca="1">IFERROR(INDEX(LIBRO_GIORNALE!$N$11:$O$408,MATCH(ROWS($JE$2:JE61),LIBRO_GIORNALE!$O$11:$O$408,0),1),0)</f>
        <v>0</v>
      </c>
      <c r="JF62" s="259" t="str">
        <f t="shared" ca="1" si="127"/>
        <v>0</v>
      </c>
      <c r="JG62" s="259">
        <f t="shared" ca="1" si="128"/>
        <v>0</v>
      </c>
      <c r="JH62" s="259">
        <f ca="1">IF(JJ62&gt;0,0,MAX($JH$2:JH61)+1)</f>
        <v>60</v>
      </c>
      <c r="JI62" s="259">
        <f ca="1">IF(JG62&gt;0,MAX($JI$2:JI61)+1,0)</f>
        <v>0</v>
      </c>
      <c r="JJ62" s="259">
        <f ca="1">IFERROR(INDEX($JG$3:$JI$124,MATCH(ROWS($JJ$3:JJ62),$JI$3:$JI$124,0),1),0)</f>
        <v>0</v>
      </c>
      <c r="JK62" s="259">
        <f t="shared" ca="1" si="129"/>
        <v>0</v>
      </c>
      <c r="JL62" s="259">
        <f t="shared" ca="1" si="130"/>
        <v>60</v>
      </c>
    </row>
    <row r="63" spans="1:272">
      <c r="A63" s="259" t="str">
        <f t="shared" si="33"/>
        <v>09.01</v>
      </c>
      <c r="B63" s="259" t="str">
        <f t="shared" si="34"/>
        <v>RATEI ATTIVI</v>
      </c>
      <c r="C63" s="259" t="str">
        <f t="shared" si="35"/>
        <v>F</v>
      </c>
      <c r="D63" s="259" t="str">
        <f t="shared" si="36"/>
        <v>D</v>
      </c>
      <c r="E63" s="259" t="str">
        <f t="shared" si="37"/>
        <v>RATEI, FONDI RISCHI E ONERI</v>
      </c>
      <c r="F63" s="259" t="str">
        <f t="shared" si="38"/>
        <v>SP DARE</v>
      </c>
      <c r="G63" s="259">
        <f t="shared" ca="1" si="39"/>
        <v>0</v>
      </c>
      <c r="H63" s="259">
        <f t="shared" ca="1" si="40"/>
        <v>0</v>
      </c>
      <c r="I63" s="259">
        <f t="shared" ca="1" si="41"/>
        <v>1</v>
      </c>
      <c r="K63" s="259" t="str">
        <f ca="1">IFERROR(IF($I$1=1,INDEX($AA$3:$AS$220,MATCH(ROWS($K$3:K63),$AQ$3:$AQ$220,0),1),IF($I$1=2,INDEX($AA$3:$AS$220,MATCH(ROWS($K$3:K63),$AR$3:$AR$220,0),1),IF($I$1=3,INDEX($AA$3:$AS$220,MATCH(ROWS($K$3:K63),$AS$3:$AS$220,0),1),""))),"")</f>
        <v>MUTUI PASSIVI</v>
      </c>
      <c r="L63" s="259">
        <f ca="1">IF(AND($L$1="VISUALIZZA TUTTI I CONTI",K63&lt;&gt;""),MAX(L62:L62)+1,IFERROR(IF($J$1=1,IF(INDEX(PIANO_DEI_CONTI,MATCH($K63,DENOMINAZIONE,0),5)=$L$1,MAX($L$2:L62)+1,0),IF($J$1=2,IF(INDEX(PIANO_DEI_CONTI,MATCH($K63,DENOMINAZIONE,0),7)=$L$1,MAX($L$2:L62)+1,0))),0))</f>
        <v>61</v>
      </c>
      <c r="M63" s="259" t="str">
        <f ca="1">IFERROR(INDEX($K$3:$K$220,MATCH(ROWS($M$3:M63),$L$3:$L$220,0),1),"")</f>
        <v>MUTUI PASSIVI</v>
      </c>
      <c r="Q63" s="259" t="str">
        <f ca="1">IF(IFERROR(INDEX($O$3:$P$220,MATCH(ROWS(Q$3:Q63),$P$3:$P$220,0),1),"")=0,"",IFERROR(INDEX($O$3:$P$220,MATCH(ROWS(Q$3:Q63),$P$3:$P$220,0),1),""))</f>
        <v/>
      </c>
      <c r="R63" s="259" t="str">
        <f t="shared" si="1"/>
        <v/>
      </c>
      <c r="S63" s="259">
        <f ca="1">IF(IFERROR(MATCH(R63,DENOMINAZIONE_GIORNALE,0),0)&gt;0,MAX(S$2:S62)+1,0)</f>
        <v>0</v>
      </c>
      <c r="T63" s="259" t="str">
        <f ca="1">IFERROR(INDEX($R$3:$S$220,MATCH(ROWS($T$3:T63),$S$3:$S$220,0),1),"")</f>
        <v/>
      </c>
      <c r="U63" s="259">
        <f t="shared" ca="1" si="2"/>
        <v>0</v>
      </c>
      <c r="V63" s="259">
        <f ca="1">IF(IF(U63&lt;&gt;0,MAX($V$2:V62)+1,0)=0,0,IF(U63&lt;&gt;0,MAX($V$2:V62)+1,0))</f>
        <v>0</v>
      </c>
      <c r="W63" s="259" t="str">
        <f t="shared" si="43"/>
        <v>09.01</v>
      </c>
      <c r="X63" s="259" t="str">
        <f t="shared" si="44"/>
        <v>RATEI ATTIVI</v>
      </c>
      <c r="Y63" s="259">
        <f>IF(W63="",0,MAX($Y$2:Y62)+1)</f>
        <v>53</v>
      </c>
      <c r="Z63" s="259" t="str">
        <f>IFERROR(INDEX($W$3:$Y$220,MATCH(ROWS($Z$2:Z62),$Y$3:$Y$220,0),1),"")</f>
        <v>11.10</v>
      </c>
      <c r="AA63" s="259" t="str">
        <f t="shared" si="45"/>
        <v>FONDO MANUTENZIONI PROGRAMMATE</v>
      </c>
      <c r="AB63" s="259" t="str">
        <f t="shared" si="46"/>
        <v>F</v>
      </c>
      <c r="AC63" s="259" t="str">
        <f t="shared" si="47"/>
        <v>A</v>
      </c>
      <c r="AD63" s="259" t="str">
        <f t="shared" si="48"/>
        <v>RATEI, FONDI RISCHI E ONERI</v>
      </c>
      <c r="AE63" s="259" t="str">
        <f t="shared" si="49"/>
        <v>SP AVERE</v>
      </c>
      <c r="AF63" s="259" t="str">
        <f t="shared" si="50"/>
        <v>FONDI PER RISCHI E ONERI</v>
      </c>
      <c r="AG63" s="259">
        <f t="shared" ca="1" si="51"/>
        <v>0</v>
      </c>
      <c r="AH63" s="259">
        <f t="shared" ca="1" si="52"/>
        <v>0</v>
      </c>
      <c r="AI63" s="259">
        <f t="shared" ca="1" si="53"/>
        <v>1</v>
      </c>
      <c r="AJ63" s="259" t="str">
        <f t="shared" si="54"/>
        <v>11</v>
      </c>
      <c r="AK63" s="259" t="str">
        <f t="shared" si="55"/>
        <v/>
      </c>
      <c r="AL63" s="259">
        <f>IF(AK63&lt;&gt;"",MAX($AL$2:AL62)+1,0)</f>
        <v>0</v>
      </c>
      <c r="AM63" s="259" t="str">
        <f>IFERROR(INDEX($AK$3:$AL$220,MATCH(ROWS($AM$3:AM63),$AL$3:$AL$220,0),1),"")</f>
        <v/>
      </c>
      <c r="AN63" s="259" t="str">
        <f t="shared" si="56"/>
        <v/>
      </c>
      <c r="AO63" s="259" t="str">
        <f t="shared" si="57"/>
        <v/>
      </c>
      <c r="AP63" s="259" t="str">
        <f t="shared" si="58"/>
        <v>FONDI PER RISCHI E ONERI</v>
      </c>
      <c r="AQ63" s="259">
        <f ca="1">IF(OR(AG63=0,AG63=""),0,MAX(AQ$2:AQ62)+1)</f>
        <v>0</v>
      </c>
      <c r="AR63" s="259">
        <f ca="1">IF(OR(AH63=0,AH63=""),0,MAX(AR$2:AR62)+1)</f>
        <v>0</v>
      </c>
      <c r="AS63" s="259">
        <f ca="1">IF(OR(AI63=0,AI63=""),0,MAX(AS$2:AS62)+1)</f>
        <v>59</v>
      </c>
      <c r="AT63" s="259" t="str">
        <f ca="1">IFERROR(INDEX($AD$3:$AS$220,MATCH(ROWS(AT$3:AT63),AQ$3:AQ$220,0),1),"")</f>
        <v>RETTIFICHE COSTI D'ESERCIZIO</v>
      </c>
      <c r="AU63" s="259" t="str">
        <f ca="1">IFERROR(INDEX($AD$3:$AS$220,MATCH(ROWS(AU$3:AU63),AR$3:AR$220,0),1),"")</f>
        <v>DEBITI</v>
      </c>
      <c r="AV63" s="259" t="str">
        <f ca="1">IFERROR(INDEX($AD$3:$AS$220,MATCH(ROWS(AV$3:AV63),AS$3:AS$220,0),1),"")</f>
        <v>DEBITI</v>
      </c>
      <c r="AW63" s="259" t="str">
        <f ca="1">IFERROR(INDEX($AP$3:$AS$220,MATCH(ROWS(AW$3:AW63),AQ$3:AQ$220,0),1),"")</f>
        <v>COSTI PER MERCI E MATERIE DI CONSUMO</v>
      </c>
      <c r="AX63" s="259" t="str">
        <f ca="1">IFERROR(INDEX($AP$3:$AS$220,MATCH(ROWS(AX$3:AX63),AR$3:AR$220,0),1),"")</f>
        <v>DEBITI DIVERSI</v>
      </c>
      <c r="AY63" s="259" t="str">
        <f ca="1">IFERROR(INDEX($AP$3:$AS$220,MATCH(ROWS(AY$3:AY63),AS$3:AS$220,0),1),"")</f>
        <v>DEBITI FINANZIARI</v>
      </c>
      <c r="AZ63" s="276" t="str">
        <f t="shared" ca="1" si="59"/>
        <v/>
      </c>
      <c r="BA63" s="259">
        <f t="shared" ca="1" si="153"/>
        <v>0</v>
      </c>
      <c r="BB63" s="259">
        <f ca="1">IFERROR(INDEX($FG$3:$FL$400,MATCH(ROWS($BB$3:BB63),$FL$3:$FL$400,0),1),0)</f>
        <v>0</v>
      </c>
      <c r="BC63" s="259" t="str">
        <f t="shared" ca="1" si="60"/>
        <v/>
      </c>
      <c r="BD63" s="259">
        <f ca="1">IFERROR(INDEX($FG$3:$FL$400,MATCH(ROWS($BD$3:BD63),$FL$3:$FL$400,0),4),0)</f>
        <v>0</v>
      </c>
      <c r="BE63" s="259">
        <f ca="1">IFERROR(INDEX($FG$3:$FL$400,MATCH(ROWS($BE$3:BE63),$FL$3:$FL$400,0),5),0)</f>
        <v>0</v>
      </c>
      <c r="BG63" s="259" t="str">
        <f t="shared" si="4"/>
        <v>FONDO MANUTENZIONI PROGRAMMATE</v>
      </c>
      <c r="BH63" s="259">
        <f ca="1">IF(IFERROR(MATCH(BG63,DENOMINAZIONE_GIORNALE,0),0)&gt;0,MAX(BH$2:BH62)+1,0)</f>
        <v>0</v>
      </c>
      <c r="BI63" s="259" t="str">
        <f ca="1">IFERROR(INDEX($BG$3:$BH$220,MATCH(ROWS($BI$3:BI63),$BH$3:$BH$220,0),1),"")</f>
        <v/>
      </c>
      <c r="BJ63" s="259" t="str">
        <f t="shared" ca="1" si="5"/>
        <v/>
      </c>
      <c r="BK63" s="259" t="str">
        <f ca="1">IF(IF(BJ63&lt;&gt;"",MAX($BK$2:BK62)+1,0)=0,"",IF(BJ63&lt;&gt;"",MAX($BK$2:BK62)+1,0))</f>
        <v/>
      </c>
      <c r="BL63" s="259" t="str">
        <f ca="1">IFERROR(INDEX($T$3:$U$220, MATCH(ROWS(BL$3:BL63),$V$3:$V$220,0),1),"")</f>
        <v/>
      </c>
      <c r="BM63" s="259" t="str">
        <f ca="1">IFERROR(INDEX($T$3:$U$220, MATCH(ROWS(BM$3:BM63),$V$3:$V$220,0),2),"")</f>
        <v/>
      </c>
      <c r="BN63" s="259" t="str">
        <f ca="1">IF(IFERROR(INDEX($BI$3:$BJ$220,MATCH(ROWS(BN$3:BN63),$BK$3:$BK$220,0),1),"")="PATRIMONIO NETTO","",IFERROR(INDEX($BI$3:$BJ$220,MATCH(ROWS(BN$3:BN63),$BK$3:$BK$220,0),1),""))</f>
        <v/>
      </c>
      <c r="BO63" s="259" t="str">
        <f ca="1">IFERROR(INDEX($BI$3:$BJ$220,MATCH(ROWS(BO$3:BO63),$BK$3:$BK$220,0),2),"")</f>
        <v/>
      </c>
      <c r="BP63" s="259">
        <f ca="1">IF(BN63&lt;&gt;"",MAX(BP$2:$BP62)+1,0)</f>
        <v>0</v>
      </c>
      <c r="BQ63" s="259" t="str">
        <f ca="1">IFERROR(INDEX($BN$3:$BO$200,MATCH(ROWS(BQ$3:BQ63),$BP$3:$BP$220,0),1),"")</f>
        <v/>
      </c>
      <c r="BR63" s="259" t="str">
        <f ca="1">IFERROR(INDEX($BN$3:$BO$220,MATCH(ROWS(BR$3:BR63),$BP$3:$BP$220,0),2),"")</f>
        <v/>
      </c>
      <c r="BS63" s="259" t="str">
        <f ca="1">IFERROR(IF(OR(INDEX($T$3:$U$220,MATCH(ROWS(BL$3:BL63),$V$3:$V$220,0),1)="PRELEVAMENTI EXTRAGESTIONE",INDEX($T$3:$U$220,MATCH(ROWS(BL$3:BL63),$V$3:$V$220,0),1)="TITOLARE C/RITENUTE SUBITE"),"",INDEX($T$3:$U$220,MATCH(ROWS(BL$3:BL63),$V$3:$V$220,0),1)),"")</f>
        <v/>
      </c>
      <c r="BT63" s="259">
        <f t="shared" ca="1" si="61"/>
        <v>0</v>
      </c>
      <c r="BU63" s="259">
        <f ca="1">IF(BS63&lt;&gt;"",MAX(BU$2:BU62)+1,0)</f>
        <v>0</v>
      </c>
      <c r="BV63" s="259" t="str">
        <f ca="1">IFERROR(INDEX($BS$3:$BT$223,MATCH(ROWS(BV$3:BV63),$BU$3:$BU$223,0),1),"")</f>
        <v/>
      </c>
      <c r="BW63" s="259">
        <f t="shared" ca="1" si="62"/>
        <v>0</v>
      </c>
      <c r="BX63" s="259" t="str">
        <f t="shared" ca="1" si="63"/>
        <v/>
      </c>
      <c r="BY63" s="259" t="str">
        <f t="shared" ca="1" si="64"/>
        <v/>
      </c>
      <c r="BZ63" s="259" t="str">
        <f ca="1">IFERROR(IF(OR($DS$231&lt;&gt;$DT$231,$DU$231&lt;&gt;$DV$231,$EO$25&lt;&gt;0,$EO$26&lt;&gt;0),INDEX($T$3:$V$220,MATCH(ROWS($BV$3:BV63),$V$3:$V$220,0),1),CONCATENATE(BV63,BY63)),"")</f>
        <v/>
      </c>
      <c r="CA63" s="259">
        <f t="shared" ca="1" si="65"/>
        <v>0</v>
      </c>
      <c r="CB63" s="259" t="str">
        <f ca="1">IFERROR(IF(OR($BB$1&lt;&gt;$BD$1,$BC$1&lt;&gt;$BE$1,$DS$231&lt;&gt;$DT$231,$DU$231&lt;&gt;$DV$231,$EO$25&lt;&gt;0,$EO$26&lt;&gt;0),INDEX($BI$3:$BK$220,MATCH(ROWS($CB$3:CB63),$BK$3:$BK$220,0),1),CONCATENATE(BQ63,BX63)),"")</f>
        <v/>
      </c>
      <c r="CC63" s="259" t="str">
        <f t="shared" ca="1" si="66"/>
        <v/>
      </c>
      <c r="CD63" s="259" t="str">
        <f t="shared" si="6"/>
        <v/>
      </c>
      <c r="CE63" s="259">
        <f ca="1">IF(IFERROR(MATCH(CD63,DENOMINAZIONE_GIORNALE,0),0)&gt;0,MAX(CE$2:CE62)+1,0)</f>
        <v>0</v>
      </c>
      <c r="CF63" s="259" t="str">
        <f ca="1">IFERROR(INDEX($CD$3:$CE$220,MATCH(ROWS($CF$3:CF63),$CE$3:$CE$220,0),1),"")</f>
        <v/>
      </c>
      <c r="CG63" s="259">
        <f t="shared" ca="1" si="7"/>
        <v>0</v>
      </c>
      <c r="CH63" s="259" t="str">
        <f ca="1">IF(IF(CG63&lt;&gt;0,MAX($CH$2:CH62)+1,0)=0,"",IF(CG63&lt;&gt;"",MAX($CH$2:CH62)+1,0))</f>
        <v/>
      </c>
      <c r="CI63" s="259" t="str">
        <f ca="1">IFERROR(INDEX($CF$3:$CG$220,MATCH(ROWS($CI$3:CI63),$CH$3:$CH$220,0),1),"")</f>
        <v/>
      </c>
      <c r="CJ63" s="259" t="str">
        <f t="shared" ca="1" si="67"/>
        <v/>
      </c>
      <c r="CK63" s="259" t="str">
        <f t="shared" si="8"/>
        <v/>
      </c>
      <c r="CL63" s="259">
        <f ca="1">IF(IFERROR(MATCH(CK63,DENOMINAZIONE_GIORNALE,0),0)&gt;0,MAX(CL$2:CL62)+1,0)</f>
        <v>0</v>
      </c>
      <c r="CM63" s="259" t="str">
        <f ca="1">IFERROR(INDEX($CK$3:$CL$220,MATCH(ROWS($CM$3:CM63),$CL$3:$CL$220,0),1),"")</f>
        <v/>
      </c>
      <c r="CN63" s="259" t="str">
        <f t="shared" ca="1" si="9"/>
        <v/>
      </c>
      <c r="CO63" s="259">
        <f ca="1">IF(IF(CN63&lt;&gt;0,MAX($CO$2:CO62)+1,0)=0,"",IF(CN63&lt;&gt;"",MAX($CO$2:CO62)+1,0))</f>
        <v>0</v>
      </c>
      <c r="CP63" s="259" t="str">
        <f ca="1">IFERROR(INDEX($CM$3:$CN$220,MATCH(ROWS(CP$3:CP63),$CO$3:$CO$220,0),1),"")</f>
        <v/>
      </c>
      <c r="CQ63" s="259" t="str">
        <f ca="1">IFERROR(INDEX($CM$3:$CN$220,MATCH(ROWS(CQ$3:CQ63),$CO$3:$CO$220,0),2),"")</f>
        <v/>
      </c>
      <c r="CR63" s="259" t="str">
        <f t="shared" ca="1" si="154"/>
        <v/>
      </c>
      <c r="CS63" s="259">
        <f t="shared" ca="1" si="11"/>
        <v>0</v>
      </c>
      <c r="CT63" s="259">
        <f t="shared" ca="1" si="12"/>
        <v>0</v>
      </c>
      <c r="CU63" s="259">
        <f ca="1">IF(OR(CS63&gt;0,CT63&gt;0),MAX($CU$2:CU62)+1,0)</f>
        <v>0</v>
      </c>
      <c r="CV63" s="259" t="str">
        <f ca="1">IFERROR(INDEX(PIANO_DEI_CONTI,MATCH(ROWS($CV$3:CV63),$CU$3:$CU$200,0),2),"")</f>
        <v/>
      </c>
      <c r="CW63" s="259">
        <f ca="1">IFERROR(IF(CV63&lt;&gt;"",MAX($CW$2:CW62)+1,0),0)</f>
        <v>0</v>
      </c>
      <c r="CX63" s="259">
        <f t="shared" ca="1" si="174"/>
        <v>4</v>
      </c>
      <c r="CY63" s="259" t="str">
        <f t="shared" ca="1" si="161"/>
        <v>MASTRO</v>
      </c>
      <c r="CZ63" s="259" t="e">
        <f t="shared" ca="1" si="176"/>
        <v>#N/A</v>
      </c>
      <c r="DA63" s="259" t="str">
        <f t="shared" ca="1" si="181"/>
        <v/>
      </c>
      <c r="DB63" s="259" t="str">
        <f t="shared" ca="1" si="177"/>
        <v/>
      </c>
      <c r="DC63" s="259" t="str">
        <f t="shared" ca="1" si="178"/>
        <v/>
      </c>
      <c r="DD63" s="259" t="str">
        <f t="shared" ca="1" si="179"/>
        <v/>
      </c>
      <c r="DE63" s="259" t="str">
        <f t="shared" ca="1" si="180"/>
        <v/>
      </c>
      <c r="DF63" s="259">
        <f ca="1">IF(AND(CX63=$DE$2,$DF$2&lt;&gt;0),0,IF(AND(DB63&lt;&gt;"",OR(DB62&lt;&gt;"",DB64&lt;&gt;"")),MAX($DF$2:DF62)+1,0))</f>
        <v>0</v>
      </c>
      <c r="DG63" s="259" t="str">
        <f>IF(OR(VALORI_INIZIALI!E68="",AND(VALORI_INIZIALI!E68&lt;&gt;"",VALORI_INIZIALI!H68=0,VALORI_INIZIALI!I68=0)),"",IFERROR(INDEX(PIANO_DEI_CONTI,MATCH(BB63,DENOMINAZIONE,0),1),0))</f>
        <v/>
      </c>
      <c r="DH63" s="259">
        <f ca="1">IFERROR(IF($J$1=1,IF(INDEX(PIANO_DEI_CONTI,MATCH($K63,DENOMINAZIONE,0),5)=$DF$1,MAX($DH$2:DH62)+1,0),IF($J$1=2,IF(INDEX(PIANO_DEI_CONTI,MATCH($K63,DENOMINAZIONE,0),7)=$DF$1,MAX($DH$2:DH62)+1,0))),0)</f>
        <v>0</v>
      </c>
      <c r="DI63" s="259">
        <f ca="1">IFERROR(INDEX($K$3:$K$220,MATCH(ROWS($DI$3:DI63),$DH$3:$DH$220,0),1),0)</f>
        <v>0</v>
      </c>
      <c r="DJ63" s="259">
        <f t="shared" ca="1" si="14"/>
        <v>0</v>
      </c>
      <c r="DK63" s="259">
        <f ca="1">IF(DJ63=0,0,MAX(DK$2:DK62)+1)</f>
        <v>0</v>
      </c>
      <c r="DL63" s="259">
        <f ca="1">IFERROR(INDEX(PIANO_DEI_CONTI,MATCH(ROWS(DL$3:DL63),$DK$3:DK290,0),2),0)</f>
        <v>0</v>
      </c>
      <c r="DM63" s="259">
        <f t="shared" ca="1" si="15"/>
        <v>0</v>
      </c>
      <c r="DN63" s="259">
        <f t="shared" ca="1" si="16"/>
        <v>0</v>
      </c>
      <c r="DO63" s="259">
        <f t="shared" ca="1" si="69"/>
        <v>0</v>
      </c>
      <c r="DP63" s="259">
        <f t="shared" ca="1" si="70"/>
        <v>0</v>
      </c>
      <c r="DQ63" s="259">
        <f ca="1">IF(OR($DQ$1="TOTALI",$DQ$1="TOTALI ED ECCEDENZE"),IF(OR(DM63&gt;0,DN63&gt;0),MAX(DQ$2:DQ62)+1,0),IF($DQ$1="ECCEDENZE",IF(OR(DO63&gt;0,DP63&gt;0),MAX(DQ$2:DQ62)+1,0),""))</f>
        <v>0</v>
      </c>
      <c r="DR63" s="259" t="str">
        <f ca="1">IFERROR(INDEX($DL$3:$DQ$230,MATCH(ROWS(DR$3:DR63),$DQ$3:$DQ$230,0),1),"")</f>
        <v/>
      </c>
      <c r="DS63" s="259" t="str">
        <f t="shared" ca="1" si="71"/>
        <v/>
      </c>
      <c r="DT63" s="259" t="str">
        <f t="shared" ca="1" si="72"/>
        <v/>
      </c>
      <c r="DU63" s="259" t="str">
        <f t="shared" ca="1" si="73"/>
        <v/>
      </c>
      <c r="DV63" s="259" t="str">
        <f t="shared" ca="1" si="74"/>
        <v/>
      </c>
      <c r="DW63" s="259">
        <f t="shared" ca="1" si="75"/>
        <v>0</v>
      </c>
      <c r="DX63" s="259" t="str">
        <f t="shared" ca="1" si="76"/>
        <v/>
      </c>
      <c r="DY63" s="259" t="str">
        <f t="shared" ca="1" si="77"/>
        <v/>
      </c>
      <c r="DZ63" s="259" t="str">
        <f t="shared" ca="1" si="78"/>
        <v/>
      </c>
      <c r="EA63" s="259">
        <f t="shared" ca="1" si="79"/>
        <v>61</v>
      </c>
      <c r="EB63" s="259" t="s">
        <v>359</v>
      </c>
      <c r="ED63" s="259">
        <f t="shared" ca="1" si="17"/>
        <v>0</v>
      </c>
      <c r="EE63" s="259" t="str">
        <f t="shared" ca="1" si="155"/>
        <v/>
      </c>
      <c r="EF63" s="259" t="str">
        <f t="shared" ca="1" si="19"/>
        <v/>
      </c>
      <c r="EG63" s="259" t="str">
        <f t="shared" ca="1" si="136"/>
        <v/>
      </c>
      <c r="EH63" s="259" t="str">
        <f t="shared" ca="1" si="80"/>
        <v/>
      </c>
      <c r="EI63" s="260" t="b">
        <f t="shared" ca="1" si="137"/>
        <v>0</v>
      </c>
      <c r="EJ63" s="260" t="b">
        <f t="shared" ca="1" si="138"/>
        <v>0</v>
      </c>
      <c r="EK63" s="260" t="b">
        <f t="shared" ca="1" si="139"/>
        <v>1</v>
      </c>
      <c r="EL63" s="259">
        <f t="shared" si="81"/>
        <v>61</v>
      </c>
      <c r="EM63" s="259">
        <f ca="1">IF(AND(BA63&gt;0,BA63&lt;=$EM$1),MAX($EM$2:EM62)+1,0)</f>
        <v>0</v>
      </c>
      <c r="EN63" s="259">
        <f t="shared" ca="1" si="82"/>
        <v>63</v>
      </c>
      <c r="EP63" s="259" t="str">
        <f t="shared" ca="1" si="20"/>
        <v/>
      </c>
      <c r="EQ63" s="259">
        <f t="shared" ca="1" si="21"/>
        <v>0</v>
      </c>
      <c r="ER63" s="259">
        <f ca="1">IF(ISNA(EQ63),MAX(ER$2:ER62)+1,0)</f>
        <v>0</v>
      </c>
      <c r="ES63" s="259" t="str">
        <f t="shared" ca="1" si="83"/>
        <v/>
      </c>
      <c r="ET63" s="259" t="str">
        <f ca="1">IFERROR(UPPER(INDEX($ER$3:$ES$500,MATCH(ROWS(ET$3:ET63),$ER$3:$ER$500,0),2)),"")</f>
        <v/>
      </c>
      <c r="EY63" s="259">
        <f t="shared" ca="1" si="84"/>
        <v>0</v>
      </c>
      <c r="EZ63" s="259">
        <f t="shared" ca="1" si="84"/>
        <v>0</v>
      </c>
      <c r="FA63" s="259" t="str">
        <f t="shared" ca="1" si="85"/>
        <v/>
      </c>
      <c r="FB63" s="259">
        <f t="shared" ca="1" si="86"/>
        <v>0</v>
      </c>
      <c r="FC63" s="259">
        <f t="shared" ca="1" si="87"/>
        <v>0</v>
      </c>
      <c r="FD63" s="259">
        <f t="shared" ca="1" si="22"/>
        <v>0</v>
      </c>
      <c r="FE63" s="259" t="str">
        <f t="shared" ca="1" si="23"/>
        <v/>
      </c>
      <c r="FF63" s="259" t="str">
        <f t="shared" ca="1" si="88"/>
        <v/>
      </c>
      <c r="FG63" s="259" t="str">
        <f t="shared" si="89"/>
        <v>FONDO MANUTENZIONI PROGRAMMATE</v>
      </c>
      <c r="FH63" s="259">
        <f t="shared" ca="1" si="156"/>
        <v>0</v>
      </c>
      <c r="FI63" s="259">
        <f t="shared" ca="1" si="25"/>
        <v>0</v>
      </c>
      <c r="FJ63" s="259">
        <f t="shared" ca="1" si="90"/>
        <v>0</v>
      </c>
      <c r="FK63" s="259">
        <f t="shared" ca="1" si="91"/>
        <v>0</v>
      </c>
      <c r="FL63" s="259">
        <f ca="1">IF(OR(FJ63&gt;0,FK63&gt;0),MAX($FL$2:FL62)+1,0)</f>
        <v>0</v>
      </c>
      <c r="FM63" s="259">
        <f t="shared" ca="1" si="26"/>
        <v>0</v>
      </c>
      <c r="FN63" s="259">
        <f ca="1">IF(FM63&lt;0,MAX($FN$2:FN62)+1,0)</f>
        <v>0</v>
      </c>
      <c r="FO63" s="259" t="str">
        <f t="shared" ca="1" si="92"/>
        <v/>
      </c>
      <c r="FP63" s="259" t="str">
        <f ca="1">IFERROR(INDEX($FN$3:$FO$400,MATCH(ROWS($FP$3:FP63),$FN$3:$FN$400,0),2),"")</f>
        <v/>
      </c>
      <c r="FQ63" s="259" t="str">
        <f>IF(AE63="SE AVERE",MAX($FQ$2:FQ62)+1,"")</f>
        <v/>
      </c>
      <c r="FR63" s="259" t="str">
        <f>IF(AE63="SE DARE",MAX($FR$2:FR62)+1,"")</f>
        <v/>
      </c>
      <c r="FS63" s="259" t="str">
        <f ca="1">IF(AND(AE63="SP DARE",AA63&lt;&gt;$FS$1,AA63&lt;&gt;$FT$1),MAX($FS$2:FS62)+1,IF(AND(GQ63="SP DARE",AA63&lt;&gt;$FS$1,AA63&lt;&gt;$FT$1),MAX($FS$2:FS62)+1,""))</f>
        <v/>
      </c>
      <c r="FT63" s="259">
        <f ca="1">IF(AND(AE63="SP AVERE",AA63&lt;&gt;$FU$1),MAX($FT$2:FT62)+1,IF(AND(GQ63="SP AVERE",AA63&lt;&gt;$FU$1),MAX($FT$2:FT62)+1,""))</f>
        <v>145</v>
      </c>
      <c r="FU63" s="259">
        <f t="shared" ca="1" si="93"/>
        <v>145</v>
      </c>
      <c r="FV63" s="259" t="str">
        <f t="shared" si="94"/>
        <v>FONDO MANUTENZIONI PROGRAMMATE</v>
      </c>
      <c r="FW63" s="259" t="str">
        <f ca="1">IFERROR(INDEX($FU$3:$FV$500,MATCH(ROWS($FW$3:FW63),$FU$3:$FU$500,0),2),0)</f>
        <v>MERCI C/ESISTENZE INIZIALI</v>
      </c>
      <c r="FX63" s="259">
        <f t="shared" ca="1" si="95"/>
        <v>61</v>
      </c>
      <c r="FY63" s="259">
        <f t="shared" ca="1" si="96"/>
        <v>0</v>
      </c>
      <c r="FZ63" s="259">
        <f ca="1">IF(FY63&gt;0,MAX($FZ$2:FZ62)+1,0)</f>
        <v>0</v>
      </c>
      <c r="GA63" s="259">
        <f ca="1">IFERROR(INDEX($FY$3:$FZ$500,MATCH(ROWS($GA$3:GA63),$FZ$3:$FZ$500,0),1),0)</f>
        <v>0</v>
      </c>
      <c r="GC63" s="259">
        <f t="shared" ca="1" si="97"/>
        <v>61</v>
      </c>
      <c r="GD63" s="259" t="str">
        <f t="shared" ca="1" si="98"/>
        <v>MERCI C/ESISTENZE INIZIALI</v>
      </c>
      <c r="GG63" s="259">
        <f t="shared" ca="1" si="27"/>
        <v>0</v>
      </c>
      <c r="GH63" s="259">
        <f t="shared" ca="1" si="99"/>
        <v>0</v>
      </c>
      <c r="GI63" s="259">
        <f t="shared" ca="1" si="100"/>
        <v>0</v>
      </c>
      <c r="GJ63" s="259">
        <f t="shared" ca="1" si="101"/>
        <v>0</v>
      </c>
      <c r="GK63" s="259">
        <f t="shared" ca="1" si="102"/>
        <v>0</v>
      </c>
      <c r="GL63" s="259">
        <f t="shared" ca="1" si="103"/>
        <v>0</v>
      </c>
      <c r="GM63" s="259">
        <f ca="1">IF(OR(GK63&gt;0,GL63&gt;0),MAX($GM$2:GM62)+1,0)</f>
        <v>0</v>
      </c>
      <c r="GN63" s="259" t="str">
        <f ca="1">IFERROR(INDEX($GD$3:$GM$400,MATCH(ROWS($GN$3:GN63),$GM$3:$GM$400,0),1),"")</f>
        <v/>
      </c>
      <c r="GO63" s="259" t="str">
        <f ca="1">IFERROR(INDEX($GD$3:$GM$400,MATCH(ROWS($GO$3:GO63),$GM$3:$GM$400,0),8),"")</f>
        <v/>
      </c>
      <c r="GP63" s="259" t="str">
        <f ca="1">IFERROR(INDEX($GD$3:$GM$400,MATCH(ROWS($GP$3:GP63),$GM$3:$GM$400,0),9),"")</f>
        <v/>
      </c>
      <c r="GQ63" s="259">
        <f t="shared" ca="1" si="28"/>
        <v>0</v>
      </c>
      <c r="GR63" s="259">
        <f t="shared" ca="1" si="104"/>
        <v>0</v>
      </c>
      <c r="GS63" s="259" t="str">
        <f t="shared" si="105"/>
        <v>epilogo a Conto economico</v>
      </c>
      <c r="GT63" s="259" t="str">
        <f ca="1">IFERROR(INDEX($GD$3:$GS$400,MATCH(ROWS($GT$3:GT63),$GM$3:$GM$400,0),16),"")</f>
        <v/>
      </c>
      <c r="GU63" s="259">
        <f ca="1">IF(GQ63&lt;&gt;0,MAX($GU$2:$GU62)+1,0)</f>
        <v>0</v>
      </c>
      <c r="GV63" s="259">
        <f t="shared" ca="1" si="106"/>
        <v>0</v>
      </c>
      <c r="GW63" s="259" t="str">
        <f ca="1">IF(AND(IFERROR(INDEX($GU$3:$GV$400,MATCH(ROWS($GW$3:GW63),$GU$3:$GU$400,0),2),"")&lt;&gt;"",GW64&lt;&gt;""),CONCATENATE(IFERROR(INDEX($GU$3:$GV$400,MATCH(ROWS($GW$3:GW63),$GU$3:$GU$400,0),2),"")," - "),IFERROR(INDEX($GU$3:$GV$400,MATCH(ROWS($GW$3:GW63),$GU$3:$GU$400,0),2),""))</f>
        <v/>
      </c>
      <c r="GX63" s="259">
        <f ca="1">IF(OR(GN63="IVA NS/CREDITO",GN63="IVA NS/DEBITO",GN63="IVA C/ACCONTO",GN63="IMPOSTE C/ACCONTO"),MAX($GX$2:GX62)+1,0)</f>
        <v>0</v>
      </c>
      <c r="GY63" s="259" t="str">
        <f ca="1">IF(AND(IFERROR(INDEX($GN$3:$GX$200,MATCH(ROWS($GY$3:GY63),$GX$3:$GX$200,0),1),"")&lt;&gt;"",GY64&lt;&gt;""),CONCATENATE(IFERROR(INDEX($GN$3:$GX$200,MATCH(ROWS($GY$3:GY63),$GX$3:$GX$200,0),1),"")," - "),IFERROR(INDEX($GN$3:$GX$200,MATCH(ROWS($GY$3:GY63),$GX$3:$GX$200,0),1),""))</f>
        <v/>
      </c>
      <c r="GZ63" s="259" t="s">
        <v>82</v>
      </c>
      <c r="HA63" s="259" t="s">
        <v>80</v>
      </c>
      <c r="HB63" s="269" t="s">
        <v>257</v>
      </c>
      <c r="HC63" s="269" t="s">
        <v>276</v>
      </c>
      <c r="HD63" s="269" t="s">
        <v>207</v>
      </c>
      <c r="HE63" s="269" t="s">
        <v>206</v>
      </c>
      <c r="HG63" s="270"/>
      <c r="HL63" s="259" t="str">
        <f t="shared" ca="1" si="157"/>
        <v/>
      </c>
      <c r="HM63" s="259" t="str">
        <f t="shared" ca="1" si="158"/>
        <v/>
      </c>
      <c r="HN63" s="259" t="str">
        <f t="shared" ca="1" si="159"/>
        <v/>
      </c>
      <c r="HO63" s="259">
        <f ca="1">IF(HL63&lt;&gt;"",MAX($HO$2:HO62)+1,0)</f>
        <v>0</v>
      </c>
      <c r="HP63" s="259">
        <f ca="1">IF(HM63&lt;&gt;"",MAX($HP$2:HP62)+1,0)</f>
        <v>0</v>
      </c>
      <c r="HQ63" s="259">
        <f ca="1">IF(HN63&lt;&gt;"",MAX($HQ$2:HQ62)+1,0)</f>
        <v>0</v>
      </c>
      <c r="HR63" s="259" t="str">
        <f t="shared" ca="1" si="107"/>
        <v/>
      </c>
      <c r="HS63" s="259" t="str">
        <f t="shared" ca="1" si="108"/>
        <v/>
      </c>
      <c r="HT63" s="259">
        <f t="shared" ca="1" si="109"/>
        <v>0</v>
      </c>
      <c r="HU63" s="259">
        <f t="shared" ca="1" si="110"/>
        <v>0</v>
      </c>
      <c r="HV63" s="259" t="str">
        <f ca="1">CONCATENATE(IFERROR(INDEX($HS$3:$HT$102,MATCH(ROWS($HV$3:HV63),$HT$3:$HT$102,0),1),""),HR63)</f>
        <v/>
      </c>
      <c r="IA63" s="259" t="s">
        <v>383</v>
      </c>
      <c r="IB63" s="259" t="s">
        <v>322</v>
      </c>
      <c r="IC63" s="259">
        <f ca="1">IFERROR(INDEX(PIANO_DEI_CONTI,MATCH(ROWS(DL$3:DL63),$DK$3:DK290,0),2),0)</f>
        <v>0</v>
      </c>
      <c r="ID63" s="259">
        <f t="shared" ca="1" si="111"/>
        <v>0</v>
      </c>
      <c r="IE63" s="259">
        <f t="shared" ca="1" si="112"/>
        <v>0</v>
      </c>
      <c r="IF63" s="259">
        <f t="shared" ca="1" si="113"/>
        <v>0</v>
      </c>
      <c r="IG63" s="259">
        <f t="shared" ca="1" si="171"/>
        <v>0</v>
      </c>
      <c r="IH63" s="259">
        <f ca="1">IF(IG63&lt;&gt;0,MAX($IH$35:IH62)+1,0)</f>
        <v>0</v>
      </c>
      <c r="II63" s="259">
        <f>IF(AD63="costi pluriennali",MAX($II$2:II62)+1,0)</f>
        <v>0</v>
      </c>
      <c r="IJ63" s="259">
        <f>IF($AD63="rettifiche costi pluriennali",MAX($IJ$2:IJ62)+1,0)</f>
        <v>0</v>
      </c>
      <c r="IK63" s="259">
        <f t="shared" si="114"/>
        <v>0</v>
      </c>
      <c r="IL63" s="259" t="str">
        <f t="shared" si="115"/>
        <v/>
      </c>
      <c r="IM63" s="259">
        <f t="shared" ca="1" si="116"/>
        <v>0</v>
      </c>
      <c r="IN63" s="259">
        <f t="shared" ca="1" si="141"/>
        <v>0</v>
      </c>
      <c r="IO63" s="259">
        <f>SUMIFS($IM$3:$IM$200,$IK$3:$IK$200,ROWS($IO$3:IO63))-SUMIFS($IN$3:$IN$200,$IK$3:$IK$200,ROWS($IO$3:IO63))</f>
        <v>0</v>
      </c>
      <c r="IP63" s="259" t="str">
        <f>IF(IO63&lt;0,INDEX($IJ$3:$IL$200,MATCH(ROWS($IP$3:IP63),$IJ$3:$IJ$200,0),3),"")</f>
        <v/>
      </c>
      <c r="IQ63" s="259">
        <f>IF(IP63&lt;&gt;"",MAX($IQ$2:IQ62)+1,0)</f>
        <v>0</v>
      </c>
      <c r="IR63" s="259" t="str">
        <f ca="1">IFERROR(INDEX($IP$3:$IQ$200,MATCH(ROWS($IR$3:IR63),$IQ$3:$IQ$200,0),1),"")</f>
        <v/>
      </c>
      <c r="IS63" s="259" t="str">
        <f t="shared" ca="1" si="117"/>
        <v/>
      </c>
      <c r="IT63" s="259" t="str">
        <f t="shared" ca="1" si="118"/>
        <v/>
      </c>
      <c r="IU63" s="259" t="str">
        <f t="shared" ca="1" si="119"/>
        <v/>
      </c>
      <c r="IV63" s="259" t="str">
        <f t="shared" ca="1" si="120"/>
        <v/>
      </c>
      <c r="IW63" s="259" t="str">
        <f t="shared" ca="1" si="121"/>
        <v/>
      </c>
      <c r="IX63" s="259" t="str">
        <f t="shared" ca="1" si="122"/>
        <v/>
      </c>
      <c r="IY63" s="259" t="str">
        <f t="shared" ca="1" si="123"/>
        <v/>
      </c>
      <c r="IZ63" s="259" t="str">
        <f t="shared" ca="1" si="124"/>
        <v/>
      </c>
      <c r="JA63" s="259" t="str">
        <f t="shared" ca="1" si="125"/>
        <v/>
      </c>
      <c r="JB63" s="259">
        <f t="shared" ca="1" si="32"/>
        <v>0</v>
      </c>
      <c r="JC63" s="259">
        <f t="shared" ca="1" si="126"/>
        <v>0</v>
      </c>
      <c r="JE63" s="259">
        <f ca="1">IFERROR(INDEX(LIBRO_GIORNALE!$N$11:$O$408,MATCH(ROWS($JE$2:JE62),LIBRO_GIORNALE!$O$11:$O$408,0),1),0)</f>
        <v>0</v>
      </c>
      <c r="JF63" s="259" t="str">
        <f t="shared" ca="1" si="127"/>
        <v>0</v>
      </c>
      <c r="JG63" s="259">
        <f t="shared" ca="1" si="128"/>
        <v>0</v>
      </c>
      <c r="JH63" s="259">
        <f ca="1">IF(JJ63&gt;0,0,MAX($JH$2:JH62)+1)</f>
        <v>61</v>
      </c>
      <c r="JI63" s="259">
        <f ca="1">IF(JG63&gt;0,MAX($JI$2:JI62)+1,0)</f>
        <v>0</v>
      </c>
      <c r="JJ63" s="259">
        <f ca="1">IFERROR(INDEX($JG$3:$JI$124,MATCH(ROWS($JJ$3:JJ63),$JI$3:$JI$124,0),1),0)</f>
        <v>0</v>
      </c>
      <c r="JK63" s="259">
        <f t="shared" ca="1" si="129"/>
        <v>0</v>
      </c>
      <c r="JL63" s="259">
        <f t="shared" ca="1" si="130"/>
        <v>61</v>
      </c>
    </row>
    <row r="64" spans="1:272">
      <c r="A64" s="259" t="str">
        <f t="shared" si="33"/>
        <v>09.02</v>
      </c>
      <c r="B64" s="259" t="str">
        <f t="shared" si="34"/>
        <v>RISCONTI ATTIVI</v>
      </c>
      <c r="C64" s="259" t="str">
        <f t="shared" si="35"/>
        <v>E</v>
      </c>
      <c r="D64" s="259" t="str">
        <f t="shared" si="36"/>
        <v>D</v>
      </c>
      <c r="E64" s="259" t="str">
        <f t="shared" si="37"/>
        <v>COSTI SOSPESI</v>
      </c>
      <c r="F64" s="259" t="str">
        <f t="shared" si="38"/>
        <v>SP DARE</v>
      </c>
      <c r="G64" s="259">
        <f t="shared" ca="1" si="39"/>
        <v>0</v>
      </c>
      <c r="H64" s="259">
        <f t="shared" ca="1" si="40"/>
        <v>0</v>
      </c>
      <c r="I64" s="259">
        <f t="shared" ca="1" si="41"/>
        <v>1</v>
      </c>
      <c r="K64" s="259" t="str">
        <f ca="1">IFERROR(IF($I$1=1,INDEX($AA$3:$AS$220,MATCH(ROWS($K$3:K64),$AQ$3:$AQ$220,0),1),IF($I$1=2,INDEX($AA$3:$AS$220,MATCH(ROWS($K$3:K64),$AR$3:$AR$220,0),1),IF($I$1=3,INDEX($AA$3:$AS$220,MATCH(ROWS($K$3:K64),$AS$3:$AS$220,0),1),""))),"")</f>
        <v>BANCHE C/RI.BA. SBF</v>
      </c>
      <c r="L64" s="259">
        <f ca="1">IF(AND($L$1="VISUALIZZA TUTTI I CONTI",K64&lt;&gt;""),MAX(L63:L63)+1,IFERROR(IF($J$1=1,IF(INDEX(PIANO_DEI_CONTI,MATCH($K64,DENOMINAZIONE,0),5)=$L$1,MAX($L$2:L63)+1,0),IF($J$1=2,IF(INDEX(PIANO_DEI_CONTI,MATCH($K64,DENOMINAZIONE,0),7)=$L$1,MAX($L$2:L63)+1,0))),0))</f>
        <v>62</v>
      </c>
      <c r="M64" s="259" t="str">
        <f ca="1">IFERROR(INDEX($K$3:$K$220,MATCH(ROWS($M$3:M64),$L$3:$L$220,0),1),"")</f>
        <v>BANCHE C/RI.BA. SBF</v>
      </c>
      <c r="Q64" s="259" t="str">
        <f ca="1">IF(IFERROR(INDEX($O$3:$P$220,MATCH(ROWS(Q$3:Q64),$P$3:$P$220,0),1),"")=0,"",IFERROR(INDEX($O$3:$P$220,MATCH(ROWS(Q$3:Q64),$P$3:$P$220,0),1),""))</f>
        <v/>
      </c>
      <c r="R64" s="259" t="str">
        <f t="shared" si="1"/>
        <v/>
      </c>
      <c r="S64" s="259">
        <f ca="1">IF(IFERROR(MATCH(R64,DENOMINAZIONE_GIORNALE,0),0)&gt;0,MAX(S$2:S63)+1,0)</f>
        <v>0</v>
      </c>
      <c r="T64" s="259" t="str">
        <f ca="1">IFERROR(INDEX($R$3:$S$220,MATCH(ROWS($T$3:T64),$S$3:$S$220,0),1),"")</f>
        <v/>
      </c>
      <c r="U64" s="259">
        <f t="shared" ca="1" si="2"/>
        <v>0</v>
      </c>
      <c r="V64" s="259">
        <f ca="1">IF(IF(U64&lt;&gt;0,MAX($V$2:V63)+1,0)=0,0,IF(U64&lt;&gt;0,MAX($V$2:V63)+1,0))</f>
        <v>0</v>
      </c>
      <c r="W64" s="259" t="str">
        <f t="shared" si="43"/>
        <v>09.02</v>
      </c>
      <c r="X64" s="259" t="str">
        <f t="shared" si="44"/>
        <v>RISCONTI ATTIVI</v>
      </c>
      <c r="Y64" s="259">
        <f>IF(W64="",0,MAX($Y$2:Y63)+1)</f>
        <v>54</v>
      </c>
      <c r="Z64" s="259" t="str">
        <f>IFERROR(INDEX($W$3:$Y$220,MATCH(ROWS($Z$2:Z63),$Y$3:$Y$220,0),1),"")</f>
        <v>12.01</v>
      </c>
      <c r="AA64" s="259" t="str">
        <f t="shared" si="45"/>
        <v>DEBITI PER TFR</v>
      </c>
      <c r="AB64" s="259" t="str">
        <f t="shared" si="46"/>
        <v>F</v>
      </c>
      <c r="AC64" s="259" t="str">
        <f t="shared" si="47"/>
        <v>A</v>
      </c>
      <c r="AD64" s="259" t="str">
        <f t="shared" si="48"/>
        <v>DEBITI</v>
      </c>
      <c r="AE64" s="259" t="str">
        <f t="shared" si="49"/>
        <v>SP AVERE</v>
      </c>
      <c r="AF64" s="259" t="str">
        <f t="shared" si="50"/>
        <v>TRATTAMENTO FINE RAPPORTO</v>
      </c>
      <c r="AG64" s="259">
        <f t="shared" ca="1" si="51"/>
        <v>0</v>
      </c>
      <c r="AH64" s="259">
        <f t="shared" ca="1" si="52"/>
        <v>0</v>
      </c>
      <c r="AI64" s="259">
        <f t="shared" ca="1" si="53"/>
        <v>1</v>
      </c>
      <c r="AJ64" s="259" t="str">
        <f t="shared" si="54"/>
        <v>12</v>
      </c>
      <c r="AK64" s="259" t="str">
        <f t="shared" si="55"/>
        <v/>
      </c>
      <c r="AL64" s="259">
        <f>IF(AK64&lt;&gt;"",MAX($AL$2:AL63)+1,0)</f>
        <v>0</v>
      </c>
      <c r="AM64" s="259" t="str">
        <f>IFERROR(INDEX($AK$3:$AL$220,MATCH(ROWS($AM$3:AM64),$AL$3:$AL$220,0),1),"")</f>
        <v/>
      </c>
      <c r="AN64" s="259" t="str">
        <f t="shared" si="56"/>
        <v/>
      </c>
      <c r="AO64" s="259" t="str">
        <f t="shared" si="57"/>
        <v/>
      </c>
      <c r="AP64" s="259" t="str">
        <f t="shared" si="58"/>
        <v>TRATTAMENTO FINE RAPPORTO</v>
      </c>
      <c r="AQ64" s="259">
        <f ca="1">IF(OR(AG64=0,AG64=""),0,MAX(AQ$2:AQ63)+1)</f>
        <v>0</v>
      </c>
      <c r="AR64" s="259">
        <f ca="1">IF(OR(AH64=0,AH64=""),0,MAX(AR$2:AR63)+1)</f>
        <v>0</v>
      </c>
      <c r="AS64" s="259">
        <f ca="1">IF(OR(AI64=0,AI64=""),0,MAX(AS$2:AS63)+1)</f>
        <v>60</v>
      </c>
      <c r="AT64" s="259" t="str">
        <f ca="1">IFERROR(INDEX($AD$3:$AS$220,MATCH(ROWS(AT$3:AT64),AQ$3:AQ$220,0),1),"")</f>
        <v>COSTI D'ESERCIZIO</v>
      </c>
      <c r="AU64" s="259" t="str">
        <f ca="1">IFERROR(INDEX($AD$3:$AS$220,MATCH(ROWS(AU$3:AU64),AR$3:AR$220,0),1),"")</f>
        <v>DEBITI</v>
      </c>
      <c r="AV64" s="259" t="str">
        <f ca="1">IFERROR(INDEX($AD$3:$AS$220,MATCH(ROWS(AV$3:AV64),AS$3:AS$220,0),1),"")</f>
        <v>DEBITI</v>
      </c>
      <c r="AW64" s="259" t="str">
        <f ca="1">IFERROR(INDEX($AP$3:$AS$220,MATCH(ROWS(AW$3:AW64),AQ$3:AQ$220,0),1),"")</f>
        <v>COSTI PER SERVIZI</v>
      </c>
      <c r="AX64" s="259" t="str">
        <f ca="1">IFERROR(INDEX($AP$3:$AS$220,MATCH(ROWS(AX$3:AX64),AR$3:AR$220,0),1),"")</f>
        <v>DEBITI DIVERSI</v>
      </c>
      <c r="AY64" s="259" t="str">
        <f ca="1">IFERROR(INDEX($AP$3:$AS$220,MATCH(ROWS(AY$3:AY64),AS$3:AS$220,0),1),"")</f>
        <v>DEBITI FINANZIARI</v>
      </c>
      <c r="AZ64" s="276" t="str">
        <f t="shared" ca="1" si="59"/>
        <v/>
      </c>
      <c r="BA64" s="259">
        <f t="shared" ca="1" si="153"/>
        <v>0</v>
      </c>
      <c r="BB64" s="259">
        <f ca="1">IFERROR(INDEX($FG$3:$FL$400,MATCH(ROWS($BB$3:BB64),$FL$3:$FL$400,0),1),0)</f>
        <v>0</v>
      </c>
      <c r="BC64" s="259" t="str">
        <f t="shared" ca="1" si="60"/>
        <v/>
      </c>
      <c r="BD64" s="259">
        <f ca="1">IFERROR(INDEX($FG$3:$FL$400,MATCH(ROWS($BD$3:BD64),$FL$3:$FL$400,0),4),0)</f>
        <v>0</v>
      </c>
      <c r="BE64" s="259">
        <f ca="1">IFERROR(INDEX($FG$3:$FL$400,MATCH(ROWS($BE$3:BE64),$FL$3:$FL$400,0),5),0)</f>
        <v>0</v>
      </c>
      <c r="BG64" s="259" t="str">
        <f t="shared" si="4"/>
        <v>DEBITI PER TFR</v>
      </c>
      <c r="BH64" s="259">
        <f ca="1">IF(IFERROR(MATCH(BG64,DENOMINAZIONE_GIORNALE,0),0)&gt;0,MAX(BH$2:BH63)+1,0)</f>
        <v>0</v>
      </c>
      <c r="BI64" s="259" t="str">
        <f ca="1">IFERROR(INDEX($BG$3:$BH$220,MATCH(ROWS($BI$3:BI64),$BH$3:$BH$220,0),1),"")</f>
        <v/>
      </c>
      <c r="BJ64" s="259" t="str">
        <f t="shared" ca="1" si="5"/>
        <v/>
      </c>
      <c r="BK64" s="259" t="str">
        <f ca="1">IF(IF(BJ64&lt;&gt;"",MAX($BK$2:BK63)+1,0)=0,"",IF(BJ64&lt;&gt;"",MAX($BK$2:BK63)+1,0))</f>
        <v/>
      </c>
      <c r="BL64" s="259" t="str">
        <f ca="1">IFERROR(INDEX($T$3:$U$220, MATCH(ROWS(BL$3:BL64),$V$3:$V$220,0),1),"")</f>
        <v/>
      </c>
      <c r="BM64" s="259" t="str">
        <f ca="1">IFERROR(INDEX($T$3:$U$220, MATCH(ROWS(BM$3:BM64),$V$3:$V$220,0),2),"")</f>
        <v/>
      </c>
      <c r="BN64" s="259" t="str">
        <f ca="1">IF(IFERROR(INDEX($BI$3:$BJ$220,MATCH(ROWS(BN$3:BN64),$BK$3:$BK$220,0),1),"")="PATRIMONIO NETTO","",IFERROR(INDEX($BI$3:$BJ$220,MATCH(ROWS(BN$3:BN64),$BK$3:$BK$220,0),1),""))</f>
        <v/>
      </c>
      <c r="BO64" s="259" t="str">
        <f ca="1">IFERROR(INDEX($BI$3:$BJ$220,MATCH(ROWS(BO$3:BO64),$BK$3:$BK$220,0),2),"")</f>
        <v/>
      </c>
      <c r="BP64" s="259">
        <f ca="1">IF(BN64&lt;&gt;"",MAX(BP$2:$BP63)+1,0)</f>
        <v>0</v>
      </c>
      <c r="BQ64" s="259" t="str">
        <f ca="1">IFERROR(INDEX($BN$3:$BO$200,MATCH(ROWS(BQ$3:BQ64),$BP$3:$BP$220,0),1),"")</f>
        <v/>
      </c>
      <c r="BR64" s="259" t="str">
        <f ca="1">IFERROR(INDEX($BN$3:$BO$220,MATCH(ROWS(BR$3:BR64),$BP$3:$BP$220,0),2),"")</f>
        <v/>
      </c>
      <c r="BS64" s="259" t="str">
        <f ca="1">IFERROR(IF(OR(INDEX($T$3:$U$220,MATCH(ROWS(BL$3:BL64),$V$3:$V$220,0),1)="PRELEVAMENTI EXTRAGESTIONE",INDEX($T$3:$U$220,MATCH(ROWS(BL$3:BL64),$V$3:$V$220,0),1)="TITOLARE C/RITENUTE SUBITE"),"",INDEX($T$3:$U$220,MATCH(ROWS(BL$3:BL64),$V$3:$V$220,0),1)),"")</f>
        <v/>
      </c>
      <c r="BT64" s="259">
        <f t="shared" ca="1" si="61"/>
        <v>0</v>
      </c>
      <c r="BU64" s="259">
        <f ca="1">IF(BS64&lt;&gt;"",MAX(BU$2:BU63)+1,0)</f>
        <v>0</v>
      </c>
      <c r="BV64" s="259" t="str">
        <f ca="1">IFERROR(INDEX($BS$3:$BT$223,MATCH(ROWS(BV$3:BV64),$BU$3:$BU$223,0),1),"")</f>
        <v/>
      </c>
      <c r="BW64" s="259">
        <f t="shared" ca="1" si="62"/>
        <v>0</v>
      </c>
      <c r="BX64" s="259" t="str">
        <f t="shared" ca="1" si="63"/>
        <v/>
      </c>
      <c r="BY64" s="259" t="str">
        <f t="shared" ca="1" si="64"/>
        <v/>
      </c>
      <c r="BZ64" s="259" t="str">
        <f ca="1">IFERROR(IF(OR($DS$231&lt;&gt;$DT$231,$DU$231&lt;&gt;$DV$231,$EO$25&lt;&gt;0,$EO$26&lt;&gt;0),INDEX($T$3:$V$220,MATCH(ROWS($BV$3:BV64),$V$3:$V$220,0),1),CONCATENATE(BV64,BY64)),"")</f>
        <v/>
      </c>
      <c r="CA64" s="259">
        <f t="shared" ca="1" si="65"/>
        <v>0</v>
      </c>
      <c r="CB64" s="259" t="str">
        <f ca="1">IFERROR(IF(OR($BB$1&lt;&gt;$BD$1,$BC$1&lt;&gt;$BE$1,$DS$231&lt;&gt;$DT$231,$DU$231&lt;&gt;$DV$231,$EO$25&lt;&gt;0,$EO$26&lt;&gt;0),INDEX($BI$3:$BK$220,MATCH(ROWS($CB$3:CB64),$BK$3:$BK$220,0),1),CONCATENATE(BQ64,BX64)),"")</f>
        <v/>
      </c>
      <c r="CC64" s="259" t="str">
        <f t="shared" ca="1" si="66"/>
        <v/>
      </c>
      <c r="CD64" s="259" t="str">
        <f t="shared" si="6"/>
        <v/>
      </c>
      <c r="CE64" s="259">
        <f ca="1">IF(IFERROR(MATCH(CD64,DENOMINAZIONE_GIORNALE,0),0)&gt;0,MAX(CE$2:CE63)+1,0)</f>
        <v>0</v>
      </c>
      <c r="CF64" s="259" t="str">
        <f ca="1">IFERROR(INDEX($CD$3:$CE$220,MATCH(ROWS($CF$3:CF64),$CE$3:$CE$220,0),1),"")</f>
        <v/>
      </c>
      <c r="CG64" s="259">
        <f t="shared" ca="1" si="7"/>
        <v>0</v>
      </c>
      <c r="CH64" s="259" t="str">
        <f ca="1">IF(IF(CG64&lt;&gt;0,MAX($CH$2:CH63)+1,0)=0,"",IF(CG64&lt;&gt;"",MAX($CH$2:CH63)+1,0))</f>
        <v/>
      </c>
      <c r="CI64" s="259" t="str">
        <f ca="1">IFERROR(INDEX($CF$3:$CG$220,MATCH(ROWS($CI$3:CI64),$CH$3:$CH$220,0),1),"")</f>
        <v/>
      </c>
      <c r="CJ64" s="259" t="str">
        <f t="shared" ca="1" si="67"/>
        <v/>
      </c>
      <c r="CK64" s="259" t="str">
        <f t="shared" si="8"/>
        <v/>
      </c>
      <c r="CL64" s="259">
        <f ca="1">IF(IFERROR(MATCH(CK64,DENOMINAZIONE_GIORNALE,0),0)&gt;0,MAX(CL$2:CL63)+1,0)</f>
        <v>0</v>
      </c>
      <c r="CM64" s="259" t="str">
        <f ca="1">IFERROR(INDEX($CK$3:$CL$220,MATCH(ROWS($CM$3:CM64),$CL$3:$CL$220,0),1),"")</f>
        <v/>
      </c>
      <c r="CN64" s="259" t="str">
        <f t="shared" ca="1" si="9"/>
        <v/>
      </c>
      <c r="CO64" s="259">
        <f ca="1">IF(IF(CN64&lt;&gt;0,MAX($CO$2:CO63)+1,0)=0,"",IF(CN64&lt;&gt;"",MAX($CO$2:CO63)+1,0))</f>
        <v>0</v>
      </c>
      <c r="CP64" s="259" t="str">
        <f ca="1">IFERROR(INDEX($CM$3:$CN$220,MATCH(ROWS(CP$3:CP64),$CO$3:$CO$220,0),1),"")</f>
        <v/>
      </c>
      <c r="CQ64" s="259" t="str">
        <f ca="1">IFERROR(INDEX($CM$3:$CN$220,MATCH(ROWS(CQ$3:CQ64),$CO$3:$CO$220,0),2),"")</f>
        <v/>
      </c>
      <c r="CR64" s="259" t="str">
        <f t="shared" ca="1" si="154"/>
        <v/>
      </c>
      <c r="CS64" s="259">
        <f t="shared" ca="1" si="11"/>
        <v>0</v>
      </c>
      <c r="CT64" s="259">
        <f t="shared" ca="1" si="12"/>
        <v>0</v>
      </c>
      <c r="CU64" s="259">
        <f ca="1">IF(OR(CS64&gt;0,CT64&gt;0),MAX($CU$2:CU63)+1,0)</f>
        <v>0</v>
      </c>
      <c r="CV64" s="259" t="str">
        <f ca="1">IFERROR(INDEX(PIANO_DEI_CONTI,MATCH(ROWS($CV$3:CV64),$CU$3:$CU$200,0),2),"")</f>
        <v/>
      </c>
      <c r="CW64" s="259">
        <f ca="1">IFERROR(IF(CV64&lt;&gt;"",MAX($CW$2:CW63)+1,0),0)</f>
        <v>0</v>
      </c>
      <c r="CX64" s="259">
        <f t="shared" ca="1" si="174"/>
        <v>4</v>
      </c>
      <c r="CY64" s="259" t="str">
        <f t="shared" ca="1" si="161"/>
        <v>MASTRO</v>
      </c>
      <c r="CZ64" s="259" t="e">
        <f t="shared" ca="1" si="176"/>
        <v>#N/A</v>
      </c>
      <c r="DA64" s="259" t="str">
        <f t="shared" ca="1" si="181"/>
        <v/>
      </c>
      <c r="DB64" s="259" t="str">
        <f t="shared" ca="1" si="177"/>
        <v/>
      </c>
      <c r="DC64" s="259" t="str">
        <f t="shared" ca="1" si="178"/>
        <v/>
      </c>
      <c r="DD64" s="259" t="str">
        <f t="shared" ca="1" si="179"/>
        <v/>
      </c>
      <c r="DE64" s="259" t="str">
        <f t="shared" ca="1" si="180"/>
        <v/>
      </c>
      <c r="DF64" s="259">
        <f ca="1">IF(AND(CX64=$DE$2,$DF$2&lt;&gt;0),0,IF(AND(DB64&lt;&gt;"",OR(DB63&lt;&gt;"",DB65&lt;&gt;"")),MAX($DF$2:DF63)+1,0))</f>
        <v>0</v>
      </c>
      <c r="DG64" s="259" t="str">
        <f>IF(OR(VALORI_INIZIALI!E69="",AND(VALORI_INIZIALI!E69&lt;&gt;"",VALORI_INIZIALI!H69=0,VALORI_INIZIALI!I69=0)),"",IFERROR(INDEX(PIANO_DEI_CONTI,MATCH(BB64,DENOMINAZIONE,0),1),0))</f>
        <v/>
      </c>
      <c r="DH64" s="259">
        <f ca="1">IFERROR(IF($J$1=1,IF(INDEX(PIANO_DEI_CONTI,MATCH($K64,DENOMINAZIONE,0),5)=$DF$1,MAX($DH$2:DH63)+1,0),IF($J$1=2,IF(INDEX(PIANO_DEI_CONTI,MATCH($K64,DENOMINAZIONE,0),7)=$DF$1,MAX($DH$2:DH63)+1,0))),0)</f>
        <v>0</v>
      </c>
      <c r="DI64" s="259">
        <f ca="1">IFERROR(INDEX($K$3:$K$220,MATCH(ROWS($DI$3:DI64),$DH$3:$DH$220,0),1),0)</f>
        <v>0</v>
      </c>
      <c r="DJ64" s="259">
        <f t="shared" ca="1" si="14"/>
        <v>0</v>
      </c>
      <c r="DK64" s="259">
        <f ca="1">IF(DJ64=0,0,MAX(DK$2:DK63)+1)</f>
        <v>0</v>
      </c>
      <c r="DL64" s="259">
        <f ca="1">IFERROR(INDEX(PIANO_DEI_CONTI,MATCH(ROWS(DL$3:DL64),$DK$3:DK291,0),2),0)</f>
        <v>0</v>
      </c>
      <c r="DM64" s="259">
        <f t="shared" ca="1" si="15"/>
        <v>0</v>
      </c>
      <c r="DN64" s="259">
        <f t="shared" ca="1" si="16"/>
        <v>0</v>
      </c>
      <c r="DO64" s="259">
        <f t="shared" ca="1" si="69"/>
        <v>0</v>
      </c>
      <c r="DP64" s="259">
        <f t="shared" ca="1" si="70"/>
        <v>0</v>
      </c>
      <c r="DQ64" s="259">
        <f ca="1">IF(OR($DQ$1="TOTALI",$DQ$1="TOTALI ED ECCEDENZE"),IF(OR(DM64&gt;0,DN64&gt;0),MAX(DQ$2:DQ63)+1,0),IF($DQ$1="ECCEDENZE",IF(OR(DO64&gt;0,DP64&gt;0),MAX(DQ$2:DQ63)+1,0),""))</f>
        <v>0</v>
      </c>
      <c r="DR64" s="259" t="str">
        <f ca="1">IFERROR(INDEX($DL$3:$DQ$230,MATCH(ROWS(DR$3:DR64),$DQ$3:$DQ$230,0),1),"")</f>
        <v/>
      </c>
      <c r="DS64" s="259" t="str">
        <f t="shared" ca="1" si="71"/>
        <v/>
      </c>
      <c r="DT64" s="259" t="str">
        <f t="shared" ca="1" si="72"/>
        <v/>
      </c>
      <c r="DU64" s="259" t="str">
        <f t="shared" ca="1" si="73"/>
        <v/>
      </c>
      <c r="DV64" s="259" t="str">
        <f t="shared" ca="1" si="74"/>
        <v/>
      </c>
      <c r="DW64" s="259">
        <f t="shared" ca="1" si="75"/>
        <v>0</v>
      </c>
      <c r="DX64" s="259" t="str">
        <f t="shared" ca="1" si="76"/>
        <v/>
      </c>
      <c r="DY64" s="259" t="str">
        <f t="shared" ca="1" si="77"/>
        <v/>
      </c>
      <c r="DZ64" s="259" t="str">
        <f t="shared" ca="1" si="78"/>
        <v/>
      </c>
      <c r="EA64" s="259">
        <f t="shared" ca="1" si="79"/>
        <v>62</v>
      </c>
      <c r="EB64" s="259" t="s">
        <v>360</v>
      </c>
      <c r="ED64" s="259">
        <f t="shared" ca="1" si="17"/>
        <v>0</v>
      </c>
      <c r="EE64" s="259" t="str">
        <f t="shared" ca="1" si="155"/>
        <v/>
      </c>
      <c r="EF64" s="259" t="str">
        <f t="shared" ca="1" si="19"/>
        <v/>
      </c>
      <c r="EG64" s="259" t="str">
        <f t="shared" ca="1" si="136"/>
        <v/>
      </c>
      <c r="EH64" s="259" t="str">
        <f t="shared" ca="1" si="80"/>
        <v/>
      </c>
      <c r="EI64" s="260" t="b">
        <f t="shared" ca="1" si="137"/>
        <v>0</v>
      </c>
      <c r="EJ64" s="260" t="b">
        <f t="shared" ca="1" si="138"/>
        <v>0</v>
      </c>
      <c r="EK64" s="260" t="b">
        <f t="shared" ca="1" si="139"/>
        <v>1</v>
      </c>
      <c r="EL64" s="259">
        <f t="shared" si="81"/>
        <v>62</v>
      </c>
      <c r="EM64" s="259">
        <f ca="1">IF(AND(BA64&gt;0,BA64&lt;=$EM$1),MAX($EM$2:EM63)+1,0)</f>
        <v>0</v>
      </c>
      <c r="EN64" s="259">
        <f t="shared" ca="1" si="82"/>
        <v>64</v>
      </c>
      <c r="EP64" s="259" t="str">
        <f t="shared" ca="1" si="20"/>
        <v/>
      </c>
      <c r="EQ64" s="259">
        <f t="shared" ca="1" si="21"/>
        <v>0</v>
      </c>
      <c r="ER64" s="259">
        <f ca="1">IF(ISNA(EQ64),MAX(ER$2:ER63)+1,0)</f>
        <v>0</v>
      </c>
      <c r="ES64" s="259" t="str">
        <f t="shared" ca="1" si="83"/>
        <v/>
      </c>
      <c r="ET64" s="259" t="str">
        <f ca="1">IFERROR(UPPER(INDEX($ER$3:$ES$500,MATCH(ROWS(ET$3:ET64),$ER$3:$ER$500,0),2)),"")</f>
        <v/>
      </c>
      <c r="EY64" s="259">
        <f t="shared" ca="1" si="84"/>
        <v>0</v>
      </c>
      <c r="EZ64" s="259">
        <f t="shared" ca="1" si="84"/>
        <v>0</v>
      </c>
      <c r="FA64" s="259" t="str">
        <f t="shared" ca="1" si="85"/>
        <v/>
      </c>
      <c r="FB64" s="259">
        <f t="shared" ca="1" si="86"/>
        <v>0</v>
      </c>
      <c r="FC64" s="259">
        <f t="shared" ca="1" si="87"/>
        <v>0</v>
      </c>
      <c r="FD64" s="259">
        <f t="shared" ca="1" si="22"/>
        <v>0</v>
      </c>
      <c r="FE64" s="259" t="str">
        <f t="shared" ca="1" si="23"/>
        <v/>
      </c>
      <c r="FF64" s="259" t="str">
        <f t="shared" ca="1" si="88"/>
        <v/>
      </c>
      <c r="FG64" s="259" t="str">
        <f t="shared" si="89"/>
        <v>DEBITI PER TFR</v>
      </c>
      <c r="FH64" s="259">
        <f t="shared" ca="1" si="156"/>
        <v>0</v>
      </c>
      <c r="FI64" s="259">
        <f t="shared" ca="1" si="25"/>
        <v>0</v>
      </c>
      <c r="FJ64" s="259">
        <f t="shared" ca="1" si="90"/>
        <v>0</v>
      </c>
      <c r="FK64" s="259">
        <f t="shared" ca="1" si="91"/>
        <v>0</v>
      </c>
      <c r="FL64" s="259">
        <f ca="1">IF(OR(FJ64&gt;0,FK64&gt;0),MAX($FL$2:FL63)+1,0)</f>
        <v>0</v>
      </c>
      <c r="FM64" s="259">
        <f t="shared" ca="1" si="26"/>
        <v>0</v>
      </c>
      <c r="FN64" s="259">
        <f ca="1">IF(FM64&lt;0,MAX($FN$2:FN63)+1,0)</f>
        <v>0</v>
      </c>
      <c r="FO64" s="259" t="str">
        <f t="shared" ca="1" si="92"/>
        <v/>
      </c>
      <c r="FP64" s="259" t="str">
        <f ca="1">IFERROR(INDEX($FN$3:$FO$400,MATCH(ROWS($FP$3:FP64),$FN$3:$FN$400,0),2),"")</f>
        <v/>
      </c>
      <c r="FQ64" s="259" t="str">
        <f>IF(AE64="SE AVERE",MAX($FQ$2:FQ63)+1,"")</f>
        <v/>
      </c>
      <c r="FR64" s="259" t="str">
        <f>IF(AE64="SE DARE",MAX($FR$2:FR63)+1,"")</f>
        <v/>
      </c>
      <c r="FS64" s="259" t="str">
        <f ca="1">IF(AND(AE64="SP DARE",AA64&lt;&gt;$FS$1,AA64&lt;&gt;$FT$1),MAX($FS$2:FS63)+1,IF(AND(GQ64="SP DARE",AA64&lt;&gt;$FS$1,AA64&lt;&gt;$FT$1),MAX($FS$2:FS63)+1,""))</f>
        <v/>
      </c>
      <c r="FT64" s="259">
        <f ca="1">IF(AND(AE64="SP AVERE",AA64&lt;&gt;$FU$1),MAX($FT$2:FT63)+1,IF(AND(GQ64="SP AVERE",AA64&lt;&gt;$FU$1),MAX($FT$2:FT63)+1,""))</f>
        <v>146</v>
      </c>
      <c r="FU64" s="259">
        <f t="shared" ca="1" si="93"/>
        <v>146</v>
      </c>
      <c r="FV64" s="259" t="str">
        <f t="shared" si="94"/>
        <v>DEBITI PER TFR</v>
      </c>
      <c r="FW64" s="259" t="str">
        <f ca="1">IFERROR(INDEX($FU$3:$FV$500,MATCH(ROWS($FW$3:FW64),$FU$3:$FU$500,0),2),0)</f>
        <v>MATERIE DI CONSUMO C/ESISTENZE INIZIALI</v>
      </c>
      <c r="FX64" s="259">
        <f t="shared" ca="1" si="95"/>
        <v>62</v>
      </c>
      <c r="FY64" s="259">
        <f t="shared" ca="1" si="96"/>
        <v>0</v>
      </c>
      <c r="FZ64" s="259">
        <f ca="1">IF(FY64&gt;0,MAX($FZ$2:FZ63)+1,0)</f>
        <v>0</v>
      </c>
      <c r="GA64" s="259">
        <f ca="1">IFERROR(INDEX($FY$3:$FZ$500,MATCH(ROWS($GA$3:GA64),$FZ$3:$FZ$500,0),1),0)</f>
        <v>0</v>
      </c>
      <c r="GC64" s="259">
        <f t="shared" ca="1" si="97"/>
        <v>62</v>
      </c>
      <c r="GD64" s="259" t="str">
        <f t="shared" ca="1" si="98"/>
        <v>MATERIE DI CONSUMO C/ESISTENZE INIZIALI</v>
      </c>
      <c r="GG64" s="259">
        <f t="shared" ca="1" si="27"/>
        <v>0</v>
      </c>
      <c r="GH64" s="259">
        <f t="shared" ca="1" si="99"/>
        <v>0</v>
      </c>
      <c r="GI64" s="259">
        <f t="shared" ca="1" si="100"/>
        <v>0</v>
      </c>
      <c r="GJ64" s="259">
        <f t="shared" ca="1" si="101"/>
        <v>0</v>
      </c>
      <c r="GK64" s="259">
        <f t="shared" ca="1" si="102"/>
        <v>0</v>
      </c>
      <c r="GL64" s="259">
        <f t="shared" ca="1" si="103"/>
        <v>0</v>
      </c>
      <c r="GM64" s="259">
        <f ca="1">IF(OR(GK64&gt;0,GL64&gt;0),MAX($GM$2:GM63)+1,0)</f>
        <v>0</v>
      </c>
      <c r="GN64" s="259" t="str">
        <f ca="1">IFERROR(INDEX($GD$3:$GM$400,MATCH(ROWS($GN$3:GN64),$GM$3:$GM$400,0),1),"")</f>
        <v/>
      </c>
      <c r="GO64" s="259" t="str">
        <f ca="1">IFERROR(INDEX($GD$3:$GM$400,MATCH(ROWS($GO$3:GO64),$GM$3:$GM$400,0),8),"")</f>
        <v/>
      </c>
      <c r="GP64" s="259" t="str">
        <f ca="1">IFERROR(INDEX($GD$3:$GM$400,MATCH(ROWS($GP$3:GP64),$GM$3:$GM$400,0),9),"")</f>
        <v/>
      </c>
      <c r="GQ64" s="259">
        <f t="shared" ca="1" si="28"/>
        <v>0</v>
      </c>
      <c r="GR64" s="259">
        <f t="shared" ca="1" si="104"/>
        <v>0</v>
      </c>
      <c r="GS64" s="259" t="str">
        <f t="shared" si="105"/>
        <v>epilogo a Conto economico</v>
      </c>
      <c r="GT64" s="259" t="str">
        <f ca="1">IFERROR(INDEX($GD$3:$GS$400,MATCH(ROWS($GT$3:GT64),$GM$3:$GM$400,0),16),"")</f>
        <v/>
      </c>
      <c r="GU64" s="259">
        <f ca="1">IF(GQ64&lt;&gt;0,MAX($GU$2:$GU63)+1,0)</f>
        <v>0</v>
      </c>
      <c r="GV64" s="259">
        <f t="shared" ca="1" si="106"/>
        <v>0</v>
      </c>
      <c r="GW64" s="259" t="str">
        <f ca="1">IF(AND(IFERROR(INDEX($GU$3:$GV$400,MATCH(ROWS($GW$3:GW64),$GU$3:$GU$400,0),2),"")&lt;&gt;"",GW65&lt;&gt;""),CONCATENATE(IFERROR(INDEX($GU$3:$GV$400,MATCH(ROWS($GW$3:GW64),$GU$3:$GU$400,0),2),"")," - "),IFERROR(INDEX($GU$3:$GV$400,MATCH(ROWS($GW$3:GW64),$GU$3:$GU$400,0),2),""))</f>
        <v/>
      </c>
      <c r="GX64" s="259">
        <f ca="1">IF(OR(GN64="IVA NS/CREDITO",GN64="IVA NS/DEBITO",GN64="IVA C/ACCONTO",GN64="IMPOSTE C/ACCONTO"),MAX($GX$2:GX63)+1,0)</f>
        <v>0</v>
      </c>
      <c r="GY64" s="259" t="str">
        <f ca="1">IF(AND(IFERROR(INDEX($GN$3:$GX$200,MATCH(ROWS($GY$3:GY64),$GX$3:$GX$200,0),1),"")&lt;&gt;"",GY65&lt;&gt;""),CONCATENATE(IFERROR(INDEX($GN$3:$GX$200,MATCH(ROWS($GY$3:GY64),$GX$3:$GX$200,0),1),"")," - "),IFERROR(INDEX($GN$3:$GX$200,MATCH(ROWS($GY$3:GY64),$GX$3:$GX$200,0),1),""))</f>
        <v/>
      </c>
      <c r="GZ64" s="259" t="s">
        <v>83</v>
      </c>
      <c r="HA64" s="259" t="s">
        <v>81</v>
      </c>
      <c r="HB64" s="269" t="s">
        <v>256</v>
      </c>
      <c r="HC64" s="269" t="s">
        <v>276</v>
      </c>
      <c r="HD64" s="269" t="s">
        <v>14</v>
      </c>
      <c r="HE64" s="269" t="s">
        <v>206</v>
      </c>
      <c r="HL64" s="259" t="str">
        <f t="shared" ca="1" si="157"/>
        <v/>
      </c>
      <c r="HM64" s="259" t="str">
        <f t="shared" ca="1" si="158"/>
        <v/>
      </c>
      <c r="HN64" s="259" t="str">
        <f t="shared" ca="1" si="159"/>
        <v/>
      </c>
      <c r="HO64" s="259">
        <f ca="1">IF(HL64&lt;&gt;"",MAX($HO$2:HO63)+1,0)</f>
        <v>0</v>
      </c>
      <c r="HP64" s="259">
        <f ca="1">IF(HM64&lt;&gt;"",MAX($HP$2:HP63)+1,0)</f>
        <v>0</v>
      </c>
      <c r="HQ64" s="259">
        <f ca="1">IF(HN64&lt;&gt;"",MAX($HQ$2:HQ63)+1,0)</f>
        <v>0</v>
      </c>
      <c r="HR64" s="259" t="str">
        <f t="shared" ca="1" si="107"/>
        <v/>
      </c>
      <c r="HS64" s="259" t="str">
        <f t="shared" ca="1" si="108"/>
        <v/>
      </c>
      <c r="HT64" s="259">
        <f t="shared" ca="1" si="109"/>
        <v>0</v>
      </c>
      <c r="HU64" s="259">
        <f t="shared" ca="1" si="110"/>
        <v>0</v>
      </c>
      <c r="HV64" s="259" t="str">
        <f ca="1">CONCATENATE(IFERROR(INDEX($HS$3:$HT$102,MATCH(ROWS($HV$3:HV64),$HT$3:$HT$102,0),1),""),HR64)</f>
        <v/>
      </c>
      <c r="IA64" s="259" t="s">
        <v>384</v>
      </c>
      <c r="IB64" s="259" t="s">
        <v>323</v>
      </c>
      <c r="IC64" s="259">
        <f ca="1">IFERROR(INDEX(PIANO_DEI_CONTI,MATCH(ROWS(DL$3:DL64),$DK$3:DK291,0),2),0)</f>
        <v>0</v>
      </c>
      <c r="ID64" s="259">
        <f t="shared" ca="1" si="111"/>
        <v>0</v>
      </c>
      <c r="IE64" s="259">
        <f t="shared" ca="1" si="112"/>
        <v>0</v>
      </c>
      <c r="IF64" s="259">
        <f t="shared" ca="1" si="113"/>
        <v>0</v>
      </c>
      <c r="IG64" s="259">
        <f t="shared" ca="1" si="171"/>
        <v>0</v>
      </c>
      <c r="IH64" s="259">
        <f ca="1">IF(IG64&lt;&gt;0,MAX($IH$35:IH63)+1,0)</f>
        <v>0</v>
      </c>
      <c r="II64" s="259">
        <f>IF(AD64="costi pluriennali",MAX($II$2:II63)+1,0)</f>
        <v>0</v>
      </c>
      <c r="IJ64" s="259">
        <f>IF($AD64="rettifiche costi pluriennali",MAX($IJ$2:IJ63)+1,0)</f>
        <v>0</v>
      </c>
      <c r="IK64" s="259">
        <f t="shared" si="114"/>
        <v>0</v>
      </c>
      <c r="IL64" s="259" t="str">
        <f t="shared" si="115"/>
        <v/>
      </c>
      <c r="IM64" s="259">
        <f t="shared" ca="1" si="116"/>
        <v>0</v>
      </c>
      <c r="IN64" s="259">
        <f t="shared" ca="1" si="141"/>
        <v>0</v>
      </c>
      <c r="IO64" s="259">
        <f>SUMIFS($IM$3:$IM$200,$IK$3:$IK$200,ROWS($IO$3:IO64))-SUMIFS($IN$3:$IN$200,$IK$3:$IK$200,ROWS($IO$3:IO64))</f>
        <v>0</v>
      </c>
      <c r="IP64" s="259" t="str">
        <f>IF(IO64&lt;0,INDEX($IJ$3:$IL$200,MATCH(ROWS($IP$3:IP64),$IJ$3:$IJ$200,0),3),"")</f>
        <v/>
      </c>
      <c r="IQ64" s="259">
        <f>IF(IP64&lt;&gt;"",MAX($IQ$2:IQ63)+1,0)</f>
        <v>0</v>
      </c>
      <c r="IR64" s="259" t="str">
        <f ca="1">IFERROR(INDEX($IP$3:$IQ$200,MATCH(ROWS($IR$3:IR64),$IQ$3:$IQ$200,0),1),"")</f>
        <v/>
      </c>
      <c r="IS64" s="259" t="str">
        <f t="shared" ca="1" si="117"/>
        <v/>
      </c>
      <c r="IT64" s="259" t="str">
        <f t="shared" ca="1" si="118"/>
        <v/>
      </c>
      <c r="IU64" s="259" t="str">
        <f t="shared" ca="1" si="119"/>
        <v/>
      </c>
      <c r="IV64" s="259" t="str">
        <f t="shared" ca="1" si="120"/>
        <v/>
      </c>
      <c r="IW64" s="259" t="str">
        <f t="shared" ca="1" si="121"/>
        <v/>
      </c>
      <c r="IX64" s="259" t="str">
        <f t="shared" ca="1" si="122"/>
        <v/>
      </c>
      <c r="IY64" s="259" t="str">
        <f t="shared" ca="1" si="123"/>
        <v/>
      </c>
      <c r="IZ64" s="259" t="str">
        <f t="shared" ca="1" si="124"/>
        <v/>
      </c>
      <c r="JA64" s="259" t="str">
        <f t="shared" ca="1" si="125"/>
        <v/>
      </c>
      <c r="JB64" s="259">
        <f t="shared" ca="1" si="32"/>
        <v>0</v>
      </c>
      <c r="JC64" s="259">
        <f t="shared" ca="1" si="126"/>
        <v>0</v>
      </c>
      <c r="JE64" s="259">
        <f ca="1">IFERROR(INDEX(LIBRO_GIORNALE!$N$11:$O$408,MATCH(ROWS($JE$2:JE63),LIBRO_GIORNALE!$O$11:$O$408,0),1),0)</f>
        <v>0</v>
      </c>
      <c r="JF64" s="259" t="str">
        <f t="shared" ca="1" si="127"/>
        <v>0</v>
      </c>
      <c r="JG64" s="259">
        <f t="shared" ca="1" si="128"/>
        <v>0</v>
      </c>
      <c r="JH64" s="259">
        <f ca="1">IF(JJ64&gt;0,0,MAX($JH$2:JH63)+1)</f>
        <v>62</v>
      </c>
      <c r="JI64" s="259">
        <f ca="1">IF(JG64&gt;0,MAX($JI$2:JI63)+1,0)</f>
        <v>0</v>
      </c>
      <c r="JJ64" s="259">
        <f ca="1">IFERROR(INDEX($JG$3:$JI$124,MATCH(ROWS($JJ$3:JJ64),$JI$3:$JI$124,0),1),0)</f>
        <v>0</v>
      </c>
      <c r="JK64" s="259">
        <f t="shared" ca="1" si="129"/>
        <v>0</v>
      </c>
      <c r="JL64" s="259">
        <f t="shared" ca="1" si="130"/>
        <v>62</v>
      </c>
    </row>
    <row r="65" spans="1:272">
      <c r="A65" s="259" t="str">
        <f t="shared" si="33"/>
        <v>10.00</v>
      </c>
      <c r="B65" s="259" t="str">
        <f t="shared" si="34"/>
        <v>PATRIMONIO NETTO</v>
      </c>
      <c r="C65" s="259">
        <f t="shared" si="35"/>
        <v>0</v>
      </c>
      <c r="D65" s="259">
        <f t="shared" si="36"/>
        <v>0</v>
      </c>
      <c r="E65" s="259">
        <f t="shared" si="37"/>
        <v>0</v>
      </c>
      <c r="F65" s="259">
        <f t="shared" si="38"/>
        <v>0</v>
      </c>
      <c r="G65" s="259">
        <f t="shared" ca="1" si="39"/>
        <v>0</v>
      </c>
      <c r="H65" s="259">
        <f t="shared" ca="1" si="40"/>
        <v>0</v>
      </c>
      <c r="I65" s="259">
        <f t="shared" ca="1" si="41"/>
        <v>0</v>
      </c>
      <c r="K65" s="259" t="str">
        <f ca="1">IFERROR(IF($I$1=1,INDEX($AA$3:$AS$220,MATCH(ROWS($K$3:K65),$AQ$3:$AQ$220,0),1),IF($I$1=2,INDEX($AA$3:$AS$220,MATCH(ROWS($K$3:K65),$AR$3:$AR$220,0),1),IF($I$1=3,INDEX($AA$3:$AS$220,MATCH(ROWS($K$3:K65),$AS$3:$AS$220,0),1),""))),"")</f>
        <v>BANCHE C/ANTICIPI SU FATTURE</v>
      </c>
      <c r="L65" s="259">
        <f ca="1">IF(AND($L$1="VISUALIZZA TUTTI I CONTI",K65&lt;&gt;""),MAX(L64:L64)+1,IFERROR(IF($J$1=1,IF(INDEX(PIANO_DEI_CONTI,MATCH($K65,DENOMINAZIONE,0),5)=$L$1,MAX($L$2:L64)+1,0),IF($J$1=2,IF(INDEX(PIANO_DEI_CONTI,MATCH($K65,DENOMINAZIONE,0),7)=$L$1,MAX($L$2:L64)+1,0))),0))</f>
        <v>63</v>
      </c>
      <c r="M65" s="259" t="str">
        <f ca="1">IFERROR(INDEX($K$3:$K$220,MATCH(ROWS($M$3:M65),$L$3:$L$220,0),1),"")</f>
        <v>BANCHE C/ANTICIPI SU FATTURE</v>
      </c>
      <c r="Q65" s="259" t="str">
        <f ca="1">IF(IFERROR(INDEX($O$3:$P$220,MATCH(ROWS(Q$3:Q65),$P$3:$P$220,0),1),"")=0,"",IFERROR(INDEX($O$3:$P$220,MATCH(ROWS(Q$3:Q65),$P$3:$P$220,0),1),""))</f>
        <v/>
      </c>
      <c r="R65" s="259" t="str">
        <f t="shared" si="1"/>
        <v/>
      </c>
      <c r="S65" s="259">
        <f ca="1">IF(IFERROR(MATCH(R65,DENOMINAZIONE_GIORNALE,0),0)&gt;0,MAX(S$2:S64)+1,0)</f>
        <v>0</v>
      </c>
      <c r="T65" s="259" t="str">
        <f ca="1">IFERROR(INDEX($R$3:$S$220,MATCH(ROWS($T$3:T65),$S$3:$S$220,0),1),"")</f>
        <v/>
      </c>
      <c r="U65" s="259">
        <f t="shared" ca="1" si="2"/>
        <v>0</v>
      </c>
      <c r="V65" s="259">
        <f ca="1">IF(IF(U65&lt;&gt;0,MAX($V$2:V64)+1,0)=0,0,IF(U65&lt;&gt;0,MAX($V$2:V64)+1,0))</f>
        <v>0</v>
      </c>
      <c r="W65" s="259" t="str">
        <f t="shared" si="43"/>
        <v/>
      </c>
      <c r="X65" s="259" t="str">
        <f t="shared" si="44"/>
        <v/>
      </c>
      <c r="Y65" s="259">
        <f>IF(W65="",0,MAX($Y$2:Y64)+1)</f>
        <v>0</v>
      </c>
      <c r="Z65" s="259" t="str">
        <f>IFERROR(INDEX($W$3:$Y$220,MATCH(ROWS($Z$2:Z64),$Y$3:$Y$220,0),1),"")</f>
        <v>13.01</v>
      </c>
      <c r="AA65" s="259" t="str">
        <f t="shared" si="45"/>
        <v>MUTUI PASSIVI</v>
      </c>
      <c r="AB65" s="259" t="str">
        <f t="shared" si="46"/>
        <v>F</v>
      </c>
      <c r="AC65" s="259" t="str">
        <f t="shared" si="47"/>
        <v>A</v>
      </c>
      <c r="AD65" s="259" t="str">
        <f t="shared" si="48"/>
        <v>DEBITI</v>
      </c>
      <c r="AE65" s="259" t="str">
        <f t="shared" si="49"/>
        <v>SP AVERE</v>
      </c>
      <c r="AF65" s="259" t="str">
        <f t="shared" si="50"/>
        <v>DEBITI FINANZIARI</v>
      </c>
      <c r="AG65" s="259">
        <f t="shared" ca="1" si="51"/>
        <v>1</v>
      </c>
      <c r="AH65" s="259">
        <f t="shared" ca="1" si="52"/>
        <v>1</v>
      </c>
      <c r="AI65" s="259">
        <f t="shared" ca="1" si="53"/>
        <v>1</v>
      </c>
      <c r="AJ65" s="259" t="str">
        <f t="shared" si="54"/>
        <v>13</v>
      </c>
      <c r="AK65" s="259" t="str">
        <f t="shared" si="55"/>
        <v>10</v>
      </c>
      <c r="AL65" s="259">
        <f>IF(AK65&lt;&gt;"",MAX($AL$2:AL64)+1,0)</f>
        <v>9</v>
      </c>
      <c r="AM65" s="259" t="str">
        <f>IFERROR(INDEX($AK$3:$AL$220,MATCH(ROWS($AM$3:AM65),$AL$3:$AL$220,0),1),"")</f>
        <v/>
      </c>
      <c r="AN65" s="259" t="str">
        <f t="shared" si="56"/>
        <v/>
      </c>
      <c r="AO65" s="259" t="str">
        <f t="shared" si="57"/>
        <v/>
      </c>
      <c r="AP65" s="259" t="str">
        <f t="shared" si="58"/>
        <v>DEBITI FINANZIARI</v>
      </c>
      <c r="AQ65" s="259">
        <f ca="1">IF(OR(AG65=0,AG65=""),0,MAX(AQ$2:AQ64)+1)</f>
        <v>32</v>
      </c>
      <c r="AR65" s="259">
        <f ca="1">IF(OR(AH65=0,AH65=""),0,MAX(AR$2:AR64)+1)</f>
        <v>47</v>
      </c>
      <c r="AS65" s="259">
        <f ca="1">IF(OR(AI65=0,AI65=""),0,MAX(AS$2:AS64)+1)</f>
        <v>61</v>
      </c>
      <c r="AT65" s="259" t="str">
        <f ca="1">IFERROR(INDEX($AD$3:$AS$220,MATCH(ROWS(AT$3:AT65),AQ$3:AQ$220,0),1),"")</f>
        <v>COSTI D'ESERCIZIO</v>
      </c>
      <c r="AU65" s="259" t="str">
        <f ca="1">IFERROR(INDEX($AD$3:$AS$220,MATCH(ROWS(AU$3:AU65),AR$3:AR$220,0),1),"")</f>
        <v>DEBITI</v>
      </c>
      <c r="AV65" s="259" t="str">
        <f ca="1">IFERROR(INDEX($AD$3:$AS$220,MATCH(ROWS(AV$3:AV65),AS$3:AS$220,0),1),"")</f>
        <v>DEBITI</v>
      </c>
      <c r="AW65" s="259" t="str">
        <f ca="1">IFERROR(INDEX($AP$3:$AS$220,MATCH(ROWS(AW$3:AW65),AQ$3:AQ$220,0),1),"")</f>
        <v>COSTI PER SERVIZI</v>
      </c>
      <c r="AX65" s="259" t="str">
        <f ca="1">IFERROR(INDEX($AP$3:$AS$220,MATCH(ROWS(AX$3:AX65),AR$3:AR$220,0),1),"")</f>
        <v>DEBITI DIVERSI</v>
      </c>
      <c r="AY65" s="259" t="str">
        <f ca="1">IFERROR(INDEX($AP$3:$AS$220,MATCH(ROWS(AY$3:AY65),AS$3:AS$220,0),1),"")</f>
        <v>DEBITI FINANZIARI</v>
      </c>
      <c r="AZ65" s="276" t="str">
        <f t="shared" ca="1" si="59"/>
        <v/>
      </c>
      <c r="BA65" s="259">
        <f t="shared" ca="1" si="153"/>
        <v>0</v>
      </c>
      <c r="BB65" s="259">
        <f ca="1">IFERROR(INDEX($FG$3:$FL$400,MATCH(ROWS($BB$3:BB65),$FL$3:$FL$400,0),1),0)</f>
        <v>0</v>
      </c>
      <c r="BC65" s="259" t="str">
        <f t="shared" ca="1" si="60"/>
        <v/>
      </c>
      <c r="BD65" s="259">
        <f ca="1">IFERROR(INDEX($FG$3:$FL$400,MATCH(ROWS($BD$3:BD65),$FL$3:$FL$400,0),4),0)</f>
        <v>0</v>
      </c>
      <c r="BE65" s="259">
        <f ca="1">IFERROR(INDEX($FG$3:$FL$400,MATCH(ROWS($BE$3:BE65),$FL$3:$FL$400,0),5),0)</f>
        <v>0</v>
      </c>
      <c r="BG65" s="259" t="str">
        <f t="shared" si="4"/>
        <v>MUTUI PASSIVI</v>
      </c>
      <c r="BH65" s="259">
        <f ca="1">IF(IFERROR(MATCH(BG65,DENOMINAZIONE_GIORNALE,0),0)&gt;0,MAX(BH$2:BH64)+1,0)</f>
        <v>0</v>
      </c>
      <c r="BI65" s="259" t="str">
        <f ca="1">IFERROR(INDEX($BG$3:$BH$220,MATCH(ROWS($BI$3:BI65),$BH$3:$BH$220,0),1),"")</f>
        <v/>
      </c>
      <c r="BJ65" s="259" t="str">
        <f t="shared" ca="1" si="5"/>
        <v/>
      </c>
      <c r="BK65" s="259" t="str">
        <f ca="1">IF(IF(BJ65&lt;&gt;"",MAX($BK$2:BK64)+1,0)=0,"",IF(BJ65&lt;&gt;"",MAX($BK$2:BK64)+1,0))</f>
        <v/>
      </c>
      <c r="BL65" s="259" t="str">
        <f ca="1">IFERROR(INDEX($T$3:$U$220, MATCH(ROWS(BL$3:BL65),$V$3:$V$220,0),1),"")</f>
        <v/>
      </c>
      <c r="BM65" s="259" t="str">
        <f ca="1">IFERROR(INDEX($T$3:$U$220, MATCH(ROWS(BM$3:BM65),$V$3:$V$220,0),2),"")</f>
        <v/>
      </c>
      <c r="BN65" s="259" t="str">
        <f ca="1">IF(IFERROR(INDEX($BI$3:$BJ$220,MATCH(ROWS(BN$3:BN65),$BK$3:$BK$220,0),1),"")="PATRIMONIO NETTO","",IFERROR(INDEX($BI$3:$BJ$220,MATCH(ROWS(BN$3:BN65),$BK$3:$BK$220,0),1),""))</f>
        <v/>
      </c>
      <c r="BO65" s="259" t="str">
        <f ca="1">IFERROR(INDEX($BI$3:$BJ$220,MATCH(ROWS(BO$3:BO65),$BK$3:$BK$220,0),2),"")</f>
        <v/>
      </c>
      <c r="BP65" s="259">
        <f ca="1">IF(BN65&lt;&gt;"",MAX(BP$2:$BP64)+1,0)</f>
        <v>0</v>
      </c>
      <c r="BQ65" s="259" t="str">
        <f ca="1">IFERROR(INDEX($BN$3:$BO$200,MATCH(ROWS(BQ$3:BQ65),$BP$3:$BP$220,0),1),"")</f>
        <v/>
      </c>
      <c r="BR65" s="259" t="str">
        <f ca="1">IFERROR(INDEX($BN$3:$BO$220,MATCH(ROWS(BR$3:BR65),$BP$3:$BP$220,0),2),"")</f>
        <v/>
      </c>
      <c r="BS65" s="259" t="str">
        <f ca="1">IFERROR(IF(OR(INDEX($T$3:$U$220,MATCH(ROWS(BL$3:BL65),$V$3:$V$220,0),1)="PRELEVAMENTI EXTRAGESTIONE",INDEX($T$3:$U$220,MATCH(ROWS(BL$3:BL65),$V$3:$V$220,0),1)="TITOLARE C/RITENUTE SUBITE"),"",INDEX($T$3:$U$220,MATCH(ROWS(BL$3:BL65),$V$3:$V$220,0),1)),"")</f>
        <v/>
      </c>
      <c r="BT65" s="259">
        <f t="shared" ca="1" si="61"/>
        <v>0</v>
      </c>
      <c r="BU65" s="259">
        <f ca="1">IF(BS65&lt;&gt;"",MAX(BU$2:BU64)+1,0)</f>
        <v>0</v>
      </c>
      <c r="BV65" s="259" t="str">
        <f ca="1">IFERROR(INDEX($BS$3:$BT$223,MATCH(ROWS(BV$3:BV65),$BU$3:$BU$223,0),1),"")</f>
        <v/>
      </c>
      <c r="BW65" s="259">
        <f t="shared" ca="1" si="62"/>
        <v>0</v>
      </c>
      <c r="BX65" s="259" t="str">
        <f t="shared" ca="1" si="63"/>
        <v/>
      </c>
      <c r="BY65" s="259" t="str">
        <f t="shared" ca="1" si="64"/>
        <v/>
      </c>
      <c r="BZ65" s="259" t="str">
        <f ca="1">IFERROR(IF(OR($DS$231&lt;&gt;$DT$231,$DU$231&lt;&gt;$DV$231,$EO$25&lt;&gt;0,$EO$26&lt;&gt;0),INDEX($T$3:$V$220,MATCH(ROWS($BV$3:BV65),$V$3:$V$220,0),1),CONCATENATE(BV65,BY65)),"")</f>
        <v/>
      </c>
      <c r="CA65" s="259">
        <f t="shared" ca="1" si="65"/>
        <v>0</v>
      </c>
      <c r="CB65" s="259" t="str">
        <f ca="1">IFERROR(IF(OR($BB$1&lt;&gt;$BD$1,$BC$1&lt;&gt;$BE$1,$DS$231&lt;&gt;$DT$231,$DU$231&lt;&gt;$DV$231,$EO$25&lt;&gt;0,$EO$26&lt;&gt;0),INDEX($BI$3:$BK$220,MATCH(ROWS($CB$3:CB65),$BK$3:$BK$220,0),1),CONCATENATE(BQ65,BX65)),"")</f>
        <v/>
      </c>
      <c r="CC65" s="259" t="str">
        <f t="shared" ca="1" si="66"/>
        <v/>
      </c>
      <c r="CD65" s="259" t="str">
        <f t="shared" si="6"/>
        <v/>
      </c>
      <c r="CE65" s="259">
        <f ca="1">IF(IFERROR(MATCH(CD65,DENOMINAZIONE_GIORNALE,0),0)&gt;0,MAX(CE$2:CE64)+1,0)</f>
        <v>0</v>
      </c>
      <c r="CF65" s="259" t="str">
        <f ca="1">IFERROR(INDEX($CD$3:$CE$220,MATCH(ROWS($CF$3:CF65),$CE$3:$CE$220,0),1),"")</f>
        <v/>
      </c>
      <c r="CG65" s="259">
        <f t="shared" ca="1" si="7"/>
        <v>0</v>
      </c>
      <c r="CH65" s="259" t="str">
        <f ca="1">IF(IF(CG65&lt;&gt;0,MAX($CH$2:CH64)+1,0)=0,"",IF(CG65&lt;&gt;"",MAX($CH$2:CH64)+1,0))</f>
        <v/>
      </c>
      <c r="CI65" s="259" t="str">
        <f ca="1">IFERROR(INDEX($CF$3:$CG$220,MATCH(ROWS($CI$3:CI65),$CH$3:$CH$220,0),1),"")</f>
        <v/>
      </c>
      <c r="CJ65" s="259" t="str">
        <f t="shared" ca="1" si="67"/>
        <v/>
      </c>
      <c r="CK65" s="259" t="str">
        <f t="shared" si="8"/>
        <v/>
      </c>
      <c r="CL65" s="259">
        <f ca="1">IF(IFERROR(MATCH(CK65,DENOMINAZIONE_GIORNALE,0),0)&gt;0,MAX(CL$2:CL64)+1,0)</f>
        <v>0</v>
      </c>
      <c r="CM65" s="259" t="str">
        <f ca="1">IFERROR(INDEX($CK$3:$CL$220,MATCH(ROWS($CM$3:CM65),$CL$3:$CL$220,0),1),"")</f>
        <v/>
      </c>
      <c r="CN65" s="259" t="str">
        <f t="shared" ca="1" si="9"/>
        <v/>
      </c>
      <c r="CO65" s="259">
        <f ca="1">IF(IF(CN65&lt;&gt;0,MAX($CO$2:CO64)+1,0)=0,"",IF(CN65&lt;&gt;"",MAX($CO$2:CO64)+1,0))</f>
        <v>0</v>
      </c>
      <c r="CP65" s="259" t="str">
        <f ca="1">IFERROR(INDEX($CM$3:$CN$220,MATCH(ROWS(CP$3:CP65),$CO$3:$CO$220,0),1),"")</f>
        <v/>
      </c>
      <c r="CQ65" s="259" t="str">
        <f ca="1">IFERROR(INDEX($CM$3:$CN$220,MATCH(ROWS(CQ$3:CQ65),$CO$3:$CO$220,0),2),"")</f>
        <v/>
      </c>
      <c r="CR65" s="259" t="str">
        <f t="shared" ca="1" si="154"/>
        <v/>
      </c>
      <c r="CS65" s="259">
        <f t="shared" ca="1" si="11"/>
        <v>0</v>
      </c>
      <c r="CT65" s="259">
        <f t="shared" ca="1" si="12"/>
        <v>0</v>
      </c>
      <c r="CU65" s="259">
        <f ca="1">IF(OR(CS65&gt;0,CT65&gt;0),MAX($CU$2:CU64)+1,0)</f>
        <v>0</v>
      </c>
      <c r="CV65" s="259" t="str">
        <f ca="1">IFERROR(INDEX(PIANO_DEI_CONTI,MATCH(ROWS($CV$3:CV65),$CU$3:$CU$200,0),2),"")</f>
        <v/>
      </c>
      <c r="CW65" s="259">
        <f ca="1">IFERROR(IF(CV65&lt;&gt;"",MAX($CW$2:CW64)+1,0),0)</f>
        <v>0</v>
      </c>
      <c r="CX65" s="259">
        <f t="shared" ca="1" si="174"/>
        <v>4</v>
      </c>
      <c r="CY65" s="259" t="str">
        <f t="shared" ca="1" si="161"/>
        <v>MASTRO</v>
      </c>
      <c r="CZ65" s="259" t="e">
        <f t="shared" ca="1" si="176"/>
        <v>#N/A</v>
      </c>
      <c r="DA65" s="259" t="str">
        <f t="shared" ca="1" si="181"/>
        <v/>
      </c>
      <c r="DB65" s="259" t="str">
        <f t="shared" ca="1" si="177"/>
        <v/>
      </c>
      <c r="DC65" s="259" t="str">
        <f t="shared" ca="1" si="178"/>
        <v/>
      </c>
      <c r="DD65" s="259" t="str">
        <f t="shared" ca="1" si="179"/>
        <v/>
      </c>
      <c r="DE65" s="259" t="str">
        <f t="shared" ca="1" si="180"/>
        <v/>
      </c>
      <c r="DF65" s="259">
        <f ca="1">IF(AND(CX65=$DE$2,$DF$2&lt;&gt;0),0,IF(AND(DB65&lt;&gt;"",OR(DB64&lt;&gt;"",DB66&lt;&gt;"")),MAX($DF$2:DF64)+1,0))</f>
        <v>0</v>
      </c>
      <c r="DG65" s="259" t="str">
        <f>IF(OR(VALORI_INIZIALI!E70="",AND(VALORI_INIZIALI!E70&lt;&gt;"",VALORI_INIZIALI!H70=0,VALORI_INIZIALI!I70=0)),"",IFERROR(INDEX(PIANO_DEI_CONTI,MATCH(BB65,DENOMINAZIONE,0),1),0))</f>
        <v/>
      </c>
      <c r="DH65" s="259">
        <f ca="1">IFERROR(IF($J$1=1,IF(INDEX(PIANO_DEI_CONTI,MATCH($K65,DENOMINAZIONE,0),5)=$DF$1,MAX($DH$2:DH64)+1,0),IF($J$1=2,IF(INDEX(PIANO_DEI_CONTI,MATCH($K65,DENOMINAZIONE,0),7)=$DF$1,MAX($DH$2:DH64)+1,0))),0)</f>
        <v>0</v>
      </c>
      <c r="DI65" s="259">
        <f ca="1">IFERROR(INDEX($K$3:$K$220,MATCH(ROWS($DI$3:DI65),$DH$3:$DH$220,0),1),0)</f>
        <v>0</v>
      </c>
      <c r="DJ65" s="259">
        <f t="shared" ca="1" si="14"/>
        <v>0</v>
      </c>
      <c r="DK65" s="259">
        <f ca="1">IF(DJ65=0,0,MAX(DK$2:DK64)+1)</f>
        <v>0</v>
      </c>
      <c r="DL65" s="259">
        <f ca="1">IFERROR(INDEX(PIANO_DEI_CONTI,MATCH(ROWS(DL$3:DL65),$DK$3:DK292,0),2),0)</f>
        <v>0</v>
      </c>
      <c r="DM65" s="259">
        <f t="shared" ca="1" si="15"/>
        <v>0</v>
      </c>
      <c r="DN65" s="259">
        <f t="shared" ca="1" si="16"/>
        <v>0</v>
      </c>
      <c r="DO65" s="259">
        <f t="shared" ca="1" si="69"/>
        <v>0</v>
      </c>
      <c r="DP65" s="259">
        <f t="shared" ca="1" si="70"/>
        <v>0</v>
      </c>
      <c r="DQ65" s="259">
        <f ca="1">IF(OR($DQ$1="TOTALI",$DQ$1="TOTALI ED ECCEDENZE"),IF(OR(DM65&gt;0,DN65&gt;0),MAX(DQ$2:DQ64)+1,0),IF($DQ$1="ECCEDENZE",IF(OR(DO65&gt;0,DP65&gt;0),MAX(DQ$2:DQ64)+1,0),""))</f>
        <v>0</v>
      </c>
      <c r="DR65" s="259" t="str">
        <f ca="1">IFERROR(INDEX($DL$3:$DQ$230,MATCH(ROWS(DR$3:DR65),$DQ$3:$DQ$230,0),1),"")</f>
        <v/>
      </c>
      <c r="DS65" s="259" t="str">
        <f t="shared" ca="1" si="71"/>
        <v/>
      </c>
      <c r="DT65" s="259" t="str">
        <f t="shared" ca="1" si="72"/>
        <v/>
      </c>
      <c r="DU65" s="259" t="str">
        <f t="shared" ca="1" si="73"/>
        <v/>
      </c>
      <c r="DV65" s="259" t="str">
        <f t="shared" ca="1" si="74"/>
        <v/>
      </c>
      <c r="DW65" s="259">
        <f t="shared" ca="1" si="75"/>
        <v>0</v>
      </c>
      <c r="DX65" s="259" t="str">
        <f t="shared" ca="1" si="76"/>
        <v/>
      </c>
      <c r="DY65" s="259" t="str">
        <f t="shared" ca="1" si="77"/>
        <v/>
      </c>
      <c r="DZ65" s="259" t="str">
        <f t="shared" ca="1" si="78"/>
        <v/>
      </c>
      <c r="EA65" s="259">
        <f t="shared" ca="1" si="79"/>
        <v>63</v>
      </c>
      <c r="EB65" s="259" t="s">
        <v>361</v>
      </c>
      <c r="ED65" s="259">
        <f t="shared" ca="1" si="17"/>
        <v>0</v>
      </c>
      <c r="EE65" s="259" t="str">
        <f t="shared" ca="1" si="155"/>
        <v/>
      </c>
      <c r="EF65" s="259" t="str">
        <f t="shared" ca="1" si="19"/>
        <v/>
      </c>
      <c r="EG65" s="259" t="str">
        <f t="shared" ca="1" si="136"/>
        <v/>
      </c>
      <c r="EH65" s="259" t="str">
        <f t="shared" ca="1" si="80"/>
        <v/>
      </c>
      <c r="EI65" s="260" t="b">
        <f t="shared" ca="1" si="137"/>
        <v>0</v>
      </c>
      <c r="EJ65" s="260" t="b">
        <f t="shared" ca="1" si="138"/>
        <v>0</v>
      </c>
      <c r="EK65" s="260" t="b">
        <f t="shared" ca="1" si="139"/>
        <v>0</v>
      </c>
      <c r="EL65" s="259">
        <f t="shared" si="81"/>
        <v>63</v>
      </c>
      <c r="EM65" s="259">
        <f ca="1">IF(AND(BA65&gt;0,BA65&lt;=$EM$1),MAX($EM$2:EM64)+1,0)</f>
        <v>0</v>
      </c>
      <c r="EN65" s="259">
        <f t="shared" ca="1" si="82"/>
        <v>65</v>
      </c>
      <c r="EP65" s="259" t="str">
        <f t="shared" ca="1" si="20"/>
        <v/>
      </c>
      <c r="EQ65" s="259">
        <f t="shared" ca="1" si="21"/>
        <v>0</v>
      </c>
      <c r="ER65" s="259">
        <f ca="1">IF(ISNA(EQ65),MAX(ER$2:ER64)+1,0)</f>
        <v>0</v>
      </c>
      <c r="ES65" s="259" t="str">
        <f t="shared" ca="1" si="83"/>
        <v/>
      </c>
      <c r="ET65" s="259" t="str">
        <f ca="1">IFERROR(UPPER(INDEX($ER$3:$ES$500,MATCH(ROWS(ET$3:ET65),$ER$3:$ER$500,0),2)),"")</f>
        <v/>
      </c>
      <c r="EY65" s="259">
        <f t="shared" ca="1" si="84"/>
        <v>0</v>
      </c>
      <c r="EZ65" s="259">
        <f t="shared" ca="1" si="84"/>
        <v>0</v>
      </c>
      <c r="FA65" s="259" t="str">
        <f t="shared" ca="1" si="85"/>
        <v/>
      </c>
      <c r="FB65" s="259">
        <f t="shared" ca="1" si="86"/>
        <v>0</v>
      </c>
      <c r="FC65" s="259">
        <f t="shared" ca="1" si="87"/>
        <v>0</v>
      </c>
      <c r="FD65" s="259">
        <f t="shared" ca="1" si="22"/>
        <v>0</v>
      </c>
      <c r="FE65" s="259" t="str">
        <f t="shared" ca="1" si="23"/>
        <v/>
      </c>
      <c r="FF65" s="259" t="str">
        <f t="shared" ca="1" si="88"/>
        <v/>
      </c>
      <c r="FG65" s="259" t="str">
        <f t="shared" si="89"/>
        <v>MUTUI PASSIVI</v>
      </c>
      <c r="FH65" s="259">
        <f t="shared" ca="1" si="156"/>
        <v>0</v>
      </c>
      <c r="FI65" s="259">
        <f t="shared" ca="1" si="25"/>
        <v>0</v>
      </c>
      <c r="FJ65" s="259">
        <f t="shared" ca="1" si="90"/>
        <v>0</v>
      </c>
      <c r="FK65" s="259">
        <f t="shared" ca="1" si="91"/>
        <v>0</v>
      </c>
      <c r="FL65" s="259">
        <f ca="1">IF(OR(FJ65&gt;0,FK65&gt;0),MAX($FL$2:FL64)+1,0)</f>
        <v>0</v>
      </c>
      <c r="FM65" s="259">
        <f t="shared" ca="1" si="26"/>
        <v>0</v>
      </c>
      <c r="FN65" s="259">
        <f ca="1">IF(FM65&lt;0,MAX($FN$2:FN64)+1,0)</f>
        <v>0</v>
      </c>
      <c r="FO65" s="259" t="str">
        <f t="shared" ca="1" si="92"/>
        <v/>
      </c>
      <c r="FP65" s="259" t="str">
        <f ca="1">IFERROR(INDEX($FN$3:$FO$400,MATCH(ROWS($FP$3:FP65),$FN$3:$FN$400,0),2),"")</f>
        <v/>
      </c>
      <c r="FQ65" s="259" t="str">
        <f>IF(AE65="SE AVERE",MAX($FQ$2:FQ64)+1,"")</f>
        <v/>
      </c>
      <c r="FR65" s="259" t="str">
        <f>IF(AE65="SE DARE",MAX($FR$2:FR64)+1,"")</f>
        <v/>
      </c>
      <c r="FS65" s="259" t="str">
        <f ca="1">IF(AND(AE65="SP DARE",AA65&lt;&gt;$FS$1,AA65&lt;&gt;$FT$1),MAX($FS$2:FS64)+1,IF(AND(GQ65="SP DARE",AA65&lt;&gt;$FS$1,AA65&lt;&gt;$FT$1),MAX($FS$2:FS64)+1,""))</f>
        <v/>
      </c>
      <c r="FT65" s="259">
        <f ca="1">IF(AND(AE65="SP AVERE",AA65&lt;&gt;$FU$1),MAX($FT$2:FT64)+1,IF(AND(GQ65="SP AVERE",AA65&lt;&gt;$FU$1),MAX($FT$2:FT64)+1,""))</f>
        <v>147</v>
      </c>
      <c r="FU65" s="259">
        <f t="shared" ca="1" si="93"/>
        <v>147</v>
      </c>
      <c r="FV65" s="259" t="str">
        <f t="shared" si="94"/>
        <v>MUTUI PASSIVI</v>
      </c>
      <c r="FW65" s="259" t="str">
        <f ca="1">IFERROR(INDEX($FU$3:$FV$500,MATCH(ROWS($FW$3:FW65),$FU$3:$FU$500,0),2),0)</f>
        <v>ACCANTONAMENTO PER RESPONSABILITÀ CIVILE</v>
      </c>
      <c r="FX65" s="259">
        <f t="shared" ca="1" si="95"/>
        <v>63</v>
      </c>
      <c r="FY65" s="259">
        <f t="shared" ca="1" si="96"/>
        <v>0</v>
      </c>
      <c r="FZ65" s="259">
        <f ca="1">IF(FY65&gt;0,MAX($FZ$2:FZ64)+1,0)</f>
        <v>0</v>
      </c>
      <c r="GA65" s="259">
        <f ca="1">IFERROR(INDEX($FY$3:$FZ$500,MATCH(ROWS($GA$3:GA65),$FZ$3:$FZ$500,0),1),0)</f>
        <v>0</v>
      </c>
      <c r="GC65" s="259">
        <f t="shared" ca="1" si="97"/>
        <v>63</v>
      </c>
      <c r="GD65" s="259" t="str">
        <f t="shared" ca="1" si="98"/>
        <v>ACCANTONAMENTO PER RESPONSABILITÀ CIVILE</v>
      </c>
      <c r="GG65" s="259">
        <f t="shared" ca="1" si="27"/>
        <v>0</v>
      </c>
      <c r="GH65" s="259">
        <f t="shared" ca="1" si="99"/>
        <v>0</v>
      </c>
      <c r="GI65" s="259">
        <f t="shared" ca="1" si="100"/>
        <v>0</v>
      </c>
      <c r="GJ65" s="259">
        <f t="shared" ca="1" si="101"/>
        <v>0</v>
      </c>
      <c r="GK65" s="259">
        <f t="shared" ca="1" si="102"/>
        <v>0</v>
      </c>
      <c r="GL65" s="259">
        <f t="shared" ca="1" si="103"/>
        <v>0</v>
      </c>
      <c r="GM65" s="259">
        <f ca="1">IF(OR(GK65&gt;0,GL65&gt;0),MAX($GM$2:GM64)+1,0)</f>
        <v>0</v>
      </c>
      <c r="GN65" s="259" t="str">
        <f ca="1">IFERROR(INDEX($GD$3:$GM$400,MATCH(ROWS($GN$3:GN65),$GM$3:$GM$400,0),1),"")</f>
        <v/>
      </c>
      <c r="GO65" s="259" t="str">
        <f ca="1">IFERROR(INDEX($GD$3:$GM$400,MATCH(ROWS($GO$3:GO65),$GM$3:$GM$400,0),8),"")</f>
        <v/>
      </c>
      <c r="GP65" s="259" t="str">
        <f ca="1">IFERROR(INDEX($GD$3:$GM$400,MATCH(ROWS($GP$3:GP65),$GM$3:$GM$400,0),9),"")</f>
        <v/>
      </c>
      <c r="GQ65" s="259">
        <f t="shared" ca="1" si="28"/>
        <v>0</v>
      </c>
      <c r="GR65" s="259">
        <f t="shared" ca="1" si="104"/>
        <v>0</v>
      </c>
      <c r="GS65" s="259" t="str">
        <f t="shared" si="105"/>
        <v>epilogo a Conto economico</v>
      </c>
      <c r="GT65" s="259" t="str">
        <f ca="1">IFERROR(INDEX($GD$3:$GS$400,MATCH(ROWS($GT$3:GT65),$GM$3:$GM$400,0),16),"")</f>
        <v/>
      </c>
      <c r="GU65" s="259">
        <f ca="1">IF(GQ65&lt;&gt;0,MAX($GU$2:$GU64)+1,0)</f>
        <v>0</v>
      </c>
      <c r="GV65" s="259">
        <f t="shared" ca="1" si="106"/>
        <v>0</v>
      </c>
      <c r="GW65" s="259" t="str">
        <f ca="1">IF(AND(IFERROR(INDEX($GU$3:$GV$400,MATCH(ROWS($GW$3:GW65),$GU$3:$GU$400,0),2),"")&lt;&gt;"",GW66&lt;&gt;""),CONCATENATE(IFERROR(INDEX($GU$3:$GV$400,MATCH(ROWS($GW$3:GW65),$GU$3:$GU$400,0),2),"")," - "),IFERROR(INDEX($GU$3:$GV$400,MATCH(ROWS($GW$3:GW65),$GU$3:$GU$400,0),2),""))</f>
        <v/>
      </c>
      <c r="GX65" s="259">
        <f ca="1">IF(OR(GN65="IVA NS/CREDITO",GN65="IVA NS/DEBITO",GN65="IVA C/ACCONTO",GN65="IMPOSTE C/ACCONTO"),MAX($GX$2:GX64)+1,0)</f>
        <v>0</v>
      </c>
      <c r="GY65" s="259" t="str">
        <f ca="1">IF(AND(IFERROR(INDEX($GN$3:$GX$200,MATCH(ROWS($GY$3:GY65),$GX$3:$GX$200,0),1),"")&lt;&gt;"",GY66&lt;&gt;""),CONCATENATE(IFERROR(INDEX($GN$3:$GX$200,MATCH(ROWS($GY$3:GY65),$GX$3:$GX$200,0),1),"")," - "),IFERROR(INDEX($GN$3:$GX$200,MATCH(ROWS($GY$3:GY65),$GX$3:$GX$200,0),1),""))</f>
        <v/>
      </c>
      <c r="GZ65" s="259" t="s">
        <v>84</v>
      </c>
      <c r="HA65" s="270" t="s">
        <v>4</v>
      </c>
      <c r="HL65" s="259" t="str">
        <f t="shared" ca="1" si="157"/>
        <v/>
      </c>
      <c r="HM65" s="259" t="str">
        <f t="shared" ca="1" si="158"/>
        <v/>
      </c>
      <c r="HN65" s="259" t="str">
        <f t="shared" ca="1" si="159"/>
        <v/>
      </c>
      <c r="HO65" s="259">
        <f ca="1">IF(HL65&lt;&gt;"",MAX($HO$2:HO64)+1,0)</f>
        <v>0</v>
      </c>
      <c r="HP65" s="259">
        <f ca="1">IF(HM65&lt;&gt;"",MAX($HP$2:HP64)+1,0)</f>
        <v>0</v>
      </c>
      <c r="HQ65" s="259">
        <f ca="1">IF(HN65&lt;&gt;"",MAX($HQ$2:HQ64)+1,0)</f>
        <v>0</v>
      </c>
      <c r="HR65" s="259" t="str">
        <f t="shared" ca="1" si="107"/>
        <v/>
      </c>
      <c r="HS65" s="259" t="str">
        <f t="shared" ca="1" si="108"/>
        <v/>
      </c>
      <c r="HT65" s="259">
        <f t="shared" ca="1" si="109"/>
        <v>0</v>
      </c>
      <c r="HU65" s="259">
        <f t="shared" ca="1" si="110"/>
        <v>0</v>
      </c>
      <c r="HV65" s="259" t="str">
        <f ca="1">CONCATENATE(IFERROR(INDEX($HS$3:$HT$102,MATCH(ROWS($HV$3:HV65),$HT$3:$HT$102,0),1),""),HR65)</f>
        <v/>
      </c>
      <c r="IA65" s="259" t="s">
        <v>385</v>
      </c>
      <c r="IB65" s="259" t="s">
        <v>324</v>
      </c>
      <c r="IC65" s="259">
        <f ca="1">IFERROR(INDEX(PIANO_DEI_CONTI,MATCH(ROWS(DL$3:DL65),$DK$3:DK292,0),2),0)</f>
        <v>0</v>
      </c>
      <c r="ID65" s="259">
        <f t="shared" ca="1" si="111"/>
        <v>0</v>
      </c>
      <c r="IE65" s="259">
        <f t="shared" ca="1" si="112"/>
        <v>0</v>
      </c>
      <c r="IF65" s="259">
        <f t="shared" ca="1" si="113"/>
        <v>0</v>
      </c>
      <c r="IG65" s="259">
        <f t="shared" ca="1" si="171"/>
        <v>0</v>
      </c>
      <c r="IH65" s="259">
        <f ca="1">IF(IG65&lt;&gt;0,MAX($IH$35:IH64)+1,0)</f>
        <v>0</v>
      </c>
      <c r="II65" s="259">
        <f>IF(AD65="costi pluriennali",MAX($II$2:II64)+1,0)</f>
        <v>0</v>
      </c>
      <c r="IJ65" s="259">
        <f>IF($AD65="rettifiche costi pluriennali",MAX($IJ$2:IJ64)+1,0)</f>
        <v>0</v>
      </c>
      <c r="IK65" s="259">
        <f t="shared" si="114"/>
        <v>0</v>
      </c>
      <c r="IL65" s="259" t="str">
        <f t="shared" si="115"/>
        <v/>
      </c>
      <c r="IM65" s="259">
        <f t="shared" ca="1" si="116"/>
        <v>0</v>
      </c>
      <c r="IN65" s="259">
        <f t="shared" ca="1" si="141"/>
        <v>0</v>
      </c>
      <c r="IO65" s="259">
        <f>SUMIFS($IM$3:$IM$200,$IK$3:$IK$200,ROWS($IO$3:IO65))-SUMIFS($IN$3:$IN$200,$IK$3:$IK$200,ROWS($IO$3:IO65))</f>
        <v>0</v>
      </c>
      <c r="IP65" s="259" t="str">
        <f>IF(IO65&lt;0,INDEX($IJ$3:$IL$200,MATCH(ROWS($IP$3:IP65),$IJ$3:$IJ$200,0),3),"")</f>
        <v/>
      </c>
      <c r="IQ65" s="259">
        <f>IF(IP65&lt;&gt;"",MAX($IQ$2:IQ64)+1,0)</f>
        <v>0</v>
      </c>
      <c r="IR65" s="259" t="str">
        <f ca="1">IFERROR(INDEX($IP$3:$IQ$200,MATCH(ROWS($IR$3:IR65),$IQ$3:$IQ$200,0),1),"")</f>
        <v/>
      </c>
      <c r="IS65" s="259" t="str">
        <f t="shared" ca="1" si="117"/>
        <v/>
      </c>
      <c r="IT65" s="259" t="str">
        <f t="shared" ca="1" si="118"/>
        <v/>
      </c>
      <c r="IU65" s="259" t="str">
        <f t="shared" ca="1" si="119"/>
        <v/>
      </c>
      <c r="IV65" s="259" t="str">
        <f t="shared" ca="1" si="120"/>
        <v/>
      </c>
      <c r="IW65" s="259" t="str">
        <f t="shared" ca="1" si="121"/>
        <v/>
      </c>
      <c r="IX65" s="259" t="str">
        <f t="shared" ca="1" si="122"/>
        <v/>
      </c>
      <c r="IY65" s="259" t="str">
        <f t="shared" ca="1" si="123"/>
        <v/>
      </c>
      <c r="IZ65" s="259" t="str">
        <f t="shared" ca="1" si="124"/>
        <v/>
      </c>
      <c r="JA65" s="259" t="str">
        <f t="shared" ca="1" si="125"/>
        <v/>
      </c>
      <c r="JB65" s="259">
        <f t="shared" ca="1" si="32"/>
        <v>0</v>
      </c>
      <c r="JC65" s="259">
        <f t="shared" ca="1" si="126"/>
        <v>0</v>
      </c>
      <c r="JE65" s="259">
        <f ca="1">IFERROR(INDEX(LIBRO_GIORNALE!$N$11:$O$408,MATCH(ROWS($JE$2:JE64),LIBRO_GIORNALE!$O$11:$O$408,0),1),0)</f>
        <v>0</v>
      </c>
      <c r="JF65" s="259" t="str">
        <f t="shared" ca="1" si="127"/>
        <v>0</v>
      </c>
      <c r="JG65" s="259">
        <f t="shared" ca="1" si="128"/>
        <v>0</v>
      </c>
      <c r="JH65" s="259">
        <f ca="1">IF(JJ65&gt;0,0,MAX($JH$2:JH64)+1)</f>
        <v>63</v>
      </c>
      <c r="JI65" s="259">
        <f ca="1">IF(JG65&gt;0,MAX($JI$2:JI64)+1,0)</f>
        <v>0</v>
      </c>
      <c r="JJ65" s="259">
        <f ca="1">IFERROR(INDEX($JG$3:$JI$124,MATCH(ROWS($JJ$3:JJ65),$JI$3:$JI$124,0),1),0)</f>
        <v>0</v>
      </c>
      <c r="JK65" s="259">
        <f t="shared" ca="1" si="129"/>
        <v>0</v>
      </c>
      <c r="JL65" s="259">
        <f t="shared" ca="1" si="130"/>
        <v>63</v>
      </c>
    </row>
    <row r="66" spans="1:272">
      <c r="A66" s="259" t="str">
        <f t="shared" si="33"/>
        <v>10.01</v>
      </c>
      <c r="B66" s="259" t="str">
        <f t="shared" si="34"/>
        <v>PATRIMONIO NETTO</v>
      </c>
      <c r="C66" s="259" t="str">
        <f t="shared" si="35"/>
        <v>E</v>
      </c>
      <c r="D66" s="259" t="str">
        <f t="shared" si="36"/>
        <v>A</v>
      </c>
      <c r="E66" s="259" t="str">
        <f t="shared" si="37"/>
        <v>PATRIMONIO NETTO</v>
      </c>
      <c r="F66" s="259" t="str">
        <f t="shared" si="38"/>
        <v>SP AVERE</v>
      </c>
      <c r="G66" s="259">
        <f t="shared" ca="1" si="39"/>
        <v>1</v>
      </c>
      <c r="H66" s="259">
        <f t="shared" ca="1" si="40"/>
        <v>1</v>
      </c>
      <c r="I66" s="259">
        <f t="shared" ca="1" si="41"/>
        <v>1</v>
      </c>
      <c r="K66" s="259" t="str">
        <f ca="1">IFERROR(IF($I$1=1,INDEX($AA$3:$AS$220,MATCH(ROWS($K$3:K66),$AQ$3:$AQ$220,0),1),IF($I$1=2,INDEX($AA$3:$AS$220,MATCH(ROWS($K$3:K66),$AR$3:$AR$220,0),1),IF($I$1=3,INDEX($AA$3:$AS$220,MATCH(ROWS($K$3:K66),$AS$3:$AS$220,0),1),""))),"")</f>
        <v>SOVVENZIONI BANCARIE</v>
      </c>
      <c r="L66" s="259">
        <f ca="1">IF(AND($L$1="VISUALIZZA TUTTI I CONTI",K66&lt;&gt;""),MAX(L65:L65)+1,IFERROR(IF($J$1=1,IF(INDEX(PIANO_DEI_CONTI,MATCH($K66,DENOMINAZIONE,0),5)=$L$1,MAX($L$2:L65)+1,0),IF($J$1=2,IF(INDEX(PIANO_DEI_CONTI,MATCH($K66,DENOMINAZIONE,0),7)=$L$1,MAX($L$2:L65)+1,0))),0))</f>
        <v>64</v>
      </c>
      <c r="M66" s="259" t="str">
        <f ca="1">IFERROR(INDEX($K$3:$K$220,MATCH(ROWS($M$3:M66),$L$3:$L$220,0),1),"")</f>
        <v>SOVVENZIONI BANCARIE</v>
      </c>
      <c r="Q66" s="259" t="str">
        <f ca="1">IF(IFERROR(INDEX($O$3:$P$220,MATCH(ROWS(Q$3:Q66),$P$3:$P$220,0),1),"")=0,"",IFERROR(INDEX($O$3:$P$220,MATCH(ROWS(Q$3:Q66),$P$3:$P$220,0),1),""))</f>
        <v/>
      </c>
      <c r="R66" s="259" t="str">
        <f t="shared" si="1"/>
        <v/>
      </c>
      <c r="S66" s="259">
        <f ca="1">IF(IFERROR(MATCH(R66,DENOMINAZIONE_GIORNALE,0),0)&gt;0,MAX(S$2:S65)+1,0)</f>
        <v>0</v>
      </c>
      <c r="T66" s="259" t="str">
        <f ca="1">IFERROR(INDEX($R$3:$S$220,MATCH(ROWS($T$3:T66),$S$3:$S$220,0),1),"")</f>
        <v/>
      </c>
      <c r="U66" s="259">
        <f t="shared" ca="1" si="2"/>
        <v>0</v>
      </c>
      <c r="V66" s="259">
        <f ca="1">IF(IF(U66&lt;&gt;0,MAX($V$2:V65)+1,0)=0,0,IF(U66&lt;&gt;0,MAX($V$2:V65)+1,0))</f>
        <v>0</v>
      </c>
      <c r="W66" s="259" t="str">
        <f t="shared" si="43"/>
        <v>10.01</v>
      </c>
      <c r="X66" s="259" t="str">
        <f t="shared" si="44"/>
        <v>PATRIMONIO NETTO</v>
      </c>
      <c r="Y66" s="259">
        <f>IF(W66="",0,MAX($Y$2:Y65)+1)</f>
        <v>55</v>
      </c>
      <c r="Z66" s="259" t="str">
        <f>IFERROR(INDEX($W$3:$Y$220,MATCH(ROWS($Z$2:Z65),$Y$3:$Y$220,0),1),"")</f>
        <v>13.10</v>
      </c>
      <c r="AA66" s="259" t="str">
        <f t="shared" si="45"/>
        <v>BANCHE C/RI.BA. SBF</v>
      </c>
      <c r="AB66" s="259" t="str">
        <f t="shared" si="46"/>
        <v>F</v>
      </c>
      <c r="AC66" s="259" t="str">
        <f t="shared" si="47"/>
        <v>A</v>
      </c>
      <c r="AD66" s="259" t="str">
        <f t="shared" si="48"/>
        <v>DEBITI</v>
      </c>
      <c r="AE66" s="259" t="str">
        <f t="shared" si="49"/>
        <v>SP AVERE</v>
      </c>
      <c r="AF66" s="259" t="str">
        <f t="shared" si="50"/>
        <v>DEBITI FINANZIARI</v>
      </c>
      <c r="AG66" s="259">
        <f t="shared" ca="1" si="51"/>
        <v>0</v>
      </c>
      <c r="AH66" s="259">
        <f t="shared" ca="1" si="52"/>
        <v>1</v>
      </c>
      <c r="AI66" s="259">
        <f t="shared" ca="1" si="53"/>
        <v>1</v>
      </c>
      <c r="AJ66" s="259" t="str">
        <f t="shared" si="54"/>
        <v>13</v>
      </c>
      <c r="AK66" s="259" t="str">
        <f t="shared" si="55"/>
        <v/>
      </c>
      <c r="AL66" s="259">
        <f>IF(AK66&lt;&gt;"",MAX($AL$2:AL65)+1,0)</f>
        <v>0</v>
      </c>
      <c r="AM66" s="259" t="str">
        <f>IFERROR(INDEX($AK$3:$AL$220,MATCH(ROWS($AM$3:AM66),$AL$3:$AL$220,0),1),"")</f>
        <v/>
      </c>
      <c r="AN66" s="259" t="str">
        <f t="shared" si="56"/>
        <v/>
      </c>
      <c r="AO66" s="259" t="str">
        <f t="shared" si="57"/>
        <v/>
      </c>
      <c r="AP66" s="259" t="str">
        <f t="shared" si="58"/>
        <v>DEBITI FINANZIARI</v>
      </c>
      <c r="AQ66" s="259">
        <f ca="1">IF(OR(AG66=0,AG66=""),0,MAX(AQ$2:AQ65)+1)</f>
        <v>0</v>
      </c>
      <c r="AR66" s="259">
        <f ca="1">IF(OR(AH66=0,AH66=""),0,MAX(AR$2:AR65)+1)</f>
        <v>48</v>
      </c>
      <c r="AS66" s="259">
        <f ca="1">IF(OR(AI66=0,AI66=""),0,MAX(AS$2:AS65)+1)</f>
        <v>62</v>
      </c>
      <c r="AT66" s="259" t="str">
        <f ca="1">IFERROR(INDEX($AD$3:$AS$220,MATCH(ROWS(AT$3:AT66),AQ$3:AQ$220,0),1),"")</f>
        <v>COSTI D'ESERCIZIO</v>
      </c>
      <c r="AU66" s="259" t="str">
        <f ca="1">IFERROR(INDEX($AD$3:$AS$220,MATCH(ROWS(AU$3:AU66),AR$3:AR$220,0),1),"")</f>
        <v>CONTI CON ALTERNANZA DI SALDI</v>
      </c>
      <c r="AV66" s="259" t="str">
        <f ca="1">IFERROR(INDEX($AD$3:$AS$220,MATCH(ROWS(AV$3:AV66),AS$3:AS$220,0),1),"")</f>
        <v>DEBITI</v>
      </c>
      <c r="AW66" s="259" t="str">
        <f ca="1">IFERROR(INDEX($AP$3:$AS$220,MATCH(ROWS(AW$3:AW66),AQ$3:AQ$220,0),1),"")</f>
        <v>COSTI PER SERVIZI</v>
      </c>
      <c r="AX66" s="259" t="str">
        <f ca="1">IFERROR(INDEX($AP$3:$AS$220,MATCH(ROWS(AX$3:AX66),AR$3:AR$220,0),1),"")</f>
        <v>CONTI TRANSITORI E DIVERSI</v>
      </c>
      <c r="AY66" s="259" t="str">
        <f ca="1">IFERROR(INDEX($AP$3:$AS$220,MATCH(ROWS(AY$3:AY66),AS$3:AS$220,0),1),"")</f>
        <v>DEBITI FINANZIARI</v>
      </c>
      <c r="AZ66" s="276" t="str">
        <f t="shared" ca="1" si="59"/>
        <v/>
      </c>
      <c r="BA66" s="259">
        <f t="shared" ca="1" si="153"/>
        <v>0</v>
      </c>
      <c r="BB66" s="259">
        <f ca="1">IFERROR(INDEX($FG$3:$FL$400,MATCH(ROWS($BB$3:BB66),$FL$3:$FL$400,0),1),0)</f>
        <v>0</v>
      </c>
      <c r="BC66" s="259" t="str">
        <f t="shared" ca="1" si="60"/>
        <v/>
      </c>
      <c r="BD66" s="259">
        <f ca="1">IFERROR(INDEX($FG$3:$FL$400,MATCH(ROWS($BD$3:BD66),$FL$3:$FL$400,0),4),0)</f>
        <v>0</v>
      </c>
      <c r="BE66" s="259">
        <f ca="1">IFERROR(INDEX($FG$3:$FL$400,MATCH(ROWS($BE$3:BE66),$FL$3:$FL$400,0),5),0)</f>
        <v>0</v>
      </c>
      <c r="BG66" s="259" t="str">
        <f t="shared" si="4"/>
        <v>BANCHE C/RI.BA. SBF</v>
      </c>
      <c r="BH66" s="259">
        <f ca="1">IF(IFERROR(MATCH(BG66,DENOMINAZIONE_GIORNALE,0),0)&gt;0,MAX(BH$2:BH65)+1,0)</f>
        <v>0</v>
      </c>
      <c r="BI66" s="259" t="str">
        <f ca="1">IFERROR(INDEX($BG$3:$BH$220,MATCH(ROWS($BI$3:BI66),$BH$3:$BH$220,0),1),"")</f>
        <v/>
      </c>
      <c r="BJ66" s="259" t="str">
        <f t="shared" ca="1" si="5"/>
        <v/>
      </c>
      <c r="BK66" s="259" t="str">
        <f ca="1">IF(IF(BJ66&lt;&gt;"",MAX($BK$2:BK65)+1,0)=0,"",IF(BJ66&lt;&gt;"",MAX($BK$2:BK65)+1,0))</f>
        <v/>
      </c>
      <c r="BL66" s="259" t="str">
        <f ca="1">IFERROR(INDEX($T$3:$U$220, MATCH(ROWS(BL$3:BL66),$V$3:$V$220,0),1),"")</f>
        <v/>
      </c>
      <c r="BM66" s="259" t="str">
        <f ca="1">IFERROR(INDEX($T$3:$U$220, MATCH(ROWS(BM$3:BM66),$V$3:$V$220,0),2),"")</f>
        <v/>
      </c>
      <c r="BN66" s="259" t="str">
        <f ca="1">IF(IFERROR(INDEX($BI$3:$BJ$220,MATCH(ROWS(BN$3:BN66),$BK$3:$BK$220,0),1),"")="PATRIMONIO NETTO","",IFERROR(INDEX($BI$3:$BJ$220,MATCH(ROWS(BN$3:BN66),$BK$3:$BK$220,0),1),""))</f>
        <v/>
      </c>
      <c r="BO66" s="259" t="str">
        <f ca="1">IFERROR(INDEX($BI$3:$BJ$220,MATCH(ROWS(BO$3:BO66),$BK$3:$BK$220,0),2),"")</f>
        <v/>
      </c>
      <c r="BP66" s="259">
        <f ca="1">IF(BN66&lt;&gt;"",MAX(BP$2:$BP65)+1,0)</f>
        <v>0</v>
      </c>
      <c r="BQ66" s="259" t="str">
        <f ca="1">IFERROR(INDEX($BN$3:$BO$200,MATCH(ROWS(BQ$3:BQ66),$BP$3:$BP$220,0),1),"")</f>
        <v/>
      </c>
      <c r="BR66" s="259" t="str">
        <f ca="1">IFERROR(INDEX($BN$3:$BO$220,MATCH(ROWS(BR$3:BR66),$BP$3:$BP$220,0),2),"")</f>
        <v/>
      </c>
      <c r="BS66" s="259" t="str">
        <f ca="1">IFERROR(IF(OR(INDEX($T$3:$U$220,MATCH(ROWS(BL$3:BL66),$V$3:$V$220,0),1)="PRELEVAMENTI EXTRAGESTIONE",INDEX($T$3:$U$220,MATCH(ROWS(BL$3:BL66),$V$3:$V$220,0),1)="TITOLARE C/RITENUTE SUBITE"),"",INDEX($T$3:$U$220,MATCH(ROWS(BL$3:BL66),$V$3:$V$220,0),1)),"")</f>
        <v/>
      </c>
      <c r="BT66" s="259">
        <f t="shared" ca="1" si="61"/>
        <v>0</v>
      </c>
      <c r="BU66" s="259">
        <f ca="1">IF(BS66&lt;&gt;"",MAX(BU$2:BU65)+1,0)</f>
        <v>0</v>
      </c>
      <c r="BV66" s="259" t="str">
        <f ca="1">IFERROR(INDEX($BS$3:$BT$223,MATCH(ROWS(BV$3:BV66),$BU$3:$BU$223,0),1),"")</f>
        <v/>
      </c>
      <c r="BW66" s="259">
        <f t="shared" ca="1" si="62"/>
        <v>0</v>
      </c>
      <c r="BX66" s="259" t="str">
        <f t="shared" ca="1" si="63"/>
        <v/>
      </c>
      <c r="BY66" s="259" t="str">
        <f t="shared" ca="1" si="64"/>
        <v/>
      </c>
      <c r="BZ66" s="259" t="str">
        <f ca="1">IFERROR(IF(OR($DS$231&lt;&gt;$DT$231,$DU$231&lt;&gt;$DV$231,$EO$25&lt;&gt;0,$EO$26&lt;&gt;0),INDEX($T$3:$V$220,MATCH(ROWS($BV$3:BV66),$V$3:$V$220,0),1),CONCATENATE(BV66,BY66)),"")</f>
        <v/>
      </c>
      <c r="CA66" s="259">
        <f t="shared" ca="1" si="65"/>
        <v>0</v>
      </c>
      <c r="CB66" s="259" t="str">
        <f ca="1">IFERROR(IF(OR($BB$1&lt;&gt;$BD$1,$BC$1&lt;&gt;$BE$1,$DS$231&lt;&gt;$DT$231,$DU$231&lt;&gt;$DV$231,$EO$25&lt;&gt;0,$EO$26&lt;&gt;0),INDEX($BI$3:$BK$220,MATCH(ROWS($CB$3:CB66),$BK$3:$BK$220,0),1),CONCATENATE(BQ66,BX66)),"")</f>
        <v/>
      </c>
      <c r="CC66" s="259" t="str">
        <f t="shared" ca="1" si="66"/>
        <v/>
      </c>
      <c r="CD66" s="259" t="str">
        <f t="shared" si="6"/>
        <v/>
      </c>
      <c r="CE66" s="259">
        <f ca="1">IF(IFERROR(MATCH(CD66,DENOMINAZIONE_GIORNALE,0),0)&gt;0,MAX(CE$2:CE65)+1,0)</f>
        <v>0</v>
      </c>
      <c r="CF66" s="259" t="str">
        <f ca="1">IFERROR(INDEX($CD$3:$CE$220,MATCH(ROWS($CF$3:CF66),$CE$3:$CE$220,0),1),"")</f>
        <v/>
      </c>
      <c r="CG66" s="259">
        <f t="shared" ca="1" si="7"/>
        <v>0</v>
      </c>
      <c r="CH66" s="259" t="str">
        <f ca="1">IF(IF(CG66&lt;&gt;0,MAX($CH$2:CH65)+1,0)=0,"",IF(CG66&lt;&gt;"",MAX($CH$2:CH65)+1,0))</f>
        <v/>
      </c>
      <c r="CI66" s="259" t="str">
        <f ca="1">IFERROR(INDEX($CF$3:$CG$220,MATCH(ROWS($CI$3:CI66),$CH$3:$CH$220,0),1),"")</f>
        <v/>
      </c>
      <c r="CJ66" s="259" t="str">
        <f t="shared" ca="1" si="67"/>
        <v/>
      </c>
      <c r="CK66" s="259" t="str">
        <f t="shared" si="8"/>
        <v/>
      </c>
      <c r="CL66" s="259">
        <f ca="1">IF(IFERROR(MATCH(CK66,DENOMINAZIONE_GIORNALE,0),0)&gt;0,MAX(CL$2:CL65)+1,0)</f>
        <v>0</v>
      </c>
      <c r="CM66" s="259" t="str">
        <f ca="1">IFERROR(INDEX($CK$3:$CL$220,MATCH(ROWS($CM$3:CM66),$CL$3:$CL$220,0),1),"")</f>
        <v/>
      </c>
      <c r="CN66" s="259" t="str">
        <f t="shared" ca="1" si="9"/>
        <v/>
      </c>
      <c r="CO66" s="259">
        <f ca="1">IF(IF(CN66&lt;&gt;0,MAX($CO$2:CO65)+1,0)=0,"",IF(CN66&lt;&gt;"",MAX($CO$2:CO65)+1,0))</f>
        <v>0</v>
      </c>
      <c r="CP66" s="259" t="str">
        <f ca="1">IFERROR(INDEX($CM$3:$CN$220,MATCH(ROWS(CP$3:CP66),$CO$3:$CO$220,0),1),"")</f>
        <v/>
      </c>
      <c r="CQ66" s="259" t="str">
        <f ca="1">IFERROR(INDEX($CM$3:$CN$220,MATCH(ROWS(CQ$3:CQ66),$CO$3:$CO$220,0),2),"")</f>
        <v/>
      </c>
      <c r="CR66" s="259" t="str">
        <f t="shared" ca="1" si="154"/>
        <v/>
      </c>
      <c r="CS66" s="259">
        <f t="shared" ca="1" si="11"/>
        <v>0</v>
      </c>
      <c r="CT66" s="259">
        <f t="shared" ca="1" si="12"/>
        <v>0</v>
      </c>
      <c r="CU66" s="259">
        <f ca="1">IF(OR(CS66&gt;0,CT66&gt;0),MAX($CU$2:CU65)+1,0)</f>
        <v>0</v>
      </c>
      <c r="CV66" s="259" t="str">
        <f ca="1">IFERROR(INDEX(PIANO_DEI_CONTI,MATCH(ROWS($CV$3:CV66),$CU$3:$CU$200,0),2),"")</f>
        <v/>
      </c>
      <c r="CW66" s="259">
        <f ca="1">IFERROR(IF(CV66&lt;&gt;"",MAX($CW$2:CW65)+1,0),0)</f>
        <v>0</v>
      </c>
      <c r="CX66" s="259">
        <f t="shared" ca="1" si="174"/>
        <v>4</v>
      </c>
      <c r="CY66" s="259" t="str">
        <f t="shared" ca="1" si="161"/>
        <v>MASTRO</v>
      </c>
      <c r="CZ66" s="259" t="e">
        <f t="shared" ca="1" si="176"/>
        <v>#N/A</v>
      </c>
      <c r="DA66" s="259" t="str">
        <f t="shared" ca="1" si="181"/>
        <v/>
      </c>
      <c r="DB66" s="259" t="str">
        <f t="shared" ca="1" si="177"/>
        <v/>
      </c>
      <c r="DC66" s="259" t="str">
        <f t="shared" ca="1" si="178"/>
        <v/>
      </c>
      <c r="DD66" s="259" t="str">
        <f t="shared" ca="1" si="179"/>
        <v/>
      </c>
      <c r="DE66" s="259" t="str">
        <f t="shared" ca="1" si="180"/>
        <v/>
      </c>
      <c r="DF66" s="259">
        <f ca="1">IF(AND(CX66=$DE$2,$DF$2&lt;&gt;0),0,IF(AND(DB66&lt;&gt;"",OR(DB65&lt;&gt;"",DB67&lt;&gt;"")),MAX($DF$2:DF65)+1,0))</f>
        <v>0</v>
      </c>
      <c r="DG66" s="259" t="str">
        <f>IF(OR(VALORI_INIZIALI!E71="",AND(VALORI_INIZIALI!E71&lt;&gt;"",VALORI_INIZIALI!H71=0,VALORI_INIZIALI!I71=0)),"",IFERROR(INDEX(PIANO_DEI_CONTI,MATCH(BB66,DENOMINAZIONE,0),1),0))</f>
        <v/>
      </c>
      <c r="DH66" s="259">
        <f ca="1">IFERROR(IF($J$1=1,IF(INDEX(PIANO_DEI_CONTI,MATCH($K66,DENOMINAZIONE,0),5)=$DF$1,MAX($DH$2:DH65)+1,0),IF($J$1=2,IF(INDEX(PIANO_DEI_CONTI,MATCH($K66,DENOMINAZIONE,0),7)=$DF$1,MAX($DH$2:DH65)+1,0))),0)</f>
        <v>0</v>
      </c>
      <c r="DI66" s="259">
        <f ca="1">IFERROR(INDEX($K$3:$K$220,MATCH(ROWS($DI$3:DI66),$DH$3:$DH$220,0),1),0)</f>
        <v>0</v>
      </c>
      <c r="DJ66" s="259">
        <f t="shared" ca="1" si="14"/>
        <v>0</v>
      </c>
      <c r="DK66" s="259">
        <f ca="1">IF(DJ66=0,0,MAX(DK$2:DK65)+1)</f>
        <v>0</v>
      </c>
      <c r="DL66" s="259">
        <f ca="1">IFERROR(INDEX(PIANO_DEI_CONTI,MATCH(ROWS(DL$3:DL66),$DK$3:DK293,0),2),0)</f>
        <v>0</v>
      </c>
      <c r="DM66" s="259">
        <f t="shared" ca="1" si="15"/>
        <v>0</v>
      </c>
      <c r="DN66" s="259">
        <f t="shared" ca="1" si="16"/>
        <v>0</v>
      </c>
      <c r="DO66" s="259">
        <f t="shared" ca="1" si="69"/>
        <v>0</v>
      </c>
      <c r="DP66" s="259">
        <f t="shared" ca="1" si="70"/>
        <v>0</v>
      </c>
      <c r="DQ66" s="259">
        <f ca="1">IF(OR($DQ$1="TOTALI",$DQ$1="TOTALI ED ECCEDENZE"),IF(OR(DM66&gt;0,DN66&gt;0),MAX(DQ$2:DQ65)+1,0),IF($DQ$1="ECCEDENZE",IF(OR(DO66&gt;0,DP66&gt;0),MAX(DQ$2:DQ65)+1,0),""))</f>
        <v>0</v>
      </c>
      <c r="DR66" s="259" t="str">
        <f ca="1">IFERROR(INDEX($DL$3:$DQ$230,MATCH(ROWS(DR$3:DR66),$DQ$3:$DQ$230,0),1),"")</f>
        <v/>
      </c>
      <c r="DS66" s="259" t="str">
        <f t="shared" ca="1" si="71"/>
        <v/>
      </c>
      <c r="DT66" s="259" t="str">
        <f t="shared" ca="1" si="72"/>
        <v/>
      </c>
      <c r="DU66" s="259" t="str">
        <f t="shared" ca="1" si="73"/>
        <v/>
      </c>
      <c r="DV66" s="259" t="str">
        <f t="shared" ca="1" si="74"/>
        <v/>
      </c>
      <c r="DW66" s="259">
        <f t="shared" ca="1" si="75"/>
        <v>0</v>
      </c>
      <c r="DX66" s="259" t="str">
        <f t="shared" ca="1" si="76"/>
        <v/>
      </c>
      <c r="DY66" s="259" t="str">
        <f t="shared" ca="1" si="77"/>
        <v/>
      </c>
      <c r="DZ66" s="259" t="str">
        <f t="shared" ca="1" si="78"/>
        <v/>
      </c>
      <c r="EA66" s="259">
        <f t="shared" ca="1" si="79"/>
        <v>64</v>
      </c>
      <c r="EB66" s="259" t="s">
        <v>361</v>
      </c>
      <c r="ED66" s="259">
        <f t="shared" ca="1" si="17"/>
        <v>0</v>
      </c>
      <c r="EE66" s="259" t="str">
        <f t="shared" ca="1" si="155"/>
        <v/>
      </c>
      <c r="EF66" s="259" t="str">
        <f t="shared" ca="1" si="19"/>
        <v/>
      </c>
      <c r="EG66" s="259" t="str">
        <f t="shared" ca="1" si="136"/>
        <v/>
      </c>
      <c r="EH66" s="259" t="str">
        <f t="shared" ca="1" si="80"/>
        <v/>
      </c>
      <c r="EI66" s="260" t="b">
        <f t="shared" ca="1" si="137"/>
        <v>1</v>
      </c>
      <c r="EJ66" s="260" t="b">
        <f t="shared" ca="1" si="138"/>
        <v>1</v>
      </c>
      <c r="EK66" s="260" t="b">
        <f t="shared" ca="1" si="139"/>
        <v>1</v>
      </c>
      <c r="EL66" s="259">
        <f t="shared" si="81"/>
        <v>64</v>
      </c>
      <c r="EM66" s="259">
        <f ca="1">IF(AND(BA66&gt;0,BA66&lt;=$EM$1),MAX($EM$2:EM65)+1,0)</f>
        <v>0</v>
      </c>
      <c r="EN66" s="259">
        <f t="shared" ca="1" si="82"/>
        <v>66</v>
      </c>
      <c r="EP66" s="259" t="str">
        <f t="shared" ca="1" si="20"/>
        <v/>
      </c>
      <c r="EQ66" s="259">
        <f t="shared" ca="1" si="21"/>
        <v>0</v>
      </c>
      <c r="ER66" s="259">
        <f ca="1">IF(ISNA(EQ66),MAX(ER$2:ER65)+1,0)</f>
        <v>0</v>
      </c>
      <c r="ES66" s="259" t="str">
        <f t="shared" ca="1" si="83"/>
        <v/>
      </c>
      <c r="ET66" s="259" t="str">
        <f ca="1">IFERROR(UPPER(INDEX($ER$3:$ES$500,MATCH(ROWS(ET$3:ET66),$ER$3:$ER$500,0),2)),"")</f>
        <v/>
      </c>
      <c r="EY66" s="259">
        <f t="shared" ca="1" si="84"/>
        <v>0</v>
      </c>
      <c r="EZ66" s="259">
        <f t="shared" ca="1" si="84"/>
        <v>0</v>
      </c>
      <c r="FA66" s="259" t="str">
        <f t="shared" ca="1" si="85"/>
        <v/>
      </c>
      <c r="FB66" s="259">
        <f t="shared" ca="1" si="86"/>
        <v>0</v>
      </c>
      <c r="FC66" s="259">
        <f t="shared" ca="1" si="87"/>
        <v>0</v>
      </c>
      <c r="FD66" s="259">
        <f t="shared" ca="1" si="22"/>
        <v>0</v>
      </c>
      <c r="FE66" s="259" t="str">
        <f t="shared" ca="1" si="23"/>
        <v/>
      </c>
      <c r="FF66" s="259" t="str">
        <f t="shared" ca="1" si="88"/>
        <v/>
      </c>
      <c r="FG66" s="259" t="str">
        <f t="shared" si="89"/>
        <v>BANCHE C/RI.BA. SBF</v>
      </c>
      <c r="FH66" s="259">
        <f t="shared" ca="1" si="156"/>
        <v>0</v>
      </c>
      <c r="FI66" s="259">
        <f t="shared" ca="1" si="25"/>
        <v>0</v>
      </c>
      <c r="FJ66" s="259">
        <f t="shared" ca="1" si="90"/>
        <v>0</v>
      </c>
      <c r="FK66" s="259">
        <f t="shared" ca="1" si="91"/>
        <v>0</v>
      </c>
      <c r="FL66" s="259">
        <f ca="1">IF(OR(FJ66&gt;0,FK66&gt;0),MAX($FL$2:FL65)+1,0)</f>
        <v>0</v>
      </c>
      <c r="FM66" s="259">
        <f t="shared" ca="1" si="26"/>
        <v>0</v>
      </c>
      <c r="FN66" s="259">
        <f ca="1">IF(FM66&lt;0,MAX($FN$2:FN65)+1,0)</f>
        <v>0</v>
      </c>
      <c r="FO66" s="259" t="str">
        <f t="shared" ca="1" si="92"/>
        <v/>
      </c>
      <c r="FP66" s="259" t="str">
        <f ca="1">IFERROR(INDEX($FN$3:$FO$400,MATCH(ROWS($FP$3:FP66),$FN$3:$FN$400,0),2),"")</f>
        <v/>
      </c>
      <c r="FQ66" s="259" t="str">
        <f>IF(AE66="SE AVERE",MAX($FQ$2:FQ65)+1,"")</f>
        <v/>
      </c>
      <c r="FR66" s="259" t="str">
        <f>IF(AE66="SE DARE",MAX($FR$2:FR65)+1,"")</f>
        <v/>
      </c>
      <c r="FS66" s="259" t="str">
        <f ca="1">IF(AND(AE66="SP DARE",AA66&lt;&gt;$FS$1,AA66&lt;&gt;$FT$1),MAX($FS$2:FS65)+1,IF(AND(GQ66="SP DARE",AA66&lt;&gt;$FS$1,AA66&lt;&gt;$FT$1),MAX($FS$2:FS65)+1,""))</f>
        <v/>
      </c>
      <c r="FT66" s="259">
        <f ca="1">IF(AND(AE66="SP AVERE",AA66&lt;&gt;$FU$1),MAX($FT$2:FT65)+1,IF(AND(GQ66="SP AVERE",AA66&lt;&gt;$FU$1),MAX($FT$2:FT65)+1,""))</f>
        <v>148</v>
      </c>
      <c r="FU66" s="259">
        <f t="shared" ca="1" si="93"/>
        <v>148</v>
      </c>
      <c r="FV66" s="259" t="str">
        <f t="shared" si="94"/>
        <v>BANCHE C/RI.BA. SBF</v>
      </c>
      <c r="FW66" s="259" t="str">
        <f ca="1">IFERROR(INDEX($FU$3:$FV$500,MATCH(ROWS($FW$3:FW66),$FU$3:$FU$500,0),2),0)</f>
        <v>ACCANTONAMENTO PER MANUTENZIONI PROGRAMMATE</v>
      </c>
      <c r="FX66" s="259">
        <f t="shared" ca="1" si="95"/>
        <v>64</v>
      </c>
      <c r="FY66" s="259">
        <f t="shared" ca="1" si="96"/>
        <v>0</v>
      </c>
      <c r="FZ66" s="259">
        <f ca="1">IF(FY66&gt;0,MAX($FZ$2:FZ65)+1,0)</f>
        <v>0</v>
      </c>
      <c r="GA66" s="259">
        <f ca="1">IFERROR(INDEX($FY$3:$FZ$500,MATCH(ROWS($GA$3:GA66),$FZ$3:$FZ$500,0),1),0)</f>
        <v>0</v>
      </c>
      <c r="GC66" s="259">
        <f t="shared" ca="1" si="97"/>
        <v>64</v>
      </c>
      <c r="GD66" s="259" t="str">
        <f t="shared" ca="1" si="98"/>
        <v>ACCANTONAMENTO PER MANUTENZIONI PROGRAMMATE</v>
      </c>
      <c r="GG66" s="259">
        <f t="shared" ca="1" si="27"/>
        <v>0</v>
      </c>
      <c r="GH66" s="259">
        <f t="shared" ca="1" si="99"/>
        <v>0</v>
      </c>
      <c r="GI66" s="259">
        <f t="shared" ca="1" si="100"/>
        <v>0</v>
      </c>
      <c r="GJ66" s="259">
        <f t="shared" ca="1" si="101"/>
        <v>0</v>
      </c>
      <c r="GK66" s="259">
        <f t="shared" ca="1" si="102"/>
        <v>0</v>
      </c>
      <c r="GL66" s="259">
        <f t="shared" ca="1" si="103"/>
        <v>0</v>
      </c>
      <c r="GM66" s="259">
        <f ca="1">IF(OR(GK66&gt;0,GL66&gt;0),MAX($GM$2:GM65)+1,0)</f>
        <v>0</v>
      </c>
      <c r="GN66" s="259" t="str">
        <f ca="1">IFERROR(INDEX($GD$3:$GM$400,MATCH(ROWS($GN$3:GN66),$GM$3:$GM$400,0),1),"")</f>
        <v/>
      </c>
      <c r="GO66" s="259" t="str">
        <f ca="1">IFERROR(INDEX($GD$3:$GM$400,MATCH(ROWS($GO$3:GO66),$GM$3:$GM$400,0),8),"")</f>
        <v/>
      </c>
      <c r="GP66" s="259" t="str">
        <f ca="1">IFERROR(INDEX($GD$3:$GM$400,MATCH(ROWS($GP$3:GP66),$GM$3:$GM$400,0),9),"")</f>
        <v/>
      </c>
      <c r="GQ66" s="259">
        <f t="shared" ca="1" si="28"/>
        <v>0</v>
      </c>
      <c r="GR66" s="259">
        <f t="shared" ca="1" si="104"/>
        <v>0</v>
      </c>
      <c r="GS66" s="259" t="str">
        <f t="shared" si="105"/>
        <v>epilogo a Conto economico</v>
      </c>
      <c r="GT66" s="259" t="str">
        <f ca="1">IFERROR(INDEX($GD$3:$GS$400,MATCH(ROWS($GT$3:GT66),$GM$3:$GM$400,0),16),"")</f>
        <v/>
      </c>
      <c r="GU66" s="259">
        <f ca="1">IF(GQ66&lt;&gt;0,MAX($GU$2:$GU65)+1,0)</f>
        <v>0</v>
      </c>
      <c r="GV66" s="259">
        <f t="shared" ca="1" si="106"/>
        <v>0</v>
      </c>
      <c r="GW66" s="259" t="str">
        <f ca="1">IF(AND(IFERROR(INDEX($GU$3:$GV$400,MATCH(ROWS($GW$3:GW66),$GU$3:$GU$400,0),2),"")&lt;&gt;"",GW67&lt;&gt;""),CONCATENATE(IFERROR(INDEX($GU$3:$GV$400,MATCH(ROWS($GW$3:GW66),$GU$3:$GU$400,0),2),"")," - "),IFERROR(INDEX($GU$3:$GV$400,MATCH(ROWS($GW$3:GW66),$GU$3:$GU$400,0),2),""))</f>
        <v/>
      </c>
      <c r="GX66" s="259">
        <f ca="1">IF(OR(GN66="IVA NS/CREDITO",GN66="IVA NS/DEBITO",GN66="IVA C/ACCONTO",GN66="IMPOSTE C/ACCONTO"),MAX($GX$2:GX65)+1,0)</f>
        <v>0</v>
      </c>
      <c r="GY66" s="259" t="str">
        <f ca="1">IF(AND(IFERROR(INDEX($GN$3:$GX$200,MATCH(ROWS($GY$3:GY66),$GX$3:$GX$200,0),1),"")&lt;&gt;"",GY67&lt;&gt;""),CONCATENATE(IFERROR(INDEX($GN$3:$GX$200,MATCH(ROWS($GY$3:GY66),$GX$3:$GX$200,0),1),"")," - "),IFERROR(INDEX($GN$3:$GX$200,MATCH(ROWS($GY$3:GY66),$GX$3:$GX$200,0),1),""))</f>
        <v/>
      </c>
      <c r="GZ66" s="259" t="s">
        <v>85</v>
      </c>
      <c r="HA66" s="259" t="s">
        <v>4</v>
      </c>
      <c r="HB66" s="269" t="s">
        <v>256</v>
      </c>
      <c r="HC66" s="269" t="s">
        <v>211</v>
      </c>
      <c r="HD66" s="269" t="s">
        <v>4</v>
      </c>
      <c r="HE66" s="269" t="s">
        <v>212</v>
      </c>
      <c r="HL66" s="259" t="str">
        <f t="shared" ca="1" si="157"/>
        <v/>
      </c>
      <c r="HM66" s="259" t="str">
        <f t="shared" ca="1" si="158"/>
        <v/>
      </c>
      <c r="HN66" s="259" t="str">
        <f t="shared" ca="1" si="159"/>
        <v/>
      </c>
      <c r="HO66" s="259">
        <f ca="1">IF(HL66&lt;&gt;"",MAX($HO$2:HO65)+1,0)</f>
        <v>0</v>
      </c>
      <c r="HP66" s="259">
        <f ca="1">IF(HM66&lt;&gt;"",MAX($HP$2:HP65)+1,0)</f>
        <v>0</v>
      </c>
      <c r="HQ66" s="259">
        <f ca="1">IF(HN66&lt;&gt;"",MAX($HQ$2:HQ65)+1,0)</f>
        <v>0</v>
      </c>
      <c r="HR66" s="259" t="str">
        <f t="shared" ca="1" si="107"/>
        <v/>
      </c>
      <c r="HS66" s="259" t="str">
        <f t="shared" ca="1" si="108"/>
        <v/>
      </c>
      <c r="HT66" s="259">
        <f t="shared" ca="1" si="109"/>
        <v>0</v>
      </c>
      <c r="HU66" s="259">
        <f t="shared" ca="1" si="110"/>
        <v>0</v>
      </c>
      <c r="HV66" s="259" t="str">
        <f ca="1">CONCATENATE(IFERROR(INDEX($HS$3:$HT$102,MATCH(ROWS($HV$3:HV66),$HT$3:$HT$102,0),1),""),HR66)</f>
        <v/>
      </c>
      <c r="IB66" s="259" t="s">
        <v>325</v>
      </c>
      <c r="IC66" s="259">
        <f ca="1">IFERROR(INDEX(PIANO_DEI_CONTI,MATCH(ROWS(DL$3:DL66),$DK$3:DK293,0),2),0)</f>
        <v>0</v>
      </c>
      <c r="ID66" s="259">
        <f t="shared" ca="1" si="111"/>
        <v>0</v>
      </c>
      <c r="IE66" s="259">
        <f t="shared" ca="1" si="112"/>
        <v>0</v>
      </c>
      <c r="IF66" s="259">
        <f t="shared" ca="1" si="113"/>
        <v>0</v>
      </c>
      <c r="IG66" s="259">
        <f ca="1">IF(EV1=0,IF(ROUND($CM$1-$CP$1,0)&lt;$HY$1,ABS(ROUND($CM$1-$CP$1,0)-$HY$1),0),0)</f>
        <v>0</v>
      </c>
      <c r="IH66" s="259">
        <f ca="1">IF(IG66&lt;&gt;0,MAX($IH$35:IH65)+1,0)</f>
        <v>0</v>
      </c>
      <c r="II66" s="259">
        <f>IF(AD66="costi pluriennali",MAX($II$2:II65)+1,0)</f>
        <v>0</v>
      </c>
      <c r="IJ66" s="259">
        <f>IF($AD66="rettifiche costi pluriennali",MAX($IJ$2:IJ65)+1,0)</f>
        <v>0</v>
      </c>
      <c r="IK66" s="259">
        <f t="shared" si="114"/>
        <v>0</v>
      </c>
      <c r="IL66" s="259" t="str">
        <f t="shared" si="115"/>
        <v/>
      </c>
      <c r="IM66" s="259">
        <f t="shared" ca="1" si="116"/>
        <v>0</v>
      </c>
      <c r="IN66" s="259">
        <f t="shared" ca="1" si="141"/>
        <v>0</v>
      </c>
      <c r="IO66" s="259">
        <f>SUMIFS($IM$3:$IM$200,$IK$3:$IK$200,ROWS($IO$3:IO66))-SUMIFS($IN$3:$IN$200,$IK$3:$IK$200,ROWS($IO$3:IO66))</f>
        <v>0</v>
      </c>
      <c r="IP66" s="259" t="str">
        <f>IF(IO66&lt;0,INDEX($IJ$3:$IL$200,MATCH(ROWS($IP$3:IP66),$IJ$3:$IJ$200,0),3),"")</f>
        <v/>
      </c>
      <c r="IQ66" s="259">
        <f>IF(IP66&lt;&gt;"",MAX($IQ$2:IQ65)+1,0)</f>
        <v>0</v>
      </c>
      <c r="IR66" s="259" t="str">
        <f ca="1">IFERROR(INDEX($IP$3:$IQ$200,MATCH(ROWS($IR$3:IR66),$IQ$3:$IQ$200,0),1),"")</f>
        <v/>
      </c>
      <c r="IS66" s="259" t="str">
        <f t="shared" ca="1" si="117"/>
        <v/>
      </c>
      <c r="IT66" s="259" t="str">
        <f t="shared" ca="1" si="118"/>
        <v/>
      </c>
      <c r="IU66" s="259" t="str">
        <f t="shared" ca="1" si="119"/>
        <v/>
      </c>
      <c r="IV66" s="259" t="str">
        <f t="shared" ca="1" si="120"/>
        <v/>
      </c>
      <c r="IW66" s="259" t="str">
        <f t="shared" ca="1" si="121"/>
        <v/>
      </c>
      <c r="IX66" s="259" t="str">
        <f t="shared" ca="1" si="122"/>
        <v/>
      </c>
      <c r="IY66" s="259" t="str">
        <f t="shared" ca="1" si="123"/>
        <v/>
      </c>
      <c r="IZ66" s="259" t="str">
        <f t="shared" ca="1" si="124"/>
        <v/>
      </c>
      <c r="JA66" s="259" t="str">
        <f t="shared" ca="1" si="125"/>
        <v/>
      </c>
      <c r="JB66" s="259">
        <f t="shared" ca="1" si="32"/>
        <v>0</v>
      </c>
      <c r="JC66" s="259">
        <f t="shared" ca="1" si="126"/>
        <v>0</v>
      </c>
      <c r="JE66" s="259">
        <f ca="1">IFERROR(INDEX(LIBRO_GIORNALE!$N$11:$O$408,MATCH(ROWS($JE$2:JE65),LIBRO_GIORNALE!$O$11:$O$408,0),1),0)</f>
        <v>0</v>
      </c>
      <c r="JF66" s="259" t="str">
        <f t="shared" ca="1" si="127"/>
        <v>0</v>
      </c>
      <c r="JG66" s="259">
        <f t="shared" ca="1" si="128"/>
        <v>0</v>
      </c>
      <c r="JH66" s="259">
        <f ca="1">IF(JJ66&gt;0,0,MAX($JH$2:JH65)+1)</f>
        <v>64</v>
      </c>
      <c r="JI66" s="259">
        <f ca="1">IF(JG66&gt;0,MAX($JI$2:JI65)+1,0)</f>
        <v>0</v>
      </c>
      <c r="JJ66" s="259">
        <f ca="1">IFERROR(INDEX($JG$3:$JI$124,MATCH(ROWS($JJ$3:JJ66),$JI$3:$JI$124,0),1),0)</f>
        <v>0</v>
      </c>
      <c r="JK66" s="259">
        <f t="shared" ca="1" si="129"/>
        <v>0</v>
      </c>
      <c r="JL66" s="259">
        <f t="shared" ca="1" si="130"/>
        <v>64</v>
      </c>
    </row>
    <row r="67" spans="1:272">
      <c r="A67" s="259" t="str">
        <f t="shared" si="33"/>
        <v>10.02</v>
      </c>
      <c r="B67" s="259" t="str">
        <f t="shared" si="34"/>
        <v>PRELEVAMENTI EXTRAGESTIONE</v>
      </c>
      <c r="C67" s="259" t="str">
        <f t="shared" si="35"/>
        <v>E</v>
      </c>
      <c r="D67" s="259" t="str">
        <f t="shared" si="36"/>
        <v>D</v>
      </c>
      <c r="E67" s="259" t="str">
        <f t="shared" si="37"/>
        <v>PATRIMONIO NETTO</v>
      </c>
      <c r="F67" s="259" t="str">
        <f t="shared" si="38"/>
        <v>SP DARE</v>
      </c>
      <c r="G67" s="259">
        <f t="shared" ca="1" si="39"/>
        <v>1</v>
      </c>
      <c r="H67" s="259">
        <f t="shared" ca="1" si="40"/>
        <v>1</v>
      </c>
      <c r="I67" s="259">
        <f t="shared" ca="1" si="41"/>
        <v>1</v>
      </c>
      <c r="K67" s="259" t="str">
        <f ca="1">IFERROR(IF($I$1=1,INDEX($AA$3:$AS$220,MATCH(ROWS($K$3:K67),$AQ$3:$AQ$220,0),1),IF($I$1=2,INDEX($AA$3:$AS$220,MATCH(ROWS($K$3:K67),$AR$3:$AR$220,0),1),IF($I$1=3,INDEX($AA$3:$AS$220,MATCH(ROWS($K$3:K67),$AS$3:$AS$220,0),1),""))),"")</f>
        <v>BANCHE C/C PASSIVI</v>
      </c>
      <c r="L67" s="259">
        <f ca="1">IF(AND($L$1="VISUALIZZA TUTTI I CONTI",K67&lt;&gt;""),MAX(L66:L66)+1,IFERROR(IF($J$1=1,IF(INDEX(PIANO_DEI_CONTI,MATCH($K67,DENOMINAZIONE,0),5)=$L$1,MAX($L$2:L66)+1,0),IF($J$1=2,IF(INDEX(PIANO_DEI_CONTI,MATCH($K67,DENOMINAZIONE,0),7)=$L$1,MAX($L$2:L66)+1,0))),0))</f>
        <v>65</v>
      </c>
      <c r="M67" s="259" t="str">
        <f ca="1">IFERROR(INDEX($K$3:$K$220,MATCH(ROWS($M$3:M67),$L$3:$L$220,0),1),"")</f>
        <v>BANCHE C/C PASSIVI</v>
      </c>
      <c r="Q67" s="259" t="str">
        <f ca="1">IF(IFERROR(INDEX($O$3:$P$220,MATCH(ROWS(Q$3:Q67),$P$3:$P$220,0),1),"")=0,"",IFERROR(INDEX($O$3:$P$220,MATCH(ROWS(Q$3:Q67),$P$3:$P$220,0),1),""))</f>
        <v/>
      </c>
      <c r="R67" s="259" t="str">
        <f t="shared" ref="R67:R130" si="182">IF(OR(INDEX(PIANO_DEI_CONTI,MATCH(AA67,DENOMINAZIONE,0),6)="SP DARE",INDEX(PIANO_DEI_CONTI,MATCH(AA67,DENOMINAZIONE,0),6)="SP DARE/AVERE"),AA67,"")</f>
        <v/>
      </c>
      <c r="S67" s="259">
        <f ca="1">IF(IFERROR(MATCH(R67,DENOMINAZIONE_GIORNALE,0),0)&gt;0,MAX(S$2:S66)+1,0)</f>
        <v>0</v>
      </c>
      <c r="T67" s="259" t="str">
        <f ca="1">IFERROR(INDEX($R$3:$S$220,MATCH(ROWS($T$3:T67),$S$3:$S$220,0),1),"")</f>
        <v/>
      </c>
      <c r="U67" s="259">
        <f t="shared" ref="U67:U130" ca="1" si="183">IFERROR(IF(IF(AND(OR(INDEX(PIANO_DEI_CONTI,MATCH(T67,DENOMINAZIONE,0),6)="SP DARE",INDEX(PIANO_DEI_CONTI,MATCH(T67,DENOMINAZIONE,0),6)="SP DARE/AVERE"),SUMIFS(DARE,DENOMINAZIONE_GIORNALE,T67,DARE,"&gt;"&amp;0)&gt;SUMIFS(AVERE,DENOMINAZIONE_GIORNALE,T67,AVERE,"&gt;"&amp;0)),SUMIFS(DARE,DENOMINAZIONE_GIORNALE,T67,DARE,"&gt;"&amp;0)-SUMIFS(AVERE,DENOMINAZIONE_GIORNALE,T67,AVERE,"&gt;"&amp;0),0)&lt;&gt;0,IF(AND(OR(INDEX(PIANO_DEI_CONTI,MATCH(T67,DENOMINAZIONE,0),6)="SP DARE",INDEX(PIANO_DEI_CONTI,MATCH(T67,DENOMINAZIONE,0),6)="SP DARE/AVERE"),SUMIFS(DARE,DENOMINAZIONE_GIORNALE,T67,DARE,"&gt;"&amp;0)&gt;SUMIFS(AVERE,DENOMINAZIONE_GIORNALE,T67,AVERE,"&gt;"&amp;0)),SUMIFS(DARE,DENOMINAZIONE_GIORNALE,T67,DARE,"&gt;"&amp;0)-SUMIFS(AVERE,DENOMINAZIONE_GIORNALE,T67,AVERE,"&gt;"&amp;0),0),0),0)</f>
        <v>0</v>
      </c>
      <c r="V67" s="259">
        <f ca="1">IF(IF(U67&lt;&gt;0,MAX($V$2:V66)+1,0)=0,0,IF(U67&lt;&gt;0,MAX($V$2:V66)+1,0))</f>
        <v>0</v>
      </c>
      <c r="W67" s="259" t="str">
        <f t="shared" si="43"/>
        <v>10.02</v>
      </c>
      <c r="X67" s="259" t="str">
        <f t="shared" si="44"/>
        <v>PRELEVAMENTI EXTRAGESTIONE</v>
      </c>
      <c r="Y67" s="259">
        <f>IF(W67="",0,MAX($Y$2:Y66)+1)</f>
        <v>56</v>
      </c>
      <c r="Z67" s="259" t="str">
        <f>IFERROR(INDEX($W$3:$Y$220,MATCH(ROWS($Z$2:Z66),$Y$3:$Y$220,0),1),"")</f>
        <v>13.11</v>
      </c>
      <c r="AA67" s="259" t="str">
        <f t="shared" si="45"/>
        <v>BANCHE C/ANTICIPI SU FATTURE</v>
      </c>
      <c r="AB67" s="259" t="str">
        <f t="shared" si="46"/>
        <v>F</v>
      </c>
      <c r="AC67" s="259" t="str">
        <f t="shared" si="47"/>
        <v>A</v>
      </c>
      <c r="AD67" s="259" t="str">
        <f t="shared" si="48"/>
        <v>DEBITI</v>
      </c>
      <c r="AE67" s="259" t="str">
        <f t="shared" si="49"/>
        <v>SP AVERE</v>
      </c>
      <c r="AF67" s="259" t="str">
        <f t="shared" si="50"/>
        <v>DEBITI FINANZIARI</v>
      </c>
      <c r="AG67" s="259">
        <f t="shared" ca="1" si="51"/>
        <v>0</v>
      </c>
      <c r="AH67" s="259">
        <f t="shared" ca="1" si="52"/>
        <v>1</v>
      </c>
      <c r="AI67" s="259">
        <f t="shared" ca="1" si="53"/>
        <v>1</v>
      </c>
      <c r="AJ67" s="259" t="str">
        <f t="shared" si="54"/>
        <v>13</v>
      </c>
      <c r="AK67" s="259" t="str">
        <f t="shared" si="55"/>
        <v/>
      </c>
      <c r="AL67" s="259">
        <f>IF(AK67&lt;&gt;"",MAX($AL$2:AL66)+1,0)</f>
        <v>0</v>
      </c>
      <c r="AM67" s="259" t="str">
        <f>IFERROR(INDEX($AK$3:$AL$220,MATCH(ROWS($AM$3:AM67),$AL$3:$AL$220,0),1),"")</f>
        <v/>
      </c>
      <c r="AN67" s="259" t="str">
        <f t="shared" si="56"/>
        <v/>
      </c>
      <c r="AO67" s="259" t="str">
        <f t="shared" si="57"/>
        <v/>
      </c>
      <c r="AP67" s="259" t="str">
        <f t="shared" si="58"/>
        <v>DEBITI FINANZIARI</v>
      </c>
      <c r="AQ67" s="259">
        <f ca="1">IF(OR(AG67=0,AG67=""),0,MAX(AQ$2:AQ66)+1)</f>
        <v>0</v>
      </c>
      <c r="AR67" s="259">
        <f ca="1">IF(OR(AH67=0,AH67=""),0,MAX(AR$2:AR66)+1)</f>
        <v>49</v>
      </c>
      <c r="AS67" s="259">
        <f ca="1">IF(OR(AI67=0,AI67=""),0,MAX(AS$2:AS66)+1)</f>
        <v>63</v>
      </c>
      <c r="AT67" s="259" t="str">
        <f ca="1">IFERROR(INDEX($AD$3:$AS$220,MATCH(ROWS(AT$3:AT67),AQ$3:AQ$220,0),1),"")</f>
        <v>COSTI D'ESERCIZIO</v>
      </c>
      <c r="AU67" s="259" t="str">
        <f ca="1">IFERROR(INDEX($AD$3:$AS$220,MATCH(ROWS(AU$3:AU67),AR$3:AR$220,0),1),"")</f>
        <v>CONTI CON ALTERNANZA DI SALDI</v>
      </c>
      <c r="AV67" s="259" t="str">
        <f ca="1">IFERROR(INDEX($AD$3:$AS$220,MATCH(ROWS(AV$3:AV67),AS$3:AS$220,0),1),"")</f>
        <v>DEBITI</v>
      </c>
      <c r="AW67" s="259" t="str">
        <f ca="1">IFERROR(INDEX($AP$3:$AS$220,MATCH(ROWS(AW$3:AW67),AQ$3:AQ$220,0),1),"")</f>
        <v>COSTI PER SERVIZI</v>
      </c>
      <c r="AX67" s="259" t="str">
        <f ca="1">IFERROR(INDEX($AP$3:$AS$220,MATCH(ROWS(AX$3:AX67),AR$3:AR$220,0),1),"")</f>
        <v>CONTI TRANSITORI E DIVERSI</v>
      </c>
      <c r="AY67" s="259" t="str">
        <f ca="1">IFERROR(INDEX($AP$3:$AS$220,MATCH(ROWS(AY$3:AY67),AS$3:AS$220,0),1),"")</f>
        <v>DEBITI FINANZIARI</v>
      </c>
      <c r="AZ67" s="276" t="str">
        <f t="shared" ca="1" si="59"/>
        <v/>
      </c>
      <c r="BA67" s="259">
        <f t="shared" ref="BA67:BA98" ca="1" si="184">IF(BB67&lt;&gt;0,INIZIO_AC,0)</f>
        <v>0</v>
      </c>
      <c r="BB67" s="259">
        <f ca="1">IFERROR(INDEX($FG$3:$FL$400,MATCH(ROWS($BB$3:BB67),$FL$3:$FL$400,0),1),0)</f>
        <v>0</v>
      </c>
      <c r="BC67" s="259" t="str">
        <f t="shared" ca="1" si="60"/>
        <v/>
      </c>
      <c r="BD67" s="259">
        <f ca="1">IFERROR(INDEX($FG$3:$FL$400,MATCH(ROWS($BD$3:BD67),$FL$3:$FL$400,0),4),0)</f>
        <v>0</v>
      </c>
      <c r="BE67" s="259">
        <f ca="1">IFERROR(INDEX($FG$3:$FL$400,MATCH(ROWS($BE$3:BE67),$FL$3:$FL$400,0),5),0)</f>
        <v>0</v>
      </c>
      <c r="BG67" s="259" t="str">
        <f t="shared" ref="BG67:BG130" si="185">IFERROR(IF(OR(INDEX(PIANO_DEI_CONTI,MATCH(AA67,DENOMINAZIONE,0),6)="SP AVERE",INDEX(PIANO_DEI_CONTI,MATCH(AA67,DENOMINAZIONE,0),6)="SP DARE/AVERE"),AA67,""),0)</f>
        <v>BANCHE C/ANTICIPI SU FATTURE</v>
      </c>
      <c r="BH67" s="259">
        <f ca="1">IF(IFERROR(MATCH(BG67,DENOMINAZIONE_GIORNALE,0),0)&gt;0,MAX(BH$2:BH66)+1,0)</f>
        <v>0</v>
      </c>
      <c r="BI67" s="259" t="str">
        <f ca="1">IFERROR(INDEX($BG$3:$BH$220,MATCH(ROWS($BI$3:BI67),$BH$3:$BH$220,0),1),"")</f>
        <v/>
      </c>
      <c r="BJ67" s="259" t="str">
        <f t="shared" ref="BJ67:BJ130" ca="1" si="186">IF(IF(AND(OR(INDEX(PIANO_DEI_CONTI,MATCH(BI67,DENOMINAZIONE,0),6)="SP AVERE",INDEX(PIANO_DEI_CONTI,MATCH(BI67,DENOMINAZIONE,0),6)="SP DARE/AVERE"),SUMIFS(AVERE,DENOMINAZIONE_GIORNALE,BI67,AVERE,"&gt;"&amp;0)&gt;SUMIFS(DARE,DENOMINAZIONE_GIORNALE,BI67,DARE,"&gt;"&amp;0)),SUMIFS(AVERE,DENOMINAZIONE_GIORNALE,BI67,AVERE,"&gt;"&amp;0)-SUMIFS(DARE,DENOMINAZIONE_GIORNALE,BI67,DARE,"&gt;"&amp;0),0)&lt;&gt;0,IF(AND(OR(INDEX(PIANO_DEI_CONTI,MATCH(BI67,DENOMINAZIONE,0),6)="SP AVERE",INDEX(PIANO_DEI_CONTI,MATCH(BI67,DENOMINAZIONE,0),6)="SP DARE/AVERE"),SUMIFS(AVERE,DENOMINAZIONE_GIORNALE,BI67,AVERE,"&gt;"&amp;0)&gt;SUMIFS(DARE,DENOMINAZIONE_GIORNALE,BI67,DARE,"&gt;"&amp;0)),SUMIFS(AVERE,DENOMINAZIONE_GIORNALE,BI67,AVERE,"&gt;"&amp;0)-SUMIFS(DARE,DENOMINAZIONE_GIORNALE,BI67,DARE,"&gt;"&amp;0),0),"")</f>
        <v/>
      </c>
      <c r="BK67" s="259" t="str">
        <f ca="1">IF(IF(BJ67&lt;&gt;"",MAX($BK$2:BK66)+1,0)=0,"",IF(BJ67&lt;&gt;"",MAX($BK$2:BK66)+1,0))</f>
        <v/>
      </c>
      <c r="BL67" s="259" t="str">
        <f ca="1">IFERROR(INDEX($T$3:$U$220, MATCH(ROWS(BL$3:BL67),$V$3:$V$220,0),1),"")</f>
        <v/>
      </c>
      <c r="BM67" s="259" t="str">
        <f ca="1">IFERROR(INDEX($T$3:$U$220, MATCH(ROWS(BM$3:BM67),$V$3:$V$220,0),2),"")</f>
        <v/>
      </c>
      <c r="BN67" s="259" t="str">
        <f ca="1">IF(IFERROR(INDEX($BI$3:$BJ$220,MATCH(ROWS(BN$3:BN67),$BK$3:$BK$220,0),1),"")="PATRIMONIO NETTO","",IFERROR(INDEX($BI$3:$BJ$220,MATCH(ROWS(BN$3:BN67),$BK$3:$BK$220,0),1),""))</f>
        <v/>
      </c>
      <c r="BO67" s="259" t="str">
        <f ca="1">IFERROR(INDEX($BI$3:$BJ$220,MATCH(ROWS(BO$3:BO67),$BK$3:$BK$220,0),2),"")</f>
        <v/>
      </c>
      <c r="BP67" s="259">
        <f ca="1">IF(BN67&lt;&gt;"",MAX(BP$2:$BP66)+1,0)</f>
        <v>0</v>
      </c>
      <c r="BQ67" s="259" t="str">
        <f ca="1">IFERROR(INDEX($BN$3:$BO$200,MATCH(ROWS(BQ$3:BQ67),$BP$3:$BP$220,0),1),"")</f>
        <v/>
      </c>
      <c r="BR67" s="259" t="str">
        <f ca="1">IFERROR(INDEX($BN$3:$BO$220,MATCH(ROWS(BR$3:BR67),$BP$3:$BP$220,0),2),"")</f>
        <v/>
      </c>
      <c r="BS67" s="259" t="str">
        <f ca="1">IFERROR(IF(OR(INDEX($T$3:$U$220,MATCH(ROWS(BL$3:BL67),$V$3:$V$220,0),1)="PRELEVAMENTI EXTRAGESTIONE",INDEX($T$3:$U$220,MATCH(ROWS(BL$3:BL67),$V$3:$V$220,0),1)="TITOLARE C/RITENUTE SUBITE"),"",INDEX($T$3:$U$220,MATCH(ROWS(BL$3:BL67),$V$3:$V$220,0),1)),"")</f>
        <v/>
      </c>
      <c r="BT67" s="259">
        <f t="shared" ca="1" si="61"/>
        <v>0</v>
      </c>
      <c r="BU67" s="259">
        <f ca="1">IF(BS67&lt;&gt;"",MAX(BU$2:BU66)+1,0)</f>
        <v>0</v>
      </c>
      <c r="BV67" s="259" t="str">
        <f ca="1">IFERROR(INDEX($BS$3:$BT$223,MATCH(ROWS(BV$3:BV67),$BU$3:$BU$223,0),1),"")</f>
        <v/>
      </c>
      <c r="BW67" s="259">
        <f t="shared" ca="1" si="62"/>
        <v>0</v>
      </c>
      <c r="BX67" s="259" t="str">
        <f t="shared" ca="1" si="63"/>
        <v/>
      </c>
      <c r="BY67" s="259" t="str">
        <f t="shared" ca="1" si="64"/>
        <v/>
      </c>
      <c r="BZ67" s="259" t="str">
        <f ca="1">IFERROR(IF(OR($DS$231&lt;&gt;$DT$231,$DU$231&lt;&gt;$DV$231,$EO$25&lt;&gt;0,$EO$26&lt;&gt;0),INDEX($T$3:$V$220,MATCH(ROWS($BV$3:BV67),$V$3:$V$220,0),1),CONCATENATE(BV67,BY67)),"")</f>
        <v/>
      </c>
      <c r="CA67" s="259">
        <f t="shared" ca="1" si="65"/>
        <v>0</v>
      </c>
      <c r="CB67" s="259" t="str">
        <f ca="1">IFERROR(IF(OR($BB$1&lt;&gt;$BD$1,$BC$1&lt;&gt;$BE$1,$DS$231&lt;&gt;$DT$231,$DU$231&lt;&gt;$DV$231,$EO$25&lt;&gt;0,$EO$26&lt;&gt;0),INDEX($BI$3:$BK$220,MATCH(ROWS($CB$3:CB67),$BK$3:$BK$220,0),1),CONCATENATE(BQ67,BX67)),"")</f>
        <v/>
      </c>
      <c r="CC67" s="259" t="str">
        <f t="shared" ca="1" si="66"/>
        <v/>
      </c>
      <c r="CD67" s="259" t="str">
        <f t="shared" ref="CD67:CD130" si="187">IF(INDEX(PIANO_DEI_CONTI,MATCH(AA67,DENOMINAZIONE,0),6)="SE DARE",AA67,"")</f>
        <v/>
      </c>
      <c r="CE67" s="259">
        <f ca="1">IF(IFERROR(MATCH(CD67,DENOMINAZIONE_GIORNALE,0),0)&gt;0,MAX(CE$2:CE66)+1,0)</f>
        <v>0</v>
      </c>
      <c r="CF67" s="259" t="str">
        <f ca="1">IFERROR(INDEX($CD$3:$CE$220,MATCH(ROWS($CF$3:CF67),$CE$3:$CE$220,0),1),"")</f>
        <v/>
      </c>
      <c r="CG67" s="259">
        <f t="shared" ref="CG67:CG130" ca="1" si="188">IF(AND(INDEX(PIANO_DEI_CONTI,MATCH(CF67,DENOMINAZIONE,0),6)="SE DARE",SUMIFS(DARE,DENOMINAZIONE_GIORNALE,CF67)&gt;SUMIFS(AVERE,DENOMINAZIONE_GIORNALE,CF67)),SUMIFS(DARE,DENOMINAZIONE_GIORNALE,CF67)-SUMIFS(AVERE,DENOMINAZIONE_GIORNALE,CF67),0)</f>
        <v>0</v>
      </c>
      <c r="CH67" s="259" t="str">
        <f ca="1">IF(IF(CG67&lt;&gt;0,MAX($CH$2:CH66)+1,0)=0,"",IF(CG67&lt;&gt;"",MAX($CH$2:CH66)+1,0))</f>
        <v/>
      </c>
      <c r="CI67" s="259" t="str">
        <f ca="1">IFERROR(INDEX($CF$3:$CG$220,MATCH(ROWS($CI$3:CI67),$CH$3:$CH$220,0),1),"")</f>
        <v/>
      </c>
      <c r="CJ67" s="259" t="str">
        <f t="shared" ca="1" si="67"/>
        <v/>
      </c>
      <c r="CK67" s="259" t="str">
        <f t="shared" ref="CK67:CK130" si="189">IF(INDEX(PIANO_DEI_CONTI,MATCH(AA67,DENOMINAZIONE,0),6)="SE AVERE",AA67,"")</f>
        <v/>
      </c>
      <c r="CL67" s="259">
        <f ca="1">IF(IFERROR(MATCH(CK67,DENOMINAZIONE_GIORNALE,0),0)&gt;0,MAX(CL$2:CL66)+1,0)</f>
        <v>0</v>
      </c>
      <c r="CM67" s="259" t="str">
        <f ca="1">IFERROR(INDEX($CK$3:$CL$220,MATCH(ROWS($CM$3:CM67),$CL$3:$CL$220,0),1),"")</f>
        <v/>
      </c>
      <c r="CN67" s="259" t="str">
        <f t="shared" ref="CN67:CN130" ca="1" si="190">IF(AND(INDEX(PIANO_DEI_CONTI,MATCH(CM67,DENOMINAZIONE,0),6)="SE AVERE",SUMIFS(AVERE,DENOMINAZIONE_GIORNALE,CM67,DATA,"&gt;="&amp;$CX$1)&gt;SUMIFS(DARE,DENOMINAZIONE_GIORNALE,CM67)),SUMIFS(AVERE,DENOMINAZIONE_GIORNALE,CM67)-SUMIFS(DARE,DENOMINAZIONE_GIORNALE,CM67),"")</f>
        <v/>
      </c>
      <c r="CO67" s="259">
        <f ca="1">IF(IF(CN67&lt;&gt;0,MAX($CO$2:CO66)+1,0)=0,"",IF(CN67&lt;&gt;"",MAX($CO$2:CO66)+1,0))</f>
        <v>0</v>
      </c>
      <c r="CP67" s="259" t="str">
        <f ca="1">IFERROR(INDEX($CM$3:$CN$220,MATCH(ROWS(CP$3:CP67),$CO$3:$CO$220,0),1),"")</f>
        <v/>
      </c>
      <c r="CQ67" s="259" t="str">
        <f ca="1">IFERROR(INDEX($CM$3:$CN$220,MATCH(ROWS(CQ$3:CQ67),$CO$3:$CO$220,0),2),"")</f>
        <v/>
      </c>
      <c r="CR67" s="259" t="str">
        <f t="shared" ref="CR67:CR100" ca="1" si="191">IF($EV$1&gt;0,"",IF($EO$1=TRUE,SUBSTITUTE(IF(OR($BX$1=0,$BB$1&lt;&gt;$BD$1,$BC$1&lt;&gt;$BE$1,$DS$232&lt;&gt;$DT$232,$EO$25&lt;&gt;0,$EO$26&lt;&gt;0),"",IFERROR(IF(AND(MATCH($BP$1,DENOMINAZIONE_GIORNALE,0)&gt;0,$DU$231=$DV$231,$DS$231=$DT$231),IF(AND($CP$1&gt;$CM$1,$CP$2&gt;$CM$2,(ROW()-2)=$CP$2+3),"TOTALE COSTI",IF(AND($CP$1&gt;$CM$1,$CM$2&gt;=$CP$2,(ROW()-2)=$CM$2+3),"TOTALE COSTI",IF(AND($CP$1&lt;$CM$1,$CP$2&gt;=$CM$2,(ROW()-2)=$CP$2+1),"TOTALE COSTI",IF(AND($CP$1&lt;$CM$1,$CP$2&lt;$CM$2,ROW()-2=$CM$2+1),"TOTALE COSTI",IF(AND($CP$1=$CM$1,$DU$231=$DV$231,OR($CM$2&gt;0,$CP$2&gt;0),(ROW()-2)=MAX($CP$2,$CM$2)+1),"TOTALE COSTI",IF(AND($CM$1&gt;$CP$1,$CP$2&gt;$CM$2,(ROW()-2)=$CP$2+2),"SALDO ECONOMICO POSITIVO",IF(AND($CM$1&gt;$CP$1,$CM$2&gt;=$CP$2,(ROW()-2)=$CM$2+2),"SALDO ECONOMICO POSITIVO",IF(AND($CM$1&gt;$CP$1,$CP$2&gt;$CM$2,(ROW()-2)=$CP$2+3),"TOTALE A PAREGGIO",IF(AND($CM$1&gt;$CP$1,$CM$2&gt;=$CP$2,(ROW()-2)=$CM$2+3),"TOTALE A PAREGGIO",""))))))))),""),"")),"SALDO ECONOMICO POSITIVO","UTILE D'ESERCIZIO"),IF(OR($BX$1=0,$BB$1&lt;&gt;$BD$1,$BC$1&lt;&gt;$BE$1,$DS$232&lt;&gt;$DT$232,$EO$25&lt;&gt;0,$EO$26&lt;&gt;0),"",IFERROR(IF(AND(MATCH($BP$1,DENOMINAZIONE_GIORNALE,0)&gt;0,$DU$231=$DV$231,$DS$231=$DT$231),IF(AND($CP$1&gt;$CM$1,$CP$2&gt;$CM$2,(ROW()-2)=$CP$2+3),"TOTALE COSTI",IF(AND($CP$1&gt;$CM$1,$CM$2&gt;=$CP$2,(ROW()-2)=$CM$2+3),"TOTALE COSTI",IF(AND($CP$1&lt;$CM$1,$CP$2&gt;=$CM$2,(ROW()-2)=$CP$2+1),"TOTALE COSTI",IF(AND($CP$1&lt;$CM$1,$CP$2&lt;$CM$2,ROW()-2=$CM$2+1),"TOTALE COSTI",IF(AND($CP$1=$CM$1,$DU$231=$DV$231,OR($CM$2&gt;0,$CP$2&gt;0),(ROW()-2)=MAX($CP$2,$CM$2)+1),"TOTALE COSTI",IF(AND($CM$1&gt;$CP$1,$CP$2&gt;$CM$2,(ROW()-2)=$CP$2+2),"SALDO ECONOMICO POSITIVO",IF(AND($CM$1&gt;$CP$1,$CM$2&gt;=$CP$2,(ROW()-2)=$CM$2+2),"SALDO ECONOMICO POSITIVO",IF(AND($CM$1&gt;$CP$1,$CP$2&gt;$CM$2,(ROW()-2)=$CP$2+3),"TOTALE A PAREGGIO",IF(AND($CM$1&gt;$CP$1,$CM$2&gt;=$CP$2,(ROW()-2)=$CM$2+3),"TOTALE A PAREGGIO",""))))))))),""),""))))</f>
        <v/>
      </c>
      <c r="CS67" s="259">
        <f t="shared" ref="CS67:CS130" ca="1" si="192">SUMIFS(DARE,DENOMINAZIONE_GIORNALE,AA67,DARE,"&gt;"&amp;0)</f>
        <v>0</v>
      </c>
      <c r="CT67" s="259">
        <f t="shared" ref="CT67:CT130" ca="1" si="193">SUMIFS(AVERE,DENOMINAZIONE_GIORNALE,AA67,AVERE,"&gt;"&amp;0)</f>
        <v>0</v>
      </c>
      <c r="CU67" s="259">
        <f ca="1">IF(OR(CS67&gt;0,CT67&gt;0),MAX($CU$2:CU66)+1,0)</f>
        <v>0</v>
      </c>
      <c r="CV67" s="259" t="str">
        <f ca="1">IFERROR(INDEX(PIANO_DEI_CONTI,MATCH(ROWS($CV$3:CV67),$CU$3:$CU$200,0),2),"")</f>
        <v/>
      </c>
      <c r="CW67" s="259">
        <f ca="1">IFERROR(IF(CV67&lt;&gt;"",MAX($CW$2:CW66)+1,0),0)</f>
        <v>0</v>
      </c>
      <c r="CX67" s="259">
        <f t="shared" ca="1" si="174"/>
        <v>4</v>
      </c>
      <c r="CY67" s="259" t="str">
        <f t="shared" ca="1" si="161"/>
        <v>MASTRO</v>
      </c>
      <c r="CZ67" s="259" t="e">
        <f t="shared" ca="1" si="176"/>
        <v>#N/A</v>
      </c>
      <c r="DA67" s="259" t="str">
        <f t="shared" ca="1" si="181"/>
        <v/>
      </c>
      <c r="DB67" s="259" t="str">
        <f t="shared" ca="1" si="177"/>
        <v/>
      </c>
      <c r="DC67" s="259" t="str">
        <f t="shared" ca="1" si="178"/>
        <v/>
      </c>
      <c r="DD67" s="259" t="str">
        <f t="shared" ca="1" si="179"/>
        <v/>
      </c>
      <c r="DE67" s="259" t="str">
        <f t="shared" ca="1" si="180"/>
        <v/>
      </c>
      <c r="DF67" s="259">
        <f ca="1">IF(AND(CX67=$DE$2,$DF$2&lt;&gt;0),0,IF(AND(DB67&lt;&gt;"",OR(DB66&lt;&gt;"",DB68&lt;&gt;"")),MAX($DF$2:DF66)+1,0))</f>
        <v>0</v>
      </c>
      <c r="DG67" s="259" t="str">
        <f>IF(OR(VALORI_INIZIALI!E72="",AND(VALORI_INIZIALI!E72&lt;&gt;"",VALORI_INIZIALI!H72=0,VALORI_INIZIALI!I72=0)),"",IFERROR(INDEX(PIANO_DEI_CONTI,MATCH(BB67,DENOMINAZIONE,0),1),0))</f>
        <v/>
      </c>
      <c r="DH67" s="259">
        <f ca="1">IFERROR(IF($J$1=1,IF(INDEX(PIANO_DEI_CONTI,MATCH($K67,DENOMINAZIONE,0),5)=$DF$1,MAX($DH$2:DH66)+1,0),IF($J$1=2,IF(INDEX(PIANO_DEI_CONTI,MATCH($K67,DENOMINAZIONE,0),7)=$DF$1,MAX($DH$2:DH66)+1,0))),0)</f>
        <v>0</v>
      </c>
      <c r="DI67" s="259">
        <f ca="1">IFERROR(INDEX($K$3:$K$220,MATCH(ROWS($DI$3:DI67),$DH$3:$DH$220,0),1),0)</f>
        <v>0</v>
      </c>
      <c r="DJ67" s="259">
        <f t="shared" ref="DJ67:DJ130" ca="1" si="194">IF(IFERROR(MATCH(AA67,DENOMINAZIONE_GIORNALE,0),0)&lt;&gt;0,ROW()-2,0)</f>
        <v>0</v>
      </c>
      <c r="DK67" s="259">
        <f ca="1">IF(DJ67=0,0,MAX(DK$2:DK66)+1)</f>
        <v>0</v>
      </c>
      <c r="DL67" s="259">
        <f ca="1">IFERROR(INDEX(PIANO_DEI_CONTI,MATCH(ROWS(DL$3:DL67),$DK$3:DK294,0),2),0)</f>
        <v>0</v>
      </c>
      <c r="DM67" s="259">
        <f t="shared" ref="DM67:DM130" ca="1" si="195">IFERROR(IF(AND(INDEX(PIANO_DEI_CONTI,MATCH($DL67,DENOMINAZIONE,0),4)="D",SUMIFS(DARE,DENOMINAZIONE_GIORNALE,$DL67)&gt;=SUMIFS(AVERE,DENOMINAZIONE_GIORNALE,$DL67)),SUMIFS(DARE,DENOMINAZIONE_GIORNALE,$DL67),IF(AND(INDEX(PIANO_DEI_CONTI,MATCH($DL67,DENOMINAZIONE,0),4)="A",SUMIFS(AVERE,DENOMINAZIONE_GIORNALE,$DL67)&gt;=SUMIFS(DARE,DENOMINAZIONE_GIORNALE,$DL67)),SUMIFS(DARE,DENOMINAZIONE_GIORNALE,$DL67),IF(INDEX(PIANO_DEI_CONTI,MATCH($DL67,DENOMINAZIONE,0),4)="D/A",SUMIFS(DARE,DENOMINAZIONE_GIORNALE,$DL67),0))),0)</f>
        <v>0</v>
      </c>
      <c r="DN67" s="259">
        <f t="shared" ref="DN67:DN130" ca="1" si="196">IFERROR(IF(AND(INDEX(PIANO_DEI_CONTI,MATCH($DL67,DENOMINAZIONE,0),4)="D",SUMIFS(DARE,DENOMINAZIONE_GIORNALE,$DL67)&gt;=SUMIFS(AVERE,DENOMINAZIONE_GIORNALE,$DL67)),SUMIFS(AVERE,DENOMINAZIONE_GIORNALE,$DL67),IF(AND(INDEX(PIANO_DEI_CONTI,MATCH($DL67,DENOMINAZIONE,0),4)="A",SUMIFS(AVERE,DENOMINAZIONE_GIORNALE,$DL67)&gt;=SUMIFS(DARE,DENOMINAZIONE_GIORNALE,$DL67)),SUMIFS(AVERE,DENOMINAZIONE_GIORNALE,$DL67),IF(INDEX(PIANO_DEI_CONTI,MATCH($DL67,DENOMINAZIONE,0),4)="D/A",SUMIFS(AVERE,DENOMINAZIONE_GIORNALE,$DL67),0))),0)</f>
        <v>0</v>
      </c>
      <c r="DO67" s="259">
        <f t="shared" ca="1" si="69"/>
        <v>0</v>
      </c>
      <c r="DP67" s="259">
        <f t="shared" ca="1" si="70"/>
        <v>0</v>
      </c>
      <c r="DQ67" s="259">
        <f ca="1">IF(OR($DQ$1="TOTALI",$DQ$1="TOTALI ED ECCEDENZE"),IF(OR(DM67&gt;0,DN67&gt;0),MAX(DQ$2:DQ66)+1,0),IF($DQ$1="ECCEDENZE",IF(OR(DO67&gt;0,DP67&gt;0),MAX(DQ$2:DQ66)+1,0),""))</f>
        <v>0</v>
      </c>
      <c r="DR67" s="259" t="str">
        <f ca="1">IFERROR(INDEX($DL$3:$DQ$230,MATCH(ROWS(DR$3:DR67),$DQ$3:$DQ$230,0),1),"")</f>
        <v/>
      </c>
      <c r="DS67" s="259" t="str">
        <f t="shared" ca="1" si="71"/>
        <v/>
      </c>
      <c r="DT67" s="259" t="str">
        <f t="shared" ca="1" si="72"/>
        <v/>
      </c>
      <c r="DU67" s="259" t="str">
        <f t="shared" ca="1" si="73"/>
        <v/>
      </c>
      <c r="DV67" s="259" t="str">
        <f t="shared" ca="1" si="74"/>
        <v/>
      </c>
      <c r="DW67" s="259">
        <f t="shared" ca="1" si="75"/>
        <v>0</v>
      </c>
      <c r="DX67" s="259" t="str">
        <f t="shared" ca="1" si="76"/>
        <v/>
      </c>
      <c r="DY67" s="259" t="str">
        <f t="shared" ca="1" si="77"/>
        <v/>
      </c>
      <c r="DZ67" s="259" t="str">
        <f t="shared" ca="1" si="78"/>
        <v/>
      </c>
      <c r="EA67" s="259">
        <f t="shared" ca="1" si="79"/>
        <v>65</v>
      </c>
      <c r="EB67" s="259" t="s">
        <v>361</v>
      </c>
      <c r="ED67" s="259">
        <f t="shared" ref="ED67:ED130" ca="1" si="197">IFERROR(INDEX(PIANO_DEI_CONTI,MATCH(BB67,DENOMINAZIONE,0),5),"")</f>
        <v>0</v>
      </c>
      <c r="EE67" s="259" t="str">
        <f t="shared" ref="EE67:EE100" ca="1" si="198">IF($EV$1&gt;0,"",IF(AND(IF(OR($BX$1=0,$BB$1&lt;&gt;$BD$1,$BC$1&lt;&gt;$BE$1,$DS$232&lt;&gt;$DT$232,$EO$25&lt;&gt;0,$EO$26&lt;&gt;0)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RICAVI",IF(AND($DU$231=$DV$231,$CP$1=$CM$1,OR($CM$2&gt;0,$CP$2&gt;0),(ROW()-2)=MAX($CM$2,$CP$2)+1),"TOTALE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RICAVI","")))))))))),""),""))="SALDO ECONOMICO NEGATIVO",$EO$1=TRUE),SUBSTITUTE(IF($DS$232&lt;&gt;$DT$232,"",IFERROR(IF(AND(MATCH($BP$1,DENOMINAZIONE_GIORNALE,0)&gt;0,$DU$231=$DV$231,$DS$231=$DT$231),IF(AND($CP$1&gt;$CM$1,$CP$2&gt;$CM$2,(ROW()-2)=$CP$2+3),"TOTALE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RICAVI",IF(AND($DU$231=$DV$231,$CP$1=$CM$1,OR($CM$2&gt;0,$CP$2&gt;0),(ROW()-2)=MAX($CP$2,$CM$2)+1),"TOTALE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RICAVI","")))))))))),""),"")),"SALDO ECONOMICO NEGATIVO","PERDITA D'ESERCIZIO"),IF(OR($BX$1=0,$BB$1&lt;&gt;$BD$1,$BC$1&lt;&gt;$BE$1,$DS$232&lt;&gt;$DT$232,$EO$25&lt;&gt;0,$EO$26&lt;&gt;0),"",IFERROR(IF(AND(MATCH($BP$1,DENOMINAZIONE_GIORNALE,0)&gt;0,$DU$231=$DV$231,$DS$231=$DT$231),IF(AND($CP$1&gt;$CM$1,$CP$2&gt;$CM$2,(ROW()-2)=$CP$2+3),"TOTALE A PAREGGIO",IF(AND($CP$1&gt;$CM$1,$CM$2&gt;=$CP$2,(ROW()-2)=$CM$2+3),"TOTALE A PAREGGIO",IF(AND($CP$1&gt;$CM$1,$CM$2&gt;=$CP$2,(ROW()-2)=$CM$2+1),"TOTALE RICAVI",IF(AND($CP$1&gt;$CM$1,$CP$2&gt;=$CM$2,(ROW()-2)=$CP$2+1),"TOTALE RICAVI",IF(AND($CP$1&gt;$CM$1,$CP$2&lt;$CM$2,ROW()-2=$CM$2+3),"TOTALE RICAVI",IF(AND($DU$231=$DV$231,$CP$1=$CM$1,OR($CM$2&gt;0,$CP$2&gt;0),(ROW()-2)=MAX($CP$2,$CM$2)+1),"TOTALE RICAVI",IF(AND($CM$1&lt;$CP$1,$CP$2&gt;$CM$2,(ROW()-2)=$CP$2+2),"SALDO ECONOMICO NEGATIVO",IF(AND($CM$1&lt;$CP$1,$CM$2&gt;=$CP$2,(ROW()-2)=$CM$2+2),"SALDO ECONOMICO NEGATIVO",IF(AND($CM$1&gt;$CP$1,$CP$2&gt;$CM$2,(ROW()-2)=$CP$2+3),"TOTALE RICAVI",IF(AND($CM$1&gt;$CP$1,$CM$2&gt;=$CP$2,(ROW()-2)=$CM$2+3),"TOTALE RICAVI","")))))))))),""),""))))</f>
        <v/>
      </c>
      <c r="EF67" s="259" t="str">
        <f t="shared" ref="EF67:EF100" ca="1" si="199">IF(EE67="TOTALE RICAVI",$CM$1,IF(EE67="PERDITA D'ESERCIZIO",$CP$1-$CM$1,IF(EE67="SALDO ECONOMICO NEGATIVO",$CP$1-$CM$1,IF(EE67="TOTALE A PAREGGIO",$CP$1,""))))</f>
        <v/>
      </c>
      <c r="EG67" s="259" t="str">
        <f t="shared" ca="1" si="136"/>
        <v/>
      </c>
      <c r="EH67" s="259" t="str">
        <f t="shared" ca="1" si="80"/>
        <v/>
      </c>
      <c r="EI67" s="260" t="b">
        <f t="shared" ca="1" si="137"/>
        <v>1</v>
      </c>
      <c r="EJ67" s="260" t="b">
        <f t="shared" ca="1" si="138"/>
        <v>1</v>
      </c>
      <c r="EK67" s="260" t="b">
        <f t="shared" ca="1" si="139"/>
        <v>1</v>
      </c>
      <c r="EL67" s="259">
        <f t="shared" si="81"/>
        <v>65</v>
      </c>
      <c r="EM67" s="259">
        <f ca="1">IF(AND(BA67&gt;0,BA67&lt;=$EM$1),MAX($EM$2:EM66)+1,0)</f>
        <v>0</v>
      </c>
      <c r="EN67" s="259">
        <f t="shared" ca="1" si="82"/>
        <v>67</v>
      </c>
      <c r="EP67" s="259" t="str">
        <f t="shared" ref="EP67:EP130" ca="1" si="200">IFERROR(INDEX(PIANO_DEI_CONTI,MATCH(EZ67,DENOMINAZIONE,0),7),"")</f>
        <v/>
      </c>
      <c r="EQ67" s="259">
        <f t="shared" ref="EQ67:EQ130" ca="1" si="201">IF(AND(EZ67&lt;&gt;0,EY67&lt;=FINE_AC),INDEX(PIANO_DEI_CONTI,MATCH(EZ67,DENOMINAZIONE,0),1),0)</f>
        <v>0</v>
      </c>
      <c r="ER67" s="259">
        <f ca="1">IF(ISNA(EQ67),MAX(ER$2:ER66)+1,0)</f>
        <v>0</v>
      </c>
      <c r="ES67" s="259" t="str">
        <f t="shared" ca="1" si="83"/>
        <v/>
      </c>
      <c r="ET67" s="259" t="str">
        <f ca="1">IFERROR(UPPER(INDEX($ER$3:$ES$500,MATCH(ROWS(ET$3:ET67),$ER$3:$ER$500,0),2)),"")</f>
        <v/>
      </c>
      <c r="EY67" s="259">
        <f t="shared" ca="1" si="84"/>
        <v>0</v>
      </c>
      <c r="EZ67" s="259">
        <f t="shared" ca="1" si="84"/>
        <v>0</v>
      </c>
      <c r="FA67" s="259" t="str">
        <f t="shared" ca="1" si="85"/>
        <v/>
      </c>
      <c r="FB67" s="259">
        <f t="shared" ca="1" si="86"/>
        <v>0</v>
      </c>
      <c r="FC67" s="259">
        <f t="shared" ca="1" si="87"/>
        <v>0</v>
      </c>
      <c r="FD67" s="259">
        <f t="shared" ref="FD67:FD130" ca="1" si="202">IFERROR(INDEX(PIANO_DEI_CONTI,MATCH(EZ67,DENOMINAZIONE,0),6),"")</f>
        <v>0</v>
      </c>
      <c r="FE67" s="259" t="str">
        <f t="shared" ref="FE67:FE130" ca="1" si="203">IFERROR(IF(EZ67&lt;&gt;0,INDEX(PIANO_DEI_CONTI,MATCH(EZ67,DENOMINAZIONE,0),1),""),"")</f>
        <v/>
      </c>
      <c r="FF67" s="259" t="str">
        <f t="shared" ca="1" si="88"/>
        <v/>
      </c>
      <c r="FG67" s="259" t="str">
        <f t="shared" si="89"/>
        <v>BANCHE C/ANTICIPI SU FATTURE</v>
      </c>
      <c r="FH67" s="259">
        <f t="shared" ca="1" si="156"/>
        <v>0</v>
      </c>
      <c r="FI67" s="259">
        <f t="shared" ref="FI67:FI120" ca="1" si="204">IFERROR(IF(AND(INDEX(PIANO_DEI_CONTI,MATCH($FG67,DENOMINAZIONE,0),4)="D",SUMIFS(dare_grezzo,den_grezzo,$FG67,data_grezzo,"&lt;"&amp;INIZIO_AC,data_grezzo,"&gt;="&amp;INIZIO_A_PC)&gt;=SUMIFS(avere_grezzo,den_grezzo,$FG67,data_grezzo,"&lt;"&amp;INIZIO_AC,data_grezzo,"&gt;="&amp;INIZIO_A_PC)),SUMIFS(avere_grezzo,den_grezzo,$FG67,data_grezzo,"&lt;"&amp;INIZIO_AC,data_grezzo,"&gt;="&amp;INIZIO_A_PC),IF(AND(INDEX(PIANO_DEI_CONTI,MATCH($FG67,DENOMINAZIONE,0),4)="A",SUMIFS(avere_grezzo,den_grezzo,$FG67,data_grezzo,"&lt;"&amp;INIZIO_AC,data_grezzo,"&gt;="&amp;INIZIO_A_PC)&gt;=SUMIFS(dare_grezzo,den_grezzo,$FG67,data_grezzo,"&lt;"&amp;INIZIO_AC,data_grezzo,"&gt;="&amp;INIZIO_A_PC)),SUMIFS(avere_grezzo,den_grezzo,$FG67,data_grezzo,"&lt;"&amp;INIZIO_AC,data_grezzo,"&gt;="&amp;INIZIO_A_PC),IF(INDEX(PIANO_DEI_CONTI,MATCH($FG67,DENOMINAZIONE,0),4)="D/A",SUMIFS(avere_grezzo,den_grezzo,$FG67,data_grezzo,"&lt;"&amp;INIZIO_AC,data_grezzo,"&gt;="&amp;INIZIO_A_PC),0))),0)</f>
        <v>0</v>
      </c>
      <c r="FJ67" s="259">
        <f t="shared" ca="1" si="90"/>
        <v>0</v>
      </c>
      <c r="FK67" s="259">
        <f t="shared" ca="1" si="91"/>
        <v>0</v>
      </c>
      <c r="FL67" s="259">
        <f ca="1">IF(OR(FJ67&gt;0,FK67&gt;0),MAX($FL$2:FL66)+1,0)</f>
        <v>0</v>
      </c>
      <c r="FM67" s="259">
        <f t="shared" ref="FM67:FM130" ca="1" si="205">IF(AND(AC67="d",AE67="SP DARE"),SUMIFS(dare_grezzo,den_grezzo,AA67,data_grezzo,"&lt;="&amp;FINE_AC,data_grezzo,"&gt;="&amp;INIZIO_A_PC)-SUMIFS(avere_grezzo,den_grezzo,AA67,data_grezzo,"&lt;="&amp;FINE_AC,data_grezzo,"&gt;="&amp;INIZIO_A_PC),IF(AND(AC67="a",AE67="SP AVERE"),SUMIFS(avere_grezzo,den_grezzo,AA67,data_grezzo,"&lt;="&amp;FINE_AC,data_grezzo,"&gt;="&amp;INIZIO_A_PC)-SUMIFS(dare_grezzo,den_grezzo,AA67,data_grezzo,"&lt;="&amp;FINE_AC,data_grezzo,"&gt;="&amp;INIZIO_A_PC),IF(AND(AC67="d",AE67="SE DARE"),SUMIFS(dare_grezzo,den_grezzo,AA67,data_grezzo,"&lt;="&amp;FINE_AC,data_grezzo,"&gt;="&amp;INIZIO_A_PC)-SUMIFS(avere_grezzo,den_grezzo,AA67,data_grezzo,"&lt;="&amp;FINE_AC,data_grezzo,"&gt;="&amp;INIZIO_A_PC),IF(AND(AC67="a",AE67="SE AVERE"),SUMIFS(avere_grezzo,den_grezzo,AA67,data_grezzo,"&lt;="&amp;FINE_AC,data_grezzo,"&gt;="&amp;INIZIO_A_PC)-SUMIFS(dare_grezzo,den_grezzo,AA67,data_grezzo,"&lt;="&amp;FINE_AC,data_grezzo,"&gt;="&amp;INIZIO_A_PC),0))))</f>
        <v>0</v>
      </c>
      <c r="FN67" s="259">
        <f ca="1">IF(FM67&lt;0,MAX($FN$2:FN66)+1,0)</f>
        <v>0</v>
      </c>
      <c r="FO67" s="259" t="str">
        <f t="shared" ca="1" si="92"/>
        <v/>
      </c>
      <c r="FP67" s="259" t="str">
        <f ca="1">IFERROR(INDEX($FN$3:$FO$400,MATCH(ROWS($FP$3:FP67),$FN$3:$FN$400,0),2),"")</f>
        <v/>
      </c>
      <c r="FQ67" s="259" t="str">
        <f>IF(AE67="SE AVERE",MAX($FQ$2:FQ66)+1,"")</f>
        <v/>
      </c>
      <c r="FR67" s="259" t="str">
        <f>IF(AE67="SE DARE",MAX($FR$2:FR66)+1,"")</f>
        <v/>
      </c>
      <c r="FS67" s="259" t="str">
        <f ca="1">IF(AND(AE67="SP DARE",AA67&lt;&gt;$FS$1,AA67&lt;&gt;$FT$1),MAX($FS$2:FS66)+1,IF(AND(GQ67="SP DARE",AA67&lt;&gt;$FS$1,AA67&lt;&gt;$FT$1),MAX($FS$2:FS66)+1,""))</f>
        <v/>
      </c>
      <c r="FT67" s="259">
        <f ca="1">IF(AND(AE67="SP AVERE",AA67&lt;&gt;$FU$1),MAX($FT$2:FT66)+1,IF(AND(GQ67="SP AVERE",AA67&lt;&gt;$FU$1),MAX($FT$2:FT66)+1,""))</f>
        <v>149</v>
      </c>
      <c r="FU67" s="259">
        <f t="shared" ca="1" si="93"/>
        <v>149</v>
      </c>
      <c r="FV67" s="259" t="str">
        <f t="shared" si="94"/>
        <v>BANCHE C/ANTICIPI SU FATTURE</v>
      </c>
      <c r="FW67" s="259" t="str">
        <f ca="1">IFERROR(INDEX($FU$3:$FV$500,MATCH(ROWS($FW$3:FW67),$FU$3:$FU$500,0),2),0)</f>
        <v>ARROTONDAMENTI PASSIVI</v>
      </c>
      <c r="FX67" s="259">
        <f t="shared" ca="1" si="95"/>
        <v>65</v>
      </c>
      <c r="FY67" s="259">
        <f t="shared" ca="1" si="96"/>
        <v>0</v>
      </c>
      <c r="FZ67" s="259">
        <f ca="1">IF(FY67&gt;0,MAX($FZ$2:FZ66)+1,0)</f>
        <v>0</v>
      </c>
      <c r="GA67" s="259">
        <f ca="1">IFERROR(INDEX($FY$3:$FZ$500,MATCH(ROWS($GA$3:GA67),$FZ$3:$FZ$500,0),1),0)</f>
        <v>0</v>
      </c>
      <c r="GC67" s="259">
        <f t="shared" ca="1" si="97"/>
        <v>65</v>
      </c>
      <c r="GD67" s="259" t="str">
        <f t="shared" ca="1" si="98"/>
        <v>ARROTONDAMENTI PASSIVI</v>
      </c>
      <c r="GG67" s="259">
        <f t="shared" ca="1" si="27"/>
        <v>0</v>
      </c>
      <c r="GH67" s="259">
        <f t="shared" ca="1" si="99"/>
        <v>0</v>
      </c>
      <c r="GI67" s="259">
        <f t="shared" ca="1" si="100"/>
        <v>0</v>
      </c>
      <c r="GJ67" s="259">
        <f t="shared" ca="1" si="101"/>
        <v>0</v>
      </c>
      <c r="GK67" s="259">
        <f t="shared" ca="1" si="102"/>
        <v>0</v>
      </c>
      <c r="GL67" s="259">
        <f t="shared" ca="1" si="103"/>
        <v>0</v>
      </c>
      <c r="GM67" s="259">
        <f ca="1">IF(OR(GK67&gt;0,GL67&gt;0),MAX($GM$2:GM66)+1,0)</f>
        <v>0</v>
      </c>
      <c r="GN67" s="259" t="str">
        <f ca="1">IFERROR(INDEX($GD$3:$GM$400,MATCH(ROWS($GN$3:GN67),$GM$3:$GM$400,0),1),"")</f>
        <v/>
      </c>
      <c r="GO67" s="259" t="str">
        <f ca="1">IFERROR(INDEX($GD$3:$GM$400,MATCH(ROWS($GO$3:GO67),$GM$3:$GM$400,0),8),"")</f>
        <v/>
      </c>
      <c r="GP67" s="259" t="str">
        <f ca="1">IFERROR(INDEX($GD$3:$GM$400,MATCH(ROWS($GP$3:GP67),$GM$3:$GM$400,0),9),"")</f>
        <v/>
      </c>
      <c r="GQ67" s="259">
        <f t="shared" ref="GQ67:GQ130" ca="1" si="206">IF(AND(AE67="sp dare/avere",SUMIFS(dare_grezzo,den_grezzo,"="&amp;AA67,data_grezzo,"&gt;="&amp;INIZIO_A_PC,data_grezzo,"&lt;="&amp;FINE_AC)&gt;SUMIFS(avere_grezzo,den_grezzo,"="&amp;AA67,data_grezzo,"&gt;="&amp;INIZIO_A_PC,data_grezzo,"&lt;="&amp;FINE_AC)),"SP DARE",IF(AND(AE67="sp dare/avere",SUMIFS(dare_grezzo,den_grezzo,"="&amp;AA67,data_grezzo,"&gt;="&amp;INIZIO_A_PC,data_grezzo,"&lt;="&amp;FINE_AC)&lt;SUMIFS(avere_grezzo,den_grezzo,"="&amp;AA67,data_grezzo,"&gt;="&amp;INIZIO_A_PC,data_grezzo,"&lt;="&amp;FINE_AC)),"SP AVERE",0))</f>
        <v>0</v>
      </c>
      <c r="GR67" s="259">
        <f t="shared" ca="1" si="104"/>
        <v>0</v>
      </c>
      <c r="GS67" s="259" t="str">
        <f t="shared" si="105"/>
        <v>epilogo a Conto economico</v>
      </c>
      <c r="GT67" s="259" t="str">
        <f ca="1">IFERROR(INDEX($GD$3:$GS$400,MATCH(ROWS($GT$3:GT67),$GM$3:$GM$400,0),16),"")</f>
        <v/>
      </c>
      <c r="GU67" s="259">
        <f ca="1">IF(GQ67&lt;&gt;0,MAX($GU$2:$GU66)+1,0)</f>
        <v>0</v>
      </c>
      <c r="GV67" s="259">
        <f t="shared" ca="1" si="106"/>
        <v>0</v>
      </c>
      <c r="GW67" s="259" t="str">
        <f ca="1">IF(AND(IFERROR(INDEX($GU$3:$GV$400,MATCH(ROWS($GW$3:GW67),$GU$3:$GU$400,0),2),"")&lt;&gt;"",GW68&lt;&gt;""),CONCATENATE(IFERROR(INDEX($GU$3:$GV$400,MATCH(ROWS($GW$3:GW67),$GU$3:$GU$400,0),2),"")," - "),IFERROR(INDEX($GU$3:$GV$400,MATCH(ROWS($GW$3:GW67),$GU$3:$GU$400,0),2),""))</f>
        <v/>
      </c>
      <c r="GX67" s="259">
        <f ca="1">IF(OR(GN67="IVA NS/CREDITO",GN67="IVA NS/DEBITO",GN67="IVA C/ACCONTO",GN67="IMPOSTE C/ACCONTO"),MAX($GX$2:GX66)+1,0)</f>
        <v>0</v>
      </c>
      <c r="GY67" s="259" t="str">
        <f ca="1">IF(AND(IFERROR(INDEX($GN$3:$GX$200,MATCH(ROWS($GY$3:GY67),$GX$3:$GX$200,0),1),"")&lt;&gt;"",GY68&lt;&gt;""),CONCATENATE(IFERROR(INDEX($GN$3:$GX$200,MATCH(ROWS($GY$3:GY67),$GX$3:$GX$200,0),1),"")," - "),IFERROR(INDEX($GN$3:$GX$200,MATCH(ROWS($GY$3:GY67),$GX$3:$GX$200,0),1),""))</f>
        <v/>
      </c>
      <c r="GZ67" s="259" t="s">
        <v>90</v>
      </c>
      <c r="HA67" s="259" t="s">
        <v>86</v>
      </c>
      <c r="HB67" s="269" t="s">
        <v>256</v>
      </c>
      <c r="HC67" s="269" t="s">
        <v>276</v>
      </c>
      <c r="HD67" s="269" t="s">
        <v>4</v>
      </c>
      <c r="HE67" s="269" t="s">
        <v>206</v>
      </c>
      <c r="HL67" s="259" t="str">
        <f t="shared" ref="HL67:HL102" ca="1" si="207">IFERROR(IF(INDEX(PIANO_DEI_CONTI,MATCH($BB67,DENOMINAZIONE,0),6)="SP dare",$BB67,IF(AND(INDEX(PIANO_DEI_CONTI,MATCH($BB67,DENOMINAZIONE,0),6)="SP DARE/AVERE",$BD67&gt;=$BE67),$BB67,"")),"")</f>
        <v/>
      </c>
      <c r="HM67" s="259" t="str">
        <f t="shared" ref="HM67:HM102" ca="1" si="208">IFERROR(IF(AND(INDEX(PIANO_DEI_CONTI,MATCH($BB67,DENOMINAZIONE,0),6)="SP AVERE",$BB67&lt;&gt;"PATRIMONIO NETTO"),$BB67,IF(AND(INDEX(PIANO_DEI_CONTI,MATCH($BB67,DENOMINAZIONE,0),6)="SP DARE/AVERE",$BD67&lt;=$BE67),$BB67,"")),"")</f>
        <v/>
      </c>
      <c r="HN67" s="259" t="str">
        <f t="shared" ref="HN67:HN102" ca="1" si="209">IFERROR(IF(AND(INDEX(PIANO_DEI_CONTI,MATCH($BB67,DENOMINAZIONE,0),6)="SP AVERE",$BB67="PATRIMONIO NETTO"),$BB67,""),"")</f>
        <v/>
      </c>
      <c r="HO67" s="259">
        <f ca="1">IF(HL67&lt;&gt;"",MAX($HO$2:HO66)+1,0)</f>
        <v>0</v>
      </c>
      <c r="HP67" s="259">
        <f ca="1">IF(HM67&lt;&gt;"",MAX($HP$2:HP66)+1,0)</f>
        <v>0</v>
      </c>
      <c r="HQ67" s="259">
        <f ca="1">IF(HN67&lt;&gt;"",MAX($HQ$2:HQ66)+1,0)</f>
        <v>0</v>
      </c>
      <c r="HR67" s="259" t="str">
        <f t="shared" ca="1" si="107"/>
        <v/>
      </c>
      <c r="HS67" s="259" t="str">
        <f t="shared" ca="1" si="108"/>
        <v/>
      </c>
      <c r="HT67" s="259">
        <f t="shared" ca="1" si="109"/>
        <v>0</v>
      </c>
      <c r="HU67" s="259">
        <f t="shared" ca="1" si="110"/>
        <v>0</v>
      </c>
      <c r="HV67" s="259" t="str">
        <f ca="1">CONCATENATE(IFERROR(INDEX($HS$3:$HT$102,MATCH(ROWS($HV$3:HV67),$HT$3:$HT$102,0),1),""),HR67)</f>
        <v/>
      </c>
      <c r="IB67" s="259" t="s">
        <v>326</v>
      </c>
      <c r="IC67" s="259">
        <f ca="1">IFERROR(INDEX(PIANO_DEI_CONTI,MATCH(ROWS(DL$3:DL67),$DK$3:DK294,0),2),0)</f>
        <v>0</v>
      </c>
      <c r="ID67" s="259">
        <f t="shared" ca="1" si="111"/>
        <v>0</v>
      </c>
      <c r="IE67" s="259">
        <f t="shared" ca="1" si="112"/>
        <v>0</v>
      </c>
      <c r="IF67" s="259">
        <f t="shared" ca="1" si="113"/>
        <v>0</v>
      </c>
      <c r="IG67" s="259">
        <f ca="1">SUM(IG48:IG66)</f>
        <v>0</v>
      </c>
      <c r="IH67" s="259">
        <f ca="1">IF(IG67&lt;&gt;0,MAX($IH$35:IH66)+1,0)</f>
        <v>0</v>
      </c>
      <c r="II67" s="259">
        <f>IF(AD67="costi pluriennali",MAX($II$2:II66)+1,0)</f>
        <v>0</v>
      </c>
      <c r="IJ67" s="259">
        <f>IF($AD67="rettifiche costi pluriennali",MAX($IJ$2:IJ66)+1,0)</f>
        <v>0</v>
      </c>
      <c r="IK67" s="259">
        <f t="shared" si="114"/>
        <v>0</v>
      </c>
      <c r="IL67" s="259" t="str">
        <f t="shared" si="115"/>
        <v/>
      </c>
      <c r="IM67" s="259">
        <f t="shared" ca="1" si="116"/>
        <v>0</v>
      </c>
      <c r="IN67" s="259">
        <f t="shared" ca="1" si="141"/>
        <v>0</v>
      </c>
      <c r="IO67" s="259">
        <f>SUMIFS($IM$3:$IM$200,$IK$3:$IK$200,ROWS($IO$3:IO67))-SUMIFS($IN$3:$IN$200,$IK$3:$IK$200,ROWS($IO$3:IO67))</f>
        <v>0</v>
      </c>
      <c r="IP67" s="259" t="str">
        <f>IF(IO67&lt;0,INDEX($IJ$3:$IL$200,MATCH(ROWS($IP$3:IP67),$IJ$3:$IJ$200,0),3),"")</f>
        <v/>
      </c>
      <c r="IQ67" s="259">
        <f>IF(IP67&lt;&gt;"",MAX($IQ$2:IQ66)+1,0)</f>
        <v>0</v>
      </c>
      <c r="IR67" s="259" t="str">
        <f ca="1">IFERROR(INDEX($IP$3:$IQ$200,MATCH(ROWS($IR$3:IR67),$IQ$3:$IQ$200,0),1),"")</f>
        <v/>
      </c>
      <c r="IS67" s="259" t="str">
        <f t="shared" ca="1" si="117"/>
        <v/>
      </c>
      <c r="IT67" s="259" t="str">
        <f t="shared" ca="1" si="118"/>
        <v/>
      </c>
      <c r="IU67" s="259" t="str">
        <f t="shared" ca="1" si="119"/>
        <v/>
      </c>
      <c r="IV67" s="259" t="str">
        <f t="shared" ca="1" si="120"/>
        <v/>
      </c>
      <c r="IW67" s="259" t="str">
        <f t="shared" ca="1" si="121"/>
        <v/>
      </c>
      <c r="IX67" s="259" t="str">
        <f t="shared" ca="1" si="122"/>
        <v/>
      </c>
      <c r="IY67" s="259" t="str">
        <f t="shared" ca="1" si="123"/>
        <v/>
      </c>
      <c r="IZ67" s="259" t="str">
        <f t="shared" ca="1" si="124"/>
        <v/>
      </c>
      <c r="JA67" s="259" t="str">
        <f t="shared" ca="1" si="125"/>
        <v/>
      </c>
      <c r="JB67" s="259">
        <f t="shared" ref="JB67:JB130" ca="1" si="210">IFERROR(INDEX(PIANO_DEI_CONTI,MATCH(EZ67,DENOMINAZIONE,0),5),"")</f>
        <v>0</v>
      </c>
      <c r="JC67" s="259">
        <f t="shared" ca="1" si="126"/>
        <v>0</v>
      </c>
      <c r="JE67" s="259">
        <f ca="1">IFERROR(INDEX(LIBRO_GIORNALE!$N$11:$O$408,MATCH(ROWS($JE$2:JE66),LIBRO_GIORNALE!$O$11:$O$408,0),1),0)</f>
        <v>0</v>
      </c>
      <c r="JF67" s="259" t="str">
        <f t="shared" ca="1" si="127"/>
        <v>0</v>
      </c>
      <c r="JG67" s="259">
        <f t="shared" ca="1" si="128"/>
        <v>0</v>
      </c>
      <c r="JH67" s="259">
        <f ca="1">IF(JJ67&gt;0,0,MAX($JH$2:JH66)+1)</f>
        <v>65</v>
      </c>
      <c r="JI67" s="259">
        <f ca="1">IF(JG67&gt;0,MAX($JI$2:JI66)+1,0)</f>
        <v>0</v>
      </c>
      <c r="JJ67" s="259">
        <f ca="1">IFERROR(INDEX($JG$3:$JI$124,MATCH(ROWS($JJ$3:JJ67),$JI$3:$JI$124,0),1),0)</f>
        <v>0</v>
      </c>
      <c r="JK67" s="259">
        <f t="shared" ca="1" si="129"/>
        <v>0</v>
      </c>
      <c r="JL67" s="259">
        <f t="shared" ca="1" si="130"/>
        <v>65</v>
      </c>
    </row>
    <row r="68" spans="1:272">
      <c r="A68" s="259" t="str">
        <f t="shared" ref="A68:A131" si="211">GZ68</f>
        <v>10.03</v>
      </c>
      <c r="B68" s="259" t="str">
        <f t="shared" ref="B68:B131" si="212">HA68</f>
        <v>TITOLARE C/RITENUTE SUBITE</v>
      </c>
      <c r="C68" s="259" t="str">
        <f t="shared" ref="C68:C131" si="213">HB68</f>
        <v>E</v>
      </c>
      <c r="D68" s="259" t="str">
        <f t="shared" ref="D68:D131" si="214">HC68</f>
        <v>D</v>
      </c>
      <c r="E68" s="259" t="str">
        <f t="shared" ref="E68:E131" si="215">HD68</f>
        <v>PATRIMONIO NETTO</v>
      </c>
      <c r="F68" s="259" t="str">
        <f t="shared" ref="F68:F131" si="216">HE68</f>
        <v>SP DARE</v>
      </c>
      <c r="G68" s="259">
        <f t="shared" ref="G68:G131" ca="1" si="217">IF(EI68=TRUE,1,0)</f>
        <v>0</v>
      </c>
      <c r="H68" s="259">
        <f t="shared" ref="H68:H131" ca="1" si="218">IF(EJ68=TRUE,1,0)</f>
        <v>1</v>
      </c>
      <c r="I68" s="259">
        <f t="shared" ref="I68:I131" ca="1" si="219">IF(EK68=TRUE,1,0)</f>
        <v>1</v>
      </c>
      <c r="K68" s="259" t="str">
        <f ca="1">IFERROR(IF($I$1=1,INDEX($AA$3:$AS$220,MATCH(ROWS($K$3:K68),$AQ$3:$AQ$220,0),1),IF($I$1=2,INDEX($AA$3:$AS$220,MATCH(ROWS($K$3:K68),$AR$3:$AR$220,0),1),IF($I$1=3,INDEX($AA$3:$AS$220,MATCH(ROWS($K$3:K68),$AS$3:$AS$220,0),1),""))),"")</f>
        <v>BANCHE C/INTERESSI MATURATI</v>
      </c>
      <c r="L68" s="259">
        <f ca="1">IF(AND($L$1="VISUALIZZA TUTTI I CONTI",K68&lt;&gt;""),MAX(L67:L67)+1,IFERROR(IF($J$1=1,IF(INDEX(PIANO_DEI_CONTI,MATCH($K68,DENOMINAZIONE,0),5)=$L$1,MAX($L$2:L67)+1,0),IF($J$1=2,IF(INDEX(PIANO_DEI_CONTI,MATCH($K68,DENOMINAZIONE,0),7)=$L$1,MAX($L$2:L67)+1,0))),0))</f>
        <v>66</v>
      </c>
      <c r="M68" s="259" t="str">
        <f ca="1">IFERROR(INDEX($K$3:$K$220,MATCH(ROWS($M$3:M68),$L$3:$L$220,0),1),"")</f>
        <v>BANCHE C/INTERESSI MATURATI</v>
      </c>
      <c r="Q68" s="259" t="str">
        <f ca="1">IF(IFERROR(INDEX($O$3:$P$220,MATCH(ROWS(Q$3:Q68),$P$3:$P$220,0),1),"")=0,"",IFERROR(INDEX($O$3:$P$220,MATCH(ROWS(Q$3:Q68),$P$3:$P$220,0),1),""))</f>
        <v/>
      </c>
      <c r="R68" s="259" t="str">
        <f t="shared" si="182"/>
        <v/>
      </c>
      <c r="S68" s="259">
        <f ca="1">IF(IFERROR(MATCH(R68,DENOMINAZIONE_GIORNALE,0),0)&gt;0,MAX(S$2:S67)+1,0)</f>
        <v>0</v>
      </c>
      <c r="T68" s="259" t="str">
        <f ca="1">IFERROR(INDEX($R$3:$S$220,MATCH(ROWS($T$3:T68),$S$3:$S$220,0),1),"")</f>
        <v/>
      </c>
      <c r="U68" s="259">
        <f t="shared" ca="1" si="183"/>
        <v>0</v>
      </c>
      <c r="V68" s="259">
        <f ca="1">IF(IF(U68&lt;&gt;0,MAX($V$2:V67)+1,0)=0,0,IF(U68&lt;&gt;0,MAX($V$2:V67)+1,0))</f>
        <v>0</v>
      </c>
      <c r="W68" s="259" t="str">
        <f t="shared" ref="W68:W131" si="220">IF(MID(A68,3,3)=".00","",A68)</f>
        <v>10.03</v>
      </c>
      <c r="X68" s="259" t="str">
        <f t="shared" ref="X68:X131" si="221">IFERROR(INDEX($A$3:$B$220,MATCH(W68,$A$3:$A$220,0),2),"")</f>
        <v>TITOLARE C/RITENUTE SUBITE</v>
      </c>
      <c r="Y68" s="259">
        <f>IF(W68="",0,MAX($Y$2:Y67)+1)</f>
        <v>57</v>
      </c>
      <c r="Z68" s="259" t="str">
        <f>IFERROR(INDEX($W$3:$Y$220,MATCH(ROWS($Z$2:Z67),$Y$3:$Y$220,0),1),"")</f>
        <v>13.15</v>
      </c>
      <c r="AA68" s="259" t="str">
        <f t="shared" ref="AA68:AA131" si="222">IFERROR(INDEX($A$3:$I$220,MATCH($Z68,$A$3:$A$220,0),2),"")</f>
        <v>SOVVENZIONI BANCARIE</v>
      </c>
      <c r="AB68" s="259" t="str">
        <f t="shared" ref="AB68:AB131" si="223">IFERROR(INDEX($A$3:$I$220,MATCH($Z68,$A$3:$A$220,0),3),"")</f>
        <v>F</v>
      </c>
      <c r="AC68" s="259" t="str">
        <f t="shared" ref="AC68:AC131" si="224">IFERROR(INDEX($A$3:$I$220,MATCH($Z68,$A$3:$A$220,0),4),"")</f>
        <v>A</v>
      </c>
      <c r="AD68" s="259" t="str">
        <f t="shared" ref="AD68:AD131" si="225">IFERROR(INDEX($A$3:$I$220,MATCH($Z68,$A$3:$A$220,0),5),"")</f>
        <v>DEBITI</v>
      </c>
      <c r="AE68" s="259" t="str">
        <f t="shared" ref="AE68:AE131" si="226">IFERROR(INDEX($A$3:$I$220,MATCH($Z68,$A$3:$A$220,0),6),"")</f>
        <v>SP AVERE</v>
      </c>
      <c r="AF68" s="259" t="str">
        <f t="shared" ref="AF68:AF131" si="227">AP68</f>
        <v>DEBITI FINANZIARI</v>
      </c>
      <c r="AG68" s="259">
        <f t="shared" ref="AG68:AG131" ca="1" si="228">IFERROR(INDEX($A$3:$I$220,MATCH($Z68,$A$3:$A$220,0),7),"")</f>
        <v>0</v>
      </c>
      <c r="AH68" s="259">
        <f t="shared" ref="AH68:AH131" ca="1" si="229">IFERROR(INDEX($A$3:$I$220,MATCH($Z68,$A$3:$A$220,0),8),"")</f>
        <v>1</v>
      </c>
      <c r="AI68" s="259">
        <f t="shared" ref="AI68:AI131" ca="1" si="230">IFERROR(INDEX($A$3:$I$220,MATCH($Z68,$A$3:$A$220,0),9),"")</f>
        <v>1</v>
      </c>
      <c r="AJ68" s="259" t="str">
        <f t="shared" ref="AJ68:AJ131" si="231">MID(Z68,1,2)</f>
        <v>13</v>
      </c>
      <c r="AK68" s="259" t="str">
        <f t="shared" ref="AK68:AK131" si="232">IF(MID($A68,3,3)=".00",MID(A68,1,2),"")</f>
        <v/>
      </c>
      <c r="AL68" s="259">
        <f>IF(AK68&lt;&gt;"",MAX($AL$2:AL67)+1,0)</f>
        <v>0</v>
      </c>
      <c r="AM68" s="259" t="str">
        <f>IFERROR(INDEX($AK$3:$AL$220,MATCH(ROWS($AM$3:AM68),$AL$3:$AL$220,0),1),"")</f>
        <v/>
      </c>
      <c r="AN68" s="259" t="str">
        <f t="shared" ref="AN68:AN131" si="233">IF(AM68&lt;&gt;"",CONCATENATE(AM68,".00"),"")</f>
        <v/>
      </c>
      <c r="AO68" s="259" t="str">
        <f t="shared" ref="AO68:AO131" si="234">IFERROR(INDEX($A$3:$B$220,MATCH(AN68,$A$3:$A$220,0),2),"")</f>
        <v/>
      </c>
      <c r="AP68" s="259" t="str">
        <f t="shared" ref="AP68:AP131" si="235">IFERROR(INDEX($AJ$3:$AP$220,MATCH(AJ68,$AM$3:$AM$220,0),6),"")</f>
        <v>DEBITI FINANZIARI</v>
      </c>
      <c r="AQ68" s="259">
        <f ca="1">IF(OR(AG68=0,AG68=""),0,MAX(AQ$2:AQ67)+1)</f>
        <v>0</v>
      </c>
      <c r="AR68" s="259">
        <f ca="1">IF(OR(AH68=0,AH68=""),0,MAX(AR$2:AR67)+1)</f>
        <v>50</v>
      </c>
      <c r="AS68" s="259">
        <f ca="1">IF(OR(AI68=0,AI68=""),0,MAX(AS$2:AS67)+1)</f>
        <v>64</v>
      </c>
      <c r="AT68" s="259" t="str">
        <f ca="1">IFERROR(INDEX($AD$3:$AS$220,MATCH(ROWS(AT$3:AT68),AQ$3:AQ$220,0),1),"")</f>
        <v>COSTI D'ESERCIZIO</v>
      </c>
      <c r="AU68" s="259" t="str">
        <f ca="1">IFERROR(INDEX($AD$3:$AS$220,MATCH(ROWS(AU$3:AU68),AR$3:AR$220,0),1),"")</f>
        <v>CONTI CON ALTERNANZA DI SALDI</v>
      </c>
      <c r="AV68" s="259" t="str">
        <f ca="1">IFERROR(INDEX($AD$3:$AS$220,MATCH(ROWS(AV$3:AV68),AS$3:AS$220,0),1),"")</f>
        <v>DEBITI</v>
      </c>
      <c r="AW68" s="259" t="str">
        <f ca="1">IFERROR(INDEX($AP$3:$AS$220,MATCH(ROWS(AW$3:AW68),AQ$3:AQ$220,0),1),"")</f>
        <v>COSTI PER SERVIZI</v>
      </c>
      <c r="AX68" s="259" t="str">
        <f ca="1">IFERROR(INDEX($AP$3:$AS$220,MATCH(ROWS(AX$3:AX68),AR$3:AR$220,0),1),"")</f>
        <v>CONTI TRANSITORI E DIVERSI</v>
      </c>
      <c r="AY68" s="259" t="str">
        <f ca="1">IFERROR(INDEX($AP$3:$AS$220,MATCH(ROWS(AY$3:AY68),AS$3:AS$220,0),1),"")</f>
        <v>DEBITI FINANZIARI</v>
      </c>
      <c r="AZ68" s="276" t="str">
        <f t="shared" ref="AZ68:AZ102" ca="1" si="236">IF(BA68=0,"",CONCATENATE(ROW()-2," A."))</f>
        <v/>
      </c>
      <c r="BA68" s="259">
        <f t="shared" ca="1" si="184"/>
        <v>0</v>
      </c>
      <c r="BB68" s="259">
        <f ca="1">IFERROR(INDEX($FG$3:$FL$400,MATCH(ROWS($BB$3:BB68),$FL$3:$FL$400,0),1),0)</f>
        <v>0</v>
      </c>
      <c r="BC68" s="259" t="str">
        <f t="shared" ref="BC68:BC102" ca="1" si="237">IF(BB68&lt;&gt;0,"apertura del conto","")</f>
        <v/>
      </c>
      <c r="BD68" s="259">
        <f ca="1">IFERROR(INDEX($FG$3:$FL$400,MATCH(ROWS($BD$3:BD68),$FL$3:$FL$400,0),4),0)</f>
        <v>0</v>
      </c>
      <c r="BE68" s="259">
        <f ca="1">IFERROR(INDEX($FG$3:$FL$400,MATCH(ROWS($BE$3:BE68),$FL$3:$FL$400,0),5),0)</f>
        <v>0</v>
      </c>
      <c r="BG68" s="259" t="str">
        <f t="shared" si="185"/>
        <v>SOVVENZIONI BANCARIE</v>
      </c>
      <c r="BH68" s="259">
        <f ca="1">IF(IFERROR(MATCH(BG68,DENOMINAZIONE_GIORNALE,0),0)&gt;0,MAX(BH$2:BH67)+1,0)</f>
        <v>0</v>
      </c>
      <c r="BI68" s="259" t="str">
        <f ca="1">IFERROR(INDEX($BG$3:$BH$220,MATCH(ROWS($BI$3:BI68),$BH$3:$BH$220,0),1),"")</f>
        <v/>
      </c>
      <c r="BJ68" s="259" t="str">
        <f t="shared" ca="1" si="186"/>
        <v/>
      </c>
      <c r="BK68" s="259" t="str">
        <f ca="1">IF(IF(BJ68&lt;&gt;"",MAX($BK$2:BK67)+1,0)=0,"",IF(BJ68&lt;&gt;"",MAX($BK$2:BK67)+1,0))</f>
        <v/>
      </c>
      <c r="BL68" s="259" t="str">
        <f ca="1">IFERROR(INDEX($T$3:$U$220, MATCH(ROWS(BL$3:BL68),$V$3:$V$220,0),1),"")</f>
        <v/>
      </c>
      <c r="BM68" s="259" t="str">
        <f ca="1">IFERROR(INDEX($T$3:$U$220, MATCH(ROWS(BM$3:BM68),$V$3:$V$220,0),2),"")</f>
        <v/>
      </c>
      <c r="BN68" s="259" t="str">
        <f ca="1">IF(IFERROR(INDEX($BI$3:$BJ$220,MATCH(ROWS(BN$3:BN68),$BK$3:$BK$220,0),1),"")="PATRIMONIO NETTO","",IFERROR(INDEX($BI$3:$BJ$220,MATCH(ROWS(BN$3:BN68),$BK$3:$BK$220,0),1),""))</f>
        <v/>
      </c>
      <c r="BO68" s="259" t="str">
        <f ca="1">IFERROR(INDEX($BI$3:$BJ$220,MATCH(ROWS(BO$3:BO68),$BK$3:$BK$220,0),2),"")</f>
        <v/>
      </c>
      <c r="BP68" s="259">
        <f ca="1">IF(BN68&lt;&gt;"",MAX(BP$2:$BP67)+1,0)</f>
        <v>0</v>
      </c>
      <c r="BQ68" s="259" t="str">
        <f ca="1">IFERROR(INDEX($BN$3:$BO$200,MATCH(ROWS(BQ$3:BQ68),$BP$3:$BP$220,0),1),"")</f>
        <v/>
      </c>
      <c r="BR68" s="259" t="str">
        <f ca="1">IFERROR(INDEX($BN$3:$BO$220,MATCH(ROWS(BR$3:BR68),$BP$3:$BP$220,0),2),"")</f>
        <v/>
      </c>
      <c r="BS68" s="259" t="str">
        <f ca="1">IFERROR(IF(OR(INDEX($T$3:$U$220,MATCH(ROWS(BL$3:BL68),$V$3:$V$220,0),1)="PRELEVAMENTI EXTRAGESTIONE",INDEX($T$3:$U$220,MATCH(ROWS(BL$3:BL68),$V$3:$V$220,0),1)="TITOLARE C/RITENUTE SUBITE"),"",INDEX($T$3:$U$220,MATCH(ROWS(BL$3:BL68),$V$3:$V$220,0),1)),"")</f>
        <v/>
      </c>
      <c r="BT68" s="259">
        <f t="shared" ref="BT68:BT131" ca="1" si="238">INDEX($T$3:$U$220,MATCH(BS68,$T$3:$T$220,0),2)</f>
        <v>0</v>
      </c>
      <c r="BU68" s="259">
        <f ca="1">IF(BS68&lt;&gt;"",MAX(BU$2:BU67)+1,0)</f>
        <v>0</v>
      </c>
      <c r="BV68" s="259" t="str">
        <f ca="1">IFERROR(INDEX($BS$3:$BT$223,MATCH(ROWS(BV$3:BV68),$BU$3:$BU$223,0),1),"")</f>
        <v/>
      </c>
      <c r="BW68" s="259">
        <f t="shared" ref="BW68:BW131" ca="1" si="239">INDEX($BS$3:$BT$220,MATCH(BV68,$BS$3:$BS$223,0),2)</f>
        <v>0</v>
      </c>
      <c r="BX68" s="259" t="str">
        <f t="shared" ref="BX68:BX100" ca="1" si="240">IF($EV$1&gt;0,"",IF($EO$1=TRUE,SUBSTITUTE(IF(OR($DS$231&lt;&gt;$DT$231,$DS$232&lt;&gt;$DT$232,$DU$231&lt;&gt;$DV$231),"",IF($BX$1=0,"",IF((ROW()-2)=MAX($BV$2:$BW$2)+1,"TOTALE PASSIVITÀ",IF((ROW()-2)=MAX($BV$2:$BW$2)+2,"PATRIMONIO NETTO",IF(AND((ROW()-2)=MAX($BV$2,$BW$2)+3,$CM$1&gt;$CP$1,$DU$231=$DV$231),"SALDO ECONOMICO POSITIVO",IF(AND((ROW()-2)=MAX($BV$2,$BW$2)+4,$CM$1&gt;$CP$1,$DU$231=$DV$231),"TOTALE",IF(AND((ROW()-2)=MAX($BV$2,$BW$2)+4,$CM$1&lt;$CP$1,$DU$231=$DV$231,$BY$1=0,$BZ$1&gt;0,$BX$1&gt;0),"TOTALE",IF(AND((ROW()-2)=MAX($BV$2,$BW$2)+3,$CM$1=$CP$1,$DU$231=$DV$231,$BY$1&gt;0,$BZ$1=0,$BX$1&gt;0),"TOTALE",IF(AND((ROW()-2)=MAX($BV$2,$BW$2)+3,$CM$1=$CP$1,$DU$231=$DV$231,$BY$1=0,$BZ$1&gt;0,$BX$1&gt;0),"TOTALE",IF(AND((ROW()-2)=MAX($BV$2,$BW$2)+3,$CM$1=$CP$1,$DU$231=$DV$231,$BY$1=0,$BZ$1=0,$BX$1&gt;0),"TOTALE A PAREGGIO",IF(AND((ROW()-2)=MAX($BV$2,$BW$2)+4,$CM$1=$CP$1,$DU$231=$DV$231,$BY$1&gt;0,$BZ$1&gt;0,$BX$1&gt;0),"TOTALE",IF(AND((ROW()-2)=MAX($BV$2,$BW$2)+3,$CM$1=$CP$1,$DU$231=$DV$231,$BY$1=0,$BY$1&gt;0,$BZ$1=0,$BX$1&gt;0),"TOTALE",IF(AND((ROW()-2)=MAX($BV$2,$BW$2)+4,$CM$1&lt;$CP$1,$DU$231=$DV$231,$BY$1&gt;0,$BZ$1=0),"TOTALE",IF(AND((ROW()-2)=MAX($BV$2,$BW$2)+5,$CM$1&lt;$CP$1,$DU$231=$DV$231,$BY$1&gt;0,$BZ$1&gt;0),"TOTALE",IF(AND((ROW()-2)=MAX($BV$2,$BW$2)+3,$CM$1&lt;$CP$1,$DU$231=$DV$231,$BY$1=0,$BZ$1=0),"TOTALE",IF(AND((ROW()-2)=MAX($BV$2,$BW$2)+3,$CM$1=0,$CP$1=0,$DU$231=$DV$231,$BY$1=0,$BZ$1=0),"TOTALE",IF(AND((ROW()-2)=MAX($BV$2,$BW$2)+4,$CM$1=$CP$1,$DU$231=$DV$231,$BY$1&gt;0,$BZ$1&gt;0),"TOTALE",""))))))))))))))))),"SALDO ECONOMICO POSITIVO","UTILE D'ESERCIZIO"),IF(OR($DS$231&lt;&gt;$DT$231,$DS$232&lt;&gt;$DT$232,$DU$231&lt;&gt;$DV$231),"",IF($BX$1=0,"",IF((ROW()-2)=MAX($BV$2:$BW$2)+1,"TOTALE PASSIVITÀ",IF((ROW()-2)=MAX($BV$2:$BW$2)+2,"PATRIMONIO NETTO",IF(AND((ROW()-2)=MAX($BV$2,$BW$2)+3,$CM$1&gt;$CP$1,$DU$231=$DV$231),"SALDO ECONOMICO POSITIVO",IF(AND((ROW()-2)=MAX($BV$2,$BW$2)+4,$CM$1&gt;$CP$1,$DU$231=$DV$231),"TOTALE",IF(AND((ROW()-2)=MAX($BV$2,$BW$2)+4,$CM$1&lt;$CP$1,$DU$231=$DV$231,$BY$1=0,$BZ$1&gt;0,$BX$1&gt;0),"TOTALE",IF(AND((ROW()-2)=MAX($BV$2,$BW$2)+3,$CM$1=$CP$1,$DU$231=$DV$231,$BY$1&gt;0,$BZ$1=0,$BX$1&gt;0),"TOTALE",IF(AND((ROW()-2)=MAX($BV$2,$BW$2)+3,$CM$1=$CP$1,$DU$231=$DV$231,$BY$1=0,$BZ$1&gt;0,$BX$1&gt;0),"TOTALE",IF(AND((ROW()-2)=MAX($BV$2,$BW$2)+3,$CM$1=$CP$1,$DU$231=$DV$231,$BY$1=0,$BZ$1=0,$BX$1&gt;0),"TOTALE A PAREGGIO",IF(AND((ROW()-2)=MAX($BV$2,$BW$2)+4,$CM$1=$CP$1,$DU$231=$DV$231,$BY$1&gt;0,$BZ$1&gt;0,$BX$1&gt;0),"TOTALE",IF(AND((ROW()-2)=MAX($BV$2,$BW$2)+3,$CM$1=$CP$1,$DU$231=$DV$231,$BY$1=0,$BY$1&gt;0,$BZ$1=0,$BX$1&gt;0),"TOTALE",IF(AND((ROW()-2)=MAX($BV$2,$BW$2)+4,$CM$1&lt;$CP$1,$DU$231=$DV$231,$BY$1&gt;0,$BZ$1=0),"TOTALE",IF(AND((ROW()-2)=MAX($BV$2,$BW$2)+5,$CM$1&lt;$CP$1,$DU$231=$DV$231,$BY$1&gt;0,$BZ$1&gt;0),"TOTALE",IF(AND((ROW()-2)=MAX($BV$2,$BW$2)+3,$CM$1&lt;$CP$1,$DU$231=$DV$231,$BY$1=0,$BZ$1=0),"TOTALE",IF(AND((ROW()-2)=MAX($BV$2,$BW$2)+3,$CM$1=0,$CP$1=0,$DU$231=$DV$231,$BY$1=0,$BZ$1=0),"TOTALE",IF(AND((ROW()-2)=MAX($BV$2,$BW$2)+4,$CM$1=$CP$1,$DU$231=$DV$231,$BY$1&gt;0,$BZ$1&gt;0),"TOTALE","")))))))))))))))))))</f>
        <v/>
      </c>
      <c r="BY68" s="259" t="str">
        <f t="shared" ref="BY68:BY100" ca="1" si="241">IF($EV$1&gt;0,"",IF($EO$1=TRUE,SUBSTITUTE(IF(OR($BB$1&lt;&gt;$BD$1,$BC$1&lt;&gt;$BE$1,$DS$231&lt;&gt;$DT$231,$DS$232&lt;&gt;$DT$232,$DU$231&lt;&gt;$DV$231),"",IF($BX$1=0,"",IF(AND((ROW()-2)=MAX($BV$2:$BW$2)+1,OR($BY$1&gt;0,$BZ$1&gt;0,$CP$1&gt;$CM$1)),"TOTALE ATTIVITÀ",IF(AND((ROW()-2)=MAX($BV$2:$BW$2)+2,$BY$1&gt;0),"PRELEVAMENTI EXTRAGESTIONE",IF(AND((ROW()-2)=MAX($BV$2:$BW$2)+2,$BY$1=0,$BZ$1&gt;0),"TITOLARE C/RITENUTE SUBITE",IF(AND((ROW()-2)=MAX($BV$2:$BW$2)+3,$BY$1&gt;0,$BZ$1&gt;0),"TITOLARE C/RITENUTE SUBITE",IF(AND((ROW()-2)=MAX($BV$2:$BW$2)+2,$BY$1=0,$BZ$1=0,$CP$1&gt;$CM$1),"SALDO ECONOMICO NEGATIVO",IF(AND((ROW()-2)=MAX($BV$2:$BW$2)+3,$BY$1&gt;0,$BZ$1=0,$CP$1&gt;$CM$1),"SALDO ECONOMICO NEGATIVO",IF(AND((ROW()-2)=MAX($BV$2:$BW$2)+3,$BY$1=0,$BZ$1&gt;0,$CP$1&gt;$CM$1),"SALDO ECONOMICO NEGATIVO",IF(AND((ROW()-2)=MAX($BV$2:$BW$2)+4,$BY$1&gt;0,$BZ$1&gt;0,$CP$1&gt;$CM$1),"SALDO ECONOMICO NEGATIVO",IF(AND((ROW()-2)=MAX($BV$2:$BW$2)+3,$BY$1=0,$BZ$1=0,$CP$1&gt;$CM$1),"TOTALE",IF(AND((ROW()-2)=MAX($BV$2:$BW$2)+4,$BY$1&gt;0,$BZ$1=0,$CP$1&lt;$CM$1),"TOTALE",IF(AND((ROW()-2)=MAX($BV$2:$BW$2)+4,$BY$1=0,$BZ$1&gt;0,$CP$1&lt;$CM$1),"TOTALE",IF(AND((ROW()-2)=MAX($BV$2:$BW$2)+4,$BY$1&gt;0,$BZ$1=0,$CP$1&gt;$CM$1),"TOTALE",IF(AND((ROW()-2)=MAX($BV$2:$BW$2)+4,BX66&gt;0,BY$1=0,$BZ$1&gt;0,$CP$1&gt;$CM$1),"TOTALE",IF(AND((ROW()-2)=MAX($BV$2:$BW$2)+3,BX66&gt;0,BY$1=0,$BZ$1=0,$CP$1=$CM$1),"TOTALE ATTIVITÀ",IF(AND((ROW()-2)=MAX($BV$2:$BW$2)+4,$BX$1&gt;0,$BY$1&gt;0,$BZ$1&gt;0,$CP$1=$CM$1),"TOTALE",IF(AND((ROW()-2)=MAX($BV$2:$BW$2)+3,$BX$1&gt;0,$BY$1=0,$BZ$1&gt;0,$CP$1=$CM$1),"TOTALE",IF(AND((ROW()-2)=MAX($BV$2:$BW$2)+3,$BX$1&gt;0,$BY$1&gt;0,$BZ$1=0,$CP$1=$CM$1),"TOTALE",IF(AND((ROW()-2)=MAX($BV$2:$BW$2)+4,$BX$1&gt;0,$BY$1&gt;0,$BZ$1&gt;0,$CP$1&lt;$CM$1),"TOTALE",IF(AND((ROW()-2)=MAX($BV$2:$BW$2)+4,$BY$1=0,$BZ$1=0,$CP$1&lt;$CM$1),"TOTALE",IF(AND((ROW()-2)=MAX($BV$2:$BW$2)+5,$BY$1&gt;0,$BZ$1&gt;0,$CP$1&gt;$CM$1),"TOTALE",IF(AND((ROW()-2)=MAX($BV$2:$BW$2)+3,$BY$1=0,$BZ$1=0,$CP$1=0,$CM$1=0),"TOTALE",IF(AND((ROW()-2)=MAX($BV$2:$BW$2)+4,$BY$1&gt;0,$BZ$1&gt;0,$CP$1&gt;0,$CM$1&gt;0,$CP$1=$CM$1),"TOTALE","")))))))))))))))))))))))),"SALDO ECONOMICO NEGATIVO","PERDITA D'ESERCIZIO"),IF(OR($BB$1&lt;&gt;$BD$1,$BC$1&lt;&gt;$BE$1,$DS$231&lt;&gt;$DT$231,$DS$232&lt;&gt;$DT$232,$DU$231&lt;&gt;$DV$231),"",IF($BX$1=0,"",IF(AND((ROW()-2)=MAX($BV$2:$BW$2)+1,OR($BY$1&gt;0,$BZ$1&gt;0,$CP$1&gt;$CM$1)),"TOTALE ATTIVITÀ",IF(AND((ROW()-2)=MAX($BV$2:$BW$2)+2,$BY$1&gt;0),"PRELEVAMENTI EXTRAGESTIONE",IF(AND((ROW()-2)=MAX($BV$2:$BW$2)+2,$BY$1=0,$BZ$1&gt;0),"TITOLARE C/RITENUTE SUBITE",IF(AND((ROW()-2)=MAX($BV$2:$BW$2)+3,$BY$1&gt;0,$BZ$1&gt;0),"TITOLARE C/RITENUTE SUBITE",IF(AND((ROW()-2)=MAX($BV$2:$BW$2)+2,$BY$1=0,$BZ$1=0,$CP$1&gt;$CM$1),"SALDO ECONOMICO NEGATIVO",IF(AND((ROW()-2)=MAX($BV$2:$BW$2)+3,$BY$1&gt;0,$BZ$1=0,$CP$1&gt;$CM$1),"SALDO ECONOMICO NEGATIVO",IF(AND((ROW()-2)=MAX($BV$2:$BW$2)+3,$BY$1=0,$BZ$1&gt;0,$CP$1&gt;$CM$1),"SALDO ECONOMICO NEGATIVO",IF(AND((ROW()-2)=MAX($BV$2:$BW$2)+4,$BY$1&gt;0,$BZ$1&gt;0,$CP$1&gt;$CM$1),"SALDO ECONOMICO NEGATIVO",IF(AND((ROW()-2)=MAX($BV$2:$BW$2)+3,$BY$1=0,$BZ$1=0,$CP$1&gt;$CM$1),"TOTALE",IF(AND((ROW()-2)=MAX($BV$2:$BW$2)+4,$BY$1&gt;0,$BZ$1=0,$CP$1&lt;$CM$1),"TOTALE",IF(AND((ROW()-2)=MAX($BV$2:$BW$2)+4,$BY$1=0,$BZ$1&gt;0,$CP$1&lt;$CM$1),"TOTALE",IF(AND((ROW()-2)=MAX($BV$2:$BW$2)+4,$BY$1&gt;0,$BZ$1=0,$CP$1&gt;$CM$1),"TOTALE",IF(AND((ROW()-2)=MAX($BV$2:$BW$2)+4,BX66&gt;0,BY$1=0,$BZ$1&gt;0,$CP$1&gt;$CM$1),"TOTALE",IF(AND((ROW()-2)=MAX($BV$2:$BW$2)+3,BX66&gt;0,BY$1=0,$BZ$1=0,$CP$1=$CM$1),"TOTALE ATTIVITÀ",IF(AND((ROW()-2)=MAX($BV$2:$BW$2)+4,$BX$1&gt;0,$BY$1&gt;0,$BZ$1&gt;0,$CP$1=$CM$1),"TOTALE",IF(AND((ROW()-2)=MAX($BV$2:$BW$2)+3,$BX$1&gt;0,$BY$1=0,$BZ$1&gt;0,$CP$1=$CM$1),"TOTALE",IF(AND((ROW()-2)=MAX($BV$2:$BW$2)+3,$BX$1&gt;0,$BY$1&gt;0,$BZ$1=0,$CP$1=$CM$1),"TOTALE",IF(AND((ROW()-2)=MAX($BV$2:$BW$2)+4,$BX$1&gt;0,$BY$1&gt;0,$BZ$1&gt;0,$CP$1&lt;$CM$1),"TOTALE",IF(AND((ROW()-2)=MAX($BV$2:$BW$2)+4,$BY$1=0,$BZ$1=0,$CP$1&lt;$CM$1),"TOTALE",IF(AND((ROW()-2)=MAX($BV$2:$BW$2)+5,$BY$1&gt;0,$BZ$1&gt;0,$CP$1&gt;$CM$1),"TOTALE",IF(AND((ROW()-2)=MAX($BV$2:$BW$2)+3,$BY$1=0,$BZ$1=0,$CP$1=0,$CM$1=0),"TOTALE",IF(AND((ROW()-2)=MAX($BV$2:$BW$2)+4,$BY$1&gt;0,$BZ$1&gt;0,$CP$1&gt;0,$CM$1&gt;0,$CP$1=$CM$1),"TOTALE",""))))))))))))))))))))))))))</f>
        <v/>
      </c>
      <c r="BZ68" s="259" t="str">
        <f ca="1">IFERROR(IF(OR($DS$231&lt;&gt;$DT$231,$DU$231&lt;&gt;$DV$231,$EO$25&lt;&gt;0,$EO$26&lt;&gt;0),INDEX($T$3:$V$220,MATCH(ROWS($BV$3:BV68),$V$3:$V$220,0),1),CONCATENATE(BV68,BY68)),"")</f>
        <v/>
      </c>
      <c r="CA68" s="259">
        <f t="shared" ref="CA68:CA100" ca="1" si="242">IFERROR(INDEX($BV$3:$BW$225,MATCH(BZ68,$BV$3:$BV$225,0),2),INDEX($BL$3:$BW$225,MATCH(BZ68,$BL$3:$BL$225,0),2))</f>
        <v>0</v>
      </c>
      <c r="CB68" s="259" t="str">
        <f ca="1">IFERROR(IF(OR($BB$1&lt;&gt;$BD$1,$BC$1&lt;&gt;$BE$1,$DS$231&lt;&gt;$DT$231,$DU$231&lt;&gt;$DV$231,$EO$25&lt;&gt;0,$EO$26&lt;&gt;0),INDEX($BI$3:$BK$220,MATCH(ROWS($CB$3:CB68),$BK$3:$BK$220,0),1),CONCATENATE(BQ68,BX68)),"")</f>
        <v/>
      </c>
      <c r="CC68" s="259" t="str">
        <f t="shared" ref="CC68:CC131" ca="1" si="243">INDEX($BQ$3:$BR$225,MATCH(CB68,$BQ$3:$BQ$225,0),2)</f>
        <v/>
      </c>
      <c r="CD68" s="259" t="str">
        <f t="shared" si="187"/>
        <v/>
      </c>
      <c r="CE68" s="259">
        <f ca="1">IF(IFERROR(MATCH(CD68,DENOMINAZIONE_GIORNALE,0),0)&gt;0,MAX(CE$2:CE67)+1,0)</f>
        <v>0</v>
      </c>
      <c r="CF68" s="259" t="str">
        <f ca="1">IFERROR(INDEX($CD$3:$CE$220,MATCH(ROWS($CF$3:CF68),$CE$3:$CE$220,0),1),"")</f>
        <v/>
      </c>
      <c r="CG68" s="259">
        <f t="shared" ca="1" si="188"/>
        <v>0</v>
      </c>
      <c r="CH68" s="259" t="str">
        <f ca="1">IF(IF(CG68&lt;&gt;0,MAX($CH$2:CH67)+1,0)=0,"",IF(CG68&lt;&gt;"",MAX($CH$2:CH67)+1,0))</f>
        <v/>
      </c>
      <c r="CI68" s="259" t="str">
        <f ca="1">IFERROR(INDEX($CF$3:$CG$220,MATCH(ROWS($CI$3:CI68),$CH$3:$CH$220,0),1),"")</f>
        <v/>
      </c>
      <c r="CJ68" s="259" t="str">
        <f t="shared" ref="CJ68:CJ131" ca="1" si="244">IFERROR(IF(INDEX($CF$3:$CG$220,MATCH(CI68,$CF$3:$CF$220,0),2)=0,"",INDEX($CF$3:$CG$220,MATCH(CI68,$CF$3:$CF$220,0),2)),"")</f>
        <v/>
      </c>
      <c r="CK68" s="259" t="str">
        <f t="shared" si="189"/>
        <v/>
      </c>
      <c r="CL68" s="259">
        <f ca="1">IF(IFERROR(MATCH(CK68,DENOMINAZIONE_GIORNALE,0),0)&gt;0,MAX(CL$2:CL67)+1,0)</f>
        <v>0</v>
      </c>
      <c r="CM68" s="259" t="str">
        <f ca="1">IFERROR(INDEX($CK$3:$CL$220,MATCH(ROWS($CM$3:CM68),$CL$3:$CL$220,0),1),"")</f>
        <v/>
      </c>
      <c r="CN68" s="259" t="str">
        <f t="shared" ca="1" si="190"/>
        <v/>
      </c>
      <c r="CO68" s="259">
        <f ca="1">IF(IF(CN68&lt;&gt;0,MAX($CO$2:CO67)+1,0)=0,"",IF(CN68&lt;&gt;"",MAX($CO$2:CO67)+1,0))</f>
        <v>0</v>
      </c>
      <c r="CP68" s="259" t="str">
        <f ca="1">IFERROR(INDEX($CM$3:$CN$220,MATCH(ROWS(CP$3:CP68),$CO$3:$CO$220,0),1),"")</f>
        <v/>
      </c>
      <c r="CQ68" s="259" t="str">
        <f ca="1">IFERROR(INDEX($CM$3:$CN$220,MATCH(ROWS(CQ$3:CQ68),$CO$3:$CO$220,0),2),"")</f>
        <v/>
      </c>
      <c r="CR68" s="259" t="str">
        <f t="shared" ca="1" si="191"/>
        <v/>
      </c>
      <c r="CS68" s="259">
        <f t="shared" ca="1" si="192"/>
        <v>0</v>
      </c>
      <c r="CT68" s="259">
        <f t="shared" ca="1" si="193"/>
        <v>0</v>
      </c>
      <c r="CU68" s="259">
        <f ca="1">IF(OR(CS68&gt;0,CT68&gt;0),MAX($CU$2:CU67)+1,0)</f>
        <v>0</v>
      </c>
      <c r="CV68" s="259" t="str">
        <f ca="1">IFERROR(INDEX(PIANO_DEI_CONTI,MATCH(ROWS($CV$3:CV68),$CU$3:$CU$200,0),2),"")</f>
        <v/>
      </c>
      <c r="CW68" s="259">
        <f ca="1">IFERROR(IF(CV68&lt;&gt;"",MAX($CW$2:CW67)+1,0),0)</f>
        <v>0</v>
      </c>
      <c r="CX68" s="259">
        <f t="shared" ca="1" si="174"/>
        <v>4</v>
      </c>
      <c r="CY68" s="259" t="str">
        <f t="shared" ca="1" si="161"/>
        <v>MASTRO</v>
      </c>
      <c r="CZ68" s="259" t="e">
        <f t="shared" ca="1" si="176"/>
        <v>#N/A</v>
      </c>
      <c r="DA68" s="259" t="str">
        <f t="shared" ca="1" si="181"/>
        <v/>
      </c>
      <c r="DB68" s="259" t="str">
        <f t="shared" ca="1" si="177"/>
        <v/>
      </c>
      <c r="DC68" s="259" t="str">
        <f t="shared" ca="1" si="178"/>
        <v/>
      </c>
      <c r="DD68" s="259" t="str">
        <f t="shared" ca="1" si="179"/>
        <v/>
      </c>
      <c r="DE68" s="259" t="str">
        <f t="shared" ca="1" si="180"/>
        <v/>
      </c>
      <c r="DF68" s="259">
        <f ca="1">IF(AND(CX68=$DE$2,$DF$2&lt;&gt;0),0,IF(AND(DB68&lt;&gt;"",OR(DB67&lt;&gt;"",DB69&lt;&gt;"")),MAX($DF$2:DF67)+1,0))</f>
        <v>0</v>
      </c>
      <c r="DG68" s="259" t="str">
        <f>IF(OR(VALORI_INIZIALI!E73="",AND(VALORI_INIZIALI!E73&lt;&gt;"",VALORI_INIZIALI!H73=0,VALORI_INIZIALI!I73=0)),"",IFERROR(INDEX(PIANO_DEI_CONTI,MATCH(BB68,DENOMINAZIONE,0),1),0))</f>
        <v/>
      </c>
      <c r="DH68" s="259">
        <f ca="1">IFERROR(IF($J$1=1,IF(INDEX(PIANO_DEI_CONTI,MATCH($K68,DENOMINAZIONE,0),5)=$DF$1,MAX($DH$2:DH67)+1,0),IF($J$1=2,IF(INDEX(PIANO_DEI_CONTI,MATCH($K68,DENOMINAZIONE,0),7)=$DF$1,MAX($DH$2:DH67)+1,0))),0)</f>
        <v>0</v>
      </c>
      <c r="DI68" s="259">
        <f ca="1">IFERROR(INDEX($K$3:$K$220,MATCH(ROWS($DI$3:DI68),$DH$3:$DH$220,0),1),0)</f>
        <v>0</v>
      </c>
      <c r="DJ68" s="259">
        <f t="shared" ca="1" si="194"/>
        <v>0</v>
      </c>
      <c r="DK68" s="259">
        <f ca="1">IF(DJ68=0,0,MAX(DK$2:DK67)+1)</f>
        <v>0</v>
      </c>
      <c r="DL68" s="259">
        <f ca="1">IFERROR(INDEX(PIANO_DEI_CONTI,MATCH(ROWS(DL$3:DL68),$DK$3:DK295,0),2),0)</f>
        <v>0</v>
      </c>
      <c r="DM68" s="259">
        <f t="shared" ca="1" si="195"/>
        <v>0</v>
      </c>
      <c r="DN68" s="259">
        <f t="shared" ca="1" si="196"/>
        <v>0</v>
      </c>
      <c r="DO68" s="259">
        <f t="shared" ref="DO68:DO131" ca="1" si="245">IF(AND(DL68&lt;&gt;"",$DM68&gt;$DN68,OR($DM68&gt;0,$DN68&gt;0)),$DM68-$DN68,0)</f>
        <v>0</v>
      </c>
      <c r="DP68" s="259">
        <f t="shared" ref="DP68:DP131" ca="1" si="246">IF(AND(DL68&lt;&gt;"",$DM68&lt;$DN68,OR($DM68&gt;0,$DN68&gt;0)),$DN68-$DM68,0)</f>
        <v>0</v>
      </c>
      <c r="DQ68" s="259">
        <f ca="1">IF(OR($DQ$1="TOTALI",$DQ$1="TOTALI ED ECCEDENZE"),IF(OR(DM68&gt;0,DN68&gt;0),MAX(DQ$2:DQ67)+1,0),IF($DQ$1="ECCEDENZE",IF(OR(DO68&gt;0,DP68&gt;0),MAX(DQ$2:DQ67)+1,0),""))</f>
        <v>0</v>
      </c>
      <c r="DR68" s="259" t="str">
        <f ca="1">IFERROR(INDEX($DL$3:$DQ$230,MATCH(ROWS(DR$3:DR68),$DQ$3:$DQ$230,0),1),"")</f>
        <v/>
      </c>
      <c r="DS68" s="259" t="str">
        <f t="shared" ref="DS68:DS131" ca="1" si="247">IFERROR(IF($DQ$1="eccedenze",INDEX($DL$3:$DP$230,MATCH($DR68,$DL$3:$DL$230,0),4),IF(OR($DQ$1="totali",$DQ$1="TOTALI ED ECCEDENZE"),INDEX($DL$3:$DP$230,MATCH($DR68,$DL$3:$DL$230,0),2),"")),"")</f>
        <v/>
      </c>
      <c r="DT68" s="259" t="str">
        <f t="shared" ref="DT68:DT131" ca="1" si="248">IFERROR(IF($DQ$1="eccedenze",INDEX($DL$3:$DP$230,MATCH($DR68,$DL$3:$DL$230,0),5),IF(OR($DQ$1="totali",$DQ$1="TOTALI ED ECCEDENZE"),INDEX($DL$3:$DP$230,MATCH($DR68,$DL$3:$DL$230,0),3),"")),"")</f>
        <v/>
      </c>
      <c r="DU68" s="259" t="str">
        <f t="shared" ref="DU68:DU131" ca="1" si="249">IF(AND($DR68&lt;&gt;"",$DS68&gt;$DT68,$DQ$1="TOTALI ED ECCEDENZE",OR($DS68&gt;0,$DT68&gt;0)),$DS68-$DT68,IF(DS68=DT68,"",""))</f>
        <v/>
      </c>
      <c r="DV68" s="259" t="str">
        <f t="shared" ref="DV68:DV131" ca="1" si="250">IF(AND($DR68&lt;&gt;"",$DS68&lt;$DT68,$DQ$1="TOTALI ED ECCEDENZE",OR($DS68&gt;0,$DT68&gt;0)),$DT68-$DS68,IF(DT68=DS68,"",""))</f>
        <v/>
      </c>
      <c r="DW68" s="259">
        <f t="shared" ref="DW68:DW131" ca="1" si="251">IF(OR(AND(DR68&lt;&gt;"",$DQ$1="TOTALI ED ECCEDENZE"),AND(DX68="TOTALI",$DQ$1="TOTALI ED ECCEDENZE")),1,0)</f>
        <v>0</v>
      </c>
      <c r="DX68" s="259" t="str">
        <f t="shared" ref="DX68:DX131" ca="1" si="252">IF($EV$1&gt;0,"",IF((ROW()-2)=$DW$1+1,IF(AND(MATCH("PATRIMONIO NETTO",$DR$3:$DR$230,0)&gt;0,$BB$1=$BD$1,$BC$1=$BE$1,$DS$231=$DT$231,$EO$25=0,$EO$26=0),"TOTALI",""),""))</f>
        <v/>
      </c>
      <c r="DY68" s="259" t="str">
        <f t="shared" ref="DY68:DY131" ca="1" si="253">IF($DX68="TOTALI",$DS$231,"")</f>
        <v/>
      </c>
      <c r="DZ68" s="259" t="str">
        <f t="shared" ref="DZ68:DZ131" ca="1" si="254">IF(IF($DX68="TOTALI",$DU$231,"")=0,"",IF($DX68="TOTALI",$DU$231,""))</f>
        <v/>
      </c>
      <c r="EA68" s="259">
        <f t="shared" ref="EA68:EA124" ca="1" si="255">SUM(JJ68,JL68)</f>
        <v>66</v>
      </c>
      <c r="EB68" s="259" t="s">
        <v>361</v>
      </c>
      <c r="ED68" s="259">
        <f t="shared" ca="1" si="197"/>
        <v>0</v>
      </c>
      <c r="EE68" s="259" t="str">
        <f t="shared" ca="1" si="198"/>
        <v/>
      </c>
      <c r="EF68" s="259" t="str">
        <f t="shared" ca="1" si="199"/>
        <v/>
      </c>
      <c r="EG68" s="259" t="str">
        <f t="shared" ca="1" si="136"/>
        <v/>
      </c>
      <c r="EH68" s="259" t="str">
        <f t="shared" ref="EH68:EH131" ca="1" si="256">CP68</f>
        <v/>
      </c>
      <c r="EI68" s="260" t="b">
        <f t="shared" ca="1" si="137"/>
        <v>0</v>
      </c>
      <c r="EJ68" s="260" t="b">
        <f t="shared" ca="1" si="138"/>
        <v>1</v>
      </c>
      <c r="EK68" s="260" t="b">
        <f t="shared" ca="1" si="139"/>
        <v>1</v>
      </c>
      <c r="EL68" s="259">
        <f t="shared" ref="EL68:EL131" si="257">ROW()-2</f>
        <v>66</v>
      </c>
      <c r="EM68" s="259">
        <f ca="1">IF(AND(BA68&gt;0,BA68&lt;=$EM$1),MAX($EM$2:EM67)+1,0)</f>
        <v>0</v>
      </c>
      <c r="EN68" s="259">
        <f t="shared" ref="EN68:EN131" ca="1" si="258">IF(EM68=$EL$1,ROW(),0)</f>
        <v>68</v>
      </c>
      <c r="EP68" s="259" t="str">
        <f t="shared" ca="1" si="200"/>
        <v/>
      </c>
      <c r="EQ68" s="259">
        <f t="shared" ca="1" si="201"/>
        <v>0</v>
      </c>
      <c r="ER68" s="259">
        <f ca="1">IF(ISNA(EQ68),MAX(ER$2:ER67)+1,0)</f>
        <v>0</v>
      </c>
      <c r="ES68" s="259" t="str">
        <f t="shared" ref="ES68:ES131" ca="1" si="259">IF(ER68&gt;=1,EZ68,"")</f>
        <v/>
      </c>
      <c r="ET68" s="259" t="str">
        <f ca="1">IFERROR(UPPER(INDEX($ER$3:$ES$500,MATCH(ROWS(ET$3:ET68),$ER$3:$ER$500,0),2)),"")</f>
        <v/>
      </c>
      <c r="EY68" s="259">
        <f t="shared" ref="EY68:EZ102" ca="1" si="260">INDIRECT(ADDRESS(ROW()+5,COLUMN()-151,,,"VALORI_INIZIALI"))</f>
        <v>0</v>
      </c>
      <c r="EZ68" s="259">
        <f t="shared" ca="1" si="260"/>
        <v>0</v>
      </c>
      <c r="FA68" s="259" t="str">
        <f t="shared" ref="FA68:FA102" ca="1" si="261">IF(AND(CONCATENATE(INDIRECT(ADDRESS(ROW()+5,6,,,"VALORI_INIZIALI")),INDIRECT(ADDRESS(ROW()+5,7,,,"VALORI_INIZIALI")))="",EZ68&lt;&gt;0),"manca la descrizione dell'operazione",CONCATENATE(INDIRECT(ADDRESS(ROW()+5,6,,,"VALORI_INIZIALI")),INDIRECT(ADDRESS(ROW()+5,7,,,"VALORI_INIZIALI"))))</f>
        <v/>
      </c>
      <c r="FB68" s="259">
        <f t="shared" ref="FB68:FB102" ca="1" si="262">IF(EZ68=0,0,ROUND(INDIRECT(ADDRESS(ROW()+5,COLUMN()-150,,,"VALORI_INIZIALI")),2))</f>
        <v>0</v>
      </c>
      <c r="FC68" s="259">
        <f t="shared" ref="FC68:FC102" ca="1" si="263">IF(EZ68=0,0,ROUND(INDIRECT(ADDRESS(ROW()+5,COLUMN()-150,,,"VALORI_INIZIALI")),2))</f>
        <v>0</v>
      </c>
      <c r="FD68" s="259">
        <f t="shared" ca="1" si="202"/>
        <v>0</v>
      </c>
      <c r="FE68" s="259" t="str">
        <f t="shared" ca="1" si="203"/>
        <v/>
      </c>
      <c r="FF68" s="259" t="str">
        <f t="shared" ref="FF68:FF102" ca="1" si="264">IF(EZ68&lt;&gt;0,CONCATENATE(ROW()-2," V.I."),"")</f>
        <v/>
      </c>
      <c r="FG68" s="259" t="str">
        <f t="shared" ref="FG68:FG100" si="265">IF(AND(MID(AE68,1,2)="SP",AA68&lt;&gt;"PATRIMONIO NETTO",AA68&lt;&gt;"TITOLARE C/RITENUTE SUBITE",AA68&lt;&gt;"PRELEVAMENTI EXTRAGESTIONE"),AA68,"")</f>
        <v>SOVVENZIONI BANCARIE</v>
      </c>
      <c r="FH68" s="259">
        <f t="shared" ca="1" si="156"/>
        <v>0</v>
      </c>
      <c r="FI68" s="259">
        <f t="shared" ca="1" si="204"/>
        <v>0</v>
      </c>
      <c r="FJ68" s="259">
        <f t="shared" ref="FJ68:FJ100" ca="1" si="266">IF(AND(FG68&lt;&gt;"",$FH68&gt;$FI68,OR($FH68&gt;0,$FI68&gt;0)),$FH68-$FI68,0)</f>
        <v>0</v>
      </c>
      <c r="FK68" s="259">
        <f t="shared" ref="FK68:FK120" ca="1" si="267">IF(AND($FG68&lt;&gt;"",$FI68&gt;$FH68,OR($FH68&gt;0,$FI68&gt;0)),$FI68-$FH68,0)</f>
        <v>0</v>
      </c>
      <c r="FL68" s="259">
        <f ca="1">IF(OR(FJ68&gt;0,FK68&gt;0),MAX($FL$2:FL67)+1,0)</f>
        <v>0</v>
      </c>
      <c r="FM68" s="259">
        <f t="shared" ca="1" si="205"/>
        <v>0</v>
      </c>
      <c r="FN68" s="259">
        <f ca="1">IF(FM68&lt;0,MAX($FN$2:FN67)+1,0)</f>
        <v>0</v>
      </c>
      <c r="FO68" s="259" t="str">
        <f t="shared" ref="FO68:FO131" ca="1" si="268">IF(FM68&lt;0,AA68,"")</f>
        <v/>
      </c>
      <c r="FP68" s="259" t="str">
        <f ca="1">IFERROR(INDEX($FN$3:$FO$400,MATCH(ROWS($FP$3:FP68),$FN$3:$FN$400,0),2),"")</f>
        <v/>
      </c>
      <c r="FQ68" s="259" t="str">
        <f>IF(AE68="SE AVERE",MAX($FQ$2:FQ67)+1,"")</f>
        <v/>
      </c>
      <c r="FR68" s="259" t="str">
        <f>IF(AE68="SE DARE",MAX($FR$2:FR67)+1,"")</f>
        <v/>
      </c>
      <c r="FS68" s="259" t="str">
        <f ca="1">IF(AND(AE68="SP DARE",AA68&lt;&gt;$FS$1,AA68&lt;&gt;$FT$1),MAX($FS$2:FS67)+1,IF(AND(GQ68="SP DARE",AA68&lt;&gt;$FS$1,AA68&lt;&gt;$FT$1),MAX($FS$2:FS67)+1,""))</f>
        <v/>
      </c>
      <c r="FT68" s="259">
        <f ca="1">IF(AND(AE68="SP AVERE",AA68&lt;&gt;$FU$1),MAX($FT$2:FT67)+1,IF(AND(GQ68="SP AVERE",AA68&lt;&gt;$FU$1),MAX($FT$2:FT67)+1,""))</f>
        <v>150</v>
      </c>
      <c r="FU68" s="259">
        <f t="shared" ref="FU68:FU131" ca="1" si="269">SUM(FQ68:FT68)</f>
        <v>150</v>
      </c>
      <c r="FV68" s="259" t="str">
        <f t="shared" ref="FV68:FV131" si="270">AA68</f>
        <v>SOVVENZIONI BANCARIE</v>
      </c>
      <c r="FW68" s="259" t="str">
        <f ca="1">IFERROR(INDEX($FU$3:$FV$500,MATCH(ROWS($FW$3:FW68),$FU$3:$FU$500,0),2),0)</f>
        <v>ONERI FISCALI DIVERSI</v>
      </c>
      <c r="FX68" s="259">
        <f t="shared" ref="FX68:FX131" ca="1" si="271">IF(FW68&lt;&gt;0,ROW()-2,0)</f>
        <v>66</v>
      </c>
      <c r="FY68" s="259">
        <f t="shared" ref="FY68:FY131" ca="1" si="272">IF(AND(ROW()&lt;=$FX$1,FX68=0),ROW()-2,0)</f>
        <v>0</v>
      </c>
      <c r="FZ68" s="259">
        <f ca="1">IF(FY68&gt;0,MAX($FZ$2:FZ67)+1,0)</f>
        <v>0</v>
      </c>
      <c r="GA68" s="259">
        <f ca="1">IFERROR(INDEX($FY$3:$FZ$500,MATCH(ROWS($GA$3:GA68),$FZ$3:$FZ$500,0),1),0)</f>
        <v>0</v>
      </c>
      <c r="GC68" s="259">
        <f t="shared" ref="GC68:GC131" ca="1" si="273">FX68+FY68</f>
        <v>66</v>
      </c>
      <c r="GD68" s="259" t="str">
        <f t="shared" ref="GD68:GD131" ca="1" si="274">IFERROR(IF(FX68&gt;0,FW68,INDEX($GA$3:$GB$400,MATCH(ROW()-2,$GA$3:$GA$400,0),2)),0)</f>
        <v>ONERI FISCALI DIVERSI</v>
      </c>
      <c r="GG68" s="259">
        <f t="shared" ref="GG68:GG131" ca="1" si="275">IFERROR(INDEX($GA$3:$GF$400,MATCH(ROW()-2,$GA$3:$GA$400,0),5),0)</f>
        <v>0</v>
      </c>
      <c r="GH68" s="259">
        <f t="shared" ref="GH68:GH131" ca="1" si="276">IFERROR(INDEX($GA$3:$GF$400,MATCH(ROW()-2,$GA$3:$GA$400,0),6),0)</f>
        <v>0</v>
      </c>
      <c r="GI68" s="259">
        <f t="shared" ref="GI68:GI131" ca="1" si="277">IFERROR(INDEX($DL$3:$DP$400,MATCH($FW68,$DL$3:$DL$400,0),5),0)</f>
        <v>0</v>
      </c>
      <c r="GJ68" s="259">
        <f t="shared" ref="GJ68:GJ131" ca="1" si="278">IFERROR(INDEX($DL$3:$DP$400,MATCH($FW68,$DL$3:$DL$400,0),4),0)</f>
        <v>0</v>
      </c>
      <c r="GK68" s="259">
        <f t="shared" ref="GK68:GK131" ca="1" si="279">GG68+GI68</f>
        <v>0</v>
      </c>
      <c r="GL68" s="259">
        <f t="shared" ref="GL68:GL131" ca="1" si="280">GH68+GJ68</f>
        <v>0</v>
      </c>
      <c r="GM68" s="259">
        <f ca="1">IF(OR(GK68&gt;0,GL68&gt;0),MAX($GM$2:GM67)+1,0)</f>
        <v>0</v>
      </c>
      <c r="GN68" s="259" t="str">
        <f ca="1">IFERROR(INDEX($GD$3:$GM$400,MATCH(ROWS($GN$3:GN68),$GM$3:$GM$400,0),1),"")</f>
        <v/>
      </c>
      <c r="GO68" s="259" t="str">
        <f ca="1">IFERROR(INDEX($GD$3:$GM$400,MATCH(ROWS($GO$3:GO68),$GM$3:$GM$400,0),8),"")</f>
        <v/>
      </c>
      <c r="GP68" s="259" t="str">
        <f ca="1">IFERROR(INDEX($GD$3:$GM$400,MATCH(ROWS($GP$3:GP68),$GM$3:$GM$400,0),9),"")</f>
        <v/>
      </c>
      <c r="GQ68" s="259">
        <f t="shared" ca="1" si="206"/>
        <v>0</v>
      </c>
      <c r="GR68" s="259">
        <f t="shared" ref="GR68:GR131" ca="1" si="281">IF(AND(FQ68&gt;0,ROW()=FU68),"epilogo a Conto economico",0)</f>
        <v>0</v>
      </c>
      <c r="GS68" s="259" t="str">
        <f t="shared" ref="GS68:GS131" si="282">IF(AND(ROW()-2&gt;=$GC$1,ROW()-2&lt;=$GK$1),"epilogo a Conto economico",IF(AND(ROW()-2&gt;=$GD$1,ROW()-2&lt;=$GL$1),"epilogo a Conto economico",IF(AND(ROW()-2&gt;=$GE$1,ROW()-2&lt;=$GN$1),"chiusura del conto",IF(AND(ROW()-2&gt;=$GF$1,ROW()-2&lt;=$GL$1),"epilogo a Conto economico",IF(ROW()-2=$GA$3,"epilogo componenti positivi",IF(ROW()-2=$GA$4,"epilogo componenti negativi",IF(AND(ROW()-2&gt;=$GA$7,ROW()-2&lt;=$GA$8),"rilevato utile d'esercizio",IF(AND(ROW()-2&gt;=$GA$5,ROW()-2&lt;=$GA$6),"rilevata perdita d'esercizio",IF(AND(ROW()-2&gt;=$GA$9,ROW()-2&lt;=$GA$10),"capitalizzato l'utile conseguito",IF(AND(ROW()-2&gt;=$GA$11,ROW()-2&lt;=$GA$12),"coperta perdita d'esercizio",IF(ROW()-2=$GA$13,"prelevamenti extragestione",IF(ROW()-2=$GA$15,"giro ritenute subite",IF(OR(ROW()-2=$GA$14,ROW()-2=$GA$16),"giro a patrimonio netto",IF(ROW()-2=$GA$17,"totale attività",IF(ROW()-2=$GA$18,"totale passività",IF(ROW()-2=$GA$19,"chiusura del conto",IF(ROW()-2=$GA$20,"patrimonio netto finale","")))))))))))))))))</f>
        <v>epilogo a Conto economico</v>
      </c>
      <c r="GT68" s="259" t="str">
        <f ca="1">IFERROR(INDEX($GD$3:$GS$400,MATCH(ROWS($GT$3:GT68),$GM$3:$GM$400,0),16),"")</f>
        <v/>
      </c>
      <c r="GU68" s="259">
        <f ca="1">IF(GQ68&lt;&gt;0,MAX($GU$2:$GU67)+1,0)</f>
        <v>0</v>
      </c>
      <c r="GV68" s="259">
        <f t="shared" ref="GV68:GV131" ca="1" si="283">IF(GU68&lt;&gt;0,AA68,0)</f>
        <v>0</v>
      </c>
      <c r="GW68" s="259" t="str">
        <f ca="1">IF(AND(IFERROR(INDEX($GU$3:$GV$400,MATCH(ROWS($GW$3:GW68),$GU$3:$GU$400,0),2),"")&lt;&gt;"",GW69&lt;&gt;""),CONCATENATE(IFERROR(INDEX($GU$3:$GV$400,MATCH(ROWS($GW$3:GW68),$GU$3:$GU$400,0),2),"")," - "),IFERROR(INDEX($GU$3:$GV$400,MATCH(ROWS($GW$3:GW68),$GU$3:$GU$400,0),2),""))</f>
        <v/>
      </c>
      <c r="GX68" s="259">
        <f ca="1">IF(OR(GN68="IVA NS/CREDITO",GN68="IVA NS/DEBITO",GN68="IVA C/ACCONTO",GN68="IMPOSTE C/ACCONTO"),MAX($GX$2:GX67)+1,0)</f>
        <v>0</v>
      </c>
      <c r="GY68" s="259" t="str">
        <f ca="1">IF(AND(IFERROR(INDEX($GN$3:$GX$200,MATCH(ROWS($GY$3:GY68),$GX$3:$GX$200,0),1),"")&lt;&gt;"",GY69&lt;&gt;""),CONCATENATE(IFERROR(INDEX($GN$3:$GX$200,MATCH(ROWS($GY$3:GY68),$GX$3:$GX$200,0),1),"")," - "),IFERROR(INDEX($GN$3:$GX$200,MATCH(ROWS($GY$3:GY68),$GX$3:$GX$200,0),1),""))</f>
        <v/>
      </c>
      <c r="GZ68" s="259" t="s">
        <v>91</v>
      </c>
      <c r="HA68" s="259" t="s">
        <v>87</v>
      </c>
      <c r="HB68" s="269" t="s">
        <v>256</v>
      </c>
      <c r="HC68" s="269" t="s">
        <v>276</v>
      </c>
      <c r="HD68" s="269" t="s">
        <v>4</v>
      </c>
      <c r="HE68" s="269" t="s">
        <v>206</v>
      </c>
      <c r="HL68" s="259" t="str">
        <f t="shared" ca="1" si="207"/>
        <v/>
      </c>
      <c r="HM68" s="259" t="str">
        <f t="shared" ca="1" si="208"/>
        <v/>
      </c>
      <c r="HN68" s="259" t="str">
        <f t="shared" ca="1" si="209"/>
        <v/>
      </c>
      <c r="HO68" s="259">
        <f ca="1">IF(HL68&lt;&gt;"",MAX($HO$2:HO67)+1,0)</f>
        <v>0</v>
      </c>
      <c r="HP68" s="259">
        <f ca="1">IF(HM68&lt;&gt;"",MAX($HP$2:HP67)+1,0)</f>
        <v>0</v>
      </c>
      <c r="HQ68" s="259">
        <f ca="1">IF(HN68&lt;&gt;"",MAX($HQ$2:HQ67)+1,0)</f>
        <v>0</v>
      </c>
      <c r="HR68" s="259" t="str">
        <f t="shared" ref="HR68:HR102" ca="1" si="284">IF($HL$2=0,"",IF(AND(ROW()-2=$HL$2+1,$HL$2&lt;&gt;0),"BILANCIO DI APERTURA",IF(AND(ROW()-2=$HL$2+2,$HL$2&lt;&gt;0,$HM$2&gt;0),"BILANCIO DI APERTURA",IF(AND(ROW()-2=$HL$2+2+$HM$2+1,$HM$2&lt;&gt;0),"BILANCIO DI APERTURA",IF(AND(ROW()-2=$HL$2+2,$HM$2=0),"BILANCIO DI APERTURA","")))))</f>
        <v/>
      </c>
      <c r="HS68" s="259" t="str">
        <f t="shared" ref="HS68:HS102" ca="1" si="285">CONCATENATE(HL68,HM68,HN68)</f>
        <v/>
      </c>
      <c r="HT68" s="259">
        <f t="shared" ref="HT68:HT102" ca="1" si="286">HO68+HP68+HQ68</f>
        <v>0</v>
      </c>
      <c r="HU68" s="259">
        <f t="shared" ref="HU68:HU102" ca="1" si="287">IF(HR68="BILANCIO DI APERTURA",ROW()-2,0)</f>
        <v>0</v>
      </c>
      <c r="HV68" s="259" t="str">
        <f ca="1">CONCATENATE(IFERROR(INDEX($HS$3:$HT$102,MATCH(ROWS($HV$3:HV68),$HT$3:$HT$102,0),1),""),HR68)</f>
        <v/>
      </c>
      <c r="IB68" s="259" t="s">
        <v>327</v>
      </c>
      <c r="IC68" s="259">
        <f ca="1">IFERROR(INDEX(PIANO_DEI_CONTI,MATCH(ROWS(DL$3:DL68),$DK$3:DK295,0),2),0)</f>
        <v>0</v>
      </c>
      <c r="ID68" s="259">
        <f t="shared" ref="ID68:ID131" ca="1" si="288">IFERROR(IF(AND(DL68&lt;&gt;"",$DM68&gt;$DN68,OR($DM68&gt;0,$DN68&gt;0)),$DM68-$DN68,0),0)</f>
        <v>0</v>
      </c>
      <c r="IE68" s="259">
        <f t="shared" ref="IE68:IE131" ca="1" si="289">IFERROR(IF(AND(DL68&lt;&gt;"",$DM68&lt;$DN68,OR($DM68&gt;0,$DN68&gt;0)),$DN68-$DM68,0),0)</f>
        <v>0</v>
      </c>
      <c r="IF68" s="259">
        <f t="shared" ref="IF68:IF131" ca="1" si="290">IFERROR(INDEX($AA$3:$EC$200,MATCH(IC68,$AA$3:$AA$200,0),106),"")</f>
        <v>0</v>
      </c>
      <c r="IG68" s="259">
        <f ca="1">IG46-IG67</f>
        <v>0</v>
      </c>
      <c r="IH68" s="259">
        <f ca="1">IF(OR(IG68&lt;&gt;0,IG78&lt;&gt;0,IG67&lt;&gt;0,IG46&lt;&gt;0),MAX($IH$35:IH67)+1,0)</f>
        <v>0</v>
      </c>
      <c r="II68" s="259">
        <f>IF(AD68="costi pluriennali",MAX($II$2:II67)+1,0)</f>
        <v>0</v>
      </c>
      <c r="IJ68" s="259">
        <f>IF($AD68="rettifiche costi pluriennali",MAX($IJ$2:IJ67)+1,0)</f>
        <v>0</v>
      </c>
      <c r="IK68" s="259">
        <f t="shared" ref="IK68:IK131" si="291">MAX(II68,IJ68)</f>
        <v>0</v>
      </c>
      <c r="IL68" s="259" t="str">
        <f t="shared" ref="IL68:IL131" si="292">IF(IK68&gt;0,AA68,"")</f>
        <v/>
      </c>
      <c r="IM68" s="259">
        <f t="shared" ref="IM68:IM131" ca="1" si="293">IFERROR(INDEX($IC$3:$IK$200,MATCH(IL68,$IC$3:$IC$200,0),2),0)</f>
        <v>0</v>
      </c>
      <c r="IN68" s="259">
        <f t="shared" ca="1" si="141"/>
        <v>0</v>
      </c>
      <c r="IO68" s="259">
        <f>SUMIFS($IM$3:$IM$200,$IK$3:$IK$200,ROWS($IO$3:IO68))-SUMIFS($IN$3:$IN$200,$IK$3:$IK$200,ROWS($IO$3:IO68))</f>
        <v>0</v>
      </c>
      <c r="IP68" s="259" t="str">
        <f>IF(IO68&lt;0,INDEX($IJ$3:$IL$200,MATCH(ROWS($IP$3:IP68),$IJ$3:$IJ$200,0),3),"")</f>
        <v/>
      </c>
      <c r="IQ68" s="259">
        <f>IF(IP68&lt;&gt;"",MAX($IQ$2:IQ67)+1,0)</f>
        <v>0</v>
      </c>
      <c r="IR68" s="259" t="str">
        <f ca="1">IFERROR(INDEX($IP$3:$IQ$200,MATCH(ROWS($IR$3:IR68),$IQ$3:$IQ$200,0),1),"")</f>
        <v/>
      </c>
      <c r="IS68" s="259" t="str">
        <f t="shared" ref="IS68:IS131" ca="1" si="294">IF(AND($HM$2&gt;0,SUM($FJ$3:$FJ$120)&lt;&gt;0,ROW()-2=$HP$2-1),SUM($FJ$3:$FJ$120),IF(AND($HM$2=0,SUM($FJ$3:$FJ$120)&lt;&gt;0,ROW()-2=$HP$2),SUM($FJ$3:$FJ$120),""))</f>
        <v/>
      </c>
      <c r="IT68" s="259" t="str">
        <f t="shared" ref="IT68:IT131" ca="1" si="295">IF(AND(ROW()-2=$HP$2,SUM($FK$3:$FK$120)&lt;&gt;0),SUM($FK$3:$FK$120),"")</f>
        <v/>
      </c>
      <c r="IU68" s="259" t="str">
        <f t="shared" ref="IU68:IU131" ca="1" si="296">IF(ROW()-2=$HQ$2,SUM($IS$3:$IS$200)-SUM($IT$3:$IT$200),"")</f>
        <v/>
      </c>
      <c r="IV68" s="259" t="str">
        <f t="shared" ref="IV68:IV131" ca="1" si="297">IFERROR(IF(INDEX($FG$3:$HV$200,MATCH($HV68,$FG$3:$FG$200,0),4)=0,"",INDEX($FG$3:$HV$200,MATCH($HV68,$FG$3:$FG$200,0),4)),"")</f>
        <v/>
      </c>
      <c r="IW68" s="259" t="str">
        <f t="shared" ref="IW68:IW131" ca="1" si="298">IFERROR(IF(INDEX($FG$3:$HV$200,MATCH($HV68,$FG$3:$FG$200,0),5)=0,"",INDEX($FG$3:$HV$200,MATCH($HV68,$FG$3:$FG$200,0),5)),"")</f>
        <v/>
      </c>
      <c r="IX68" s="259" t="str">
        <f t="shared" ref="IX68:IX131" ca="1" si="299">IF(SUM(IV68,IT68,IU68)=0,"",SUM(IV68,IT68,IU68))</f>
        <v/>
      </c>
      <c r="IY68" s="259" t="str">
        <f t="shared" ref="IY68:IY131" ca="1" si="300">IF(SUM(IW68,IS68)=0,"",SUM(IW68,IS68))</f>
        <v/>
      </c>
      <c r="IZ68" s="259" t="str">
        <f t="shared" ref="IZ68:IZ131" ca="1" si="301">IF(AND(IX68="",IY68=""),"",IF(OR(IV68&lt;&gt;"",IW68&lt;&gt;""),"apertura del conto",IF(IS68&lt;&gt;"","totale attività",IF(IT68&lt;&gt;"","totale passività",IF(IU68&lt;&gt;"","patrimonio netto iniziale","")))))</f>
        <v/>
      </c>
      <c r="JA68" s="259" t="str">
        <f t="shared" ref="JA68:JA131" ca="1" si="302">IF(EY68&gt;0,YEAR(EY68),"")</f>
        <v/>
      </c>
      <c r="JB68" s="259">
        <f t="shared" ca="1" si="210"/>
        <v>0</v>
      </c>
      <c r="JC68" s="259">
        <f t="shared" ref="JC68:JC102" ca="1" si="303">IF(OR(AND(FB68&lt;0,FC68&lt;0),FB68&lt;0,FC68&lt;0),1,0)</f>
        <v>0</v>
      </c>
      <c r="JE68" s="259">
        <f ca="1">IFERROR(INDEX(LIBRO_GIORNALE!$N$11:$O$408,MATCH(ROWS($JE$2:JE67),LIBRO_GIORNALE!$O$11:$O$408,0),1),0)</f>
        <v>0</v>
      </c>
      <c r="JF68" s="259" t="str">
        <f t="shared" ref="JF68:JF124" ca="1" si="304">UPPER(IFERROR(INDEX($EX$103:$EZ$400,MATCH(JE68,$EX$103:$EX$400,0),3),0))</f>
        <v>0</v>
      </c>
      <c r="JG68" s="259">
        <f t="shared" ref="JG68:JG124" ca="1" si="305">IF(EXACT(JF68,JF67),0,IF($JG$1=1,IFERROR(MATCH($JF68,$CV$3:$CV$220,0),0),0))</f>
        <v>0</v>
      </c>
      <c r="JH68" s="259">
        <f ca="1">IF(JJ68&gt;0,0,MAX($JH$2:JH67)+1)</f>
        <v>66</v>
      </c>
      <c r="JI68" s="259">
        <f ca="1">IF(JG68&gt;0,MAX($JI$2:JI67)+1,0)</f>
        <v>0</v>
      </c>
      <c r="JJ68" s="259">
        <f ca="1">IFERROR(INDEX($JG$3:$JI$124,MATCH(ROWS($JJ$3:JJ68),$JI$3:$JI$124,0),1),0)</f>
        <v>0</v>
      </c>
      <c r="JK68" s="259">
        <f t="shared" ref="JK68:JK124" ca="1" si="306">IFERROR(IF(JH68&gt;0,MATCH(JH68,$JJ$3:$JJ$124,0),0),0)</f>
        <v>0</v>
      </c>
      <c r="JL68" s="259">
        <f t="shared" ref="JL68:JL124" ca="1" si="307">IF(JK68=0,JH68,0)</f>
        <v>66</v>
      </c>
    </row>
    <row r="69" spans="1:272">
      <c r="A69" s="259" t="str">
        <f t="shared" si="211"/>
        <v>10.04</v>
      </c>
      <c r="B69" s="259" t="str">
        <f t="shared" si="212"/>
        <v>UTILE D'ESERCIZIO</v>
      </c>
      <c r="C69" s="259" t="str">
        <f t="shared" si="213"/>
        <v>E</v>
      </c>
      <c r="D69" s="259" t="str">
        <f t="shared" si="214"/>
        <v>A</v>
      </c>
      <c r="E69" s="259" t="str">
        <f t="shared" si="215"/>
        <v>PATRIMONIO NETTO</v>
      </c>
      <c r="F69" s="259" t="str">
        <f t="shared" si="216"/>
        <v>SP AVERE - SE DARE</v>
      </c>
      <c r="G69" s="259">
        <f t="shared" ca="1" si="217"/>
        <v>0</v>
      </c>
      <c r="H69" s="259">
        <f t="shared" ca="1" si="218"/>
        <v>0</v>
      </c>
      <c r="I69" s="259">
        <f t="shared" ca="1" si="219"/>
        <v>0</v>
      </c>
      <c r="K69" s="259" t="str">
        <f ca="1">IFERROR(IF($I$1=1,INDEX($AA$3:$AS$220,MATCH(ROWS($K$3:K69),$AQ$3:$AQ$220,0),1),IF($I$1=2,INDEX($AA$3:$AS$220,MATCH(ROWS($K$3:K69),$AR$3:$AR$220,0),1),IF($I$1=3,INDEX($AA$3:$AS$220,MATCH(ROWS($K$3:K69),$AS$3:$AS$220,0),1),""))),"")</f>
        <v>DEBITI V/ALTRI FINANZIATORI</v>
      </c>
      <c r="L69" s="259">
        <f ca="1">IF(AND($L$1="VISUALIZZA TUTTI I CONTI",K69&lt;&gt;""),MAX(L68:L68)+1,IFERROR(IF($J$1=1,IF(INDEX(PIANO_DEI_CONTI,MATCH($K69,DENOMINAZIONE,0),5)=$L$1,MAX($L$2:L68)+1,0),IF($J$1=2,IF(INDEX(PIANO_DEI_CONTI,MATCH($K69,DENOMINAZIONE,0),7)=$L$1,MAX($L$2:L68)+1,0))),0))</f>
        <v>67</v>
      </c>
      <c r="M69" s="259" t="str">
        <f ca="1">IFERROR(INDEX($K$3:$K$220,MATCH(ROWS($M$3:M69),$L$3:$L$220,0),1),"")</f>
        <v>DEBITI V/ALTRI FINANZIATORI</v>
      </c>
      <c r="Q69" s="259" t="str">
        <f ca="1">IF(IFERROR(INDEX($O$3:$P$220,MATCH(ROWS(Q$3:Q69),$P$3:$P$220,0),1),"")=0,"",IFERROR(INDEX($O$3:$P$220,MATCH(ROWS(Q$3:Q69),$P$3:$P$220,0),1),""))</f>
        <v/>
      </c>
      <c r="R69" s="259" t="str">
        <f t="shared" si="182"/>
        <v/>
      </c>
      <c r="S69" s="259">
        <f ca="1">IF(IFERROR(MATCH(R69,DENOMINAZIONE_GIORNALE,0),0)&gt;0,MAX(S$2:S68)+1,0)</f>
        <v>0</v>
      </c>
      <c r="T69" s="259" t="str">
        <f ca="1">IFERROR(INDEX($R$3:$S$220,MATCH(ROWS($T$3:T69),$S$3:$S$220,0),1),"")</f>
        <v/>
      </c>
      <c r="U69" s="259">
        <f t="shared" ca="1" si="183"/>
        <v>0</v>
      </c>
      <c r="V69" s="259">
        <f ca="1">IF(IF(U69&lt;&gt;0,MAX($V$2:V68)+1,0)=0,0,IF(U69&lt;&gt;0,MAX($V$2:V68)+1,0))</f>
        <v>0</v>
      </c>
      <c r="W69" s="259" t="str">
        <f t="shared" si="220"/>
        <v>10.04</v>
      </c>
      <c r="X69" s="259" t="str">
        <f t="shared" si="221"/>
        <v>UTILE D'ESERCIZIO</v>
      </c>
      <c r="Y69" s="259">
        <f>IF(W69="",0,MAX($Y$2:Y68)+1)</f>
        <v>58</v>
      </c>
      <c r="Z69" s="259" t="str">
        <f>IFERROR(INDEX($W$3:$Y$220,MATCH(ROWS($Z$2:Z68),$Y$3:$Y$220,0),1),"")</f>
        <v>13.20</v>
      </c>
      <c r="AA69" s="259" t="str">
        <f t="shared" si="222"/>
        <v>BANCHE C/C PASSIVI</v>
      </c>
      <c r="AB69" s="259" t="str">
        <f t="shared" si="223"/>
        <v>F</v>
      </c>
      <c r="AC69" s="259" t="str">
        <f t="shared" si="224"/>
        <v>A</v>
      </c>
      <c r="AD69" s="259" t="str">
        <f t="shared" si="225"/>
        <v>DEBITI</v>
      </c>
      <c r="AE69" s="259" t="str">
        <f t="shared" si="226"/>
        <v>SP AVERE</v>
      </c>
      <c r="AF69" s="259" t="str">
        <f t="shared" si="227"/>
        <v>DEBITI FINANZIARI</v>
      </c>
      <c r="AG69" s="259">
        <f t="shared" ca="1" si="228"/>
        <v>0</v>
      </c>
      <c r="AH69" s="259">
        <f t="shared" ca="1" si="229"/>
        <v>0</v>
      </c>
      <c r="AI69" s="259">
        <f t="shared" ca="1" si="230"/>
        <v>1</v>
      </c>
      <c r="AJ69" s="259" t="str">
        <f t="shared" si="231"/>
        <v>13</v>
      </c>
      <c r="AK69" s="259" t="str">
        <f t="shared" si="232"/>
        <v/>
      </c>
      <c r="AL69" s="259">
        <f>IF(AK69&lt;&gt;"",MAX($AL$2:AL68)+1,0)</f>
        <v>0</v>
      </c>
      <c r="AM69" s="259" t="str">
        <f>IFERROR(INDEX($AK$3:$AL$220,MATCH(ROWS($AM$3:AM69),$AL$3:$AL$220,0),1),"")</f>
        <v/>
      </c>
      <c r="AN69" s="259" t="str">
        <f t="shared" si="233"/>
        <v/>
      </c>
      <c r="AO69" s="259" t="str">
        <f t="shared" si="234"/>
        <v/>
      </c>
      <c r="AP69" s="259" t="str">
        <f t="shared" si="235"/>
        <v>DEBITI FINANZIARI</v>
      </c>
      <c r="AQ69" s="259">
        <f ca="1">IF(OR(AG69=0,AG69=""),0,MAX(AQ$2:AQ68)+1)</f>
        <v>0</v>
      </c>
      <c r="AR69" s="259">
        <f ca="1">IF(OR(AH69=0,AH69=""),0,MAX(AR$2:AR68)+1)</f>
        <v>0</v>
      </c>
      <c r="AS69" s="259">
        <f ca="1">IF(OR(AI69=0,AI69=""),0,MAX(AS$2:AS68)+1)</f>
        <v>65</v>
      </c>
      <c r="AT69" s="259" t="str">
        <f ca="1">IFERROR(INDEX($AD$3:$AS$220,MATCH(ROWS(AT$3:AT69),AQ$3:AQ$220,0),1),"")</f>
        <v>COSTI D'ESERCIZIO</v>
      </c>
      <c r="AU69" s="259" t="str">
        <f ca="1">IFERROR(INDEX($AD$3:$AS$220,MATCH(ROWS(AU$3:AU69),AR$3:AR$220,0),1),"")</f>
        <v>CONTI CON ALTERNANZA DI SALDI</v>
      </c>
      <c r="AV69" s="259" t="str">
        <f ca="1">IFERROR(INDEX($AD$3:$AS$220,MATCH(ROWS(AV$3:AV69),AS$3:AS$220,0),1),"")</f>
        <v>DEBITI</v>
      </c>
      <c r="AW69" s="259" t="str">
        <f ca="1">IFERROR(INDEX($AP$3:$AS$220,MATCH(ROWS(AW$3:AW69),AQ$3:AQ$220,0),1),"")</f>
        <v>COSTI PER SERVIZI</v>
      </c>
      <c r="AX69" s="259" t="str">
        <f ca="1">IFERROR(INDEX($AP$3:$AS$220,MATCH(ROWS(AX$3:AX69),AR$3:AR$220,0),1),"")</f>
        <v>CONTI TRANSITORI E DIVERSI</v>
      </c>
      <c r="AY69" s="259" t="str">
        <f ca="1">IFERROR(INDEX($AP$3:$AS$220,MATCH(ROWS(AY$3:AY69),AS$3:AS$220,0),1),"")</f>
        <v>DEBITI FINANZIARI</v>
      </c>
      <c r="AZ69" s="276" t="str">
        <f t="shared" ca="1" si="236"/>
        <v/>
      </c>
      <c r="BA69" s="259">
        <f t="shared" ca="1" si="184"/>
        <v>0</v>
      </c>
      <c r="BB69" s="259">
        <f ca="1">IFERROR(INDEX($FG$3:$FL$400,MATCH(ROWS($BB$3:BB69),$FL$3:$FL$400,0),1),0)</f>
        <v>0</v>
      </c>
      <c r="BC69" s="259" t="str">
        <f t="shared" ca="1" si="237"/>
        <v/>
      </c>
      <c r="BD69" s="259">
        <f ca="1">IFERROR(INDEX($FG$3:$FL$400,MATCH(ROWS($BD$3:BD69),$FL$3:$FL$400,0),4),0)</f>
        <v>0</v>
      </c>
      <c r="BE69" s="259">
        <f ca="1">IFERROR(INDEX($FG$3:$FL$400,MATCH(ROWS($BE$3:BE69),$FL$3:$FL$400,0),5),0)</f>
        <v>0</v>
      </c>
      <c r="BG69" s="259" t="str">
        <f t="shared" si="185"/>
        <v>BANCHE C/C PASSIVI</v>
      </c>
      <c r="BH69" s="259">
        <f ca="1">IF(IFERROR(MATCH(BG69,DENOMINAZIONE_GIORNALE,0),0)&gt;0,MAX(BH$2:BH68)+1,0)</f>
        <v>0</v>
      </c>
      <c r="BI69" s="259" t="str">
        <f ca="1">IFERROR(INDEX($BG$3:$BH$220,MATCH(ROWS($BI$3:BI69),$BH$3:$BH$220,0),1),"")</f>
        <v/>
      </c>
      <c r="BJ69" s="259" t="str">
        <f t="shared" ca="1" si="186"/>
        <v/>
      </c>
      <c r="BK69" s="259" t="str">
        <f ca="1">IF(IF(BJ69&lt;&gt;"",MAX($BK$2:BK68)+1,0)=0,"",IF(BJ69&lt;&gt;"",MAX($BK$2:BK68)+1,0))</f>
        <v/>
      </c>
      <c r="BL69" s="259" t="str">
        <f ca="1">IFERROR(INDEX($T$3:$U$220, MATCH(ROWS(BL$3:BL69),$V$3:$V$220,0),1),"")</f>
        <v/>
      </c>
      <c r="BM69" s="259" t="str">
        <f ca="1">IFERROR(INDEX($T$3:$U$220, MATCH(ROWS(BM$3:BM69),$V$3:$V$220,0),2),"")</f>
        <v/>
      </c>
      <c r="BN69" s="259" t="str">
        <f ca="1">IF(IFERROR(INDEX($BI$3:$BJ$220,MATCH(ROWS(BN$3:BN69),$BK$3:$BK$220,0),1),"")="PATRIMONIO NETTO","",IFERROR(INDEX($BI$3:$BJ$220,MATCH(ROWS(BN$3:BN69),$BK$3:$BK$220,0),1),""))</f>
        <v/>
      </c>
      <c r="BO69" s="259" t="str">
        <f ca="1">IFERROR(INDEX($BI$3:$BJ$220,MATCH(ROWS(BO$3:BO69),$BK$3:$BK$220,0),2),"")</f>
        <v/>
      </c>
      <c r="BP69" s="259">
        <f ca="1">IF(BN69&lt;&gt;"",MAX(BP$2:$BP68)+1,0)</f>
        <v>0</v>
      </c>
      <c r="BQ69" s="259" t="str">
        <f ca="1">IFERROR(INDEX($BN$3:$BO$200,MATCH(ROWS(BQ$3:BQ69),$BP$3:$BP$220,0),1),"")</f>
        <v/>
      </c>
      <c r="BR69" s="259" t="str">
        <f ca="1">IFERROR(INDEX($BN$3:$BO$220,MATCH(ROWS(BR$3:BR69),$BP$3:$BP$220,0),2),"")</f>
        <v/>
      </c>
      <c r="BS69" s="259" t="str">
        <f ca="1">IFERROR(IF(OR(INDEX($T$3:$U$220,MATCH(ROWS(BL$3:BL69),$V$3:$V$220,0),1)="PRELEVAMENTI EXTRAGESTIONE",INDEX($T$3:$U$220,MATCH(ROWS(BL$3:BL69),$V$3:$V$220,0),1)="TITOLARE C/RITENUTE SUBITE"),"",INDEX($T$3:$U$220,MATCH(ROWS(BL$3:BL69),$V$3:$V$220,0),1)),"")</f>
        <v/>
      </c>
      <c r="BT69" s="259">
        <f t="shared" ca="1" si="238"/>
        <v>0</v>
      </c>
      <c r="BU69" s="259">
        <f ca="1">IF(BS69&lt;&gt;"",MAX(BU$2:BU68)+1,0)</f>
        <v>0</v>
      </c>
      <c r="BV69" s="259" t="str">
        <f ca="1">IFERROR(INDEX($BS$3:$BT$223,MATCH(ROWS(BV$3:BV69),$BU$3:$BU$223,0),1),"")</f>
        <v/>
      </c>
      <c r="BW69" s="259">
        <f t="shared" ca="1" si="239"/>
        <v>0</v>
      </c>
      <c r="BX69" s="259" t="str">
        <f t="shared" ca="1" si="240"/>
        <v/>
      </c>
      <c r="BY69" s="259" t="str">
        <f t="shared" ca="1" si="241"/>
        <v/>
      </c>
      <c r="BZ69" s="259" t="str">
        <f ca="1">IFERROR(IF(OR($DS$231&lt;&gt;$DT$231,$DU$231&lt;&gt;$DV$231,$EO$25&lt;&gt;0,$EO$26&lt;&gt;0),INDEX($T$3:$V$220,MATCH(ROWS($BV$3:BV69),$V$3:$V$220,0),1),CONCATENATE(BV69,BY69)),"")</f>
        <v/>
      </c>
      <c r="CA69" s="259">
        <f t="shared" ca="1" si="242"/>
        <v>0</v>
      </c>
      <c r="CB69" s="259" t="str">
        <f ca="1">IFERROR(IF(OR($BB$1&lt;&gt;$BD$1,$BC$1&lt;&gt;$BE$1,$DS$231&lt;&gt;$DT$231,$DU$231&lt;&gt;$DV$231,$EO$25&lt;&gt;0,$EO$26&lt;&gt;0),INDEX($BI$3:$BK$220,MATCH(ROWS($CB$3:CB69),$BK$3:$BK$220,0),1),CONCATENATE(BQ69,BX69)),"")</f>
        <v/>
      </c>
      <c r="CC69" s="259" t="str">
        <f t="shared" ca="1" si="243"/>
        <v/>
      </c>
      <c r="CD69" s="259" t="str">
        <f t="shared" si="187"/>
        <v/>
      </c>
      <c r="CE69" s="259">
        <f ca="1">IF(IFERROR(MATCH(CD69,DENOMINAZIONE_GIORNALE,0),0)&gt;0,MAX(CE$2:CE68)+1,0)</f>
        <v>0</v>
      </c>
      <c r="CF69" s="259" t="str">
        <f ca="1">IFERROR(INDEX($CD$3:$CE$220,MATCH(ROWS($CF$3:CF69),$CE$3:$CE$220,0),1),"")</f>
        <v/>
      </c>
      <c r="CG69" s="259">
        <f t="shared" ca="1" si="188"/>
        <v>0</v>
      </c>
      <c r="CH69" s="259" t="str">
        <f ca="1">IF(IF(CG69&lt;&gt;0,MAX($CH$2:CH68)+1,0)=0,"",IF(CG69&lt;&gt;"",MAX($CH$2:CH68)+1,0))</f>
        <v/>
      </c>
      <c r="CI69" s="259" t="str">
        <f ca="1">IFERROR(INDEX($CF$3:$CG$220,MATCH(ROWS($CI$3:CI69),$CH$3:$CH$220,0),1),"")</f>
        <v/>
      </c>
      <c r="CJ69" s="259" t="str">
        <f t="shared" ca="1" si="244"/>
        <v/>
      </c>
      <c r="CK69" s="259" t="str">
        <f t="shared" si="189"/>
        <v/>
      </c>
      <c r="CL69" s="259">
        <f ca="1">IF(IFERROR(MATCH(CK69,DENOMINAZIONE_GIORNALE,0),0)&gt;0,MAX(CL$2:CL68)+1,0)</f>
        <v>0</v>
      </c>
      <c r="CM69" s="259" t="str">
        <f ca="1">IFERROR(INDEX($CK$3:$CL$220,MATCH(ROWS($CM$3:CM69),$CL$3:$CL$220,0),1),"")</f>
        <v/>
      </c>
      <c r="CN69" s="259" t="str">
        <f t="shared" ca="1" si="190"/>
        <v/>
      </c>
      <c r="CO69" s="259">
        <f ca="1">IF(IF(CN69&lt;&gt;0,MAX($CO$2:CO68)+1,0)=0,"",IF(CN69&lt;&gt;"",MAX($CO$2:CO68)+1,0))</f>
        <v>0</v>
      </c>
      <c r="CP69" s="259" t="str">
        <f ca="1">IFERROR(INDEX($CM$3:$CN$220,MATCH(ROWS(CP$3:CP69),$CO$3:$CO$220,0),1),"")</f>
        <v/>
      </c>
      <c r="CQ69" s="259" t="str">
        <f ca="1">IFERROR(INDEX($CM$3:$CN$220,MATCH(ROWS(CQ$3:CQ69),$CO$3:$CO$220,0),2),"")</f>
        <v/>
      </c>
      <c r="CR69" s="259" t="str">
        <f t="shared" ca="1" si="191"/>
        <v/>
      </c>
      <c r="CS69" s="259">
        <f t="shared" ca="1" si="192"/>
        <v>0</v>
      </c>
      <c r="CT69" s="259">
        <f t="shared" ca="1" si="193"/>
        <v>0</v>
      </c>
      <c r="CU69" s="259">
        <f ca="1">IF(OR(CS69&gt;0,CT69&gt;0),MAX($CU$2:CU68)+1,0)</f>
        <v>0</v>
      </c>
      <c r="CV69" s="259" t="str">
        <f ca="1">IFERROR(INDEX(PIANO_DEI_CONTI,MATCH(ROWS($CV$3:CV69),$CU$3:$CU$200,0),2),"")</f>
        <v/>
      </c>
      <c r="CW69" s="259">
        <f ca="1">IFERROR(IF(CV69&lt;&gt;"",MAX($CW$2:CW68)+1,0),0)</f>
        <v>0</v>
      </c>
      <c r="CX69" s="259">
        <f t="shared" ca="1" si="174"/>
        <v>4</v>
      </c>
      <c r="CY69" s="259" t="str">
        <f t="shared" ref="CY69:CY100" ca="1" si="308">IF(ISERROR(INDEX($CV$3:$CX$2300,MATCH(CX69,$CW$3:$CW$2300,0),1)),"MASTRO",INDEX($CV$3:$CX$2300,MATCH(CX69,$CW$3:$CW$2300,0),1))</f>
        <v>MASTRO</v>
      </c>
      <c r="CZ69" s="259" t="e">
        <f t="shared" ca="1" si="176"/>
        <v>#N/A</v>
      </c>
      <c r="DA69" s="259" t="str">
        <f t="shared" ca="1" si="181"/>
        <v/>
      </c>
      <c r="DB69" s="259" t="str">
        <f t="shared" ca="1" si="177"/>
        <v/>
      </c>
      <c r="DC69" s="259" t="str">
        <f t="shared" ca="1" si="178"/>
        <v/>
      </c>
      <c r="DD69" s="259" t="str">
        <f t="shared" ca="1" si="179"/>
        <v/>
      </c>
      <c r="DE69" s="259" t="str">
        <f t="shared" ca="1" si="180"/>
        <v/>
      </c>
      <c r="DF69" s="259">
        <f ca="1">IF(AND(CX69=$DE$2,$DF$2&lt;&gt;0),0,IF(AND(DB69&lt;&gt;"",OR(DB68&lt;&gt;"",DB70&lt;&gt;"")),MAX($DF$2:DF68)+1,0))</f>
        <v>0</v>
      </c>
      <c r="DG69" s="259" t="str">
        <f>IF(OR(VALORI_INIZIALI!E74="",AND(VALORI_INIZIALI!E74&lt;&gt;"",VALORI_INIZIALI!H74=0,VALORI_INIZIALI!I74=0)),"",IFERROR(INDEX(PIANO_DEI_CONTI,MATCH(BB69,DENOMINAZIONE,0),1),0))</f>
        <v/>
      </c>
      <c r="DH69" s="259">
        <f ca="1">IFERROR(IF($J$1=1,IF(INDEX(PIANO_DEI_CONTI,MATCH($K69,DENOMINAZIONE,0),5)=$DF$1,MAX($DH$2:DH68)+1,0),IF($J$1=2,IF(INDEX(PIANO_DEI_CONTI,MATCH($K69,DENOMINAZIONE,0),7)=$DF$1,MAX($DH$2:DH68)+1,0))),0)</f>
        <v>0</v>
      </c>
      <c r="DI69" s="259">
        <f ca="1">IFERROR(INDEX($K$3:$K$220,MATCH(ROWS($DI$3:DI69),$DH$3:$DH$220,0),1),0)</f>
        <v>0</v>
      </c>
      <c r="DJ69" s="259">
        <f t="shared" ca="1" si="194"/>
        <v>0</v>
      </c>
      <c r="DK69" s="259">
        <f ca="1">IF(DJ69=0,0,MAX(DK$2:DK68)+1)</f>
        <v>0</v>
      </c>
      <c r="DL69" s="259">
        <f ca="1">IFERROR(INDEX(PIANO_DEI_CONTI,MATCH(ROWS(DL$3:DL69),$DK$3:DK296,0),2),0)</f>
        <v>0</v>
      </c>
      <c r="DM69" s="259">
        <f t="shared" ca="1" si="195"/>
        <v>0</v>
      </c>
      <c r="DN69" s="259">
        <f t="shared" ca="1" si="196"/>
        <v>0</v>
      </c>
      <c r="DO69" s="259">
        <f t="shared" ca="1" si="245"/>
        <v>0</v>
      </c>
      <c r="DP69" s="259">
        <f t="shared" ca="1" si="246"/>
        <v>0</v>
      </c>
      <c r="DQ69" s="259">
        <f ca="1">IF(OR($DQ$1="TOTALI",$DQ$1="TOTALI ED ECCEDENZE"),IF(OR(DM69&gt;0,DN69&gt;0),MAX(DQ$2:DQ68)+1,0),IF($DQ$1="ECCEDENZE",IF(OR(DO69&gt;0,DP69&gt;0),MAX(DQ$2:DQ68)+1,0),""))</f>
        <v>0</v>
      </c>
      <c r="DR69" s="259" t="str">
        <f ca="1">IFERROR(INDEX($DL$3:$DQ$230,MATCH(ROWS(DR$3:DR69),$DQ$3:$DQ$230,0),1),"")</f>
        <v/>
      </c>
      <c r="DS69" s="259" t="str">
        <f t="shared" ca="1" si="247"/>
        <v/>
      </c>
      <c r="DT69" s="259" t="str">
        <f t="shared" ca="1" si="248"/>
        <v/>
      </c>
      <c r="DU69" s="259" t="str">
        <f t="shared" ca="1" si="249"/>
        <v/>
      </c>
      <c r="DV69" s="259" t="str">
        <f t="shared" ca="1" si="250"/>
        <v/>
      </c>
      <c r="DW69" s="259">
        <f t="shared" ca="1" si="251"/>
        <v>0</v>
      </c>
      <c r="DX69" s="259" t="str">
        <f t="shared" ca="1" si="252"/>
        <v/>
      </c>
      <c r="DY69" s="259" t="str">
        <f t="shared" ca="1" si="253"/>
        <v/>
      </c>
      <c r="DZ69" s="259" t="str">
        <f t="shared" ca="1" si="254"/>
        <v/>
      </c>
      <c r="EA69" s="259">
        <f t="shared" ca="1" si="255"/>
        <v>67</v>
      </c>
      <c r="EB69" s="259" t="s">
        <v>361</v>
      </c>
      <c r="ED69" s="259">
        <f t="shared" ca="1" si="197"/>
        <v>0</v>
      </c>
      <c r="EE69" s="259" t="str">
        <f t="shared" ca="1" si="198"/>
        <v/>
      </c>
      <c r="EF69" s="259" t="str">
        <f t="shared" ca="1" si="199"/>
        <v/>
      </c>
      <c r="EG69" s="259" t="str">
        <f t="shared" ref="EG69:EG100" ca="1" si="309">IF(CR69="TOTALE COSTI",$CP$1,IF(CR69="TOTALE A PAREGGIO",$CM$1,IF(OR(CR69="SALDO ECONOMICO POSITIVO",CR69="UTILE D'ESERCIZIO"),$CM$1-$CP$1,"")))</f>
        <v/>
      </c>
      <c r="EH69" s="259" t="str">
        <f t="shared" ca="1" si="256"/>
        <v/>
      </c>
      <c r="EI69" s="260" t="b">
        <f t="shared" ref="EI69:EI132" ca="1" si="310">IF(INDIRECT(ADDRESS(ROW()+4,1,,,"PIANO_DEI_CONTI"))="X",TRUE,FALSE)</f>
        <v>0</v>
      </c>
      <c r="EJ69" s="260" t="b">
        <f t="shared" ref="EJ69:EJ132" ca="1" si="311">IF(INDIRECT(ADDRESS(ROW()+4,2,,,"PIANO_DEI_CONTI"))="X",TRUE,FALSE)</f>
        <v>0</v>
      </c>
      <c r="EK69" s="260" t="b">
        <f t="shared" ref="EK69:EK132" ca="1" si="312">IF(INDIRECT(ADDRESS(ROW()+4,3,,,"PIANO_DEI_CONTI"))="X",TRUE,FALSE)</f>
        <v>0</v>
      </c>
      <c r="EL69" s="259">
        <f t="shared" si="257"/>
        <v>67</v>
      </c>
      <c r="EM69" s="259">
        <f ca="1">IF(AND(BA69&gt;0,BA69&lt;=$EM$1),MAX($EM$2:EM68)+1,0)</f>
        <v>0</v>
      </c>
      <c r="EN69" s="259">
        <f t="shared" ca="1" si="258"/>
        <v>69</v>
      </c>
      <c r="EP69" s="259" t="str">
        <f t="shared" ca="1" si="200"/>
        <v/>
      </c>
      <c r="EQ69" s="259">
        <f t="shared" ca="1" si="201"/>
        <v>0</v>
      </c>
      <c r="ER69" s="259">
        <f ca="1">IF(ISNA(EQ69),MAX(ER$2:ER68)+1,0)</f>
        <v>0</v>
      </c>
      <c r="ES69" s="259" t="str">
        <f t="shared" ca="1" si="259"/>
        <v/>
      </c>
      <c r="ET69" s="259" t="str">
        <f ca="1">IFERROR(UPPER(INDEX($ER$3:$ES$500,MATCH(ROWS(ET$3:ET69),$ER$3:$ER$500,0),2)),"")</f>
        <v/>
      </c>
      <c r="EY69" s="259">
        <f t="shared" ca="1" si="260"/>
        <v>0</v>
      </c>
      <c r="EZ69" s="259">
        <f t="shared" ca="1" si="260"/>
        <v>0</v>
      </c>
      <c r="FA69" s="259" t="str">
        <f t="shared" ca="1" si="261"/>
        <v/>
      </c>
      <c r="FB69" s="259">
        <f t="shared" ca="1" si="262"/>
        <v>0</v>
      </c>
      <c r="FC69" s="259">
        <f t="shared" ca="1" si="263"/>
        <v>0</v>
      </c>
      <c r="FD69" s="259">
        <f t="shared" ca="1" si="202"/>
        <v>0</v>
      </c>
      <c r="FE69" s="259" t="str">
        <f t="shared" ca="1" si="203"/>
        <v/>
      </c>
      <c r="FF69" s="259" t="str">
        <f t="shared" ca="1" si="264"/>
        <v/>
      </c>
      <c r="FG69" s="259" t="str">
        <f t="shared" si="265"/>
        <v>BANCHE C/C PASSIVI</v>
      </c>
      <c r="FH69" s="259">
        <f t="shared" ca="1" si="156"/>
        <v>0</v>
      </c>
      <c r="FI69" s="259">
        <f t="shared" ca="1" si="204"/>
        <v>0</v>
      </c>
      <c r="FJ69" s="259">
        <f t="shared" ca="1" si="266"/>
        <v>0</v>
      </c>
      <c r="FK69" s="259">
        <f t="shared" ca="1" si="267"/>
        <v>0</v>
      </c>
      <c r="FL69" s="259">
        <f ca="1">IF(OR(FJ69&gt;0,FK69&gt;0),MAX($FL$2:FL68)+1,0)</f>
        <v>0</v>
      </c>
      <c r="FM69" s="259">
        <f t="shared" ca="1" si="205"/>
        <v>0</v>
      </c>
      <c r="FN69" s="259">
        <f ca="1">IF(FM69&lt;0,MAX($FN$2:FN68)+1,0)</f>
        <v>0</v>
      </c>
      <c r="FO69" s="259" t="str">
        <f t="shared" ca="1" si="268"/>
        <v/>
      </c>
      <c r="FP69" s="259" t="str">
        <f ca="1">IFERROR(INDEX($FN$3:$FO$400,MATCH(ROWS($FP$3:FP69),$FN$3:$FN$400,0),2),"")</f>
        <v/>
      </c>
      <c r="FQ69" s="259" t="str">
        <f>IF(AE69="SE AVERE",MAX($FQ$2:FQ68)+1,"")</f>
        <v/>
      </c>
      <c r="FR69" s="259" t="str">
        <f>IF(AE69="SE DARE",MAX($FR$2:FR68)+1,"")</f>
        <v/>
      </c>
      <c r="FS69" s="259" t="str">
        <f ca="1">IF(AND(AE69="SP DARE",AA69&lt;&gt;$FS$1,AA69&lt;&gt;$FT$1),MAX($FS$2:FS68)+1,IF(AND(GQ69="SP DARE",AA69&lt;&gt;$FS$1,AA69&lt;&gt;$FT$1),MAX($FS$2:FS68)+1,""))</f>
        <v/>
      </c>
      <c r="FT69" s="259">
        <f ca="1">IF(AND(AE69="SP AVERE",AA69&lt;&gt;$FU$1),MAX($FT$2:FT68)+1,IF(AND(GQ69="SP AVERE",AA69&lt;&gt;$FU$1),MAX($FT$2:FT68)+1,""))</f>
        <v>151</v>
      </c>
      <c r="FU69" s="259">
        <f t="shared" ca="1" si="269"/>
        <v>151</v>
      </c>
      <c r="FV69" s="259" t="str">
        <f t="shared" si="270"/>
        <v>BANCHE C/C PASSIVI</v>
      </c>
      <c r="FW69" s="259" t="str">
        <f ca="1">IFERROR(INDEX($FU$3:$FV$500,MATCH(ROWS($FW$3:FW69),$FU$3:$FU$500,0),2),0)</f>
        <v>PERDITE SU CREDITI</v>
      </c>
      <c r="FX69" s="259">
        <f t="shared" ca="1" si="271"/>
        <v>67</v>
      </c>
      <c r="FY69" s="259">
        <f t="shared" ca="1" si="272"/>
        <v>0</v>
      </c>
      <c r="FZ69" s="259">
        <f ca="1">IF(FY69&gt;0,MAX($FZ$2:FZ68)+1,0)</f>
        <v>0</v>
      </c>
      <c r="GA69" s="259">
        <f ca="1">IFERROR(INDEX($FY$3:$FZ$500,MATCH(ROWS($GA$3:GA69),$FZ$3:$FZ$500,0),1),0)</f>
        <v>0</v>
      </c>
      <c r="GC69" s="259">
        <f t="shared" ca="1" si="273"/>
        <v>67</v>
      </c>
      <c r="GD69" s="259" t="str">
        <f t="shared" ca="1" si="274"/>
        <v>PERDITE SU CREDITI</v>
      </c>
      <c r="GG69" s="259">
        <f t="shared" ca="1" si="275"/>
        <v>0</v>
      </c>
      <c r="GH69" s="259">
        <f t="shared" ca="1" si="276"/>
        <v>0</v>
      </c>
      <c r="GI69" s="259">
        <f t="shared" ca="1" si="277"/>
        <v>0</v>
      </c>
      <c r="GJ69" s="259">
        <f t="shared" ca="1" si="278"/>
        <v>0</v>
      </c>
      <c r="GK69" s="259">
        <f t="shared" ca="1" si="279"/>
        <v>0</v>
      </c>
      <c r="GL69" s="259">
        <f t="shared" ca="1" si="280"/>
        <v>0</v>
      </c>
      <c r="GM69" s="259">
        <f ca="1">IF(OR(GK69&gt;0,GL69&gt;0),MAX($GM$2:GM68)+1,0)</f>
        <v>0</v>
      </c>
      <c r="GN69" s="259" t="str">
        <f ca="1">IFERROR(INDEX($GD$3:$GM$400,MATCH(ROWS($GN$3:GN69),$GM$3:$GM$400,0),1),"")</f>
        <v/>
      </c>
      <c r="GO69" s="259" t="str">
        <f ca="1">IFERROR(INDEX($GD$3:$GM$400,MATCH(ROWS($GO$3:GO69),$GM$3:$GM$400,0),8),"")</f>
        <v/>
      </c>
      <c r="GP69" s="259" t="str">
        <f ca="1">IFERROR(INDEX($GD$3:$GM$400,MATCH(ROWS($GP$3:GP69),$GM$3:$GM$400,0),9),"")</f>
        <v/>
      </c>
      <c r="GQ69" s="259">
        <f t="shared" ca="1" si="206"/>
        <v>0</v>
      </c>
      <c r="GR69" s="259">
        <f t="shared" ca="1" si="281"/>
        <v>0</v>
      </c>
      <c r="GS69" s="259" t="str">
        <f t="shared" si="282"/>
        <v>epilogo a Conto economico</v>
      </c>
      <c r="GT69" s="259" t="str">
        <f ca="1">IFERROR(INDEX($GD$3:$GS$400,MATCH(ROWS($GT$3:GT69),$GM$3:$GM$400,0),16),"")</f>
        <v/>
      </c>
      <c r="GU69" s="259">
        <f ca="1">IF(GQ69&lt;&gt;0,MAX($GU$2:$GU68)+1,0)</f>
        <v>0</v>
      </c>
      <c r="GV69" s="259">
        <f t="shared" ca="1" si="283"/>
        <v>0</v>
      </c>
      <c r="GW69" s="259" t="str">
        <f ca="1">IF(AND(IFERROR(INDEX($GU$3:$GV$400,MATCH(ROWS($GW$3:GW69),$GU$3:$GU$400,0),2),"")&lt;&gt;"",GW70&lt;&gt;""),CONCATENATE(IFERROR(INDEX($GU$3:$GV$400,MATCH(ROWS($GW$3:GW69),$GU$3:$GU$400,0),2),"")," - "),IFERROR(INDEX($GU$3:$GV$400,MATCH(ROWS($GW$3:GW69),$GU$3:$GU$400,0),2),""))</f>
        <v/>
      </c>
      <c r="GX69" s="259">
        <f ca="1">IF(OR(GN69="IVA NS/CREDITO",GN69="IVA NS/DEBITO",GN69="IVA C/ACCONTO",GN69="IMPOSTE C/ACCONTO"),MAX($GX$2:GX68)+1,0)</f>
        <v>0</v>
      </c>
      <c r="GY69" s="259" t="str">
        <f ca="1">IF(AND(IFERROR(INDEX($GN$3:$GX$200,MATCH(ROWS($GY$3:GY69),$GX$3:$GX$200,0),1),"")&lt;&gt;"",GY70&lt;&gt;""),CONCATENATE(IFERROR(INDEX($GN$3:$GX$200,MATCH(ROWS($GY$3:GY69),$GX$3:$GX$200,0),1),"")," - "),IFERROR(INDEX($GN$3:$GX$200,MATCH(ROWS($GY$3:GY69),$GX$3:$GX$200,0),1),""))</f>
        <v/>
      </c>
      <c r="GZ69" s="259" t="s">
        <v>92</v>
      </c>
      <c r="HA69" s="259" t="s">
        <v>88</v>
      </c>
      <c r="HB69" s="269" t="s">
        <v>256</v>
      </c>
      <c r="HC69" s="269" t="s">
        <v>211</v>
      </c>
      <c r="HD69" s="269" t="s">
        <v>4</v>
      </c>
      <c r="HE69" s="269" t="s">
        <v>520</v>
      </c>
      <c r="HG69" s="270"/>
      <c r="HL69" s="259" t="str">
        <f t="shared" ca="1" si="207"/>
        <v/>
      </c>
      <c r="HM69" s="259" t="str">
        <f t="shared" ca="1" si="208"/>
        <v/>
      </c>
      <c r="HN69" s="259" t="str">
        <f t="shared" ca="1" si="209"/>
        <v/>
      </c>
      <c r="HO69" s="259">
        <f ca="1">IF(HL69&lt;&gt;"",MAX($HO$2:HO68)+1,0)</f>
        <v>0</v>
      </c>
      <c r="HP69" s="259">
        <f ca="1">IF(HM69&lt;&gt;"",MAX($HP$2:HP68)+1,0)</f>
        <v>0</v>
      </c>
      <c r="HQ69" s="259">
        <f ca="1">IF(HN69&lt;&gt;"",MAX($HQ$2:HQ68)+1,0)</f>
        <v>0</v>
      </c>
      <c r="HR69" s="259" t="str">
        <f t="shared" ca="1" si="284"/>
        <v/>
      </c>
      <c r="HS69" s="259" t="str">
        <f t="shared" ca="1" si="285"/>
        <v/>
      </c>
      <c r="HT69" s="259">
        <f t="shared" ca="1" si="286"/>
        <v>0</v>
      </c>
      <c r="HU69" s="259">
        <f t="shared" ca="1" si="287"/>
        <v>0</v>
      </c>
      <c r="HV69" s="259" t="str">
        <f ca="1">CONCATENATE(IFERROR(INDEX($HS$3:$HT$102,MATCH(ROWS($HV$3:HV69),$HT$3:$HT$102,0),1),""),HR69)</f>
        <v/>
      </c>
      <c r="IB69" s="259" t="s">
        <v>328</v>
      </c>
      <c r="IC69" s="259">
        <f ca="1">IFERROR(INDEX(PIANO_DEI_CONTI,MATCH(ROWS(DL$3:DL69),$DK$3:DK296,0),2),0)</f>
        <v>0</v>
      </c>
      <c r="ID69" s="259">
        <f t="shared" ca="1" si="288"/>
        <v>0</v>
      </c>
      <c r="IE69" s="259">
        <f t="shared" ca="1" si="289"/>
        <v>0</v>
      </c>
      <c r="IF69" s="259">
        <f t="shared" ca="1" si="290"/>
        <v>0</v>
      </c>
      <c r="IG69" s="259">
        <f ca="1">IF(OR(IG67&lt;&gt;0,IG46&lt;&gt;0,IG78&lt;&gt;0,IG92&lt;&gt;0),"",0)</f>
        <v>0</v>
      </c>
      <c r="IH69" s="259">
        <f ca="1">IF(IG69&lt;&gt;0,MAX($IH$35:IH68)+1,0)</f>
        <v>0</v>
      </c>
      <c r="II69" s="259">
        <f>IF(AD69="costi pluriennali",MAX($II$2:II68)+1,0)</f>
        <v>0</v>
      </c>
      <c r="IJ69" s="259">
        <f>IF($AD69="rettifiche costi pluriennali",MAX($IJ$2:IJ68)+1,0)</f>
        <v>0</v>
      </c>
      <c r="IK69" s="259">
        <f t="shared" si="291"/>
        <v>0</v>
      </c>
      <c r="IL69" s="259" t="str">
        <f t="shared" si="292"/>
        <v/>
      </c>
      <c r="IM69" s="259">
        <f t="shared" ca="1" si="293"/>
        <v>0</v>
      </c>
      <c r="IN69" s="259">
        <f t="shared" ca="1" si="141"/>
        <v>0</v>
      </c>
      <c r="IO69" s="259">
        <f>SUMIFS($IM$3:$IM$200,$IK$3:$IK$200,ROWS($IO$3:IO69))-SUMIFS($IN$3:$IN$200,$IK$3:$IK$200,ROWS($IO$3:IO69))</f>
        <v>0</v>
      </c>
      <c r="IP69" s="259" t="str">
        <f>IF(IO69&lt;0,INDEX($IJ$3:$IL$200,MATCH(ROWS($IP$3:IP69),$IJ$3:$IJ$200,0),3),"")</f>
        <v/>
      </c>
      <c r="IQ69" s="259">
        <f>IF(IP69&lt;&gt;"",MAX($IQ$2:IQ68)+1,0)</f>
        <v>0</v>
      </c>
      <c r="IR69" s="259" t="str">
        <f ca="1">IFERROR(INDEX($IP$3:$IQ$200,MATCH(ROWS($IR$3:IR69),$IQ$3:$IQ$200,0),1),"")</f>
        <v/>
      </c>
      <c r="IS69" s="259" t="str">
        <f t="shared" ca="1" si="294"/>
        <v/>
      </c>
      <c r="IT69" s="259" t="str">
        <f t="shared" ca="1" si="295"/>
        <v/>
      </c>
      <c r="IU69" s="259" t="str">
        <f t="shared" ca="1" si="296"/>
        <v/>
      </c>
      <c r="IV69" s="259" t="str">
        <f t="shared" ca="1" si="297"/>
        <v/>
      </c>
      <c r="IW69" s="259" t="str">
        <f t="shared" ca="1" si="298"/>
        <v/>
      </c>
      <c r="IX69" s="259" t="str">
        <f t="shared" ca="1" si="299"/>
        <v/>
      </c>
      <c r="IY69" s="259" t="str">
        <f t="shared" ca="1" si="300"/>
        <v/>
      </c>
      <c r="IZ69" s="259" t="str">
        <f t="shared" ca="1" si="301"/>
        <v/>
      </c>
      <c r="JA69" s="259" t="str">
        <f t="shared" ca="1" si="302"/>
        <v/>
      </c>
      <c r="JB69" s="259">
        <f t="shared" ca="1" si="210"/>
        <v>0</v>
      </c>
      <c r="JC69" s="259">
        <f t="shared" ca="1" si="303"/>
        <v>0</v>
      </c>
      <c r="JE69" s="259">
        <f ca="1">IFERROR(INDEX(LIBRO_GIORNALE!$N$11:$O$408,MATCH(ROWS($JE$2:JE68),LIBRO_GIORNALE!$O$11:$O$408,0),1),0)</f>
        <v>0</v>
      </c>
      <c r="JF69" s="259" t="str">
        <f t="shared" ca="1" si="304"/>
        <v>0</v>
      </c>
      <c r="JG69" s="259">
        <f t="shared" ca="1" si="305"/>
        <v>0</v>
      </c>
      <c r="JH69" s="259">
        <f ca="1">IF(JJ69&gt;0,0,MAX($JH$2:JH68)+1)</f>
        <v>67</v>
      </c>
      <c r="JI69" s="259">
        <f ca="1">IF(JG69&gt;0,MAX($JI$2:JI68)+1,0)</f>
        <v>0</v>
      </c>
      <c r="JJ69" s="259">
        <f ca="1">IFERROR(INDEX($JG$3:$JI$124,MATCH(ROWS($JJ$3:JJ69),$JI$3:$JI$124,0),1),0)</f>
        <v>0</v>
      </c>
      <c r="JK69" s="259">
        <f t="shared" ca="1" si="306"/>
        <v>0</v>
      </c>
      <c r="JL69" s="259">
        <f t="shared" ca="1" si="307"/>
        <v>67</v>
      </c>
    </row>
    <row r="70" spans="1:272">
      <c r="A70" s="259" t="str">
        <f t="shared" si="211"/>
        <v>10.05</v>
      </c>
      <c r="B70" s="259" t="str">
        <f t="shared" si="212"/>
        <v>PERDITA D'ESERCIZIO</v>
      </c>
      <c r="C70" s="259" t="str">
        <f t="shared" si="213"/>
        <v>E</v>
      </c>
      <c r="D70" s="259" t="str">
        <f t="shared" si="214"/>
        <v>D</v>
      </c>
      <c r="E70" s="259" t="str">
        <f t="shared" si="215"/>
        <v>PATRIMONIO NETTO</v>
      </c>
      <c r="F70" s="259" t="str">
        <f t="shared" si="216"/>
        <v>SP DARE - SE AVERE</v>
      </c>
      <c r="G70" s="259">
        <f t="shared" ca="1" si="217"/>
        <v>0</v>
      </c>
      <c r="H70" s="259">
        <f t="shared" ca="1" si="218"/>
        <v>0</v>
      </c>
      <c r="I70" s="259">
        <f t="shared" ca="1" si="219"/>
        <v>0</v>
      </c>
      <c r="K70" s="259" t="str">
        <f ca="1">IFERROR(IF($I$1=1,INDEX($AA$3:$AS$220,MATCH(ROWS($K$3:K70),$AQ$3:$AQ$220,0),1),IF($I$1=2,INDEX($AA$3:$AS$220,MATCH(ROWS($K$3:K70),$AR$3:$AR$220,0),1),IF($I$1=3,INDEX($AA$3:$AS$220,MATCH(ROWS($K$3:K70),$AS$3:$AS$220,0),1),""))),"")</f>
        <v>DEBITI V/FORNITORI</v>
      </c>
      <c r="L70" s="259">
        <f ca="1">IF(AND($L$1="VISUALIZZA TUTTI I CONTI",K70&lt;&gt;""),MAX(L69:L69)+1,IFERROR(IF($J$1=1,IF(INDEX(PIANO_DEI_CONTI,MATCH($K70,DENOMINAZIONE,0),5)=$L$1,MAX($L$2:L69)+1,0),IF($J$1=2,IF(INDEX(PIANO_DEI_CONTI,MATCH($K70,DENOMINAZIONE,0),7)=$L$1,MAX($L$2:L69)+1,0))),0))</f>
        <v>68</v>
      </c>
      <c r="M70" s="259" t="str">
        <f ca="1">IFERROR(INDEX($K$3:$K$220,MATCH(ROWS($M$3:M70),$L$3:$L$220,0),1),"")</f>
        <v>DEBITI V/FORNITORI</v>
      </c>
      <c r="Q70" s="259" t="str">
        <f ca="1">IF(IFERROR(INDEX($O$3:$P$220,MATCH(ROWS(Q$3:Q70),$P$3:$P$220,0),1),"")=0,"",IFERROR(INDEX($O$3:$P$220,MATCH(ROWS(Q$3:Q70),$P$3:$P$220,0),1),""))</f>
        <v/>
      </c>
      <c r="R70" s="259" t="str">
        <f t="shared" si="182"/>
        <v/>
      </c>
      <c r="S70" s="259">
        <f ca="1">IF(IFERROR(MATCH(R70,DENOMINAZIONE_GIORNALE,0),0)&gt;0,MAX(S$2:S69)+1,0)</f>
        <v>0</v>
      </c>
      <c r="T70" s="259" t="str">
        <f ca="1">IFERROR(INDEX($R$3:$S$220,MATCH(ROWS($T$3:T70),$S$3:$S$220,0),1),"")</f>
        <v/>
      </c>
      <c r="U70" s="259">
        <f t="shared" ca="1" si="183"/>
        <v>0</v>
      </c>
      <c r="V70" s="259">
        <f ca="1">IF(IF(U70&lt;&gt;0,MAX($V$2:V69)+1,0)=0,0,IF(U70&lt;&gt;0,MAX($V$2:V69)+1,0))</f>
        <v>0</v>
      </c>
      <c r="W70" s="259" t="str">
        <f t="shared" si="220"/>
        <v>10.05</v>
      </c>
      <c r="X70" s="259" t="str">
        <f t="shared" si="221"/>
        <v>PERDITA D'ESERCIZIO</v>
      </c>
      <c r="Y70" s="259">
        <f>IF(W70="",0,MAX($Y$2:Y69)+1)</f>
        <v>59</v>
      </c>
      <c r="Z70" s="259" t="str">
        <f>IFERROR(INDEX($W$3:$Y$220,MATCH(ROWS($Z$2:Z69),$Y$3:$Y$220,0),1),"")</f>
        <v>13.21</v>
      </c>
      <c r="AA70" s="259" t="str">
        <f t="shared" si="222"/>
        <v>BANCHE C/INTERESSI MATURATI</v>
      </c>
      <c r="AB70" s="259" t="str">
        <f t="shared" si="223"/>
        <v>F</v>
      </c>
      <c r="AC70" s="259" t="str">
        <f t="shared" si="224"/>
        <v>A</v>
      </c>
      <c r="AD70" s="259" t="str">
        <f t="shared" si="225"/>
        <v>DEBITI</v>
      </c>
      <c r="AE70" s="259" t="str">
        <f t="shared" si="226"/>
        <v>SP AVERE</v>
      </c>
      <c r="AF70" s="259" t="str">
        <f t="shared" si="227"/>
        <v>DEBITI FINANZIARI</v>
      </c>
      <c r="AG70" s="259">
        <f t="shared" ca="1" si="228"/>
        <v>0</v>
      </c>
      <c r="AH70" s="259">
        <f t="shared" ca="1" si="229"/>
        <v>0</v>
      </c>
      <c r="AI70" s="259">
        <f t="shared" ca="1" si="230"/>
        <v>1</v>
      </c>
      <c r="AJ70" s="259" t="str">
        <f t="shared" si="231"/>
        <v>13</v>
      </c>
      <c r="AK70" s="259" t="str">
        <f t="shared" si="232"/>
        <v/>
      </c>
      <c r="AL70" s="259">
        <f>IF(AK70&lt;&gt;"",MAX($AL$2:AL69)+1,0)</f>
        <v>0</v>
      </c>
      <c r="AM70" s="259" t="str">
        <f>IFERROR(INDEX($AK$3:$AL$220,MATCH(ROWS($AM$3:AM70),$AL$3:$AL$220,0),1),"")</f>
        <v/>
      </c>
      <c r="AN70" s="259" t="str">
        <f t="shared" si="233"/>
        <v/>
      </c>
      <c r="AO70" s="259" t="str">
        <f t="shared" si="234"/>
        <v/>
      </c>
      <c r="AP70" s="259" t="str">
        <f t="shared" si="235"/>
        <v>DEBITI FINANZIARI</v>
      </c>
      <c r="AQ70" s="259">
        <f ca="1">IF(OR(AG70=0,AG70=""),0,MAX(AQ$2:AQ69)+1)</f>
        <v>0</v>
      </c>
      <c r="AR70" s="259">
        <f ca="1">IF(OR(AH70=0,AH70=""),0,MAX(AR$2:AR69)+1)</f>
        <v>0</v>
      </c>
      <c r="AS70" s="259">
        <f ca="1">IF(OR(AI70=0,AI70=""),0,MAX(AS$2:AS69)+1)</f>
        <v>66</v>
      </c>
      <c r="AT70" s="259" t="str">
        <f ca="1">IFERROR(INDEX($AD$3:$AS$220,MATCH(ROWS(AT$3:AT70),AQ$3:AQ$220,0),1),"")</f>
        <v>COSTI D'ESERCIZIO</v>
      </c>
      <c r="AU70" s="259" t="str">
        <f ca="1">IFERROR(INDEX($AD$3:$AS$220,MATCH(ROWS(AU$3:AU70),AR$3:AR$220,0),1),"")</f>
        <v>RICAVI D'ESERCIZIO</v>
      </c>
      <c r="AV70" s="259" t="str">
        <f ca="1">IFERROR(INDEX($AD$3:$AS$220,MATCH(ROWS(AV$3:AV70),AS$3:AS$220,0),1),"")</f>
        <v>DEBITI</v>
      </c>
      <c r="AW70" s="259" t="str">
        <f ca="1">IFERROR(INDEX($AP$3:$AS$220,MATCH(ROWS(AW$3:AW70),AQ$3:AQ$220,0),1),"")</f>
        <v>COSTI PER SERVIZI</v>
      </c>
      <c r="AX70" s="259" t="str">
        <f ca="1">IFERROR(INDEX($AP$3:$AS$220,MATCH(ROWS(AX$3:AX70),AR$3:AR$220,0),1),"")</f>
        <v>VALORE DELLA PRODUZIONE</v>
      </c>
      <c r="AY70" s="259" t="str">
        <f ca="1">IFERROR(INDEX($AP$3:$AS$220,MATCH(ROWS(AY$3:AY70),AS$3:AS$220,0),1),"")</f>
        <v>DEBITI COMMERCIALI</v>
      </c>
      <c r="AZ70" s="276" t="str">
        <f t="shared" ca="1" si="236"/>
        <v/>
      </c>
      <c r="BA70" s="259">
        <f t="shared" ca="1" si="184"/>
        <v>0</v>
      </c>
      <c r="BB70" s="259">
        <f ca="1">IFERROR(INDEX($FG$3:$FL$400,MATCH(ROWS($BB$3:BB70),$FL$3:$FL$400,0),1),0)</f>
        <v>0</v>
      </c>
      <c r="BC70" s="259" t="str">
        <f t="shared" ca="1" si="237"/>
        <v/>
      </c>
      <c r="BD70" s="259">
        <f ca="1">IFERROR(INDEX($FG$3:$FL$400,MATCH(ROWS($BD$3:BD70),$FL$3:$FL$400,0),4),0)</f>
        <v>0</v>
      </c>
      <c r="BE70" s="259">
        <f ca="1">IFERROR(INDEX($FG$3:$FL$400,MATCH(ROWS($BE$3:BE70),$FL$3:$FL$400,0),5),0)</f>
        <v>0</v>
      </c>
      <c r="BG70" s="259" t="str">
        <f t="shared" si="185"/>
        <v>BANCHE C/INTERESSI MATURATI</v>
      </c>
      <c r="BH70" s="259">
        <f ca="1">IF(IFERROR(MATCH(BG70,DENOMINAZIONE_GIORNALE,0),0)&gt;0,MAX(BH$2:BH69)+1,0)</f>
        <v>0</v>
      </c>
      <c r="BI70" s="259" t="str">
        <f ca="1">IFERROR(INDEX($BG$3:$BH$220,MATCH(ROWS($BI$3:BI70),$BH$3:$BH$220,0),1),"")</f>
        <v/>
      </c>
      <c r="BJ70" s="259" t="str">
        <f t="shared" ca="1" si="186"/>
        <v/>
      </c>
      <c r="BK70" s="259" t="str">
        <f ca="1">IF(IF(BJ70&lt;&gt;"",MAX($BK$2:BK69)+1,0)=0,"",IF(BJ70&lt;&gt;"",MAX($BK$2:BK69)+1,0))</f>
        <v/>
      </c>
      <c r="BL70" s="259" t="str">
        <f ca="1">IFERROR(INDEX($T$3:$U$220, MATCH(ROWS(BL$3:BL70),$V$3:$V$220,0),1),"")</f>
        <v/>
      </c>
      <c r="BM70" s="259" t="str">
        <f ca="1">IFERROR(INDEX($T$3:$U$220, MATCH(ROWS(BM$3:BM70),$V$3:$V$220,0),2),"")</f>
        <v/>
      </c>
      <c r="BN70" s="259" t="str">
        <f ca="1">IF(IFERROR(INDEX($BI$3:$BJ$220,MATCH(ROWS(BN$3:BN70),$BK$3:$BK$220,0),1),"")="PATRIMONIO NETTO","",IFERROR(INDEX($BI$3:$BJ$220,MATCH(ROWS(BN$3:BN70),$BK$3:$BK$220,0),1),""))</f>
        <v/>
      </c>
      <c r="BO70" s="259" t="str">
        <f ca="1">IFERROR(INDEX($BI$3:$BJ$220,MATCH(ROWS(BO$3:BO70),$BK$3:$BK$220,0),2),"")</f>
        <v/>
      </c>
      <c r="BP70" s="259">
        <f ca="1">IF(BN70&lt;&gt;"",MAX(BP$2:$BP69)+1,0)</f>
        <v>0</v>
      </c>
      <c r="BQ70" s="259" t="str">
        <f ca="1">IFERROR(INDEX($BN$3:$BO$200,MATCH(ROWS(BQ$3:BQ70),$BP$3:$BP$220,0),1),"")</f>
        <v/>
      </c>
      <c r="BR70" s="259" t="str">
        <f ca="1">IFERROR(INDEX($BN$3:$BO$220,MATCH(ROWS(BR$3:BR70),$BP$3:$BP$220,0),2),"")</f>
        <v/>
      </c>
      <c r="BS70" s="259" t="str">
        <f ca="1">IFERROR(IF(OR(INDEX($T$3:$U$220,MATCH(ROWS(BL$3:BL70),$V$3:$V$220,0),1)="PRELEVAMENTI EXTRAGESTIONE",INDEX($T$3:$U$220,MATCH(ROWS(BL$3:BL70),$V$3:$V$220,0),1)="TITOLARE C/RITENUTE SUBITE"),"",INDEX($T$3:$U$220,MATCH(ROWS(BL$3:BL70),$V$3:$V$220,0),1)),"")</f>
        <v/>
      </c>
      <c r="BT70" s="259">
        <f t="shared" ca="1" si="238"/>
        <v>0</v>
      </c>
      <c r="BU70" s="259">
        <f ca="1">IF(BS70&lt;&gt;"",MAX(BU$2:BU69)+1,0)</f>
        <v>0</v>
      </c>
      <c r="BV70" s="259" t="str">
        <f ca="1">IFERROR(INDEX($BS$3:$BT$223,MATCH(ROWS(BV$3:BV70),$BU$3:$BU$223,0),1),"")</f>
        <v/>
      </c>
      <c r="BW70" s="259">
        <f t="shared" ca="1" si="239"/>
        <v>0</v>
      </c>
      <c r="BX70" s="259" t="str">
        <f t="shared" ca="1" si="240"/>
        <v/>
      </c>
      <c r="BY70" s="259" t="str">
        <f t="shared" ca="1" si="241"/>
        <v/>
      </c>
      <c r="BZ70" s="259" t="str">
        <f ca="1">IFERROR(IF(OR($DS$231&lt;&gt;$DT$231,$DU$231&lt;&gt;$DV$231,$EO$25&lt;&gt;0,$EO$26&lt;&gt;0),INDEX($T$3:$V$220,MATCH(ROWS($BV$3:BV70),$V$3:$V$220,0),1),CONCATENATE(BV70,BY70)),"")</f>
        <v/>
      </c>
      <c r="CA70" s="259">
        <f t="shared" ca="1" si="242"/>
        <v>0</v>
      </c>
      <c r="CB70" s="259" t="str">
        <f ca="1">IFERROR(IF(OR($BB$1&lt;&gt;$BD$1,$BC$1&lt;&gt;$BE$1,$DS$231&lt;&gt;$DT$231,$DU$231&lt;&gt;$DV$231,$EO$25&lt;&gt;0,$EO$26&lt;&gt;0),INDEX($BI$3:$BK$220,MATCH(ROWS($CB$3:CB70),$BK$3:$BK$220,0),1),CONCATENATE(BQ70,BX70)),"")</f>
        <v/>
      </c>
      <c r="CC70" s="259" t="str">
        <f t="shared" ca="1" si="243"/>
        <v/>
      </c>
      <c r="CD70" s="259" t="str">
        <f t="shared" si="187"/>
        <v/>
      </c>
      <c r="CE70" s="259">
        <f ca="1">IF(IFERROR(MATCH(CD70,DENOMINAZIONE_GIORNALE,0),0)&gt;0,MAX(CE$2:CE69)+1,0)</f>
        <v>0</v>
      </c>
      <c r="CF70" s="259" t="str">
        <f ca="1">IFERROR(INDEX($CD$3:$CE$220,MATCH(ROWS($CF$3:CF70),$CE$3:$CE$220,0),1),"")</f>
        <v/>
      </c>
      <c r="CG70" s="259">
        <f t="shared" ca="1" si="188"/>
        <v>0</v>
      </c>
      <c r="CH70" s="259" t="str">
        <f ca="1">IF(IF(CG70&lt;&gt;0,MAX($CH$2:CH69)+1,0)=0,"",IF(CG70&lt;&gt;"",MAX($CH$2:CH69)+1,0))</f>
        <v/>
      </c>
      <c r="CI70" s="259" t="str">
        <f ca="1">IFERROR(INDEX($CF$3:$CG$220,MATCH(ROWS($CI$3:CI70),$CH$3:$CH$220,0),1),"")</f>
        <v/>
      </c>
      <c r="CJ70" s="259" t="str">
        <f t="shared" ca="1" si="244"/>
        <v/>
      </c>
      <c r="CK70" s="259" t="str">
        <f t="shared" si="189"/>
        <v/>
      </c>
      <c r="CL70" s="259">
        <f ca="1">IF(IFERROR(MATCH(CK70,DENOMINAZIONE_GIORNALE,0),0)&gt;0,MAX(CL$2:CL69)+1,0)</f>
        <v>0</v>
      </c>
      <c r="CM70" s="259" t="str">
        <f ca="1">IFERROR(INDEX($CK$3:$CL$220,MATCH(ROWS($CM$3:CM70),$CL$3:$CL$220,0),1),"")</f>
        <v/>
      </c>
      <c r="CN70" s="259" t="str">
        <f t="shared" ca="1" si="190"/>
        <v/>
      </c>
      <c r="CO70" s="259">
        <f ca="1">IF(IF(CN70&lt;&gt;0,MAX($CO$2:CO69)+1,0)=0,"",IF(CN70&lt;&gt;"",MAX($CO$2:CO69)+1,0))</f>
        <v>0</v>
      </c>
      <c r="CP70" s="259" t="str">
        <f ca="1">IFERROR(INDEX($CM$3:$CN$220,MATCH(ROWS(CP$3:CP70),$CO$3:$CO$220,0),1),"")</f>
        <v/>
      </c>
      <c r="CQ70" s="259" t="str">
        <f ca="1">IFERROR(INDEX($CM$3:$CN$220,MATCH(ROWS(CQ$3:CQ70),$CO$3:$CO$220,0),2),"")</f>
        <v/>
      </c>
      <c r="CR70" s="259" t="str">
        <f t="shared" ca="1" si="191"/>
        <v/>
      </c>
      <c r="CS70" s="259">
        <f t="shared" ca="1" si="192"/>
        <v>0</v>
      </c>
      <c r="CT70" s="259">
        <f t="shared" ca="1" si="193"/>
        <v>0</v>
      </c>
      <c r="CU70" s="259">
        <f ca="1">IF(OR(CS70&gt;0,CT70&gt;0),MAX($CU$2:CU69)+1,0)</f>
        <v>0</v>
      </c>
      <c r="CV70" s="259" t="str">
        <f ca="1">IFERROR(INDEX(PIANO_DEI_CONTI,MATCH(ROWS($CV$3:CV70),$CU$3:$CU$200,0),2),"")</f>
        <v/>
      </c>
      <c r="CW70" s="259">
        <f ca="1">IFERROR(IF(CV70&lt;&gt;"",MAX($CW$2:CW69)+1,0),0)</f>
        <v>0</v>
      </c>
      <c r="CX70" s="259">
        <f t="shared" ca="1" si="174"/>
        <v>4</v>
      </c>
      <c r="CY70" s="259" t="str">
        <f t="shared" ca="1" si="308"/>
        <v>MASTRO</v>
      </c>
      <c r="CZ70" s="259" t="e">
        <f t="shared" ca="1" si="176"/>
        <v>#N/A</v>
      </c>
      <c r="DA70" s="259" t="str">
        <f t="shared" ca="1" si="181"/>
        <v/>
      </c>
      <c r="DB70" s="259" t="str">
        <f t="shared" ca="1" si="177"/>
        <v/>
      </c>
      <c r="DC70" s="259" t="str">
        <f t="shared" ca="1" si="178"/>
        <v/>
      </c>
      <c r="DD70" s="259" t="str">
        <f t="shared" ca="1" si="179"/>
        <v/>
      </c>
      <c r="DE70" s="259" t="str">
        <f t="shared" ca="1" si="180"/>
        <v/>
      </c>
      <c r="DF70" s="259">
        <f ca="1">IF(AND(CX70=$DE$2,$DF$2&lt;&gt;0),0,IF(AND(DB70&lt;&gt;"",OR(DB69&lt;&gt;"",DB71&lt;&gt;"")),MAX($DF$2:DF69)+1,0))</f>
        <v>0</v>
      </c>
      <c r="DG70" s="259" t="str">
        <f>IF(OR(VALORI_INIZIALI!E75="",AND(VALORI_INIZIALI!E75&lt;&gt;"",VALORI_INIZIALI!H75=0,VALORI_INIZIALI!I75=0)),"",IFERROR(INDEX(PIANO_DEI_CONTI,MATCH(BB70,DENOMINAZIONE,0),1),0))</f>
        <v/>
      </c>
      <c r="DH70" s="259">
        <f ca="1">IFERROR(IF($J$1=1,IF(INDEX(PIANO_DEI_CONTI,MATCH($K70,DENOMINAZIONE,0),5)=$DF$1,MAX($DH$2:DH69)+1,0),IF($J$1=2,IF(INDEX(PIANO_DEI_CONTI,MATCH($K70,DENOMINAZIONE,0),7)=$DF$1,MAX($DH$2:DH69)+1,0))),0)</f>
        <v>0</v>
      </c>
      <c r="DI70" s="259">
        <f ca="1">IFERROR(INDEX($K$3:$K$220,MATCH(ROWS($DI$3:DI70),$DH$3:$DH$220,0),1),0)</f>
        <v>0</v>
      </c>
      <c r="DJ70" s="259">
        <f t="shared" ca="1" si="194"/>
        <v>0</v>
      </c>
      <c r="DK70" s="259">
        <f ca="1">IF(DJ70=0,0,MAX(DK$2:DK69)+1)</f>
        <v>0</v>
      </c>
      <c r="DL70" s="259">
        <f ca="1">IFERROR(INDEX(PIANO_DEI_CONTI,MATCH(ROWS(DL$3:DL70),$DK$3:DK297,0),2),0)</f>
        <v>0</v>
      </c>
      <c r="DM70" s="259">
        <f t="shared" ca="1" si="195"/>
        <v>0</v>
      </c>
      <c r="DN70" s="259">
        <f t="shared" ca="1" si="196"/>
        <v>0</v>
      </c>
      <c r="DO70" s="259">
        <f t="shared" ca="1" si="245"/>
        <v>0</v>
      </c>
      <c r="DP70" s="259">
        <f t="shared" ca="1" si="246"/>
        <v>0</v>
      </c>
      <c r="DQ70" s="259">
        <f ca="1">IF(OR($DQ$1="TOTALI",$DQ$1="TOTALI ED ECCEDENZE"),IF(OR(DM70&gt;0,DN70&gt;0),MAX(DQ$2:DQ69)+1,0),IF($DQ$1="ECCEDENZE",IF(OR(DO70&gt;0,DP70&gt;0),MAX(DQ$2:DQ69)+1,0),""))</f>
        <v>0</v>
      </c>
      <c r="DR70" s="259" t="str">
        <f ca="1">IFERROR(INDEX($DL$3:$DQ$230,MATCH(ROWS(DR$3:DR70),$DQ$3:$DQ$230,0),1),"")</f>
        <v/>
      </c>
      <c r="DS70" s="259" t="str">
        <f t="shared" ca="1" si="247"/>
        <v/>
      </c>
      <c r="DT70" s="259" t="str">
        <f t="shared" ca="1" si="248"/>
        <v/>
      </c>
      <c r="DU70" s="259" t="str">
        <f t="shared" ca="1" si="249"/>
        <v/>
      </c>
      <c r="DV70" s="259" t="str">
        <f t="shared" ca="1" si="250"/>
        <v/>
      </c>
      <c r="DW70" s="259">
        <f t="shared" ca="1" si="251"/>
        <v>0</v>
      </c>
      <c r="DX70" s="259" t="str">
        <f t="shared" ca="1" si="252"/>
        <v/>
      </c>
      <c r="DY70" s="259" t="str">
        <f t="shared" ca="1" si="253"/>
        <v/>
      </c>
      <c r="DZ70" s="259" t="str">
        <f t="shared" ca="1" si="254"/>
        <v/>
      </c>
      <c r="EA70" s="259">
        <f t="shared" ca="1" si="255"/>
        <v>68</v>
      </c>
      <c r="EB70" s="259" t="s">
        <v>361</v>
      </c>
      <c r="ED70" s="259">
        <f t="shared" ca="1" si="197"/>
        <v>0</v>
      </c>
      <c r="EE70" s="259" t="str">
        <f t="shared" ca="1" si="198"/>
        <v/>
      </c>
      <c r="EF70" s="259" t="str">
        <f t="shared" ca="1" si="199"/>
        <v/>
      </c>
      <c r="EG70" s="259" t="str">
        <f t="shared" ca="1" si="309"/>
        <v/>
      </c>
      <c r="EH70" s="259" t="str">
        <f t="shared" ca="1" si="256"/>
        <v/>
      </c>
      <c r="EI70" s="260" t="b">
        <f t="shared" ca="1" si="310"/>
        <v>0</v>
      </c>
      <c r="EJ70" s="260" t="b">
        <f t="shared" ca="1" si="311"/>
        <v>0</v>
      </c>
      <c r="EK70" s="260" t="b">
        <f t="shared" ca="1" si="312"/>
        <v>0</v>
      </c>
      <c r="EL70" s="259">
        <f t="shared" si="257"/>
        <v>68</v>
      </c>
      <c r="EM70" s="259">
        <f ca="1">IF(AND(BA70&gt;0,BA70&lt;=$EM$1),MAX($EM$2:EM69)+1,0)</f>
        <v>0</v>
      </c>
      <c r="EN70" s="259">
        <f t="shared" ca="1" si="258"/>
        <v>70</v>
      </c>
      <c r="EP70" s="259" t="str">
        <f t="shared" ca="1" si="200"/>
        <v/>
      </c>
      <c r="EQ70" s="259">
        <f t="shared" ca="1" si="201"/>
        <v>0</v>
      </c>
      <c r="ER70" s="259">
        <f ca="1">IF(ISNA(EQ70),MAX(ER$2:ER69)+1,0)</f>
        <v>0</v>
      </c>
      <c r="ES70" s="259" t="str">
        <f t="shared" ca="1" si="259"/>
        <v/>
      </c>
      <c r="ET70" s="259" t="str">
        <f ca="1">IFERROR(UPPER(INDEX($ER$3:$ES$500,MATCH(ROWS(ET$3:ET70),$ER$3:$ER$500,0),2)),"")</f>
        <v/>
      </c>
      <c r="EY70" s="259">
        <f t="shared" ca="1" si="260"/>
        <v>0</v>
      </c>
      <c r="EZ70" s="259">
        <f t="shared" ca="1" si="260"/>
        <v>0</v>
      </c>
      <c r="FA70" s="259" t="str">
        <f t="shared" ca="1" si="261"/>
        <v/>
      </c>
      <c r="FB70" s="259">
        <f t="shared" ca="1" si="262"/>
        <v>0</v>
      </c>
      <c r="FC70" s="259">
        <f t="shared" ca="1" si="263"/>
        <v>0</v>
      </c>
      <c r="FD70" s="259">
        <f t="shared" ca="1" si="202"/>
        <v>0</v>
      </c>
      <c r="FE70" s="259" t="str">
        <f t="shared" ca="1" si="203"/>
        <v/>
      </c>
      <c r="FF70" s="259" t="str">
        <f t="shared" ca="1" si="264"/>
        <v/>
      </c>
      <c r="FG70" s="259" t="str">
        <f t="shared" si="265"/>
        <v>BANCHE C/INTERESSI MATURATI</v>
      </c>
      <c r="FH70" s="259">
        <f t="shared" ca="1" si="156"/>
        <v>0</v>
      </c>
      <c r="FI70" s="259">
        <f t="shared" ca="1" si="204"/>
        <v>0</v>
      </c>
      <c r="FJ70" s="259">
        <f t="shared" ca="1" si="266"/>
        <v>0</v>
      </c>
      <c r="FK70" s="259">
        <f t="shared" ca="1" si="267"/>
        <v>0</v>
      </c>
      <c r="FL70" s="259">
        <f ca="1">IF(OR(FJ70&gt;0,FK70&gt;0),MAX($FL$2:FL69)+1,0)</f>
        <v>0</v>
      </c>
      <c r="FM70" s="259">
        <f t="shared" ca="1" si="205"/>
        <v>0</v>
      </c>
      <c r="FN70" s="259">
        <f ca="1">IF(FM70&lt;0,MAX($FN$2:FN69)+1,0)</f>
        <v>0</v>
      </c>
      <c r="FO70" s="259" t="str">
        <f t="shared" ca="1" si="268"/>
        <v/>
      </c>
      <c r="FP70" s="259" t="str">
        <f ca="1">IFERROR(INDEX($FN$3:$FO$400,MATCH(ROWS($FP$3:FP70),$FN$3:$FN$400,0),2),"")</f>
        <v/>
      </c>
      <c r="FQ70" s="259" t="str">
        <f>IF(AE70="SE AVERE",MAX($FQ$2:FQ69)+1,"")</f>
        <v/>
      </c>
      <c r="FR70" s="259" t="str">
        <f>IF(AE70="SE DARE",MAX($FR$2:FR69)+1,"")</f>
        <v/>
      </c>
      <c r="FS70" s="259" t="str">
        <f ca="1">IF(AND(AE70="SP DARE",AA70&lt;&gt;$FS$1,AA70&lt;&gt;$FT$1),MAX($FS$2:FS69)+1,IF(AND(GQ70="SP DARE",AA70&lt;&gt;$FS$1,AA70&lt;&gt;$FT$1),MAX($FS$2:FS69)+1,""))</f>
        <v/>
      </c>
      <c r="FT70" s="259">
        <f ca="1">IF(AND(AE70="SP AVERE",AA70&lt;&gt;$FU$1),MAX($FT$2:FT69)+1,IF(AND(GQ70="SP AVERE",AA70&lt;&gt;$FU$1),MAX($FT$2:FT69)+1,""))</f>
        <v>152</v>
      </c>
      <c r="FU70" s="259">
        <f t="shared" ca="1" si="269"/>
        <v>152</v>
      </c>
      <c r="FV70" s="259" t="str">
        <f t="shared" si="270"/>
        <v>BANCHE C/INTERESSI MATURATI</v>
      </c>
      <c r="FW70" s="259" t="str">
        <f ca="1">IFERROR(INDEX($FU$3:$FV$500,MATCH(ROWS($FW$3:FW70),$FU$3:$FU$500,0),2),0)</f>
        <v>ACCANTONAMENTO PER IMPOSTE INDIRETTE</v>
      </c>
      <c r="FX70" s="259">
        <f t="shared" ca="1" si="271"/>
        <v>68</v>
      </c>
      <c r="FY70" s="259">
        <f t="shared" ca="1" si="272"/>
        <v>0</v>
      </c>
      <c r="FZ70" s="259">
        <f ca="1">IF(FY70&gt;0,MAX($FZ$2:FZ69)+1,0)</f>
        <v>0</v>
      </c>
      <c r="GA70" s="259">
        <f ca="1">IFERROR(INDEX($FY$3:$FZ$500,MATCH(ROWS($GA$3:GA70),$FZ$3:$FZ$500,0),1),0)</f>
        <v>0</v>
      </c>
      <c r="GC70" s="259">
        <f t="shared" ca="1" si="273"/>
        <v>68</v>
      </c>
      <c r="GD70" s="259" t="str">
        <f t="shared" ca="1" si="274"/>
        <v>ACCANTONAMENTO PER IMPOSTE INDIRETTE</v>
      </c>
      <c r="GG70" s="259">
        <f t="shared" ca="1" si="275"/>
        <v>0</v>
      </c>
      <c r="GH70" s="259">
        <f t="shared" ca="1" si="276"/>
        <v>0</v>
      </c>
      <c r="GI70" s="259">
        <f t="shared" ca="1" si="277"/>
        <v>0</v>
      </c>
      <c r="GJ70" s="259">
        <f t="shared" ca="1" si="278"/>
        <v>0</v>
      </c>
      <c r="GK70" s="259">
        <f t="shared" ca="1" si="279"/>
        <v>0</v>
      </c>
      <c r="GL70" s="259">
        <f t="shared" ca="1" si="280"/>
        <v>0</v>
      </c>
      <c r="GM70" s="259">
        <f ca="1">IF(OR(GK70&gt;0,GL70&gt;0),MAX($GM$2:GM69)+1,0)</f>
        <v>0</v>
      </c>
      <c r="GN70" s="259" t="str">
        <f ca="1">IFERROR(INDEX($GD$3:$GM$400,MATCH(ROWS($GN$3:GN70),$GM$3:$GM$400,0),1),"")</f>
        <v/>
      </c>
      <c r="GO70" s="259" t="str">
        <f ca="1">IFERROR(INDEX($GD$3:$GM$400,MATCH(ROWS($GO$3:GO70),$GM$3:$GM$400,0),8),"")</f>
        <v/>
      </c>
      <c r="GP70" s="259" t="str">
        <f ca="1">IFERROR(INDEX($GD$3:$GM$400,MATCH(ROWS($GP$3:GP70),$GM$3:$GM$400,0),9),"")</f>
        <v/>
      </c>
      <c r="GQ70" s="259">
        <f t="shared" ca="1" si="206"/>
        <v>0</v>
      </c>
      <c r="GR70" s="259">
        <f t="shared" ca="1" si="281"/>
        <v>0</v>
      </c>
      <c r="GS70" s="259" t="str">
        <f t="shared" si="282"/>
        <v>epilogo a Conto economico</v>
      </c>
      <c r="GT70" s="259" t="str">
        <f ca="1">IFERROR(INDEX($GD$3:$GS$400,MATCH(ROWS($GT$3:GT70),$GM$3:$GM$400,0),16),"")</f>
        <v/>
      </c>
      <c r="GU70" s="259">
        <f ca="1">IF(GQ70&lt;&gt;0,MAX($GU$2:$GU69)+1,0)</f>
        <v>0</v>
      </c>
      <c r="GV70" s="259">
        <f t="shared" ca="1" si="283"/>
        <v>0</v>
      </c>
      <c r="GW70" s="259" t="str">
        <f ca="1">IF(AND(IFERROR(INDEX($GU$3:$GV$400,MATCH(ROWS($GW$3:GW70),$GU$3:$GU$400,0),2),"")&lt;&gt;"",GW71&lt;&gt;""),CONCATENATE(IFERROR(INDEX($GU$3:$GV$400,MATCH(ROWS($GW$3:GW70),$GU$3:$GU$400,0),2),"")," - "),IFERROR(INDEX($GU$3:$GV$400,MATCH(ROWS($GW$3:GW70),$GU$3:$GU$400,0),2),""))</f>
        <v/>
      </c>
      <c r="GX70" s="259">
        <f ca="1">IF(OR(GN70="IVA NS/CREDITO",GN70="IVA NS/DEBITO",GN70="IVA C/ACCONTO",GN70="IMPOSTE C/ACCONTO"),MAX($GX$2:GX69)+1,0)</f>
        <v>0</v>
      </c>
      <c r="GY70" s="259" t="str">
        <f ca="1">IF(AND(IFERROR(INDEX($GN$3:$GX$200,MATCH(ROWS($GY$3:GY70),$GX$3:$GX$200,0),1),"")&lt;&gt;"",GY71&lt;&gt;""),CONCATENATE(IFERROR(INDEX($GN$3:$GX$200,MATCH(ROWS($GY$3:GY70),$GX$3:$GX$200,0),1),"")," - "),IFERROR(INDEX($GN$3:$GX$200,MATCH(ROWS($GY$3:GY70),$GX$3:$GX$200,0),1),""))</f>
        <v/>
      </c>
      <c r="GZ70" s="259" t="s">
        <v>93</v>
      </c>
      <c r="HA70" s="259" t="s">
        <v>89</v>
      </c>
      <c r="HB70" s="269" t="s">
        <v>256</v>
      </c>
      <c r="HC70" s="269" t="s">
        <v>276</v>
      </c>
      <c r="HD70" s="269" t="s">
        <v>4</v>
      </c>
      <c r="HE70" s="269" t="s">
        <v>521</v>
      </c>
      <c r="HL70" s="259" t="str">
        <f t="shared" ca="1" si="207"/>
        <v/>
      </c>
      <c r="HM70" s="259" t="str">
        <f t="shared" ca="1" si="208"/>
        <v/>
      </c>
      <c r="HN70" s="259" t="str">
        <f t="shared" ca="1" si="209"/>
        <v/>
      </c>
      <c r="HO70" s="259">
        <f ca="1">IF(HL70&lt;&gt;"",MAX($HO$2:HO69)+1,0)</f>
        <v>0</v>
      </c>
      <c r="HP70" s="259">
        <f ca="1">IF(HM70&lt;&gt;"",MAX($HP$2:HP69)+1,0)</f>
        <v>0</v>
      </c>
      <c r="HQ70" s="259">
        <f ca="1">IF(HN70&lt;&gt;"",MAX($HQ$2:HQ69)+1,0)</f>
        <v>0</v>
      </c>
      <c r="HR70" s="259" t="str">
        <f t="shared" ca="1" si="284"/>
        <v/>
      </c>
      <c r="HS70" s="259" t="str">
        <f t="shared" ca="1" si="285"/>
        <v/>
      </c>
      <c r="HT70" s="259">
        <f t="shared" ca="1" si="286"/>
        <v>0</v>
      </c>
      <c r="HU70" s="259">
        <f t="shared" ca="1" si="287"/>
        <v>0</v>
      </c>
      <c r="HV70" s="259" t="str">
        <f ca="1">CONCATENATE(IFERROR(INDEX($HS$3:$HT$102,MATCH(ROWS($HV$3:HV70),$HT$3:$HT$102,0),1),""),HR70)</f>
        <v/>
      </c>
      <c r="IA70" s="259" t="s">
        <v>386</v>
      </c>
      <c r="IB70" s="259" t="s">
        <v>329</v>
      </c>
      <c r="IC70" s="259">
        <f ca="1">IFERROR(INDEX(PIANO_DEI_CONTI,MATCH(ROWS(DL$3:DL70),$DK$3:DK297,0),2),0)</f>
        <v>0</v>
      </c>
      <c r="ID70" s="259">
        <f t="shared" ca="1" si="288"/>
        <v>0</v>
      </c>
      <c r="IE70" s="259">
        <f t="shared" ca="1" si="289"/>
        <v>0</v>
      </c>
      <c r="IF70" s="259">
        <f t="shared" ca="1" si="290"/>
        <v>0</v>
      </c>
      <c r="IG70" s="259">
        <f ca="1">IF(SUMIFS($ID$3:$ID$200,$IF$3:$IF$200,IA70)&gt;=SUMIFS($IE$3:$IE$200,$IF$3:$IF$200,IA70),SUMIFS($ID$3:$ID$200,$IF$3:$IF$200,IA70),SUMIFS($IE$3:$IE$200,$IF$3:$IF$200,IA70))</f>
        <v>0</v>
      </c>
      <c r="IH70" s="259">
        <f ca="1">IF(IG70&lt;&gt;0,MAX($IH$35:IH69)+1,0)</f>
        <v>0</v>
      </c>
      <c r="II70" s="259">
        <f>IF(AD70="costi pluriennali",MAX($II$2:II69)+1,0)</f>
        <v>0</v>
      </c>
      <c r="IJ70" s="259">
        <f>IF($AD70="rettifiche costi pluriennali",MAX($IJ$2:IJ69)+1,0)</f>
        <v>0</v>
      </c>
      <c r="IK70" s="259">
        <f t="shared" si="291"/>
        <v>0</v>
      </c>
      <c r="IL70" s="259" t="str">
        <f t="shared" si="292"/>
        <v/>
      </c>
      <c r="IM70" s="259">
        <f t="shared" ca="1" si="293"/>
        <v>0</v>
      </c>
      <c r="IN70" s="259">
        <f t="shared" ca="1" si="141"/>
        <v>0</v>
      </c>
      <c r="IO70" s="259">
        <f>SUMIFS($IM$3:$IM$200,$IK$3:$IK$200,ROWS($IO$3:IO70))-SUMIFS($IN$3:$IN$200,$IK$3:$IK$200,ROWS($IO$3:IO70))</f>
        <v>0</v>
      </c>
      <c r="IP70" s="259" t="str">
        <f>IF(IO70&lt;0,INDEX($IJ$3:$IL$200,MATCH(ROWS($IP$3:IP70),$IJ$3:$IJ$200,0),3),"")</f>
        <v/>
      </c>
      <c r="IQ70" s="259">
        <f>IF(IP70&lt;&gt;"",MAX($IQ$2:IQ69)+1,0)</f>
        <v>0</v>
      </c>
      <c r="IR70" s="259" t="str">
        <f ca="1">IFERROR(INDEX($IP$3:$IQ$200,MATCH(ROWS($IR$3:IR70),$IQ$3:$IQ$200,0),1),"")</f>
        <v/>
      </c>
      <c r="IS70" s="259" t="str">
        <f t="shared" ca="1" si="294"/>
        <v/>
      </c>
      <c r="IT70" s="259" t="str">
        <f t="shared" ca="1" si="295"/>
        <v/>
      </c>
      <c r="IU70" s="259" t="str">
        <f t="shared" ca="1" si="296"/>
        <v/>
      </c>
      <c r="IV70" s="259" t="str">
        <f t="shared" ca="1" si="297"/>
        <v/>
      </c>
      <c r="IW70" s="259" t="str">
        <f t="shared" ca="1" si="298"/>
        <v/>
      </c>
      <c r="IX70" s="259" t="str">
        <f t="shared" ca="1" si="299"/>
        <v/>
      </c>
      <c r="IY70" s="259" t="str">
        <f t="shared" ca="1" si="300"/>
        <v/>
      </c>
      <c r="IZ70" s="259" t="str">
        <f t="shared" ca="1" si="301"/>
        <v/>
      </c>
      <c r="JA70" s="259" t="str">
        <f t="shared" ca="1" si="302"/>
        <v/>
      </c>
      <c r="JB70" s="259">
        <f t="shared" ca="1" si="210"/>
        <v>0</v>
      </c>
      <c r="JC70" s="259">
        <f t="shared" ca="1" si="303"/>
        <v>0</v>
      </c>
      <c r="JE70" s="259">
        <f ca="1">IFERROR(INDEX(LIBRO_GIORNALE!$N$11:$O$408,MATCH(ROWS($JE$2:JE69),LIBRO_GIORNALE!$O$11:$O$408,0),1),0)</f>
        <v>0</v>
      </c>
      <c r="JF70" s="259" t="str">
        <f t="shared" ca="1" si="304"/>
        <v>0</v>
      </c>
      <c r="JG70" s="259">
        <f t="shared" ca="1" si="305"/>
        <v>0</v>
      </c>
      <c r="JH70" s="259">
        <f ca="1">IF(JJ70&gt;0,0,MAX($JH$2:JH69)+1)</f>
        <v>68</v>
      </c>
      <c r="JI70" s="259">
        <f ca="1">IF(JG70&gt;0,MAX($JI$2:JI69)+1,0)</f>
        <v>0</v>
      </c>
      <c r="JJ70" s="259">
        <f ca="1">IFERROR(INDEX($JG$3:$JI$124,MATCH(ROWS($JJ$3:JJ70),$JI$3:$JI$124,0),1),0)</f>
        <v>0</v>
      </c>
      <c r="JK70" s="259">
        <f t="shared" ca="1" si="306"/>
        <v>0</v>
      </c>
      <c r="JL70" s="259">
        <f t="shared" ca="1" si="307"/>
        <v>68</v>
      </c>
    </row>
    <row r="71" spans="1:272">
      <c r="A71" s="259" t="str">
        <f t="shared" si="211"/>
        <v>11.00</v>
      </c>
      <c r="B71" s="259" t="str">
        <f t="shared" si="212"/>
        <v>FONDI PER RISCHI E ONERI</v>
      </c>
      <c r="C71" s="259">
        <f t="shared" si="213"/>
        <v>0</v>
      </c>
      <c r="D71" s="259">
        <f t="shared" si="214"/>
        <v>0</v>
      </c>
      <c r="E71" s="259">
        <f t="shared" si="215"/>
        <v>0</v>
      </c>
      <c r="F71" s="259">
        <f t="shared" si="216"/>
        <v>0</v>
      </c>
      <c r="G71" s="259">
        <f t="shared" ca="1" si="217"/>
        <v>0</v>
      </c>
      <c r="H71" s="259">
        <f t="shared" ca="1" si="218"/>
        <v>0</v>
      </c>
      <c r="I71" s="259">
        <f t="shared" ca="1" si="219"/>
        <v>0</v>
      </c>
      <c r="K71" s="259" t="str">
        <f ca="1">IFERROR(IF($I$1=1,INDEX($AA$3:$AS$220,MATCH(ROWS($K$3:K71),$AQ$3:$AQ$220,0),1),IF($I$1=2,INDEX($AA$3:$AS$220,MATCH(ROWS($K$3:K71),$AR$3:$AR$220,0),1),IF($I$1=3,INDEX($AA$3:$AS$220,MATCH(ROWS($K$3:K71),$AS$3:$AS$220,0),1),""))),"")</f>
        <v>FATTURE DA RICEVERE</v>
      </c>
      <c r="L71" s="259">
        <f ca="1">IF(AND($L$1="VISUALIZZA TUTTI I CONTI",K71&lt;&gt;""),MAX(L70:L70)+1,IFERROR(IF($J$1=1,IF(INDEX(PIANO_DEI_CONTI,MATCH($K71,DENOMINAZIONE,0),5)=$L$1,MAX($L$2:L70)+1,0),IF($J$1=2,IF(INDEX(PIANO_DEI_CONTI,MATCH($K71,DENOMINAZIONE,0),7)=$L$1,MAX($L$2:L70)+1,0))),0))</f>
        <v>69</v>
      </c>
      <c r="M71" s="259" t="str">
        <f ca="1">IFERROR(INDEX($K$3:$K$220,MATCH(ROWS($M$3:M71),$L$3:$L$220,0),1),"")</f>
        <v>FATTURE DA RICEVERE</v>
      </c>
      <c r="Q71" s="259" t="str">
        <f ca="1">IF(IFERROR(INDEX($O$3:$P$220,MATCH(ROWS(Q$3:Q71),$P$3:$P$220,0),1),"")=0,"",IFERROR(INDEX($O$3:$P$220,MATCH(ROWS(Q$3:Q71),$P$3:$P$220,0),1),""))</f>
        <v/>
      </c>
      <c r="R71" s="259" t="str">
        <f t="shared" si="182"/>
        <v/>
      </c>
      <c r="S71" s="259">
        <f ca="1">IF(IFERROR(MATCH(R71,DENOMINAZIONE_GIORNALE,0),0)&gt;0,MAX(S$2:S70)+1,0)</f>
        <v>0</v>
      </c>
      <c r="T71" s="259" t="str">
        <f ca="1">IFERROR(INDEX($R$3:$S$220,MATCH(ROWS($T$3:T71),$S$3:$S$220,0),1),"")</f>
        <v/>
      </c>
      <c r="U71" s="259">
        <f t="shared" ca="1" si="183"/>
        <v>0</v>
      </c>
      <c r="V71" s="259">
        <f ca="1">IF(IF(U71&lt;&gt;0,MAX($V$2:V70)+1,0)=0,0,IF(U71&lt;&gt;0,MAX($V$2:V70)+1,0))</f>
        <v>0</v>
      </c>
      <c r="W71" s="259" t="str">
        <f t="shared" si="220"/>
        <v/>
      </c>
      <c r="X71" s="259" t="str">
        <f t="shared" si="221"/>
        <v/>
      </c>
      <c r="Y71" s="259">
        <f>IF(W71="",0,MAX($Y$2:Y70)+1)</f>
        <v>0</v>
      </c>
      <c r="Z71" s="259" t="str">
        <f>IFERROR(INDEX($W$3:$Y$220,MATCH(ROWS($Z$2:Z70),$Y$3:$Y$220,0),1),"")</f>
        <v>13.30</v>
      </c>
      <c r="AA71" s="259" t="str">
        <f t="shared" si="222"/>
        <v>DEBITI V/ALTRI FINANZIATORI</v>
      </c>
      <c r="AB71" s="259" t="str">
        <f t="shared" si="223"/>
        <v>F</v>
      </c>
      <c r="AC71" s="259" t="str">
        <f t="shared" si="224"/>
        <v>A</v>
      </c>
      <c r="AD71" s="259" t="str">
        <f t="shared" si="225"/>
        <v>DEBITI</v>
      </c>
      <c r="AE71" s="259" t="str">
        <f t="shared" si="226"/>
        <v>SP AVERE</v>
      </c>
      <c r="AF71" s="259" t="str">
        <f t="shared" si="227"/>
        <v>DEBITI FINANZIARI</v>
      </c>
      <c r="AG71" s="259">
        <f t="shared" ca="1" si="228"/>
        <v>0</v>
      </c>
      <c r="AH71" s="259">
        <f t="shared" ca="1" si="229"/>
        <v>0</v>
      </c>
      <c r="AI71" s="259">
        <f t="shared" ca="1" si="230"/>
        <v>1</v>
      </c>
      <c r="AJ71" s="259" t="str">
        <f t="shared" si="231"/>
        <v>13</v>
      </c>
      <c r="AK71" s="259" t="str">
        <f t="shared" si="232"/>
        <v>11</v>
      </c>
      <c r="AL71" s="259">
        <f>IF(AK71&lt;&gt;"",MAX($AL$2:AL70)+1,0)</f>
        <v>10</v>
      </c>
      <c r="AM71" s="259" t="str">
        <f>IFERROR(INDEX($AK$3:$AL$220,MATCH(ROWS($AM$3:AM71),$AL$3:$AL$220,0),1),"")</f>
        <v/>
      </c>
      <c r="AN71" s="259" t="str">
        <f t="shared" si="233"/>
        <v/>
      </c>
      <c r="AO71" s="259" t="str">
        <f t="shared" si="234"/>
        <v/>
      </c>
      <c r="AP71" s="259" t="str">
        <f t="shared" si="235"/>
        <v>DEBITI FINANZIARI</v>
      </c>
      <c r="AQ71" s="259">
        <f ca="1">IF(OR(AG71=0,AG71=""),0,MAX(AQ$2:AQ70)+1)</f>
        <v>0</v>
      </c>
      <c r="AR71" s="259">
        <f ca="1">IF(OR(AH71=0,AH71=""),0,MAX(AR$2:AR70)+1)</f>
        <v>0</v>
      </c>
      <c r="AS71" s="259">
        <f ca="1">IF(OR(AI71=0,AI71=""),0,MAX(AS$2:AS70)+1)</f>
        <v>67</v>
      </c>
      <c r="AT71" s="259" t="str">
        <f ca="1">IFERROR(INDEX($AD$3:$AS$220,MATCH(ROWS(AT$3:AT71),AQ$3:AQ$220,0),1),"")</f>
        <v>COSTI D'ESERCIZIO</v>
      </c>
      <c r="AU71" s="259" t="str">
        <f ca="1">IFERROR(INDEX($AD$3:$AS$220,MATCH(ROWS(AU$3:AU71),AR$3:AR$220,0),1),"")</f>
        <v>RICAVI D'ESERCIZIO</v>
      </c>
      <c r="AV71" s="259" t="str">
        <f ca="1">IFERROR(INDEX($AD$3:$AS$220,MATCH(ROWS(AV$3:AV71),AS$3:AS$220,0),1),"")</f>
        <v>DEBITI</v>
      </c>
      <c r="AW71" s="259" t="str">
        <f ca="1">IFERROR(INDEX($AP$3:$AS$220,MATCH(ROWS(AW$3:AW71),AQ$3:AQ$220,0),1),"")</f>
        <v>COSTI PER SERVIZI</v>
      </c>
      <c r="AX71" s="259" t="str">
        <f ca="1">IFERROR(INDEX($AP$3:$AS$220,MATCH(ROWS(AX$3:AX71),AR$3:AR$220,0),1),"")</f>
        <v>VALORE DELLA PRODUZIONE</v>
      </c>
      <c r="AY71" s="259" t="str">
        <f ca="1">IFERROR(INDEX($AP$3:$AS$220,MATCH(ROWS(AY$3:AY71),AS$3:AS$220,0),1),"")</f>
        <v>DEBITI COMMERCIALI</v>
      </c>
      <c r="AZ71" s="276" t="str">
        <f t="shared" ca="1" si="236"/>
        <v/>
      </c>
      <c r="BA71" s="259">
        <f t="shared" ca="1" si="184"/>
        <v>0</v>
      </c>
      <c r="BB71" s="259">
        <f ca="1">IFERROR(INDEX($FG$3:$FL$400,MATCH(ROWS($BB$3:BB71),$FL$3:$FL$400,0),1),0)</f>
        <v>0</v>
      </c>
      <c r="BC71" s="259" t="str">
        <f t="shared" ca="1" si="237"/>
        <v/>
      </c>
      <c r="BD71" s="259">
        <f ca="1">IFERROR(INDEX($FG$3:$FL$400,MATCH(ROWS($BD$3:BD71),$FL$3:$FL$400,0),4),0)</f>
        <v>0</v>
      </c>
      <c r="BE71" s="259">
        <f ca="1">IFERROR(INDEX($FG$3:$FL$400,MATCH(ROWS($BE$3:BE71),$FL$3:$FL$400,0),5),0)</f>
        <v>0</v>
      </c>
      <c r="BG71" s="259" t="str">
        <f t="shared" si="185"/>
        <v>DEBITI V/ALTRI FINANZIATORI</v>
      </c>
      <c r="BH71" s="259">
        <f ca="1">IF(IFERROR(MATCH(BG71,DENOMINAZIONE_GIORNALE,0),0)&gt;0,MAX(BH$2:BH70)+1,0)</f>
        <v>0</v>
      </c>
      <c r="BI71" s="259" t="str">
        <f ca="1">IFERROR(INDEX($BG$3:$BH$220,MATCH(ROWS($BI$3:BI71),$BH$3:$BH$220,0),1),"")</f>
        <v/>
      </c>
      <c r="BJ71" s="259" t="str">
        <f t="shared" ca="1" si="186"/>
        <v/>
      </c>
      <c r="BK71" s="259" t="str">
        <f ca="1">IF(IF(BJ71&lt;&gt;"",MAX($BK$2:BK70)+1,0)=0,"",IF(BJ71&lt;&gt;"",MAX($BK$2:BK70)+1,0))</f>
        <v/>
      </c>
      <c r="BL71" s="259" t="str">
        <f ca="1">IFERROR(INDEX($T$3:$U$220, MATCH(ROWS(BL$3:BL71),$V$3:$V$220,0),1),"")</f>
        <v/>
      </c>
      <c r="BM71" s="259" t="str">
        <f ca="1">IFERROR(INDEX($T$3:$U$220, MATCH(ROWS(BM$3:BM71),$V$3:$V$220,0),2),"")</f>
        <v/>
      </c>
      <c r="BN71" s="259" t="str">
        <f ca="1">IF(IFERROR(INDEX($BI$3:$BJ$220,MATCH(ROWS(BN$3:BN71),$BK$3:$BK$220,0),1),"")="PATRIMONIO NETTO","",IFERROR(INDEX($BI$3:$BJ$220,MATCH(ROWS(BN$3:BN71),$BK$3:$BK$220,0),1),""))</f>
        <v/>
      </c>
      <c r="BO71" s="259" t="str">
        <f ca="1">IFERROR(INDEX($BI$3:$BJ$220,MATCH(ROWS(BO$3:BO71),$BK$3:$BK$220,0),2),"")</f>
        <v/>
      </c>
      <c r="BP71" s="259">
        <f ca="1">IF(BN71&lt;&gt;"",MAX(BP$2:$BP70)+1,0)</f>
        <v>0</v>
      </c>
      <c r="BQ71" s="259" t="str">
        <f ca="1">IFERROR(INDEX($BN$3:$BO$200,MATCH(ROWS(BQ$3:BQ71),$BP$3:$BP$220,0),1),"")</f>
        <v/>
      </c>
      <c r="BR71" s="259" t="str">
        <f ca="1">IFERROR(INDEX($BN$3:$BO$220,MATCH(ROWS(BR$3:BR71),$BP$3:$BP$220,0),2),"")</f>
        <v/>
      </c>
      <c r="BS71" s="259" t="str">
        <f ca="1">IFERROR(IF(OR(INDEX($T$3:$U$220,MATCH(ROWS(BL$3:BL71),$V$3:$V$220,0),1)="PRELEVAMENTI EXTRAGESTIONE",INDEX($T$3:$U$220,MATCH(ROWS(BL$3:BL71),$V$3:$V$220,0),1)="TITOLARE C/RITENUTE SUBITE"),"",INDEX($T$3:$U$220,MATCH(ROWS(BL$3:BL71),$V$3:$V$220,0),1)),"")</f>
        <v/>
      </c>
      <c r="BT71" s="259">
        <f t="shared" ca="1" si="238"/>
        <v>0</v>
      </c>
      <c r="BU71" s="259">
        <f ca="1">IF(BS71&lt;&gt;"",MAX(BU$2:BU70)+1,0)</f>
        <v>0</v>
      </c>
      <c r="BV71" s="259" t="str">
        <f ca="1">IFERROR(INDEX($BS$3:$BT$223,MATCH(ROWS(BV$3:BV71),$BU$3:$BU$223,0),1),"")</f>
        <v/>
      </c>
      <c r="BW71" s="259">
        <f t="shared" ca="1" si="239"/>
        <v>0</v>
      </c>
      <c r="BX71" s="259" t="str">
        <f t="shared" ca="1" si="240"/>
        <v/>
      </c>
      <c r="BY71" s="259" t="str">
        <f t="shared" ca="1" si="241"/>
        <v/>
      </c>
      <c r="BZ71" s="259" t="str">
        <f ca="1">IFERROR(IF(OR($DS$231&lt;&gt;$DT$231,$DU$231&lt;&gt;$DV$231,$EO$25&lt;&gt;0,$EO$26&lt;&gt;0),INDEX($T$3:$V$220,MATCH(ROWS($BV$3:BV71),$V$3:$V$220,0),1),CONCATENATE(BV71,BY71)),"")</f>
        <v/>
      </c>
      <c r="CA71" s="259">
        <f t="shared" ca="1" si="242"/>
        <v>0</v>
      </c>
      <c r="CB71" s="259" t="str">
        <f ca="1">IFERROR(IF(OR($BB$1&lt;&gt;$BD$1,$BC$1&lt;&gt;$BE$1,$DS$231&lt;&gt;$DT$231,$DU$231&lt;&gt;$DV$231,$EO$25&lt;&gt;0,$EO$26&lt;&gt;0),INDEX($BI$3:$BK$220,MATCH(ROWS($CB$3:CB71),$BK$3:$BK$220,0),1),CONCATENATE(BQ71,BX71)),"")</f>
        <v/>
      </c>
      <c r="CC71" s="259" t="str">
        <f t="shared" ca="1" si="243"/>
        <v/>
      </c>
      <c r="CD71" s="259" t="str">
        <f t="shared" si="187"/>
        <v/>
      </c>
      <c r="CE71" s="259">
        <f ca="1">IF(IFERROR(MATCH(CD71,DENOMINAZIONE_GIORNALE,0),0)&gt;0,MAX(CE$2:CE70)+1,0)</f>
        <v>0</v>
      </c>
      <c r="CF71" s="259" t="str">
        <f ca="1">IFERROR(INDEX($CD$3:$CE$220,MATCH(ROWS($CF$3:CF71),$CE$3:$CE$220,0),1),"")</f>
        <v/>
      </c>
      <c r="CG71" s="259">
        <f t="shared" ca="1" si="188"/>
        <v>0</v>
      </c>
      <c r="CH71" s="259" t="str">
        <f ca="1">IF(IF(CG71&lt;&gt;0,MAX($CH$2:CH70)+1,0)=0,"",IF(CG71&lt;&gt;"",MAX($CH$2:CH70)+1,0))</f>
        <v/>
      </c>
      <c r="CI71" s="259" t="str">
        <f ca="1">IFERROR(INDEX($CF$3:$CG$220,MATCH(ROWS($CI$3:CI71),$CH$3:$CH$220,0),1),"")</f>
        <v/>
      </c>
      <c r="CJ71" s="259" t="str">
        <f t="shared" ca="1" si="244"/>
        <v/>
      </c>
      <c r="CK71" s="259" t="str">
        <f t="shared" si="189"/>
        <v/>
      </c>
      <c r="CL71" s="259">
        <f ca="1">IF(IFERROR(MATCH(CK71,DENOMINAZIONE_GIORNALE,0),0)&gt;0,MAX(CL$2:CL70)+1,0)</f>
        <v>0</v>
      </c>
      <c r="CM71" s="259" t="str">
        <f ca="1">IFERROR(INDEX($CK$3:$CL$220,MATCH(ROWS($CM$3:CM71),$CL$3:$CL$220,0),1),"")</f>
        <v/>
      </c>
      <c r="CN71" s="259" t="str">
        <f t="shared" ca="1" si="190"/>
        <v/>
      </c>
      <c r="CO71" s="259">
        <f ca="1">IF(IF(CN71&lt;&gt;0,MAX($CO$2:CO70)+1,0)=0,"",IF(CN71&lt;&gt;"",MAX($CO$2:CO70)+1,0))</f>
        <v>0</v>
      </c>
      <c r="CP71" s="259" t="str">
        <f ca="1">IFERROR(INDEX($CM$3:$CN$220,MATCH(ROWS(CP$3:CP71),$CO$3:$CO$220,0),1),"")</f>
        <v/>
      </c>
      <c r="CQ71" s="259" t="str">
        <f ca="1">IFERROR(INDEX($CM$3:$CN$220,MATCH(ROWS(CQ$3:CQ71),$CO$3:$CO$220,0),2),"")</f>
        <v/>
      </c>
      <c r="CR71" s="259" t="str">
        <f t="shared" ca="1" si="191"/>
        <v/>
      </c>
      <c r="CS71" s="259">
        <f t="shared" ca="1" si="192"/>
        <v>0</v>
      </c>
      <c r="CT71" s="259">
        <f t="shared" ca="1" si="193"/>
        <v>0</v>
      </c>
      <c r="CU71" s="259">
        <f ca="1">IF(OR(CS71&gt;0,CT71&gt;0),MAX($CU$2:CU70)+1,0)</f>
        <v>0</v>
      </c>
      <c r="CV71" s="259" t="str">
        <f ca="1">IFERROR(INDEX(PIANO_DEI_CONTI,MATCH(ROWS($CV$3:CV71),$CU$3:$CU$200,0),2),"")</f>
        <v/>
      </c>
      <c r="CW71" s="259">
        <f ca="1">IFERROR(IF(CV71&lt;&gt;"",MAX($CW$2:CW70)+1,0),0)</f>
        <v>0</v>
      </c>
      <c r="CX71" s="259">
        <f t="shared" ca="1" si="174"/>
        <v>4</v>
      </c>
      <c r="CY71" s="259" t="str">
        <f t="shared" ca="1" si="308"/>
        <v>MASTRO</v>
      </c>
      <c r="CZ71" s="259" t="e">
        <f t="shared" ca="1" si="176"/>
        <v>#N/A</v>
      </c>
      <c r="DA71" s="259" t="str">
        <f t="shared" ca="1" si="181"/>
        <v/>
      </c>
      <c r="DB71" s="259" t="str">
        <f t="shared" ca="1" si="177"/>
        <v/>
      </c>
      <c r="DC71" s="259" t="str">
        <f t="shared" ca="1" si="178"/>
        <v/>
      </c>
      <c r="DD71" s="259" t="str">
        <f t="shared" ca="1" si="179"/>
        <v/>
      </c>
      <c r="DE71" s="259" t="str">
        <f t="shared" ca="1" si="180"/>
        <v/>
      </c>
      <c r="DF71" s="259">
        <f ca="1">IF(AND(CX71=$DE$2,$DF$2&lt;&gt;0),0,IF(AND(DB71&lt;&gt;"",OR(DB70&lt;&gt;"",DB72&lt;&gt;"")),MAX($DF$2:DF70)+1,0))</f>
        <v>0</v>
      </c>
      <c r="DG71" s="259" t="str">
        <f>IF(OR(VALORI_INIZIALI!E76="",AND(VALORI_INIZIALI!E76&lt;&gt;"",VALORI_INIZIALI!H76=0,VALORI_INIZIALI!I76=0)),"",IFERROR(INDEX(PIANO_DEI_CONTI,MATCH(BB71,DENOMINAZIONE,0),1),0))</f>
        <v/>
      </c>
      <c r="DH71" s="259">
        <f ca="1">IFERROR(IF($J$1=1,IF(INDEX(PIANO_DEI_CONTI,MATCH($K71,DENOMINAZIONE,0),5)=$DF$1,MAX($DH$2:DH70)+1,0),IF($J$1=2,IF(INDEX(PIANO_DEI_CONTI,MATCH($K71,DENOMINAZIONE,0),7)=$DF$1,MAX($DH$2:DH70)+1,0))),0)</f>
        <v>0</v>
      </c>
      <c r="DI71" s="259">
        <f ca="1">IFERROR(INDEX($K$3:$K$220,MATCH(ROWS($DI$3:DI71),$DH$3:$DH$220,0),1),0)</f>
        <v>0</v>
      </c>
      <c r="DJ71" s="259">
        <f t="shared" ca="1" si="194"/>
        <v>0</v>
      </c>
      <c r="DK71" s="259">
        <f ca="1">IF(DJ71=0,0,MAX(DK$2:DK70)+1)</f>
        <v>0</v>
      </c>
      <c r="DL71" s="259">
        <f ca="1">IFERROR(INDEX(PIANO_DEI_CONTI,MATCH(ROWS(DL$3:DL71),$DK$3:DK298,0),2),0)</f>
        <v>0</v>
      </c>
      <c r="DM71" s="259">
        <f t="shared" ca="1" si="195"/>
        <v>0</v>
      </c>
      <c r="DN71" s="259">
        <f t="shared" ca="1" si="196"/>
        <v>0</v>
      </c>
      <c r="DO71" s="259">
        <f t="shared" ca="1" si="245"/>
        <v>0</v>
      </c>
      <c r="DP71" s="259">
        <f t="shared" ca="1" si="246"/>
        <v>0</v>
      </c>
      <c r="DQ71" s="259">
        <f ca="1">IF(OR($DQ$1="TOTALI",$DQ$1="TOTALI ED ECCEDENZE"),IF(OR(DM71&gt;0,DN71&gt;0),MAX(DQ$2:DQ70)+1,0),IF($DQ$1="ECCEDENZE",IF(OR(DO71&gt;0,DP71&gt;0),MAX(DQ$2:DQ70)+1,0),""))</f>
        <v>0</v>
      </c>
      <c r="DR71" s="259" t="str">
        <f ca="1">IFERROR(INDEX($DL$3:$DQ$230,MATCH(ROWS(DR$3:DR71),$DQ$3:$DQ$230,0),1),"")</f>
        <v/>
      </c>
      <c r="DS71" s="259" t="str">
        <f t="shared" ca="1" si="247"/>
        <v/>
      </c>
      <c r="DT71" s="259" t="str">
        <f t="shared" ca="1" si="248"/>
        <v/>
      </c>
      <c r="DU71" s="259" t="str">
        <f t="shared" ca="1" si="249"/>
        <v/>
      </c>
      <c r="DV71" s="259" t="str">
        <f t="shared" ca="1" si="250"/>
        <v/>
      </c>
      <c r="DW71" s="259">
        <f t="shared" ca="1" si="251"/>
        <v>0</v>
      </c>
      <c r="DX71" s="259" t="str">
        <f t="shared" ca="1" si="252"/>
        <v/>
      </c>
      <c r="DY71" s="259" t="str">
        <f t="shared" ca="1" si="253"/>
        <v/>
      </c>
      <c r="DZ71" s="259" t="str">
        <f t="shared" ca="1" si="254"/>
        <v/>
      </c>
      <c r="EA71" s="259">
        <f t="shared" ca="1" si="255"/>
        <v>69</v>
      </c>
      <c r="EB71" s="259" t="s">
        <v>361</v>
      </c>
      <c r="ED71" s="259">
        <f t="shared" ca="1" si="197"/>
        <v>0</v>
      </c>
      <c r="EE71" s="259" t="str">
        <f t="shared" ca="1" si="198"/>
        <v/>
      </c>
      <c r="EF71" s="259" t="str">
        <f t="shared" ca="1" si="199"/>
        <v/>
      </c>
      <c r="EG71" s="259" t="str">
        <f t="shared" ca="1" si="309"/>
        <v/>
      </c>
      <c r="EH71" s="259" t="str">
        <f t="shared" ca="1" si="256"/>
        <v/>
      </c>
      <c r="EI71" s="260" t="b">
        <f t="shared" ca="1" si="310"/>
        <v>0</v>
      </c>
      <c r="EJ71" s="260" t="b">
        <f t="shared" ca="1" si="311"/>
        <v>0</v>
      </c>
      <c r="EK71" s="260" t="b">
        <f t="shared" ca="1" si="312"/>
        <v>0</v>
      </c>
      <c r="EL71" s="259">
        <f t="shared" si="257"/>
        <v>69</v>
      </c>
      <c r="EM71" s="259">
        <f ca="1">IF(AND(BA71&gt;0,BA71&lt;=$EM$1),MAX($EM$2:EM70)+1,0)</f>
        <v>0</v>
      </c>
      <c r="EN71" s="259">
        <f t="shared" ca="1" si="258"/>
        <v>71</v>
      </c>
      <c r="EP71" s="259" t="str">
        <f t="shared" ca="1" si="200"/>
        <v/>
      </c>
      <c r="EQ71" s="259">
        <f t="shared" ca="1" si="201"/>
        <v>0</v>
      </c>
      <c r="ER71" s="259">
        <f ca="1">IF(ISNA(EQ71),MAX(ER$2:ER70)+1,0)</f>
        <v>0</v>
      </c>
      <c r="ES71" s="259" t="str">
        <f t="shared" ca="1" si="259"/>
        <v/>
      </c>
      <c r="ET71" s="259" t="str">
        <f ca="1">IFERROR(UPPER(INDEX($ER$3:$ES$500,MATCH(ROWS(ET$3:ET71),$ER$3:$ER$500,0),2)),"")</f>
        <v/>
      </c>
      <c r="EY71" s="259">
        <f t="shared" ca="1" si="260"/>
        <v>0</v>
      </c>
      <c r="EZ71" s="259">
        <f t="shared" ca="1" si="260"/>
        <v>0</v>
      </c>
      <c r="FA71" s="259" t="str">
        <f t="shared" ca="1" si="261"/>
        <v/>
      </c>
      <c r="FB71" s="259">
        <f t="shared" ca="1" si="262"/>
        <v>0</v>
      </c>
      <c r="FC71" s="259">
        <f t="shared" ca="1" si="263"/>
        <v>0</v>
      </c>
      <c r="FD71" s="259">
        <f t="shared" ca="1" si="202"/>
        <v>0</v>
      </c>
      <c r="FE71" s="259" t="str">
        <f t="shared" ca="1" si="203"/>
        <v/>
      </c>
      <c r="FF71" s="259" t="str">
        <f t="shared" ca="1" si="264"/>
        <v/>
      </c>
      <c r="FG71" s="259" t="str">
        <f t="shared" si="265"/>
        <v>DEBITI V/ALTRI FINANZIATORI</v>
      </c>
      <c r="FH71" s="259">
        <f t="shared" ca="1" si="156"/>
        <v>0</v>
      </c>
      <c r="FI71" s="259">
        <f t="shared" ca="1" si="204"/>
        <v>0</v>
      </c>
      <c r="FJ71" s="259">
        <f t="shared" ca="1" si="266"/>
        <v>0</v>
      </c>
      <c r="FK71" s="259">
        <f t="shared" ca="1" si="267"/>
        <v>0</v>
      </c>
      <c r="FL71" s="259">
        <f ca="1">IF(OR(FJ71&gt;0,FK71&gt;0),MAX($FL$2:FL70)+1,0)</f>
        <v>0</v>
      </c>
      <c r="FM71" s="259">
        <f t="shared" ca="1" si="205"/>
        <v>0</v>
      </c>
      <c r="FN71" s="259">
        <f ca="1">IF(FM71&lt;0,MAX($FN$2:FN70)+1,0)</f>
        <v>0</v>
      </c>
      <c r="FO71" s="259" t="str">
        <f t="shared" ca="1" si="268"/>
        <v/>
      </c>
      <c r="FP71" s="259" t="str">
        <f ca="1">IFERROR(INDEX($FN$3:$FO$400,MATCH(ROWS($FP$3:FP71),$FN$3:$FN$400,0),2),"")</f>
        <v/>
      </c>
      <c r="FQ71" s="259" t="str">
        <f>IF(AE71="SE AVERE",MAX($FQ$2:FQ70)+1,"")</f>
        <v/>
      </c>
      <c r="FR71" s="259" t="str">
        <f>IF(AE71="SE DARE",MAX($FR$2:FR70)+1,"")</f>
        <v/>
      </c>
      <c r="FS71" s="259" t="str">
        <f ca="1">IF(AND(AE71="SP DARE",AA71&lt;&gt;$FS$1,AA71&lt;&gt;$FT$1),MAX($FS$2:FS70)+1,IF(AND(GQ71="SP DARE",AA71&lt;&gt;$FS$1,AA71&lt;&gt;$FT$1),MAX($FS$2:FS70)+1,""))</f>
        <v/>
      </c>
      <c r="FT71" s="259">
        <f ca="1">IF(AND(AE71="SP AVERE",AA71&lt;&gt;$FU$1),MAX($FT$2:FT70)+1,IF(AND(GQ71="SP AVERE",AA71&lt;&gt;$FU$1),MAX($FT$2:FT70)+1,""))</f>
        <v>153</v>
      </c>
      <c r="FU71" s="259">
        <f t="shared" ca="1" si="269"/>
        <v>153</v>
      </c>
      <c r="FV71" s="259" t="str">
        <f t="shared" si="270"/>
        <v>DEBITI V/ALTRI FINANZIATORI</v>
      </c>
      <c r="FW71" s="259" t="str">
        <f ca="1">IFERROR(INDEX($FU$3:$FV$500,MATCH(ROWS($FW$3:FW71),$FU$3:$FU$500,0),2),0)</f>
        <v>MINUSVALENZE</v>
      </c>
      <c r="FX71" s="259">
        <f t="shared" ca="1" si="271"/>
        <v>69</v>
      </c>
      <c r="FY71" s="259">
        <f t="shared" ca="1" si="272"/>
        <v>0</v>
      </c>
      <c r="FZ71" s="259">
        <f ca="1">IF(FY71&gt;0,MAX($FZ$2:FZ70)+1,0)</f>
        <v>0</v>
      </c>
      <c r="GA71" s="259">
        <f ca="1">IFERROR(INDEX($FY$3:$FZ$500,MATCH(ROWS($GA$3:GA71),$FZ$3:$FZ$500,0),1),0)</f>
        <v>0</v>
      </c>
      <c r="GC71" s="259">
        <f t="shared" ca="1" si="273"/>
        <v>69</v>
      </c>
      <c r="GD71" s="259" t="str">
        <f t="shared" ca="1" si="274"/>
        <v>MINUSVALENZE</v>
      </c>
      <c r="GG71" s="259">
        <f t="shared" ca="1" si="275"/>
        <v>0</v>
      </c>
      <c r="GH71" s="259">
        <f t="shared" ca="1" si="276"/>
        <v>0</v>
      </c>
      <c r="GI71" s="259">
        <f t="shared" ca="1" si="277"/>
        <v>0</v>
      </c>
      <c r="GJ71" s="259">
        <f t="shared" ca="1" si="278"/>
        <v>0</v>
      </c>
      <c r="GK71" s="259">
        <f t="shared" ca="1" si="279"/>
        <v>0</v>
      </c>
      <c r="GL71" s="259">
        <f t="shared" ca="1" si="280"/>
        <v>0</v>
      </c>
      <c r="GM71" s="259">
        <f ca="1">IF(OR(GK71&gt;0,GL71&gt;0),MAX($GM$2:GM70)+1,0)</f>
        <v>0</v>
      </c>
      <c r="GN71" s="259" t="str">
        <f ca="1">IFERROR(INDEX($GD$3:$GM$400,MATCH(ROWS($GN$3:GN71),$GM$3:$GM$400,0),1),"")</f>
        <v/>
      </c>
      <c r="GO71" s="259" t="str">
        <f ca="1">IFERROR(INDEX($GD$3:$GM$400,MATCH(ROWS($GO$3:GO71),$GM$3:$GM$400,0),8),"")</f>
        <v/>
      </c>
      <c r="GP71" s="259" t="str">
        <f ca="1">IFERROR(INDEX($GD$3:$GM$400,MATCH(ROWS($GP$3:GP71),$GM$3:$GM$400,0),9),"")</f>
        <v/>
      </c>
      <c r="GQ71" s="259">
        <f t="shared" ca="1" si="206"/>
        <v>0</v>
      </c>
      <c r="GR71" s="259">
        <f t="shared" ca="1" si="281"/>
        <v>0</v>
      </c>
      <c r="GS71" s="259" t="str">
        <f t="shared" si="282"/>
        <v>epilogo a Conto economico</v>
      </c>
      <c r="GT71" s="259" t="str">
        <f ca="1">IFERROR(INDEX($GD$3:$GS$400,MATCH(ROWS($GT$3:GT71),$GM$3:$GM$400,0),16),"")</f>
        <v/>
      </c>
      <c r="GU71" s="259">
        <f ca="1">IF(GQ71&lt;&gt;0,MAX($GU$2:$GU70)+1,0)</f>
        <v>0</v>
      </c>
      <c r="GV71" s="259">
        <f t="shared" ca="1" si="283"/>
        <v>0</v>
      </c>
      <c r="GW71" s="259" t="str">
        <f ca="1">IF(AND(IFERROR(INDEX($GU$3:$GV$400,MATCH(ROWS($GW$3:GW71),$GU$3:$GU$400,0),2),"")&lt;&gt;"",GW72&lt;&gt;""),CONCATENATE(IFERROR(INDEX($GU$3:$GV$400,MATCH(ROWS($GW$3:GW71),$GU$3:$GU$400,0),2),"")," - "),IFERROR(INDEX($GU$3:$GV$400,MATCH(ROWS($GW$3:GW71),$GU$3:$GU$400,0),2),""))</f>
        <v/>
      </c>
      <c r="GX71" s="259">
        <f ca="1">IF(OR(GN71="IVA NS/CREDITO",GN71="IVA NS/DEBITO",GN71="IVA C/ACCONTO",GN71="IMPOSTE C/ACCONTO"),MAX($GX$2:GX70)+1,0)</f>
        <v>0</v>
      </c>
      <c r="GY71" s="259" t="str">
        <f ca="1">IF(AND(IFERROR(INDEX($GN$3:$GX$200,MATCH(ROWS($GY$3:GY71),$GX$3:$GX$200,0),1),"")&lt;&gt;"",GY72&lt;&gt;""),CONCATENATE(IFERROR(INDEX($GN$3:$GX$200,MATCH(ROWS($GY$3:GY71),$GX$3:$GX$200,0),1),"")," - "),IFERROR(INDEX($GN$3:$GX$200,MATCH(ROWS($GY$3:GY71),$GX$3:$GX$200,0),1),""))</f>
        <v/>
      </c>
      <c r="GZ71" s="259" t="s">
        <v>94</v>
      </c>
      <c r="HA71" s="270" t="s">
        <v>522</v>
      </c>
      <c r="HL71" s="259" t="str">
        <f t="shared" ca="1" si="207"/>
        <v/>
      </c>
      <c r="HM71" s="259" t="str">
        <f t="shared" ca="1" si="208"/>
        <v/>
      </c>
      <c r="HN71" s="259" t="str">
        <f t="shared" ca="1" si="209"/>
        <v/>
      </c>
      <c r="HO71" s="259">
        <f ca="1">IF(HL71&lt;&gt;"",MAX($HO$2:HO70)+1,0)</f>
        <v>0</v>
      </c>
      <c r="HP71" s="259">
        <f ca="1">IF(HM71&lt;&gt;"",MAX($HP$2:HP70)+1,0)</f>
        <v>0</v>
      </c>
      <c r="HQ71" s="259">
        <f ca="1">IF(HN71&lt;&gt;"",MAX($HQ$2:HQ70)+1,0)</f>
        <v>0</v>
      </c>
      <c r="HR71" s="259" t="str">
        <f t="shared" ca="1" si="284"/>
        <v/>
      </c>
      <c r="HS71" s="259" t="str">
        <f t="shared" ca="1" si="285"/>
        <v/>
      </c>
      <c r="HT71" s="259">
        <f t="shared" ca="1" si="286"/>
        <v>0</v>
      </c>
      <c r="HU71" s="259">
        <f t="shared" ca="1" si="287"/>
        <v>0</v>
      </c>
      <c r="HV71" s="259" t="str">
        <f ca="1">CONCATENATE(IFERROR(INDEX($HS$3:$HT$102,MATCH(ROWS($HV$3:HV71),$HT$3:$HT$102,0),1),""),HR71)</f>
        <v/>
      </c>
      <c r="IB71" s="259" t="s">
        <v>330</v>
      </c>
      <c r="IC71" s="259">
        <f ca="1">IFERROR(INDEX(PIANO_DEI_CONTI,MATCH(ROWS(DL$3:DL71),$DK$3:DK298,0),2),0)</f>
        <v>0</v>
      </c>
      <c r="ID71" s="259">
        <f t="shared" ca="1" si="288"/>
        <v>0</v>
      </c>
      <c r="IE71" s="259">
        <f t="shared" ca="1" si="289"/>
        <v>0</v>
      </c>
      <c r="IF71" s="259">
        <f t="shared" ca="1" si="290"/>
        <v>0</v>
      </c>
      <c r="IG71" s="259">
        <f ca="1">IF(OR(IG72&gt;0,IG73&gt;0,IG74&gt;0,IG75&gt;0),"",0)</f>
        <v>0</v>
      </c>
      <c r="IH71" s="259">
        <f ca="1">IF(IG71&lt;&gt;0,MAX($IH$35:IH70)+1,0)</f>
        <v>0</v>
      </c>
      <c r="II71" s="259">
        <f>IF(AD71="costi pluriennali",MAX($II$2:II70)+1,0)</f>
        <v>0</v>
      </c>
      <c r="IJ71" s="259">
        <f>IF($AD71="rettifiche costi pluriennali",MAX($IJ$2:IJ70)+1,0)</f>
        <v>0</v>
      </c>
      <c r="IK71" s="259">
        <f t="shared" si="291"/>
        <v>0</v>
      </c>
      <c r="IL71" s="259" t="str">
        <f t="shared" si="292"/>
        <v/>
      </c>
      <c r="IM71" s="259">
        <f t="shared" ca="1" si="293"/>
        <v>0</v>
      </c>
      <c r="IN71" s="259">
        <f t="shared" ref="IN71:IN134" ca="1" si="313">IFERROR(INDEX($IC$3:$IK$200,MATCH(IL71,$IC$3:$IC$200,0),3),0)</f>
        <v>0</v>
      </c>
      <c r="IO71" s="259">
        <f>SUMIFS($IM$3:$IM$200,$IK$3:$IK$200,ROWS($IO$3:IO71))-SUMIFS($IN$3:$IN$200,$IK$3:$IK$200,ROWS($IO$3:IO71))</f>
        <v>0</v>
      </c>
      <c r="IP71" s="259" t="str">
        <f>IF(IO71&lt;0,INDEX($IJ$3:$IL$200,MATCH(ROWS($IP$3:IP71),$IJ$3:$IJ$200,0),3),"")</f>
        <v/>
      </c>
      <c r="IQ71" s="259">
        <f>IF(IP71&lt;&gt;"",MAX($IQ$2:IQ70)+1,0)</f>
        <v>0</v>
      </c>
      <c r="IR71" s="259" t="str">
        <f ca="1">IFERROR(INDEX($IP$3:$IQ$200,MATCH(ROWS($IR$3:IR71),$IQ$3:$IQ$200,0),1),"")</f>
        <v/>
      </c>
      <c r="IS71" s="259" t="str">
        <f t="shared" ca="1" si="294"/>
        <v/>
      </c>
      <c r="IT71" s="259" t="str">
        <f t="shared" ca="1" si="295"/>
        <v/>
      </c>
      <c r="IU71" s="259" t="str">
        <f t="shared" ca="1" si="296"/>
        <v/>
      </c>
      <c r="IV71" s="259" t="str">
        <f t="shared" ca="1" si="297"/>
        <v/>
      </c>
      <c r="IW71" s="259" t="str">
        <f t="shared" ca="1" si="298"/>
        <v/>
      </c>
      <c r="IX71" s="259" t="str">
        <f t="shared" ca="1" si="299"/>
        <v/>
      </c>
      <c r="IY71" s="259" t="str">
        <f t="shared" ca="1" si="300"/>
        <v/>
      </c>
      <c r="IZ71" s="259" t="str">
        <f t="shared" ca="1" si="301"/>
        <v/>
      </c>
      <c r="JA71" s="259" t="str">
        <f t="shared" ca="1" si="302"/>
        <v/>
      </c>
      <c r="JB71" s="259">
        <f t="shared" ca="1" si="210"/>
        <v>0</v>
      </c>
      <c r="JC71" s="259">
        <f t="shared" ca="1" si="303"/>
        <v>0</v>
      </c>
      <c r="JE71" s="259">
        <f ca="1">IFERROR(INDEX(LIBRO_GIORNALE!$N$11:$O$408,MATCH(ROWS($JE$2:JE70),LIBRO_GIORNALE!$O$11:$O$408,0),1),0)</f>
        <v>0</v>
      </c>
      <c r="JF71" s="259" t="str">
        <f t="shared" ca="1" si="304"/>
        <v>0</v>
      </c>
      <c r="JG71" s="259">
        <f t="shared" ca="1" si="305"/>
        <v>0</v>
      </c>
      <c r="JH71" s="259">
        <f ca="1">IF(JJ71&gt;0,0,MAX($JH$2:JH70)+1)</f>
        <v>69</v>
      </c>
      <c r="JI71" s="259">
        <f ca="1">IF(JG71&gt;0,MAX($JI$2:JI70)+1,0)</f>
        <v>0</v>
      </c>
      <c r="JJ71" s="259">
        <f ca="1">IFERROR(INDEX($JG$3:$JI$124,MATCH(ROWS($JJ$3:JJ71),$JI$3:$JI$124,0),1),0)</f>
        <v>0</v>
      </c>
      <c r="JK71" s="259">
        <f t="shared" ca="1" si="306"/>
        <v>0</v>
      </c>
      <c r="JL71" s="259">
        <f t="shared" ca="1" si="307"/>
        <v>69</v>
      </c>
    </row>
    <row r="72" spans="1:272">
      <c r="A72" s="259" t="str">
        <f t="shared" si="211"/>
        <v>11.01</v>
      </c>
      <c r="B72" s="259" t="str">
        <f t="shared" si="212"/>
        <v>FONDO RESPONSABILITÀ CIVILE</v>
      </c>
      <c r="C72" s="259" t="str">
        <f t="shared" si="213"/>
        <v>F</v>
      </c>
      <c r="D72" s="259" t="str">
        <f t="shared" si="214"/>
        <v>A</v>
      </c>
      <c r="E72" s="259" t="str">
        <f t="shared" si="215"/>
        <v>RATEI, FONDI RISCHI E ONERI</v>
      </c>
      <c r="F72" s="259" t="str">
        <f t="shared" si="216"/>
        <v>SP AVERE</v>
      </c>
      <c r="G72" s="259">
        <f t="shared" ca="1" si="217"/>
        <v>0</v>
      </c>
      <c r="H72" s="259">
        <f t="shared" ca="1" si="218"/>
        <v>0</v>
      </c>
      <c r="I72" s="259">
        <f t="shared" ca="1" si="219"/>
        <v>1</v>
      </c>
      <c r="K72" s="259" t="str">
        <f ca="1">IFERROR(IF($I$1=1,INDEX($AA$3:$AS$220,MATCH(ROWS($K$3:K72),$AQ$3:$AQ$220,0),1),IF($I$1=2,INDEX($AA$3:$AS$220,MATCH(ROWS($K$3:K72),$AR$3:$AR$220,0),1),IF($I$1=3,INDEX($AA$3:$AS$220,MATCH(ROWS($K$3:K72),$AS$3:$AS$220,0),1),""))),"")</f>
        <v>DEBITI COMMERCIALI DIVERSI</v>
      </c>
      <c r="L72" s="259">
        <f ca="1">IF(AND($L$1="VISUALIZZA TUTTI I CONTI",K72&lt;&gt;""),MAX(L71:L71)+1,IFERROR(IF($J$1=1,IF(INDEX(PIANO_DEI_CONTI,MATCH($K72,DENOMINAZIONE,0),5)=$L$1,MAX($L$2:L71)+1,0),IF($J$1=2,IF(INDEX(PIANO_DEI_CONTI,MATCH($K72,DENOMINAZIONE,0),7)=$L$1,MAX($L$2:L71)+1,0))),0))</f>
        <v>70</v>
      </c>
      <c r="M72" s="259" t="str">
        <f ca="1">IFERROR(INDEX($K$3:$K$220,MATCH(ROWS($M$3:M72),$L$3:$L$220,0),1),"")</f>
        <v>DEBITI COMMERCIALI DIVERSI</v>
      </c>
      <c r="Q72" s="259" t="str">
        <f ca="1">IF(IFERROR(INDEX($O$3:$P$220,MATCH(ROWS(Q$3:Q72),$P$3:$P$220,0),1),"")=0,"",IFERROR(INDEX($O$3:$P$220,MATCH(ROWS(Q$3:Q72),$P$3:$P$220,0),1),""))</f>
        <v/>
      </c>
      <c r="R72" s="259" t="str">
        <f t="shared" si="182"/>
        <v/>
      </c>
      <c r="S72" s="259">
        <f ca="1">IF(IFERROR(MATCH(R72,DENOMINAZIONE_GIORNALE,0),0)&gt;0,MAX(S$2:S71)+1,0)</f>
        <v>0</v>
      </c>
      <c r="T72" s="259" t="str">
        <f ca="1">IFERROR(INDEX($R$3:$S$220,MATCH(ROWS($T$3:T72),$S$3:$S$220,0),1),"")</f>
        <v/>
      </c>
      <c r="U72" s="259">
        <f t="shared" ca="1" si="183"/>
        <v>0</v>
      </c>
      <c r="V72" s="259">
        <f ca="1">IF(IF(U72&lt;&gt;0,MAX($V$2:V71)+1,0)=0,0,IF(U72&lt;&gt;0,MAX($V$2:V71)+1,0))</f>
        <v>0</v>
      </c>
      <c r="W72" s="259" t="str">
        <f t="shared" si="220"/>
        <v>11.01</v>
      </c>
      <c r="X72" s="259" t="str">
        <f t="shared" si="221"/>
        <v>FONDO RESPONSABILITÀ CIVILE</v>
      </c>
      <c r="Y72" s="259">
        <f>IF(W72="",0,MAX($Y$2:Y71)+1)</f>
        <v>60</v>
      </c>
      <c r="Z72" s="259" t="str">
        <f>IFERROR(INDEX($W$3:$Y$220,MATCH(ROWS($Z$2:Z71),$Y$3:$Y$220,0),1),"")</f>
        <v>14.01</v>
      </c>
      <c r="AA72" s="259" t="str">
        <f t="shared" si="222"/>
        <v>DEBITI V/FORNITORI</v>
      </c>
      <c r="AB72" s="259" t="str">
        <f t="shared" si="223"/>
        <v>F</v>
      </c>
      <c r="AC72" s="259" t="str">
        <f t="shared" si="224"/>
        <v>A</v>
      </c>
      <c r="AD72" s="259" t="str">
        <f t="shared" si="225"/>
        <v>DEBITI</v>
      </c>
      <c r="AE72" s="259" t="str">
        <f t="shared" si="226"/>
        <v>SP AVERE</v>
      </c>
      <c r="AF72" s="259" t="str">
        <f t="shared" si="227"/>
        <v>DEBITI COMMERCIALI</v>
      </c>
      <c r="AG72" s="259">
        <f t="shared" ca="1" si="228"/>
        <v>1</v>
      </c>
      <c r="AH72" s="259">
        <f t="shared" ca="1" si="229"/>
        <v>1</v>
      </c>
      <c r="AI72" s="259">
        <f t="shared" ca="1" si="230"/>
        <v>1</v>
      </c>
      <c r="AJ72" s="259" t="str">
        <f t="shared" si="231"/>
        <v>14</v>
      </c>
      <c r="AK72" s="259" t="str">
        <f t="shared" si="232"/>
        <v/>
      </c>
      <c r="AL72" s="259">
        <f>IF(AK72&lt;&gt;"",MAX($AL$2:AL71)+1,0)</f>
        <v>0</v>
      </c>
      <c r="AM72" s="259" t="str">
        <f>IFERROR(INDEX($AK$3:$AL$220,MATCH(ROWS($AM$3:AM72),$AL$3:$AL$220,0),1),"")</f>
        <v/>
      </c>
      <c r="AN72" s="259" t="str">
        <f t="shared" si="233"/>
        <v/>
      </c>
      <c r="AO72" s="259" t="str">
        <f t="shared" si="234"/>
        <v/>
      </c>
      <c r="AP72" s="259" t="str">
        <f t="shared" si="235"/>
        <v>DEBITI COMMERCIALI</v>
      </c>
      <c r="AQ72" s="259">
        <f ca="1">IF(OR(AG72=0,AG72=""),0,MAX(AQ$2:AQ71)+1)</f>
        <v>33</v>
      </c>
      <c r="AR72" s="259">
        <f ca="1">IF(OR(AH72=0,AH72=""),0,MAX(AR$2:AR71)+1)</f>
        <v>51</v>
      </c>
      <c r="AS72" s="259">
        <f ca="1">IF(OR(AI72=0,AI72=""),0,MAX(AS$2:AS71)+1)</f>
        <v>68</v>
      </c>
      <c r="AT72" s="259" t="str">
        <f ca="1">IFERROR(INDEX($AD$3:$AS$220,MATCH(ROWS(AT$3:AT72),AQ$3:AQ$220,0),1),"")</f>
        <v>COSTI D'ESERCIZIO</v>
      </c>
      <c r="AU72" s="259" t="str">
        <f ca="1">IFERROR(INDEX($AD$3:$AS$220,MATCH(ROWS(AU$3:AU72),AR$3:AR$220,0),1),"")</f>
        <v>RICAVI D'ESERCIZIO</v>
      </c>
      <c r="AV72" s="259" t="str">
        <f ca="1">IFERROR(INDEX($AD$3:$AS$220,MATCH(ROWS(AV$3:AV72),AS$3:AS$220,0),1),"")</f>
        <v>DEBITI</v>
      </c>
      <c r="AW72" s="259" t="str">
        <f ca="1">IFERROR(INDEX($AP$3:$AS$220,MATCH(ROWS(AW$3:AW72),AQ$3:AQ$220,0),1),"")</f>
        <v>COSTI PER SERVIZI</v>
      </c>
      <c r="AX72" s="259" t="str">
        <f ca="1">IFERROR(INDEX($AP$3:$AS$220,MATCH(ROWS(AX$3:AX72),AR$3:AR$220,0),1),"")</f>
        <v>VALORE DELLA PRODUZIONE</v>
      </c>
      <c r="AY72" s="259" t="str">
        <f ca="1">IFERROR(INDEX($AP$3:$AS$220,MATCH(ROWS(AY$3:AY72),AS$3:AS$220,0),1),"")</f>
        <v>DEBITI COMMERCIALI</v>
      </c>
      <c r="AZ72" s="276" t="str">
        <f t="shared" ca="1" si="236"/>
        <v/>
      </c>
      <c r="BA72" s="259">
        <f t="shared" ca="1" si="184"/>
        <v>0</v>
      </c>
      <c r="BB72" s="259">
        <f ca="1">IFERROR(INDEX($FG$3:$FL$400,MATCH(ROWS($BB$3:BB72),$FL$3:$FL$400,0),1),0)</f>
        <v>0</v>
      </c>
      <c r="BC72" s="259" t="str">
        <f t="shared" ca="1" si="237"/>
        <v/>
      </c>
      <c r="BD72" s="259">
        <f ca="1">IFERROR(INDEX($FG$3:$FL$400,MATCH(ROWS($BD$3:BD72),$FL$3:$FL$400,0),4),0)</f>
        <v>0</v>
      </c>
      <c r="BE72" s="259">
        <f ca="1">IFERROR(INDEX($FG$3:$FL$400,MATCH(ROWS($BE$3:BE72),$FL$3:$FL$400,0),5),0)</f>
        <v>0</v>
      </c>
      <c r="BG72" s="259" t="str">
        <f t="shared" si="185"/>
        <v>DEBITI V/FORNITORI</v>
      </c>
      <c r="BH72" s="259">
        <f ca="1">IF(IFERROR(MATCH(BG72,DENOMINAZIONE_GIORNALE,0),0)&gt;0,MAX(BH$2:BH71)+1,0)</f>
        <v>0</v>
      </c>
      <c r="BI72" s="259" t="str">
        <f ca="1">IFERROR(INDEX($BG$3:$BH$220,MATCH(ROWS($BI$3:BI72),$BH$3:$BH$220,0),1),"")</f>
        <v/>
      </c>
      <c r="BJ72" s="259" t="str">
        <f t="shared" ca="1" si="186"/>
        <v/>
      </c>
      <c r="BK72" s="259" t="str">
        <f ca="1">IF(IF(BJ72&lt;&gt;"",MAX($BK$2:BK71)+1,0)=0,"",IF(BJ72&lt;&gt;"",MAX($BK$2:BK71)+1,0))</f>
        <v/>
      </c>
      <c r="BL72" s="259" t="str">
        <f ca="1">IFERROR(INDEX($T$3:$U$220, MATCH(ROWS(BL$3:BL72),$V$3:$V$220,0),1),"")</f>
        <v/>
      </c>
      <c r="BM72" s="259" t="str">
        <f ca="1">IFERROR(INDEX($T$3:$U$220, MATCH(ROWS(BM$3:BM72),$V$3:$V$220,0),2),"")</f>
        <v/>
      </c>
      <c r="BN72" s="259" t="str">
        <f ca="1">IF(IFERROR(INDEX($BI$3:$BJ$220,MATCH(ROWS(BN$3:BN72),$BK$3:$BK$220,0),1),"")="PATRIMONIO NETTO","",IFERROR(INDEX($BI$3:$BJ$220,MATCH(ROWS(BN$3:BN72),$BK$3:$BK$220,0),1),""))</f>
        <v/>
      </c>
      <c r="BO72" s="259" t="str">
        <f ca="1">IFERROR(INDEX($BI$3:$BJ$220,MATCH(ROWS(BO$3:BO72),$BK$3:$BK$220,0),2),"")</f>
        <v/>
      </c>
      <c r="BP72" s="259">
        <f ca="1">IF(BN72&lt;&gt;"",MAX(BP$2:$BP71)+1,0)</f>
        <v>0</v>
      </c>
      <c r="BQ72" s="259" t="str">
        <f ca="1">IFERROR(INDEX($BN$3:$BO$200,MATCH(ROWS(BQ$3:BQ72),$BP$3:$BP$220,0),1),"")</f>
        <v/>
      </c>
      <c r="BR72" s="259" t="str">
        <f ca="1">IFERROR(INDEX($BN$3:$BO$220,MATCH(ROWS(BR$3:BR72),$BP$3:$BP$220,0),2),"")</f>
        <v/>
      </c>
      <c r="BS72" s="259" t="str">
        <f ca="1">IFERROR(IF(OR(INDEX($T$3:$U$220,MATCH(ROWS(BL$3:BL72),$V$3:$V$220,0),1)="PRELEVAMENTI EXTRAGESTIONE",INDEX($T$3:$U$220,MATCH(ROWS(BL$3:BL72),$V$3:$V$220,0),1)="TITOLARE C/RITENUTE SUBITE"),"",INDEX($T$3:$U$220,MATCH(ROWS(BL$3:BL72),$V$3:$V$220,0),1)),"")</f>
        <v/>
      </c>
      <c r="BT72" s="259">
        <f t="shared" ca="1" si="238"/>
        <v>0</v>
      </c>
      <c r="BU72" s="259">
        <f ca="1">IF(BS72&lt;&gt;"",MAX(BU$2:BU71)+1,0)</f>
        <v>0</v>
      </c>
      <c r="BV72" s="259" t="str">
        <f ca="1">IFERROR(INDEX($BS$3:$BT$223,MATCH(ROWS(BV$3:BV72),$BU$3:$BU$223,0),1),"")</f>
        <v/>
      </c>
      <c r="BW72" s="259">
        <f t="shared" ca="1" si="239"/>
        <v>0</v>
      </c>
      <c r="BX72" s="259" t="str">
        <f t="shared" ca="1" si="240"/>
        <v/>
      </c>
      <c r="BY72" s="259" t="str">
        <f t="shared" ca="1" si="241"/>
        <v/>
      </c>
      <c r="BZ72" s="259" t="str">
        <f ca="1">IFERROR(IF(OR($DS$231&lt;&gt;$DT$231,$DU$231&lt;&gt;$DV$231,$EO$25&lt;&gt;0,$EO$26&lt;&gt;0),INDEX($T$3:$V$220,MATCH(ROWS($BV$3:BV72),$V$3:$V$220,0),1),CONCATENATE(BV72,BY72)),"")</f>
        <v/>
      </c>
      <c r="CA72" s="259">
        <f t="shared" ca="1" si="242"/>
        <v>0</v>
      </c>
      <c r="CB72" s="259" t="str">
        <f ca="1">IFERROR(IF(OR($BB$1&lt;&gt;$BD$1,$BC$1&lt;&gt;$BE$1,$DS$231&lt;&gt;$DT$231,$DU$231&lt;&gt;$DV$231,$EO$25&lt;&gt;0,$EO$26&lt;&gt;0),INDEX($BI$3:$BK$220,MATCH(ROWS($CB$3:CB72),$BK$3:$BK$220,0),1),CONCATENATE(BQ72,BX72)),"")</f>
        <v/>
      </c>
      <c r="CC72" s="259" t="str">
        <f t="shared" ca="1" si="243"/>
        <v/>
      </c>
      <c r="CD72" s="259" t="str">
        <f t="shared" si="187"/>
        <v/>
      </c>
      <c r="CE72" s="259">
        <f ca="1">IF(IFERROR(MATCH(CD72,DENOMINAZIONE_GIORNALE,0),0)&gt;0,MAX(CE$2:CE71)+1,0)</f>
        <v>0</v>
      </c>
      <c r="CF72" s="259" t="str">
        <f ca="1">IFERROR(INDEX($CD$3:$CE$220,MATCH(ROWS($CF$3:CF72),$CE$3:$CE$220,0),1),"")</f>
        <v/>
      </c>
      <c r="CG72" s="259">
        <f t="shared" ca="1" si="188"/>
        <v>0</v>
      </c>
      <c r="CH72" s="259" t="str">
        <f ca="1">IF(IF(CG72&lt;&gt;0,MAX($CH$2:CH71)+1,0)=0,"",IF(CG72&lt;&gt;"",MAX($CH$2:CH71)+1,0))</f>
        <v/>
      </c>
      <c r="CI72" s="259" t="str">
        <f ca="1">IFERROR(INDEX($CF$3:$CG$220,MATCH(ROWS($CI$3:CI72),$CH$3:$CH$220,0),1),"")</f>
        <v/>
      </c>
      <c r="CJ72" s="259" t="str">
        <f t="shared" ca="1" si="244"/>
        <v/>
      </c>
      <c r="CK72" s="259" t="str">
        <f t="shared" si="189"/>
        <v/>
      </c>
      <c r="CL72" s="259">
        <f ca="1">IF(IFERROR(MATCH(CK72,DENOMINAZIONE_GIORNALE,0),0)&gt;0,MAX(CL$2:CL71)+1,0)</f>
        <v>0</v>
      </c>
      <c r="CM72" s="259" t="str">
        <f ca="1">IFERROR(INDEX($CK$3:$CL$220,MATCH(ROWS($CM$3:CM72),$CL$3:$CL$220,0),1),"")</f>
        <v/>
      </c>
      <c r="CN72" s="259" t="str">
        <f t="shared" ca="1" si="190"/>
        <v/>
      </c>
      <c r="CO72" s="259">
        <f ca="1">IF(IF(CN72&lt;&gt;0,MAX($CO$2:CO71)+1,0)=0,"",IF(CN72&lt;&gt;"",MAX($CO$2:CO71)+1,0))</f>
        <v>0</v>
      </c>
      <c r="CP72" s="259" t="str">
        <f ca="1">IFERROR(INDEX($CM$3:$CN$220,MATCH(ROWS(CP$3:CP72),$CO$3:$CO$220,0),1),"")</f>
        <v/>
      </c>
      <c r="CQ72" s="259" t="str">
        <f ca="1">IFERROR(INDEX($CM$3:$CN$220,MATCH(ROWS(CQ$3:CQ72),$CO$3:$CO$220,0),2),"")</f>
        <v/>
      </c>
      <c r="CR72" s="259" t="str">
        <f t="shared" ca="1" si="191"/>
        <v/>
      </c>
      <c r="CS72" s="259">
        <f t="shared" ca="1" si="192"/>
        <v>0</v>
      </c>
      <c r="CT72" s="259">
        <f t="shared" ca="1" si="193"/>
        <v>0</v>
      </c>
      <c r="CU72" s="259">
        <f ca="1">IF(OR(CS72&gt;0,CT72&gt;0),MAX($CU$2:CU71)+1,0)</f>
        <v>0</v>
      </c>
      <c r="CV72" s="259" t="str">
        <f ca="1">IFERROR(INDEX(PIANO_DEI_CONTI,MATCH(ROWS($CV$3:CV72),$CU$3:$CU$200,0),2),"")</f>
        <v/>
      </c>
      <c r="CW72" s="259">
        <f ca="1">IFERROR(IF(CV72&lt;&gt;"",MAX($CW$2:CW71)+1,0),0)</f>
        <v>0</v>
      </c>
      <c r="CX72" s="259">
        <f t="shared" ca="1" si="174"/>
        <v>4</v>
      </c>
      <c r="CY72" s="259" t="str">
        <f t="shared" ca="1" si="308"/>
        <v>MASTRO</v>
      </c>
      <c r="CZ72" s="259" t="e">
        <f t="shared" ca="1" si="176"/>
        <v>#N/A</v>
      </c>
      <c r="DA72" s="259" t="str">
        <f t="shared" ca="1" si="181"/>
        <v/>
      </c>
      <c r="DB72" s="259" t="str">
        <f t="shared" ca="1" si="177"/>
        <v/>
      </c>
      <c r="DC72" s="259" t="str">
        <f t="shared" ca="1" si="178"/>
        <v/>
      </c>
      <c r="DD72" s="259" t="str">
        <f t="shared" ca="1" si="179"/>
        <v/>
      </c>
      <c r="DE72" s="259" t="str">
        <f t="shared" ca="1" si="180"/>
        <v/>
      </c>
      <c r="DF72" s="259">
        <f ca="1">IF(AND(CX72=$DE$2,$DF$2&lt;&gt;0),0,IF(AND(DB72&lt;&gt;"",OR(DB71&lt;&gt;"",DB73&lt;&gt;"")),MAX($DF$2:DF71)+1,0))</f>
        <v>0</v>
      </c>
      <c r="DG72" s="259" t="str">
        <f>IF(OR(VALORI_INIZIALI!E77="",AND(VALORI_INIZIALI!E77&lt;&gt;"",VALORI_INIZIALI!H77=0,VALORI_INIZIALI!I77=0)),"",IFERROR(INDEX(PIANO_DEI_CONTI,MATCH(BB72,DENOMINAZIONE,0),1),0))</f>
        <v/>
      </c>
      <c r="DH72" s="259">
        <f ca="1">IFERROR(IF($J$1=1,IF(INDEX(PIANO_DEI_CONTI,MATCH($K72,DENOMINAZIONE,0),5)=$DF$1,MAX($DH$2:DH71)+1,0),IF($J$1=2,IF(INDEX(PIANO_DEI_CONTI,MATCH($K72,DENOMINAZIONE,0),7)=$DF$1,MAX($DH$2:DH71)+1,0))),0)</f>
        <v>0</v>
      </c>
      <c r="DI72" s="259">
        <f ca="1">IFERROR(INDEX($K$3:$K$220,MATCH(ROWS($DI$3:DI72),$DH$3:$DH$220,0),1),0)</f>
        <v>0</v>
      </c>
      <c r="DJ72" s="259">
        <f t="shared" ca="1" si="194"/>
        <v>0</v>
      </c>
      <c r="DK72" s="259">
        <f ca="1">IF(DJ72=0,0,MAX(DK$2:DK71)+1)</f>
        <v>0</v>
      </c>
      <c r="DL72" s="259">
        <f ca="1">IFERROR(INDEX(PIANO_DEI_CONTI,MATCH(ROWS(DL$3:DL72),$DK$3:DK299,0),2),0)</f>
        <v>0</v>
      </c>
      <c r="DM72" s="259">
        <f t="shared" ca="1" si="195"/>
        <v>0</v>
      </c>
      <c r="DN72" s="259">
        <f t="shared" ca="1" si="196"/>
        <v>0</v>
      </c>
      <c r="DO72" s="259">
        <f t="shared" ca="1" si="245"/>
        <v>0</v>
      </c>
      <c r="DP72" s="259">
        <f t="shared" ca="1" si="246"/>
        <v>0</v>
      </c>
      <c r="DQ72" s="259">
        <f ca="1">IF(OR($DQ$1="TOTALI",$DQ$1="TOTALI ED ECCEDENZE"),IF(OR(DM72&gt;0,DN72&gt;0),MAX(DQ$2:DQ71)+1,0),IF($DQ$1="ECCEDENZE",IF(OR(DO72&gt;0,DP72&gt;0),MAX(DQ$2:DQ71)+1,0),""))</f>
        <v>0</v>
      </c>
      <c r="DR72" s="259" t="str">
        <f ca="1">IFERROR(INDEX($DL$3:$DQ$230,MATCH(ROWS(DR$3:DR72),$DQ$3:$DQ$230,0),1),"")</f>
        <v/>
      </c>
      <c r="DS72" s="259" t="str">
        <f t="shared" ca="1" si="247"/>
        <v/>
      </c>
      <c r="DT72" s="259" t="str">
        <f t="shared" ca="1" si="248"/>
        <v/>
      </c>
      <c r="DU72" s="259" t="str">
        <f t="shared" ca="1" si="249"/>
        <v/>
      </c>
      <c r="DV72" s="259" t="str">
        <f t="shared" ca="1" si="250"/>
        <v/>
      </c>
      <c r="DW72" s="259">
        <f t="shared" ca="1" si="251"/>
        <v>0</v>
      </c>
      <c r="DX72" s="259" t="str">
        <f t="shared" ca="1" si="252"/>
        <v/>
      </c>
      <c r="DY72" s="259" t="str">
        <f t="shared" ca="1" si="253"/>
        <v/>
      </c>
      <c r="DZ72" s="259" t="str">
        <f t="shared" ca="1" si="254"/>
        <v/>
      </c>
      <c r="EA72" s="259">
        <f t="shared" ca="1" si="255"/>
        <v>70</v>
      </c>
      <c r="EB72" s="259" t="s">
        <v>361</v>
      </c>
      <c r="ED72" s="259">
        <f t="shared" ca="1" si="197"/>
        <v>0</v>
      </c>
      <c r="EE72" s="259" t="str">
        <f t="shared" ca="1" si="198"/>
        <v/>
      </c>
      <c r="EF72" s="259" t="str">
        <f t="shared" ca="1" si="199"/>
        <v/>
      </c>
      <c r="EG72" s="259" t="str">
        <f t="shared" ca="1" si="309"/>
        <v/>
      </c>
      <c r="EH72" s="259" t="str">
        <f t="shared" ca="1" si="256"/>
        <v/>
      </c>
      <c r="EI72" s="260" t="b">
        <f t="shared" ca="1" si="310"/>
        <v>0</v>
      </c>
      <c r="EJ72" s="260" t="b">
        <f t="shared" ca="1" si="311"/>
        <v>0</v>
      </c>
      <c r="EK72" s="260" t="b">
        <f t="shared" ca="1" si="312"/>
        <v>1</v>
      </c>
      <c r="EL72" s="259">
        <f t="shared" si="257"/>
        <v>70</v>
      </c>
      <c r="EM72" s="259">
        <f ca="1">IF(AND(BA72&gt;0,BA72&lt;=$EM$1),MAX($EM$2:EM71)+1,0)</f>
        <v>0</v>
      </c>
      <c r="EN72" s="259">
        <f t="shared" ca="1" si="258"/>
        <v>72</v>
      </c>
      <c r="EP72" s="259" t="str">
        <f t="shared" ca="1" si="200"/>
        <v/>
      </c>
      <c r="EQ72" s="259">
        <f t="shared" ca="1" si="201"/>
        <v>0</v>
      </c>
      <c r="ER72" s="259">
        <f ca="1">IF(ISNA(EQ72),MAX(ER$2:ER71)+1,0)</f>
        <v>0</v>
      </c>
      <c r="ES72" s="259" t="str">
        <f t="shared" ca="1" si="259"/>
        <v/>
      </c>
      <c r="ET72" s="259" t="str">
        <f ca="1">IFERROR(UPPER(INDEX($ER$3:$ES$500,MATCH(ROWS(ET$3:ET72),$ER$3:$ER$500,0),2)),"")</f>
        <v/>
      </c>
      <c r="EY72" s="259">
        <f t="shared" ca="1" si="260"/>
        <v>0</v>
      </c>
      <c r="EZ72" s="259">
        <f t="shared" ca="1" si="260"/>
        <v>0</v>
      </c>
      <c r="FA72" s="259" t="str">
        <f t="shared" ca="1" si="261"/>
        <v/>
      </c>
      <c r="FB72" s="259">
        <f t="shared" ca="1" si="262"/>
        <v>0</v>
      </c>
      <c r="FC72" s="259">
        <f t="shared" ca="1" si="263"/>
        <v>0</v>
      </c>
      <c r="FD72" s="259">
        <f t="shared" ca="1" si="202"/>
        <v>0</v>
      </c>
      <c r="FE72" s="259" t="str">
        <f t="shared" ca="1" si="203"/>
        <v/>
      </c>
      <c r="FF72" s="259" t="str">
        <f t="shared" ca="1" si="264"/>
        <v/>
      </c>
      <c r="FG72" s="259" t="str">
        <f t="shared" si="265"/>
        <v>DEBITI V/FORNITORI</v>
      </c>
      <c r="FH72" s="259">
        <f t="shared" ca="1" si="156"/>
        <v>0</v>
      </c>
      <c r="FI72" s="259">
        <f t="shared" ca="1" si="204"/>
        <v>0</v>
      </c>
      <c r="FJ72" s="259">
        <f t="shared" ca="1" si="266"/>
        <v>0</v>
      </c>
      <c r="FK72" s="259">
        <f t="shared" ca="1" si="267"/>
        <v>0</v>
      </c>
      <c r="FL72" s="259">
        <f ca="1">IF(OR(FJ72&gt;0,FK72&gt;0),MAX($FL$2:FL71)+1,0)</f>
        <v>0</v>
      </c>
      <c r="FM72" s="259">
        <f t="shared" ca="1" si="205"/>
        <v>0</v>
      </c>
      <c r="FN72" s="259">
        <f ca="1">IF(FM72&lt;0,MAX($FN$2:FN71)+1,0)</f>
        <v>0</v>
      </c>
      <c r="FO72" s="259" t="str">
        <f t="shared" ca="1" si="268"/>
        <v/>
      </c>
      <c r="FP72" s="259" t="str">
        <f ca="1">IFERROR(INDEX($FN$3:$FO$400,MATCH(ROWS($FP$3:FP72),$FN$3:$FN$400,0),2),"")</f>
        <v/>
      </c>
      <c r="FQ72" s="259" t="str">
        <f>IF(AE72="SE AVERE",MAX($FQ$2:FQ71)+1,"")</f>
        <v/>
      </c>
      <c r="FR72" s="259" t="str">
        <f>IF(AE72="SE DARE",MAX($FR$2:FR71)+1,"")</f>
        <v/>
      </c>
      <c r="FS72" s="259" t="str">
        <f ca="1">IF(AND(AE72="SP DARE",AA72&lt;&gt;$FS$1,AA72&lt;&gt;$FT$1),MAX($FS$2:FS71)+1,IF(AND(GQ72="SP DARE",AA72&lt;&gt;$FS$1,AA72&lt;&gt;$FT$1),MAX($FS$2:FS71)+1,""))</f>
        <v/>
      </c>
      <c r="FT72" s="259">
        <f ca="1">IF(AND(AE72="SP AVERE",AA72&lt;&gt;$FU$1),MAX($FT$2:FT71)+1,IF(AND(GQ72="SP AVERE",AA72&lt;&gt;$FU$1),MAX($FT$2:FT71)+1,""))</f>
        <v>154</v>
      </c>
      <c r="FU72" s="259">
        <f t="shared" ca="1" si="269"/>
        <v>154</v>
      </c>
      <c r="FV72" s="259" t="str">
        <f t="shared" si="270"/>
        <v>DEBITI V/FORNITORI</v>
      </c>
      <c r="FW72" s="259" t="str">
        <f ca="1">IFERROR(INDEX($FU$3:$FV$500,MATCH(ROWS($FW$3:FW72),$FU$3:$FU$500,0),2),0)</f>
        <v>SOPRAVVENIENZE PASSIVE</v>
      </c>
      <c r="FX72" s="259">
        <f t="shared" ca="1" si="271"/>
        <v>70</v>
      </c>
      <c r="FY72" s="259">
        <f t="shared" ca="1" si="272"/>
        <v>0</v>
      </c>
      <c r="FZ72" s="259">
        <f ca="1">IF(FY72&gt;0,MAX($FZ$2:FZ71)+1,0)</f>
        <v>0</v>
      </c>
      <c r="GA72" s="259">
        <f ca="1">IFERROR(INDEX($FY$3:$FZ$500,MATCH(ROWS($GA$3:GA72),$FZ$3:$FZ$500,0),1),0)</f>
        <v>0</v>
      </c>
      <c r="GC72" s="259">
        <f t="shared" ca="1" si="273"/>
        <v>70</v>
      </c>
      <c r="GD72" s="259" t="str">
        <f t="shared" ca="1" si="274"/>
        <v>SOPRAVVENIENZE PASSIVE</v>
      </c>
      <c r="GG72" s="259">
        <f t="shared" ca="1" si="275"/>
        <v>0</v>
      </c>
      <c r="GH72" s="259">
        <f t="shared" ca="1" si="276"/>
        <v>0</v>
      </c>
      <c r="GI72" s="259">
        <f t="shared" ca="1" si="277"/>
        <v>0</v>
      </c>
      <c r="GJ72" s="259">
        <f t="shared" ca="1" si="278"/>
        <v>0</v>
      </c>
      <c r="GK72" s="259">
        <f t="shared" ca="1" si="279"/>
        <v>0</v>
      </c>
      <c r="GL72" s="259">
        <f t="shared" ca="1" si="280"/>
        <v>0</v>
      </c>
      <c r="GM72" s="259">
        <f ca="1">IF(OR(GK72&gt;0,GL72&gt;0),MAX($GM$2:GM71)+1,0)</f>
        <v>0</v>
      </c>
      <c r="GN72" s="259" t="str">
        <f ca="1">IFERROR(INDEX($GD$3:$GM$400,MATCH(ROWS($GN$3:GN72),$GM$3:$GM$400,0),1),"")</f>
        <v/>
      </c>
      <c r="GO72" s="259" t="str">
        <f ca="1">IFERROR(INDEX($GD$3:$GM$400,MATCH(ROWS($GO$3:GO72),$GM$3:$GM$400,0),8),"")</f>
        <v/>
      </c>
      <c r="GP72" s="259" t="str">
        <f ca="1">IFERROR(INDEX($GD$3:$GM$400,MATCH(ROWS($GP$3:GP72),$GM$3:$GM$400,0),9),"")</f>
        <v/>
      </c>
      <c r="GQ72" s="259">
        <f t="shared" ca="1" si="206"/>
        <v>0</v>
      </c>
      <c r="GR72" s="259">
        <f t="shared" ca="1" si="281"/>
        <v>0</v>
      </c>
      <c r="GS72" s="259" t="str">
        <f t="shared" si="282"/>
        <v>epilogo a Conto economico</v>
      </c>
      <c r="GT72" s="259" t="str">
        <f ca="1">IFERROR(INDEX($GD$3:$GS$400,MATCH(ROWS($GT$3:GT72),$GM$3:$GM$400,0),16),"")</f>
        <v/>
      </c>
      <c r="GU72" s="259">
        <f ca="1">IF(GQ72&lt;&gt;0,MAX($GU$2:$GU71)+1,0)</f>
        <v>0</v>
      </c>
      <c r="GV72" s="259">
        <f t="shared" ca="1" si="283"/>
        <v>0</v>
      </c>
      <c r="GW72" s="259" t="str">
        <f ca="1">IF(AND(IFERROR(INDEX($GU$3:$GV$400,MATCH(ROWS($GW$3:GW72),$GU$3:$GU$400,0),2),"")&lt;&gt;"",GW73&lt;&gt;""),CONCATENATE(IFERROR(INDEX($GU$3:$GV$400,MATCH(ROWS($GW$3:GW72),$GU$3:$GU$400,0),2),"")," - "),IFERROR(INDEX($GU$3:$GV$400,MATCH(ROWS($GW$3:GW72),$GU$3:$GU$400,0),2),""))</f>
        <v/>
      </c>
      <c r="GX72" s="259">
        <f ca="1">IF(OR(GN72="IVA NS/CREDITO",GN72="IVA NS/DEBITO",GN72="IVA C/ACCONTO",GN72="IMPOSTE C/ACCONTO"),MAX($GX$2:GX71)+1,0)</f>
        <v>0</v>
      </c>
      <c r="GY72" s="259" t="str">
        <f ca="1">IF(AND(IFERROR(INDEX($GN$3:$GX$200,MATCH(ROWS($GY$3:GY72),$GX$3:$GX$200,0),1),"")&lt;&gt;"",GY73&lt;&gt;""),CONCATENATE(IFERROR(INDEX($GN$3:$GX$200,MATCH(ROWS($GY$3:GY72),$GX$3:$GX$200,0),1),"")," - "),IFERROR(INDEX($GN$3:$GX$200,MATCH(ROWS($GY$3:GY72),$GX$3:$GX$200,0),1),""))</f>
        <v/>
      </c>
      <c r="GZ72" s="259" t="s">
        <v>96</v>
      </c>
      <c r="HA72" s="259" t="s">
        <v>95</v>
      </c>
      <c r="HB72" s="269" t="s">
        <v>257</v>
      </c>
      <c r="HC72" s="269" t="s">
        <v>211</v>
      </c>
      <c r="HD72" s="269" t="s">
        <v>207</v>
      </c>
      <c r="HE72" s="269" t="s">
        <v>212</v>
      </c>
      <c r="HL72" s="259" t="str">
        <f t="shared" ca="1" si="207"/>
        <v/>
      </c>
      <c r="HM72" s="259" t="str">
        <f t="shared" ca="1" si="208"/>
        <v/>
      </c>
      <c r="HN72" s="259" t="str">
        <f t="shared" ca="1" si="209"/>
        <v/>
      </c>
      <c r="HO72" s="259">
        <f ca="1">IF(HL72&lt;&gt;"",MAX($HO$2:HO71)+1,0)</f>
        <v>0</v>
      </c>
      <c r="HP72" s="259">
        <f ca="1">IF(HM72&lt;&gt;"",MAX($HP$2:HP71)+1,0)</f>
        <v>0</v>
      </c>
      <c r="HQ72" s="259">
        <f ca="1">IF(HN72&lt;&gt;"",MAX($HQ$2:HQ71)+1,0)</f>
        <v>0</v>
      </c>
      <c r="HR72" s="259" t="str">
        <f t="shared" ca="1" si="284"/>
        <v/>
      </c>
      <c r="HS72" s="259" t="str">
        <f t="shared" ca="1" si="285"/>
        <v/>
      </c>
      <c r="HT72" s="259">
        <f t="shared" ca="1" si="286"/>
        <v>0</v>
      </c>
      <c r="HU72" s="259">
        <f t="shared" ca="1" si="287"/>
        <v>0</v>
      </c>
      <c r="HV72" s="259" t="str">
        <f ca="1">CONCATENATE(IFERROR(INDEX($HS$3:$HT$102,MATCH(ROWS($HV$3:HV72),$HT$3:$HT$102,0),1),""),HR72)</f>
        <v/>
      </c>
      <c r="IA72" s="259" t="s">
        <v>387</v>
      </c>
      <c r="IB72" s="259" t="s">
        <v>331</v>
      </c>
      <c r="IC72" s="259">
        <f ca="1">IFERROR(INDEX(PIANO_DEI_CONTI,MATCH(ROWS(DL$3:DL72),$DK$3:DK299,0),2),0)</f>
        <v>0</v>
      </c>
      <c r="ID72" s="259">
        <f t="shared" ca="1" si="288"/>
        <v>0</v>
      </c>
      <c r="IE72" s="259">
        <f t="shared" ca="1" si="289"/>
        <v>0</v>
      </c>
      <c r="IF72" s="259">
        <f t="shared" ca="1" si="290"/>
        <v>0</v>
      </c>
      <c r="IG72" s="259">
        <f ca="1">ROUND(SUMIFS($IE$3:$IE$200,$IF$3:$IF$200,IA72),0)</f>
        <v>0</v>
      </c>
      <c r="IH72" s="259">
        <f ca="1">IF(IG72&lt;&gt;0,MAX($IH$35:IH71)+1,0)</f>
        <v>0</v>
      </c>
      <c r="II72" s="259">
        <f>IF(AD72="costi pluriennali",MAX($II$2:II71)+1,0)</f>
        <v>0</v>
      </c>
      <c r="IJ72" s="259">
        <f>IF($AD72="rettifiche costi pluriennali",MAX($IJ$2:IJ71)+1,0)</f>
        <v>0</v>
      </c>
      <c r="IK72" s="259">
        <f t="shared" si="291"/>
        <v>0</v>
      </c>
      <c r="IL72" s="259" t="str">
        <f t="shared" si="292"/>
        <v/>
      </c>
      <c r="IM72" s="259">
        <f t="shared" ca="1" si="293"/>
        <v>0</v>
      </c>
      <c r="IN72" s="259">
        <f t="shared" ca="1" si="313"/>
        <v>0</v>
      </c>
      <c r="IO72" s="259">
        <f>SUMIFS($IM$3:$IM$200,$IK$3:$IK$200,ROWS($IO$3:IO72))-SUMIFS($IN$3:$IN$200,$IK$3:$IK$200,ROWS($IO$3:IO72))</f>
        <v>0</v>
      </c>
      <c r="IP72" s="259" t="str">
        <f>IF(IO72&lt;0,INDEX($IJ$3:$IL$200,MATCH(ROWS($IP$3:IP72),$IJ$3:$IJ$200,0),3),"")</f>
        <v/>
      </c>
      <c r="IQ72" s="259">
        <f>IF(IP72&lt;&gt;"",MAX($IQ$2:IQ71)+1,0)</f>
        <v>0</v>
      </c>
      <c r="IR72" s="259" t="str">
        <f ca="1">IFERROR(INDEX($IP$3:$IQ$200,MATCH(ROWS($IR$3:IR72),$IQ$3:$IQ$200,0),1),"")</f>
        <v/>
      </c>
      <c r="IS72" s="259" t="str">
        <f t="shared" ca="1" si="294"/>
        <v/>
      </c>
      <c r="IT72" s="259" t="str">
        <f t="shared" ca="1" si="295"/>
        <v/>
      </c>
      <c r="IU72" s="259" t="str">
        <f t="shared" ca="1" si="296"/>
        <v/>
      </c>
      <c r="IV72" s="259" t="str">
        <f t="shared" ca="1" si="297"/>
        <v/>
      </c>
      <c r="IW72" s="259" t="str">
        <f t="shared" ca="1" si="298"/>
        <v/>
      </c>
      <c r="IX72" s="259" t="str">
        <f t="shared" ca="1" si="299"/>
        <v/>
      </c>
      <c r="IY72" s="259" t="str">
        <f t="shared" ca="1" si="300"/>
        <v/>
      </c>
      <c r="IZ72" s="259" t="str">
        <f t="shared" ca="1" si="301"/>
        <v/>
      </c>
      <c r="JA72" s="259" t="str">
        <f t="shared" ca="1" si="302"/>
        <v/>
      </c>
      <c r="JB72" s="259">
        <f t="shared" ca="1" si="210"/>
        <v>0</v>
      </c>
      <c r="JC72" s="259">
        <f t="shared" ca="1" si="303"/>
        <v>0</v>
      </c>
      <c r="JE72" s="259">
        <f ca="1">IFERROR(INDEX(LIBRO_GIORNALE!$N$11:$O$408,MATCH(ROWS($JE$2:JE71),LIBRO_GIORNALE!$O$11:$O$408,0),1),0)</f>
        <v>0</v>
      </c>
      <c r="JF72" s="259" t="str">
        <f t="shared" ca="1" si="304"/>
        <v>0</v>
      </c>
      <c r="JG72" s="259">
        <f t="shared" ca="1" si="305"/>
        <v>0</v>
      </c>
      <c r="JH72" s="259">
        <f ca="1">IF(JJ72&gt;0,0,MAX($JH$2:JH71)+1)</f>
        <v>70</v>
      </c>
      <c r="JI72" s="259">
        <f ca="1">IF(JG72&gt;0,MAX($JI$2:JI71)+1,0)</f>
        <v>0</v>
      </c>
      <c r="JJ72" s="259">
        <f ca="1">IFERROR(INDEX($JG$3:$JI$124,MATCH(ROWS($JJ$3:JJ72),$JI$3:$JI$124,0),1),0)</f>
        <v>0</v>
      </c>
      <c r="JK72" s="259">
        <f t="shared" ca="1" si="306"/>
        <v>0</v>
      </c>
      <c r="JL72" s="259">
        <f t="shared" ca="1" si="307"/>
        <v>70</v>
      </c>
    </row>
    <row r="73" spans="1:272">
      <c r="A73" s="259" t="str">
        <f t="shared" si="211"/>
        <v>11.10</v>
      </c>
      <c r="B73" s="259" t="str">
        <f t="shared" si="212"/>
        <v>FONDO MANUTENZIONI PROGRAMMATE</v>
      </c>
      <c r="C73" s="259" t="str">
        <f t="shared" si="213"/>
        <v>F</v>
      </c>
      <c r="D73" s="259" t="str">
        <f t="shared" si="214"/>
        <v>A</v>
      </c>
      <c r="E73" s="259" t="str">
        <f t="shared" si="215"/>
        <v>RATEI, FONDI RISCHI E ONERI</v>
      </c>
      <c r="F73" s="259" t="str">
        <f t="shared" si="216"/>
        <v>SP AVERE</v>
      </c>
      <c r="G73" s="259">
        <f t="shared" ca="1" si="217"/>
        <v>0</v>
      </c>
      <c r="H73" s="259">
        <f t="shared" ca="1" si="218"/>
        <v>0</v>
      </c>
      <c r="I73" s="259">
        <f t="shared" ca="1" si="219"/>
        <v>1</v>
      </c>
      <c r="K73" s="259" t="str">
        <f ca="1">IFERROR(IF($I$1=1,INDEX($AA$3:$AS$220,MATCH(ROWS($K$3:K73),$AQ$3:$AQ$220,0),1),IF($I$1=2,INDEX($AA$3:$AS$220,MATCH(ROWS($K$3:K73),$AR$3:$AR$220,0),1),IF($I$1=3,INDEX($AA$3:$AS$220,MATCH(ROWS($K$3:K73),$AS$3:$AS$220,0),1),""))),"")</f>
        <v>CAMBIALI PASSIVE</v>
      </c>
      <c r="L73" s="259">
        <f ca="1">IF(AND($L$1="VISUALIZZA TUTTI I CONTI",K73&lt;&gt;""),MAX(L72:L72)+1,IFERROR(IF($J$1=1,IF(INDEX(PIANO_DEI_CONTI,MATCH($K73,DENOMINAZIONE,0),5)=$L$1,MAX($L$2:L72)+1,0),IF($J$1=2,IF(INDEX(PIANO_DEI_CONTI,MATCH($K73,DENOMINAZIONE,0),7)=$L$1,MAX($L$2:L72)+1,0))),0))</f>
        <v>71</v>
      </c>
      <c r="M73" s="259" t="str">
        <f ca="1">IFERROR(INDEX($K$3:$K$220,MATCH(ROWS($M$3:M73),$L$3:$L$220,0),1),"")</f>
        <v>CAMBIALI PASSIVE</v>
      </c>
      <c r="Q73" s="259" t="str">
        <f ca="1">IF(IFERROR(INDEX($O$3:$P$220,MATCH(ROWS(Q$3:Q73),$P$3:$P$220,0),1),"")=0,"",IFERROR(INDEX($O$3:$P$220,MATCH(ROWS(Q$3:Q73),$P$3:$P$220,0),1),""))</f>
        <v/>
      </c>
      <c r="R73" s="259" t="str">
        <f t="shared" si="182"/>
        <v/>
      </c>
      <c r="S73" s="259">
        <f ca="1">IF(IFERROR(MATCH(R73,DENOMINAZIONE_GIORNALE,0),0)&gt;0,MAX(S$2:S72)+1,0)</f>
        <v>0</v>
      </c>
      <c r="T73" s="259" t="str">
        <f ca="1">IFERROR(INDEX($R$3:$S$220,MATCH(ROWS($T$3:T73),$S$3:$S$220,0),1),"")</f>
        <v/>
      </c>
      <c r="U73" s="259">
        <f t="shared" ca="1" si="183"/>
        <v>0</v>
      </c>
      <c r="V73" s="259">
        <f ca="1">IF(IF(U73&lt;&gt;0,MAX($V$2:V72)+1,0)=0,0,IF(U73&lt;&gt;0,MAX($V$2:V72)+1,0))</f>
        <v>0</v>
      </c>
      <c r="W73" s="259" t="str">
        <f t="shared" si="220"/>
        <v>11.10</v>
      </c>
      <c r="X73" s="259" t="str">
        <f t="shared" si="221"/>
        <v>FONDO MANUTENZIONI PROGRAMMATE</v>
      </c>
      <c r="Y73" s="259">
        <f>IF(W73="",0,MAX($Y$2:Y72)+1)</f>
        <v>61</v>
      </c>
      <c r="Z73" s="259" t="str">
        <f>IFERROR(INDEX($W$3:$Y$220,MATCH(ROWS($Z$2:Z72),$Y$3:$Y$220,0),1),"")</f>
        <v>14.02</v>
      </c>
      <c r="AA73" s="259" t="str">
        <f t="shared" si="222"/>
        <v>FATTURE DA RICEVERE</v>
      </c>
      <c r="AB73" s="259" t="str">
        <f t="shared" si="223"/>
        <v>F</v>
      </c>
      <c r="AC73" s="259" t="str">
        <f t="shared" si="224"/>
        <v>A</v>
      </c>
      <c r="AD73" s="259" t="str">
        <f t="shared" si="225"/>
        <v>DEBITI</v>
      </c>
      <c r="AE73" s="259" t="str">
        <f t="shared" si="226"/>
        <v>SP AVERE</v>
      </c>
      <c r="AF73" s="259" t="str">
        <f t="shared" si="227"/>
        <v>DEBITI COMMERCIALI</v>
      </c>
      <c r="AG73" s="259">
        <f t="shared" ca="1" si="228"/>
        <v>0</v>
      </c>
      <c r="AH73" s="259">
        <f t="shared" ca="1" si="229"/>
        <v>0</v>
      </c>
      <c r="AI73" s="259">
        <f t="shared" ca="1" si="230"/>
        <v>1</v>
      </c>
      <c r="AJ73" s="259" t="str">
        <f t="shared" si="231"/>
        <v>14</v>
      </c>
      <c r="AK73" s="259" t="str">
        <f t="shared" si="232"/>
        <v/>
      </c>
      <c r="AL73" s="259">
        <f>IF(AK73&lt;&gt;"",MAX($AL$2:AL72)+1,0)</f>
        <v>0</v>
      </c>
      <c r="AM73" s="259" t="str">
        <f>IFERROR(INDEX($AK$3:$AL$220,MATCH(ROWS($AM$3:AM73),$AL$3:$AL$220,0),1),"")</f>
        <v/>
      </c>
      <c r="AN73" s="259" t="str">
        <f t="shared" si="233"/>
        <v/>
      </c>
      <c r="AO73" s="259" t="str">
        <f t="shared" si="234"/>
        <v/>
      </c>
      <c r="AP73" s="259" t="str">
        <f t="shared" si="235"/>
        <v>DEBITI COMMERCIALI</v>
      </c>
      <c r="AQ73" s="259">
        <f ca="1">IF(OR(AG73=0,AG73=""),0,MAX(AQ$2:AQ72)+1)</f>
        <v>0</v>
      </c>
      <c r="AR73" s="259">
        <f ca="1">IF(OR(AH73=0,AH73=""),0,MAX(AR$2:AR72)+1)</f>
        <v>0</v>
      </c>
      <c r="AS73" s="259">
        <f ca="1">IF(OR(AI73=0,AI73=""),0,MAX(AS$2:AS72)+1)</f>
        <v>69</v>
      </c>
      <c r="AT73" s="259" t="str">
        <f ca="1">IFERROR(INDEX($AD$3:$AS$220,MATCH(ROWS(AT$3:AT73),AQ$3:AQ$220,0),1),"")</f>
        <v>COSTI D'ESERCIZIO</v>
      </c>
      <c r="AU73" s="259" t="str">
        <f ca="1">IFERROR(INDEX($AD$3:$AS$220,MATCH(ROWS(AU$3:AU73),AR$3:AR$220,0),1),"")</f>
        <v>RETTIFICHE RICAVI D'ESERCIZIO</v>
      </c>
      <c r="AV73" s="259" t="str">
        <f ca="1">IFERROR(INDEX($AD$3:$AS$220,MATCH(ROWS(AV$3:AV73),AS$3:AS$220,0),1),"")</f>
        <v>DEBITI</v>
      </c>
      <c r="AW73" s="259" t="str">
        <f ca="1">IFERROR(INDEX($AP$3:$AS$220,MATCH(ROWS(AW$3:AW73),AQ$3:AQ$220,0),1),"")</f>
        <v>COSTI PER SERVIZI</v>
      </c>
      <c r="AX73" s="259" t="str">
        <f ca="1">IFERROR(INDEX($AP$3:$AS$220,MATCH(ROWS(AX$3:AX73),AR$3:AR$220,0),1),"")</f>
        <v>VALORE DELLA PRODUZIONE</v>
      </c>
      <c r="AY73" s="259" t="str">
        <f ca="1">IFERROR(INDEX($AP$3:$AS$220,MATCH(ROWS(AY$3:AY73),AS$3:AS$220,0),1),"")</f>
        <v>DEBITI COMMERCIALI</v>
      </c>
      <c r="AZ73" s="276" t="str">
        <f t="shared" ca="1" si="236"/>
        <v/>
      </c>
      <c r="BA73" s="259">
        <f t="shared" ca="1" si="184"/>
        <v>0</v>
      </c>
      <c r="BB73" s="259">
        <f ca="1">IFERROR(INDEX($FG$3:$FL$400,MATCH(ROWS($BB$3:BB73),$FL$3:$FL$400,0),1),0)</f>
        <v>0</v>
      </c>
      <c r="BC73" s="259" t="str">
        <f t="shared" ca="1" si="237"/>
        <v/>
      </c>
      <c r="BD73" s="259">
        <f ca="1">IFERROR(INDEX($FG$3:$FL$400,MATCH(ROWS($BD$3:BD73),$FL$3:$FL$400,0),4),0)</f>
        <v>0</v>
      </c>
      <c r="BE73" s="259">
        <f ca="1">IFERROR(INDEX($FG$3:$FL$400,MATCH(ROWS($BE$3:BE73),$FL$3:$FL$400,0),5),0)</f>
        <v>0</v>
      </c>
      <c r="BG73" s="259" t="str">
        <f t="shared" si="185"/>
        <v>FATTURE DA RICEVERE</v>
      </c>
      <c r="BH73" s="259">
        <f ca="1">IF(IFERROR(MATCH(BG73,DENOMINAZIONE_GIORNALE,0),0)&gt;0,MAX(BH$2:BH72)+1,0)</f>
        <v>0</v>
      </c>
      <c r="BI73" s="259" t="str">
        <f ca="1">IFERROR(INDEX($BG$3:$BH$220,MATCH(ROWS($BI$3:BI73),$BH$3:$BH$220,0),1),"")</f>
        <v/>
      </c>
      <c r="BJ73" s="259" t="str">
        <f t="shared" ca="1" si="186"/>
        <v/>
      </c>
      <c r="BK73" s="259" t="str">
        <f ca="1">IF(IF(BJ73&lt;&gt;"",MAX($BK$2:BK72)+1,0)=0,"",IF(BJ73&lt;&gt;"",MAX($BK$2:BK72)+1,0))</f>
        <v/>
      </c>
      <c r="BL73" s="259" t="str">
        <f ca="1">IFERROR(INDEX($T$3:$U$220, MATCH(ROWS(BL$3:BL73),$V$3:$V$220,0),1),"")</f>
        <v/>
      </c>
      <c r="BM73" s="259" t="str">
        <f ca="1">IFERROR(INDEX($T$3:$U$220, MATCH(ROWS(BM$3:BM73),$V$3:$V$220,0),2),"")</f>
        <v/>
      </c>
      <c r="BN73" s="259" t="str">
        <f ca="1">IF(IFERROR(INDEX($BI$3:$BJ$220,MATCH(ROWS(BN$3:BN73),$BK$3:$BK$220,0),1),"")="PATRIMONIO NETTO","",IFERROR(INDEX($BI$3:$BJ$220,MATCH(ROWS(BN$3:BN73),$BK$3:$BK$220,0),1),""))</f>
        <v/>
      </c>
      <c r="BO73" s="259" t="str">
        <f ca="1">IFERROR(INDEX($BI$3:$BJ$220,MATCH(ROWS(BO$3:BO73),$BK$3:$BK$220,0),2),"")</f>
        <v/>
      </c>
      <c r="BP73" s="259">
        <f ca="1">IF(BN73&lt;&gt;"",MAX(BP$2:$BP72)+1,0)</f>
        <v>0</v>
      </c>
      <c r="BQ73" s="259" t="str">
        <f ca="1">IFERROR(INDEX($BN$3:$BO$200,MATCH(ROWS(BQ$3:BQ73),$BP$3:$BP$220,0),1),"")</f>
        <v/>
      </c>
      <c r="BR73" s="259" t="str">
        <f ca="1">IFERROR(INDEX($BN$3:$BO$220,MATCH(ROWS(BR$3:BR73),$BP$3:$BP$220,0),2),"")</f>
        <v/>
      </c>
      <c r="BS73" s="259" t="str">
        <f ca="1">IFERROR(IF(OR(INDEX($T$3:$U$220,MATCH(ROWS(BL$3:BL73),$V$3:$V$220,0),1)="PRELEVAMENTI EXTRAGESTIONE",INDEX($T$3:$U$220,MATCH(ROWS(BL$3:BL73),$V$3:$V$220,0),1)="TITOLARE C/RITENUTE SUBITE"),"",INDEX($T$3:$U$220,MATCH(ROWS(BL$3:BL73),$V$3:$V$220,0),1)),"")</f>
        <v/>
      </c>
      <c r="BT73" s="259">
        <f t="shared" ca="1" si="238"/>
        <v>0</v>
      </c>
      <c r="BU73" s="259">
        <f ca="1">IF(BS73&lt;&gt;"",MAX(BU$2:BU72)+1,0)</f>
        <v>0</v>
      </c>
      <c r="BV73" s="259" t="str">
        <f ca="1">IFERROR(INDEX($BS$3:$BT$223,MATCH(ROWS(BV$3:BV73),$BU$3:$BU$223,0),1),"")</f>
        <v/>
      </c>
      <c r="BW73" s="259">
        <f t="shared" ca="1" si="239"/>
        <v>0</v>
      </c>
      <c r="BX73" s="259" t="str">
        <f t="shared" ca="1" si="240"/>
        <v/>
      </c>
      <c r="BY73" s="259" t="str">
        <f t="shared" ca="1" si="241"/>
        <v/>
      </c>
      <c r="BZ73" s="259" t="str">
        <f ca="1">IFERROR(IF(OR($DS$231&lt;&gt;$DT$231,$DU$231&lt;&gt;$DV$231,$EO$25&lt;&gt;0,$EO$26&lt;&gt;0),INDEX($T$3:$V$220,MATCH(ROWS($BV$3:BV73),$V$3:$V$220,0),1),CONCATENATE(BV73,BY73)),"")</f>
        <v/>
      </c>
      <c r="CA73" s="259">
        <f t="shared" ca="1" si="242"/>
        <v>0</v>
      </c>
      <c r="CB73" s="259" t="str">
        <f ca="1">IFERROR(IF(OR($BB$1&lt;&gt;$BD$1,$BC$1&lt;&gt;$BE$1,$DS$231&lt;&gt;$DT$231,$DU$231&lt;&gt;$DV$231,$EO$25&lt;&gt;0,$EO$26&lt;&gt;0),INDEX($BI$3:$BK$220,MATCH(ROWS($CB$3:CB73),$BK$3:$BK$220,0),1),CONCATENATE(BQ73,BX73)),"")</f>
        <v/>
      </c>
      <c r="CC73" s="259" t="str">
        <f t="shared" ca="1" si="243"/>
        <v/>
      </c>
      <c r="CD73" s="259" t="str">
        <f t="shared" si="187"/>
        <v/>
      </c>
      <c r="CE73" s="259">
        <f ca="1">IF(IFERROR(MATCH(CD73,DENOMINAZIONE_GIORNALE,0),0)&gt;0,MAX(CE$2:CE72)+1,0)</f>
        <v>0</v>
      </c>
      <c r="CF73" s="259" t="str">
        <f ca="1">IFERROR(INDEX($CD$3:$CE$220,MATCH(ROWS($CF$3:CF73),$CE$3:$CE$220,0),1),"")</f>
        <v/>
      </c>
      <c r="CG73" s="259">
        <f t="shared" ca="1" si="188"/>
        <v>0</v>
      </c>
      <c r="CH73" s="259" t="str">
        <f ca="1">IF(IF(CG73&lt;&gt;0,MAX($CH$2:CH72)+1,0)=0,"",IF(CG73&lt;&gt;"",MAX($CH$2:CH72)+1,0))</f>
        <v/>
      </c>
      <c r="CI73" s="259" t="str">
        <f ca="1">IFERROR(INDEX($CF$3:$CG$220,MATCH(ROWS($CI$3:CI73),$CH$3:$CH$220,0),1),"")</f>
        <v/>
      </c>
      <c r="CJ73" s="259" t="str">
        <f t="shared" ca="1" si="244"/>
        <v/>
      </c>
      <c r="CK73" s="259" t="str">
        <f t="shared" si="189"/>
        <v/>
      </c>
      <c r="CL73" s="259">
        <f ca="1">IF(IFERROR(MATCH(CK73,DENOMINAZIONE_GIORNALE,0),0)&gt;0,MAX(CL$2:CL72)+1,0)</f>
        <v>0</v>
      </c>
      <c r="CM73" s="259" t="str">
        <f ca="1">IFERROR(INDEX($CK$3:$CL$220,MATCH(ROWS($CM$3:CM73),$CL$3:$CL$220,0),1),"")</f>
        <v/>
      </c>
      <c r="CN73" s="259" t="str">
        <f t="shared" ca="1" si="190"/>
        <v/>
      </c>
      <c r="CO73" s="259">
        <f ca="1">IF(IF(CN73&lt;&gt;0,MAX($CO$2:CO72)+1,0)=0,"",IF(CN73&lt;&gt;"",MAX($CO$2:CO72)+1,0))</f>
        <v>0</v>
      </c>
      <c r="CP73" s="259" t="str">
        <f ca="1">IFERROR(INDEX($CM$3:$CN$220,MATCH(ROWS(CP$3:CP73),$CO$3:$CO$220,0),1),"")</f>
        <v/>
      </c>
      <c r="CQ73" s="259" t="str">
        <f ca="1">IFERROR(INDEX($CM$3:$CN$220,MATCH(ROWS(CQ$3:CQ73),$CO$3:$CO$220,0),2),"")</f>
        <v/>
      </c>
      <c r="CR73" s="259" t="str">
        <f t="shared" ca="1" si="191"/>
        <v/>
      </c>
      <c r="CS73" s="259">
        <f t="shared" ca="1" si="192"/>
        <v>0</v>
      </c>
      <c r="CT73" s="259">
        <f t="shared" ca="1" si="193"/>
        <v>0</v>
      </c>
      <c r="CU73" s="259">
        <f ca="1">IF(OR(CS73&gt;0,CT73&gt;0),MAX($CU$2:CU72)+1,0)</f>
        <v>0</v>
      </c>
      <c r="CV73" s="259" t="str">
        <f ca="1">IFERROR(INDEX(PIANO_DEI_CONTI,MATCH(ROWS($CV$3:CV73),$CU$3:$CU$200,0),2),"")</f>
        <v/>
      </c>
      <c r="CW73" s="259">
        <f ca="1">IFERROR(IF(CV73&lt;&gt;"",MAX($CW$2:CW72)+1,0),0)</f>
        <v>0</v>
      </c>
      <c r="CX73" s="259">
        <f t="shared" ca="1" si="174"/>
        <v>4</v>
      </c>
      <c r="CY73" s="259" t="str">
        <f t="shared" ca="1" si="308"/>
        <v>MASTRO</v>
      </c>
      <c r="CZ73" s="259" t="e">
        <f t="shared" ca="1" si="176"/>
        <v>#N/A</v>
      </c>
      <c r="DA73" s="259" t="str">
        <f t="shared" ca="1" si="181"/>
        <v/>
      </c>
      <c r="DB73" s="259" t="str">
        <f t="shared" ca="1" si="177"/>
        <v/>
      </c>
      <c r="DC73" s="259" t="str">
        <f t="shared" ca="1" si="178"/>
        <v/>
      </c>
      <c r="DD73" s="259" t="str">
        <f t="shared" ca="1" si="179"/>
        <v/>
      </c>
      <c r="DE73" s="259" t="str">
        <f t="shared" ca="1" si="180"/>
        <v/>
      </c>
      <c r="DF73" s="259">
        <f ca="1">IF(AND(CX73=$DE$2,$DF$2&lt;&gt;0),0,IF(AND(DB73&lt;&gt;"",OR(DB72&lt;&gt;"",DB74&lt;&gt;"")),MAX($DF$2:DF72)+1,0))</f>
        <v>0</v>
      </c>
      <c r="DG73" s="259" t="str">
        <f>IF(OR(VALORI_INIZIALI!E78="",AND(VALORI_INIZIALI!E78&lt;&gt;"",VALORI_INIZIALI!H78=0,VALORI_INIZIALI!I78=0)),"",IFERROR(INDEX(PIANO_DEI_CONTI,MATCH(BB73,DENOMINAZIONE,0),1),0))</f>
        <v/>
      </c>
      <c r="DH73" s="259">
        <f ca="1">IFERROR(IF($J$1=1,IF(INDEX(PIANO_DEI_CONTI,MATCH($K73,DENOMINAZIONE,0),5)=$DF$1,MAX($DH$2:DH72)+1,0),IF($J$1=2,IF(INDEX(PIANO_DEI_CONTI,MATCH($K73,DENOMINAZIONE,0),7)=$DF$1,MAX($DH$2:DH72)+1,0))),0)</f>
        <v>0</v>
      </c>
      <c r="DI73" s="259">
        <f ca="1">IFERROR(INDEX($K$3:$K$220,MATCH(ROWS($DI$3:DI73),$DH$3:$DH$220,0),1),0)</f>
        <v>0</v>
      </c>
      <c r="DJ73" s="259">
        <f t="shared" ca="1" si="194"/>
        <v>0</v>
      </c>
      <c r="DK73" s="259">
        <f ca="1">IF(DJ73=0,0,MAX(DK$2:DK72)+1)</f>
        <v>0</v>
      </c>
      <c r="DL73" s="259">
        <f ca="1">IFERROR(INDEX(PIANO_DEI_CONTI,MATCH(ROWS(DL$3:DL73),$DK$3:DK300,0),2),0)</f>
        <v>0</v>
      </c>
      <c r="DM73" s="259">
        <f t="shared" ca="1" si="195"/>
        <v>0</v>
      </c>
      <c r="DN73" s="259">
        <f t="shared" ca="1" si="196"/>
        <v>0</v>
      </c>
      <c r="DO73" s="259">
        <f t="shared" ca="1" si="245"/>
        <v>0</v>
      </c>
      <c r="DP73" s="259">
        <f t="shared" ca="1" si="246"/>
        <v>0</v>
      </c>
      <c r="DQ73" s="259">
        <f ca="1">IF(OR($DQ$1="TOTALI",$DQ$1="TOTALI ED ECCEDENZE"),IF(OR(DM73&gt;0,DN73&gt;0),MAX(DQ$2:DQ72)+1,0),IF($DQ$1="ECCEDENZE",IF(OR(DO73&gt;0,DP73&gt;0),MAX(DQ$2:DQ72)+1,0),""))</f>
        <v>0</v>
      </c>
      <c r="DR73" s="259" t="str">
        <f ca="1">IFERROR(INDEX($DL$3:$DQ$230,MATCH(ROWS(DR$3:DR73),$DQ$3:$DQ$230,0),1),"")</f>
        <v/>
      </c>
      <c r="DS73" s="259" t="str">
        <f t="shared" ca="1" si="247"/>
        <v/>
      </c>
      <c r="DT73" s="259" t="str">
        <f t="shared" ca="1" si="248"/>
        <v/>
      </c>
      <c r="DU73" s="259" t="str">
        <f t="shared" ca="1" si="249"/>
        <v/>
      </c>
      <c r="DV73" s="259" t="str">
        <f t="shared" ca="1" si="250"/>
        <v/>
      </c>
      <c r="DW73" s="259">
        <f t="shared" ca="1" si="251"/>
        <v>0</v>
      </c>
      <c r="DX73" s="259" t="str">
        <f t="shared" ca="1" si="252"/>
        <v/>
      </c>
      <c r="DY73" s="259" t="str">
        <f t="shared" ca="1" si="253"/>
        <v/>
      </c>
      <c r="DZ73" s="259" t="str">
        <f t="shared" ca="1" si="254"/>
        <v/>
      </c>
      <c r="EA73" s="259">
        <f t="shared" ca="1" si="255"/>
        <v>71</v>
      </c>
      <c r="EB73" s="259" t="s">
        <v>361</v>
      </c>
      <c r="ED73" s="259">
        <f t="shared" ca="1" si="197"/>
        <v>0</v>
      </c>
      <c r="EE73" s="259" t="str">
        <f t="shared" ca="1" si="198"/>
        <v/>
      </c>
      <c r="EF73" s="259" t="str">
        <f t="shared" ca="1" si="199"/>
        <v/>
      </c>
      <c r="EG73" s="259" t="str">
        <f t="shared" ca="1" si="309"/>
        <v/>
      </c>
      <c r="EH73" s="259" t="str">
        <f t="shared" ca="1" si="256"/>
        <v/>
      </c>
      <c r="EI73" s="260" t="b">
        <f t="shared" ca="1" si="310"/>
        <v>0</v>
      </c>
      <c r="EJ73" s="260" t="b">
        <f t="shared" ca="1" si="311"/>
        <v>0</v>
      </c>
      <c r="EK73" s="260" t="b">
        <f t="shared" ca="1" si="312"/>
        <v>1</v>
      </c>
      <c r="EL73" s="259">
        <f t="shared" si="257"/>
        <v>71</v>
      </c>
      <c r="EM73" s="259">
        <f ca="1">IF(AND(BA73&gt;0,BA73&lt;=$EM$1),MAX($EM$2:EM72)+1,0)</f>
        <v>0</v>
      </c>
      <c r="EN73" s="259">
        <f t="shared" ca="1" si="258"/>
        <v>73</v>
      </c>
      <c r="EP73" s="259" t="str">
        <f t="shared" ca="1" si="200"/>
        <v/>
      </c>
      <c r="EQ73" s="259">
        <f t="shared" ca="1" si="201"/>
        <v>0</v>
      </c>
      <c r="ER73" s="259">
        <f ca="1">IF(ISNA(EQ73),MAX(ER$2:ER72)+1,0)</f>
        <v>0</v>
      </c>
      <c r="ES73" s="259" t="str">
        <f t="shared" ca="1" si="259"/>
        <v/>
      </c>
      <c r="ET73" s="259" t="str">
        <f ca="1">IFERROR(UPPER(INDEX($ER$3:$ES$500,MATCH(ROWS(ET$3:ET73),$ER$3:$ER$500,0),2)),"")</f>
        <v/>
      </c>
      <c r="EY73" s="259">
        <f t="shared" ca="1" si="260"/>
        <v>0</v>
      </c>
      <c r="EZ73" s="259">
        <f t="shared" ca="1" si="260"/>
        <v>0</v>
      </c>
      <c r="FA73" s="259" t="str">
        <f t="shared" ca="1" si="261"/>
        <v/>
      </c>
      <c r="FB73" s="259">
        <f t="shared" ca="1" si="262"/>
        <v>0</v>
      </c>
      <c r="FC73" s="259">
        <f t="shared" ca="1" si="263"/>
        <v>0</v>
      </c>
      <c r="FD73" s="259">
        <f t="shared" ca="1" si="202"/>
        <v>0</v>
      </c>
      <c r="FE73" s="259" t="str">
        <f t="shared" ca="1" si="203"/>
        <v/>
      </c>
      <c r="FF73" s="259" t="str">
        <f t="shared" ca="1" si="264"/>
        <v/>
      </c>
      <c r="FG73" s="259" t="str">
        <f t="shared" si="265"/>
        <v>FATTURE DA RICEVERE</v>
      </c>
      <c r="FH73" s="259">
        <f t="shared" ca="1" si="156"/>
        <v>0</v>
      </c>
      <c r="FI73" s="259">
        <f t="shared" ca="1" si="204"/>
        <v>0</v>
      </c>
      <c r="FJ73" s="259">
        <f t="shared" ca="1" si="266"/>
        <v>0</v>
      </c>
      <c r="FK73" s="259">
        <f t="shared" ca="1" si="267"/>
        <v>0</v>
      </c>
      <c r="FL73" s="259">
        <f ca="1">IF(OR(FJ73&gt;0,FK73&gt;0),MAX($FL$2:FL72)+1,0)</f>
        <v>0</v>
      </c>
      <c r="FM73" s="259">
        <f t="shared" ca="1" si="205"/>
        <v>0</v>
      </c>
      <c r="FN73" s="259">
        <f ca="1">IF(FM73&lt;0,MAX($FN$2:FN72)+1,0)</f>
        <v>0</v>
      </c>
      <c r="FO73" s="259" t="str">
        <f t="shared" ca="1" si="268"/>
        <v/>
      </c>
      <c r="FP73" s="259" t="str">
        <f ca="1">IFERROR(INDEX($FN$3:$FO$400,MATCH(ROWS($FP$3:FP73),$FN$3:$FN$400,0),2),"")</f>
        <v/>
      </c>
      <c r="FQ73" s="259" t="str">
        <f>IF(AE73="SE AVERE",MAX($FQ$2:FQ72)+1,"")</f>
        <v/>
      </c>
      <c r="FR73" s="259" t="str">
        <f>IF(AE73="SE DARE",MAX($FR$2:FR72)+1,"")</f>
        <v/>
      </c>
      <c r="FS73" s="259" t="str">
        <f ca="1">IF(AND(AE73="SP DARE",AA73&lt;&gt;$FS$1,AA73&lt;&gt;$FT$1),MAX($FS$2:FS72)+1,IF(AND(GQ73="SP DARE",AA73&lt;&gt;$FS$1,AA73&lt;&gt;$FT$1),MAX($FS$2:FS72)+1,""))</f>
        <v/>
      </c>
      <c r="FT73" s="259">
        <f ca="1">IF(AND(AE73="SP AVERE",AA73&lt;&gt;$FU$1),MAX($FT$2:FT72)+1,IF(AND(GQ73="SP AVERE",AA73&lt;&gt;$FU$1),MAX($FT$2:FT72)+1,""))</f>
        <v>155</v>
      </c>
      <c r="FU73" s="259">
        <f t="shared" ca="1" si="269"/>
        <v>155</v>
      </c>
      <c r="FV73" s="259" t="str">
        <f t="shared" si="270"/>
        <v>FATTURE DA RICEVERE</v>
      </c>
      <c r="FW73" s="259" t="str">
        <f ca="1">IFERROR(INDEX($FU$3:$FV$500,MATCH(ROWS($FW$3:FW73),$FU$3:$FU$500,0),2),0)</f>
        <v>INSUSSISTENZE PASSIVE</v>
      </c>
      <c r="FX73" s="259">
        <f t="shared" ca="1" si="271"/>
        <v>71</v>
      </c>
      <c r="FY73" s="259">
        <f t="shared" ca="1" si="272"/>
        <v>0</v>
      </c>
      <c r="FZ73" s="259">
        <f ca="1">IF(FY73&gt;0,MAX($FZ$2:FZ72)+1,0)</f>
        <v>0</v>
      </c>
      <c r="GA73" s="259">
        <f ca="1">IFERROR(INDEX($FY$3:$FZ$500,MATCH(ROWS($GA$3:GA73),$FZ$3:$FZ$500,0),1),0)</f>
        <v>0</v>
      </c>
      <c r="GC73" s="259">
        <f t="shared" ca="1" si="273"/>
        <v>71</v>
      </c>
      <c r="GD73" s="259" t="str">
        <f t="shared" ca="1" si="274"/>
        <v>INSUSSISTENZE PASSIVE</v>
      </c>
      <c r="GG73" s="259">
        <f t="shared" ca="1" si="275"/>
        <v>0</v>
      </c>
      <c r="GH73" s="259">
        <f t="shared" ca="1" si="276"/>
        <v>0</v>
      </c>
      <c r="GI73" s="259">
        <f t="shared" ca="1" si="277"/>
        <v>0</v>
      </c>
      <c r="GJ73" s="259">
        <f t="shared" ca="1" si="278"/>
        <v>0</v>
      </c>
      <c r="GK73" s="259">
        <f ca="1">GG73+GI73</f>
        <v>0</v>
      </c>
      <c r="GL73" s="259">
        <f t="shared" ca="1" si="280"/>
        <v>0</v>
      </c>
      <c r="GM73" s="259">
        <f ca="1">IF(OR(GK73&gt;0,GL73&gt;0),MAX($GM$2:GM72)+1,0)</f>
        <v>0</v>
      </c>
      <c r="GN73" s="259" t="str">
        <f ca="1">IFERROR(INDEX($GD$3:$GM$400,MATCH(ROWS($GN$3:GN73),$GM$3:$GM$400,0),1),"")</f>
        <v/>
      </c>
      <c r="GO73" s="259" t="str">
        <f ca="1">IFERROR(INDEX($GD$3:$GM$400,MATCH(ROWS($GO$3:GO73),$GM$3:$GM$400,0),8),"")</f>
        <v/>
      </c>
      <c r="GP73" s="259" t="str">
        <f ca="1">IFERROR(INDEX($GD$3:$GM$400,MATCH(ROWS($GP$3:GP73),$GM$3:$GM$400,0),9),"")</f>
        <v/>
      </c>
      <c r="GQ73" s="259">
        <f t="shared" ca="1" si="206"/>
        <v>0</v>
      </c>
      <c r="GR73" s="259">
        <f t="shared" ca="1" si="281"/>
        <v>0</v>
      </c>
      <c r="GS73" s="259" t="str">
        <f t="shared" si="282"/>
        <v>epilogo a Conto economico</v>
      </c>
      <c r="GT73" s="259" t="str">
        <f ca="1">IFERROR(INDEX($GD$3:$GS$400,MATCH(ROWS($GT$3:GT73),$GM$3:$GM$400,0),16),"")</f>
        <v/>
      </c>
      <c r="GU73" s="259">
        <f ca="1">IF(GQ73&lt;&gt;0,MAX($GU$2:$GU72)+1,0)</f>
        <v>0</v>
      </c>
      <c r="GV73" s="259">
        <f t="shared" ca="1" si="283"/>
        <v>0</v>
      </c>
      <c r="GW73" s="259" t="str">
        <f ca="1">IF(AND(IFERROR(INDEX($GU$3:$GV$400,MATCH(ROWS($GW$3:GW73),$GU$3:$GU$400,0),2),"")&lt;&gt;"",GW74&lt;&gt;""),CONCATENATE(IFERROR(INDEX($GU$3:$GV$400,MATCH(ROWS($GW$3:GW73),$GU$3:$GU$400,0),2),"")," - "),IFERROR(INDEX($GU$3:$GV$400,MATCH(ROWS($GW$3:GW73),$GU$3:$GU$400,0),2),""))</f>
        <v/>
      </c>
      <c r="GX73" s="259">
        <f ca="1">IF(OR(GN73="IVA NS/CREDITO",GN73="IVA NS/DEBITO",GN73="IVA C/ACCONTO",GN73="IMPOSTE C/ACCONTO"),MAX($GX$2:GX72)+1,0)</f>
        <v>0</v>
      </c>
      <c r="GY73" s="259" t="str">
        <f ca="1">IF(AND(IFERROR(INDEX($GN$3:$GX$200,MATCH(ROWS($GY$3:GY73),$GX$3:$GX$200,0),1),"")&lt;&gt;"",GY74&lt;&gt;""),CONCATENATE(IFERROR(INDEX($GN$3:$GX$200,MATCH(ROWS($GY$3:GY73),$GX$3:$GX$200,0),1),"")," - "),IFERROR(INDEX($GN$3:$GX$200,MATCH(ROWS($GY$3:GY73),$GX$3:$GX$200,0),1),""))</f>
        <v/>
      </c>
      <c r="GZ73" s="259" t="s">
        <v>635</v>
      </c>
      <c r="HA73" s="259" t="s">
        <v>263</v>
      </c>
      <c r="HB73" s="269" t="s">
        <v>257</v>
      </c>
      <c r="HC73" s="269" t="s">
        <v>211</v>
      </c>
      <c r="HD73" s="269" t="s">
        <v>207</v>
      </c>
      <c r="HE73" s="269" t="s">
        <v>212</v>
      </c>
      <c r="HL73" s="259" t="str">
        <f t="shared" ca="1" si="207"/>
        <v/>
      </c>
      <c r="HM73" s="259" t="str">
        <f t="shared" ca="1" si="208"/>
        <v/>
      </c>
      <c r="HN73" s="259" t="str">
        <f t="shared" ca="1" si="209"/>
        <v/>
      </c>
      <c r="HO73" s="259">
        <f ca="1">IF(HL73&lt;&gt;"",MAX($HO$2:HO72)+1,0)</f>
        <v>0</v>
      </c>
      <c r="HP73" s="259">
        <f ca="1">IF(HM73&lt;&gt;"",MAX($HP$2:HP72)+1,0)</f>
        <v>0</v>
      </c>
      <c r="HQ73" s="259">
        <f ca="1">IF(HN73&lt;&gt;"",MAX($HQ$2:HQ72)+1,0)</f>
        <v>0</v>
      </c>
      <c r="HR73" s="259" t="str">
        <f t="shared" ca="1" si="284"/>
        <v/>
      </c>
      <c r="HS73" s="259" t="str">
        <f t="shared" ca="1" si="285"/>
        <v/>
      </c>
      <c r="HT73" s="259">
        <f t="shared" ca="1" si="286"/>
        <v>0</v>
      </c>
      <c r="HU73" s="259">
        <f t="shared" ca="1" si="287"/>
        <v>0</v>
      </c>
      <c r="HV73" s="259" t="str">
        <f ca="1">CONCATENATE(IFERROR(INDEX($HS$3:$HT$102,MATCH(ROWS($HV$3:HV73),$HT$3:$HT$102,0),1),""),HR73)</f>
        <v/>
      </c>
      <c r="IA73" s="259" t="s">
        <v>388</v>
      </c>
      <c r="IB73" s="259" t="s">
        <v>332</v>
      </c>
      <c r="IC73" s="259">
        <f ca="1">IFERROR(INDEX(PIANO_DEI_CONTI,MATCH(ROWS(DL$3:DL73),$DK$3:DK300,0),2),0)</f>
        <v>0</v>
      </c>
      <c r="ID73" s="259">
        <f t="shared" ca="1" si="288"/>
        <v>0</v>
      </c>
      <c r="IE73" s="259">
        <f t="shared" ca="1" si="289"/>
        <v>0</v>
      </c>
      <c r="IF73" s="259">
        <f t="shared" ca="1" si="290"/>
        <v>0</v>
      </c>
      <c r="IG73" s="259">
        <f ca="1">ROUND(SUMIFS($IE$3:$IE$200,$IF$3:$IF$200,IA73),0)</f>
        <v>0</v>
      </c>
      <c r="IH73" s="259">
        <f ca="1">IF(IG73&lt;&gt;0,MAX($IH$35:IH72)+1,0)</f>
        <v>0</v>
      </c>
      <c r="II73" s="259">
        <f>IF(AD73="costi pluriennali",MAX($II$2:II72)+1,0)</f>
        <v>0</v>
      </c>
      <c r="IJ73" s="259">
        <f>IF($AD73="rettifiche costi pluriennali",MAX($IJ$2:IJ72)+1,0)</f>
        <v>0</v>
      </c>
      <c r="IK73" s="259">
        <f t="shared" si="291"/>
        <v>0</v>
      </c>
      <c r="IL73" s="259" t="str">
        <f t="shared" si="292"/>
        <v/>
      </c>
      <c r="IM73" s="259">
        <f t="shared" ca="1" si="293"/>
        <v>0</v>
      </c>
      <c r="IN73" s="259">
        <f t="shared" ca="1" si="313"/>
        <v>0</v>
      </c>
      <c r="IO73" s="259">
        <f>SUMIFS($IM$3:$IM$200,$IK$3:$IK$200,ROWS($IO$3:IO73))-SUMIFS($IN$3:$IN$200,$IK$3:$IK$200,ROWS($IO$3:IO73))</f>
        <v>0</v>
      </c>
      <c r="IP73" s="259" t="str">
        <f>IF(IO73&lt;0,INDEX($IJ$3:$IL$200,MATCH(ROWS($IP$3:IP73),$IJ$3:$IJ$200,0),3),"")</f>
        <v/>
      </c>
      <c r="IQ73" s="259">
        <f>IF(IP73&lt;&gt;"",MAX($IQ$2:IQ72)+1,0)</f>
        <v>0</v>
      </c>
      <c r="IR73" s="259" t="str">
        <f ca="1">IFERROR(INDEX($IP$3:$IQ$200,MATCH(ROWS($IR$3:IR73),$IQ$3:$IQ$200,0),1),"")</f>
        <v/>
      </c>
      <c r="IS73" s="259" t="str">
        <f t="shared" ca="1" si="294"/>
        <v/>
      </c>
      <c r="IT73" s="259" t="str">
        <f t="shared" ca="1" si="295"/>
        <v/>
      </c>
      <c r="IU73" s="259" t="str">
        <f t="shared" ca="1" si="296"/>
        <v/>
      </c>
      <c r="IV73" s="259" t="str">
        <f t="shared" ca="1" si="297"/>
        <v/>
      </c>
      <c r="IW73" s="259" t="str">
        <f t="shared" ca="1" si="298"/>
        <v/>
      </c>
      <c r="IX73" s="259" t="str">
        <f t="shared" ca="1" si="299"/>
        <v/>
      </c>
      <c r="IY73" s="259" t="str">
        <f t="shared" ca="1" si="300"/>
        <v/>
      </c>
      <c r="IZ73" s="259" t="str">
        <f t="shared" ca="1" si="301"/>
        <v/>
      </c>
      <c r="JA73" s="259" t="str">
        <f t="shared" ca="1" si="302"/>
        <v/>
      </c>
      <c r="JB73" s="259">
        <f t="shared" ca="1" si="210"/>
        <v>0</v>
      </c>
      <c r="JC73" s="259">
        <f t="shared" ca="1" si="303"/>
        <v>0</v>
      </c>
      <c r="JE73" s="259">
        <f ca="1">IFERROR(INDEX(LIBRO_GIORNALE!$N$11:$O$408,MATCH(ROWS($JE$2:JE72),LIBRO_GIORNALE!$O$11:$O$408,0),1),0)</f>
        <v>0</v>
      </c>
      <c r="JF73" s="259" t="str">
        <f t="shared" ca="1" si="304"/>
        <v>0</v>
      </c>
      <c r="JG73" s="259">
        <f t="shared" ca="1" si="305"/>
        <v>0</v>
      </c>
      <c r="JH73" s="259">
        <f ca="1">IF(JJ73&gt;0,0,MAX($JH$2:JH72)+1)</f>
        <v>71</v>
      </c>
      <c r="JI73" s="259">
        <f ca="1">IF(JG73&gt;0,MAX($JI$2:JI72)+1,0)</f>
        <v>0</v>
      </c>
      <c r="JJ73" s="259">
        <f ca="1">IFERROR(INDEX($JG$3:$JI$124,MATCH(ROWS($JJ$3:JJ73),$JI$3:$JI$124,0),1),0)</f>
        <v>0</v>
      </c>
      <c r="JK73" s="259">
        <f t="shared" ca="1" si="306"/>
        <v>0</v>
      </c>
      <c r="JL73" s="259">
        <f t="shared" ca="1" si="307"/>
        <v>71</v>
      </c>
    </row>
    <row r="74" spans="1:272">
      <c r="A74" s="259" t="str">
        <f t="shared" si="211"/>
        <v>12.00</v>
      </c>
      <c r="B74" s="259" t="str">
        <f t="shared" si="212"/>
        <v>TRATTAMENTO FINE RAPPORTO</v>
      </c>
      <c r="C74" s="259">
        <f t="shared" si="213"/>
        <v>0</v>
      </c>
      <c r="D74" s="259">
        <f t="shared" si="214"/>
        <v>0</v>
      </c>
      <c r="E74" s="259">
        <f t="shared" si="215"/>
        <v>0</v>
      </c>
      <c r="F74" s="259">
        <f t="shared" si="216"/>
        <v>0</v>
      </c>
      <c r="G74" s="259">
        <f t="shared" ca="1" si="217"/>
        <v>0</v>
      </c>
      <c r="H74" s="259">
        <f t="shared" ca="1" si="218"/>
        <v>0</v>
      </c>
      <c r="I74" s="259">
        <f t="shared" ca="1" si="219"/>
        <v>0</v>
      </c>
      <c r="K74" s="259" t="str">
        <f ca="1">IFERROR(IF($I$1=1,INDEX($AA$3:$AS$220,MATCH(ROWS($K$3:K74),$AQ$3:$AQ$220,0),1),IF($I$1=2,INDEX($AA$3:$AS$220,MATCH(ROWS($K$3:K74),$AR$3:$AR$220,0),1),IF($I$1=3,INDEX($AA$3:$AS$220,MATCH(ROWS($K$3:K74),$AS$3:$AS$220,0),1),""))),"")</f>
        <v>DEBITI DA LIQUIDARE</v>
      </c>
      <c r="L74" s="259">
        <f ca="1">IF(AND($L$1="VISUALIZZA TUTTI I CONTI",K74&lt;&gt;""),MAX(L73:L73)+1,IFERROR(IF($J$1=1,IF(INDEX(PIANO_DEI_CONTI,MATCH($K74,DENOMINAZIONE,0),5)=$L$1,MAX($L$2:L73)+1,0),IF($J$1=2,IF(INDEX(PIANO_DEI_CONTI,MATCH($K74,DENOMINAZIONE,0),7)=$L$1,MAX($L$2:L73)+1,0))),0))</f>
        <v>72</v>
      </c>
      <c r="M74" s="259" t="str">
        <f ca="1">IFERROR(INDEX($K$3:$K$220,MATCH(ROWS($M$3:M74),$L$3:$L$220,0),1),"")</f>
        <v>DEBITI DA LIQUIDARE</v>
      </c>
      <c r="Q74" s="259" t="str">
        <f ca="1">IF(IFERROR(INDEX($O$3:$P$220,MATCH(ROWS(Q$3:Q74),$P$3:$P$220,0),1),"")=0,"",IFERROR(INDEX($O$3:$P$220,MATCH(ROWS(Q$3:Q74),$P$3:$P$220,0),1),""))</f>
        <v/>
      </c>
      <c r="R74" s="259" t="str">
        <f t="shared" si="182"/>
        <v/>
      </c>
      <c r="S74" s="259">
        <f ca="1">IF(IFERROR(MATCH(R74,DENOMINAZIONE_GIORNALE,0),0)&gt;0,MAX(S$2:S73)+1,0)</f>
        <v>0</v>
      </c>
      <c r="T74" s="259" t="str">
        <f ca="1">IFERROR(INDEX($R$3:$S$220,MATCH(ROWS($T$3:T74),$S$3:$S$220,0),1),"")</f>
        <v/>
      </c>
      <c r="U74" s="259">
        <f t="shared" ca="1" si="183"/>
        <v>0</v>
      </c>
      <c r="V74" s="259">
        <f ca="1">IF(IF(U74&lt;&gt;0,MAX($V$2:V73)+1,0)=0,0,IF(U74&lt;&gt;0,MAX($V$2:V73)+1,0))</f>
        <v>0</v>
      </c>
      <c r="W74" s="259" t="str">
        <f t="shared" si="220"/>
        <v/>
      </c>
      <c r="X74" s="259" t="str">
        <f t="shared" si="221"/>
        <v/>
      </c>
      <c r="Y74" s="259">
        <f>IF(W74="",0,MAX($Y$2:Y73)+1)</f>
        <v>0</v>
      </c>
      <c r="Z74" s="259" t="str">
        <f>IFERROR(INDEX($W$3:$Y$220,MATCH(ROWS($Z$2:Z73),$Y$3:$Y$220,0),1),"")</f>
        <v>14.03</v>
      </c>
      <c r="AA74" s="259" t="str">
        <f t="shared" si="222"/>
        <v>DEBITI COMMERCIALI DIVERSI</v>
      </c>
      <c r="AB74" s="259" t="str">
        <f t="shared" si="223"/>
        <v>F</v>
      </c>
      <c r="AC74" s="259" t="str">
        <f t="shared" si="224"/>
        <v>A</v>
      </c>
      <c r="AD74" s="259" t="str">
        <f t="shared" si="225"/>
        <v>DEBITI</v>
      </c>
      <c r="AE74" s="259" t="str">
        <f t="shared" si="226"/>
        <v>SP AVERE</v>
      </c>
      <c r="AF74" s="259" t="str">
        <f t="shared" si="227"/>
        <v>DEBITI COMMERCIALI</v>
      </c>
      <c r="AG74" s="259">
        <f t="shared" ca="1" si="228"/>
        <v>1</v>
      </c>
      <c r="AH74" s="259">
        <f t="shared" ca="1" si="229"/>
        <v>1</v>
      </c>
      <c r="AI74" s="259">
        <f t="shared" ca="1" si="230"/>
        <v>1</v>
      </c>
      <c r="AJ74" s="259" t="str">
        <f t="shared" si="231"/>
        <v>14</v>
      </c>
      <c r="AK74" s="259" t="str">
        <f t="shared" si="232"/>
        <v>12</v>
      </c>
      <c r="AL74" s="259">
        <f>IF(AK74&lt;&gt;"",MAX($AL$2:AL73)+1,0)</f>
        <v>11</v>
      </c>
      <c r="AM74" s="259" t="str">
        <f>IFERROR(INDEX($AK$3:$AL$220,MATCH(ROWS($AM$3:AM74),$AL$3:$AL$220,0),1),"")</f>
        <v/>
      </c>
      <c r="AN74" s="259" t="str">
        <f t="shared" si="233"/>
        <v/>
      </c>
      <c r="AO74" s="259" t="str">
        <f t="shared" si="234"/>
        <v/>
      </c>
      <c r="AP74" s="259" t="str">
        <f t="shared" si="235"/>
        <v>DEBITI COMMERCIALI</v>
      </c>
      <c r="AQ74" s="259">
        <f ca="1">IF(OR(AG74=0,AG74=""),0,MAX(AQ$2:AQ73)+1)</f>
        <v>34</v>
      </c>
      <c r="AR74" s="259">
        <f ca="1">IF(OR(AH74=0,AH74=""),0,MAX(AR$2:AR73)+1)</f>
        <v>52</v>
      </c>
      <c r="AS74" s="259">
        <f ca="1">IF(OR(AI74=0,AI74=""),0,MAX(AS$2:AS73)+1)</f>
        <v>70</v>
      </c>
      <c r="AT74" s="259" t="str">
        <f ca="1">IFERROR(INDEX($AD$3:$AS$220,MATCH(ROWS(AT$3:AT74),AQ$3:AQ$220,0),1),"")</f>
        <v>COSTI D'ESERCIZIO</v>
      </c>
      <c r="AU74" s="259" t="str">
        <f ca="1">IFERROR(INDEX($AD$3:$AS$220,MATCH(ROWS(AU$3:AU74),AR$3:AR$220,0),1),"")</f>
        <v>RETTIFICHE RICAVI D'ESERCIZIO</v>
      </c>
      <c r="AV74" s="259" t="str">
        <f ca="1">IFERROR(INDEX($AD$3:$AS$220,MATCH(ROWS(AV$3:AV74),AS$3:AS$220,0),1),"")</f>
        <v>DEBITI</v>
      </c>
      <c r="AW74" s="259" t="str">
        <f ca="1">IFERROR(INDEX($AP$3:$AS$220,MATCH(ROWS(AW$3:AW74),AQ$3:AQ$220,0),1),"")</f>
        <v>COSTI PER SERVIZI</v>
      </c>
      <c r="AX74" s="259" t="str">
        <f ca="1">IFERROR(INDEX($AP$3:$AS$220,MATCH(ROWS(AX$3:AX74),AR$3:AR$220,0),1),"")</f>
        <v>VALORE DELLA PRODUZIONE</v>
      </c>
      <c r="AY74" s="259" t="str">
        <f ca="1">IFERROR(INDEX($AP$3:$AS$220,MATCH(ROWS(AY$3:AY74),AS$3:AS$220,0),1),"")</f>
        <v>DEBITI COMMERCIALI</v>
      </c>
      <c r="AZ74" s="276" t="str">
        <f t="shared" ca="1" si="236"/>
        <v/>
      </c>
      <c r="BA74" s="259">
        <f t="shared" ca="1" si="184"/>
        <v>0</v>
      </c>
      <c r="BB74" s="259">
        <f ca="1">IFERROR(INDEX($FG$3:$FL$400,MATCH(ROWS($BB$3:BB74),$FL$3:$FL$400,0),1),0)</f>
        <v>0</v>
      </c>
      <c r="BC74" s="259" t="str">
        <f t="shared" ca="1" si="237"/>
        <v/>
      </c>
      <c r="BD74" s="259">
        <f ca="1">IFERROR(INDEX($FG$3:$FL$400,MATCH(ROWS($BD$3:BD74),$FL$3:$FL$400,0),4),0)</f>
        <v>0</v>
      </c>
      <c r="BE74" s="259">
        <f ca="1">IFERROR(INDEX($FG$3:$FL$400,MATCH(ROWS($BE$3:BE74),$FL$3:$FL$400,0),5),0)</f>
        <v>0</v>
      </c>
      <c r="BG74" s="259" t="str">
        <f t="shared" si="185"/>
        <v>DEBITI COMMERCIALI DIVERSI</v>
      </c>
      <c r="BH74" s="259">
        <f ca="1">IF(IFERROR(MATCH(BG74,DENOMINAZIONE_GIORNALE,0),0)&gt;0,MAX(BH$2:BH73)+1,0)</f>
        <v>0</v>
      </c>
      <c r="BI74" s="259" t="str">
        <f ca="1">IFERROR(INDEX($BG$3:$BH$220,MATCH(ROWS($BI$3:BI74),$BH$3:$BH$220,0),1),"")</f>
        <v/>
      </c>
      <c r="BJ74" s="259" t="str">
        <f t="shared" ca="1" si="186"/>
        <v/>
      </c>
      <c r="BK74" s="259" t="str">
        <f ca="1">IF(IF(BJ74&lt;&gt;"",MAX($BK$2:BK73)+1,0)=0,"",IF(BJ74&lt;&gt;"",MAX($BK$2:BK73)+1,0))</f>
        <v/>
      </c>
      <c r="BL74" s="259" t="str">
        <f ca="1">IFERROR(INDEX($T$3:$U$220, MATCH(ROWS(BL$3:BL74),$V$3:$V$220,0),1),"")</f>
        <v/>
      </c>
      <c r="BM74" s="259" t="str">
        <f ca="1">IFERROR(INDEX($T$3:$U$220, MATCH(ROWS(BM$3:BM74),$V$3:$V$220,0),2),"")</f>
        <v/>
      </c>
      <c r="BN74" s="259" t="str">
        <f ca="1">IF(IFERROR(INDEX($BI$3:$BJ$220,MATCH(ROWS(BN$3:BN74),$BK$3:$BK$220,0),1),"")="PATRIMONIO NETTO","",IFERROR(INDEX($BI$3:$BJ$220,MATCH(ROWS(BN$3:BN74),$BK$3:$BK$220,0),1),""))</f>
        <v/>
      </c>
      <c r="BO74" s="259" t="str">
        <f ca="1">IFERROR(INDEX($BI$3:$BJ$220,MATCH(ROWS(BO$3:BO74),$BK$3:$BK$220,0),2),"")</f>
        <v/>
      </c>
      <c r="BP74" s="259">
        <f ca="1">IF(BN74&lt;&gt;"",MAX(BP$2:$BP73)+1,0)</f>
        <v>0</v>
      </c>
      <c r="BQ74" s="259" t="str">
        <f ca="1">IFERROR(INDEX($BN$3:$BO$200,MATCH(ROWS(BQ$3:BQ74),$BP$3:$BP$220,0),1),"")</f>
        <v/>
      </c>
      <c r="BR74" s="259" t="str">
        <f ca="1">IFERROR(INDEX($BN$3:$BO$220,MATCH(ROWS(BR$3:BR74),$BP$3:$BP$220,0),2),"")</f>
        <v/>
      </c>
      <c r="BS74" s="259" t="str">
        <f ca="1">IFERROR(IF(OR(INDEX($T$3:$U$220,MATCH(ROWS(BL$3:BL74),$V$3:$V$220,0),1)="PRELEVAMENTI EXTRAGESTIONE",INDEX($T$3:$U$220,MATCH(ROWS(BL$3:BL74),$V$3:$V$220,0),1)="TITOLARE C/RITENUTE SUBITE"),"",INDEX($T$3:$U$220,MATCH(ROWS(BL$3:BL74),$V$3:$V$220,0),1)),"")</f>
        <v/>
      </c>
      <c r="BT74" s="259">
        <f t="shared" ca="1" si="238"/>
        <v>0</v>
      </c>
      <c r="BU74" s="259">
        <f ca="1">IF(BS74&lt;&gt;"",MAX(BU$2:BU73)+1,0)</f>
        <v>0</v>
      </c>
      <c r="BV74" s="259" t="str">
        <f ca="1">IFERROR(INDEX($BS$3:$BT$223,MATCH(ROWS(BV$3:BV74),$BU$3:$BU$223,0),1),"")</f>
        <v/>
      </c>
      <c r="BW74" s="259">
        <f t="shared" ca="1" si="239"/>
        <v>0</v>
      </c>
      <c r="BX74" s="259" t="str">
        <f t="shared" ca="1" si="240"/>
        <v/>
      </c>
      <c r="BY74" s="259" t="str">
        <f t="shared" ca="1" si="241"/>
        <v/>
      </c>
      <c r="BZ74" s="259" t="str">
        <f ca="1">IFERROR(IF(OR($DS$231&lt;&gt;$DT$231,$DU$231&lt;&gt;$DV$231,$EO$25&lt;&gt;0,$EO$26&lt;&gt;0),INDEX($T$3:$V$220,MATCH(ROWS($BV$3:BV74),$V$3:$V$220,0),1),CONCATENATE(BV74,BY74)),"")</f>
        <v/>
      </c>
      <c r="CA74" s="259">
        <f t="shared" ca="1" si="242"/>
        <v>0</v>
      </c>
      <c r="CB74" s="259" t="str">
        <f ca="1">IFERROR(IF(OR($BB$1&lt;&gt;$BD$1,$BC$1&lt;&gt;$BE$1,$DS$231&lt;&gt;$DT$231,$DU$231&lt;&gt;$DV$231,$EO$25&lt;&gt;0,$EO$26&lt;&gt;0),INDEX($BI$3:$BK$220,MATCH(ROWS($CB$3:CB74),$BK$3:$BK$220,0),1),CONCATENATE(BQ74,BX74)),"")</f>
        <v/>
      </c>
      <c r="CC74" s="259" t="str">
        <f t="shared" ca="1" si="243"/>
        <v/>
      </c>
      <c r="CD74" s="259" t="str">
        <f t="shared" si="187"/>
        <v/>
      </c>
      <c r="CE74" s="259">
        <f ca="1">IF(IFERROR(MATCH(CD74,DENOMINAZIONE_GIORNALE,0),0)&gt;0,MAX(CE$2:CE73)+1,0)</f>
        <v>0</v>
      </c>
      <c r="CF74" s="259" t="str">
        <f ca="1">IFERROR(INDEX($CD$3:$CE$220,MATCH(ROWS($CF$3:CF74),$CE$3:$CE$220,0),1),"")</f>
        <v/>
      </c>
      <c r="CG74" s="259">
        <f t="shared" ca="1" si="188"/>
        <v>0</v>
      </c>
      <c r="CH74" s="259" t="str">
        <f ca="1">IF(IF(CG74&lt;&gt;0,MAX($CH$2:CH73)+1,0)=0,"",IF(CG74&lt;&gt;"",MAX($CH$2:CH73)+1,0))</f>
        <v/>
      </c>
      <c r="CI74" s="259" t="str">
        <f ca="1">IFERROR(INDEX($CF$3:$CG$220,MATCH(ROWS($CI$3:CI74),$CH$3:$CH$220,0),1),"")</f>
        <v/>
      </c>
      <c r="CJ74" s="259" t="str">
        <f t="shared" ca="1" si="244"/>
        <v/>
      </c>
      <c r="CK74" s="259" t="str">
        <f t="shared" si="189"/>
        <v/>
      </c>
      <c r="CL74" s="259">
        <f ca="1">IF(IFERROR(MATCH(CK74,DENOMINAZIONE_GIORNALE,0),0)&gt;0,MAX(CL$2:CL73)+1,0)</f>
        <v>0</v>
      </c>
      <c r="CM74" s="259" t="str">
        <f ca="1">IFERROR(INDEX($CK$3:$CL$220,MATCH(ROWS($CM$3:CM74),$CL$3:$CL$220,0),1),"")</f>
        <v/>
      </c>
      <c r="CN74" s="259" t="str">
        <f t="shared" ca="1" si="190"/>
        <v/>
      </c>
      <c r="CO74" s="259">
        <f ca="1">IF(IF(CN74&lt;&gt;0,MAX($CO$2:CO73)+1,0)=0,"",IF(CN74&lt;&gt;"",MAX($CO$2:CO73)+1,0))</f>
        <v>0</v>
      </c>
      <c r="CP74" s="259" t="str">
        <f ca="1">IFERROR(INDEX($CM$3:$CN$220,MATCH(ROWS(CP$3:CP74),$CO$3:$CO$220,0),1),"")</f>
        <v/>
      </c>
      <c r="CQ74" s="259" t="str">
        <f ca="1">IFERROR(INDEX($CM$3:$CN$220,MATCH(ROWS(CQ$3:CQ74),$CO$3:$CO$220,0),2),"")</f>
        <v/>
      </c>
      <c r="CR74" s="259" t="str">
        <f t="shared" ca="1" si="191"/>
        <v/>
      </c>
      <c r="CS74" s="259">
        <f t="shared" ca="1" si="192"/>
        <v>0</v>
      </c>
      <c r="CT74" s="259">
        <f t="shared" ca="1" si="193"/>
        <v>0</v>
      </c>
      <c r="CU74" s="259">
        <f ca="1">IF(OR(CS74&gt;0,CT74&gt;0),MAX($CU$2:CU73)+1,0)</f>
        <v>0</v>
      </c>
      <c r="CV74" s="259" t="str">
        <f ca="1">IFERROR(INDEX(PIANO_DEI_CONTI,MATCH(ROWS($CV$3:CV74),$CU$3:$CU$200,0),2),"")</f>
        <v/>
      </c>
      <c r="CW74" s="259">
        <f ca="1">IFERROR(IF(CV74&lt;&gt;"",MAX($CW$2:CW73)+1,0),0)</f>
        <v>0</v>
      </c>
      <c r="CX74" s="259" t="str">
        <f>IFERROR(IF(CX56+1=1,"",(CX56+1)),"")</f>
        <v/>
      </c>
      <c r="CY74" s="259" t="str">
        <f t="shared" ca="1" si="308"/>
        <v>MASTRO</v>
      </c>
      <c r="DB74" s="259" t="str">
        <f t="shared" ref="DB74" ca="1" si="314">CY74</f>
        <v>MASTRO</v>
      </c>
      <c r="DF74" s="259">
        <f ca="1">IF(AND(CX74=$DE$2,$DF$2&lt;&gt;0),0,IF(AND(DB74&lt;&gt;"",OR(DB73&lt;&gt;"",DB75&lt;&gt;"")),MAX($DF$2:DF73)+1,0))</f>
        <v>0</v>
      </c>
      <c r="DG74" s="259" t="str">
        <f>IF(OR(VALORI_INIZIALI!E79="",AND(VALORI_INIZIALI!E79&lt;&gt;"",VALORI_INIZIALI!H79=0,VALORI_INIZIALI!I79=0)),"",IFERROR(INDEX(PIANO_DEI_CONTI,MATCH(BB74,DENOMINAZIONE,0),1),0))</f>
        <v/>
      </c>
      <c r="DH74" s="259">
        <f ca="1">IFERROR(IF($J$1=1,IF(INDEX(PIANO_DEI_CONTI,MATCH($K74,DENOMINAZIONE,0),5)=$DF$1,MAX($DH$2:DH73)+1,0),IF($J$1=2,IF(INDEX(PIANO_DEI_CONTI,MATCH($K74,DENOMINAZIONE,0),7)=$DF$1,MAX($DH$2:DH73)+1,0))),0)</f>
        <v>0</v>
      </c>
      <c r="DI74" s="259">
        <f ca="1">IFERROR(INDEX($K$3:$K$220,MATCH(ROWS($DI$3:DI74),$DH$3:$DH$220,0),1),0)</f>
        <v>0</v>
      </c>
      <c r="DJ74" s="259">
        <f t="shared" ca="1" si="194"/>
        <v>0</v>
      </c>
      <c r="DK74" s="259">
        <f ca="1">IF(DJ74=0,0,MAX(DK$2:DK73)+1)</f>
        <v>0</v>
      </c>
      <c r="DL74" s="259">
        <f ca="1">IFERROR(INDEX(PIANO_DEI_CONTI,MATCH(ROWS(DL$3:DL74),$DK$3:DK301,0),2),0)</f>
        <v>0</v>
      </c>
      <c r="DM74" s="259">
        <f t="shared" ca="1" si="195"/>
        <v>0</v>
      </c>
      <c r="DN74" s="259">
        <f t="shared" ca="1" si="196"/>
        <v>0</v>
      </c>
      <c r="DO74" s="259">
        <f t="shared" ca="1" si="245"/>
        <v>0</v>
      </c>
      <c r="DP74" s="259">
        <f t="shared" ca="1" si="246"/>
        <v>0</v>
      </c>
      <c r="DQ74" s="259">
        <f ca="1">IF(OR($DQ$1="TOTALI",$DQ$1="TOTALI ED ECCEDENZE"),IF(OR(DM74&gt;0,DN74&gt;0),MAX(DQ$2:DQ73)+1,0),IF($DQ$1="ECCEDENZE",IF(OR(DO74&gt;0,DP74&gt;0),MAX(DQ$2:DQ73)+1,0),""))</f>
        <v>0</v>
      </c>
      <c r="DR74" s="259" t="str">
        <f ca="1">IFERROR(INDEX($DL$3:$DQ$230,MATCH(ROWS(DR$3:DR74),$DQ$3:$DQ$230,0),1),"")</f>
        <v/>
      </c>
      <c r="DS74" s="259" t="str">
        <f t="shared" ca="1" si="247"/>
        <v/>
      </c>
      <c r="DT74" s="259" t="str">
        <f t="shared" ca="1" si="248"/>
        <v/>
      </c>
      <c r="DU74" s="259" t="str">
        <f t="shared" ca="1" si="249"/>
        <v/>
      </c>
      <c r="DV74" s="259" t="str">
        <f t="shared" ca="1" si="250"/>
        <v/>
      </c>
      <c r="DW74" s="259">
        <f t="shared" ca="1" si="251"/>
        <v>0</v>
      </c>
      <c r="DX74" s="259" t="str">
        <f t="shared" ca="1" si="252"/>
        <v/>
      </c>
      <c r="DY74" s="259" t="str">
        <f t="shared" ca="1" si="253"/>
        <v/>
      </c>
      <c r="DZ74" s="259" t="str">
        <f t="shared" ca="1" si="254"/>
        <v/>
      </c>
      <c r="EA74" s="259">
        <f t="shared" ca="1" si="255"/>
        <v>72</v>
      </c>
      <c r="EB74" s="259" t="s">
        <v>361</v>
      </c>
      <c r="ED74" s="259">
        <f t="shared" ca="1" si="197"/>
        <v>0</v>
      </c>
      <c r="EE74" s="259" t="str">
        <f t="shared" ca="1" si="198"/>
        <v/>
      </c>
      <c r="EF74" s="259" t="str">
        <f t="shared" ca="1" si="199"/>
        <v/>
      </c>
      <c r="EG74" s="259" t="str">
        <f t="shared" ca="1" si="309"/>
        <v/>
      </c>
      <c r="EH74" s="259" t="str">
        <f t="shared" ca="1" si="256"/>
        <v/>
      </c>
      <c r="EI74" s="260" t="b">
        <f t="shared" ca="1" si="310"/>
        <v>0</v>
      </c>
      <c r="EJ74" s="260" t="b">
        <f t="shared" ca="1" si="311"/>
        <v>0</v>
      </c>
      <c r="EK74" s="260" t="b">
        <f t="shared" ca="1" si="312"/>
        <v>0</v>
      </c>
      <c r="EL74" s="259">
        <f t="shared" si="257"/>
        <v>72</v>
      </c>
      <c r="EM74" s="259">
        <f ca="1">IF(AND(BA74&gt;0,BA74&lt;=$EM$1),MAX($EM$2:EM73)+1,0)</f>
        <v>0</v>
      </c>
      <c r="EN74" s="259">
        <f t="shared" ca="1" si="258"/>
        <v>74</v>
      </c>
      <c r="EP74" s="259" t="str">
        <f t="shared" ca="1" si="200"/>
        <v/>
      </c>
      <c r="EQ74" s="259">
        <f t="shared" ca="1" si="201"/>
        <v>0</v>
      </c>
      <c r="ER74" s="259">
        <f ca="1">IF(ISNA(EQ74),MAX(ER$2:ER73)+1,0)</f>
        <v>0</v>
      </c>
      <c r="ES74" s="259" t="str">
        <f t="shared" ca="1" si="259"/>
        <v/>
      </c>
      <c r="ET74" s="259" t="str">
        <f ca="1">IFERROR(UPPER(INDEX($ER$3:$ES$500,MATCH(ROWS(ET$3:ET74),$ER$3:$ER$500,0),2)),"")</f>
        <v/>
      </c>
      <c r="EY74" s="259">
        <f t="shared" ca="1" si="260"/>
        <v>0</v>
      </c>
      <c r="EZ74" s="259">
        <f t="shared" ca="1" si="260"/>
        <v>0</v>
      </c>
      <c r="FA74" s="259" t="str">
        <f t="shared" ca="1" si="261"/>
        <v/>
      </c>
      <c r="FB74" s="259">
        <f t="shared" ca="1" si="262"/>
        <v>0</v>
      </c>
      <c r="FC74" s="259">
        <f t="shared" ca="1" si="263"/>
        <v>0</v>
      </c>
      <c r="FD74" s="259">
        <f t="shared" ca="1" si="202"/>
        <v>0</v>
      </c>
      <c r="FE74" s="259" t="str">
        <f t="shared" ca="1" si="203"/>
        <v/>
      </c>
      <c r="FF74" s="259" t="str">
        <f t="shared" ca="1" si="264"/>
        <v/>
      </c>
      <c r="FG74" s="259" t="str">
        <f t="shared" si="265"/>
        <v>DEBITI COMMERCIALI DIVERSI</v>
      </c>
      <c r="FH74" s="259">
        <f t="shared" ca="1" si="156"/>
        <v>0</v>
      </c>
      <c r="FI74" s="259">
        <f t="shared" ca="1" si="204"/>
        <v>0</v>
      </c>
      <c r="FJ74" s="259">
        <f t="shared" ca="1" si="266"/>
        <v>0</v>
      </c>
      <c r="FK74" s="259">
        <f t="shared" ca="1" si="267"/>
        <v>0</v>
      </c>
      <c r="FL74" s="259">
        <f ca="1">IF(OR(FJ74&gt;0,FK74&gt;0),MAX($FL$2:FL73)+1,0)</f>
        <v>0</v>
      </c>
      <c r="FM74" s="259">
        <f t="shared" ca="1" si="205"/>
        <v>0</v>
      </c>
      <c r="FN74" s="259">
        <f ca="1">IF(FM74&lt;0,MAX($FN$2:FN73)+1,0)</f>
        <v>0</v>
      </c>
      <c r="FO74" s="259" t="str">
        <f t="shared" ca="1" si="268"/>
        <v/>
      </c>
      <c r="FP74" s="259" t="str">
        <f ca="1">IFERROR(INDEX($FN$3:$FO$400,MATCH(ROWS($FP$3:FP74),$FN$3:$FN$400,0),2),"")</f>
        <v/>
      </c>
      <c r="FQ74" s="259" t="str">
        <f>IF(AE74="SE AVERE",MAX($FQ$2:FQ73)+1,"")</f>
        <v/>
      </c>
      <c r="FR74" s="259" t="str">
        <f>IF(AE74="SE DARE",MAX($FR$2:FR73)+1,"")</f>
        <v/>
      </c>
      <c r="FS74" s="259" t="str">
        <f ca="1">IF(AND(AE74="SP DARE",AA74&lt;&gt;$FS$1,AA74&lt;&gt;$FT$1),MAX($FS$2:FS73)+1,IF(AND(GQ74="SP DARE",AA74&lt;&gt;$FS$1,AA74&lt;&gt;$FT$1),MAX($FS$2:FS73)+1,""))</f>
        <v/>
      </c>
      <c r="FT74" s="259">
        <f ca="1">IF(AND(AE74="SP AVERE",AA74&lt;&gt;$FU$1),MAX($FT$2:FT73)+1,IF(AND(GQ74="SP AVERE",AA74&lt;&gt;$FU$1),MAX($FT$2:FT73)+1,""))</f>
        <v>156</v>
      </c>
      <c r="FU74" s="259">
        <f t="shared" ca="1" si="269"/>
        <v>156</v>
      </c>
      <c r="FV74" s="259" t="str">
        <f t="shared" si="270"/>
        <v>DEBITI COMMERCIALI DIVERSI</v>
      </c>
      <c r="FW74" s="259" t="str">
        <f ca="1">IFERROR(INDEX($FU$3:$FV$500,MATCH(ROWS($FW$3:FW74),$FU$3:$FU$500,0),2),0)</f>
        <v>INTERESSI PASSIVI A FORNITORI</v>
      </c>
      <c r="FX74" s="259">
        <f t="shared" ca="1" si="271"/>
        <v>72</v>
      </c>
      <c r="FY74" s="259">
        <f t="shared" ca="1" si="272"/>
        <v>0</v>
      </c>
      <c r="FZ74" s="259">
        <f ca="1">IF(FY74&gt;0,MAX($FZ$2:FZ73)+1,0)</f>
        <v>0</v>
      </c>
      <c r="GA74" s="259">
        <f ca="1">IFERROR(INDEX($FY$3:$FZ$500,MATCH(ROWS($GA$3:GA74),$FZ$3:$FZ$500,0),1),0)</f>
        <v>0</v>
      </c>
      <c r="GC74" s="259">
        <f t="shared" ca="1" si="273"/>
        <v>72</v>
      </c>
      <c r="GD74" s="259" t="str">
        <f t="shared" ca="1" si="274"/>
        <v>INTERESSI PASSIVI A FORNITORI</v>
      </c>
      <c r="GG74" s="259">
        <f t="shared" ca="1" si="275"/>
        <v>0</v>
      </c>
      <c r="GH74" s="259">
        <f t="shared" ca="1" si="276"/>
        <v>0</v>
      </c>
      <c r="GI74" s="259">
        <f t="shared" ca="1" si="277"/>
        <v>0</v>
      </c>
      <c r="GJ74" s="259">
        <f t="shared" ca="1" si="278"/>
        <v>0</v>
      </c>
      <c r="GK74" s="259">
        <f t="shared" ca="1" si="279"/>
        <v>0</v>
      </c>
      <c r="GL74" s="259">
        <f t="shared" ca="1" si="280"/>
        <v>0</v>
      </c>
      <c r="GM74" s="259">
        <f ca="1">IF(OR(GK74&gt;0,GL74&gt;0),MAX($GM$2:GM73)+1,0)</f>
        <v>0</v>
      </c>
      <c r="GN74" s="259" t="str">
        <f ca="1">IFERROR(INDEX($GD$3:$GM$400,MATCH(ROWS($GN$3:GN74),$GM$3:$GM$400,0),1),"")</f>
        <v/>
      </c>
      <c r="GO74" s="259" t="str">
        <f ca="1">IFERROR(INDEX($GD$3:$GM$400,MATCH(ROWS($GO$3:GO74),$GM$3:$GM$400,0),8),"")</f>
        <v/>
      </c>
      <c r="GP74" s="259" t="str">
        <f ca="1">IFERROR(INDEX($GD$3:$GM$400,MATCH(ROWS($GP$3:GP74),$GM$3:$GM$400,0),9),"")</f>
        <v/>
      </c>
      <c r="GQ74" s="259">
        <f t="shared" ca="1" si="206"/>
        <v>0</v>
      </c>
      <c r="GR74" s="259">
        <f t="shared" ca="1" si="281"/>
        <v>0</v>
      </c>
      <c r="GS74" s="259" t="str">
        <f t="shared" si="282"/>
        <v>epilogo a Conto economico</v>
      </c>
      <c r="GT74" s="259" t="str">
        <f ca="1">IFERROR(INDEX($GD$3:$GS$400,MATCH(ROWS($GT$3:GT74),$GM$3:$GM$400,0),16),"")</f>
        <v/>
      </c>
      <c r="GU74" s="259">
        <f ca="1">IF(GQ74&lt;&gt;0,MAX($GU$2:$GU73)+1,0)</f>
        <v>0</v>
      </c>
      <c r="GV74" s="259">
        <f t="shared" ca="1" si="283"/>
        <v>0</v>
      </c>
      <c r="GW74" s="259" t="str">
        <f ca="1">IF(AND(IFERROR(INDEX($GU$3:$GV$400,MATCH(ROWS($GW$3:GW74),$GU$3:$GU$400,0),2),"")&lt;&gt;"",GW75&lt;&gt;""),CONCATENATE(IFERROR(INDEX($GU$3:$GV$400,MATCH(ROWS($GW$3:GW74),$GU$3:$GU$400,0),2),"")," - "),IFERROR(INDEX($GU$3:$GV$400,MATCH(ROWS($GW$3:GW74),$GU$3:$GU$400,0),2),""))</f>
        <v/>
      </c>
      <c r="GX74" s="259">
        <f ca="1">IF(OR(GN74="IVA NS/CREDITO",GN74="IVA NS/DEBITO",GN74="IVA C/ACCONTO",GN74="IMPOSTE C/ACCONTO"),MAX($GX$2:GX73)+1,0)</f>
        <v>0</v>
      </c>
      <c r="GY74" s="259" t="str">
        <f ca="1">IF(AND(IFERROR(INDEX($GN$3:$GX$200,MATCH(ROWS($GY$3:GY74),$GX$3:$GX$200,0),1),"")&lt;&gt;"",GY75&lt;&gt;""),CONCATENATE(IFERROR(INDEX($GN$3:$GX$200,MATCH(ROWS($GY$3:GY74),$GX$3:$GX$200,0),1),"")," - "),IFERROR(INDEX($GN$3:$GX$200,MATCH(ROWS($GY$3:GY74),$GX$3:$GX$200,0),1),""))</f>
        <v/>
      </c>
      <c r="GZ74" s="259" t="s">
        <v>97</v>
      </c>
      <c r="HA74" s="270" t="s">
        <v>523</v>
      </c>
      <c r="HL74" s="259" t="str">
        <f t="shared" ca="1" si="207"/>
        <v/>
      </c>
      <c r="HM74" s="259" t="str">
        <f t="shared" ca="1" si="208"/>
        <v/>
      </c>
      <c r="HN74" s="259" t="str">
        <f t="shared" ca="1" si="209"/>
        <v/>
      </c>
      <c r="HO74" s="259">
        <f ca="1">IF(HL74&lt;&gt;"",MAX($HO$2:HO73)+1,0)</f>
        <v>0</v>
      </c>
      <c r="HP74" s="259">
        <f ca="1">IF(HM74&lt;&gt;"",MAX($HP$2:HP73)+1,0)</f>
        <v>0</v>
      </c>
      <c r="HQ74" s="259">
        <f ca="1">IF(HN74&lt;&gt;"",MAX($HQ$2:HQ73)+1,0)</f>
        <v>0</v>
      </c>
      <c r="HR74" s="259" t="str">
        <f t="shared" ca="1" si="284"/>
        <v/>
      </c>
      <c r="HS74" s="259" t="str">
        <f t="shared" ca="1" si="285"/>
        <v/>
      </c>
      <c r="HT74" s="259">
        <f t="shared" ca="1" si="286"/>
        <v>0</v>
      </c>
      <c r="HU74" s="259">
        <f t="shared" ca="1" si="287"/>
        <v>0</v>
      </c>
      <c r="HV74" s="259" t="str">
        <f ca="1">CONCATENATE(IFERROR(INDEX($HS$3:$HT$102,MATCH(ROWS($HV$3:HV74),$HT$3:$HT$102,0),1),""),HR74)</f>
        <v/>
      </c>
      <c r="IA74" s="259" t="s">
        <v>389</v>
      </c>
      <c r="IB74" s="259" t="s">
        <v>333</v>
      </c>
      <c r="IC74" s="259">
        <f ca="1">IFERROR(INDEX(PIANO_DEI_CONTI,MATCH(ROWS(DL$3:DL74),$DK$3:DK301,0),2),0)</f>
        <v>0</v>
      </c>
      <c r="ID74" s="259">
        <f t="shared" ca="1" si="288"/>
        <v>0</v>
      </c>
      <c r="IE74" s="259">
        <f t="shared" ca="1" si="289"/>
        <v>0</v>
      </c>
      <c r="IF74" s="259">
        <f t="shared" ca="1" si="290"/>
        <v>0</v>
      </c>
      <c r="IG74" s="259">
        <f ca="1">ROUND(SUMIFS($IE$3:$IE$200,$IF$3:$IF$200,IA74),0)</f>
        <v>0</v>
      </c>
      <c r="IH74" s="259">
        <f ca="1">IF(IG74&lt;&gt;0,MAX($IH$35:IH73)+1,0)</f>
        <v>0</v>
      </c>
      <c r="II74" s="259">
        <f>IF(AD74="costi pluriennali",MAX($II$2:II73)+1,0)</f>
        <v>0</v>
      </c>
      <c r="IJ74" s="259">
        <f>IF($AD74="rettifiche costi pluriennali",MAX($IJ$2:IJ73)+1,0)</f>
        <v>0</v>
      </c>
      <c r="IK74" s="259">
        <f t="shared" si="291"/>
        <v>0</v>
      </c>
      <c r="IL74" s="259" t="str">
        <f t="shared" si="292"/>
        <v/>
      </c>
      <c r="IM74" s="259">
        <f t="shared" ca="1" si="293"/>
        <v>0</v>
      </c>
      <c r="IN74" s="259">
        <f t="shared" ca="1" si="313"/>
        <v>0</v>
      </c>
      <c r="IO74" s="259">
        <f>SUMIFS($IM$3:$IM$200,$IK$3:$IK$200,ROWS($IO$3:IO74))-SUMIFS($IN$3:$IN$200,$IK$3:$IK$200,ROWS($IO$3:IO74))</f>
        <v>0</v>
      </c>
      <c r="IP74" s="259" t="str">
        <f>IF(IO74&lt;0,INDEX($IJ$3:$IL$200,MATCH(ROWS($IP$3:IP74),$IJ$3:$IJ$200,0),3),"")</f>
        <v/>
      </c>
      <c r="IQ74" s="259">
        <f>IF(IP74&lt;&gt;"",MAX($IQ$2:IQ73)+1,0)</f>
        <v>0</v>
      </c>
      <c r="IR74" s="259" t="str">
        <f ca="1">IFERROR(INDEX($IP$3:$IQ$200,MATCH(ROWS($IR$3:IR74),$IQ$3:$IQ$200,0),1),"")</f>
        <v/>
      </c>
      <c r="IS74" s="259" t="str">
        <f t="shared" ca="1" si="294"/>
        <v/>
      </c>
      <c r="IT74" s="259" t="str">
        <f t="shared" ca="1" si="295"/>
        <v/>
      </c>
      <c r="IU74" s="259" t="str">
        <f t="shared" ca="1" si="296"/>
        <v/>
      </c>
      <c r="IV74" s="259" t="str">
        <f t="shared" ca="1" si="297"/>
        <v/>
      </c>
      <c r="IW74" s="259" t="str">
        <f t="shared" ca="1" si="298"/>
        <v/>
      </c>
      <c r="IX74" s="259" t="str">
        <f t="shared" ca="1" si="299"/>
        <v/>
      </c>
      <c r="IY74" s="259" t="str">
        <f t="shared" ca="1" si="300"/>
        <v/>
      </c>
      <c r="IZ74" s="259" t="str">
        <f t="shared" ca="1" si="301"/>
        <v/>
      </c>
      <c r="JA74" s="259" t="str">
        <f t="shared" ca="1" si="302"/>
        <v/>
      </c>
      <c r="JB74" s="259">
        <f t="shared" ca="1" si="210"/>
        <v>0</v>
      </c>
      <c r="JC74" s="259">
        <f t="shared" ca="1" si="303"/>
        <v>0</v>
      </c>
      <c r="JE74" s="259">
        <f ca="1">IFERROR(INDEX(LIBRO_GIORNALE!$N$11:$O$408,MATCH(ROWS($JE$2:JE73),LIBRO_GIORNALE!$O$11:$O$408,0),1),0)</f>
        <v>0</v>
      </c>
      <c r="JF74" s="259" t="str">
        <f t="shared" ca="1" si="304"/>
        <v>0</v>
      </c>
      <c r="JG74" s="259">
        <f t="shared" ca="1" si="305"/>
        <v>0</v>
      </c>
      <c r="JH74" s="259">
        <f ca="1">IF(JJ74&gt;0,0,MAX($JH$2:JH73)+1)</f>
        <v>72</v>
      </c>
      <c r="JI74" s="259">
        <f ca="1">IF(JG74&gt;0,MAX($JI$2:JI73)+1,0)</f>
        <v>0</v>
      </c>
      <c r="JJ74" s="259">
        <f ca="1">IFERROR(INDEX($JG$3:$JI$124,MATCH(ROWS($JJ$3:JJ74),$JI$3:$JI$124,0),1),0)</f>
        <v>0</v>
      </c>
      <c r="JK74" s="259">
        <f t="shared" ca="1" si="306"/>
        <v>0</v>
      </c>
      <c r="JL74" s="259">
        <f t="shared" ca="1" si="307"/>
        <v>72</v>
      </c>
    </row>
    <row r="75" spans="1:272">
      <c r="A75" s="259" t="str">
        <f t="shared" si="211"/>
        <v>12.01</v>
      </c>
      <c r="B75" s="259" t="str">
        <f t="shared" si="212"/>
        <v>DEBITI PER TFR</v>
      </c>
      <c r="C75" s="259" t="str">
        <f t="shared" si="213"/>
        <v>F</v>
      </c>
      <c r="D75" s="259" t="str">
        <f t="shared" si="214"/>
        <v>A</v>
      </c>
      <c r="E75" s="259" t="str">
        <f t="shared" si="215"/>
        <v>DEBITI</v>
      </c>
      <c r="F75" s="259" t="str">
        <f t="shared" si="216"/>
        <v>SP AVERE</v>
      </c>
      <c r="G75" s="259">
        <f t="shared" ca="1" si="217"/>
        <v>0</v>
      </c>
      <c r="H75" s="259">
        <f t="shared" ca="1" si="218"/>
        <v>0</v>
      </c>
      <c r="I75" s="259">
        <f t="shared" ca="1" si="219"/>
        <v>1</v>
      </c>
      <c r="K75" s="259" t="str">
        <f ca="1">IFERROR(IF($I$1=1,INDEX($AA$3:$AS$220,MATCH(ROWS($K$3:K75),$AQ$3:$AQ$220,0),1),IF($I$1=2,INDEX($AA$3:$AS$220,MATCH(ROWS($K$3:K75),$AR$3:$AR$220,0),1),IF($I$1=3,INDEX($AA$3:$AS$220,MATCH(ROWS($K$3:K75),$AS$3:$AS$220,0),1),""))),"")</f>
        <v>DEBITI PER ACCONTI A FORNITORI</v>
      </c>
      <c r="L75" s="259">
        <f ca="1">IF(AND($L$1="VISUALIZZA TUTTI I CONTI",K75&lt;&gt;""),MAX(L74:L74)+1,IFERROR(IF($J$1=1,IF(INDEX(PIANO_DEI_CONTI,MATCH($K75,DENOMINAZIONE,0),5)=$L$1,MAX($L$2:L74)+1,0),IF($J$1=2,IF(INDEX(PIANO_DEI_CONTI,MATCH($K75,DENOMINAZIONE,0),7)=$L$1,MAX($L$2:L74)+1,0))),0))</f>
        <v>73</v>
      </c>
      <c r="M75" s="259" t="str">
        <f ca="1">IFERROR(INDEX($K$3:$K$220,MATCH(ROWS($M$3:M75),$L$3:$L$220,0),1),"")</f>
        <v>DEBITI PER ACCONTI A FORNITORI</v>
      </c>
      <c r="Q75" s="259" t="str">
        <f ca="1">IF(IFERROR(INDEX($O$3:$P$220,MATCH(ROWS(Q$3:Q75),$P$3:$P$220,0),1),"")=0,"",IFERROR(INDEX($O$3:$P$220,MATCH(ROWS(Q$3:Q75),$P$3:$P$220,0),1),""))</f>
        <v/>
      </c>
      <c r="R75" s="259" t="str">
        <f t="shared" si="182"/>
        <v/>
      </c>
      <c r="S75" s="259">
        <f ca="1">IF(IFERROR(MATCH(R75,DENOMINAZIONE_GIORNALE,0),0)&gt;0,MAX(S$2:S74)+1,0)</f>
        <v>0</v>
      </c>
      <c r="T75" s="259" t="str">
        <f ca="1">IFERROR(INDEX($R$3:$S$220,MATCH(ROWS($T$3:T75),$S$3:$S$220,0),1),"")</f>
        <v/>
      </c>
      <c r="U75" s="259">
        <f t="shared" ca="1" si="183"/>
        <v>0</v>
      </c>
      <c r="V75" s="259">
        <f ca="1">IF(IF(U75&lt;&gt;0,MAX($V$2:V74)+1,0)=0,0,IF(U75&lt;&gt;0,MAX($V$2:V74)+1,0))</f>
        <v>0</v>
      </c>
      <c r="W75" s="259" t="str">
        <f t="shared" si="220"/>
        <v>12.01</v>
      </c>
      <c r="X75" s="259" t="str">
        <f t="shared" si="221"/>
        <v>DEBITI PER TFR</v>
      </c>
      <c r="Y75" s="259">
        <f>IF(W75="",0,MAX($Y$2:Y74)+1)</f>
        <v>62</v>
      </c>
      <c r="Z75" s="259" t="str">
        <f>IFERROR(INDEX($W$3:$Y$220,MATCH(ROWS($Z$2:Z74),$Y$3:$Y$220,0),1),"")</f>
        <v>14.06</v>
      </c>
      <c r="AA75" s="259" t="str">
        <f t="shared" si="222"/>
        <v>CAMBIALI PASSIVE</v>
      </c>
      <c r="AB75" s="259" t="str">
        <f t="shared" si="223"/>
        <v>F</v>
      </c>
      <c r="AC75" s="259" t="str">
        <f t="shared" si="224"/>
        <v>A</v>
      </c>
      <c r="AD75" s="259" t="str">
        <f t="shared" si="225"/>
        <v>DEBITI</v>
      </c>
      <c r="AE75" s="259" t="str">
        <f t="shared" si="226"/>
        <v>SP AVERE</v>
      </c>
      <c r="AF75" s="259" t="str">
        <f t="shared" si="227"/>
        <v>DEBITI COMMERCIALI</v>
      </c>
      <c r="AG75" s="259">
        <f t="shared" ca="1" si="228"/>
        <v>1</v>
      </c>
      <c r="AH75" s="259">
        <f t="shared" ca="1" si="229"/>
        <v>1</v>
      </c>
      <c r="AI75" s="259">
        <f t="shared" ca="1" si="230"/>
        <v>1</v>
      </c>
      <c r="AJ75" s="259" t="str">
        <f t="shared" si="231"/>
        <v>14</v>
      </c>
      <c r="AK75" s="259" t="str">
        <f t="shared" si="232"/>
        <v/>
      </c>
      <c r="AL75" s="259">
        <f>IF(AK75&lt;&gt;"",MAX($AL$2:AL74)+1,0)</f>
        <v>0</v>
      </c>
      <c r="AM75" s="259" t="str">
        <f>IFERROR(INDEX($AK$3:$AL$220,MATCH(ROWS($AM$3:AM75),$AL$3:$AL$220,0),1),"")</f>
        <v/>
      </c>
      <c r="AN75" s="259" t="str">
        <f t="shared" si="233"/>
        <v/>
      </c>
      <c r="AO75" s="259" t="str">
        <f t="shared" si="234"/>
        <v/>
      </c>
      <c r="AP75" s="259" t="str">
        <f t="shared" si="235"/>
        <v>DEBITI COMMERCIALI</v>
      </c>
      <c r="AQ75" s="259">
        <f ca="1">IF(OR(AG75=0,AG75=""),0,MAX(AQ$2:AQ74)+1)</f>
        <v>35</v>
      </c>
      <c r="AR75" s="259">
        <f ca="1">IF(OR(AH75=0,AH75=""),0,MAX(AR$2:AR74)+1)</f>
        <v>53</v>
      </c>
      <c r="AS75" s="259">
        <f ca="1">IF(OR(AI75=0,AI75=""),0,MAX(AS$2:AS74)+1)</f>
        <v>71</v>
      </c>
      <c r="AT75" s="259" t="str">
        <f ca="1">IFERROR(INDEX($AD$3:$AS$220,MATCH(ROWS(AT$3:AT75),AQ$3:AQ$220,0),1),"")</f>
        <v>COSTI D'ESERCIZIO</v>
      </c>
      <c r="AU75" s="259" t="str">
        <f ca="1">IFERROR(INDEX($AD$3:$AS$220,MATCH(ROWS(AU$3:AU75),AR$3:AR$220,0),1),"")</f>
        <v>RETTIFICHE RICAVI D'ESERCIZIO</v>
      </c>
      <c r="AV75" s="259" t="str">
        <f ca="1">IFERROR(INDEX($AD$3:$AS$220,MATCH(ROWS(AV$3:AV75),AS$3:AS$220,0),1),"")</f>
        <v>DEBITI</v>
      </c>
      <c r="AW75" s="259" t="str">
        <f ca="1">IFERROR(INDEX($AP$3:$AS$220,MATCH(ROWS(AW$3:AW75),AQ$3:AQ$220,0),1),"")</f>
        <v>COSTI PER SERVIZI</v>
      </c>
      <c r="AX75" s="259" t="str">
        <f ca="1">IFERROR(INDEX($AP$3:$AS$220,MATCH(ROWS(AX$3:AX75),AR$3:AR$220,0),1),"")</f>
        <v>VALORE DELLA PRODUZIONE</v>
      </c>
      <c r="AY75" s="259" t="str">
        <f ca="1">IFERROR(INDEX($AP$3:$AS$220,MATCH(ROWS(AY$3:AY75),AS$3:AS$220,0),1),"")</f>
        <v>DEBITI COMMERCIALI</v>
      </c>
      <c r="AZ75" s="276" t="str">
        <f t="shared" ca="1" si="236"/>
        <v/>
      </c>
      <c r="BA75" s="259">
        <f t="shared" ca="1" si="184"/>
        <v>0</v>
      </c>
      <c r="BB75" s="259">
        <f ca="1">IFERROR(INDEX($FG$3:$FL$400,MATCH(ROWS($BB$3:BB75),$FL$3:$FL$400,0),1),0)</f>
        <v>0</v>
      </c>
      <c r="BC75" s="259" t="str">
        <f t="shared" ca="1" si="237"/>
        <v/>
      </c>
      <c r="BD75" s="259">
        <f ca="1">IFERROR(INDEX($FG$3:$FL$400,MATCH(ROWS($BD$3:BD75),$FL$3:$FL$400,0),4),0)</f>
        <v>0</v>
      </c>
      <c r="BE75" s="259">
        <f ca="1">IFERROR(INDEX($FG$3:$FL$400,MATCH(ROWS($BE$3:BE75),$FL$3:$FL$400,0),5),0)</f>
        <v>0</v>
      </c>
      <c r="BG75" s="259" t="str">
        <f t="shared" si="185"/>
        <v>CAMBIALI PASSIVE</v>
      </c>
      <c r="BH75" s="259">
        <f ca="1">IF(IFERROR(MATCH(BG75,DENOMINAZIONE_GIORNALE,0),0)&gt;0,MAX(BH$2:BH74)+1,0)</f>
        <v>0</v>
      </c>
      <c r="BI75" s="259" t="str">
        <f ca="1">IFERROR(INDEX($BG$3:$BH$220,MATCH(ROWS($BI$3:BI75),$BH$3:$BH$220,0),1),"")</f>
        <v/>
      </c>
      <c r="BJ75" s="259" t="str">
        <f t="shared" ca="1" si="186"/>
        <v/>
      </c>
      <c r="BK75" s="259" t="str">
        <f ca="1">IF(IF(BJ75&lt;&gt;"",MAX($BK$2:BK74)+1,0)=0,"",IF(BJ75&lt;&gt;"",MAX($BK$2:BK74)+1,0))</f>
        <v/>
      </c>
      <c r="BL75" s="259" t="str">
        <f ca="1">IFERROR(INDEX($T$3:$U$220, MATCH(ROWS(BL$3:BL75),$V$3:$V$220,0),1),"")</f>
        <v/>
      </c>
      <c r="BM75" s="259" t="str">
        <f ca="1">IFERROR(INDEX($T$3:$U$220, MATCH(ROWS(BM$3:BM75),$V$3:$V$220,0),2),"")</f>
        <v/>
      </c>
      <c r="BN75" s="259" t="str">
        <f ca="1">IF(IFERROR(INDEX($BI$3:$BJ$220,MATCH(ROWS(BN$3:BN75),$BK$3:$BK$220,0),1),"")="PATRIMONIO NETTO","",IFERROR(INDEX($BI$3:$BJ$220,MATCH(ROWS(BN$3:BN75),$BK$3:$BK$220,0),1),""))</f>
        <v/>
      </c>
      <c r="BO75" s="259" t="str">
        <f ca="1">IFERROR(INDEX($BI$3:$BJ$220,MATCH(ROWS(BO$3:BO75),$BK$3:$BK$220,0),2),"")</f>
        <v/>
      </c>
      <c r="BP75" s="259">
        <f ca="1">IF(BN75&lt;&gt;"",MAX(BP$2:$BP74)+1,0)</f>
        <v>0</v>
      </c>
      <c r="BQ75" s="259" t="str">
        <f ca="1">IFERROR(INDEX($BN$3:$BO$200,MATCH(ROWS(BQ$3:BQ75),$BP$3:$BP$220,0),1),"")</f>
        <v/>
      </c>
      <c r="BR75" s="259" t="str">
        <f ca="1">IFERROR(INDEX($BN$3:$BO$220,MATCH(ROWS(BR$3:BR75),$BP$3:$BP$220,0),2),"")</f>
        <v/>
      </c>
      <c r="BS75" s="259" t="str">
        <f ca="1">IFERROR(IF(OR(INDEX($T$3:$U$220,MATCH(ROWS(BL$3:BL75),$V$3:$V$220,0),1)="PRELEVAMENTI EXTRAGESTIONE",INDEX($T$3:$U$220,MATCH(ROWS(BL$3:BL75),$V$3:$V$220,0),1)="TITOLARE C/RITENUTE SUBITE"),"",INDEX($T$3:$U$220,MATCH(ROWS(BL$3:BL75),$V$3:$V$220,0),1)),"")</f>
        <v/>
      </c>
      <c r="BT75" s="259">
        <f t="shared" ca="1" si="238"/>
        <v>0</v>
      </c>
      <c r="BU75" s="259">
        <f ca="1">IF(BS75&lt;&gt;"",MAX(BU$2:BU74)+1,0)</f>
        <v>0</v>
      </c>
      <c r="BV75" s="259" t="str">
        <f ca="1">IFERROR(INDEX($BS$3:$BT$223,MATCH(ROWS(BV$3:BV75),$BU$3:$BU$223,0),1),"")</f>
        <v/>
      </c>
      <c r="BW75" s="259">
        <f t="shared" ca="1" si="239"/>
        <v>0</v>
      </c>
      <c r="BX75" s="259" t="str">
        <f t="shared" ca="1" si="240"/>
        <v/>
      </c>
      <c r="BY75" s="259" t="str">
        <f t="shared" ca="1" si="241"/>
        <v/>
      </c>
      <c r="BZ75" s="259" t="str">
        <f ca="1">IFERROR(IF(OR($DS$231&lt;&gt;$DT$231,$DU$231&lt;&gt;$DV$231,$EO$25&lt;&gt;0,$EO$26&lt;&gt;0),INDEX($T$3:$V$220,MATCH(ROWS($BV$3:BV75),$V$3:$V$220,0),1),CONCATENATE(BV75,BY75)),"")</f>
        <v/>
      </c>
      <c r="CA75" s="259">
        <f t="shared" ca="1" si="242"/>
        <v>0</v>
      </c>
      <c r="CB75" s="259" t="str">
        <f ca="1">IFERROR(IF(OR($BB$1&lt;&gt;$BD$1,$BC$1&lt;&gt;$BE$1,$DS$231&lt;&gt;$DT$231,$DU$231&lt;&gt;$DV$231,$EO$25&lt;&gt;0,$EO$26&lt;&gt;0),INDEX($BI$3:$BK$220,MATCH(ROWS($CB$3:CB75),$BK$3:$BK$220,0),1),CONCATENATE(BQ75,BX75)),"")</f>
        <v/>
      </c>
      <c r="CC75" s="259" t="str">
        <f t="shared" ca="1" si="243"/>
        <v/>
      </c>
      <c r="CD75" s="259" t="str">
        <f t="shared" si="187"/>
        <v/>
      </c>
      <c r="CE75" s="259">
        <f ca="1">IF(IFERROR(MATCH(CD75,DENOMINAZIONE_GIORNALE,0),0)&gt;0,MAX(CE$2:CE74)+1,0)</f>
        <v>0</v>
      </c>
      <c r="CF75" s="259" t="str">
        <f ca="1">IFERROR(INDEX($CD$3:$CE$220,MATCH(ROWS($CF$3:CF75),$CE$3:$CE$220,0),1),"")</f>
        <v/>
      </c>
      <c r="CG75" s="259">
        <f t="shared" ca="1" si="188"/>
        <v>0</v>
      </c>
      <c r="CH75" s="259" t="str">
        <f ca="1">IF(IF(CG75&lt;&gt;0,MAX($CH$2:CH74)+1,0)=0,"",IF(CG75&lt;&gt;"",MAX($CH$2:CH74)+1,0))</f>
        <v/>
      </c>
      <c r="CI75" s="259" t="str">
        <f ca="1">IFERROR(INDEX($CF$3:$CG$220,MATCH(ROWS($CI$3:CI75),$CH$3:$CH$220,0),1),"")</f>
        <v/>
      </c>
      <c r="CJ75" s="259" t="str">
        <f t="shared" ca="1" si="244"/>
        <v/>
      </c>
      <c r="CK75" s="259" t="str">
        <f t="shared" si="189"/>
        <v/>
      </c>
      <c r="CL75" s="259">
        <f ca="1">IF(IFERROR(MATCH(CK75,DENOMINAZIONE_GIORNALE,0),0)&gt;0,MAX(CL$2:CL74)+1,0)</f>
        <v>0</v>
      </c>
      <c r="CM75" s="259" t="str">
        <f ca="1">IFERROR(INDEX($CK$3:$CL$220,MATCH(ROWS($CM$3:CM75),$CL$3:$CL$220,0),1),"")</f>
        <v/>
      </c>
      <c r="CN75" s="259" t="str">
        <f t="shared" ca="1" si="190"/>
        <v/>
      </c>
      <c r="CO75" s="259">
        <f ca="1">IF(IF(CN75&lt;&gt;0,MAX($CO$2:CO74)+1,0)=0,"",IF(CN75&lt;&gt;"",MAX($CO$2:CO74)+1,0))</f>
        <v>0</v>
      </c>
      <c r="CP75" s="259" t="str">
        <f ca="1">IFERROR(INDEX($CM$3:$CN$220,MATCH(ROWS(CP$3:CP75),$CO$3:$CO$220,0),1),"")</f>
        <v/>
      </c>
      <c r="CQ75" s="259" t="str">
        <f ca="1">IFERROR(INDEX($CM$3:$CN$220,MATCH(ROWS(CQ$3:CQ75),$CO$3:$CO$220,0),2),"")</f>
        <v/>
      </c>
      <c r="CR75" s="259" t="str">
        <f t="shared" ca="1" si="191"/>
        <v/>
      </c>
      <c r="CS75" s="259">
        <f t="shared" ca="1" si="192"/>
        <v>0</v>
      </c>
      <c r="CT75" s="259">
        <f t="shared" ca="1" si="193"/>
        <v>0</v>
      </c>
      <c r="CU75" s="259">
        <f ca="1">IF(OR(CS75&gt;0,CT75&gt;0),MAX($CU$2:CU74)+1,0)</f>
        <v>0</v>
      </c>
      <c r="CV75" s="259" t="str">
        <f ca="1">IFERROR(INDEX(PIANO_DEI_CONTI,MATCH(ROWS($CV$3:CV75),$CU$3:$CU$200,0),2),"")</f>
        <v/>
      </c>
      <c r="CW75" s="259">
        <f ca="1">IFERROR(IF(CV75&lt;&gt;"",MAX($CW$2:CW74)+1,0),0)</f>
        <v>0</v>
      </c>
      <c r="CX75" s="259">
        <f ca="1">$EA$7</f>
        <v>5</v>
      </c>
      <c r="CY75" s="259" t="str">
        <f t="shared" ca="1" si="308"/>
        <v>MASTRO</v>
      </c>
      <c r="DA75" s="259" t="str">
        <f ca="1">IF(CY74="MASTRO","Conto n.","")</f>
        <v>Conto n.</v>
      </c>
      <c r="DB75" s="259" t="str">
        <f ca="1">IF(CY75=0,"",INDEX(PIANO_DEI_CONTI,MATCH(DC75,DENOMINAZIONE,0),1))</f>
        <v/>
      </c>
      <c r="DC75" s="259" t="str">
        <f ca="1">IF(OR(CY75=0,CY75="mastro"),"",CY75)</f>
        <v/>
      </c>
      <c r="DD75" s="259" t="str">
        <f ca="1">IF(AND($DA$2=TRUE,OR(INDEX(PIANO_DEI_CONTI,MATCH($DC75,DENOMINAZIONE,0),4)="A",INDEX(PIANO_DEI_CONTI,MATCH($DC75,DENOMINAZIONE,0),4)="D/A"),SUMIFS(AVERE,DENOMINAZIONE_GIORNALE,"="&amp;$DC75)&gt;SUMIFS(DARE,DENOMINAZIONE_GIORNALE,"="&amp;$DC75)),CONCATENATE("s ",FIXED(ABS(SUMIFS(AVERE,DENOMINAZIONE_GIORNALE,"="&amp;$DC75)-SUMIFS(DARE,DENOMINAZIONE_GIORNALE,"="&amp;$DC75)),2)),"")</f>
        <v/>
      </c>
      <c r="DE75" s="259" t="str">
        <f ca="1">IF(AND($DA$2=TRUE,OR(INDEX(PIANO_DEI_CONTI,MATCH($DC75,DENOMINAZIONE,0),4)="D",INDEX(PIANO_DEI_CONTI,MATCH($DC75,DENOMINAZIONE,0),4)="D/A"),SUMIFS(DARE,DENOMINAZIONE_GIORNALE,"="&amp;$DC75)&gt;SUMIFS(AVERE,DENOMINAZIONE_GIORNALE,"="&amp;$DC75)),CONCATENATE("s ",FIXED(ABS(SUMIFS(DARE,DENOMINAZIONE_GIORNALE,"="&amp;$DC75)-SUMIFS(AVERE,DENOMINAZIONE_GIORNALE,"="&amp;$DC75)),2)),"")</f>
        <v/>
      </c>
      <c r="DF75" s="259">
        <f ca="1">IF(AND(CX75=$DE$2,$DF$2&lt;&gt;0),0,IF(AND(DB75&lt;&gt;"",OR(DB74&lt;&gt;"",DB76&lt;&gt;"")),MAX($DF$2:DF74)+1,0))</f>
        <v>0</v>
      </c>
      <c r="DG75" s="259" t="str">
        <f>IF(OR(VALORI_INIZIALI!E80="",AND(VALORI_INIZIALI!E80&lt;&gt;"",VALORI_INIZIALI!H80=0,VALORI_INIZIALI!I80=0)),"",IFERROR(INDEX(PIANO_DEI_CONTI,MATCH(BB75,DENOMINAZIONE,0),1),0))</f>
        <v/>
      </c>
      <c r="DH75" s="259">
        <f ca="1">IFERROR(IF($J$1=1,IF(INDEX(PIANO_DEI_CONTI,MATCH($K75,DENOMINAZIONE,0),5)=$DF$1,MAX($DH$2:DH74)+1,0),IF($J$1=2,IF(INDEX(PIANO_DEI_CONTI,MATCH($K75,DENOMINAZIONE,0),7)=$DF$1,MAX($DH$2:DH74)+1,0))),0)</f>
        <v>0</v>
      </c>
      <c r="DI75" s="259">
        <f ca="1">IFERROR(INDEX($K$3:$K$220,MATCH(ROWS($DI$3:DI75),$DH$3:$DH$220,0),1),0)</f>
        <v>0</v>
      </c>
      <c r="DJ75" s="259">
        <f t="shared" ca="1" si="194"/>
        <v>0</v>
      </c>
      <c r="DK75" s="259">
        <f ca="1">IF(DJ75=0,0,MAX(DK$2:DK74)+1)</f>
        <v>0</v>
      </c>
      <c r="DL75" s="259">
        <f ca="1">IFERROR(INDEX(PIANO_DEI_CONTI,MATCH(ROWS(DL$3:DL75),$DK$3:DK302,0),2),0)</f>
        <v>0</v>
      </c>
      <c r="DM75" s="259">
        <f t="shared" ca="1" si="195"/>
        <v>0</v>
      </c>
      <c r="DN75" s="259">
        <f t="shared" ca="1" si="196"/>
        <v>0</v>
      </c>
      <c r="DO75" s="259">
        <f t="shared" ca="1" si="245"/>
        <v>0</v>
      </c>
      <c r="DP75" s="259">
        <f t="shared" ca="1" si="246"/>
        <v>0</v>
      </c>
      <c r="DQ75" s="259">
        <f ca="1">IF(OR($DQ$1="TOTALI",$DQ$1="TOTALI ED ECCEDENZE"),IF(OR(DM75&gt;0,DN75&gt;0),MAX(DQ$2:DQ74)+1,0),IF($DQ$1="ECCEDENZE",IF(OR(DO75&gt;0,DP75&gt;0),MAX(DQ$2:DQ74)+1,0),""))</f>
        <v>0</v>
      </c>
      <c r="DR75" s="259" t="str">
        <f ca="1">IFERROR(INDEX($DL$3:$DQ$230,MATCH(ROWS(DR$3:DR75),$DQ$3:$DQ$230,0),1),"")</f>
        <v/>
      </c>
      <c r="DS75" s="259" t="str">
        <f t="shared" ca="1" si="247"/>
        <v/>
      </c>
      <c r="DT75" s="259" t="str">
        <f t="shared" ca="1" si="248"/>
        <v/>
      </c>
      <c r="DU75" s="259" t="str">
        <f t="shared" ca="1" si="249"/>
        <v/>
      </c>
      <c r="DV75" s="259" t="str">
        <f t="shared" ca="1" si="250"/>
        <v/>
      </c>
      <c r="DW75" s="259">
        <f t="shared" ca="1" si="251"/>
        <v>0</v>
      </c>
      <c r="DX75" s="259" t="str">
        <f t="shared" ca="1" si="252"/>
        <v/>
      </c>
      <c r="DY75" s="259" t="str">
        <f t="shared" ca="1" si="253"/>
        <v/>
      </c>
      <c r="DZ75" s="259" t="str">
        <f t="shared" ca="1" si="254"/>
        <v/>
      </c>
      <c r="EA75" s="259">
        <f t="shared" ca="1" si="255"/>
        <v>73</v>
      </c>
      <c r="EB75" s="259" t="s">
        <v>361</v>
      </c>
      <c r="ED75" s="259">
        <f t="shared" ca="1" si="197"/>
        <v>0</v>
      </c>
      <c r="EE75" s="259" t="str">
        <f t="shared" ca="1" si="198"/>
        <v/>
      </c>
      <c r="EF75" s="259" t="str">
        <f t="shared" ca="1" si="199"/>
        <v/>
      </c>
      <c r="EG75" s="259" t="str">
        <f t="shared" ca="1" si="309"/>
        <v/>
      </c>
      <c r="EH75" s="259" t="str">
        <f t="shared" ca="1" si="256"/>
        <v/>
      </c>
      <c r="EI75" s="260" t="b">
        <f t="shared" ca="1" si="310"/>
        <v>0</v>
      </c>
      <c r="EJ75" s="260" t="b">
        <f t="shared" ca="1" si="311"/>
        <v>0</v>
      </c>
      <c r="EK75" s="260" t="b">
        <f t="shared" ca="1" si="312"/>
        <v>1</v>
      </c>
      <c r="EL75" s="259">
        <f t="shared" si="257"/>
        <v>73</v>
      </c>
      <c r="EM75" s="259">
        <f ca="1">IF(AND(BA75&gt;0,BA75&lt;=$EM$1),MAX($EM$2:EM74)+1,0)</f>
        <v>0</v>
      </c>
      <c r="EN75" s="259">
        <f t="shared" ca="1" si="258"/>
        <v>75</v>
      </c>
      <c r="EP75" s="259" t="str">
        <f t="shared" ca="1" si="200"/>
        <v/>
      </c>
      <c r="EQ75" s="259">
        <f t="shared" ca="1" si="201"/>
        <v>0</v>
      </c>
      <c r="ER75" s="259">
        <f ca="1">IF(ISNA(EQ75),MAX(ER$2:ER74)+1,0)</f>
        <v>0</v>
      </c>
      <c r="ES75" s="259" t="str">
        <f t="shared" ca="1" si="259"/>
        <v/>
      </c>
      <c r="ET75" s="259" t="str">
        <f ca="1">IFERROR(UPPER(INDEX($ER$3:$ES$500,MATCH(ROWS(ET$3:ET75),$ER$3:$ER$500,0),2)),"")</f>
        <v/>
      </c>
      <c r="EY75" s="259">
        <f t="shared" ca="1" si="260"/>
        <v>0</v>
      </c>
      <c r="EZ75" s="259">
        <f t="shared" ca="1" si="260"/>
        <v>0</v>
      </c>
      <c r="FA75" s="259" t="str">
        <f t="shared" ca="1" si="261"/>
        <v/>
      </c>
      <c r="FB75" s="259">
        <f t="shared" ca="1" si="262"/>
        <v>0</v>
      </c>
      <c r="FC75" s="259">
        <f t="shared" ca="1" si="263"/>
        <v>0</v>
      </c>
      <c r="FD75" s="259">
        <f t="shared" ca="1" si="202"/>
        <v>0</v>
      </c>
      <c r="FE75" s="259" t="str">
        <f t="shared" ca="1" si="203"/>
        <v/>
      </c>
      <c r="FF75" s="259" t="str">
        <f t="shared" ca="1" si="264"/>
        <v/>
      </c>
      <c r="FG75" s="259" t="str">
        <f t="shared" si="265"/>
        <v>CAMBIALI PASSIVE</v>
      </c>
      <c r="FH75" s="259">
        <f t="shared" ca="1" si="156"/>
        <v>0</v>
      </c>
      <c r="FI75" s="259">
        <f t="shared" ca="1" si="204"/>
        <v>0</v>
      </c>
      <c r="FJ75" s="259">
        <f t="shared" ca="1" si="266"/>
        <v>0</v>
      </c>
      <c r="FK75" s="259">
        <f t="shared" ca="1" si="267"/>
        <v>0</v>
      </c>
      <c r="FL75" s="259">
        <f ca="1">IF(OR(FJ75&gt;0,FK75&gt;0),MAX($FL$2:FL74)+1,0)</f>
        <v>0</v>
      </c>
      <c r="FM75" s="259">
        <f t="shared" ca="1" si="205"/>
        <v>0</v>
      </c>
      <c r="FN75" s="259">
        <f ca="1">IF(FM75&lt;0,MAX($FN$2:FN74)+1,0)</f>
        <v>0</v>
      </c>
      <c r="FO75" s="259" t="str">
        <f t="shared" ca="1" si="268"/>
        <v/>
      </c>
      <c r="FP75" s="259" t="str">
        <f ca="1">IFERROR(INDEX($FN$3:$FO$400,MATCH(ROWS($FP$3:FP75),$FN$3:$FN$400,0),2),"")</f>
        <v/>
      </c>
      <c r="FQ75" s="259" t="str">
        <f>IF(AE75="SE AVERE",MAX($FQ$2:FQ74)+1,"")</f>
        <v/>
      </c>
      <c r="FR75" s="259" t="str">
        <f>IF(AE75="SE DARE",MAX($FR$2:FR74)+1,"")</f>
        <v/>
      </c>
      <c r="FS75" s="259" t="str">
        <f ca="1">IF(AND(AE75="SP DARE",AA75&lt;&gt;$FS$1,AA75&lt;&gt;$FT$1),MAX($FS$2:FS74)+1,IF(AND(GQ75="SP DARE",AA75&lt;&gt;$FS$1,AA75&lt;&gt;$FT$1),MAX($FS$2:FS74)+1,""))</f>
        <v/>
      </c>
      <c r="FT75" s="259">
        <f ca="1">IF(AND(AE75="SP AVERE",AA75&lt;&gt;$FU$1),MAX($FT$2:FT74)+1,IF(AND(GQ75="SP AVERE",AA75&lt;&gt;$FU$1),MAX($FT$2:FT74)+1,""))</f>
        <v>157</v>
      </c>
      <c r="FU75" s="259">
        <f t="shared" ca="1" si="269"/>
        <v>157</v>
      </c>
      <c r="FV75" s="259" t="str">
        <f t="shared" si="270"/>
        <v>CAMBIALI PASSIVE</v>
      </c>
      <c r="FW75" s="259" t="str">
        <f ca="1">IFERROR(INDEX($FU$3:$FV$500,MATCH(ROWS($FW$3:FW75),$FU$3:$FU$500,0),2),0)</f>
        <v>INTERESSI PASSIVI BANCARI</v>
      </c>
      <c r="FX75" s="259">
        <f t="shared" ca="1" si="271"/>
        <v>73</v>
      </c>
      <c r="FY75" s="259">
        <f t="shared" ca="1" si="272"/>
        <v>0</v>
      </c>
      <c r="FZ75" s="259">
        <f ca="1">IF(FY75&gt;0,MAX($FZ$2:FZ74)+1,0)</f>
        <v>0</v>
      </c>
      <c r="GA75" s="259">
        <f ca="1">IFERROR(INDEX($FY$3:$FZ$500,MATCH(ROWS($GA$3:GA75),$FZ$3:$FZ$500,0),1),0)</f>
        <v>0</v>
      </c>
      <c r="GC75" s="259">
        <f t="shared" ca="1" si="273"/>
        <v>73</v>
      </c>
      <c r="GD75" s="259" t="str">
        <f t="shared" ca="1" si="274"/>
        <v>INTERESSI PASSIVI BANCARI</v>
      </c>
      <c r="GG75" s="259">
        <f t="shared" ca="1" si="275"/>
        <v>0</v>
      </c>
      <c r="GH75" s="259">
        <f t="shared" ca="1" si="276"/>
        <v>0</v>
      </c>
      <c r="GI75" s="259">
        <f t="shared" ca="1" si="277"/>
        <v>0</v>
      </c>
      <c r="GJ75" s="259">
        <f t="shared" ca="1" si="278"/>
        <v>0</v>
      </c>
      <c r="GK75" s="259">
        <f t="shared" ca="1" si="279"/>
        <v>0</v>
      </c>
      <c r="GL75" s="259">
        <f t="shared" ca="1" si="280"/>
        <v>0</v>
      </c>
      <c r="GM75" s="259">
        <f ca="1">IF(OR(GK75&gt;0,GL75&gt;0),MAX($GM$2:GM74)+1,0)</f>
        <v>0</v>
      </c>
      <c r="GN75" s="259" t="str">
        <f ca="1">IFERROR(INDEX($GD$3:$GM$400,MATCH(ROWS($GN$3:GN75),$GM$3:$GM$400,0),1),"")</f>
        <v/>
      </c>
      <c r="GO75" s="259" t="str">
        <f ca="1">IFERROR(INDEX($GD$3:$GM$400,MATCH(ROWS($GO$3:GO75),$GM$3:$GM$400,0),8),"")</f>
        <v/>
      </c>
      <c r="GP75" s="259" t="str">
        <f ca="1">IFERROR(INDEX($GD$3:$GM$400,MATCH(ROWS($GP$3:GP75),$GM$3:$GM$400,0),9),"")</f>
        <v/>
      </c>
      <c r="GQ75" s="259">
        <f t="shared" ca="1" si="206"/>
        <v>0</v>
      </c>
      <c r="GR75" s="259">
        <f t="shared" ca="1" si="281"/>
        <v>0</v>
      </c>
      <c r="GS75" s="259" t="str">
        <f t="shared" si="282"/>
        <v>epilogo a Conto economico</v>
      </c>
      <c r="GT75" s="259" t="str">
        <f ca="1">IFERROR(INDEX($GD$3:$GS$400,MATCH(ROWS($GT$3:GT75),$GM$3:$GM$400,0),16),"")</f>
        <v/>
      </c>
      <c r="GU75" s="259">
        <f ca="1">IF(GQ75&lt;&gt;0,MAX($GU$2:$GU74)+1,0)</f>
        <v>0</v>
      </c>
      <c r="GV75" s="259">
        <f t="shared" ca="1" si="283"/>
        <v>0</v>
      </c>
      <c r="GW75" s="259" t="str">
        <f ca="1">IF(AND(IFERROR(INDEX($GU$3:$GV$400,MATCH(ROWS($GW$3:GW75),$GU$3:$GU$400,0),2),"")&lt;&gt;"",GW76&lt;&gt;""),CONCATENATE(IFERROR(INDEX($GU$3:$GV$400,MATCH(ROWS($GW$3:GW75),$GU$3:$GU$400,0),2),"")," - "),IFERROR(INDEX($GU$3:$GV$400,MATCH(ROWS($GW$3:GW75),$GU$3:$GU$400,0),2),""))</f>
        <v/>
      </c>
      <c r="GX75" s="259">
        <f ca="1">IF(OR(GN75="IVA NS/CREDITO",GN75="IVA NS/DEBITO",GN75="IVA C/ACCONTO",GN75="IMPOSTE C/ACCONTO"),MAX($GX$2:GX74)+1,0)</f>
        <v>0</v>
      </c>
      <c r="GY75" s="259" t="str">
        <f ca="1">IF(AND(IFERROR(INDEX($GN$3:$GX$200,MATCH(ROWS($GY$3:GY75),$GX$3:$GX$200,0),1),"")&lt;&gt;"",GY76&lt;&gt;""),CONCATENATE(IFERROR(INDEX($GN$3:$GX$200,MATCH(ROWS($GY$3:GY75),$GX$3:$GX$200,0),1),"")," - "),IFERROR(INDEX($GN$3:$GX$200,MATCH(ROWS($GY$3:GY75),$GX$3:$GX$200,0),1),""))</f>
        <v/>
      </c>
      <c r="GZ75" s="259" t="s">
        <v>99</v>
      </c>
      <c r="HA75" s="259" t="s">
        <v>98</v>
      </c>
      <c r="HB75" s="269" t="s">
        <v>257</v>
      </c>
      <c r="HC75" s="269" t="s">
        <v>211</v>
      </c>
      <c r="HD75" s="269" t="s">
        <v>5</v>
      </c>
      <c r="HE75" s="269" t="s">
        <v>212</v>
      </c>
      <c r="HG75" s="270"/>
      <c r="HL75" s="259" t="str">
        <f t="shared" ca="1" si="207"/>
        <v/>
      </c>
      <c r="HM75" s="259" t="str">
        <f t="shared" ca="1" si="208"/>
        <v/>
      </c>
      <c r="HN75" s="259" t="str">
        <f t="shared" ca="1" si="209"/>
        <v/>
      </c>
      <c r="HO75" s="259">
        <f ca="1">IF(HL75&lt;&gt;"",MAX($HO$2:HO74)+1,0)</f>
        <v>0</v>
      </c>
      <c r="HP75" s="259">
        <f ca="1">IF(HM75&lt;&gt;"",MAX($HP$2:HP74)+1,0)</f>
        <v>0</v>
      </c>
      <c r="HQ75" s="259">
        <f ca="1">IF(HN75&lt;&gt;"",MAX($HQ$2:HQ74)+1,0)</f>
        <v>0</v>
      </c>
      <c r="HR75" s="259" t="str">
        <f t="shared" ca="1" si="284"/>
        <v/>
      </c>
      <c r="HS75" s="259" t="str">
        <f t="shared" ca="1" si="285"/>
        <v/>
      </c>
      <c r="HT75" s="259">
        <f t="shared" ca="1" si="286"/>
        <v>0</v>
      </c>
      <c r="HU75" s="259">
        <f t="shared" ca="1" si="287"/>
        <v>0</v>
      </c>
      <c r="HV75" s="259" t="str">
        <f ca="1">CONCATENATE(IFERROR(INDEX($HS$3:$HT$102,MATCH(ROWS($HV$3:HV75),$HT$3:$HT$102,0),1),""),HR75)</f>
        <v/>
      </c>
      <c r="IA75" s="259" t="s">
        <v>390</v>
      </c>
      <c r="IB75" s="259" t="s">
        <v>334</v>
      </c>
      <c r="IC75" s="259">
        <f ca="1">IFERROR(INDEX(PIANO_DEI_CONTI,MATCH(ROWS(DL$3:DL75),$DK$3:DK302,0),2),0)</f>
        <v>0</v>
      </c>
      <c r="ID75" s="259">
        <f t="shared" ca="1" si="288"/>
        <v>0</v>
      </c>
      <c r="IE75" s="259">
        <f t="shared" ca="1" si="289"/>
        <v>0</v>
      </c>
      <c r="IF75" s="259">
        <f t="shared" ca="1" si="290"/>
        <v>0</v>
      </c>
      <c r="IG75" s="259">
        <f ca="1">ROUND(SUMIFS($IE$3:$IE$200,$IF$3:$IF$200,IA75),0)</f>
        <v>0</v>
      </c>
      <c r="IH75" s="259">
        <f ca="1">IF(IG75&lt;&gt;0,MAX($IH$35:IH74)+1,0)</f>
        <v>0</v>
      </c>
      <c r="II75" s="259">
        <f>IF(AD75="costi pluriennali",MAX($II$2:II74)+1,0)</f>
        <v>0</v>
      </c>
      <c r="IJ75" s="259">
        <f>IF($AD75="rettifiche costi pluriennali",MAX($IJ$2:IJ74)+1,0)</f>
        <v>0</v>
      </c>
      <c r="IK75" s="259">
        <f t="shared" si="291"/>
        <v>0</v>
      </c>
      <c r="IL75" s="259" t="str">
        <f t="shared" si="292"/>
        <v/>
      </c>
      <c r="IM75" s="259">
        <f t="shared" ca="1" si="293"/>
        <v>0</v>
      </c>
      <c r="IN75" s="259">
        <f t="shared" ca="1" si="313"/>
        <v>0</v>
      </c>
      <c r="IO75" s="259">
        <f>SUMIFS($IM$3:$IM$200,$IK$3:$IK$200,ROWS($IO$3:IO75))-SUMIFS($IN$3:$IN$200,$IK$3:$IK$200,ROWS($IO$3:IO75))</f>
        <v>0</v>
      </c>
      <c r="IP75" s="259" t="str">
        <f>IF(IO75&lt;0,INDEX($IJ$3:$IL$200,MATCH(ROWS($IP$3:IP75),$IJ$3:$IJ$200,0),3),"")</f>
        <v/>
      </c>
      <c r="IQ75" s="259">
        <f>IF(IP75&lt;&gt;"",MAX($IQ$2:IQ74)+1,0)</f>
        <v>0</v>
      </c>
      <c r="IR75" s="259" t="str">
        <f ca="1">IFERROR(INDEX($IP$3:$IQ$200,MATCH(ROWS($IR$3:IR75),$IQ$3:$IQ$200,0),1),"")</f>
        <v/>
      </c>
      <c r="IS75" s="259" t="str">
        <f t="shared" ca="1" si="294"/>
        <v/>
      </c>
      <c r="IT75" s="259" t="str">
        <f t="shared" ca="1" si="295"/>
        <v/>
      </c>
      <c r="IU75" s="259" t="str">
        <f t="shared" ca="1" si="296"/>
        <v/>
      </c>
      <c r="IV75" s="259" t="str">
        <f t="shared" ca="1" si="297"/>
        <v/>
      </c>
      <c r="IW75" s="259" t="str">
        <f t="shared" ca="1" si="298"/>
        <v/>
      </c>
      <c r="IX75" s="259" t="str">
        <f t="shared" ca="1" si="299"/>
        <v/>
      </c>
      <c r="IY75" s="259" t="str">
        <f t="shared" ca="1" si="300"/>
        <v/>
      </c>
      <c r="IZ75" s="259" t="str">
        <f t="shared" ca="1" si="301"/>
        <v/>
      </c>
      <c r="JA75" s="259" t="str">
        <f t="shared" ca="1" si="302"/>
        <v/>
      </c>
      <c r="JB75" s="259">
        <f t="shared" ca="1" si="210"/>
        <v>0</v>
      </c>
      <c r="JC75" s="259">
        <f t="shared" ca="1" si="303"/>
        <v>0</v>
      </c>
      <c r="JE75" s="259">
        <f ca="1">IFERROR(INDEX(LIBRO_GIORNALE!$N$11:$O$408,MATCH(ROWS($JE$2:JE74),LIBRO_GIORNALE!$O$11:$O$408,0),1),0)</f>
        <v>0</v>
      </c>
      <c r="JF75" s="259" t="str">
        <f t="shared" ca="1" si="304"/>
        <v>0</v>
      </c>
      <c r="JG75" s="259">
        <f t="shared" ca="1" si="305"/>
        <v>0</v>
      </c>
      <c r="JH75" s="259">
        <f ca="1">IF(JJ75&gt;0,0,MAX($JH$2:JH74)+1)</f>
        <v>73</v>
      </c>
      <c r="JI75" s="259">
        <f ca="1">IF(JG75&gt;0,MAX($JI$2:JI74)+1,0)</f>
        <v>0</v>
      </c>
      <c r="JJ75" s="259">
        <f ca="1">IFERROR(INDEX($JG$3:$JI$124,MATCH(ROWS($JJ$3:JJ75),$JI$3:$JI$124,0),1),0)</f>
        <v>0</v>
      </c>
      <c r="JK75" s="259">
        <f t="shared" ca="1" si="306"/>
        <v>0</v>
      </c>
      <c r="JL75" s="259">
        <f t="shared" ca="1" si="307"/>
        <v>73</v>
      </c>
    </row>
    <row r="76" spans="1:272">
      <c r="A76" s="259" t="str">
        <f t="shared" si="211"/>
        <v>13.00</v>
      </c>
      <c r="B76" s="259" t="str">
        <f t="shared" si="212"/>
        <v>DEBITI FINANZIARI</v>
      </c>
      <c r="C76" s="259">
        <f t="shared" si="213"/>
        <v>0</v>
      </c>
      <c r="D76" s="259">
        <f t="shared" si="214"/>
        <v>0</v>
      </c>
      <c r="E76" s="259">
        <f t="shared" si="215"/>
        <v>0</v>
      </c>
      <c r="F76" s="259">
        <f t="shared" si="216"/>
        <v>0</v>
      </c>
      <c r="G76" s="259">
        <f t="shared" ca="1" si="217"/>
        <v>0</v>
      </c>
      <c r="H76" s="259">
        <f t="shared" ca="1" si="218"/>
        <v>0</v>
      </c>
      <c r="I76" s="259">
        <f t="shared" ca="1" si="219"/>
        <v>0</v>
      </c>
      <c r="K76" s="259" t="str">
        <f ca="1">IFERROR(IF($I$1=1,INDEX($AA$3:$AS$220,MATCH(ROWS($K$3:K76),$AQ$3:$AQ$220,0),1),IF($I$1=2,INDEX($AA$3:$AS$220,MATCH(ROWS($K$3:K76),$AR$3:$AR$220,0),1),IF($I$1=3,INDEX($AA$3:$AS$220,MATCH(ROWS($K$3:K76),$AS$3:$AS$220,0),1),""))),"")</f>
        <v>CLIENTI C/ACCONTI</v>
      </c>
      <c r="L76" s="259">
        <f ca="1">IF(AND($L$1="VISUALIZZA TUTTI I CONTI",K76&lt;&gt;""),MAX(L75:L75)+1,IFERROR(IF($J$1=1,IF(INDEX(PIANO_DEI_CONTI,MATCH($K76,DENOMINAZIONE,0),5)=$L$1,MAX($L$2:L75)+1,0),IF($J$1=2,IF(INDEX(PIANO_DEI_CONTI,MATCH($K76,DENOMINAZIONE,0),7)=$L$1,MAX($L$2:L75)+1,0))),0))</f>
        <v>74</v>
      </c>
      <c r="M76" s="259" t="str">
        <f ca="1">IFERROR(INDEX($K$3:$K$220,MATCH(ROWS($M$3:M76),$L$3:$L$220,0),1),"")</f>
        <v>CLIENTI C/ACCONTI</v>
      </c>
      <c r="Q76" s="259" t="str">
        <f ca="1">IF(IFERROR(INDEX($O$3:$P$220,MATCH(ROWS(Q$3:Q76),$P$3:$P$220,0),1),"")=0,"",IFERROR(INDEX($O$3:$P$220,MATCH(ROWS(Q$3:Q76),$P$3:$P$220,0),1),""))</f>
        <v/>
      </c>
      <c r="R76" s="259" t="str">
        <f t="shared" si="182"/>
        <v/>
      </c>
      <c r="S76" s="259">
        <f ca="1">IF(IFERROR(MATCH(R76,DENOMINAZIONE_GIORNALE,0),0)&gt;0,MAX(S$2:S75)+1,0)</f>
        <v>0</v>
      </c>
      <c r="T76" s="259" t="str">
        <f ca="1">IFERROR(INDEX($R$3:$S$220,MATCH(ROWS($T$3:T76),$S$3:$S$220,0),1),"")</f>
        <v/>
      </c>
      <c r="U76" s="259">
        <f t="shared" ca="1" si="183"/>
        <v>0</v>
      </c>
      <c r="V76" s="259">
        <f ca="1">IF(IF(U76&lt;&gt;0,MAX($V$2:V75)+1,0)=0,0,IF(U76&lt;&gt;0,MAX($V$2:V75)+1,0))</f>
        <v>0</v>
      </c>
      <c r="W76" s="259" t="str">
        <f t="shared" si="220"/>
        <v/>
      </c>
      <c r="X76" s="259" t="str">
        <f t="shared" si="221"/>
        <v/>
      </c>
      <c r="Y76" s="259">
        <f>IF(W76="",0,MAX($Y$2:Y75)+1)</f>
        <v>0</v>
      </c>
      <c r="Z76" s="259" t="str">
        <f>IFERROR(INDEX($W$3:$Y$220,MATCH(ROWS($Z$2:Z75),$Y$3:$Y$220,0),1),"")</f>
        <v>14.09</v>
      </c>
      <c r="AA76" s="259" t="str">
        <f t="shared" si="222"/>
        <v>DEBITI DA LIQUIDARE</v>
      </c>
      <c r="AB76" s="259" t="str">
        <f t="shared" si="223"/>
        <v>F</v>
      </c>
      <c r="AC76" s="259" t="str">
        <f t="shared" si="224"/>
        <v>A</v>
      </c>
      <c r="AD76" s="259" t="str">
        <f t="shared" si="225"/>
        <v>DEBITI</v>
      </c>
      <c r="AE76" s="259" t="str">
        <f t="shared" si="226"/>
        <v>SP AVERE</v>
      </c>
      <c r="AF76" s="259" t="str">
        <f t="shared" si="227"/>
        <v>DEBITI COMMERCIALI</v>
      </c>
      <c r="AG76" s="259">
        <f t="shared" ca="1" si="228"/>
        <v>0</v>
      </c>
      <c r="AH76" s="259">
        <f t="shared" ca="1" si="229"/>
        <v>0</v>
      </c>
      <c r="AI76" s="259">
        <f t="shared" ca="1" si="230"/>
        <v>1</v>
      </c>
      <c r="AJ76" s="259" t="str">
        <f t="shared" si="231"/>
        <v>14</v>
      </c>
      <c r="AK76" s="259" t="str">
        <f t="shared" si="232"/>
        <v>13</v>
      </c>
      <c r="AL76" s="259">
        <f>IF(AK76&lt;&gt;"",MAX($AL$2:AL75)+1,0)</f>
        <v>12</v>
      </c>
      <c r="AM76" s="259" t="str">
        <f>IFERROR(INDEX($AK$3:$AL$220,MATCH(ROWS($AM$3:AM76),$AL$3:$AL$220,0),1),"")</f>
        <v/>
      </c>
      <c r="AN76" s="259" t="str">
        <f t="shared" si="233"/>
        <v/>
      </c>
      <c r="AO76" s="259" t="str">
        <f t="shared" si="234"/>
        <v/>
      </c>
      <c r="AP76" s="259" t="str">
        <f t="shared" si="235"/>
        <v>DEBITI COMMERCIALI</v>
      </c>
      <c r="AQ76" s="259">
        <f ca="1">IF(OR(AG76=0,AG76=""),0,MAX(AQ$2:AQ75)+1)</f>
        <v>0</v>
      </c>
      <c r="AR76" s="259">
        <f ca="1">IF(OR(AH76=0,AH76=""),0,MAX(AR$2:AR75)+1)</f>
        <v>0</v>
      </c>
      <c r="AS76" s="259">
        <f ca="1">IF(OR(AI76=0,AI76=""),0,MAX(AS$2:AS75)+1)</f>
        <v>72</v>
      </c>
      <c r="AT76" s="259" t="str">
        <f ca="1">IFERROR(INDEX($AD$3:$AS$220,MATCH(ROWS(AT$3:AT76),AQ$3:AQ$220,0),1),"")</f>
        <v>COSTI D'ESERCIZIO</v>
      </c>
      <c r="AU76" s="259" t="str">
        <f ca="1">IFERROR(INDEX($AD$3:$AS$220,MATCH(ROWS(AU$3:AU76),AR$3:AR$220,0),1),"")</f>
        <v>RICAVI D'ESERCIZIO</v>
      </c>
      <c r="AV76" s="259" t="str">
        <f ca="1">IFERROR(INDEX($AD$3:$AS$220,MATCH(ROWS(AV$3:AV76),AS$3:AS$220,0),1),"")</f>
        <v>DEBITI</v>
      </c>
      <c r="AW76" s="259" t="str">
        <f ca="1">IFERROR(INDEX($AP$3:$AS$220,MATCH(ROWS(AW$3:AW76),AQ$3:AQ$220,0),1),"")</f>
        <v>COSTI PER SERVIZI</v>
      </c>
      <c r="AX76" s="259" t="str">
        <f ca="1">IFERROR(INDEX($AP$3:$AS$220,MATCH(ROWS(AX$3:AX76),AR$3:AR$220,0),1),"")</f>
        <v>VALORE DELLA PRODUZIONE</v>
      </c>
      <c r="AY76" s="259" t="str">
        <f ca="1">IFERROR(INDEX($AP$3:$AS$220,MATCH(ROWS(AY$3:AY76),AS$3:AS$220,0),1),"")</f>
        <v>DEBITI COMMERCIALI</v>
      </c>
      <c r="AZ76" s="276" t="str">
        <f t="shared" ca="1" si="236"/>
        <v/>
      </c>
      <c r="BA76" s="259">
        <f t="shared" ca="1" si="184"/>
        <v>0</v>
      </c>
      <c r="BB76" s="259">
        <f ca="1">IFERROR(INDEX($FG$3:$FL$400,MATCH(ROWS($BB$3:BB76),$FL$3:$FL$400,0),1),0)</f>
        <v>0</v>
      </c>
      <c r="BC76" s="259" t="str">
        <f t="shared" ca="1" si="237"/>
        <v/>
      </c>
      <c r="BD76" s="259">
        <f ca="1">IFERROR(INDEX($FG$3:$FL$400,MATCH(ROWS($BD$3:BD76),$FL$3:$FL$400,0),4),0)</f>
        <v>0</v>
      </c>
      <c r="BE76" s="259">
        <f ca="1">IFERROR(INDEX($FG$3:$FL$400,MATCH(ROWS($BE$3:BE76),$FL$3:$FL$400,0),5),0)</f>
        <v>0</v>
      </c>
      <c r="BG76" s="259" t="str">
        <f t="shared" si="185"/>
        <v>DEBITI DA LIQUIDARE</v>
      </c>
      <c r="BH76" s="259">
        <f ca="1">IF(IFERROR(MATCH(BG76,DENOMINAZIONE_GIORNALE,0),0)&gt;0,MAX(BH$2:BH75)+1,0)</f>
        <v>0</v>
      </c>
      <c r="BI76" s="259" t="str">
        <f ca="1">IFERROR(INDEX($BG$3:$BH$220,MATCH(ROWS($BI$3:BI76),$BH$3:$BH$220,0),1),"")</f>
        <v/>
      </c>
      <c r="BJ76" s="259" t="str">
        <f t="shared" ca="1" si="186"/>
        <v/>
      </c>
      <c r="BK76" s="259" t="str">
        <f ca="1">IF(IF(BJ76&lt;&gt;"",MAX($BK$2:BK75)+1,0)=0,"",IF(BJ76&lt;&gt;"",MAX($BK$2:BK75)+1,0))</f>
        <v/>
      </c>
      <c r="BL76" s="259" t="str">
        <f ca="1">IFERROR(INDEX($T$3:$U$220, MATCH(ROWS(BL$3:BL76),$V$3:$V$220,0),1),"")</f>
        <v/>
      </c>
      <c r="BM76" s="259" t="str">
        <f ca="1">IFERROR(INDEX($T$3:$U$220, MATCH(ROWS(BM$3:BM76),$V$3:$V$220,0),2),"")</f>
        <v/>
      </c>
      <c r="BN76" s="259" t="str">
        <f ca="1">IF(IFERROR(INDEX($BI$3:$BJ$220,MATCH(ROWS(BN$3:BN76),$BK$3:$BK$220,0),1),"")="PATRIMONIO NETTO","",IFERROR(INDEX($BI$3:$BJ$220,MATCH(ROWS(BN$3:BN76),$BK$3:$BK$220,0),1),""))</f>
        <v/>
      </c>
      <c r="BO76" s="259" t="str">
        <f ca="1">IFERROR(INDEX($BI$3:$BJ$220,MATCH(ROWS(BO$3:BO76),$BK$3:$BK$220,0),2),"")</f>
        <v/>
      </c>
      <c r="BP76" s="259">
        <f ca="1">IF(BN76&lt;&gt;"",MAX(BP$2:$BP75)+1,0)</f>
        <v>0</v>
      </c>
      <c r="BQ76" s="259" t="str">
        <f ca="1">IFERROR(INDEX($BN$3:$BO$200,MATCH(ROWS(BQ$3:BQ76),$BP$3:$BP$220,0),1),"")</f>
        <v/>
      </c>
      <c r="BR76" s="259" t="str">
        <f ca="1">IFERROR(INDEX($BN$3:$BO$220,MATCH(ROWS(BR$3:BR76),$BP$3:$BP$220,0),2),"")</f>
        <v/>
      </c>
      <c r="BS76" s="259" t="str">
        <f ca="1">IFERROR(IF(OR(INDEX($T$3:$U$220,MATCH(ROWS(BL$3:BL76),$V$3:$V$220,0),1)="PRELEVAMENTI EXTRAGESTIONE",INDEX($T$3:$U$220,MATCH(ROWS(BL$3:BL76),$V$3:$V$220,0),1)="TITOLARE C/RITENUTE SUBITE"),"",INDEX($T$3:$U$220,MATCH(ROWS(BL$3:BL76),$V$3:$V$220,0),1)),"")</f>
        <v/>
      </c>
      <c r="BT76" s="259">
        <f t="shared" ca="1" si="238"/>
        <v>0</v>
      </c>
      <c r="BU76" s="259">
        <f ca="1">IF(BS76&lt;&gt;"",MAX(BU$2:BU75)+1,0)</f>
        <v>0</v>
      </c>
      <c r="BV76" s="259" t="str">
        <f ca="1">IFERROR(INDEX($BS$3:$BT$223,MATCH(ROWS(BV$3:BV76),$BU$3:$BU$223,0),1),"")</f>
        <v/>
      </c>
      <c r="BW76" s="259">
        <f t="shared" ca="1" si="239"/>
        <v>0</v>
      </c>
      <c r="BX76" s="259" t="str">
        <f t="shared" ca="1" si="240"/>
        <v/>
      </c>
      <c r="BY76" s="259" t="str">
        <f t="shared" ca="1" si="241"/>
        <v/>
      </c>
      <c r="BZ76" s="259" t="str">
        <f ca="1">IFERROR(IF(OR($DS$231&lt;&gt;$DT$231,$DU$231&lt;&gt;$DV$231,$EO$25&lt;&gt;0,$EO$26&lt;&gt;0),INDEX($T$3:$V$220,MATCH(ROWS($BV$3:BV76),$V$3:$V$220,0),1),CONCATENATE(BV76,BY76)),"")</f>
        <v/>
      </c>
      <c r="CA76" s="259">
        <f t="shared" ca="1" si="242"/>
        <v>0</v>
      </c>
      <c r="CB76" s="259" t="str">
        <f ca="1">IFERROR(IF(OR($BB$1&lt;&gt;$BD$1,$BC$1&lt;&gt;$BE$1,$DS$231&lt;&gt;$DT$231,$DU$231&lt;&gt;$DV$231,$EO$25&lt;&gt;0,$EO$26&lt;&gt;0),INDEX($BI$3:$BK$220,MATCH(ROWS($CB$3:CB76),$BK$3:$BK$220,0),1),CONCATENATE(BQ76,BX76)),"")</f>
        <v/>
      </c>
      <c r="CC76" s="259" t="str">
        <f t="shared" ca="1" si="243"/>
        <v/>
      </c>
      <c r="CD76" s="259" t="str">
        <f t="shared" si="187"/>
        <v/>
      </c>
      <c r="CE76" s="259">
        <f ca="1">IF(IFERROR(MATCH(CD76,DENOMINAZIONE_GIORNALE,0),0)&gt;0,MAX(CE$2:CE75)+1,0)</f>
        <v>0</v>
      </c>
      <c r="CF76" s="259" t="str">
        <f ca="1">IFERROR(INDEX($CD$3:$CE$220,MATCH(ROWS($CF$3:CF76),$CE$3:$CE$220,0),1),"")</f>
        <v/>
      </c>
      <c r="CG76" s="259">
        <f t="shared" ca="1" si="188"/>
        <v>0</v>
      </c>
      <c r="CH76" s="259" t="str">
        <f ca="1">IF(IF(CG76&lt;&gt;0,MAX($CH$2:CH75)+1,0)=0,"",IF(CG76&lt;&gt;"",MAX($CH$2:CH75)+1,0))</f>
        <v/>
      </c>
      <c r="CI76" s="259" t="str">
        <f ca="1">IFERROR(INDEX($CF$3:$CG$220,MATCH(ROWS($CI$3:CI76),$CH$3:$CH$220,0),1),"")</f>
        <v/>
      </c>
      <c r="CJ76" s="259" t="str">
        <f t="shared" ca="1" si="244"/>
        <v/>
      </c>
      <c r="CK76" s="259" t="str">
        <f t="shared" si="189"/>
        <v/>
      </c>
      <c r="CL76" s="259">
        <f ca="1">IF(IFERROR(MATCH(CK76,DENOMINAZIONE_GIORNALE,0),0)&gt;0,MAX(CL$2:CL75)+1,0)</f>
        <v>0</v>
      </c>
      <c r="CM76" s="259" t="str">
        <f ca="1">IFERROR(INDEX($CK$3:$CL$220,MATCH(ROWS($CM$3:CM76),$CL$3:$CL$220,0),1),"")</f>
        <v/>
      </c>
      <c r="CN76" s="259" t="str">
        <f t="shared" ca="1" si="190"/>
        <v/>
      </c>
      <c r="CO76" s="259">
        <f ca="1">IF(IF(CN76&lt;&gt;0,MAX($CO$2:CO75)+1,0)=0,"",IF(CN76&lt;&gt;"",MAX($CO$2:CO75)+1,0))</f>
        <v>0</v>
      </c>
      <c r="CP76" s="259" t="str">
        <f ca="1">IFERROR(INDEX($CM$3:$CN$220,MATCH(ROWS(CP$3:CP76),$CO$3:$CO$220,0),1),"")</f>
        <v/>
      </c>
      <c r="CQ76" s="259" t="str">
        <f ca="1">IFERROR(INDEX($CM$3:$CN$220,MATCH(ROWS(CQ$3:CQ76),$CO$3:$CO$220,0),2),"")</f>
        <v/>
      </c>
      <c r="CR76" s="259" t="str">
        <f t="shared" ca="1" si="191"/>
        <v/>
      </c>
      <c r="CS76" s="259">
        <f t="shared" ca="1" si="192"/>
        <v>0</v>
      </c>
      <c r="CT76" s="259">
        <f t="shared" ca="1" si="193"/>
        <v>0</v>
      </c>
      <c r="CU76" s="259">
        <f ca="1">IF(OR(CS76&gt;0,CT76&gt;0),MAX($CU$2:CU75)+1,0)</f>
        <v>0</v>
      </c>
      <c r="CV76" s="259" t="str">
        <f ca="1">IFERROR(INDEX(PIANO_DEI_CONTI,MATCH(ROWS($CV$3:CV76),$CU$3:$CU$200,0),2),"")</f>
        <v/>
      </c>
      <c r="CW76" s="259">
        <f ca="1">IFERROR(IF(CV76&lt;&gt;"",MAX($CW$2:CW75)+1,0),0)</f>
        <v>0</v>
      </c>
      <c r="CX76" s="259">
        <f t="shared" ref="CX76:CX91" ca="1" si="315">$EA$7</f>
        <v>5</v>
      </c>
      <c r="CY76" s="259" t="str">
        <f t="shared" ca="1" si="308"/>
        <v>MASTRO</v>
      </c>
      <c r="DA76" s="259" t="str">
        <f ca="1">IF(DB75="","","Num. riga")</f>
        <v/>
      </c>
      <c r="DB76" s="259" t="str">
        <f t="shared" ref="DB76" ca="1" si="316">IF(DB75="","","Data")</f>
        <v/>
      </c>
      <c r="DC76" s="259" t="str">
        <f ca="1">IF(DB75="","","Operazioni")</f>
        <v/>
      </c>
      <c r="DD76" s="259" t="str">
        <f ca="1">IF(DB75="","","Dare        ")</f>
        <v/>
      </c>
      <c r="DE76" s="259" t="str">
        <f ca="1">IF(DB75="","","Avere        ")</f>
        <v/>
      </c>
      <c r="DF76" s="259">
        <f ca="1">IF(AND(CX76=$DE$2,$DF$2&lt;&gt;0),0,IF(AND(DB76&lt;&gt;"",OR(DB75&lt;&gt;"",DB77&lt;&gt;"")),MAX($DF$2:DF75)+1,0))</f>
        <v>0</v>
      </c>
      <c r="DG76" s="259" t="str">
        <f>IF(OR(VALORI_INIZIALI!E81="",AND(VALORI_INIZIALI!E81&lt;&gt;"",VALORI_INIZIALI!H81=0,VALORI_INIZIALI!I81=0)),"",IFERROR(INDEX(PIANO_DEI_CONTI,MATCH(BB76,DENOMINAZIONE,0),1),0))</f>
        <v/>
      </c>
      <c r="DH76" s="259">
        <f ca="1">IFERROR(IF($J$1=1,IF(INDEX(PIANO_DEI_CONTI,MATCH($K76,DENOMINAZIONE,0),5)=$DF$1,MAX($DH$2:DH75)+1,0),IF($J$1=2,IF(INDEX(PIANO_DEI_CONTI,MATCH($K76,DENOMINAZIONE,0),7)=$DF$1,MAX($DH$2:DH75)+1,0))),0)</f>
        <v>0</v>
      </c>
      <c r="DI76" s="259">
        <f ca="1">IFERROR(INDEX($K$3:$K$220,MATCH(ROWS($DI$3:DI76),$DH$3:$DH$220,0),1),0)</f>
        <v>0</v>
      </c>
      <c r="DJ76" s="259">
        <f t="shared" ca="1" si="194"/>
        <v>0</v>
      </c>
      <c r="DK76" s="259">
        <f ca="1">IF(DJ76=0,0,MAX(DK$2:DK75)+1)</f>
        <v>0</v>
      </c>
      <c r="DL76" s="259">
        <f ca="1">IFERROR(INDEX(PIANO_DEI_CONTI,MATCH(ROWS(DL$3:DL76),$DK$3:DK303,0),2),0)</f>
        <v>0</v>
      </c>
      <c r="DM76" s="259">
        <f t="shared" ca="1" si="195"/>
        <v>0</v>
      </c>
      <c r="DN76" s="259">
        <f t="shared" ca="1" si="196"/>
        <v>0</v>
      </c>
      <c r="DO76" s="259">
        <f t="shared" ca="1" si="245"/>
        <v>0</v>
      </c>
      <c r="DP76" s="259">
        <f t="shared" ca="1" si="246"/>
        <v>0</v>
      </c>
      <c r="DQ76" s="259">
        <f ca="1">IF(OR($DQ$1="TOTALI",$DQ$1="TOTALI ED ECCEDENZE"),IF(OR(DM76&gt;0,DN76&gt;0),MAX(DQ$2:DQ75)+1,0),IF($DQ$1="ECCEDENZE",IF(OR(DO76&gt;0,DP76&gt;0),MAX(DQ$2:DQ75)+1,0),""))</f>
        <v>0</v>
      </c>
      <c r="DR76" s="259" t="str">
        <f ca="1">IFERROR(INDEX($DL$3:$DQ$230,MATCH(ROWS(DR$3:DR76),$DQ$3:$DQ$230,0),1),"")</f>
        <v/>
      </c>
      <c r="DS76" s="259" t="str">
        <f t="shared" ca="1" si="247"/>
        <v/>
      </c>
      <c r="DT76" s="259" t="str">
        <f t="shared" ca="1" si="248"/>
        <v/>
      </c>
      <c r="DU76" s="259" t="str">
        <f t="shared" ca="1" si="249"/>
        <v/>
      </c>
      <c r="DV76" s="259" t="str">
        <f t="shared" ca="1" si="250"/>
        <v/>
      </c>
      <c r="DW76" s="259">
        <f t="shared" ca="1" si="251"/>
        <v>0</v>
      </c>
      <c r="DX76" s="259" t="str">
        <f t="shared" ca="1" si="252"/>
        <v/>
      </c>
      <c r="DY76" s="259" t="str">
        <f t="shared" ca="1" si="253"/>
        <v/>
      </c>
      <c r="DZ76" s="259" t="str">
        <f t="shared" ca="1" si="254"/>
        <v/>
      </c>
      <c r="EA76" s="259">
        <f t="shared" ca="1" si="255"/>
        <v>74</v>
      </c>
      <c r="EB76" s="259" t="s">
        <v>361</v>
      </c>
      <c r="ED76" s="259">
        <f t="shared" ca="1" si="197"/>
        <v>0</v>
      </c>
      <c r="EE76" s="259" t="str">
        <f t="shared" ca="1" si="198"/>
        <v/>
      </c>
      <c r="EF76" s="259" t="str">
        <f t="shared" ca="1" si="199"/>
        <v/>
      </c>
      <c r="EG76" s="259" t="str">
        <f t="shared" ca="1" si="309"/>
        <v/>
      </c>
      <c r="EH76" s="259" t="str">
        <f t="shared" ca="1" si="256"/>
        <v/>
      </c>
      <c r="EI76" s="260" t="b">
        <f t="shared" ca="1" si="310"/>
        <v>0</v>
      </c>
      <c r="EJ76" s="260" t="b">
        <f t="shared" ca="1" si="311"/>
        <v>0</v>
      </c>
      <c r="EK76" s="260" t="b">
        <f t="shared" ca="1" si="312"/>
        <v>0</v>
      </c>
      <c r="EL76" s="259">
        <f t="shared" si="257"/>
        <v>74</v>
      </c>
      <c r="EM76" s="259">
        <f ca="1">IF(AND(BA76&gt;0,BA76&lt;=$EM$1),MAX($EM$2:EM75)+1,0)</f>
        <v>0</v>
      </c>
      <c r="EN76" s="259">
        <f t="shared" ca="1" si="258"/>
        <v>76</v>
      </c>
      <c r="EP76" s="259" t="str">
        <f t="shared" ca="1" si="200"/>
        <v/>
      </c>
      <c r="EQ76" s="259">
        <f t="shared" ca="1" si="201"/>
        <v>0</v>
      </c>
      <c r="ER76" s="259">
        <f ca="1">IF(ISNA(EQ76),MAX(ER$2:ER75)+1,0)</f>
        <v>0</v>
      </c>
      <c r="ES76" s="259" t="str">
        <f t="shared" ca="1" si="259"/>
        <v/>
      </c>
      <c r="ET76" s="259" t="str">
        <f ca="1">IFERROR(UPPER(INDEX($ER$3:$ES$500,MATCH(ROWS(ET$3:ET76),$ER$3:$ER$500,0),2)),"")</f>
        <v/>
      </c>
      <c r="EY76" s="259">
        <f t="shared" ca="1" si="260"/>
        <v>0</v>
      </c>
      <c r="EZ76" s="259">
        <f t="shared" ca="1" si="260"/>
        <v>0</v>
      </c>
      <c r="FA76" s="259" t="str">
        <f t="shared" ca="1" si="261"/>
        <v/>
      </c>
      <c r="FB76" s="259">
        <f t="shared" ca="1" si="262"/>
        <v>0</v>
      </c>
      <c r="FC76" s="259">
        <f t="shared" ca="1" si="263"/>
        <v>0</v>
      </c>
      <c r="FD76" s="259">
        <f t="shared" ca="1" si="202"/>
        <v>0</v>
      </c>
      <c r="FE76" s="259" t="str">
        <f t="shared" ca="1" si="203"/>
        <v/>
      </c>
      <c r="FF76" s="259" t="str">
        <f t="shared" ca="1" si="264"/>
        <v/>
      </c>
      <c r="FG76" s="259" t="str">
        <f t="shared" si="265"/>
        <v>DEBITI DA LIQUIDARE</v>
      </c>
      <c r="FH76" s="259">
        <f t="shared" ca="1" si="156"/>
        <v>0</v>
      </c>
      <c r="FI76" s="259">
        <f t="shared" ca="1" si="204"/>
        <v>0</v>
      </c>
      <c r="FJ76" s="259">
        <f t="shared" ca="1" si="266"/>
        <v>0</v>
      </c>
      <c r="FK76" s="259">
        <f t="shared" ca="1" si="267"/>
        <v>0</v>
      </c>
      <c r="FL76" s="259">
        <f ca="1">IF(OR(FJ76&gt;0,FK76&gt;0),MAX($FL$2:FL75)+1,0)</f>
        <v>0</v>
      </c>
      <c r="FM76" s="259">
        <f t="shared" ca="1" si="205"/>
        <v>0</v>
      </c>
      <c r="FN76" s="259">
        <f ca="1">IF(FM76&lt;0,MAX($FN$2:FN75)+1,0)</f>
        <v>0</v>
      </c>
      <c r="FO76" s="259" t="str">
        <f t="shared" ca="1" si="268"/>
        <v/>
      </c>
      <c r="FP76" s="259" t="str">
        <f ca="1">IFERROR(INDEX($FN$3:$FO$400,MATCH(ROWS($FP$3:FP76),$FN$3:$FN$400,0),2),"")</f>
        <v/>
      </c>
      <c r="FQ76" s="259" t="str">
        <f>IF(AE76="SE AVERE",MAX($FQ$2:FQ75)+1,"")</f>
        <v/>
      </c>
      <c r="FR76" s="259" t="str">
        <f>IF(AE76="SE DARE",MAX($FR$2:FR75)+1,"")</f>
        <v/>
      </c>
      <c r="FS76" s="259" t="str">
        <f ca="1">IF(AND(AE76="SP DARE",AA76&lt;&gt;$FS$1,AA76&lt;&gt;$FT$1),MAX($FS$2:FS75)+1,IF(AND(GQ76="SP DARE",AA76&lt;&gt;$FS$1,AA76&lt;&gt;$FT$1),MAX($FS$2:FS75)+1,""))</f>
        <v/>
      </c>
      <c r="FT76" s="259">
        <f ca="1">IF(AND(AE76="SP AVERE",AA76&lt;&gt;$FU$1),MAX($FT$2:FT75)+1,IF(AND(GQ76="SP AVERE",AA76&lt;&gt;$FU$1),MAX($FT$2:FT75)+1,""))</f>
        <v>158</v>
      </c>
      <c r="FU76" s="259">
        <f t="shared" ca="1" si="269"/>
        <v>158</v>
      </c>
      <c r="FV76" s="259" t="str">
        <f t="shared" si="270"/>
        <v>DEBITI DA LIQUIDARE</v>
      </c>
      <c r="FW76" s="259" t="str">
        <f ca="1">IFERROR(INDEX($FU$3:$FV$500,MATCH(ROWS($FW$3:FW76),$FU$3:$FU$500,0),2),0)</f>
        <v>SCONTI PASSIVI BANCARI</v>
      </c>
      <c r="FX76" s="259">
        <f t="shared" ca="1" si="271"/>
        <v>74</v>
      </c>
      <c r="FY76" s="259">
        <f t="shared" ca="1" si="272"/>
        <v>0</v>
      </c>
      <c r="FZ76" s="259">
        <f ca="1">IF(FY76&gt;0,MAX($FZ$2:FZ75)+1,0)</f>
        <v>0</v>
      </c>
      <c r="GA76" s="259">
        <f ca="1">IFERROR(INDEX($FY$3:$FZ$500,MATCH(ROWS($GA$3:GA76),$FZ$3:$FZ$500,0),1),0)</f>
        <v>0</v>
      </c>
      <c r="GC76" s="259">
        <f t="shared" ca="1" si="273"/>
        <v>74</v>
      </c>
      <c r="GD76" s="259" t="str">
        <f t="shared" ca="1" si="274"/>
        <v>SCONTI PASSIVI BANCARI</v>
      </c>
      <c r="GG76" s="259">
        <f t="shared" ca="1" si="275"/>
        <v>0</v>
      </c>
      <c r="GH76" s="259">
        <f t="shared" ca="1" si="276"/>
        <v>0</v>
      </c>
      <c r="GI76" s="259">
        <f t="shared" ca="1" si="277"/>
        <v>0</v>
      </c>
      <c r="GJ76" s="259">
        <f t="shared" ca="1" si="278"/>
        <v>0</v>
      </c>
      <c r="GK76" s="259">
        <f t="shared" ca="1" si="279"/>
        <v>0</v>
      </c>
      <c r="GL76" s="259">
        <f t="shared" ca="1" si="280"/>
        <v>0</v>
      </c>
      <c r="GM76" s="259">
        <f ca="1">IF(OR(GK76&gt;0,GL76&gt;0),MAX($GM$2:GM75)+1,0)</f>
        <v>0</v>
      </c>
      <c r="GN76" s="259" t="str">
        <f ca="1">IFERROR(INDEX($GD$3:$GM$400,MATCH(ROWS($GN$3:GN76),$GM$3:$GM$400,0),1),"")</f>
        <v/>
      </c>
      <c r="GO76" s="259" t="str">
        <f ca="1">IFERROR(INDEX($GD$3:$GM$400,MATCH(ROWS($GO$3:GO76),$GM$3:$GM$400,0),8),"")</f>
        <v/>
      </c>
      <c r="GP76" s="259" t="str">
        <f ca="1">IFERROR(INDEX($GD$3:$GM$400,MATCH(ROWS($GP$3:GP76),$GM$3:$GM$400,0),9),"")</f>
        <v/>
      </c>
      <c r="GQ76" s="259">
        <f t="shared" ca="1" si="206"/>
        <v>0</v>
      </c>
      <c r="GR76" s="259">
        <f t="shared" ca="1" si="281"/>
        <v>0</v>
      </c>
      <c r="GS76" s="259" t="str">
        <f t="shared" si="282"/>
        <v>epilogo a Conto economico</v>
      </c>
      <c r="GT76" s="259" t="str">
        <f ca="1">IFERROR(INDEX($GD$3:$GS$400,MATCH(ROWS($GT$3:GT76),$GM$3:$GM$400,0),16),"")</f>
        <v/>
      </c>
      <c r="GU76" s="259">
        <f ca="1">IF(GQ76&lt;&gt;0,MAX($GU$2:$GU75)+1,0)</f>
        <v>0</v>
      </c>
      <c r="GV76" s="259">
        <f t="shared" ca="1" si="283"/>
        <v>0</v>
      </c>
      <c r="GW76" s="259" t="str">
        <f ca="1">IF(AND(IFERROR(INDEX($GU$3:$GV$400,MATCH(ROWS($GW$3:GW76),$GU$3:$GU$400,0),2),"")&lt;&gt;"",GW77&lt;&gt;""),CONCATENATE(IFERROR(INDEX($GU$3:$GV$400,MATCH(ROWS($GW$3:GW76),$GU$3:$GU$400,0),2),"")," - "),IFERROR(INDEX($GU$3:$GV$400,MATCH(ROWS($GW$3:GW76),$GU$3:$GU$400,0),2),""))</f>
        <v/>
      </c>
      <c r="GX76" s="259">
        <f ca="1">IF(OR(GN76="IVA NS/CREDITO",GN76="IVA NS/DEBITO",GN76="IVA C/ACCONTO",GN76="IMPOSTE C/ACCONTO"),MAX($GX$2:GX75)+1,0)</f>
        <v>0</v>
      </c>
      <c r="GY76" s="259" t="str">
        <f ca="1">IF(AND(IFERROR(INDEX($GN$3:$GX$200,MATCH(ROWS($GY$3:GY76),$GX$3:$GX$200,0),1),"")&lt;&gt;"",GY77&lt;&gt;""),CONCATENATE(IFERROR(INDEX($GN$3:$GX$200,MATCH(ROWS($GY$3:GY76),$GX$3:$GX$200,0),1),"")," - "),IFERROR(INDEX($GN$3:$GX$200,MATCH(ROWS($GY$3:GY76),$GX$3:$GX$200,0),1),""))</f>
        <v/>
      </c>
      <c r="GZ76" s="259" t="s">
        <v>101</v>
      </c>
      <c r="HA76" s="270" t="s">
        <v>100</v>
      </c>
      <c r="HL76" s="259" t="str">
        <f t="shared" ca="1" si="207"/>
        <v/>
      </c>
      <c r="HM76" s="259" t="str">
        <f t="shared" ca="1" si="208"/>
        <v/>
      </c>
      <c r="HN76" s="259" t="str">
        <f t="shared" ca="1" si="209"/>
        <v/>
      </c>
      <c r="HO76" s="259">
        <f ca="1">IF(HL76&lt;&gt;"",MAX($HO$2:HO75)+1,0)</f>
        <v>0</v>
      </c>
      <c r="HP76" s="259">
        <f ca="1">IF(HM76&lt;&gt;"",MAX($HP$2:HP75)+1,0)</f>
        <v>0</v>
      </c>
      <c r="HQ76" s="259">
        <f ca="1">IF(HN76&lt;&gt;"",MAX($HQ$2:HQ75)+1,0)</f>
        <v>0</v>
      </c>
      <c r="HR76" s="259" t="str">
        <f t="shared" ca="1" si="284"/>
        <v/>
      </c>
      <c r="HS76" s="259" t="str">
        <f t="shared" ca="1" si="285"/>
        <v/>
      </c>
      <c r="HT76" s="259">
        <f t="shared" ca="1" si="286"/>
        <v>0</v>
      </c>
      <c r="HU76" s="259">
        <f t="shared" ca="1" si="287"/>
        <v>0</v>
      </c>
      <c r="HV76" s="259" t="str">
        <f ca="1">CONCATENATE(IFERROR(INDEX($HS$3:$HT$102,MATCH(ROWS($HV$3:HV76),$HT$3:$HT$102,0),1),""),HR76)</f>
        <v/>
      </c>
      <c r="IA76" s="259" t="s">
        <v>391</v>
      </c>
      <c r="IB76" s="259" t="s">
        <v>335</v>
      </c>
      <c r="IC76" s="259">
        <f ca="1">IFERROR(INDEX(PIANO_DEI_CONTI,MATCH(ROWS(DL$3:DL76),$DK$3:DK303,0),2),0)</f>
        <v>0</v>
      </c>
      <c r="ID76" s="259">
        <f t="shared" ca="1" si="288"/>
        <v>0</v>
      </c>
      <c r="IE76" s="259">
        <f t="shared" ca="1" si="289"/>
        <v>0</v>
      </c>
      <c r="IF76" s="259">
        <f t="shared" ca="1" si="290"/>
        <v>0</v>
      </c>
      <c r="IG76" s="259">
        <f ca="1">-ROUND(SUMIFS($ID$3:$ID$200,$IF$3:$IF$200,IA76),0)</f>
        <v>0</v>
      </c>
      <c r="IH76" s="259">
        <f ca="1">IF(IG76&lt;&gt;0,MAX($IH$35:IH75)+1,0)</f>
        <v>0</v>
      </c>
      <c r="II76" s="259">
        <f>IF(AD76="costi pluriennali",MAX($II$2:II75)+1,0)</f>
        <v>0</v>
      </c>
      <c r="IJ76" s="259">
        <f>IF($AD76="rettifiche costi pluriennali",MAX($IJ$2:IJ75)+1,0)</f>
        <v>0</v>
      </c>
      <c r="IK76" s="259">
        <f t="shared" si="291"/>
        <v>0</v>
      </c>
      <c r="IL76" s="259" t="str">
        <f t="shared" si="292"/>
        <v/>
      </c>
      <c r="IM76" s="259">
        <f t="shared" ca="1" si="293"/>
        <v>0</v>
      </c>
      <c r="IN76" s="259">
        <f t="shared" ca="1" si="313"/>
        <v>0</v>
      </c>
      <c r="IO76" s="259">
        <f>SUMIFS($IM$3:$IM$200,$IK$3:$IK$200,ROWS($IO$3:IO76))-SUMIFS($IN$3:$IN$200,$IK$3:$IK$200,ROWS($IO$3:IO76))</f>
        <v>0</v>
      </c>
      <c r="IP76" s="259" t="str">
        <f>IF(IO76&lt;0,INDEX($IJ$3:$IL$200,MATCH(ROWS($IP$3:IP76),$IJ$3:$IJ$200,0),3),"")</f>
        <v/>
      </c>
      <c r="IQ76" s="259">
        <f>IF(IP76&lt;&gt;"",MAX($IQ$2:IQ75)+1,0)</f>
        <v>0</v>
      </c>
      <c r="IR76" s="259" t="str">
        <f ca="1">IFERROR(INDEX($IP$3:$IQ$200,MATCH(ROWS($IR$3:IR76),$IQ$3:$IQ$200,0),1),"")</f>
        <v/>
      </c>
      <c r="IS76" s="259" t="str">
        <f t="shared" ca="1" si="294"/>
        <v/>
      </c>
      <c r="IT76" s="259" t="str">
        <f t="shared" ca="1" si="295"/>
        <v/>
      </c>
      <c r="IU76" s="259" t="str">
        <f t="shared" ca="1" si="296"/>
        <v/>
      </c>
      <c r="IV76" s="259" t="str">
        <f t="shared" ca="1" si="297"/>
        <v/>
      </c>
      <c r="IW76" s="259" t="str">
        <f t="shared" ca="1" si="298"/>
        <v/>
      </c>
      <c r="IX76" s="259" t="str">
        <f t="shared" ca="1" si="299"/>
        <v/>
      </c>
      <c r="IY76" s="259" t="str">
        <f t="shared" ca="1" si="300"/>
        <v/>
      </c>
      <c r="IZ76" s="259" t="str">
        <f t="shared" ca="1" si="301"/>
        <v/>
      </c>
      <c r="JA76" s="259" t="str">
        <f t="shared" ca="1" si="302"/>
        <v/>
      </c>
      <c r="JB76" s="259">
        <f t="shared" ca="1" si="210"/>
        <v>0</v>
      </c>
      <c r="JC76" s="259">
        <f t="shared" ca="1" si="303"/>
        <v>0</v>
      </c>
      <c r="JE76" s="259">
        <f ca="1">IFERROR(INDEX(LIBRO_GIORNALE!$N$11:$O$408,MATCH(ROWS($JE$2:JE75),LIBRO_GIORNALE!$O$11:$O$408,0),1),0)</f>
        <v>0</v>
      </c>
      <c r="JF76" s="259" t="str">
        <f t="shared" ca="1" si="304"/>
        <v>0</v>
      </c>
      <c r="JG76" s="259">
        <f t="shared" ca="1" si="305"/>
        <v>0</v>
      </c>
      <c r="JH76" s="259">
        <f ca="1">IF(JJ76&gt;0,0,MAX($JH$2:JH75)+1)</f>
        <v>74</v>
      </c>
      <c r="JI76" s="259">
        <f ca="1">IF(JG76&gt;0,MAX($JI$2:JI75)+1,0)</f>
        <v>0</v>
      </c>
      <c r="JJ76" s="259">
        <f ca="1">IFERROR(INDEX($JG$3:$JI$124,MATCH(ROWS($JJ$3:JJ76),$JI$3:$JI$124,0),1),0)</f>
        <v>0</v>
      </c>
      <c r="JK76" s="259">
        <f t="shared" ca="1" si="306"/>
        <v>0</v>
      </c>
      <c r="JL76" s="259">
        <f t="shared" ca="1" si="307"/>
        <v>74</v>
      </c>
    </row>
    <row r="77" spans="1:272">
      <c r="A77" s="259" t="str">
        <f t="shared" si="211"/>
        <v>13.01</v>
      </c>
      <c r="B77" s="259" t="str">
        <f t="shared" si="212"/>
        <v>MUTUI PASSIVI</v>
      </c>
      <c r="C77" s="259" t="str">
        <f t="shared" si="213"/>
        <v>F</v>
      </c>
      <c r="D77" s="259" t="str">
        <f t="shared" si="214"/>
        <v>A</v>
      </c>
      <c r="E77" s="259" t="str">
        <f t="shared" si="215"/>
        <v>DEBITI</v>
      </c>
      <c r="F77" s="259" t="str">
        <f t="shared" si="216"/>
        <v>SP AVERE</v>
      </c>
      <c r="G77" s="259">
        <f t="shared" ca="1" si="217"/>
        <v>1</v>
      </c>
      <c r="H77" s="259">
        <f t="shared" ca="1" si="218"/>
        <v>1</v>
      </c>
      <c r="I77" s="259">
        <f t="shared" ca="1" si="219"/>
        <v>1</v>
      </c>
      <c r="K77" s="259" t="str">
        <f ca="1">IFERROR(IF($I$1=1,INDEX($AA$3:$AS$220,MATCH(ROWS($K$3:K77),$AQ$3:$AQ$220,0),1),IF($I$1=2,INDEX($AA$3:$AS$220,MATCH(ROWS($K$3:K77),$AR$3:$AR$220,0),1),IF($I$1=3,INDEX($AA$3:$AS$220,MATCH(ROWS($K$3:K77),$AS$3:$AS$220,0),1),""))),"")</f>
        <v>IVA NS/DEBITO</v>
      </c>
      <c r="L77" s="259">
        <f ca="1">IF(AND($L$1="VISUALIZZA TUTTI I CONTI",K77&lt;&gt;""),MAX(L76:L76)+1,IFERROR(IF($J$1=1,IF(INDEX(PIANO_DEI_CONTI,MATCH($K77,DENOMINAZIONE,0),5)=$L$1,MAX($L$2:L76)+1,0),IF($J$1=2,IF(INDEX(PIANO_DEI_CONTI,MATCH($K77,DENOMINAZIONE,0),7)=$L$1,MAX($L$2:L76)+1,0))),0))</f>
        <v>75</v>
      </c>
      <c r="M77" s="259" t="str">
        <f ca="1">IFERROR(INDEX($K$3:$K$220,MATCH(ROWS($M$3:M77),$L$3:$L$220,0),1),"")</f>
        <v>IVA NS/DEBITO</v>
      </c>
      <c r="Q77" s="259" t="str">
        <f ca="1">IF(IFERROR(INDEX($O$3:$P$220,MATCH(ROWS(Q$3:Q77),$P$3:$P$220,0),1),"")=0,"",IFERROR(INDEX($O$3:$P$220,MATCH(ROWS(Q$3:Q77),$P$3:$P$220,0),1),""))</f>
        <v/>
      </c>
      <c r="R77" s="259" t="str">
        <f t="shared" si="182"/>
        <v/>
      </c>
      <c r="S77" s="259">
        <f ca="1">IF(IFERROR(MATCH(R77,DENOMINAZIONE_GIORNALE,0),0)&gt;0,MAX(S$2:S76)+1,0)</f>
        <v>0</v>
      </c>
      <c r="T77" s="259" t="str">
        <f ca="1">IFERROR(INDEX($R$3:$S$220,MATCH(ROWS($T$3:T77),$S$3:$S$220,0),1),"")</f>
        <v/>
      </c>
      <c r="U77" s="259">
        <f t="shared" ca="1" si="183"/>
        <v>0</v>
      </c>
      <c r="V77" s="259">
        <f ca="1">IF(IF(U77&lt;&gt;0,MAX($V$2:V76)+1,0)=0,0,IF(U77&lt;&gt;0,MAX($V$2:V76)+1,0))</f>
        <v>0</v>
      </c>
      <c r="W77" s="259" t="str">
        <f t="shared" si="220"/>
        <v>13.01</v>
      </c>
      <c r="X77" s="259" t="str">
        <f t="shared" si="221"/>
        <v>MUTUI PASSIVI</v>
      </c>
      <c r="Y77" s="259">
        <f>IF(W77="",0,MAX($Y$2:Y76)+1)</f>
        <v>63</v>
      </c>
      <c r="Z77" s="259" t="str">
        <f>IFERROR(INDEX($W$3:$Y$220,MATCH(ROWS($Z$2:Z76),$Y$3:$Y$220,0),1),"")</f>
        <v>14.15</v>
      </c>
      <c r="AA77" s="259" t="str">
        <f t="shared" si="222"/>
        <v>DEBITI PER ACCONTI A FORNITORI</v>
      </c>
      <c r="AB77" s="259" t="str">
        <f t="shared" si="223"/>
        <v>F</v>
      </c>
      <c r="AC77" s="259" t="str">
        <f t="shared" si="224"/>
        <v>A</v>
      </c>
      <c r="AD77" s="259" t="str">
        <f t="shared" si="225"/>
        <v>DEBITI</v>
      </c>
      <c r="AE77" s="259" t="str">
        <f t="shared" si="226"/>
        <v>SP AVERE</v>
      </c>
      <c r="AF77" s="259" t="str">
        <f t="shared" si="227"/>
        <v>DEBITI COMMERCIALI</v>
      </c>
      <c r="AG77" s="259">
        <f t="shared" ca="1" si="228"/>
        <v>1</v>
      </c>
      <c r="AH77" s="259">
        <f t="shared" ca="1" si="229"/>
        <v>1</v>
      </c>
      <c r="AI77" s="259">
        <f t="shared" ca="1" si="230"/>
        <v>1</v>
      </c>
      <c r="AJ77" s="259" t="str">
        <f t="shared" si="231"/>
        <v>14</v>
      </c>
      <c r="AK77" s="259" t="str">
        <f t="shared" si="232"/>
        <v/>
      </c>
      <c r="AL77" s="259">
        <f>IF(AK77&lt;&gt;"",MAX($AL$2:AL76)+1,0)</f>
        <v>0</v>
      </c>
      <c r="AM77" s="259" t="str">
        <f>IFERROR(INDEX($AK$3:$AL$220,MATCH(ROWS($AM$3:AM77),$AL$3:$AL$220,0),1),"")</f>
        <v/>
      </c>
      <c r="AN77" s="259" t="str">
        <f t="shared" si="233"/>
        <v/>
      </c>
      <c r="AO77" s="259" t="str">
        <f t="shared" si="234"/>
        <v/>
      </c>
      <c r="AP77" s="259" t="str">
        <f t="shared" si="235"/>
        <v>DEBITI COMMERCIALI</v>
      </c>
      <c r="AQ77" s="259">
        <f ca="1">IF(OR(AG77=0,AG77=""),0,MAX(AQ$2:AQ76)+1)</f>
        <v>36</v>
      </c>
      <c r="AR77" s="259">
        <f ca="1">IF(OR(AH77=0,AH77=""),0,MAX(AR$2:AR76)+1)</f>
        <v>54</v>
      </c>
      <c r="AS77" s="259">
        <f ca="1">IF(OR(AI77=0,AI77=""),0,MAX(AS$2:AS76)+1)</f>
        <v>73</v>
      </c>
      <c r="AT77" s="259" t="str">
        <f ca="1">IFERROR(INDEX($AD$3:$AS$220,MATCH(ROWS(AT$3:AT77),AQ$3:AQ$220,0),1),"")</f>
        <v>COSTI D'ESERCIZIO</v>
      </c>
      <c r="AU77" s="259" t="str">
        <f ca="1">IFERROR(INDEX($AD$3:$AS$220,MATCH(ROWS(AU$3:AU77),AR$3:AR$220,0),1),"")</f>
        <v>RICAVI D'ESERCIZIO</v>
      </c>
      <c r="AV77" s="259" t="str">
        <f ca="1">IFERROR(INDEX($AD$3:$AS$220,MATCH(ROWS(AV$3:AV77),AS$3:AS$220,0),1),"")</f>
        <v>DEBITI</v>
      </c>
      <c r="AW77" s="259" t="str">
        <f ca="1">IFERROR(INDEX($AP$3:$AS$220,MATCH(ROWS(AW$3:AW77),AQ$3:AQ$220,0),1),"")</f>
        <v>COSTI PER SERVIZI</v>
      </c>
      <c r="AX77" s="259" t="str">
        <f ca="1">IFERROR(INDEX($AP$3:$AS$220,MATCH(ROWS(AX$3:AX77),AR$3:AR$220,0),1),"")</f>
        <v>VALORE DELLA PRODUZIONE</v>
      </c>
      <c r="AY77" s="259" t="str">
        <f ca="1">IFERROR(INDEX($AP$3:$AS$220,MATCH(ROWS(AY$3:AY77),AS$3:AS$220,0),1),"")</f>
        <v>DEBITI DIVERSI</v>
      </c>
      <c r="AZ77" s="276" t="str">
        <f t="shared" ca="1" si="236"/>
        <v/>
      </c>
      <c r="BA77" s="259">
        <f t="shared" ca="1" si="184"/>
        <v>0</v>
      </c>
      <c r="BB77" s="259">
        <f ca="1">IFERROR(INDEX($FG$3:$FL$400,MATCH(ROWS($BB$3:BB77),$FL$3:$FL$400,0),1),0)</f>
        <v>0</v>
      </c>
      <c r="BC77" s="259" t="str">
        <f t="shared" ca="1" si="237"/>
        <v/>
      </c>
      <c r="BD77" s="259">
        <f ca="1">IFERROR(INDEX($FG$3:$FL$400,MATCH(ROWS($BD$3:BD77),$FL$3:$FL$400,0),4),0)</f>
        <v>0</v>
      </c>
      <c r="BE77" s="259">
        <f ca="1">IFERROR(INDEX($FG$3:$FL$400,MATCH(ROWS($BE$3:BE77),$FL$3:$FL$400,0),5),0)</f>
        <v>0</v>
      </c>
      <c r="BG77" s="259" t="str">
        <f t="shared" si="185"/>
        <v>DEBITI PER ACCONTI A FORNITORI</v>
      </c>
      <c r="BH77" s="259">
        <f ca="1">IF(IFERROR(MATCH(BG77,DENOMINAZIONE_GIORNALE,0),0)&gt;0,MAX(BH$2:BH76)+1,0)</f>
        <v>0</v>
      </c>
      <c r="BI77" s="259" t="str">
        <f ca="1">IFERROR(INDEX($BG$3:$BH$220,MATCH(ROWS($BI$3:BI77),$BH$3:$BH$220,0),1),"")</f>
        <v/>
      </c>
      <c r="BJ77" s="259" t="str">
        <f t="shared" ca="1" si="186"/>
        <v/>
      </c>
      <c r="BK77" s="259" t="str">
        <f ca="1">IF(IF(BJ77&lt;&gt;"",MAX($BK$2:BK76)+1,0)=0,"",IF(BJ77&lt;&gt;"",MAX($BK$2:BK76)+1,0))</f>
        <v/>
      </c>
      <c r="BL77" s="259" t="str">
        <f ca="1">IFERROR(INDEX($T$3:$U$220, MATCH(ROWS(BL$3:BL77),$V$3:$V$220,0),1),"")</f>
        <v/>
      </c>
      <c r="BM77" s="259" t="str">
        <f ca="1">IFERROR(INDEX($T$3:$U$220, MATCH(ROWS(BM$3:BM77),$V$3:$V$220,0),2),"")</f>
        <v/>
      </c>
      <c r="BN77" s="259" t="str">
        <f ca="1">IF(IFERROR(INDEX($BI$3:$BJ$220,MATCH(ROWS(BN$3:BN77),$BK$3:$BK$220,0),1),"")="PATRIMONIO NETTO","",IFERROR(INDEX($BI$3:$BJ$220,MATCH(ROWS(BN$3:BN77),$BK$3:$BK$220,0),1),""))</f>
        <v/>
      </c>
      <c r="BO77" s="259" t="str">
        <f ca="1">IFERROR(INDEX($BI$3:$BJ$220,MATCH(ROWS(BO$3:BO77),$BK$3:$BK$220,0),2),"")</f>
        <v/>
      </c>
      <c r="BP77" s="259">
        <f ca="1">IF(BN77&lt;&gt;"",MAX(BP$2:$BP76)+1,0)</f>
        <v>0</v>
      </c>
      <c r="BQ77" s="259" t="str">
        <f ca="1">IFERROR(INDEX($BN$3:$BO$200,MATCH(ROWS(BQ$3:BQ77),$BP$3:$BP$220,0),1),"")</f>
        <v/>
      </c>
      <c r="BR77" s="259" t="str">
        <f ca="1">IFERROR(INDEX($BN$3:$BO$220,MATCH(ROWS(BR$3:BR77),$BP$3:$BP$220,0),2),"")</f>
        <v/>
      </c>
      <c r="BS77" s="259" t="str">
        <f ca="1">IFERROR(IF(OR(INDEX($T$3:$U$220,MATCH(ROWS(BL$3:BL77),$V$3:$V$220,0),1)="PRELEVAMENTI EXTRAGESTIONE",INDEX($T$3:$U$220,MATCH(ROWS(BL$3:BL77),$V$3:$V$220,0),1)="TITOLARE C/RITENUTE SUBITE"),"",INDEX($T$3:$U$220,MATCH(ROWS(BL$3:BL77),$V$3:$V$220,0),1)),"")</f>
        <v/>
      </c>
      <c r="BT77" s="259">
        <f t="shared" ca="1" si="238"/>
        <v>0</v>
      </c>
      <c r="BU77" s="259">
        <f ca="1">IF(BS77&lt;&gt;"",MAX(BU$2:BU76)+1,0)</f>
        <v>0</v>
      </c>
      <c r="BV77" s="259" t="str">
        <f ca="1">IFERROR(INDEX($BS$3:$BT$223,MATCH(ROWS(BV$3:BV77),$BU$3:$BU$223,0),1),"")</f>
        <v/>
      </c>
      <c r="BW77" s="259">
        <f t="shared" ca="1" si="239"/>
        <v>0</v>
      </c>
      <c r="BX77" s="259" t="str">
        <f t="shared" ca="1" si="240"/>
        <v/>
      </c>
      <c r="BY77" s="259" t="str">
        <f t="shared" ca="1" si="241"/>
        <v/>
      </c>
      <c r="BZ77" s="259" t="str">
        <f ca="1">IFERROR(IF(OR($DS$231&lt;&gt;$DT$231,$DU$231&lt;&gt;$DV$231,$EO$25&lt;&gt;0,$EO$26&lt;&gt;0),INDEX($T$3:$V$220,MATCH(ROWS($BV$3:BV77),$V$3:$V$220,0),1),CONCATENATE(BV77,BY77)),"")</f>
        <v/>
      </c>
      <c r="CA77" s="259">
        <f t="shared" ca="1" si="242"/>
        <v>0</v>
      </c>
      <c r="CB77" s="259" t="str">
        <f ca="1">IFERROR(IF(OR($BB$1&lt;&gt;$BD$1,$BC$1&lt;&gt;$BE$1,$DS$231&lt;&gt;$DT$231,$DU$231&lt;&gt;$DV$231,$EO$25&lt;&gt;0,$EO$26&lt;&gt;0),INDEX($BI$3:$BK$220,MATCH(ROWS($CB$3:CB77),$BK$3:$BK$220,0),1),CONCATENATE(BQ77,BX77)),"")</f>
        <v/>
      </c>
      <c r="CC77" s="259" t="str">
        <f t="shared" ca="1" si="243"/>
        <v/>
      </c>
      <c r="CD77" s="259" t="str">
        <f t="shared" si="187"/>
        <v/>
      </c>
      <c r="CE77" s="259">
        <f ca="1">IF(IFERROR(MATCH(CD77,DENOMINAZIONE_GIORNALE,0),0)&gt;0,MAX(CE$2:CE76)+1,0)</f>
        <v>0</v>
      </c>
      <c r="CF77" s="259" t="str">
        <f ca="1">IFERROR(INDEX($CD$3:$CE$220,MATCH(ROWS($CF$3:CF77),$CE$3:$CE$220,0),1),"")</f>
        <v/>
      </c>
      <c r="CG77" s="259">
        <f t="shared" ca="1" si="188"/>
        <v>0</v>
      </c>
      <c r="CH77" s="259" t="str">
        <f ca="1">IF(IF(CG77&lt;&gt;0,MAX($CH$2:CH76)+1,0)=0,"",IF(CG77&lt;&gt;"",MAX($CH$2:CH76)+1,0))</f>
        <v/>
      </c>
      <c r="CI77" s="259" t="str">
        <f ca="1">IFERROR(INDEX($CF$3:$CG$220,MATCH(ROWS($CI$3:CI77),$CH$3:$CH$220,0),1),"")</f>
        <v/>
      </c>
      <c r="CJ77" s="259" t="str">
        <f t="shared" ca="1" si="244"/>
        <v/>
      </c>
      <c r="CK77" s="259" t="str">
        <f t="shared" si="189"/>
        <v/>
      </c>
      <c r="CL77" s="259">
        <f ca="1">IF(IFERROR(MATCH(CK77,DENOMINAZIONE_GIORNALE,0),0)&gt;0,MAX(CL$2:CL76)+1,0)</f>
        <v>0</v>
      </c>
      <c r="CM77" s="259" t="str">
        <f ca="1">IFERROR(INDEX($CK$3:$CL$220,MATCH(ROWS($CM$3:CM77),$CL$3:$CL$220,0),1),"")</f>
        <v/>
      </c>
      <c r="CN77" s="259" t="str">
        <f t="shared" ca="1" si="190"/>
        <v/>
      </c>
      <c r="CO77" s="259">
        <f ca="1">IF(IF(CN77&lt;&gt;0,MAX($CO$2:CO76)+1,0)=0,"",IF(CN77&lt;&gt;"",MAX($CO$2:CO76)+1,0))</f>
        <v>0</v>
      </c>
      <c r="CP77" s="259" t="str">
        <f ca="1">IFERROR(INDEX($CM$3:$CN$220,MATCH(ROWS(CP$3:CP77),$CO$3:$CO$220,0),1),"")</f>
        <v/>
      </c>
      <c r="CQ77" s="259" t="str">
        <f ca="1">IFERROR(INDEX($CM$3:$CN$220,MATCH(ROWS(CQ$3:CQ77),$CO$3:$CO$220,0),2),"")</f>
        <v/>
      </c>
      <c r="CR77" s="259" t="str">
        <f t="shared" ca="1" si="191"/>
        <v/>
      </c>
      <c r="CS77" s="259">
        <f t="shared" ca="1" si="192"/>
        <v>0</v>
      </c>
      <c r="CT77" s="259">
        <f t="shared" ca="1" si="193"/>
        <v>0</v>
      </c>
      <c r="CU77" s="259">
        <f ca="1">IF(OR(CS77&gt;0,CT77&gt;0),MAX($CU$2:CU76)+1,0)</f>
        <v>0</v>
      </c>
      <c r="CV77" s="259" t="str">
        <f ca="1">IFERROR(INDEX(PIANO_DEI_CONTI,MATCH(ROWS($CV$3:CV77),$CU$3:$CU$200,0),2),"")</f>
        <v/>
      </c>
      <c r="CW77" s="259">
        <f ca="1">IFERROR(IF(CV77&lt;&gt;"",MAX($CW$2:CW76)+1,0),0)</f>
        <v>0</v>
      </c>
      <c r="CX77" s="259">
        <f t="shared" ca="1" si="315"/>
        <v>5</v>
      </c>
      <c r="CY77" s="259" t="str">
        <f t="shared" ca="1" si="308"/>
        <v>MASTRO</v>
      </c>
      <c r="CZ77" s="259" t="e">
        <f t="shared" ref="CZ77:CZ91" ca="1" si="317">SUM(MATCH($CY77,INDIRECT(ADDRESS(SUM(CZ76)+3,54)&amp;":"&amp;ADDRESS(400,54)),0),CZ76)</f>
        <v>#N/A</v>
      </c>
      <c r="DA77" s="259" t="str">
        <f ca="1">IFERROR(INDEX(LIBRO_GIORNALE,CZ77,1),"")</f>
        <v/>
      </c>
      <c r="DB77" s="259" t="str">
        <f t="shared" ref="DB77:DB91" ca="1" si="318">IF(RIGHT(TEXT(IFERROR(INDEX(LIBRO_GIORNALE,CZ77,2),""),"gg/mm/aa"),1)="a",TEXT(IFERROR(INDEX(LIBRO_GIORNALE,CZ77,2),""),"dd/mm/yy"),TEXT(IFERROR(INDEX(LIBRO_GIORNALE,CZ77,2),""),"gg/mm/aa"))</f>
        <v/>
      </c>
      <c r="DC77" s="259" t="str">
        <f t="shared" ref="DC77:DC91" ca="1" si="319">IF(IFERROR(INDEX(LIBRO_GIORNALE,CZ77,4),"")=0,"manca la descrizione dell'operazione",IFERROR(INDEX(LIBRO_GIORNALE,CZ77,4),""))</f>
        <v/>
      </c>
      <c r="DD77" s="259" t="str">
        <f t="shared" ref="DD77:DD91" ca="1" si="320">IFERROR(IF(INDEX(LIBRO_GIORNALE,CZ77,5)&gt;0,INDEX(LIBRO_GIORNALE,CZ77,5),""),"")</f>
        <v/>
      </c>
      <c r="DE77" s="259" t="str">
        <f t="shared" ref="DE77:DE91" ca="1" si="321">IFERROR(IF(INDEX(LIBRO_GIORNALE,CZ77,6)&gt;0,INDEX(LIBRO_GIORNALE,CZ77,6),""),"")</f>
        <v/>
      </c>
      <c r="DF77" s="259">
        <f ca="1">IF(AND(CX77=$DE$2,$DF$2&lt;&gt;0),0,IF(AND(DB77&lt;&gt;"",OR(DB76&lt;&gt;"",DB78&lt;&gt;"")),MAX($DF$2:DF76)+1,0))</f>
        <v>0</v>
      </c>
      <c r="DG77" s="259" t="str">
        <f>IF(OR(VALORI_INIZIALI!E82="",AND(VALORI_INIZIALI!E82&lt;&gt;"",VALORI_INIZIALI!H82=0,VALORI_INIZIALI!I82=0)),"",IFERROR(INDEX(PIANO_DEI_CONTI,MATCH(BB77,DENOMINAZIONE,0),1),0))</f>
        <v/>
      </c>
      <c r="DH77" s="259">
        <f ca="1">IFERROR(IF($J$1=1,IF(INDEX(PIANO_DEI_CONTI,MATCH($K77,DENOMINAZIONE,0),5)=$DF$1,MAX($DH$2:DH76)+1,0),IF($J$1=2,IF(INDEX(PIANO_DEI_CONTI,MATCH($K77,DENOMINAZIONE,0),7)=$DF$1,MAX($DH$2:DH76)+1,0))),0)</f>
        <v>0</v>
      </c>
      <c r="DI77" s="259">
        <f ca="1">IFERROR(INDEX($K$3:$K$220,MATCH(ROWS($DI$3:DI77),$DH$3:$DH$220,0),1),0)</f>
        <v>0</v>
      </c>
      <c r="DJ77" s="259">
        <f t="shared" ca="1" si="194"/>
        <v>0</v>
      </c>
      <c r="DK77" s="259">
        <f ca="1">IF(DJ77=0,0,MAX(DK$2:DK76)+1)</f>
        <v>0</v>
      </c>
      <c r="DL77" s="259">
        <f ca="1">IFERROR(INDEX(PIANO_DEI_CONTI,MATCH(ROWS(DL$3:DL77),$DK$3:DK304,0),2),0)</f>
        <v>0</v>
      </c>
      <c r="DM77" s="259">
        <f t="shared" ca="1" si="195"/>
        <v>0</v>
      </c>
      <c r="DN77" s="259">
        <f t="shared" ca="1" si="196"/>
        <v>0</v>
      </c>
      <c r="DO77" s="259">
        <f t="shared" ca="1" si="245"/>
        <v>0</v>
      </c>
      <c r="DP77" s="259">
        <f t="shared" ca="1" si="246"/>
        <v>0</v>
      </c>
      <c r="DQ77" s="259">
        <f ca="1">IF(OR($DQ$1="TOTALI",$DQ$1="TOTALI ED ECCEDENZE"),IF(OR(DM77&gt;0,DN77&gt;0),MAX(DQ$2:DQ76)+1,0),IF($DQ$1="ECCEDENZE",IF(OR(DO77&gt;0,DP77&gt;0),MAX(DQ$2:DQ76)+1,0),""))</f>
        <v>0</v>
      </c>
      <c r="DR77" s="259" t="str">
        <f ca="1">IFERROR(INDEX($DL$3:$DQ$230,MATCH(ROWS(DR$3:DR77),$DQ$3:$DQ$230,0),1),"")</f>
        <v/>
      </c>
      <c r="DS77" s="259" t="str">
        <f t="shared" ca="1" si="247"/>
        <v/>
      </c>
      <c r="DT77" s="259" t="str">
        <f t="shared" ca="1" si="248"/>
        <v/>
      </c>
      <c r="DU77" s="259" t="str">
        <f t="shared" ca="1" si="249"/>
        <v/>
      </c>
      <c r="DV77" s="259" t="str">
        <f t="shared" ca="1" si="250"/>
        <v/>
      </c>
      <c r="DW77" s="259">
        <f t="shared" ca="1" si="251"/>
        <v>0</v>
      </c>
      <c r="DX77" s="259" t="str">
        <f t="shared" ca="1" si="252"/>
        <v/>
      </c>
      <c r="DY77" s="259" t="str">
        <f t="shared" ca="1" si="253"/>
        <v/>
      </c>
      <c r="DZ77" s="259" t="str">
        <f t="shared" ca="1" si="254"/>
        <v/>
      </c>
      <c r="EA77" s="259">
        <f t="shared" ca="1" si="255"/>
        <v>75</v>
      </c>
      <c r="EB77" s="259" t="s">
        <v>361</v>
      </c>
      <c r="ED77" s="259">
        <f t="shared" ca="1" si="197"/>
        <v>0</v>
      </c>
      <c r="EE77" s="259" t="str">
        <f t="shared" ca="1" si="198"/>
        <v/>
      </c>
      <c r="EF77" s="259" t="str">
        <f t="shared" ca="1" si="199"/>
        <v/>
      </c>
      <c r="EG77" s="259" t="str">
        <f t="shared" ca="1" si="309"/>
        <v/>
      </c>
      <c r="EH77" s="259" t="str">
        <f t="shared" ca="1" si="256"/>
        <v/>
      </c>
      <c r="EI77" s="260" t="b">
        <f t="shared" ca="1" si="310"/>
        <v>1</v>
      </c>
      <c r="EJ77" s="260" t="b">
        <f t="shared" ca="1" si="311"/>
        <v>1</v>
      </c>
      <c r="EK77" s="260" t="b">
        <f t="shared" ca="1" si="312"/>
        <v>1</v>
      </c>
      <c r="EL77" s="259">
        <f t="shared" si="257"/>
        <v>75</v>
      </c>
      <c r="EM77" s="259">
        <f ca="1">IF(AND(BA77&gt;0,BA77&lt;=$EM$1),MAX($EM$2:EM76)+1,0)</f>
        <v>0</v>
      </c>
      <c r="EN77" s="259">
        <f t="shared" ca="1" si="258"/>
        <v>77</v>
      </c>
      <c r="EP77" s="259" t="str">
        <f t="shared" ca="1" si="200"/>
        <v/>
      </c>
      <c r="EQ77" s="259">
        <f t="shared" ca="1" si="201"/>
        <v>0</v>
      </c>
      <c r="ER77" s="259">
        <f ca="1">IF(ISNA(EQ77),MAX(ER$2:ER76)+1,0)</f>
        <v>0</v>
      </c>
      <c r="ES77" s="259" t="str">
        <f t="shared" ca="1" si="259"/>
        <v/>
      </c>
      <c r="ET77" s="259" t="str">
        <f ca="1">IFERROR(UPPER(INDEX($ER$3:$ES$500,MATCH(ROWS(ET$3:ET77),$ER$3:$ER$500,0),2)),"")</f>
        <v/>
      </c>
      <c r="EY77" s="259">
        <f t="shared" ca="1" si="260"/>
        <v>0</v>
      </c>
      <c r="EZ77" s="259">
        <f t="shared" ca="1" si="260"/>
        <v>0</v>
      </c>
      <c r="FA77" s="259" t="str">
        <f t="shared" ca="1" si="261"/>
        <v/>
      </c>
      <c r="FB77" s="259">
        <f t="shared" ca="1" si="262"/>
        <v>0</v>
      </c>
      <c r="FC77" s="259">
        <f t="shared" ca="1" si="263"/>
        <v>0</v>
      </c>
      <c r="FD77" s="259">
        <f t="shared" ca="1" si="202"/>
        <v>0</v>
      </c>
      <c r="FE77" s="259" t="str">
        <f t="shared" ca="1" si="203"/>
        <v/>
      </c>
      <c r="FF77" s="259" t="str">
        <f t="shared" ca="1" si="264"/>
        <v/>
      </c>
      <c r="FG77" s="259" t="str">
        <f t="shared" si="265"/>
        <v>DEBITI PER ACCONTI A FORNITORI</v>
      </c>
      <c r="FH77" s="259">
        <f t="shared" ca="1" si="156"/>
        <v>0</v>
      </c>
      <c r="FI77" s="259">
        <f t="shared" ca="1" si="204"/>
        <v>0</v>
      </c>
      <c r="FJ77" s="259">
        <f t="shared" ca="1" si="266"/>
        <v>0</v>
      </c>
      <c r="FK77" s="259">
        <f t="shared" ca="1" si="267"/>
        <v>0</v>
      </c>
      <c r="FL77" s="259">
        <f ca="1">IF(OR(FJ77&gt;0,FK77&gt;0),MAX($FL$2:FL76)+1,0)</f>
        <v>0</v>
      </c>
      <c r="FM77" s="259">
        <f t="shared" ca="1" si="205"/>
        <v>0</v>
      </c>
      <c r="FN77" s="259">
        <f ca="1">IF(FM77&lt;0,MAX($FN$2:FN76)+1,0)</f>
        <v>0</v>
      </c>
      <c r="FO77" s="259" t="str">
        <f t="shared" ca="1" si="268"/>
        <v/>
      </c>
      <c r="FP77" s="259" t="str">
        <f ca="1">IFERROR(INDEX($FN$3:$FO$400,MATCH(ROWS($FP$3:FP77),$FN$3:$FN$400,0),2),"")</f>
        <v/>
      </c>
      <c r="FQ77" s="259" t="str">
        <f>IF(AE77="SE AVERE",MAX($FQ$2:FQ76)+1,"")</f>
        <v/>
      </c>
      <c r="FR77" s="259" t="str">
        <f>IF(AE77="SE DARE",MAX($FR$2:FR76)+1,"")</f>
        <v/>
      </c>
      <c r="FS77" s="259" t="str">
        <f ca="1">IF(AND(AE77="SP DARE",AA77&lt;&gt;$FS$1,AA77&lt;&gt;$FT$1),MAX($FS$2:FS76)+1,IF(AND(GQ77="SP DARE",AA77&lt;&gt;$FS$1,AA77&lt;&gt;$FT$1),MAX($FS$2:FS76)+1,""))</f>
        <v/>
      </c>
      <c r="FT77" s="259">
        <f ca="1">IF(AND(AE77="SP AVERE",AA77&lt;&gt;$FU$1),MAX($FT$2:FT76)+1,IF(AND(GQ77="SP AVERE",AA77&lt;&gt;$FU$1),MAX($FT$2:FT76)+1,""))</f>
        <v>159</v>
      </c>
      <c r="FU77" s="259">
        <f t="shared" ca="1" si="269"/>
        <v>159</v>
      </c>
      <c r="FV77" s="259" t="str">
        <f t="shared" si="270"/>
        <v>DEBITI PER ACCONTI A FORNITORI</v>
      </c>
      <c r="FW77" s="259" t="str">
        <f ca="1">IFERROR(INDEX($FU$3:$FV$500,MATCH(ROWS($FW$3:FW77),$FU$3:$FU$500,0),2),0)</f>
        <v>INTERESSI PASSIVI SU MUTUI</v>
      </c>
      <c r="FX77" s="259">
        <f t="shared" ca="1" si="271"/>
        <v>75</v>
      </c>
      <c r="FY77" s="259">
        <f t="shared" ca="1" si="272"/>
        <v>0</v>
      </c>
      <c r="FZ77" s="259">
        <f ca="1">IF(FY77&gt;0,MAX($FZ$2:FZ76)+1,0)</f>
        <v>0</v>
      </c>
      <c r="GA77" s="259">
        <f ca="1">IFERROR(INDEX($FY$3:$FZ$500,MATCH(ROWS($GA$3:GA77),$FZ$3:$FZ$500,0),1),0)</f>
        <v>0</v>
      </c>
      <c r="GC77" s="259">
        <f t="shared" ca="1" si="273"/>
        <v>75</v>
      </c>
      <c r="GD77" s="259" t="str">
        <f t="shared" ca="1" si="274"/>
        <v>INTERESSI PASSIVI SU MUTUI</v>
      </c>
      <c r="GG77" s="259">
        <f t="shared" ca="1" si="275"/>
        <v>0</v>
      </c>
      <c r="GH77" s="259">
        <f t="shared" ca="1" si="276"/>
        <v>0</v>
      </c>
      <c r="GI77" s="259">
        <f t="shared" ca="1" si="277"/>
        <v>0</v>
      </c>
      <c r="GJ77" s="259">
        <f t="shared" ca="1" si="278"/>
        <v>0</v>
      </c>
      <c r="GK77" s="259">
        <f t="shared" ca="1" si="279"/>
        <v>0</v>
      </c>
      <c r="GL77" s="259">
        <f t="shared" ca="1" si="280"/>
        <v>0</v>
      </c>
      <c r="GM77" s="259">
        <f ca="1">IF(OR(GK77&gt;0,GL77&gt;0),MAX($GM$2:GM76)+1,0)</f>
        <v>0</v>
      </c>
      <c r="GN77" s="259" t="str">
        <f ca="1">IFERROR(INDEX($GD$3:$GM$400,MATCH(ROWS($GN$3:GN77),$GM$3:$GM$400,0),1),"")</f>
        <v/>
      </c>
      <c r="GO77" s="259" t="str">
        <f ca="1">IFERROR(INDEX($GD$3:$GM$400,MATCH(ROWS($GO$3:GO77),$GM$3:$GM$400,0),8),"")</f>
        <v/>
      </c>
      <c r="GP77" s="259" t="str">
        <f ca="1">IFERROR(INDEX($GD$3:$GM$400,MATCH(ROWS($GP$3:GP77),$GM$3:$GM$400,0),9),"")</f>
        <v/>
      </c>
      <c r="GQ77" s="259">
        <f t="shared" ca="1" si="206"/>
        <v>0</v>
      </c>
      <c r="GR77" s="259">
        <f t="shared" ca="1" si="281"/>
        <v>0</v>
      </c>
      <c r="GS77" s="259" t="str">
        <f t="shared" si="282"/>
        <v>epilogo a Conto economico</v>
      </c>
      <c r="GT77" s="259" t="str">
        <f ca="1">IFERROR(INDEX($GD$3:$GS$400,MATCH(ROWS($GT$3:GT77),$GM$3:$GM$400,0),16),"")</f>
        <v/>
      </c>
      <c r="GU77" s="259">
        <f ca="1">IF(GQ77&lt;&gt;0,MAX($GU$2:$GU76)+1,0)</f>
        <v>0</v>
      </c>
      <c r="GV77" s="259">
        <f t="shared" ca="1" si="283"/>
        <v>0</v>
      </c>
      <c r="GW77" s="259" t="str">
        <f ca="1">IF(AND(IFERROR(INDEX($GU$3:$GV$400,MATCH(ROWS($GW$3:GW77),$GU$3:$GU$400,0),2),"")&lt;&gt;"",GW78&lt;&gt;""),CONCATENATE(IFERROR(INDEX($GU$3:$GV$400,MATCH(ROWS($GW$3:GW77),$GU$3:$GU$400,0),2),"")," - "),IFERROR(INDEX($GU$3:$GV$400,MATCH(ROWS($GW$3:GW77),$GU$3:$GU$400,0),2),""))</f>
        <v/>
      </c>
      <c r="GX77" s="259">
        <f ca="1">IF(OR(GN77="IVA NS/CREDITO",GN77="IVA NS/DEBITO",GN77="IVA C/ACCONTO",GN77="IMPOSTE C/ACCONTO"),MAX($GX$2:GX76)+1,0)</f>
        <v>0</v>
      </c>
      <c r="GY77" s="259" t="str">
        <f ca="1">IF(AND(IFERROR(INDEX($GN$3:$GX$200,MATCH(ROWS($GY$3:GY77),$GX$3:$GX$200,0),1),"")&lt;&gt;"",GY78&lt;&gt;""),CONCATENATE(IFERROR(INDEX($GN$3:$GX$200,MATCH(ROWS($GY$3:GY77),$GX$3:$GX$200,0),1),"")," - "),IFERROR(INDEX($GN$3:$GX$200,MATCH(ROWS($GY$3:GY77),$GX$3:$GX$200,0),1),""))</f>
        <v/>
      </c>
      <c r="GZ77" s="259" t="s">
        <v>636</v>
      </c>
      <c r="HA77" s="259" t="s">
        <v>102</v>
      </c>
      <c r="HB77" s="269" t="s">
        <v>257</v>
      </c>
      <c r="HC77" s="269" t="s">
        <v>211</v>
      </c>
      <c r="HD77" s="269" t="s">
        <v>5</v>
      </c>
      <c r="HE77" s="269" t="s">
        <v>212</v>
      </c>
      <c r="HL77" s="259" t="str">
        <f t="shared" ca="1" si="207"/>
        <v/>
      </c>
      <c r="HM77" s="259" t="str">
        <f t="shared" ca="1" si="208"/>
        <v/>
      </c>
      <c r="HN77" s="259" t="str">
        <f t="shared" ca="1" si="209"/>
        <v/>
      </c>
      <c r="HO77" s="259">
        <f ca="1">IF(HL77&lt;&gt;"",MAX($HO$2:HO76)+1,0)</f>
        <v>0</v>
      </c>
      <c r="HP77" s="259">
        <f ca="1">IF(HM77&lt;&gt;"",MAX($HP$2:HP76)+1,0)</f>
        <v>0</v>
      </c>
      <c r="HQ77" s="259">
        <f ca="1">IF(HN77&lt;&gt;"",MAX($HQ$2:HQ76)+1,0)</f>
        <v>0</v>
      </c>
      <c r="HR77" s="259" t="str">
        <f t="shared" ca="1" si="284"/>
        <v/>
      </c>
      <c r="HS77" s="259" t="str">
        <f t="shared" ca="1" si="285"/>
        <v/>
      </c>
      <c r="HT77" s="259">
        <f t="shared" ca="1" si="286"/>
        <v>0</v>
      </c>
      <c r="HU77" s="259">
        <f t="shared" ca="1" si="287"/>
        <v>0</v>
      </c>
      <c r="HV77" s="259" t="str">
        <f ca="1">CONCATENATE(IFERROR(INDEX($HS$3:$HT$102,MATCH(ROWS($HV$3:HV77),$HT$3:$HT$102,0),1),""),HR77)</f>
        <v/>
      </c>
      <c r="IA77" s="259" t="s">
        <v>392</v>
      </c>
      <c r="IB77" s="259" t="s">
        <v>336</v>
      </c>
      <c r="IC77" s="259">
        <f ca="1">IFERROR(INDEX(PIANO_DEI_CONTI,MATCH(ROWS(DL$3:DL77),$DK$3:DK304,0),2),0)</f>
        <v>0</v>
      </c>
      <c r="ID77" s="259">
        <f t="shared" ca="1" si="288"/>
        <v>0</v>
      </c>
      <c r="IE77" s="259">
        <f t="shared" ca="1" si="289"/>
        <v>0</v>
      </c>
      <c r="IF77" s="259">
        <f t="shared" ca="1" si="290"/>
        <v>0</v>
      </c>
      <c r="IG77" s="259">
        <f ca="1">IF(SUMIFS($ID$3:$ID$200,$IF$3:$IF$200,IA77)&lt;=SUMIFS($IE$3:$IE$200,$IF$3:$IF$200,IA77),SUMIFS($IE$3:$IE$200,$IF$3:$IF$200,IA77)-SUMIFS($ID$3:$ID$200,$IF$3:$IF$200,IA77),0)</f>
        <v>0</v>
      </c>
      <c r="IH77" s="259">
        <f ca="1">IF(IG77&lt;&gt;0,MAX($IH$35:IH76)+1,0)</f>
        <v>0</v>
      </c>
      <c r="II77" s="259">
        <f>IF(AD77="costi pluriennali",MAX($II$2:II76)+1,0)</f>
        <v>0</v>
      </c>
      <c r="IJ77" s="259">
        <f>IF($AD77="rettifiche costi pluriennali",MAX($IJ$2:IJ76)+1,0)</f>
        <v>0</v>
      </c>
      <c r="IK77" s="259">
        <f t="shared" si="291"/>
        <v>0</v>
      </c>
      <c r="IL77" s="259" t="str">
        <f t="shared" si="292"/>
        <v/>
      </c>
      <c r="IM77" s="259">
        <f t="shared" ca="1" si="293"/>
        <v>0</v>
      </c>
      <c r="IN77" s="259">
        <f t="shared" ca="1" si="313"/>
        <v>0</v>
      </c>
      <c r="IO77" s="259">
        <f>SUMIFS($IM$3:$IM$200,$IK$3:$IK$200,ROWS($IO$3:IO77))-SUMIFS($IN$3:$IN$200,$IK$3:$IK$200,ROWS($IO$3:IO77))</f>
        <v>0</v>
      </c>
      <c r="IP77" s="259" t="str">
        <f>IF(IO77&lt;0,INDEX($IJ$3:$IL$200,MATCH(ROWS($IP$3:IP77),$IJ$3:$IJ$200,0),3),"")</f>
        <v/>
      </c>
      <c r="IQ77" s="259">
        <f>IF(IP77&lt;&gt;"",MAX($IQ$2:IQ76)+1,0)</f>
        <v>0</v>
      </c>
      <c r="IR77" s="259" t="str">
        <f ca="1">IFERROR(INDEX($IP$3:$IQ$200,MATCH(ROWS($IR$3:IR77),$IQ$3:$IQ$200,0),1),"")</f>
        <v/>
      </c>
      <c r="IS77" s="259" t="str">
        <f t="shared" ca="1" si="294"/>
        <v/>
      </c>
      <c r="IT77" s="259" t="str">
        <f t="shared" ca="1" si="295"/>
        <v/>
      </c>
      <c r="IU77" s="259" t="str">
        <f t="shared" ca="1" si="296"/>
        <v/>
      </c>
      <c r="IV77" s="259" t="str">
        <f t="shared" ca="1" si="297"/>
        <v/>
      </c>
      <c r="IW77" s="259" t="str">
        <f t="shared" ca="1" si="298"/>
        <v/>
      </c>
      <c r="IX77" s="259" t="str">
        <f t="shared" ca="1" si="299"/>
        <v/>
      </c>
      <c r="IY77" s="259" t="str">
        <f t="shared" ca="1" si="300"/>
        <v/>
      </c>
      <c r="IZ77" s="259" t="str">
        <f t="shared" ca="1" si="301"/>
        <v/>
      </c>
      <c r="JA77" s="259" t="str">
        <f t="shared" ca="1" si="302"/>
        <v/>
      </c>
      <c r="JB77" s="259">
        <f t="shared" ca="1" si="210"/>
        <v>0</v>
      </c>
      <c r="JC77" s="259">
        <f t="shared" ca="1" si="303"/>
        <v>0</v>
      </c>
      <c r="JE77" s="259">
        <f ca="1">IFERROR(INDEX(LIBRO_GIORNALE!$N$11:$O$408,MATCH(ROWS($JE$2:JE76),LIBRO_GIORNALE!$O$11:$O$408,0),1),0)</f>
        <v>0</v>
      </c>
      <c r="JF77" s="259" t="str">
        <f t="shared" ca="1" si="304"/>
        <v>0</v>
      </c>
      <c r="JG77" s="259">
        <f t="shared" ca="1" si="305"/>
        <v>0</v>
      </c>
      <c r="JH77" s="259">
        <f ca="1">IF(JJ77&gt;0,0,MAX($JH$2:JH76)+1)</f>
        <v>75</v>
      </c>
      <c r="JI77" s="259">
        <f ca="1">IF(JG77&gt;0,MAX($JI$2:JI76)+1,0)</f>
        <v>0</v>
      </c>
      <c r="JJ77" s="259">
        <f ca="1">IFERROR(INDEX($JG$3:$JI$124,MATCH(ROWS($JJ$3:JJ77),$JI$3:$JI$124,0),1),0)</f>
        <v>0</v>
      </c>
      <c r="JK77" s="259">
        <f t="shared" ca="1" si="306"/>
        <v>0</v>
      </c>
      <c r="JL77" s="259">
        <f t="shared" ca="1" si="307"/>
        <v>75</v>
      </c>
    </row>
    <row r="78" spans="1:272">
      <c r="A78" s="259" t="str">
        <f t="shared" si="211"/>
        <v>13.10</v>
      </c>
      <c r="B78" s="259" t="str">
        <f t="shared" si="212"/>
        <v>BANCHE C/RI.BA. SBF</v>
      </c>
      <c r="C78" s="259" t="str">
        <f t="shared" si="213"/>
        <v>F</v>
      </c>
      <c r="D78" s="259" t="str">
        <f t="shared" si="214"/>
        <v>A</v>
      </c>
      <c r="E78" s="259" t="str">
        <f t="shared" si="215"/>
        <v>DEBITI</v>
      </c>
      <c r="F78" s="259" t="str">
        <f t="shared" si="216"/>
        <v>SP AVERE</v>
      </c>
      <c r="G78" s="259">
        <f t="shared" ca="1" si="217"/>
        <v>0</v>
      </c>
      <c r="H78" s="259">
        <f t="shared" ca="1" si="218"/>
        <v>1</v>
      </c>
      <c r="I78" s="259">
        <f t="shared" ca="1" si="219"/>
        <v>1</v>
      </c>
      <c r="K78" s="259" t="str">
        <f ca="1">IFERROR(IF($I$1=1,INDEX($AA$3:$AS$220,MATCH(ROWS($K$3:K78),$AQ$3:$AQ$220,0),1),IF($I$1=2,INDEX($AA$3:$AS$220,MATCH(ROWS($K$3:K78),$AR$3:$AR$220,0),1),IF($I$1=3,INDEX($AA$3:$AS$220,MATCH(ROWS($K$3:K78),$AS$3:$AS$220,0),1),""))),"")</f>
        <v>DEBITI PER RITENUTE DA VERSARE</v>
      </c>
      <c r="L78" s="259">
        <f ca="1">IF(AND($L$1="VISUALIZZA TUTTI I CONTI",K78&lt;&gt;""),MAX(L77:L77)+1,IFERROR(IF($J$1=1,IF(INDEX(PIANO_DEI_CONTI,MATCH($K78,DENOMINAZIONE,0),5)=$L$1,MAX($L$2:L77)+1,0),IF($J$1=2,IF(INDEX(PIANO_DEI_CONTI,MATCH($K78,DENOMINAZIONE,0),7)=$L$1,MAX($L$2:L77)+1,0))),0))</f>
        <v>76</v>
      </c>
      <c r="M78" s="259" t="str">
        <f ca="1">IFERROR(INDEX($K$3:$K$220,MATCH(ROWS($M$3:M78),$L$3:$L$220,0),1),"")</f>
        <v>DEBITI PER RITENUTE DA VERSARE</v>
      </c>
      <c r="Q78" s="259" t="str">
        <f ca="1">IF(IFERROR(INDEX($O$3:$P$220,MATCH(ROWS(Q$3:Q78),$P$3:$P$220,0),1),"")=0,"",IFERROR(INDEX($O$3:$P$220,MATCH(ROWS(Q$3:Q78),$P$3:$P$220,0),1),""))</f>
        <v/>
      </c>
      <c r="R78" s="259" t="str">
        <f t="shared" si="182"/>
        <v/>
      </c>
      <c r="S78" s="259">
        <f ca="1">IF(IFERROR(MATCH(R78,DENOMINAZIONE_GIORNALE,0),0)&gt;0,MAX(S$2:S77)+1,0)</f>
        <v>0</v>
      </c>
      <c r="T78" s="259" t="str">
        <f ca="1">IFERROR(INDEX($R$3:$S$220,MATCH(ROWS($T$3:T78),$S$3:$S$220,0),1),"")</f>
        <v/>
      </c>
      <c r="U78" s="259">
        <f t="shared" ca="1" si="183"/>
        <v>0</v>
      </c>
      <c r="V78" s="259">
        <f ca="1">IF(IF(U78&lt;&gt;0,MAX($V$2:V77)+1,0)=0,0,IF(U78&lt;&gt;0,MAX($V$2:V77)+1,0))</f>
        <v>0</v>
      </c>
      <c r="W78" s="259" t="str">
        <f t="shared" si="220"/>
        <v>13.10</v>
      </c>
      <c r="X78" s="259" t="str">
        <f t="shared" si="221"/>
        <v>BANCHE C/RI.BA. SBF</v>
      </c>
      <c r="Y78" s="259">
        <f>IF(W78="",0,MAX($Y$2:Y77)+1)</f>
        <v>64</v>
      </c>
      <c r="Z78" s="259" t="str">
        <f>IFERROR(INDEX($W$3:$Y$220,MATCH(ROWS($Z$2:Z77),$Y$3:$Y$220,0),1),"")</f>
        <v>14.20</v>
      </c>
      <c r="AA78" s="259" t="str">
        <f t="shared" si="222"/>
        <v>CLIENTI C/ACCONTI</v>
      </c>
      <c r="AB78" s="259" t="str">
        <f t="shared" si="223"/>
        <v>F</v>
      </c>
      <c r="AC78" s="259" t="str">
        <f t="shared" si="224"/>
        <v>A</v>
      </c>
      <c r="AD78" s="259" t="str">
        <f t="shared" si="225"/>
        <v>DEBITI</v>
      </c>
      <c r="AE78" s="259" t="str">
        <f t="shared" si="226"/>
        <v>SP AVERE</v>
      </c>
      <c r="AF78" s="259" t="str">
        <f t="shared" si="227"/>
        <v>DEBITI COMMERCIALI</v>
      </c>
      <c r="AG78" s="259">
        <f t="shared" ca="1" si="228"/>
        <v>1</v>
      </c>
      <c r="AH78" s="259">
        <f t="shared" ca="1" si="229"/>
        <v>1</v>
      </c>
      <c r="AI78" s="259">
        <f t="shared" ca="1" si="230"/>
        <v>1</v>
      </c>
      <c r="AJ78" s="259" t="str">
        <f t="shared" si="231"/>
        <v>14</v>
      </c>
      <c r="AK78" s="259" t="str">
        <f t="shared" si="232"/>
        <v/>
      </c>
      <c r="AL78" s="259">
        <f>IF(AK78&lt;&gt;"",MAX($AL$2:AL77)+1,0)</f>
        <v>0</v>
      </c>
      <c r="AM78" s="259" t="str">
        <f>IFERROR(INDEX($AK$3:$AL$220,MATCH(ROWS($AM$3:AM78),$AL$3:$AL$220,0),1),"")</f>
        <v/>
      </c>
      <c r="AN78" s="259" t="str">
        <f t="shared" si="233"/>
        <v/>
      </c>
      <c r="AO78" s="259" t="str">
        <f t="shared" si="234"/>
        <v/>
      </c>
      <c r="AP78" s="259" t="str">
        <f t="shared" si="235"/>
        <v>DEBITI COMMERCIALI</v>
      </c>
      <c r="AQ78" s="259">
        <f ca="1">IF(OR(AG78=0,AG78=""),0,MAX(AQ$2:AQ77)+1)</f>
        <v>37</v>
      </c>
      <c r="AR78" s="259">
        <f ca="1">IF(OR(AH78=0,AH78=""),0,MAX(AR$2:AR77)+1)</f>
        <v>55</v>
      </c>
      <c r="AS78" s="259">
        <f ca="1">IF(OR(AI78=0,AI78=""),0,MAX(AS$2:AS77)+1)</f>
        <v>74</v>
      </c>
      <c r="AT78" s="259" t="str">
        <f ca="1">IFERROR(INDEX($AD$3:$AS$220,MATCH(ROWS(AT$3:AT78),AQ$3:AQ$220,0),1),"")</f>
        <v>COSTI D'ESERCIZIO</v>
      </c>
      <c r="AU78" s="259" t="str">
        <f ca="1">IFERROR(INDEX($AD$3:$AS$220,MATCH(ROWS(AU$3:AU78),AR$3:AR$220,0),1),"")</f>
        <v>RICAVI D'ESERCIZIO</v>
      </c>
      <c r="AV78" s="259" t="str">
        <f ca="1">IFERROR(INDEX($AD$3:$AS$220,MATCH(ROWS(AV$3:AV78),AS$3:AS$220,0),1),"")</f>
        <v>DEBITI</v>
      </c>
      <c r="AW78" s="259" t="str">
        <f ca="1">IFERROR(INDEX($AP$3:$AS$220,MATCH(ROWS(AW$3:AW78),AQ$3:AQ$220,0),1),"")</f>
        <v>COSTI PER SERVIZI</v>
      </c>
      <c r="AX78" s="259" t="str">
        <f ca="1">IFERROR(INDEX($AP$3:$AS$220,MATCH(ROWS(AX$3:AX78),AR$3:AR$220,0),1),"")</f>
        <v>VALORE DELLA PRODUZIONE</v>
      </c>
      <c r="AY78" s="259" t="str">
        <f ca="1">IFERROR(INDEX($AP$3:$AS$220,MATCH(ROWS(AY$3:AY78),AS$3:AS$220,0),1),"")</f>
        <v>DEBITI DIVERSI</v>
      </c>
      <c r="AZ78" s="276" t="str">
        <f t="shared" ca="1" si="236"/>
        <v/>
      </c>
      <c r="BA78" s="259">
        <f t="shared" ca="1" si="184"/>
        <v>0</v>
      </c>
      <c r="BB78" s="259">
        <f ca="1">IFERROR(INDEX($FG$3:$FL$400,MATCH(ROWS($BB$3:BB78),$FL$3:$FL$400,0),1),0)</f>
        <v>0</v>
      </c>
      <c r="BC78" s="259" t="str">
        <f t="shared" ca="1" si="237"/>
        <v/>
      </c>
      <c r="BD78" s="259">
        <f ca="1">IFERROR(INDEX($FG$3:$FL$400,MATCH(ROWS($BD$3:BD78),$FL$3:$FL$400,0),4),0)</f>
        <v>0</v>
      </c>
      <c r="BE78" s="259">
        <f ca="1">IFERROR(INDEX($FG$3:$FL$400,MATCH(ROWS($BE$3:BE78),$FL$3:$FL$400,0),5),0)</f>
        <v>0</v>
      </c>
      <c r="BG78" s="259" t="str">
        <f t="shared" si="185"/>
        <v>CLIENTI C/ACCONTI</v>
      </c>
      <c r="BH78" s="259">
        <f ca="1">IF(IFERROR(MATCH(BG78,DENOMINAZIONE_GIORNALE,0),0)&gt;0,MAX(BH$2:BH77)+1,0)</f>
        <v>0</v>
      </c>
      <c r="BI78" s="259" t="str">
        <f ca="1">IFERROR(INDEX($BG$3:$BH$220,MATCH(ROWS($BI$3:BI78),$BH$3:$BH$220,0),1),"")</f>
        <v/>
      </c>
      <c r="BJ78" s="259" t="str">
        <f t="shared" ca="1" si="186"/>
        <v/>
      </c>
      <c r="BK78" s="259" t="str">
        <f ca="1">IF(IF(BJ78&lt;&gt;"",MAX($BK$2:BK77)+1,0)=0,"",IF(BJ78&lt;&gt;"",MAX($BK$2:BK77)+1,0))</f>
        <v/>
      </c>
      <c r="BL78" s="259" t="str">
        <f ca="1">IFERROR(INDEX($T$3:$U$220, MATCH(ROWS(BL$3:BL78),$V$3:$V$220,0),1),"")</f>
        <v/>
      </c>
      <c r="BM78" s="259" t="str">
        <f ca="1">IFERROR(INDEX($T$3:$U$220, MATCH(ROWS(BM$3:BM78),$V$3:$V$220,0),2),"")</f>
        <v/>
      </c>
      <c r="BN78" s="259" t="str">
        <f ca="1">IF(IFERROR(INDEX($BI$3:$BJ$220,MATCH(ROWS(BN$3:BN78),$BK$3:$BK$220,0),1),"")="PATRIMONIO NETTO","",IFERROR(INDEX($BI$3:$BJ$220,MATCH(ROWS(BN$3:BN78),$BK$3:$BK$220,0),1),""))</f>
        <v/>
      </c>
      <c r="BO78" s="259" t="str">
        <f ca="1">IFERROR(INDEX($BI$3:$BJ$220,MATCH(ROWS(BO$3:BO78),$BK$3:$BK$220,0),2),"")</f>
        <v/>
      </c>
      <c r="BP78" s="259">
        <f ca="1">IF(BN78&lt;&gt;"",MAX(BP$2:$BP77)+1,0)</f>
        <v>0</v>
      </c>
      <c r="BQ78" s="259" t="str">
        <f ca="1">IFERROR(INDEX($BN$3:$BO$200,MATCH(ROWS(BQ$3:BQ78),$BP$3:$BP$220,0),1),"")</f>
        <v/>
      </c>
      <c r="BR78" s="259" t="str">
        <f ca="1">IFERROR(INDEX($BN$3:$BO$220,MATCH(ROWS(BR$3:BR78),$BP$3:$BP$220,0),2),"")</f>
        <v/>
      </c>
      <c r="BS78" s="259" t="str">
        <f ca="1">IFERROR(IF(OR(INDEX($T$3:$U$220,MATCH(ROWS(BL$3:BL78),$V$3:$V$220,0),1)="PRELEVAMENTI EXTRAGESTIONE",INDEX($T$3:$U$220,MATCH(ROWS(BL$3:BL78),$V$3:$V$220,0),1)="TITOLARE C/RITENUTE SUBITE"),"",INDEX($T$3:$U$220,MATCH(ROWS(BL$3:BL78),$V$3:$V$220,0),1)),"")</f>
        <v/>
      </c>
      <c r="BT78" s="259">
        <f t="shared" ca="1" si="238"/>
        <v>0</v>
      </c>
      <c r="BU78" s="259">
        <f ca="1">IF(BS78&lt;&gt;"",MAX(BU$2:BU77)+1,0)</f>
        <v>0</v>
      </c>
      <c r="BV78" s="259" t="str">
        <f ca="1">IFERROR(INDEX($BS$3:$BT$223,MATCH(ROWS(BV$3:BV78),$BU$3:$BU$223,0),1),"")</f>
        <v/>
      </c>
      <c r="BW78" s="259">
        <f t="shared" ca="1" si="239"/>
        <v>0</v>
      </c>
      <c r="BX78" s="259" t="str">
        <f t="shared" ca="1" si="240"/>
        <v/>
      </c>
      <c r="BY78" s="259" t="str">
        <f t="shared" ca="1" si="241"/>
        <v/>
      </c>
      <c r="BZ78" s="259" t="str">
        <f ca="1">IFERROR(IF(OR($DS$231&lt;&gt;$DT$231,$DU$231&lt;&gt;$DV$231,$EO$25&lt;&gt;0,$EO$26&lt;&gt;0),INDEX($T$3:$V$220,MATCH(ROWS($BV$3:BV78),$V$3:$V$220,0),1),CONCATENATE(BV78,BY78)),"")</f>
        <v/>
      </c>
      <c r="CA78" s="259">
        <f t="shared" ca="1" si="242"/>
        <v>0</v>
      </c>
      <c r="CB78" s="259" t="str">
        <f ca="1">IFERROR(IF(OR($BB$1&lt;&gt;$BD$1,$BC$1&lt;&gt;$BE$1,$DS$231&lt;&gt;$DT$231,$DU$231&lt;&gt;$DV$231,$EO$25&lt;&gt;0,$EO$26&lt;&gt;0),INDEX($BI$3:$BK$220,MATCH(ROWS($CB$3:CB78),$BK$3:$BK$220,0),1),CONCATENATE(BQ78,BX78)),"")</f>
        <v/>
      </c>
      <c r="CC78" s="259" t="str">
        <f t="shared" ca="1" si="243"/>
        <v/>
      </c>
      <c r="CD78" s="259" t="str">
        <f t="shared" si="187"/>
        <v/>
      </c>
      <c r="CE78" s="259">
        <f ca="1">IF(IFERROR(MATCH(CD78,DENOMINAZIONE_GIORNALE,0),0)&gt;0,MAX(CE$2:CE77)+1,0)</f>
        <v>0</v>
      </c>
      <c r="CF78" s="259" t="str">
        <f ca="1">IFERROR(INDEX($CD$3:$CE$220,MATCH(ROWS($CF$3:CF78),$CE$3:$CE$220,0),1),"")</f>
        <v/>
      </c>
      <c r="CG78" s="259">
        <f t="shared" ca="1" si="188"/>
        <v>0</v>
      </c>
      <c r="CH78" s="259" t="str">
        <f ca="1">IF(IF(CG78&lt;&gt;0,MAX($CH$2:CH77)+1,0)=0,"",IF(CG78&lt;&gt;"",MAX($CH$2:CH77)+1,0))</f>
        <v/>
      </c>
      <c r="CI78" s="259" t="str">
        <f ca="1">IFERROR(INDEX($CF$3:$CG$220,MATCH(ROWS($CI$3:CI78),$CH$3:$CH$220,0),1),"")</f>
        <v/>
      </c>
      <c r="CJ78" s="259" t="str">
        <f t="shared" ca="1" si="244"/>
        <v/>
      </c>
      <c r="CK78" s="259" t="str">
        <f t="shared" si="189"/>
        <v/>
      </c>
      <c r="CL78" s="259">
        <f ca="1">IF(IFERROR(MATCH(CK78,DENOMINAZIONE_GIORNALE,0),0)&gt;0,MAX(CL$2:CL77)+1,0)</f>
        <v>0</v>
      </c>
      <c r="CM78" s="259" t="str">
        <f ca="1">IFERROR(INDEX($CK$3:$CL$220,MATCH(ROWS($CM$3:CM78),$CL$3:$CL$220,0),1),"")</f>
        <v/>
      </c>
      <c r="CN78" s="259" t="str">
        <f t="shared" ca="1" si="190"/>
        <v/>
      </c>
      <c r="CO78" s="259">
        <f ca="1">IF(IF(CN78&lt;&gt;0,MAX($CO$2:CO77)+1,0)=0,"",IF(CN78&lt;&gt;"",MAX($CO$2:CO77)+1,0))</f>
        <v>0</v>
      </c>
      <c r="CP78" s="259" t="str">
        <f ca="1">IFERROR(INDEX($CM$3:$CN$220,MATCH(ROWS(CP$3:CP78),$CO$3:$CO$220,0),1),"")</f>
        <v/>
      </c>
      <c r="CQ78" s="259" t="str">
        <f ca="1">IFERROR(INDEX($CM$3:$CN$220,MATCH(ROWS(CQ$3:CQ78),$CO$3:$CO$220,0),2),"")</f>
        <v/>
      </c>
      <c r="CR78" s="259" t="str">
        <f t="shared" ca="1" si="191"/>
        <v/>
      </c>
      <c r="CS78" s="259">
        <f t="shared" ca="1" si="192"/>
        <v>0</v>
      </c>
      <c r="CT78" s="259">
        <f t="shared" ca="1" si="193"/>
        <v>0</v>
      </c>
      <c r="CU78" s="259">
        <f ca="1">IF(OR(CS78&gt;0,CT78&gt;0),MAX($CU$2:CU77)+1,0)</f>
        <v>0</v>
      </c>
      <c r="CV78" s="259" t="str">
        <f ca="1">IFERROR(INDEX(PIANO_DEI_CONTI,MATCH(ROWS($CV$3:CV78),$CU$3:$CU$200,0),2),"")</f>
        <v/>
      </c>
      <c r="CW78" s="259">
        <f ca="1">IFERROR(IF(CV78&lt;&gt;"",MAX($CW$2:CW77)+1,0),0)</f>
        <v>0</v>
      </c>
      <c r="CX78" s="259">
        <f t="shared" ca="1" si="315"/>
        <v>5</v>
      </c>
      <c r="CY78" s="259" t="str">
        <f t="shared" ca="1" si="308"/>
        <v>MASTRO</v>
      </c>
      <c r="CZ78" s="259" t="e">
        <f t="shared" ca="1" si="317"/>
        <v>#N/A</v>
      </c>
      <c r="DA78" s="259" t="str">
        <f t="shared" ref="DA78:DA91" ca="1" si="322">IFERROR(INDEX(LIBRO_GIORNALE,CZ78,1),"")</f>
        <v/>
      </c>
      <c r="DB78" s="259" t="str">
        <f t="shared" ca="1" si="318"/>
        <v/>
      </c>
      <c r="DC78" s="259" t="str">
        <f t="shared" ca="1" si="319"/>
        <v/>
      </c>
      <c r="DD78" s="259" t="str">
        <f t="shared" ca="1" si="320"/>
        <v/>
      </c>
      <c r="DE78" s="259" t="str">
        <f t="shared" ca="1" si="321"/>
        <v/>
      </c>
      <c r="DF78" s="259">
        <f ca="1">IF(AND(CX78=$DE$2,$DF$2&lt;&gt;0),0,IF(AND(DB78&lt;&gt;"",OR(DB77&lt;&gt;"",DB79&lt;&gt;"")),MAX($DF$2:DF77)+1,0))</f>
        <v>0</v>
      </c>
      <c r="DG78" s="259" t="str">
        <f>IF(OR(VALORI_INIZIALI!E83="",AND(VALORI_INIZIALI!E83&lt;&gt;"",VALORI_INIZIALI!H83=0,VALORI_INIZIALI!I83=0)),"",IFERROR(INDEX(PIANO_DEI_CONTI,MATCH(BB78,DENOMINAZIONE,0),1),0))</f>
        <v/>
      </c>
      <c r="DH78" s="259">
        <f ca="1">IFERROR(IF($J$1=1,IF(INDEX(PIANO_DEI_CONTI,MATCH($K78,DENOMINAZIONE,0),5)=$DF$1,MAX($DH$2:DH77)+1,0),IF($J$1=2,IF(INDEX(PIANO_DEI_CONTI,MATCH($K78,DENOMINAZIONE,0),7)=$DF$1,MAX($DH$2:DH77)+1,0))),0)</f>
        <v>0</v>
      </c>
      <c r="DI78" s="259">
        <f ca="1">IFERROR(INDEX($K$3:$K$220,MATCH(ROWS($DI$3:DI78),$DH$3:$DH$220,0),1),0)</f>
        <v>0</v>
      </c>
      <c r="DJ78" s="259">
        <f t="shared" ca="1" si="194"/>
        <v>0</v>
      </c>
      <c r="DK78" s="259">
        <f ca="1">IF(DJ78=0,0,MAX(DK$2:DK77)+1)</f>
        <v>0</v>
      </c>
      <c r="DL78" s="259">
        <f ca="1">IFERROR(INDEX(PIANO_DEI_CONTI,MATCH(ROWS(DL$3:DL78),$DK$3:DK305,0),2),0)</f>
        <v>0</v>
      </c>
      <c r="DM78" s="259">
        <f t="shared" ca="1" si="195"/>
        <v>0</v>
      </c>
      <c r="DN78" s="259">
        <f t="shared" ca="1" si="196"/>
        <v>0</v>
      </c>
      <c r="DO78" s="259">
        <f t="shared" ca="1" si="245"/>
        <v>0</v>
      </c>
      <c r="DP78" s="259">
        <f t="shared" ca="1" si="246"/>
        <v>0</v>
      </c>
      <c r="DQ78" s="259">
        <f ca="1">IF(OR($DQ$1="TOTALI",$DQ$1="TOTALI ED ECCEDENZE"),IF(OR(DM78&gt;0,DN78&gt;0),MAX(DQ$2:DQ77)+1,0),IF($DQ$1="ECCEDENZE",IF(OR(DO78&gt;0,DP78&gt;0),MAX(DQ$2:DQ77)+1,0),""))</f>
        <v>0</v>
      </c>
      <c r="DR78" s="259" t="str">
        <f ca="1">IFERROR(INDEX($DL$3:$DQ$230,MATCH(ROWS(DR$3:DR78),$DQ$3:$DQ$230,0),1),"")</f>
        <v/>
      </c>
      <c r="DS78" s="259" t="str">
        <f t="shared" ca="1" si="247"/>
        <v/>
      </c>
      <c r="DT78" s="259" t="str">
        <f t="shared" ca="1" si="248"/>
        <v/>
      </c>
      <c r="DU78" s="259" t="str">
        <f t="shared" ca="1" si="249"/>
        <v/>
      </c>
      <c r="DV78" s="259" t="str">
        <f t="shared" ca="1" si="250"/>
        <v/>
      </c>
      <c r="DW78" s="259">
        <f t="shared" ca="1" si="251"/>
        <v>0</v>
      </c>
      <c r="DX78" s="259" t="str">
        <f t="shared" ca="1" si="252"/>
        <v/>
      </c>
      <c r="DY78" s="259" t="str">
        <f t="shared" ca="1" si="253"/>
        <v/>
      </c>
      <c r="DZ78" s="259" t="str">
        <f t="shared" ca="1" si="254"/>
        <v/>
      </c>
      <c r="EA78" s="259">
        <f t="shared" ca="1" si="255"/>
        <v>76</v>
      </c>
      <c r="EB78" s="259" t="s">
        <v>361</v>
      </c>
      <c r="ED78" s="259">
        <f t="shared" ca="1" si="197"/>
        <v>0</v>
      </c>
      <c r="EE78" s="259" t="str">
        <f t="shared" ca="1" si="198"/>
        <v/>
      </c>
      <c r="EF78" s="259" t="str">
        <f t="shared" ca="1" si="199"/>
        <v/>
      </c>
      <c r="EG78" s="259" t="str">
        <f t="shared" ca="1" si="309"/>
        <v/>
      </c>
      <c r="EH78" s="259" t="str">
        <f t="shared" ca="1" si="256"/>
        <v/>
      </c>
      <c r="EI78" s="260" t="b">
        <f t="shared" ca="1" si="310"/>
        <v>0</v>
      </c>
      <c r="EJ78" s="260" t="b">
        <f t="shared" ca="1" si="311"/>
        <v>1</v>
      </c>
      <c r="EK78" s="260" t="b">
        <f t="shared" ca="1" si="312"/>
        <v>1</v>
      </c>
      <c r="EL78" s="259">
        <f t="shared" si="257"/>
        <v>76</v>
      </c>
      <c r="EM78" s="259">
        <f ca="1">IF(AND(BA78&gt;0,BA78&lt;=$EM$1),MAX($EM$2:EM77)+1,0)</f>
        <v>0</v>
      </c>
      <c r="EN78" s="259">
        <f t="shared" ca="1" si="258"/>
        <v>78</v>
      </c>
      <c r="EP78" s="259" t="str">
        <f t="shared" ca="1" si="200"/>
        <v/>
      </c>
      <c r="EQ78" s="259">
        <f t="shared" ca="1" si="201"/>
        <v>0</v>
      </c>
      <c r="ER78" s="259">
        <f ca="1">IF(ISNA(EQ78),MAX(ER$2:ER77)+1,0)</f>
        <v>0</v>
      </c>
      <c r="ES78" s="259" t="str">
        <f t="shared" ca="1" si="259"/>
        <v/>
      </c>
      <c r="ET78" s="259" t="str">
        <f ca="1">IFERROR(UPPER(INDEX($ER$3:$ES$500,MATCH(ROWS(ET$3:ET78),$ER$3:$ER$500,0),2)),"")</f>
        <v/>
      </c>
      <c r="EY78" s="259">
        <f t="shared" ca="1" si="260"/>
        <v>0</v>
      </c>
      <c r="EZ78" s="259">
        <f t="shared" ca="1" si="260"/>
        <v>0</v>
      </c>
      <c r="FA78" s="259" t="str">
        <f t="shared" ca="1" si="261"/>
        <v/>
      </c>
      <c r="FB78" s="259">
        <f t="shared" ca="1" si="262"/>
        <v>0</v>
      </c>
      <c r="FC78" s="259">
        <f t="shared" ca="1" si="263"/>
        <v>0</v>
      </c>
      <c r="FD78" s="259">
        <f t="shared" ca="1" si="202"/>
        <v>0</v>
      </c>
      <c r="FE78" s="259" t="str">
        <f t="shared" ca="1" si="203"/>
        <v/>
      </c>
      <c r="FF78" s="259" t="str">
        <f t="shared" ca="1" si="264"/>
        <v/>
      </c>
      <c r="FG78" s="259" t="str">
        <f t="shared" si="265"/>
        <v>CLIENTI C/ACCONTI</v>
      </c>
      <c r="FH78" s="259">
        <f t="shared" ca="1" si="156"/>
        <v>0</v>
      </c>
      <c r="FI78" s="259">
        <f t="shared" ca="1" si="204"/>
        <v>0</v>
      </c>
      <c r="FJ78" s="259">
        <f t="shared" ca="1" si="266"/>
        <v>0</v>
      </c>
      <c r="FK78" s="259">
        <f t="shared" ca="1" si="267"/>
        <v>0</v>
      </c>
      <c r="FL78" s="259">
        <f ca="1">IF(OR(FJ78&gt;0,FK78&gt;0),MAX($FL$2:FL77)+1,0)</f>
        <v>0</v>
      </c>
      <c r="FM78" s="259">
        <f t="shared" ca="1" si="205"/>
        <v>0</v>
      </c>
      <c r="FN78" s="259">
        <f ca="1">IF(FM78&lt;0,MAX($FN$2:FN77)+1,0)</f>
        <v>0</v>
      </c>
      <c r="FO78" s="259" t="str">
        <f t="shared" ca="1" si="268"/>
        <v/>
      </c>
      <c r="FP78" s="259" t="str">
        <f ca="1">IFERROR(INDEX($FN$3:$FO$400,MATCH(ROWS($FP$3:FP78),$FN$3:$FN$400,0),2),"")</f>
        <v/>
      </c>
      <c r="FQ78" s="259" t="str">
        <f>IF(AE78="SE AVERE",MAX($FQ$2:FQ77)+1,"")</f>
        <v/>
      </c>
      <c r="FR78" s="259" t="str">
        <f>IF(AE78="SE DARE",MAX($FR$2:FR77)+1,"")</f>
        <v/>
      </c>
      <c r="FS78" s="259" t="str">
        <f ca="1">IF(AND(AE78="SP DARE",AA78&lt;&gt;$FS$1,AA78&lt;&gt;$FT$1),MAX($FS$2:FS77)+1,IF(AND(GQ78="SP DARE",AA78&lt;&gt;$FS$1,AA78&lt;&gt;$FT$1),MAX($FS$2:FS77)+1,""))</f>
        <v/>
      </c>
      <c r="FT78" s="259">
        <f ca="1">IF(AND(AE78="SP AVERE",AA78&lt;&gt;$FU$1),MAX($FT$2:FT77)+1,IF(AND(GQ78="SP AVERE",AA78&lt;&gt;$FU$1),MAX($FT$2:FT77)+1,""))</f>
        <v>160</v>
      </c>
      <c r="FU78" s="259">
        <f t="shared" ca="1" si="269"/>
        <v>160</v>
      </c>
      <c r="FV78" s="259" t="str">
        <f t="shared" si="270"/>
        <v>CLIENTI C/ACCONTI</v>
      </c>
      <c r="FW78" s="259" t="str">
        <f ca="1">IFERROR(INDEX($FU$3:$FV$500,MATCH(ROWS($FW$3:FW78),$FU$3:$FU$500,0),2),0)</f>
        <v>ONERI FINANZIARI DIVERSI</v>
      </c>
      <c r="FX78" s="259">
        <f t="shared" ca="1" si="271"/>
        <v>76</v>
      </c>
      <c r="FY78" s="259">
        <f t="shared" ca="1" si="272"/>
        <v>0</v>
      </c>
      <c r="FZ78" s="259">
        <f ca="1">IF(FY78&gt;0,MAX($FZ$2:FZ77)+1,0)</f>
        <v>0</v>
      </c>
      <c r="GA78" s="259">
        <f ca="1">IFERROR(INDEX($FY$3:$FZ$500,MATCH(ROWS($GA$3:GA78),$FZ$3:$FZ$500,0),1),0)</f>
        <v>0</v>
      </c>
      <c r="GC78" s="259">
        <f t="shared" ca="1" si="273"/>
        <v>76</v>
      </c>
      <c r="GD78" s="259" t="str">
        <f t="shared" ca="1" si="274"/>
        <v>ONERI FINANZIARI DIVERSI</v>
      </c>
      <c r="GG78" s="259">
        <f t="shared" ca="1" si="275"/>
        <v>0</v>
      </c>
      <c r="GH78" s="259">
        <f t="shared" ca="1" si="276"/>
        <v>0</v>
      </c>
      <c r="GI78" s="259">
        <f t="shared" ca="1" si="277"/>
        <v>0</v>
      </c>
      <c r="GJ78" s="259">
        <f t="shared" ca="1" si="278"/>
        <v>0</v>
      </c>
      <c r="GK78" s="259">
        <f t="shared" ca="1" si="279"/>
        <v>0</v>
      </c>
      <c r="GL78" s="259">
        <f t="shared" ca="1" si="280"/>
        <v>0</v>
      </c>
      <c r="GM78" s="259">
        <f ca="1">IF(OR(GK78&gt;0,GL78&gt;0),MAX($GM$2:GM77)+1,0)</f>
        <v>0</v>
      </c>
      <c r="GN78" s="259" t="str">
        <f ca="1">IFERROR(INDEX($GD$3:$GM$400,MATCH(ROWS($GN$3:GN78),$GM$3:$GM$400,0),1),"")</f>
        <v/>
      </c>
      <c r="GO78" s="259" t="str">
        <f ca="1">IFERROR(INDEX($GD$3:$GM$400,MATCH(ROWS($GO$3:GO78),$GM$3:$GM$400,0),8),"")</f>
        <v/>
      </c>
      <c r="GP78" s="259" t="str">
        <f ca="1">IFERROR(INDEX($GD$3:$GM$400,MATCH(ROWS($GP$3:GP78),$GM$3:$GM$400,0),9),"")</f>
        <v/>
      </c>
      <c r="GQ78" s="259">
        <f t="shared" ca="1" si="206"/>
        <v>0</v>
      </c>
      <c r="GR78" s="259">
        <f t="shared" ca="1" si="281"/>
        <v>0</v>
      </c>
      <c r="GS78" s="259" t="str">
        <f t="shared" si="282"/>
        <v>epilogo a Conto economico</v>
      </c>
      <c r="GT78" s="259" t="str">
        <f ca="1">IFERROR(INDEX($GD$3:$GS$400,MATCH(ROWS($GT$3:GT78),$GM$3:$GM$400,0),16),"")</f>
        <v/>
      </c>
      <c r="GU78" s="259">
        <f ca="1">IF(GQ78&lt;&gt;0,MAX($GU$2:$GU77)+1,0)</f>
        <v>0</v>
      </c>
      <c r="GV78" s="259">
        <f t="shared" ca="1" si="283"/>
        <v>0</v>
      </c>
      <c r="GW78" s="259" t="str">
        <f ca="1">IF(AND(IFERROR(INDEX($GU$3:$GV$400,MATCH(ROWS($GW$3:GW78),$GU$3:$GU$400,0),2),"")&lt;&gt;"",GW79&lt;&gt;""),CONCATENATE(IFERROR(INDEX($GU$3:$GV$400,MATCH(ROWS($GW$3:GW78),$GU$3:$GU$400,0),2),"")," - "),IFERROR(INDEX($GU$3:$GV$400,MATCH(ROWS($GW$3:GW78),$GU$3:$GU$400,0),2),""))</f>
        <v/>
      </c>
      <c r="GX78" s="259">
        <f ca="1">IF(OR(GN78="IVA NS/CREDITO",GN78="IVA NS/DEBITO",GN78="IVA C/ACCONTO",GN78="IMPOSTE C/ACCONTO"),MAX($GX$2:GX77)+1,0)</f>
        <v>0</v>
      </c>
      <c r="GY78" s="259" t="str">
        <f ca="1">IF(AND(IFERROR(INDEX($GN$3:$GX$200,MATCH(ROWS($GY$3:GY78),$GX$3:$GX$200,0),1),"")&lt;&gt;"",GY79&lt;&gt;""),CONCATENATE(IFERROR(INDEX($GN$3:$GX$200,MATCH(ROWS($GY$3:GY78),$GX$3:$GX$200,0),1),"")," - "),IFERROR(INDEX($GN$3:$GX$200,MATCH(ROWS($GY$3:GY78),$GX$3:$GX$200,0),1),""))</f>
        <v/>
      </c>
      <c r="GZ78" s="259" t="s">
        <v>524</v>
      </c>
      <c r="HA78" s="259" t="s">
        <v>103</v>
      </c>
      <c r="HB78" s="269" t="s">
        <v>257</v>
      </c>
      <c r="HC78" s="269" t="s">
        <v>211</v>
      </c>
      <c r="HD78" s="269" t="s">
        <v>5</v>
      </c>
      <c r="HE78" s="269" t="s">
        <v>212</v>
      </c>
      <c r="HL78" s="259" t="str">
        <f t="shared" ca="1" si="207"/>
        <v/>
      </c>
      <c r="HM78" s="259" t="str">
        <f t="shared" ca="1" si="208"/>
        <v/>
      </c>
      <c r="HN78" s="259" t="str">
        <f t="shared" ca="1" si="209"/>
        <v/>
      </c>
      <c r="HO78" s="259">
        <f ca="1">IF(HL78&lt;&gt;"",MAX($HO$2:HO77)+1,0)</f>
        <v>0</v>
      </c>
      <c r="HP78" s="259">
        <f ca="1">IF(HM78&lt;&gt;"",MAX($HP$2:HP77)+1,0)</f>
        <v>0</v>
      </c>
      <c r="HQ78" s="259">
        <f ca="1">IF(HN78&lt;&gt;"",MAX($HQ$2:HQ77)+1,0)</f>
        <v>0</v>
      </c>
      <c r="HR78" s="259" t="str">
        <f t="shared" ca="1" si="284"/>
        <v/>
      </c>
      <c r="HS78" s="259" t="str">
        <f t="shared" ca="1" si="285"/>
        <v/>
      </c>
      <c r="HT78" s="259">
        <f t="shared" ca="1" si="286"/>
        <v>0</v>
      </c>
      <c r="HU78" s="259">
        <f t="shared" ca="1" si="287"/>
        <v>0</v>
      </c>
      <c r="HV78" s="259" t="str">
        <f ca="1">CONCATENATE(IFERROR(INDEX($HS$3:$HT$102,MATCH(ROWS($HV$3:HV78),$HT$3:$HT$102,0),1),""),HR78)</f>
        <v/>
      </c>
      <c r="IB78" s="259" t="s">
        <v>337</v>
      </c>
      <c r="IC78" s="259">
        <f ca="1">IFERROR(INDEX(PIANO_DEI_CONTI,MATCH(ROWS(DL$3:DL78),$DK$3:DK305,0),2),0)</f>
        <v>0</v>
      </c>
      <c r="ID78" s="259">
        <f t="shared" ca="1" si="288"/>
        <v>0</v>
      </c>
      <c r="IE78" s="259">
        <f t="shared" ca="1" si="289"/>
        <v>0</v>
      </c>
      <c r="IF78" s="259">
        <f t="shared" ca="1" si="290"/>
        <v>0</v>
      </c>
      <c r="IG78" s="259">
        <f ca="1">SUM(IG72:IG77)</f>
        <v>0</v>
      </c>
      <c r="IH78" s="259">
        <f ca="1">IF(IG78&lt;&gt;0,MAX($IH$35:IH77)+1,0)</f>
        <v>0</v>
      </c>
      <c r="II78" s="259">
        <f>IF(AD78="costi pluriennali",MAX($II$2:II77)+1,0)</f>
        <v>0</v>
      </c>
      <c r="IJ78" s="259">
        <f>IF($AD78="rettifiche costi pluriennali",MAX($IJ$2:IJ77)+1,0)</f>
        <v>0</v>
      </c>
      <c r="IK78" s="259">
        <f t="shared" si="291"/>
        <v>0</v>
      </c>
      <c r="IL78" s="259" t="str">
        <f t="shared" si="292"/>
        <v/>
      </c>
      <c r="IM78" s="259">
        <f t="shared" ca="1" si="293"/>
        <v>0</v>
      </c>
      <c r="IN78" s="259">
        <f t="shared" ca="1" si="313"/>
        <v>0</v>
      </c>
      <c r="IO78" s="259">
        <f>SUMIFS($IM$3:$IM$200,$IK$3:$IK$200,ROWS($IO$3:IO78))-SUMIFS($IN$3:$IN$200,$IK$3:$IK$200,ROWS($IO$3:IO78))</f>
        <v>0</v>
      </c>
      <c r="IP78" s="259" t="str">
        <f>IF(IO78&lt;0,INDEX($IJ$3:$IL$200,MATCH(ROWS($IP$3:IP78),$IJ$3:$IJ$200,0),3),"")</f>
        <v/>
      </c>
      <c r="IQ78" s="259">
        <f>IF(IP78&lt;&gt;"",MAX($IQ$2:IQ77)+1,0)</f>
        <v>0</v>
      </c>
      <c r="IR78" s="259" t="str">
        <f ca="1">IFERROR(INDEX($IP$3:$IQ$200,MATCH(ROWS($IR$3:IR78),$IQ$3:$IQ$200,0),1),"")</f>
        <v/>
      </c>
      <c r="IS78" s="259" t="str">
        <f t="shared" ca="1" si="294"/>
        <v/>
      </c>
      <c r="IT78" s="259" t="str">
        <f t="shared" ca="1" si="295"/>
        <v/>
      </c>
      <c r="IU78" s="259" t="str">
        <f t="shared" ca="1" si="296"/>
        <v/>
      </c>
      <c r="IV78" s="259" t="str">
        <f t="shared" ca="1" si="297"/>
        <v/>
      </c>
      <c r="IW78" s="259" t="str">
        <f t="shared" ca="1" si="298"/>
        <v/>
      </c>
      <c r="IX78" s="259" t="str">
        <f t="shared" ca="1" si="299"/>
        <v/>
      </c>
      <c r="IY78" s="259" t="str">
        <f t="shared" ca="1" si="300"/>
        <v/>
      </c>
      <c r="IZ78" s="259" t="str">
        <f t="shared" ca="1" si="301"/>
        <v/>
      </c>
      <c r="JA78" s="259" t="str">
        <f t="shared" ca="1" si="302"/>
        <v/>
      </c>
      <c r="JB78" s="259">
        <f t="shared" ca="1" si="210"/>
        <v>0</v>
      </c>
      <c r="JC78" s="259">
        <f t="shared" ca="1" si="303"/>
        <v>0</v>
      </c>
      <c r="JE78" s="259">
        <f ca="1">IFERROR(INDEX(LIBRO_GIORNALE!$N$11:$O$408,MATCH(ROWS($JE$2:JE77),LIBRO_GIORNALE!$O$11:$O$408,0),1),0)</f>
        <v>0</v>
      </c>
      <c r="JF78" s="259" t="str">
        <f t="shared" ca="1" si="304"/>
        <v>0</v>
      </c>
      <c r="JG78" s="259">
        <f t="shared" ca="1" si="305"/>
        <v>0</v>
      </c>
      <c r="JH78" s="259">
        <f ca="1">IF(JJ78&gt;0,0,MAX($JH$2:JH77)+1)</f>
        <v>76</v>
      </c>
      <c r="JI78" s="259">
        <f ca="1">IF(JG78&gt;0,MAX($JI$2:JI77)+1,0)</f>
        <v>0</v>
      </c>
      <c r="JJ78" s="259">
        <f ca="1">IFERROR(INDEX($JG$3:$JI$124,MATCH(ROWS($JJ$3:JJ78),$JI$3:$JI$124,0),1),0)</f>
        <v>0</v>
      </c>
      <c r="JK78" s="259">
        <f t="shared" ca="1" si="306"/>
        <v>0</v>
      </c>
      <c r="JL78" s="259">
        <f t="shared" ca="1" si="307"/>
        <v>76</v>
      </c>
    </row>
    <row r="79" spans="1:272">
      <c r="A79" s="259" t="str">
        <f t="shared" si="211"/>
        <v>13.11</v>
      </c>
      <c r="B79" s="259" t="str">
        <f t="shared" si="212"/>
        <v>BANCHE C/ANTICIPI SU FATTURE</v>
      </c>
      <c r="C79" s="259" t="str">
        <f t="shared" si="213"/>
        <v>F</v>
      </c>
      <c r="D79" s="259" t="str">
        <f t="shared" si="214"/>
        <v>A</v>
      </c>
      <c r="E79" s="259" t="str">
        <f t="shared" si="215"/>
        <v>DEBITI</v>
      </c>
      <c r="F79" s="259" t="str">
        <f t="shared" si="216"/>
        <v>SP AVERE</v>
      </c>
      <c r="G79" s="259">
        <f t="shared" ca="1" si="217"/>
        <v>0</v>
      </c>
      <c r="H79" s="259">
        <f t="shared" ca="1" si="218"/>
        <v>1</v>
      </c>
      <c r="I79" s="259">
        <f t="shared" ca="1" si="219"/>
        <v>1</v>
      </c>
      <c r="K79" s="259" t="str">
        <f ca="1">IFERROR(IF($I$1=1,INDEX($AA$3:$AS$220,MATCH(ROWS($K$3:K79),$AQ$3:$AQ$220,0),1),IF($I$1=2,INDEX($AA$3:$AS$220,MATCH(ROWS($K$3:K79),$AR$3:$AR$220,0),1),IF($I$1=3,INDEX($AA$3:$AS$220,MATCH(ROWS($K$3:K79),$AS$3:$AS$220,0),1),""))),"")</f>
        <v>DEBITI PER IVA</v>
      </c>
      <c r="L79" s="259">
        <f ca="1">IF(AND($L$1="VISUALIZZA TUTTI I CONTI",K79&lt;&gt;""),MAX(L78:L78)+1,IFERROR(IF($J$1=1,IF(INDEX(PIANO_DEI_CONTI,MATCH($K79,DENOMINAZIONE,0),5)=$L$1,MAX($L$2:L78)+1,0),IF($J$1=2,IF(INDEX(PIANO_DEI_CONTI,MATCH($K79,DENOMINAZIONE,0),7)=$L$1,MAX($L$2:L78)+1,0))),0))</f>
        <v>77</v>
      </c>
      <c r="M79" s="259" t="str">
        <f ca="1">IFERROR(INDEX($K$3:$K$220,MATCH(ROWS($M$3:M79),$L$3:$L$220,0),1),"")</f>
        <v>DEBITI PER IVA</v>
      </c>
      <c r="Q79" s="259" t="str">
        <f ca="1">IF(IFERROR(INDEX($O$3:$P$220,MATCH(ROWS(Q$3:Q79),$P$3:$P$220,0),1),"")=0,"",IFERROR(INDEX($O$3:$P$220,MATCH(ROWS(Q$3:Q79),$P$3:$P$220,0),1),""))</f>
        <v/>
      </c>
      <c r="R79" s="259" t="str">
        <f t="shared" si="182"/>
        <v/>
      </c>
      <c r="S79" s="259">
        <f ca="1">IF(IFERROR(MATCH(R79,DENOMINAZIONE_GIORNALE,0),0)&gt;0,MAX(S$2:S78)+1,0)</f>
        <v>0</v>
      </c>
      <c r="T79" s="259" t="str">
        <f ca="1">IFERROR(INDEX($R$3:$S$220,MATCH(ROWS($T$3:T79),$S$3:$S$220,0),1),"")</f>
        <v/>
      </c>
      <c r="U79" s="259">
        <f t="shared" ca="1" si="183"/>
        <v>0</v>
      </c>
      <c r="V79" s="259">
        <f ca="1">IF(IF(U79&lt;&gt;0,MAX($V$2:V78)+1,0)=0,0,IF(U79&lt;&gt;0,MAX($V$2:V78)+1,0))</f>
        <v>0</v>
      </c>
      <c r="W79" s="259" t="str">
        <f t="shared" si="220"/>
        <v>13.11</v>
      </c>
      <c r="X79" s="259" t="str">
        <f t="shared" si="221"/>
        <v>BANCHE C/ANTICIPI SU FATTURE</v>
      </c>
      <c r="Y79" s="259">
        <f>IF(W79="",0,MAX($Y$2:Y78)+1)</f>
        <v>65</v>
      </c>
      <c r="Z79" s="259" t="str">
        <f>IFERROR(INDEX($W$3:$Y$220,MATCH(ROWS($Z$2:Z78),$Y$3:$Y$220,0),1),"")</f>
        <v>15.01</v>
      </c>
      <c r="AA79" s="259" t="str">
        <f t="shared" si="222"/>
        <v>IVA NS/DEBITO</v>
      </c>
      <c r="AB79" s="259" t="str">
        <f t="shared" si="223"/>
        <v>F</v>
      </c>
      <c r="AC79" s="259" t="str">
        <f t="shared" si="224"/>
        <v>A</v>
      </c>
      <c r="AD79" s="259" t="str">
        <f t="shared" si="225"/>
        <v>DEBITI</v>
      </c>
      <c r="AE79" s="259" t="str">
        <f t="shared" si="226"/>
        <v>SP AVERE</v>
      </c>
      <c r="AF79" s="259" t="str">
        <f t="shared" si="227"/>
        <v>DEBITI DIVERSI</v>
      </c>
      <c r="AG79" s="259">
        <f t="shared" ca="1" si="228"/>
        <v>1</v>
      </c>
      <c r="AH79" s="259">
        <f t="shared" ca="1" si="229"/>
        <v>1</v>
      </c>
      <c r="AI79" s="259">
        <f t="shared" ca="1" si="230"/>
        <v>1</v>
      </c>
      <c r="AJ79" s="259" t="str">
        <f t="shared" si="231"/>
        <v>15</v>
      </c>
      <c r="AK79" s="259" t="str">
        <f t="shared" si="232"/>
        <v/>
      </c>
      <c r="AL79" s="259">
        <f>IF(AK79&lt;&gt;"",MAX($AL$2:AL78)+1,0)</f>
        <v>0</v>
      </c>
      <c r="AM79" s="259" t="str">
        <f>IFERROR(INDEX($AK$3:$AL$220,MATCH(ROWS($AM$3:AM79),$AL$3:$AL$220,0),1),"")</f>
        <v/>
      </c>
      <c r="AN79" s="259" t="str">
        <f t="shared" si="233"/>
        <v/>
      </c>
      <c r="AO79" s="259" t="str">
        <f t="shared" si="234"/>
        <v/>
      </c>
      <c r="AP79" s="259" t="str">
        <f t="shared" si="235"/>
        <v>DEBITI DIVERSI</v>
      </c>
      <c r="AQ79" s="259">
        <f ca="1">IF(OR(AG79=0,AG79=""),0,MAX(AQ$2:AQ78)+1)</f>
        <v>38</v>
      </c>
      <c r="AR79" s="259">
        <f ca="1">IF(OR(AH79=0,AH79=""),0,MAX(AR$2:AR78)+1)</f>
        <v>56</v>
      </c>
      <c r="AS79" s="259">
        <f ca="1">IF(OR(AI79=0,AI79=""),0,MAX(AS$2:AS78)+1)</f>
        <v>75</v>
      </c>
      <c r="AT79" s="259" t="str">
        <f ca="1">IFERROR(INDEX($AD$3:$AS$220,MATCH(ROWS(AT$3:AT79),AQ$3:AQ$220,0),1),"")</f>
        <v>COSTI D'ESERCIZIO</v>
      </c>
      <c r="AU79" s="259" t="str">
        <f ca="1">IFERROR(INDEX($AD$3:$AS$220,MATCH(ROWS(AU$3:AU79),AR$3:AR$220,0),1),"")</f>
        <v>RICAVI D'ESERCIZIO</v>
      </c>
      <c r="AV79" s="259" t="str">
        <f ca="1">IFERROR(INDEX($AD$3:$AS$220,MATCH(ROWS(AV$3:AV79),AS$3:AS$220,0),1),"")</f>
        <v>DEBITI</v>
      </c>
      <c r="AW79" s="259" t="str">
        <f ca="1">IFERROR(INDEX($AP$3:$AS$220,MATCH(ROWS(AW$3:AW79),AQ$3:AQ$220,0),1),"")</f>
        <v>COSTI PER SERVIZI</v>
      </c>
      <c r="AX79" s="259" t="str">
        <f ca="1">IFERROR(INDEX($AP$3:$AS$220,MATCH(ROWS(AX$3:AX79),AR$3:AR$220,0),1),"")</f>
        <v>VALORE DELLA PRODUZIONE</v>
      </c>
      <c r="AY79" s="259" t="str">
        <f ca="1">IFERROR(INDEX($AP$3:$AS$220,MATCH(ROWS(AY$3:AY79),AS$3:AS$220,0),1),"")</f>
        <v>DEBITI DIVERSI</v>
      </c>
      <c r="AZ79" s="276" t="str">
        <f t="shared" ca="1" si="236"/>
        <v/>
      </c>
      <c r="BA79" s="259">
        <f t="shared" ca="1" si="184"/>
        <v>0</v>
      </c>
      <c r="BB79" s="259">
        <f ca="1">IFERROR(INDEX($FG$3:$FL$400,MATCH(ROWS($BB$3:BB79),$FL$3:$FL$400,0),1),0)</f>
        <v>0</v>
      </c>
      <c r="BC79" s="259" t="str">
        <f t="shared" ca="1" si="237"/>
        <v/>
      </c>
      <c r="BD79" s="259">
        <f ca="1">IFERROR(INDEX($FG$3:$FL$400,MATCH(ROWS($BD$3:BD79),$FL$3:$FL$400,0),4),0)</f>
        <v>0</v>
      </c>
      <c r="BE79" s="259">
        <f ca="1">IFERROR(INDEX($FG$3:$FL$400,MATCH(ROWS($BE$3:BE79),$FL$3:$FL$400,0),5),0)</f>
        <v>0</v>
      </c>
      <c r="BG79" s="259" t="str">
        <f t="shared" si="185"/>
        <v>IVA NS/DEBITO</v>
      </c>
      <c r="BH79" s="259">
        <f ca="1">IF(IFERROR(MATCH(BG79,DENOMINAZIONE_GIORNALE,0),0)&gt;0,MAX(BH$2:BH78)+1,0)</f>
        <v>0</v>
      </c>
      <c r="BI79" s="259" t="str">
        <f ca="1">IFERROR(INDEX($BG$3:$BH$220,MATCH(ROWS($BI$3:BI79),$BH$3:$BH$220,0),1),"")</f>
        <v/>
      </c>
      <c r="BJ79" s="259" t="str">
        <f t="shared" ca="1" si="186"/>
        <v/>
      </c>
      <c r="BK79" s="259" t="str">
        <f ca="1">IF(IF(BJ79&lt;&gt;"",MAX($BK$2:BK78)+1,0)=0,"",IF(BJ79&lt;&gt;"",MAX($BK$2:BK78)+1,0))</f>
        <v/>
      </c>
      <c r="BL79" s="259" t="str">
        <f ca="1">IFERROR(INDEX($T$3:$U$220, MATCH(ROWS(BL$3:BL79),$V$3:$V$220,0),1),"")</f>
        <v/>
      </c>
      <c r="BM79" s="259" t="str">
        <f ca="1">IFERROR(INDEX($T$3:$U$220, MATCH(ROWS(BM$3:BM79),$V$3:$V$220,0),2),"")</f>
        <v/>
      </c>
      <c r="BN79" s="259" t="str">
        <f ca="1">IF(IFERROR(INDEX($BI$3:$BJ$220,MATCH(ROWS(BN$3:BN79),$BK$3:$BK$220,0),1),"")="PATRIMONIO NETTO","",IFERROR(INDEX($BI$3:$BJ$220,MATCH(ROWS(BN$3:BN79),$BK$3:$BK$220,0),1),""))</f>
        <v/>
      </c>
      <c r="BO79" s="259" t="str">
        <f ca="1">IFERROR(INDEX($BI$3:$BJ$220,MATCH(ROWS(BO$3:BO79),$BK$3:$BK$220,0),2),"")</f>
        <v/>
      </c>
      <c r="BP79" s="259">
        <f ca="1">IF(BN79&lt;&gt;"",MAX(BP$2:$BP78)+1,0)</f>
        <v>0</v>
      </c>
      <c r="BQ79" s="259" t="str">
        <f ca="1">IFERROR(INDEX($BN$3:$BO$200,MATCH(ROWS(BQ$3:BQ79),$BP$3:$BP$220,0),1),"")</f>
        <v/>
      </c>
      <c r="BR79" s="259" t="str">
        <f ca="1">IFERROR(INDEX($BN$3:$BO$220,MATCH(ROWS(BR$3:BR79),$BP$3:$BP$220,0),2),"")</f>
        <v/>
      </c>
      <c r="BS79" s="259" t="str">
        <f ca="1">IFERROR(IF(OR(INDEX($T$3:$U$220,MATCH(ROWS(BL$3:BL79),$V$3:$V$220,0),1)="PRELEVAMENTI EXTRAGESTIONE",INDEX($T$3:$U$220,MATCH(ROWS(BL$3:BL79),$V$3:$V$220,0),1)="TITOLARE C/RITENUTE SUBITE"),"",INDEX($T$3:$U$220,MATCH(ROWS(BL$3:BL79),$V$3:$V$220,0),1)),"")</f>
        <v/>
      </c>
      <c r="BT79" s="259">
        <f t="shared" ca="1" si="238"/>
        <v>0</v>
      </c>
      <c r="BU79" s="259">
        <f ca="1">IF(BS79&lt;&gt;"",MAX(BU$2:BU78)+1,0)</f>
        <v>0</v>
      </c>
      <c r="BV79" s="259" t="str">
        <f ca="1">IFERROR(INDEX($BS$3:$BT$223,MATCH(ROWS(BV$3:BV79),$BU$3:$BU$223,0),1),"")</f>
        <v/>
      </c>
      <c r="BW79" s="259">
        <f t="shared" ca="1" si="239"/>
        <v>0</v>
      </c>
      <c r="BX79" s="259" t="str">
        <f t="shared" ca="1" si="240"/>
        <v/>
      </c>
      <c r="BY79" s="259" t="str">
        <f t="shared" ca="1" si="241"/>
        <v/>
      </c>
      <c r="BZ79" s="259" t="str">
        <f ca="1">IFERROR(IF(OR($DS$231&lt;&gt;$DT$231,$DU$231&lt;&gt;$DV$231,$EO$25&lt;&gt;0,$EO$26&lt;&gt;0),INDEX($T$3:$V$220,MATCH(ROWS($BV$3:BV79),$V$3:$V$220,0),1),CONCATENATE(BV79,BY79)),"")</f>
        <v/>
      </c>
      <c r="CA79" s="259">
        <f t="shared" ca="1" si="242"/>
        <v>0</v>
      </c>
      <c r="CB79" s="259" t="str">
        <f ca="1">IFERROR(IF(OR($BB$1&lt;&gt;$BD$1,$BC$1&lt;&gt;$BE$1,$DS$231&lt;&gt;$DT$231,$DU$231&lt;&gt;$DV$231,$EO$25&lt;&gt;0,$EO$26&lt;&gt;0),INDEX($BI$3:$BK$220,MATCH(ROWS($CB$3:CB79),$BK$3:$BK$220,0),1),CONCATENATE(BQ79,BX79)),"")</f>
        <v/>
      </c>
      <c r="CC79" s="259" t="str">
        <f t="shared" ca="1" si="243"/>
        <v/>
      </c>
      <c r="CD79" s="259" t="str">
        <f t="shared" si="187"/>
        <v/>
      </c>
      <c r="CE79" s="259">
        <f ca="1">IF(IFERROR(MATCH(CD79,DENOMINAZIONE_GIORNALE,0),0)&gt;0,MAX(CE$2:CE78)+1,0)</f>
        <v>0</v>
      </c>
      <c r="CF79" s="259" t="str">
        <f ca="1">IFERROR(INDEX($CD$3:$CE$220,MATCH(ROWS($CF$3:CF79),$CE$3:$CE$220,0),1),"")</f>
        <v/>
      </c>
      <c r="CG79" s="259">
        <f t="shared" ca="1" si="188"/>
        <v>0</v>
      </c>
      <c r="CH79" s="259" t="str">
        <f ca="1">IF(IF(CG79&lt;&gt;0,MAX($CH$2:CH78)+1,0)=0,"",IF(CG79&lt;&gt;"",MAX($CH$2:CH78)+1,0))</f>
        <v/>
      </c>
      <c r="CI79" s="259" t="str">
        <f ca="1">IFERROR(INDEX($CF$3:$CG$220,MATCH(ROWS($CI$3:CI79),$CH$3:$CH$220,0),1),"")</f>
        <v/>
      </c>
      <c r="CJ79" s="259" t="str">
        <f t="shared" ca="1" si="244"/>
        <v/>
      </c>
      <c r="CK79" s="259" t="str">
        <f t="shared" si="189"/>
        <v/>
      </c>
      <c r="CL79" s="259">
        <f ca="1">IF(IFERROR(MATCH(CK79,DENOMINAZIONE_GIORNALE,0),0)&gt;0,MAX(CL$2:CL78)+1,0)</f>
        <v>0</v>
      </c>
      <c r="CM79" s="259" t="str">
        <f ca="1">IFERROR(INDEX($CK$3:$CL$220,MATCH(ROWS($CM$3:CM79),$CL$3:$CL$220,0),1),"")</f>
        <v/>
      </c>
      <c r="CN79" s="259" t="str">
        <f t="shared" ca="1" si="190"/>
        <v/>
      </c>
      <c r="CO79" s="259">
        <f ca="1">IF(IF(CN79&lt;&gt;0,MAX($CO$2:CO78)+1,0)=0,"",IF(CN79&lt;&gt;"",MAX($CO$2:CO78)+1,0))</f>
        <v>0</v>
      </c>
      <c r="CP79" s="259" t="str">
        <f ca="1">IFERROR(INDEX($CM$3:$CN$220,MATCH(ROWS(CP$3:CP79),$CO$3:$CO$220,0),1),"")</f>
        <v/>
      </c>
      <c r="CQ79" s="259" t="str">
        <f ca="1">IFERROR(INDEX($CM$3:$CN$220,MATCH(ROWS(CQ$3:CQ79),$CO$3:$CO$220,0),2),"")</f>
        <v/>
      </c>
      <c r="CR79" s="259" t="str">
        <f t="shared" ca="1" si="191"/>
        <v/>
      </c>
      <c r="CS79" s="259">
        <f t="shared" ca="1" si="192"/>
        <v>0</v>
      </c>
      <c r="CT79" s="259">
        <f t="shared" ca="1" si="193"/>
        <v>0</v>
      </c>
      <c r="CU79" s="259">
        <f ca="1">IF(OR(CS79&gt;0,CT79&gt;0),MAX($CU$2:CU78)+1,0)</f>
        <v>0</v>
      </c>
      <c r="CV79" s="259" t="str">
        <f ca="1">IFERROR(INDEX(PIANO_DEI_CONTI,MATCH(ROWS($CV$3:CV79),$CU$3:$CU$200,0),2),"")</f>
        <v/>
      </c>
      <c r="CW79" s="259">
        <f ca="1">IFERROR(IF(CV79&lt;&gt;"",MAX($CW$2:CW78)+1,0),0)</f>
        <v>0</v>
      </c>
      <c r="CX79" s="259">
        <f t="shared" ca="1" si="315"/>
        <v>5</v>
      </c>
      <c r="CY79" s="259" t="str">
        <f t="shared" ca="1" si="308"/>
        <v>MASTRO</v>
      </c>
      <c r="CZ79" s="259" t="e">
        <f t="shared" ca="1" si="317"/>
        <v>#N/A</v>
      </c>
      <c r="DA79" s="259" t="str">
        <f t="shared" ca="1" si="322"/>
        <v/>
      </c>
      <c r="DB79" s="259" t="str">
        <f t="shared" ca="1" si="318"/>
        <v/>
      </c>
      <c r="DC79" s="259" t="str">
        <f t="shared" ca="1" si="319"/>
        <v/>
      </c>
      <c r="DD79" s="259" t="str">
        <f t="shared" ca="1" si="320"/>
        <v/>
      </c>
      <c r="DE79" s="259" t="str">
        <f t="shared" ca="1" si="321"/>
        <v/>
      </c>
      <c r="DF79" s="259">
        <f ca="1">IF(AND(CX79=$DE$2,$DF$2&lt;&gt;0),0,IF(AND(DB79&lt;&gt;"",OR(DB78&lt;&gt;"",DB80&lt;&gt;"")),MAX($DF$2:DF78)+1,0))</f>
        <v>0</v>
      </c>
      <c r="DG79" s="259" t="str">
        <f>IF(OR(VALORI_INIZIALI!E84="",AND(VALORI_INIZIALI!E84&lt;&gt;"",VALORI_INIZIALI!H84=0,VALORI_INIZIALI!I84=0)),"",IFERROR(INDEX(PIANO_DEI_CONTI,MATCH(BB79,DENOMINAZIONE,0),1),0))</f>
        <v/>
      </c>
      <c r="DH79" s="259">
        <f ca="1">IFERROR(IF($J$1=1,IF(INDEX(PIANO_DEI_CONTI,MATCH($K79,DENOMINAZIONE,0),5)=$DF$1,MAX($DH$2:DH78)+1,0),IF($J$1=2,IF(INDEX(PIANO_DEI_CONTI,MATCH($K79,DENOMINAZIONE,0),7)=$DF$1,MAX($DH$2:DH78)+1,0))),0)</f>
        <v>0</v>
      </c>
      <c r="DI79" s="259">
        <f ca="1">IFERROR(INDEX($K$3:$K$220,MATCH(ROWS($DI$3:DI79),$DH$3:$DH$220,0),1),0)</f>
        <v>0</v>
      </c>
      <c r="DJ79" s="259">
        <f t="shared" ca="1" si="194"/>
        <v>0</v>
      </c>
      <c r="DK79" s="259">
        <f ca="1">IF(DJ79=0,0,MAX(DK$2:DK78)+1)</f>
        <v>0</v>
      </c>
      <c r="DL79" s="259">
        <f ca="1">IFERROR(INDEX(PIANO_DEI_CONTI,MATCH(ROWS(DL$3:DL79),$DK$3:DK306,0),2),0)</f>
        <v>0</v>
      </c>
      <c r="DM79" s="259">
        <f t="shared" ca="1" si="195"/>
        <v>0</v>
      </c>
      <c r="DN79" s="259">
        <f t="shared" ca="1" si="196"/>
        <v>0</v>
      </c>
      <c r="DO79" s="259">
        <f t="shared" ca="1" si="245"/>
        <v>0</v>
      </c>
      <c r="DP79" s="259">
        <f t="shared" ca="1" si="246"/>
        <v>0</v>
      </c>
      <c r="DQ79" s="259">
        <f ca="1">IF(OR($DQ$1="TOTALI",$DQ$1="TOTALI ED ECCEDENZE"),IF(OR(DM79&gt;0,DN79&gt;0),MAX(DQ$2:DQ78)+1,0),IF($DQ$1="ECCEDENZE",IF(OR(DO79&gt;0,DP79&gt;0),MAX(DQ$2:DQ78)+1,0),""))</f>
        <v>0</v>
      </c>
      <c r="DR79" s="259" t="str">
        <f ca="1">IFERROR(INDEX($DL$3:$DQ$230,MATCH(ROWS(DR$3:DR79),$DQ$3:$DQ$230,0),1),"")</f>
        <v/>
      </c>
      <c r="DS79" s="259" t="str">
        <f t="shared" ca="1" si="247"/>
        <v/>
      </c>
      <c r="DT79" s="259" t="str">
        <f t="shared" ca="1" si="248"/>
        <v/>
      </c>
      <c r="DU79" s="259" t="str">
        <f t="shared" ca="1" si="249"/>
        <v/>
      </c>
      <c r="DV79" s="259" t="str">
        <f t="shared" ca="1" si="250"/>
        <v/>
      </c>
      <c r="DW79" s="259">
        <f t="shared" ca="1" si="251"/>
        <v>0</v>
      </c>
      <c r="DX79" s="259" t="str">
        <f t="shared" ca="1" si="252"/>
        <v/>
      </c>
      <c r="DY79" s="259" t="str">
        <f t="shared" ca="1" si="253"/>
        <v/>
      </c>
      <c r="DZ79" s="259" t="str">
        <f t="shared" ca="1" si="254"/>
        <v/>
      </c>
      <c r="EA79" s="259">
        <f t="shared" ca="1" si="255"/>
        <v>77</v>
      </c>
      <c r="EB79" s="259" t="s">
        <v>361</v>
      </c>
      <c r="ED79" s="259">
        <f t="shared" ca="1" si="197"/>
        <v>0</v>
      </c>
      <c r="EE79" s="259" t="str">
        <f t="shared" ca="1" si="198"/>
        <v/>
      </c>
      <c r="EF79" s="259" t="str">
        <f t="shared" ca="1" si="199"/>
        <v/>
      </c>
      <c r="EG79" s="259" t="str">
        <f t="shared" ca="1" si="309"/>
        <v/>
      </c>
      <c r="EH79" s="259" t="str">
        <f t="shared" ca="1" si="256"/>
        <v/>
      </c>
      <c r="EI79" s="260" t="b">
        <f t="shared" ca="1" si="310"/>
        <v>0</v>
      </c>
      <c r="EJ79" s="260" t="b">
        <f t="shared" ca="1" si="311"/>
        <v>1</v>
      </c>
      <c r="EK79" s="260" t="b">
        <f t="shared" ca="1" si="312"/>
        <v>1</v>
      </c>
      <c r="EL79" s="259">
        <f t="shared" si="257"/>
        <v>77</v>
      </c>
      <c r="EM79" s="259">
        <f ca="1">IF(AND(BA79&gt;0,BA79&lt;=$EM$1),MAX($EM$2:EM78)+1,0)</f>
        <v>0</v>
      </c>
      <c r="EN79" s="259">
        <f t="shared" ca="1" si="258"/>
        <v>79</v>
      </c>
      <c r="EP79" s="259" t="str">
        <f t="shared" ca="1" si="200"/>
        <v/>
      </c>
      <c r="EQ79" s="259">
        <f t="shared" ca="1" si="201"/>
        <v>0</v>
      </c>
      <c r="ER79" s="259">
        <f ca="1">IF(ISNA(EQ79),MAX(ER$2:ER78)+1,0)</f>
        <v>0</v>
      </c>
      <c r="ES79" s="259" t="str">
        <f t="shared" ca="1" si="259"/>
        <v/>
      </c>
      <c r="ET79" s="259" t="str">
        <f ca="1">IFERROR(UPPER(INDEX($ER$3:$ES$500,MATCH(ROWS(ET$3:ET79),$ER$3:$ER$500,0),2)),"")</f>
        <v/>
      </c>
      <c r="EY79" s="259">
        <f t="shared" ca="1" si="260"/>
        <v>0</v>
      </c>
      <c r="EZ79" s="259">
        <f t="shared" ca="1" si="260"/>
        <v>0</v>
      </c>
      <c r="FA79" s="259" t="str">
        <f t="shared" ca="1" si="261"/>
        <v/>
      </c>
      <c r="FB79" s="259">
        <f t="shared" ca="1" si="262"/>
        <v>0</v>
      </c>
      <c r="FC79" s="259">
        <f t="shared" ca="1" si="263"/>
        <v>0</v>
      </c>
      <c r="FD79" s="259">
        <f t="shared" ca="1" si="202"/>
        <v>0</v>
      </c>
      <c r="FE79" s="259" t="str">
        <f t="shared" ca="1" si="203"/>
        <v/>
      </c>
      <c r="FF79" s="259" t="str">
        <f t="shared" ca="1" si="264"/>
        <v/>
      </c>
      <c r="FG79" s="259" t="str">
        <f t="shared" si="265"/>
        <v>IVA NS/DEBITO</v>
      </c>
      <c r="FH79" s="259">
        <f t="shared" ca="1" si="156"/>
        <v>0</v>
      </c>
      <c r="FI79" s="259">
        <f t="shared" ca="1" si="204"/>
        <v>0</v>
      </c>
      <c r="FJ79" s="259">
        <f t="shared" ca="1" si="266"/>
        <v>0</v>
      </c>
      <c r="FK79" s="259">
        <f t="shared" ca="1" si="267"/>
        <v>0</v>
      </c>
      <c r="FL79" s="259">
        <f ca="1">IF(OR(FJ79&gt;0,FK79&gt;0),MAX($FL$2:FL78)+1,0)</f>
        <v>0</v>
      </c>
      <c r="FM79" s="259">
        <f t="shared" ca="1" si="205"/>
        <v>0</v>
      </c>
      <c r="FN79" s="259">
        <f ca="1">IF(FM79&lt;0,MAX($FN$2:FN78)+1,0)</f>
        <v>0</v>
      </c>
      <c r="FO79" s="259" t="str">
        <f t="shared" ca="1" si="268"/>
        <v/>
      </c>
      <c r="FP79" s="259" t="str">
        <f ca="1">IFERROR(INDEX($FN$3:$FO$400,MATCH(ROWS($FP$3:FP79),$FN$3:$FN$400,0),2),"")</f>
        <v/>
      </c>
      <c r="FQ79" s="259" t="str">
        <f>IF(AE79="SE AVERE",MAX($FQ$2:FQ78)+1,"")</f>
        <v/>
      </c>
      <c r="FR79" s="259" t="str">
        <f>IF(AE79="SE DARE",MAX($FR$2:FR78)+1,"")</f>
        <v/>
      </c>
      <c r="FS79" s="259" t="str">
        <f ca="1">IF(AND(AE79="SP DARE",AA79&lt;&gt;$FS$1,AA79&lt;&gt;$FT$1),MAX($FS$2:FS78)+1,IF(AND(GQ79="SP DARE",AA79&lt;&gt;$FS$1,AA79&lt;&gt;$FT$1),MAX($FS$2:FS78)+1,""))</f>
        <v/>
      </c>
      <c r="FT79" s="259">
        <f ca="1">IF(AND(AE79="SP AVERE",AA79&lt;&gt;$FU$1),MAX($FT$2:FT78)+1,IF(AND(GQ79="SP AVERE",AA79&lt;&gt;$FU$1),MAX($FT$2:FT78)+1,""))</f>
        <v>161</v>
      </c>
      <c r="FU79" s="259">
        <f t="shared" ca="1" si="269"/>
        <v>161</v>
      </c>
      <c r="FV79" s="259" t="str">
        <f t="shared" si="270"/>
        <v>IVA NS/DEBITO</v>
      </c>
      <c r="FW79" s="259">
        <f ca="1">IFERROR(INDEX($FU$3:$FV$500,MATCH(ROWS($FW$3:FW79),$FU$3:$FU$500,0),2),0)</f>
        <v>0</v>
      </c>
      <c r="FX79" s="259">
        <f t="shared" ca="1" si="271"/>
        <v>0</v>
      </c>
      <c r="FY79" s="259">
        <f t="shared" ca="1" si="272"/>
        <v>77</v>
      </c>
      <c r="FZ79" s="259">
        <f ca="1">IF(FY79&gt;0,MAX($FZ$2:FZ78)+1,0)</f>
        <v>3</v>
      </c>
      <c r="GA79" s="259">
        <f ca="1">IFERROR(INDEX($FY$3:$FZ$500,MATCH(ROWS($GA$3:GA79),$FZ$3:$FZ$500,0),1),0)</f>
        <v>0</v>
      </c>
      <c r="GC79" s="259">
        <f t="shared" ca="1" si="273"/>
        <v>77</v>
      </c>
      <c r="GD79" s="259" t="str">
        <f t="shared" ca="1" si="274"/>
        <v>PERDITA D'ESERCIZIO</v>
      </c>
      <c r="GG79" s="259">
        <f t="shared" ca="1" si="275"/>
        <v>0</v>
      </c>
      <c r="GH79" s="259">
        <f t="shared" ca="1" si="276"/>
        <v>0</v>
      </c>
      <c r="GI79" s="259">
        <f t="shared" ca="1" si="277"/>
        <v>0</v>
      </c>
      <c r="GJ79" s="259">
        <f t="shared" ca="1" si="278"/>
        <v>0</v>
      </c>
      <c r="GK79" s="259">
        <f t="shared" ca="1" si="279"/>
        <v>0</v>
      </c>
      <c r="GL79" s="259">
        <f t="shared" ca="1" si="280"/>
        <v>0</v>
      </c>
      <c r="GM79" s="259">
        <f ca="1">IF(OR(GK79&gt;0,GL79&gt;0),MAX($GM$2:GM78)+1,0)</f>
        <v>0</v>
      </c>
      <c r="GN79" s="259" t="str">
        <f ca="1">IFERROR(INDEX($GD$3:$GM$400,MATCH(ROWS($GN$3:GN79),$GM$3:$GM$400,0),1),"")</f>
        <v/>
      </c>
      <c r="GO79" s="259" t="str">
        <f ca="1">IFERROR(INDEX($GD$3:$GM$400,MATCH(ROWS($GO$3:GO79),$GM$3:$GM$400,0),8),"")</f>
        <v/>
      </c>
      <c r="GP79" s="259" t="str">
        <f ca="1">IFERROR(INDEX($GD$3:$GM$400,MATCH(ROWS($GP$3:GP79),$GM$3:$GM$400,0),9),"")</f>
        <v/>
      </c>
      <c r="GQ79" s="259">
        <f t="shared" ca="1" si="206"/>
        <v>0</v>
      </c>
      <c r="GR79" s="259">
        <f t="shared" ca="1" si="281"/>
        <v>0</v>
      </c>
      <c r="GS79" s="259" t="str">
        <f t="shared" ca="1" si="282"/>
        <v>rilevata perdita d'esercizio</v>
      </c>
      <c r="GT79" s="259" t="str">
        <f ca="1">IFERROR(INDEX($GD$3:$GS$400,MATCH(ROWS($GT$3:GT79),$GM$3:$GM$400,0),16),"")</f>
        <v/>
      </c>
      <c r="GU79" s="259">
        <f ca="1">IF(GQ79&lt;&gt;0,MAX($GU$2:$GU78)+1,0)</f>
        <v>0</v>
      </c>
      <c r="GV79" s="259">
        <f t="shared" ca="1" si="283"/>
        <v>0</v>
      </c>
      <c r="GW79" s="259" t="str">
        <f ca="1">IF(AND(IFERROR(INDEX($GU$3:$GV$400,MATCH(ROWS($GW$3:GW79),$GU$3:$GU$400,0),2),"")&lt;&gt;"",GW80&lt;&gt;""),CONCATENATE(IFERROR(INDEX($GU$3:$GV$400,MATCH(ROWS($GW$3:GW79),$GU$3:$GU$400,0),2),"")," - "),IFERROR(INDEX($GU$3:$GV$400,MATCH(ROWS($GW$3:GW79),$GU$3:$GU$400,0),2),""))</f>
        <v/>
      </c>
      <c r="GX79" s="259">
        <f ca="1">IF(OR(GN79="IVA NS/CREDITO",GN79="IVA NS/DEBITO",GN79="IVA C/ACCONTO",GN79="IMPOSTE C/ACCONTO"),MAX($GX$2:GX78)+1,0)</f>
        <v>0</v>
      </c>
      <c r="GY79" s="259" t="str">
        <f ca="1">IF(AND(IFERROR(INDEX($GN$3:$GX$200,MATCH(ROWS($GY$3:GY79),$GX$3:$GX$200,0),1),"")&lt;&gt;"",GY80&lt;&gt;""),CONCATENATE(IFERROR(INDEX($GN$3:$GX$200,MATCH(ROWS($GY$3:GY79),$GX$3:$GX$200,0),1),"")," - "),IFERROR(INDEX($GN$3:$GX$200,MATCH(ROWS($GY$3:GY79),$GX$3:$GX$200,0),1),""))</f>
        <v/>
      </c>
      <c r="GZ79" s="259" t="s">
        <v>525</v>
      </c>
      <c r="HA79" s="259" t="s">
        <v>104</v>
      </c>
      <c r="HB79" s="269" t="s">
        <v>257</v>
      </c>
      <c r="HC79" s="269" t="s">
        <v>211</v>
      </c>
      <c r="HD79" s="269" t="s">
        <v>5</v>
      </c>
      <c r="HE79" s="269" t="s">
        <v>212</v>
      </c>
      <c r="HL79" s="259" t="str">
        <f t="shared" ca="1" si="207"/>
        <v/>
      </c>
      <c r="HM79" s="259" t="str">
        <f t="shared" ca="1" si="208"/>
        <v/>
      </c>
      <c r="HN79" s="259" t="str">
        <f t="shared" ca="1" si="209"/>
        <v/>
      </c>
      <c r="HO79" s="259">
        <f ca="1">IF(HL79&lt;&gt;"",MAX($HO$2:HO78)+1,0)</f>
        <v>0</v>
      </c>
      <c r="HP79" s="259">
        <f ca="1">IF(HM79&lt;&gt;"",MAX($HP$2:HP78)+1,0)</f>
        <v>0</v>
      </c>
      <c r="HQ79" s="259">
        <f ca="1">IF(HN79&lt;&gt;"",MAX($HQ$2:HQ78)+1,0)</f>
        <v>0</v>
      </c>
      <c r="HR79" s="259" t="str">
        <f t="shared" ca="1" si="284"/>
        <v/>
      </c>
      <c r="HS79" s="259" t="str">
        <f t="shared" ca="1" si="285"/>
        <v/>
      </c>
      <c r="HT79" s="259">
        <f t="shared" ca="1" si="286"/>
        <v>0</v>
      </c>
      <c r="HU79" s="259">
        <f t="shared" ca="1" si="287"/>
        <v>0</v>
      </c>
      <c r="HV79" s="259" t="str">
        <f ca="1">CONCATENATE(IFERROR(INDEX($HS$3:$HT$102,MATCH(ROWS($HV$3:HV79),$HT$3:$HT$102,0),1),""),HR79)</f>
        <v/>
      </c>
      <c r="IB79" s="259" t="s">
        <v>338</v>
      </c>
      <c r="IC79" s="259">
        <f ca="1">IFERROR(INDEX(PIANO_DEI_CONTI,MATCH(ROWS(DL$3:DL79),$DK$3:DK306,0),2),0)</f>
        <v>0</v>
      </c>
      <c r="ID79" s="259">
        <f t="shared" ca="1" si="288"/>
        <v>0</v>
      </c>
      <c r="IE79" s="259">
        <f t="shared" ca="1" si="289"/>
        <v>0</v>
      </c>
      <c r="IF79" s="259">
        <f t="shared" ca="1" si="290"/>
        <v>0</v>
      </c>
      <c r="IG79" s="259">
        <f t="shared" ref="IG79:IG84" ca="1" si="323">IF(SUMIFS($ID$3:$ID$200,$IF$3:$IF$200,IA79)&lt;=SUMIFS($IE$3:$IE$200,$IF$3:$IF$200,IA79),SUMIFS($IE$3:$IE$200,$IF$3:$IF$200,IA79)-SUMIFS($ID$3:$ID$200,$IF$3:$IF$200,IA79),0)</f>
        <v>0</v>
      </c>
      <c r="IH79" s="259">
        <f ca="1">IF(IG79&lt;&gt;0,MAX($IH$35:IH78)+1,0)</f>
        <v>0</v>
      </c>
      <c r="II79" s="259">
        <f>IF(AD79="costi pluriennali",MAX($II$2:II78)+1,0)</f>
        <v>0</v>
      </c>
      <c r="IJ79" s="259">
        <f>IF($AD79="rettifiche costi pluriennali",MAX($IJ$2:IJ78)+1,0)</f>
        <v>0</v>
      </c>
      <c r="IK79" s="259">
        <f t="shared" si="291"/>
        <v>0</v>
      </c>
      <c r="IL79" s="259" t="str">
        <f t="shared" si="292"/>
        <v/>
      </c>
      <c r="IM79" s="259">
        <f t="shared" ca="1" si="293"/>
        <v>0</v>
      </c>
      <c r="IN79" s="259">
        <f t="shared" ca="1" si="313"/>
        <v>0</v>
      </c>
      <c r="IO79" s="259">
        <f>SUMIFS($IM$3:$IM$200,$IK$3:$IK$200,ROWS($IO$3:IO79))-SUMIFS($IN$3:$IN$200,$IK$3:$IK$200,ROWS($IO$3:IO79))</f>
        <v>0</v>
      </c>
      <c r="IP79" s="259" t="str">
        <f>IF(IO79&lt;0,INDEX($IJ$3:$IL$200,MATCH(ROWS($IP$3:IP79),$IJ$3:$IJ$200,0),3),"")</f>
        <v/>
      </c>
      <c r="IQ79" s="259">
        <f>IF(IP79&lt;&gt;"",MAX($IQ$2:IQ78)+1,0)</f>
        <v>0</v>
      </c>
      <c r="IR79" s="259" t="str">
        <f ca="1">IFERROR(INDEX($IP$3:$IQ$200,MATCH(ROWS($IR$3:IR79),$IQ$3:$IQ$200,0),1),"")</f>
        <v/>
      </c>
      <c r="IS79" s="259" t="str">
        <f t="shared" ca="1" si="294"/>
        <v/>
      </c>
      <c r="IT79" s="259" t="str">
        <f t="shared" ca="1" si="295"/>
        <v/>
      </c>
      <c r="IU79" s="259" t="str">
        <f t="shared" ca="1" si="296"/>
        <v/>
      </c>
      <c r="IV79" s="259" t="str">
        <f t="shared" ca="1" si="297"/>
        <v/>
      </c>
      <c r="IW79" s="259" t="str">
        <f t="shared" ca="1" si="298"/>
        <v/>
      </c>
      <c r="IX79" s="259" t="str">
        <f t="shared" ca="1" si="299"/>
        <v/>
      </c>
      <c r="IY79" s="259" t="str">
        <f t="shared" ca="1" si="300"/>
        <v/>
      </c>
      <c r="IZ79" s="259" t="str">
        <f t="shared" ca="1" si="301"/>
        <v/>
      </c>
      <c r="JA79" s="259" t="str">
        <f t="shared" ca="1" si="302"/>
        <v/>
      </c>
      <c r="JB79" s="259">
        <f t="shared" ca="1" si="210"/>
        <v>0</v>
      </c>
      <c r="JC79" s="259">
        <f t="shared" ca="1" si="303"/>
        <v>0</v>
      </c>
      <c r="JE79" s="259">
        <f ca="1">IFERROR(INDEX(LIBRO_GIORNALE!$N$11:$O$408,MATCH(ROWS($JE$2:JE78),LIBRO_GIORNALE!$O$11:$O$408,0),1),0)</f>
        <v>0</v>
      </c>
      <c r="JF79" s="259" t="str">
        <f t="shared" ca="1" si="304"/>
        <v>0</v>
      </c>
      <c r="JG79" s="259">
        <f t="shared" ca="1" si="305"/>
        <v>0</v>
      </c>
      <c r="JH79" s="259">
        <f ca="1">IF(JJ79&gt;0,0,MAX($JH$2:JH78)+1)</f>
        <v>77</v>
      </c>
      <c r="JI79" s="259">
        <f ca="1">IF(JG79&gt;0,MAX($JI$2:JI78)+1,0)</f>
        <v>0</v>
      </c>
      <c r="JJ79" s="259">
        <f ca="1">IFERROR(INDEX($JG$3:$JI$124,MATCH(ROWS($JJ$3:JJ79),$JI$3:$JI$124,0),1),0)</f>
        <v>0</v>
      </c>
      <c r="JK79" s="259">
        <f t="shared" ca="1" si="306"/>
        <v>0</v>
      </c>
      <c r="JL79" s="259">
        <f t="shared" ca="1" si="307"/>
        <v>77</v>
      </c>
    </row>
    <row r="80" spans="1:272">
      <c r="A80" s="259" t="str">
        <f t="shared" si="211"/>
        <v>13.15</v>
      </c>
      <c r="B80" s="259" t="str">
        <f t="shared" si="212"/>
        <v>SOVVENZIONI BANCARIE</v>
      </c>
      <c r="C80" s="259" t="str">
        <f t="shared" si="213"/>
        <v>F</v>
      </c>
      <c r="D80" s="259" t="str">
        <f t="shared" si="214"/>
        <v>A</v>
      </c>
      <c r="E80" s="259" t="str">
        <f t="shared" si="215"/>
        <v>DEBITI</v>
      </c>
      <c r="F80" s="259" t="str">
        <f t="shared" si="216"/>
        <v>SP AVERE</v>
      </c>
      <c r="G80" s="259">
        <f t="shared" ca="1" si="217"/>
        <v>0</v>
      </c>
      <c r="H80" s="259">
        <f t="shared" ca="1" si="218"/>
        <v>1</v>
      </c>
      <c r="I80" s="259">
        <f t="shared" ca="1" si="219"/>
        <v>1</v>
      </c>
      <c r="K80" s="259" t="str">
        <f ca="1">IFERROR(IF($I$1=1,INDEX($AA$3:$AS$220,MATCH(ROWS($K$3:K80),$AQ$3:$AQ$220,0),1),IF($I$1=2,INDEX($AA$3:$AS$220,MATCH(ROWS($K$3:K80),$AR$3:$AR$220,0),1),IF($I$1=3,INDEX($AA$3:$AS$220,MATCH(ROWS($K$3:K80),$AS$3:$AS$220,0),1),""))),"")</f>
        <v>DEBITI FISCALI DIVERSI</v>
      </c>
      <c r="L80" s="259">
        <f ca="1">IF(AND($L$1="VISUALIZZA TUTTI I CONTI",K80&lt;&gt;""),MAX(L79:L79)+1,IFERROR(IF($J$1=1,IF(INDEX(PIANO_DEI_CONTI,MATCH($K80,DENOMINAZIONE,0),5)=$L$1,MAX($L$2:L79)+1,0),IF($J$1=2,IF(INDEX(PIANO_DEI_CONTI,MATCH($K80,DENOMINAZIONE,0),7)=$L$1,MAX($L$2:L79)+1,0))),0))</f>
        <v>78</v>
      </c>
      <c r="M80" s="259" t="str">
        <f ca="1">IFERROR(INDEX($K$3:$K$220,MATCH(ROWS($M$3:M80),$L$3:$L$220,0),1),"")</f>
        <v>DEBITI FISCALI DIVERSI</v>
      </c>
      <c r="Q80" s="259" t="str">
        <f ca="1">IF(IFERROR(INDEX($O$3:$P$220,MATCH(ROWS(Q$3:Q80),$P$3:$P$220,0),1),"")=0,"",IFERROR(INDEX($O$3:$P$220,MATCH(ROWS(Q$3:Q80),$P$3:$P$220,0),1),""))</f>
        <v/>
      </c>
      <c r="R80" s="259" t="str">
        <f t="shared" si="182"/>
        <v/>
      </c>
      <c r="S80" s="259">
        <f ca="1">IF(IFERROR(MATCH(R80,DENOMINAZIONE_GIORNALE,0),0)&gt;0,MAX(S$2:S79)+1,0)</f>
        <v>0</v>
      </c>
      <c r="T80" s="259" t="str">
        <f ca="1">IFERROR(INDEX($R$3:$S$220,MATCH(ROWS($T$3:T80),$S$3:$S$220,0),1),"")</f>
        <v/>
      </c>
      <c r="U80" s="259">
        <f t="shared" ca="1" si="183"/>
        <v>0</v>
      </c>
      <c r="V80" s="259">
        <f ca="1">IF(IF(U80&lt;&gt;0,MAX($V$2:V79)+1,0)=0,0,IF(U80&lt;&gt;0,MAX($V$2:V79)+1,0))</f>
        <v>0</v>
      </c>
      <c r="W80" s="259" t="str">
        <f t="shared" si="220"/>
        <v>13.15</v>
      </c>
      <c r="X80" s="259" t="str">
        <f t="shared" si="221"/>
        <v>SOVVENZIONI BANCARIE</v>
      </c>
      <c r="Y80" s="259">
        <f>IF(W80="",0,MAX($Y$2:Y79)+1)</f>
        <v>66</v>
      </c>
      <c r="Z80" s="259" t="str">
        <f>IFERROR(INDEX($W$3:$Y$220,MATCH(ROWS($Z$2:Z79),$Y$3:$Y$220,0),1),"")</f>
        <v>15.02</v>
      </c>
      <c r="AA80" s="259" t="str">
        <f t="shared" si="222"/>
        <v>DEBITI PER RITENUTE DA VERSARE</v>
      </c>
      <c r="AB80" s="259" t="str">
        <f t="shared" si="223"/>
        <v>F</v>
      </c>
      <c r="AC80" s="259" t="str">
        <f t="shared" si="224"/>
        <v>A</v>
      </c>
      <c r="AD80" s="259" t="str">
        <f t="shared" si="225"/>
        <v>DEBITI</v>
      </c>
      <c r="AE80" s="259" t="str">
        <f t="shared" si="226"/>
        <v>SP AVERE</v>
      </c>
      <c r="AF80" s="259" t="str">
        <f t="shared" si="227"/>
        <v>DEBITI DIVERSI</v>
      </c>
      <c r="AG80" s="259">
        <f t="shared" ca="1" si="228"/>
        <v>1</v>
      </c>
      <c r="AH80" s="259">
        <f t="shared" ca="1" si="229"/>
        <v>1</v>
      </c>
      <c r="AI80" s="259">
        <f t="shared" ca="1" si="230"/>
        <v>1</v>
      </c>
      <c r="AJ80" s="259" t="str">
        <f t="shared" si="231"/>
        <v>15</v>
      </c>
      <c r="AK80" s="259" t="str">
        <f t="shared" si="232"/>
        <v/>
      </c>
      <c r="AL80" s="259">
        <f>IF(AK80&lt;&gt;"",MAX($AL$2:AL79)+1,0)</f>
        <v>0</v>
      </c>
      <c r="AM80" s="259" t="str">
        <f>IFERROR(INDEX($AK$3:$AL$220,MATCH(ROWS($AM$3:AM80),$AL$3:$AL$220,0),1),"")</f>
        <v/>
      </c>
      <c r="AN80" s="259" t="str">
        <f t="shared" si="233"/>
        <v/>
      </c>
      <c r="AO80" s="259" t="str">
        <f t="shared" si="234"/>
        <v/>
      </c>
      <c r="AP80" s="259" t="str">
        <f t="shared" si="235"/>
        <v>DEBITI DIVERSI</v>
      </c>
      <c r="AQ80" s="259">
        <f ca="1">IF(OR(AG80=0,AG80=""),0,MAX(AQ$2:AQ79)+1)</f>
        <v>39</v>
      </c>
      <c r="AR80" s="259">
        <f ca="1">IF(OR(AH80=0,AH80=""),0,MAX(AR$2:AR79)+1)</f>
        <v>57</v>
      </c>
      <c r="AS80" s="259">
        <f ca="1">IF(OR(AI80=0,AI80=""),0,MAX(AS$2:AS79)+1)</f>
        <v>76</v>
      </c>
      <c r="AT80" s="259" t="str">
        <f ca="1">IFERROR(INDEX($AD$3:$AS$220,MATCH(ROWS(AT$3:AT80),AQ$3:AQ$220,0),1),"")</f>
        <v>COSTI D'ESERCIZIO</v>
      </c>
      <c r="AU80" s="259" t="str">
        <f ca="1">IFERROR(INDEX($AD$3:$AS$220,MATCH(ROWS(AU$3:AU80),AR$3:AR$220,0),1),"")</f>
        <v>RICAVI D'ESERCIZIO</v>
      </c>
      <c r="AV80" s="259" t="str">
        <f ca="1">IFERROR(INDEX($AD$3:$AS$220,MATCH(ROWS(AV$3:AV80),AS$3:AS$220,0),1),"")</f>
        <v>DEBITI</v>
      </c>
      <c r="AW80" s="259" t="str">
        <f ca="1">IFERROR(INDEX($AP$3:$AS$220,MATCH(ROWS(AW$3:AW80),AQ$3:AQ$220,0),1),"")</f>
        <v>COSTI PER GODIMENTO BENI DI TERZI</v>
      </c>
      <c r="AX80" s="259" t="str">
        <f ca="1">IFERROR(INDEX($AP$3:$AS$220,MATCH(ROWS(AX$3:AX80),AR$3:AR$220,0),1),"")</f>
        <v>VALORE DELLA PRODUZIONE</v>
      </c>
      <c r="AY80" s="259" t="str">
        <f ca="1">IFERROR(INDEX($AP$3:$AS$220,MATCH(ROWS(AY$3:AY80),AS$3:AS$220,0),1),"")</f>
        <v>DEBITI DIVERSI</v>
      </c>
      <c r="AZ80" s="276" t="str">
        <f t="shared" ca="1" si="236"/>
        <v/>
      </c>
      <c r="BA80" s="259">
        <f t="shared" ca="1" si="184"/>
        <v>0</v>
      </c>
      <c r="BB80" s="259">
        <f ca="1">IFERROR(INDEX($FG$3:$FL$400,MATCH(ROWS($BB$3:BB80),$FL$3:$FL$400,0),1),0)</f>
        <v>0</v>
      </c>
      <c r="BC80" s="259" t="str">
        <f t="shared" ca="1" si="237"/>
        <v/>
      </c>
      <c r="BD80" s="259">
        <f ca="1">IFERROR(INDEX($FG$3:$FL$400,MATCH(ROWS($BD$3:BD80),$FL$3:$FL$400,0),4),0)</f>
        <v>0</v>
      </c>
      <c r="BE80" s="259">
        <f ca="1">IFERROR(INDEX($FG$3:$FL$400,MATCH(ROWS($BE$3:BE80),$FL$3:$FL$400,0),5),0)</f>
        <v>0</v>
      </c>
      <c r="BG80" s="259" t="str">
        <f t="shared" si="185"/>
        <v>DEBITI PER RITENUTE DA VERSARE</v>
      </c>
      <c r="BH80" s="259">
        <f ca="1">IF(IFERROR(MATCH(BG80,DENOMINAZIONE_GIORNALE,0),0)&gt;0,MAX(BH$2:BH79)+1,0)</f>
        <v>0</v>
      </c>
      <c r="BI80" s="259" t="str">
        <f ca="1">IFERROR(INDEX($BG$3:$BH$220,MATCH(ROWS($BI$3:BI80),$BH$3:$BH$220,0),1),"")</f>
        <v/>
      </c>
      <c r="BJ80" s="259" t="str">
        <f t="shared" ca="1" si="186"/>
        <v/>
      </c>
      <c r="BK80" s="259" t="str">
        <f ca="1">IF(IF(BJ80&lt;&gt;"",MAX($BK$2:BK79)+1,0)=0,"",IF(BJ80&lt;&gt;"",MAX($BK$2:BK79)+1,0))</f>
        <v/>
      </c>
      <c r="BL80" s="259" t="str">
        <f ca="1">IFERROR(INDEX($T$3:$U$220, MATCH(ROWS(BL$3:BL80),$V$3:$V$220,0),1),"")</f>
        <v/>
      </c>
      <c r="BM80" s="259" t="str">
        <f ca="1">IFERROR(INDEX($T$3:$U$220, MATCH(ROWS(BM$3:BM80),$V$3:$V$220,0),2),"")</f>
        <v/>
      </c>
      <c r="BN80" s="259" t="str">
        <f ca="1">IF(IFERROR(INDEX($BI$3:$BJ$220,MATCH(ROWS(BN$3:BN80),$BK$3:$BK$220,0),1),"")="PATRIMONIO NETTO","",IFERROR(INDEX($BI$3:$BJ$220,MATCH(ROWS(BN$3:BN80),$BK$3:$BK$220,0),1),""))</f>
        <v/>
      </c>
      <c r="BO80" s="259" t="str">
        <f ca="1">IFERROR(INDEX($BI$3:$BJ$220,MATCH(ROWS(BO$3:BO80),$BK$3:$BK$220,0),2),"")</f>
        <v/>
      </c>
      <c r="BP80" s="259">
        <f ca="1">IF(BN80&lt;&gt;"",MAX(BP$2:$BP79)+1,0)</f>
        <v>0</v>
      </c>
      <c r="BQ80" s="259" t="str">
        <f ca="1">IFERROR(INDEX($BN$3:$BO$200,MATCH(ROWS(BQ$3:BQ80),$BP$3:$BP$220,0),1),"")</f>
        <v/>
      </c>
      <c r="BR80" s="259" t="str">
        <f ca="1">IFERROR(INDEX($BN$3:$BO$220,MATCH(ROWS(BR$3:BR80),$BP$3:$BP$220,0),2),"")</f>
        <v/>
      </c>
      <c r="BS80" s="259" t="str">
        <f ca="1">IFERROR(IF(OR(INDEX($T$3:$U$220,MATCH(ROWS(BL$3:BL80),$V$3:$V$220,0),1)="PRELEVAMENTI EXTRAGESTIONE",INDEX($T$3:$U$220,MATCH(ROWS(BL$3:BL80),$V$3:$V$220,0),1)="TITOLARE C/RITENUTE SUBITE"),"",INDEX($T$3:$U$220,MATCH(ROWS(BL$3:BL80),$V$3:$V$220,0),1)),"")</f>
        <v/>
      </c>
      <c r="BT80" s="259">
        <f t="shared" ca="1" si="238"/>
        <v>0</v>
      </c>
      <c r="BU80" s="259">
        <f ca="1">IF(BS80&lt;&gt;"",MAX(BU$2:BU79)+1,0)</f>
        <v>0</v>
      </c>
      <c r="BV80" s="259" t="str">
        <f ca="1">IFERROR(INDEX($BS$3:$BT$223,MATCH(ROWS(BV$3:BV80),$BU$3:$BU$223,0),1),"")</f>
        <v/>
      </c>
      <c r="BW80" s="259">
        <f t="shared" ca="1" si="239"/>
        <v>0</v>
      </c>
      <c r="BX80" s="259" t="str">
        <f t="shared" ca="1" si="240"/>
        <v/>
      </c>
      <c r="BY80" s="259" t="str">
        <f t="shared" ca="1" si="241"/>
        <v/>
      </c>
      <c r="BZ80" s="259" t="str">
        <f ca="1">IFERROR(IF(OR($DS$231&lt;&gt;$DT$231,$DU$231&lt;&gt;$DV$231,$EO$25&lt;&gt;0,$EO$26&lt;&gt;0),INDEX($T$3:$V$220,MATCH(ROWS($BV$3:BV80),$V$3:$V$220,0),1),CONCATENATE(BV80,BY80)),"")</f>
        <v/>
      </c>
      <c r="CA80" s="259">
        <f t="shared" ca="1" si="242"/>
        <v>0</v>
      </c>
      <c r="CB80" s="259" t="str">
        <f ca="1">IFERROR(IF(OR($BB$1&lt;&gt;$BD$1,$BC$1&lt;&gt;$BE$1,$DS$231&lt;&gt;$DT$231,$DU$231&lt;&gt;$DV$231,$EO$25&lt;&gt;0,$EO$26&lt;&gt;0),INDEX($BI$3:$BK$220,MATCH(ROWS($CB$3:CB80),$BK$3:$BK$220,0),1),CONCATENATE(BQ80,BX80)),"")</f>
        <v/>
      </c>
      <c r="CC80" s="259" t="str">
        <f t="shared" ca="1" si="243"/>
        <v/>
      </c>
      <c r="CD80" s="259" t="str">
        <f t="shared" si="187"/>
        <v/>
      </c>
      <c r="CE80" s="259">
        <f ca="1">IF(IFERROR(MATCH(CD80,DENOMINAZIONE_GIORNALE,0),0)&gt;0,MAX(CE$2:CE79)+1,0)</f>
        <v>0</v>
      </c>
      <c r="CF80" s="259" t="str">
        <f ca="1">IFERROR(INDEX($CD$3:$CE$220,MATCH(ROWS($CF$3:CF80),$CE$3:$CE$220,0),1),"")</f>
        <v/>
      </c>
      <c r="CG80" s="259">
        <f t="shared" ca="1" si="188"/>
        <v>0</v>
      </c>
      <c r="CH80" s="259" t="str">
        <f ca="1">IF(IF(CG80&lt;&gt;0,MAX($CH$2:CH79)+1,0)=0,"",IF(CG80&lt;&gt;"",MAX($CH$2:CH79)+1,0))</f>
        <v/>
      </c>
      <c r="CI80" s="259" t="str">
        <f ca="1">IFERROR(INDEX($CF$3:$CG$220,MATCH(ROWS($CI$3:CI80),$CH$3:$CH$220,0),1),"")</f>
        <v/>
      </c>
      <c r="CJ80" s="259" t="str">
        <f t="shared" ca="1" si="244"/>
        <v/>
      </c>
      <c r="CK80" s="259" t="str">
        <f t="shared" si="189"/>
        <v/>
      </c>
      <c r="CL80" s="259">
        <f ca="1">IF(IFERROR(MATCH(CK80,DENOMINAZIONE_GIORNALE,0),0)&gt;0,MAX(CL$2:CL79)+1,0)</f>
        <v>0</v>
      </c>
      <c r="CM80" s="259" t="str">
        <f ca="1">IFERROR(INDEX($CK$3:$CL$220,MATCH(ROWS($CM$3:CM80),$CL$3:$CL$220,0),1),"")</f>
        <v/>
      </c>
      <c r="CN80" s="259" t="str">
        <f t="shared" ca="1" si="190"/>
        <v/>
      </c>
      <c r="CO80" s="259">
        <f ca="1">IF(IF(CN80&lt;&gt;0,MAX($CO$2:CO79)+1,0)=0,"",IF(CN80&lt;&gt;"",MAX($CO$2:CO79)+1,0))</f>
        <v>0</v>
      </c>
      <c r="CP80" s="259" t="str">
        <f ca="1">IFERROR(INDEX($CM$3:$CN$220,MATCH(ROWS(CP$3:CP80),$CO$3:$CO$220,0),1),"")</f>
        <v/>
      </c>
      <c r="CQ80" s="259" t="str">
        <f ca="1">IFERROR(INDEX($CM$3:$CN$220,MATCH(ROWS(CQ$3:CQ80),$CO$3:$CO$220,0),2),"")</f>
        <v/>
      </c>
      <c r="CR80" s="259" t="str">
        <f t="shared" ca="1" si="191"/>
        <v/>
      </c>
      <c r="CS80" s="259">
        <f t="shared" ca="1" si="192"/>
        <v>0</v>
      </c>
      <c r="CT80" s="259">
        <f t="shared" ca="1" si="193"/>
        <v>0</v>
      </c>
      <c r="CU80" s="259">
        <f ca="1">IF(OR(CS80&gt;0,CT80&gt;0),MAX($CU$2:CU79)+1,0)</f>
        <v>0</v>
      </c>
      <c r="CV80" s="259" t="str">
        <f ca="1">IFERROR(INDEX(PIANO_DEI_CONTI,MATCH(ROWS($CV$3:CV80),$CU$3:$CU$200,0),2),"")</f>
        <v/>
      </c>
      <c r="CW80" s="259">
        <f ca="1">IFERROR(IF(CV80&lt;&gt;"",MAX($CW$2:CW79)+1,0),0)</f>
        <v>0</v>
      </c>
      <c r="CX80" s="259">
        <f t="shared" ca="1" si="315"/>
        <v>5</v>
      </c>
      <c r="CY80" s="259" t="str">
        <f t="shared" ca="1" si="308"/>
        <v>MASTRO</v>
      </c>
      <c r="CZ80" s="259" t="e">
        <f t="shared" ca="1" si="317"/>
        <v>#N/A</v>
      </c>
      <c r="DA80" s="259" t="str">
        <f t="shared" ca="1" si="322"/>
        <v/>
      </c>
      <c r="DB80" s="259" t="str">
        <f t="shared" ca="1" si="318"/>
        <v/>
      </c>
      <c r="DC80" s="259" t="str">
        <f t="shared" ca="1" si="319"/>
        <v/>
      </c>
      <c r="DD80" s="259" t="str">
        <f t="shared" ca="1" si="320"/>
        <v/>
      </c>
      <c r="DE80" s="259" t="str">
        <f t="shared" ca="1" si="321"/>
        <v/>
      </c>
      <c r="DF80" s="259">
        <f ca="1">IF(AND(CX80=$DE$2,$DF$2&lt;&gt;0),0,IF(AND(DB80&lt;&gt;"",OR(DB79&lt;&gt;"",DB81&lt;&gt;"")),MAX($DF$2:DF79)+1,0))</f>
        <v>0</v>
      </c>
      <c r="DG80" s="259" t="str">
        <f>IF(OR(VALORI_INIZIALI!E85="",AND(VALORI_INIZIALI!E85&lt;&gt;"",VALORI_INIZIALI!H85=0,VALORI_INIZIALI!I85=0)),"",IFERROR(INDEX(PIANO_DEI_CONTI,MATCH(BB80,DENOMINAZIONE,0),1),0))</f>
        <v/>
      </c>
      <c r="DH80" s="259">
        <f ca="1">IFERROR(IF($J$1=1,IF(INDEX(PIANO_DEI_CONTI,MATCH($K80,DENOMINAZIONE,0),5)=$DF$1,MAX($DH$2:DH79)+1,0),IF($J$1=2,IF(INDEX(PIANO_DEI_CONTI,MATCH($K80,DENOMINAZIONE,0),7)=$DF$1,MAX($DH$2:DH79)+1,0))),0)</f>
        <v>0</v>
      </c>
      <c r="DI80" s="259">
        <f ca="1">IFERROR(INDEX($K$3:$K$220,MATCH(ROWS($DI$3:DI80),$DH$3:$DH$220,0),1),0)</f>
        <v>0</v>
      </c>
      <c r="DJ80" s="259">
        <f t="shared" ca="1" si="194"/>
        <v>0</v>
      </c>
      <c r="DK80" s="259">
        <f ca="1">IF(DJ80=0,0,MAX(DK$2:DK79)+1)</f>
        <v>0</v>
      </c>
      <c r="DL80" s="259">
        <f ca="1">IFERROR(INDEX(PIANO_DEI_CONTI,MATCH(ROWS(DL$3:DL80),$DK$3:DK307,0),2),0)</f>
        <v>0</v>
      </c>
      <c r="DM80" s="259">
        <f t="shared" ca="1" si="195"/>
        <v>0</v>
      </c>
      <c r="DN80" s="259">
        <f t="shared" ca="1" si="196"/>
        <v>0</v>
      </c>
      <c r="DO80" s="259">
        <f t="shared" ca="1" si="245"/>
        <v>0</v>
      </c>
      <c r="DP80" s="259">
        <f t="shared" ca="1" si="246"/>
        <v>0</v>
      </c>
      <c r="DQ80" s="259">
        <f ca="1">IF(OR($DQ$1="TOTALI",$DQ$1="TOTALI ED ECCEDENZE"),IF(OR(DM80&gt;0,DN80&gt;0),MAX(DQ$2:DQ79)+1,0),IF($DQ$1="ECCEDENZE",IF(OR(DO80&gt;0,DP80&gt;0),MAX(DQ$2:DQ79)+1,0),""))</f>
        <v>0</v>
      </c>
      <c r="DR80" s="259" t="str">
        <f ca="1">IFERROR(INDEX($DL$3:$DQ$230,MATCH(ROWS(DR$3:DR80),$DQ$3:$DQ$230,0),1),"")</f>
        <v/>
      </c>
      <c r="DS80" s="259" t="str">
        <f t="shared" ca="1" si="247"/>
        <v/>
      </c>
      <c r="DT80" s="259" t="str">
        <f t="shared" ca="1" si="248"/>
        <v/>
      </c>
      <c r="DU80" s="259" t="str">
        <f t="shared" ca="1" si="249"/>
        <v/>
      </c>
      <c r="DV80" s="259" t="str">
        <f t="shared" ca="1" si="250"/>
        <v/>
      </c>
      <c r="DW80" s="259">
        <f t="shared" ca="1" si="251"/>
        <v>0</v>
      </c>
      <c r="DX80" s="259" t="str">
        <f t="shared" ca="1" si="252"/>
        <v/>
      </c>
      <c r="DY80" s="259" t="str">
        <f t="shared" ca="1" si="253"/>
        <v/>
      </c>
      <c r="DZ80" s="259" t="str">
        <f t="shared" ca="1" si="254"/>
        <v/>
      </c>
      <c r="EA80" s="259">
        <f t="shared" ca="1" si="255"/>
        <v>78</v>
      </c>
      <c r="EB80" s="259" t="s">
        <v>361</v>
      </c>
      <c r="ED80" s="259">
        <f t="shared" ca="1" si="197"/>
        <v>0</v>
      </c>
      <c r="EE80" s="259" t="str">
        <f t="shared" ca="1" si="198"/>
        <v/>
      </c>
      <c r="EF80" s="259" t="str">
        <f t="shared" ca="1" si="199"/>
        <v/>
      </c>
      <c r="EG80" s="259" t="str">
        <f t="shared" ca="1" si="309"/>
        <v/>
      </c>
      <c r="EH80" s="259" t="str">
        <f t="shared" ca="1" si="256"/>
        <v/>
      </c>
      <c r="EI80" s="260" t="b">
        <f t="shared" ca="1" si="310"/>
        <v>0</v>
      </c>
      <c r="EJ80" s="260" t="b">
        <f t="shared" ca="1" si="311"/>
        <v>1</v>
      </c>
      <c r="EK80" s="260" t="b">
        <f t="shared" ca="1" si="312"/>
        <v>1</v>
      </c>
      <c r="EL80" s="259">
        <f t="shared" si="257"/>
        <v>78</v>
      </c>
      <c r="EM80" s="259">
        <f ca="1">IF(AND(BA80&gt;0,BA80&lt;=$EM$1),MAX($EM$2:EM79)+1,0)</f>
        <v>0</v>
      </c>
      <c r="EN80" s="259">
        <f t="shared" ca="1" si="258"/>
        <v>80</v>
      </c>
      <c r="EP80" s="259" t="str">
        <f t="shared" ca="1" si="200"/>
        <v/>
      </c>
      <c r="EQ80" s="259">
        <f t="shared" ca="1" si="201"/>
        <v>0</v>
      </c>
      <c r="ER80" s="259">
        <f ca="1">IF(ISNA(EQ80),MAX(ER$2:ER79)+1,0)</f>
        <v>0</v>
      </c>
      <c r="ES80" s="259" t="str">
        <f t="shared" ca="1" si="259"/>
        <v/>
      </c>
      <c r="ET80" s="259" t="str">
        <f ca="1">IFERROR(UPPER(INDEX($ER$3:$ES$500,MATCH(ROWS(ET$3:ET80),$ER$3:$ER$500,0),2)),"")</f>
        <v/>
      </c>
      <c r="EY80" s="259">
        <f t="shared" ca="1" si="260"/>
        <v>0</v>
      </c>
      <c r="EZ80" s="259">
        <f t="shared" ca="1" si="260"/>
        <v>0</v>
      </c>
      <c r="FA80" s="259" t="str">
        <f t="shared" ca="1" si="261"/>
        <v/>
      </c>
      <c r="FB80" s="259">
        <f t="shared" ca="1" si="262"/>
        <v>0</v>
      </c>
      <c r="FC80" s="259">
        <f t="shared" ca="1" si="263"/>
        <v>0</v>
      </c>
      <c r="FD80" s="259">
        <f t="shared" ca="1" si="202"/>
        <v>0</v>
      </c>
      <c r="FE80" s="259" t="str">
        <f t="shared" ca="1" si="203"/>
        <v/>
      </c>
      <c r="FF80" s="259" t="str">
        <f t="shared" ca="1" si="264"/>
        <v/>
      </c>
      <c r="FG80" s="259" t="str">
        <f t="shared" si="265"/>
        <v>DEBITI PER RITENUTE DA VERSARE</v>
      </c>
      <c r="FH80" s="259">
        <f t="shared" ca="1" si="156"/>
        <v>0</v>
      </c>
      <c r="FI80" s="259">
        <f t="shared" ca="1" si="204"/>
        <v>0</v>
      </c>
      <c r="FJ80" s="259">
        <f t="shared" ca="1" si="266"/>
        <v>0</v>
      </c>
      <c r="FK80" s="259">
        <f t="shared" ca="1" si="267"/>
        <v>0</v>
      </c>
      <c r="FL80" s="259">
        <f ca="1">IF(OR(FJ80&gt;0,FK80&gt;0),MAX($FL$2:FL79)+1,0)</f>
        <v>0</v>
      </c>
      <c r="FM80" s="259">
        <f t="shared" ca="1" si="205"/>
        <v>0</v>
      </c>
      <c r="FN80" s="259">
        <f ca="1">IF(FM80&lt;0,MAX($FN$2:FN79)+1,0)</f>
        <v>0</v>
      </c>
      <c r="FO80" s="259" t="str">
        <f t="shared" ca="1" si="268"/>
        <v/>
      </c>
      <c r="FP80" s="259" t="str">
        <f ca="1">IFERROR(INDEX($FN$3:$FO$400,MATCH(ROWS($FP$3:FP80),$FN$3:$FN$400,0),2),"")</f>
        <v/>
      </c>
      <c r="FQ80" s="259" t="str">
        <f>IF(AE80="SE AVERE",MAX($FQ$2:FQ79)+1,"")</f>
        <v/>
      </c>
      <c r="FR80" s="259" t="str">
        <f>IF(AE80="SE DARE",MAX($FR$2:FR79)+1,"")</f>
        <v/>
      </c>
      <c r="FS80" s="259" t="str">
        <f ca="1">IF(AND(AE80="SP DARE",AA80&lt;&gt;$FS$1,AA80&lt;&gt;$FT$1),MAX($FS$2:FS79)+1,IF(AND(GQ80="SP DARE",AA80&lt;&gt;$FS$1,AA80&lt;&gt;$FT$1),MAX($FS$2:FS79)+1,""))</f>
        <v/>
      </c>
      <c r="FT80" s="259">
        <f ca="1">IF(AND(AE80="SP AVERE",AA80&lt;&gt;$FU$1),MAX($FT$2:FT79)+1,IF(AND(GQ80="SP AVERE",AA80&lt;&gt;$FU$1),MAX($FT$2:FT79)+1,""))</f>
        <v>162</v>
      </c>
      <c r="FU80" s="259">
        <f t="shared" ca="1" si="269"/>
        <v>162</v>
      </c>
      <c r="FV80" s="259" t="str">
        <f t="shared" si="270"/>
        <v>DEBITI PER RITENUTE DA VERSARE</v>
      </c>
      <c r="FW80" s="259">
        <f ca="1">IFERROR(INDEX($FU$3:$FV$500,MATCH(ROWS($FW$3:FW80),$FU$3:$FU$500,0),2),0)</f>
        <v>0</v>
      </c>
      <c r="FX80" s="259">
        <f t="shared" ca="1" si="271"/>
        <v>0</v>
      </c>
      <c r="FY80" s="259">
        <f t="shared" ca="1" si="272"/>
        <v>78</v>
      </c>
      <c r="FZ80" s="259">
        <f ca="1">IF(FY80&gt;0,MAX($FZ$2:FZ79)+1,0)</f>
        <v>4</v>
      </c>
      <c r="GA80" s="259">
        <f ca="1">IFERROR(INDEX($FY$3:$FZ$500,MATCH(ROWS($GA$3:GA80),$FZ$3:$FZ$500,0),1),0)</f>
        <v>0</v>
      </c>
      <c r="GC80" s="259">
        <f t="shared" ca="1" si="273"/>
        <v>78</v>
      </c>
      <c r="GD80" s="259" t="str">
        <f t="shared" ca="1" si="274"/>
        <v>CONTO DI RISULTATO ECONOMICO</v>
      </c>
      <c r="GG80" s="259">
        <f t="shared" ca="1" si="275"/>
        <v>0</v>
      </c>
      <c r="GH80" s="259">
        <f t="shared" ca="1" si="276"/>
        <v>0</v>
      </c>
      <c r="GI80" s="259">
        <f t="shared" ca="1" si="277"/>
        <v>0</v>
      </c>
      <c r="GJ80" s="259">
        <f t="shared" ca="1" si="278"/>
        <v>0</v>
      </c>
      <c r="GK80" s="259">
        <f t="shared" ca="1" si="279"/>
        <v>0</v>
      </c>
      <c r="GL80" s="259">
        <f t="shared" ca="1" si="280"/>
        <v>0</v>
      </c>
      <c r="GM80" s="259">
        <f ca="1">IF(OR(GK80&gt;0,GL80&gt;0),MAX($GM$2:GM79)+1,0)</f>
        <v>0</v>
      </c>
      <c r="GN80" s="259" t="str">
        <f ca="1">IFERROR(INDEX($GD$3:$GM$400,MATCH(ROWS($GN$3:GN80),$GM$3:$GM$400,0),1),"")</f>
        <v/>
      </c>
      <c r="GO80" s="259" t="str">
        <f ca="1">IFERROR(INDEX($GD$3:$GM$400,MATCH(ROWS($GO$3:GO80),$GM$3:$GM$400,0),8),"")</f>
        <v/>
      </c>
      <c r="GP80" s="259" t="str">
        <f ca="1">IFERROR(INDEX($GD$3:$GM$400,MATCH(ROWS($GP$3:GP80),$GM$3:$GM$400,0),9),"")</f>
        <v/>
      </c>
      <c r="GQ80" s="259">
        <f t="shared" ca="1" si="206"/>
        <v>0</v>
      </c>
      <c r="GR80" s="259">
        <f t="shared" ca="1" si="281"/>
        <v>0</v>
      </c>
      <c r="GS80" s="259" t="str">
        <f t="shared" ca="1" si="282"/>
        <v>rilevata perdita d'esercizio</v>
      </c>
      <c r="GT80" s="259" t="str">
        <f ca="1">IFERROR(INDEX($GD$3:$GS$400,MATCH(ROWS($GT$3:GT80),$GM$3:$GM$400,0),16),"")</f>
        <v/>
      </c>
      <c r="GU80" s="259">
        <f ca="1">IF(GQ80&lt;&gt;0,MAX($GU$2:$GU79)+1,0)</f>
        <v>0</v>
      </c>
      <c r="GV80" s="259">
        <f t="shared" ca="1" si="283"/>
        <v>0</v>
      </c>
      <c r="GW80" s="259" t="str">
        <f ca="1">IF(AND(IFERROR(INDEX($GU$3:$GV$400,MATCH(ROWS($GW$3:GW80),$GU$3:$GU$400,0),2),"")&lt;&gt;"",GW81&lt;&gt;""),CONCATENATE(IFERROR(INDEX($GU$3:$GV$400,MATCH(ROWS($GW$3:GW80),$GU$3:$GU$400,0),2),"")," - "),IFERROR(INDEX($GU$3:$GV$400,MATCH(ROWS($GW$3:GW80),$GU$3:$GU$400,0),2),""))</f>
        <v/>
      </c>
      <c r="GX80" s="259">
        <f ca="1">IF(OR(GN80="IVA NS/CREDITO",GN80="IVA NS/DEBITO",GN80="IVA C/ACCONTO",GN80="IMPOSTE C/ACCONTO"),MAX($GX$2:GX79)+1,0)</f>
        <v>0</v>
      </c>
      <c r="GY80" s="259" t="str">
        <f ca="1">IF(AND(IFERROR(INDEX($GN$3:$GX$200,MATCH(ROWS($GY$3:GY80),$GX$3:$GX$200,0),1),"")&lt;&gt;"",GY81&lt;&gt;""),CONCATENATE(IFERROR(INDEX($GN$3:$GX$200,MATCH(ROWS($GY$3:GY80),$GX$3:$GX$200,0),1),"")," - "),IFERROR(INDEX($GN$3:$GX$200,MATCH(ROWS($GY$3:GY80),$GX$3:$GX$200,0),1),""))</f>
        <v/>
      </c>
      <c r="GZ80" s="259" t="s">
        <v>637</v>
      </c>
      <c r="HA80" s="259" t="s">
        <v>638</v>
      </c>
      <c r="HB80" s="269" t="s">
        <v>257</v>
      </c>
      <c r="HC80" s="269" t="s">
        <v>211</v>
      </c>
      <c r="HD80" s="269" t="s">
        <v>5</v>
      </c>
      <c r="HE80" s="269" t="s">
        <v>212</v>
      </c>
      <c r="HL80" s="259" t="str">
        <f t="shared" ca="1" si="207"/>
        <v/>
      </c>
      <c r="HM80" s="259" t="str">
        <f t="shared" ca="1" si="208"/>
        <v/>
      </c>
      <c r="HN80" s="259" t="str">
        <f t="shared" ca="1" si="209"/>
        <v/>
      </c>
      <c r="HO80" s="259">
        <f ca="1">IF(HL80&lt;&gt;"",MAX($HO$2:HO79)+1,0)</f>
        <v>0</v>
      </c>
      <c r="HP80" s="259">
        <f ca="1">IF(HM80&lt;&gt;"",MAX($HP$2:HP79)+1,0)</f>
        <v>0</v>
      </c>
      <c r="HQ80" s="259">
        <f ca="1">IF(HN80&lt;&gt;"",MAX($HQ$2:HQ79)+1,0)</f>
        <v>0</v>
      </c>
      <c r="HR80" s="259" t="str">
        <f t="shared" ca="1" si="284"/>
        <v/>
      </c>
      <c r="HS80" s="259" t="str">
        <f t="shared" ca="1" si="285"/>
        <v/>
      </c>
      <c r="HT80" s="259">
        <f t="shared" ca="1" si="286"/>
        <v>0</v>
      </c>
      <c r="HU80" s="259">
        <f t="shared" ca="1" si="287"/>
        <v>0</v>
      </c>
      <c r="HV80" s="259" t="str">
        <f ca="1">CONCATENATE(IFERROR(INDEX($HS$3:$HT$102,MATCH(ROWS($HV$3:HV80),$HT$3:$HT$102,0),1),""),HR80)</f>
        <v/>
      </c>
      <c r="IB80" s="259" t="s">
        <v>339</v>
      </c>
      <c r="IC80" s="259">
        <f ca="1">IFERROR(INDEX(PIANO_DEI_CONTI,MATCH(ROWS(DL$3:DL80),$DK$3:DK307,0),2),0)</f>
        <v>0</v>
      </c>
      <c r="ID80" s="259">
        <f t="shared" ca="1" si="288"/>
        <v>0</v>
      </c>
      <c r="IE80" s="259">
        <f t="shared" ca="1" si="289"/>
        <v>0</v>
      </c>
      <c r="IF80" s="259">
        <f t="shared" ca="1" si="290"/>
        <v>0</v>
      </c>
      <c r="IG80" s="259">
        <f t="shared" ca="1" si="323"/>
        <v>0</v>
      </c>
      <c r="IH80" s="259">
        <f ca="1">IF(IG80&lt;&gt;0,MAX($IH$35:IH79)+1,0)</f>
        <v>0</v>
      </c>
      <c r="II80" s="259">
        <f>IF(AD80="costi pluriennali",MAX($II$2:II79)+1,0)</f>
        <v>0</v>
      </c>
      <c r="IJ80" s="259">
        <f>IF($AD80="rettifiche costi pluriennali",MAX($IJ$2:IJ79)+1,0)</f>
        <v>0</v>
      </c>
      <c r="IK80" s="259">
        <f t="shared" si="291"/>
        <v>0</v>
      </c>
      <c r="IL80" s="259" t="str">
        <f t="shared" si="292"/>
        <v/>
      </c>
      <c r="IM80" s="259">
        <f t="shared" ca="1" si="293"/>
        <v>0</v>
      </c>
      <c r="IN80" s="259">
        <f t="shared" ca="1" si="313"/>
        <v>0</v>
      </c>
      <c r="IO80" s="259">
        <f>SUMIFS($IM$3:$IM$200,$IK$3:$IK$200,ROWS($IO$3:IO80))-SUMIFS($IN$3:$IN$200,$IK$3:$IK$200,ROWS($IO$3:IO80))</f>
        <v>0</v>
      </c>
      <c r="IP80" s="259" t="str">
        <f>IF(IO80&lt;0,INDEX($IJ$3:$IL$200,MATCH(ROWS($IP$3:IP80),$IJ$3:$IJ$200,0),3),"")</f>
        <v/>
      </c>
      <c r="IQ80" s="259">
        <f>IF(IP80&lt;&gt;"",MAX($IQ$2:IQ79)+1,0)</f>
        <v>0</v>
      </c>
      <c r="IR80" s="259" t="str">
        <f ca="1">IFERROR(INDEX($IP$3:$IQ$200,MATCH(ROWS($IR$3:IR80),$IQ$3:$IQ$200,0),1),"")</f>
        <v/>
      </c>
      <c r="IS80" s="259" t="str">
        <f t="shared" ca="1" si="294"/>
        <v/>
      </c>
      <c r="IT80" s="259" t="str">
        <f t="shared" ca="1" si="295"/>
        <v/>
      </c>
      <c r="IU80" s="259" t="str">
        <f t="shared" ca="1" si="296"/>
        <v/>
      </c>
      <c r="IV80" s="259" t="str">
        <f t="shared" ca="1" si="297"/>
        <v/>
      </c>
      <c r="IW80" s="259" t="str">
        <f t="shared" ca="1" si="298"/>
        <v/>
      </c>
      <c r="IX80" s="259" t="str">
        <f t="shared" ca="1" si="299"/>
        <v/>
      </c>
      <c r="IY80" s="259" t="str">
        <f t="shared" ca="1" si="300"/>
        <v/>
      </c>
      <c r="IZ80" s="259" t="str">
        <f t="shared" ca="1" si="301"/>
        <v/>
      </c>
      <c r="JA80" s="259" t="str">
        <f t="shared" ca="1" si="302"/>
        <v/>
      </c>
      <c r="JB80" s="259">
        <f t="shared" ca="1" si="210"/>
        <v>0</v>
      </c>
      <c r="JC80" s="259">
        <f t="shared" ca="1" si="303"/>
        <v>0</v>
      </c>
      <c r="JE80" s="259">
        <f ca="1">IFERROR(INDEX(LIBRO_GIORNALE!$N$11:$O$408,MATCH(ROWS($JE$2:JE79),LIBRO_GIORNALE!$O$11:$O$408,0),1),0)</f>
        <v>0</v>
      </c>
      <c r="JF80" s="259" t="str">
        <f t="shared" ca="1" si="304"/>
        <v>0</v>
      </c>
      <c r="JG80" s="259">
        <f t="shared" ca="1" si="305"/>
        <v>0</v>
      </c>
      <c r="JH80" s="259">
        <f ca="1">IF(JJ80&gt;0,0,MAX($JH$2:JH79)+1)</f>
        <v>78</v>
      </c>
      <c r="JI80" s="259">
        <f ca="1">IF(JG80&gt;0,MAX($JI$2:JI79)+1,0)</f>
        <v>0</v>
      </c>
      <c r="JJ80" s="259">
        <f ca="1">IFERROR(INDEX($JG$3:$JI$124,MATCH(ROWS($JJ$3:JJ80),$JI$3:$JI$124,0),1),0)</f>
        <v>0</v>
      </c>
      <c r="JK80" s="259">
        <f t="shared" ca="1" si="306"/>
        <v>0</v>
      </c>
      <c r="JL80" s="259">
        <f t="shared" ca="1" si="307"/>
        <v>78</v>
      </c>
    </row>
    <row r="81" spans="1:272">
      <c r="A81" s="259" t="str">
        <f t="shared" si="211"/>
        <v>13.20</v>
      </c>
      <c r="B81" s="259" t="str">
        <f t="shared" si="212"/>
        <v>BANCHE C/C PASSIVI</v>
      </c>
      <c r="C81" s="259" t="str">
        <f t="shared" si="213"/>
        <v>F</v>
      </c>
      <c r="D81" s="259" t="str">
        <f t="shared" si="214"/>
        <v>A</v>
      </c>
      <c r="E81" s="259" t="str">
        <f t="shared" si="215"/>
        <v>DEBITI</v>
      </c>
      <c r="F81" s="259" t="str">
        <f t="shared" si="216"/>
        <v>SP AVERE</v>
      </c>
      <c r="G81" s="259">
        <f t="shared" ca="1" si="217"/>
        <v>0</v>
      </c>
      <c r="H81" s="259">
        <f t="shared" ca="1" si="218"/>
        <v>0</v>
      </c>
      <c r="I81" s="259">
        <f t="shared" ca="1" si="219"/>
        <v>1</v>
      </c>
      <c r="K81" s="259" t="str">
        <f ca="1">IFERROR(IF($I$1=1,INDEX($AA$3:$AS$220,MATCH(ROWS($K$3:K81),$AQ$3:$AQ$220,0),1),IF($I$1=2,INDEX($AA$3:$AS$220,MATCH(ROWS($K$3:K81),$AR$3:$AR$220,0),1),IF($I$1=3,INDEX($AA$3:$AS$220,MATCH(ROWS($K$3:K81),$AS$3:$AS$220,0),1),""))),"")</f>
        <v>DEBITI V/ISTITUTI PREVIDENZIALI</v>
      </c>
      <c r="L81" s="259">
        <f ca="1">IF(AND($L$1="VISUALIZZA TUTTI I CONTI",K81&lt;&gt;""),MAX(L80:L80)+1,IFERROR(IF($J$1=1,IF(INDEX(PIANO_DEI_CONTI,MATCH($K81,DENOMINAZIONE,0),5)=$L$1,MAX($L$2:L80)+1,0),IF($J$1=2,IF(INDEX(PIANO_DEI_CONTI,MATCH($K81,DENOMINAZIONE,0),7)=$L$1,MAX($L$2:L80)+1,0))),0))</f>
        <v>79</v>
      </c>
      <c r="M81" s="259" t="str">
        <f ca="1">IFERROR(INDEX($K$3:$K$220,MATCH(ROWS($M$3:M81),$L$3:$L$220,0),1),"")</f>
        <v>DEBITI V/ISTITUTI PREVIDENZIALI</v>
      </c>
      <c r="Q81" s="259" t="str">
        <f ca="1">IF(IFERROR(INDEX($O$3:$P$220,MATCH(ROWS(Q$3:Q81),$P$3:$P$220,0),1),"")=0,"",IFERROR(INDEX($O$3:$P$220,MATCH(ROWS(Q$3:Q81),$P$3:$P$220,0),1),""))</f>
        <v/>
      </c>
      <c r="R81" s="259" t="str">
        <f t="shared" si="182"/>
        <v/>
      </c>
      <c r="S81" s="259">
        <f ca="1">IF(IFERROR(MATCH(R81,DENOMINAZIONE_GIORNALE,0),0)&gt;0,MAX(S$2:S80)+1,0)</f>
        <v>0</v>
      </c>
      <c r="T81" s="259" t="str">
        <f ca="1">IFERROR(INDEX($R$3:$S$220,MATCH(ROWS($T$3:T81),$S$3:$S$220,0),1),"")</f>
        <v/>
      </c>
      <c r="U81" s="259">
        <f t="shared" ca="1" si="183"/>
        <v>0</v>
      </c>
      <c r="V81" s="259">
        <f ca="1">IF(IF(U81&lt;&gt;0,MAX($V$2:V80)+1,0)=0,0,IF(U81&lt;&gt;0,MAX($V$2:V80)+1,0))</f>
        <v>0</v>
      </c>
      <c r="W81" s="259" t="str">
        <f t="shared" si="220"/>
        <v>13.20</v>
      </c>
      <c r="X81" s="259" t="str">
        <f t="shared" si="221"/>
        <v>BANCHE C/C PASSIVI</v>
      </c>
      <c r="Y81" s="259">
        <f>IF(W81="",0,MAX($Y$2:Y80)+1)</f>
        <v>67</v>
      </c>
      <c r="Z81" s="259" t="str">
        <f>IFERROR(INDEX($W$3:$Y$220,MATCH(ROWS($Z$2:Z80),$Y$3:$Y$220,0),1),"")</f>
        <v>15.03</v>
      </c>
      <c r="AA81" s="259" t="str">
        <f t="shared" si="222"/>
        <v>DEBITI PER IVA</v>
      </c>
      <c r="AB81" s="259" t="str">
        <f t="shared" si="223"/>
        <v>F</v>
      </c>
      <c r="AC81" s="259" t="str">
        <f t="shared" si="224"/>
        <v>A</v>
      </c>
      <c r="AD81" s="259" t="str">
        <f t="shared" si="225"/>
        <v>DEBITI</v>
      </c>
      <c r="AE81" s="259" t="str">
        <f t="shared" si="226"/>
        <v>SP AVERE</v>
      </c>
      <c r="AF81" s="259" t="str">
        <f t="shared" si="227"/>
        <v>DEBITI DIVERSI</v>
      </c>
      <c r="AG81" s="259">
        <f t="shared" ca="1" si="228"/>
        <v>0</v>
      </c>
      <c r="AH81" s="259">
        <f t="shared" ca="1" si="229"/>
        <v>0</v>
      </c>
      <c r="AI81" s="259">
        <f t="shared" ca="1" si="230"/>
        <v>1</v>
      </c>
      <c r="AJ81" s="259" t="str">
        <f t="shared" si="231"/>
        <v>15</v>
      </c>
      <c r="AK81" s="259" t="str">
        <f t="shared" si="232"/>
        <v/>
      </c>
      <c r="AL81" s="259">
        <f>IF(AK81&lt;&gt;"",MAX($AL$2:AL80)+1,0)</f>
        <v>0</v>
      </c>
      <c r="AM81" s="259" t="str">
        <f>IFERROR(INDEX($AK$3:$AL$220,MATCH(ROWS($AM$3:AM81),$AL$3:$AL$220,0),1),"")</f>
        <v/>
      </c>
      <c r="AN81" s="259" t="str">
        <f t="shared" si="233"/>
        <v/>
      </c>
      <c r="AO81" s="259" t="str">
        <f t="shared" si="234"/>
        <v/>
      </c>
      <c r="AP81" s="259" t="str">
        <f t="shared" si="235"/>
        <v>DEBITI DIVERSI</v>
      </c>
      <c r="AQ81" s="259">
        <f ca="1">IF(OR(AG81=0,AG81=""),0,MAX(AQ$2:AQ80)+1)</f>
        <v>0</v>
      </c>
      <c r="AR81" s="259">
        <f ca="1">IF(OR(AH81=0,AH81=""),0,MAX(AR$2:AR80)+1)</f>
        <v>0</v>
      </c>
      <c r="AS81" s="259">
        <f ca="1">IF(OR(AI81=0,AI81=""),0,MAX(AS$2:AS80)+1)</f>
        <v>77</v>
      </c>
      <c r="AT81" s="259" t="str">
        <f ca="1">IFERROR(INDEX($AD$3:$AS$220,MATCH(ROWS(AT$3:AT81),AQ$3:AQ$220,0),1),"")</f>
        <v>COSTI D'ESERCIZIO</v>
      </c>
      <c r="AU81" s="259" t="str">
        <f ca="1">IFERROR(INDEX($AD$3:$AS$220,MATCH(ROWS(AU$3:AU81),AR$3:AR$220,0),1),"")</f>
        <v>RICAVI D'ESERCIZIO</v>
      </c>
      <c r="AV81" s="259" t="str">
        <f ca="1">IFERROR(INDEX($AD$3:$AS$220,MATCH(ROWS(AV$3:AV81),AS$3:AS$220,0),1),"")</f>
        <v>DEBITI</v>
      </c>
      <c r="AW81" s="259" t="str">
        <f ca="1">IFERROR(INDEX($AP$3:$AS$220,MATCH(ROWS(AW$3:AW81),AQ$3:AQ$220,0),1),"")</f>
        <v>COSTI PER GODIMENTO BENI DI TERZI</v>
      </c>
      <c r="AX81" s="259" t="str">
        <f ca="1">IFERROR(INDEX($AP$3:$AS$220,MATCH(ROWS(AX$3:AX81),AR$3:AR$220,0),1),"")</f>
        <v>VALORE DELLA PRODUZIONE</v>
      </c>
      <c r="AY81" s="259" t="str">
        <f ca="1">IFERROR(INDEX($AP$3:$AS$220,MATCH(ROWS(AY$3:AY81),AS$3:AS$220,0),1),"")</f>
        <v>DEBITI DIVERSI</v>
      </c>
      <c r="AZ81" s="276" t="str">
        <f t="shared" ca="1" si="236"/>
        <v/>
      </c>
      <c r="BA81" s="259">
        <f t="shared" ca="1" si="184"/>
        <v>0</v>
      </c>
      <c r="BB81" s="259">
        <f ca="1">IFERROR(INDEX($FG$3:$FL$400,MATCH(ROWS($BB$3:BB81),$FL$3:$FL$400,0),1),0)</f>
        <v>0</v>
      </c>
      <c r="BC81" s="259" t="str">
        <f t="shared" ca="1" si="237"/>
        <v/>
      </c>
      <c r="BD81" s="259">
        <f ca="1">IFERROR(INDEX($FG$3:$FL$400,MATCH(ROWS($BD$3:BD81),$FL$3:$FL$400,0),4),0)</f>
        <v>0</v>
      </c>
      <c r="BE81" s="259">
        <f ca="1">IFERROR(INDEX($FG$3:$FL$400,MATCH(ROWS($BE$3:BE81),$FL$3:$FL$400,0),5),0)</f>
        <v>0</v>
      </c>
      <c r="BG81" s="259" t="str">
        <f t="shared" si="185"/>
        <v>DEBITI PER IVA</v>
      </c>
      <c r="BH81" s="259">
        <f ca="1">IF(IFERROR(MATCH(BG81,DENOMINAZIONE_GIORNALE,0),0)&gt;0,MAX(BH$2:BH80)+1,0)</f>
        <v>0</v>
      </c>
      <c r="BI81" s="259" t="str">
        <f ca="1">IFERROR(INDEX($BG$3:$BH$220,MATCH(ROWS($BI$3:BI81),$BH$3:$BH$220,0),1),"")</f>
        <v/>
      </c>
      <c r="BJ81" s="259" t="str">
        <f t="shared" ca="1" si="186"/>
        <v/>
      </c>
      <c r="BK81" s="259" t="str">
        <f ca="1">IF(IF(BJ81&lt;&gt;"",MAX($BK$2:BK80)+1,0)=0,"",IF(BJ81&lt;&gt;"",MAX($BK$2:BK80)+1,0))</f>
        <v/>
      </c>
      <c r="BL81" s="259" t="str">
        <f ca="1">IFERROR(INDEX($T$3:$U$220, MATCH(ROWS(BL$3:BL81),$V$3:$V$220,0),1),"")</f>
        <v/>
      </c>
      <c r="BM81" s="259" t="str">
        <f ca="1">IFERROR(INDEX($T$3:$U$220, MATCH(ROWS(BM$3:BM81),$V$3:$V$220,0),2),"")</f>
        <v/>
      </c>
      <c r="BN81" s="259" t="str">
        <f ca="1">IF(IFERROR(INDEX($BI$3:$BJ$220,MATCH(ROWS(BN$3:BN81),$BK$3:$BK$220,0),1),"")="PATRIMONIO NETTO","",IFERROR(INDEX($BI$3:$BJ$220,MATCH(ROWS(BN$3:BN81),$BK$3:$BK$220,0),1),""))</f>
        <v/>
      </c>
      <c r="BO81" s="259" t="str">
        <f ca="1">IFERROR(INDEX($BI$3:$BJ$220,MATCH(ROWS(BO$3:BO81),$BK$3:$BK$220,0),2),"")</f>
        <v/>
      </c>
      <c r="BP81" s="259">
        <f ca="1">IF(BN81&lt;&gt;"",MAX(BP$2:$BP80)+1,0)</f>
        <v>0</v>
      </c>
      <c r="BQ81" s="259" t="str">
        <f ca="1">IFERROR(INDEX($BN$3:$BO$200,MATCH(ROWS(BQ$3:BQ81),$BP$3:$BP$220,0),1),"")</f>
        <v/>
      </c>
      <c r="BR81" s="259" t="str">
        <f ca="1">IFERROR(INDEX($BN$3:$BO$220,MATCH(ROWS(BR$3:BR81),$BP$3:$BP$220,0),2),"")</f>
        <v/>
      </c>
      <c r="BS81" s="259" t="str">
        <f ca="1">IFERROR(IF(OR(INDEX($T$3:$U$220,MATCH(ROWS(BL$3:BL81),$V$3:$V$220,0),1)="PRELEVAMENTI EXTRAGESTIONE",INDEX($T$3:$U$220,MATCH(ROWS(BL$3:BL81),$V$3:$V$220,0),1)="TITOLARE C/RITENUTE SUBITE"),"",INDEX($T$3:$U$220,MATCH(ROWS(BL$3:BL81),$V$3:$V$220,0),1)),"")</f>
        <v/>
      </c>
      <c r="BT81" s="259">
        <f t="shared" ca="1" si="238"/>
        <v>0</v>
      </c>
      <c r="BU81" s="259">
        <f ca="1">IF(BS81&lt;&gt;"",MAX(BU$2:BU80)+1,0)</f>
        <v>0</v>
      </c>
      <c r="BV81" s="259" t="str">
        <f ca="1">IFERROR(INDEX($BS$3:$BT$223,MATCH(ROWS(BV$3:BV81),$BU$3:$BU$223,0),1),"")</f>
        <v/>
      </c>
      <c r="BW81" s="259">
        <f t="shared" ca="1" si="239"/>
        <v>0</v>
      </c>
      <c r="BX81" s="259" t="str">
        <f t="shared" ca="1" si="240"/>
        <v/>
      </c>
      <c r="BY81" s="259" t="str">
        <f t="shared" ca="1" si="241"/>
        <v/>
      </c>
      <c r="BZ81" s="259" t="str">
        <f ca="1">IFERROR(IF(OR($DS$231&lt;&gt;$DT$231,$DU$231&lt;&gt;$DV$231,$EO$25&lt;&gt;0,$EO$26&lt;&gt;0),INDEX($T$3:$V$220,MATCH(ROWS($BV$3:BV81),$V$3:$V$220,0),1),CONCATENATE(BV81,BY81)),"")</f>
        <v/>
      </c>
      <c r="CA81" s="259">
        <f t="shared" ca="1" si="242"/>
        <v>0</v>
      </c>
      <c r="CB81" s="259" t="str">
        <f ca="1">IFERROR(IF(OR($BB$1&lt;&gt;$BD$1,$BC$1&lt;&gt;$BE$1,$DS$231&lt;&gt;$DT$231,$DU$231&lt;&gt;$DV$231,$EO$25&lt;&gt;0,$EO$26&lt;&gt;0),INDEX($BI$3:$BK$220,MATCH(ROWS($CB$3:CB81),$BK$3:$BK$220,0),1),CONCATENATE(BQ81,BX81)),"")</f>
        <v/>
      </c>
      <c r="CC81" s="259" t="str">
        <f t="shared" ca="1" si="243"/>
        <v/>
      </c>
      <c r="CD81" s="259" t="str">
        <f t="shared" si="187"/>
        <v/>
      </c>
      <c r="CE81" s="259">
        <f ca="1">IF(IFERROR(MATCH(CD81,DENOMINAZIONE_GIORNALE,0),0)&gt;0,MAX(CE$2:CE80)+1,0)</f>
        <v>0</v>
      </c>
      <c r="CF81" s="259" t="str">
        <f ca="1">IFERROR(INDEX($CD$3:$CE$220,MATCH(ROWS($CF$3:CF81),$CE$3:$CE$220,0),1),"")</f>
        <v/>
      </c>
      <c r="CG81" s="259">
        <f t="shared" ca="1" si="188"/>
        <v>0</v>
      </c>
      <c r="CH81" s="259" t="str">
        <f ca="1">IF(IF(CG81&lt;&gt;0,MAX($CH$2:CH80)+1,0)=0,"",IF(CG81&lt;&gt;"",MAX($CH$2:CH80)+1,0))</f>
        <v/>
      </c>
      <c r="CI81" s="259" t="str">
        <f ca="1">IFERROR(INDEX($CF$3:$CG$220,MATCH(ROWS($CI$3:CI81),$CH$3:$CH$220,0),1),"")</f>
        <v/>
      </c>
      <c r="CJ81" s="259" t="str">
        <f t="shared" ca="1" si="244"/>
        <v/>
      </c>
      <c r="CK81" s="259" t="str">
        <f t="shared" si="189"/>
        <v/>
      </c>
      <c r="CL81" s="259">
        <f ca="1">IF(IFERROR(MATCH(CK81,DENOMINAZIONE_GIORNALE,0),0)&gt;0,MAX(CL$2:CL80)+1,0)</f>
        <v>0</v>
      </c>
      <c r="CM81" s="259" t="str">
        <f ca="1">IFERROR(INDEX($CK$3:$CL$220,MATCH(ROWS($CM$3:CM81),$CL$3:$CL$220,0),1),"")</f>
        <v/>
      </c>
      <c r="CN81" s="259" t="str">
        <f t="shared" ca="1" si="190"/>
        <v/>
      </c>
      <c r="CO81" s="259">
        <f ca="1">IF(IF(CN81&lt;&gt;0,MAX($CO$2:CO80)+1,0)=0,"",IF(CN81&lt;&gt;"",MAX($CO$2:CO80)+1,0))</f>
        <v>0</v>
      </c>
      <c r="CP81" s="259" t="str">
        <f ca="1">IFERROR(INDEX($CM$3:$CN$220,MATCH(ROWS(CP$3:CP81),$CO$3:$CO$220,0),1),"")</f>
        <v/>
      </c>
      <c r="CQ81" s="259" t="str">
        <f ca="1">IFERROR(INDEX($CM$3:$CN$220,MATCH(ROWS(CQ$3:CQ81),$CO$3:$CO$220,0),2),"")</f>
        <v/>
      </c>
      <c r="CR81" s="259" t="str">
        <f t="shared" ca="1" si="191"/>
        <v/>
      </c>
      <c r="CS81" s="259">
        <f t="shared" ca="1" si="192"/>
        <v>0</v>
      </c>
      <c r="CT81" s="259">
        <f t="shared" ca="1" si="193"/>
        <v>0</v>
      </c>
      <c r="CU81" s="259">
        <f ca="1">IF(OR(CS81&gt;0,CT81&gt;0),MAX($CU$2:CU80)+1,0)</f>
        <v>0</v>
      </c>
      <c r="CV81" s="259" t="str">
        <f ca="1">IFERROR(INDEX(PIANO_DEI_CONTI,MATCH(ROWS($CV$3:CV81),$CU$3:$CU$200,0),2),"")</f>
        <v/>
      </c>
      <c r="CW81" s="259">
        <f ca="1">IFERROR(IF(CV81&lt;&gt;"",MAX($CW$2:CW80)+1,0),0)</f>
        <v>0</v>
      </c>
      <c r="CX81" s="259">
        <f t="shared" ca="1" si="315"/>
        <v>5</v>
      </c>
      <c r="CY81" s="259" t="str">
        <f t="shared" ca="1" si="308"/>
        <v>MASTRO</v>
      </c>
      <c r="CZ81" s="259" t="e">
        <f t="shared" ca="1" si="317"/>
        <v>#N/A</v>
      </c>
      <c r="DA81" s="259" t="str">
        <f t="shared" ca="1" si="322"/>
        <v/>
      </c>
      <c r="DB81" s="259" t="str">
        <f t="shared" ca="1" si="318"/>
        <v/>
      </c>
      <c r="DC81" s="259" t="str">
        <f t="shared" ca="1" si="319"/>
        <v/>
      </c>
      <c r="DD81" s="259" t="str">
        <f t="shared" ca="1" si="320"/>
        <v/>
      </c>
      <c r="DE81" s="259" t="str">
        <f t="shared" ca="1" si="321"/>
        <v/>
      </c>
      <c r="DF81" s="259">
        <f ca="1">IF(AND(CX81=$DE$2,$DF$2&lt;&gt;0),0,IF(AND(DB81&lt;&gt;"",OR(DB80&lt;&gt;"",DB82&lt;&gt;"")),MAX($DF$2:DF80)+1,0))</f>
        <v>0</v>
      </c>
      <c r="DG81" s="259" t="str">
        <f>IF(OR(VALORI_INIZIALI!E86="",AND(VALORI_INIZIALI!E86&lt;&gt;"",VALORI_INIZIALI!H86=0,VALORI_INIZIALI!I86=0)),"",IFERROR(INDEX(PIANO_DEI_CONTI,MATCH(BB81,DENOMINAZIONE,0),1),0))</f>
        <v/>
      </c>
      <c r="DH81" s="259">
        <f ca="1">IFERROR(IF($J$1=1,IF(INDEX(PIANO_DEI_CONTI,MATCH($K81,DENOMINAZIONE,0),5)=$DF$1,MAX($DH$2:DH80)+1,0),IF($J$1=2,IF(INDEX(PIANO_DEI_CONTI,MATCH($K81,DENOMINAZIONE,0),7)=$DF$1,MAX($DH$2:DH80)+1,0))),0)</f>
        <v>0</v>
      </c>
      <c r="DI81" s="259">
        <f ca="1">IFERROR(INDEX($K$3:$K$220,MATCH(ROWS($DI$3:DI81),$DH$3:$DH$220,0),1),0)</f>
        <v>0</v>
      </c>
      <c r="DJ81" s="259">
        <f t="shared" ca="1" si="194"/>
        <v>0</v>
      </c>
      <c r="DK81" s="259">
        <f ca="1">IF(DJ81=0,0,MAX(DK$2:DK80)+1)</f>
        <v>0</v>
      </c>
      <c r="DL81" s="259">
        <f ca="1">IFERROR(INDEX(PIANO_DEI_CONTI,MATCH(ROWS(DL$3:DL81),$DK$3:DK308,0),2),0)</f>
        <v>0</v>
      </c>
      <c r="DM81" s="259">
        <f t="shared" ca="1" si="195"/>
        <v>0</v>
      </c>
      <c r="DN81" s="259">
        <f t="shared" ca="1" si="196"/>
        <v>0</v>
      </c>
      <c r="DO81" s="259">
        <f t="shared" ca="1" si="245"/>
        <v>0</v>
      </c>
      <c r="DP81" s="259">
        <f t="shared" ca="1" si="246"/>
        <v>0</v>
      </c>
      <c r="DQ81" s="259">
        <f ca="1">IF(OR($DQ$1="TOTALI",$DQ$1="TOTALI ED ECCEDENZE"),IF(OR(DM81&gt;0,DN81&gt;0),MAX(DQ$2:DQ80)+1,0),IF($DQ$1="ECCEDENZE",IF(OR(DO81&gt;0,DP81&gt;0),MAX(DQ$2:DQ80)+1,0),""))</f>
        <v>0</v>
      </c>
      <c r="DR81" s="259" t="str">
        <f ca="1">IFERROR(INDEX($DL$3:$DQ$230,MATCH(ROWS(DR$3:DR81),$DQ$3:$DQ$230,0),1),"")</f>
        <v/>
      </c>
      <c r="DS81" s="259" t="str">
        <f t="shared" ca="1" si="247"/>
        <v/>
      </c>
      <c r="DT81" s="259" t="str">
        <f t="shared" ca="1" si="248"/>
        <v/>
      </c>
      <c r="DU81" s="259" t="str">
        <f t="shared" ca="1" si="249"/>
        <v/>
      </c>
      <c r="DV81" s="259" t="str">
        <f t="shared" ca="1" si="250"/>
        <v/>
      </c>
      <c r="DW81" s="259">
        <f t="shared" ca="1" si="251"/>
        <v>0</v>
      </c>
      <c r="DX81" s="259" t="str">
        <f t="shared" ca="1" si="252"/>
        <v/>
      </c>
      <c r="DY81" s="259" t="str">
        <f t="shared" ca="1" si="253"/>
        <v/>
      </c>
      <c r="DZ81" s="259" t="str">
        <f t="shared" ca="1" si="254"/>
        <v/>
      </c>
      <c r="EA81" s="259">
        <f t="shared" ca="1" si="255"/>
        <v>79</v>
      </c>
      <c r="EB81" s="259" t="s">
        <v>361</v>
      </c>
      <c r="ED81" s="259">
        <f t="shared" ca="1" si="197"/>
        <v>0</v>
      </c>
      <c r="EE81" s="259" t="str">
        <f t="shared" ca="1" si="198"/>
        <v/>
      </c>
      <c r="EF81" s="259" t="str">
        <f t="shared" ca="1" si="199"/>
        <v/>
      </c>
      <c r="EG81" s="259" t="str">
        <f t="shared" ca="1" si="309"/>
        <v/>
      </c>
      <c r="EH81" s="259" t="str">
        <f t="shared" ca="1" si="256"/>
        <v/>
      </c>
      <c r="EI81" s="260" t="b">
        <f t="shared" ca="1" si="310"/>
        <v>0</v>
      </c>
      <c r="EJ81" s="260" t="b">
        <f t="shared" ca="1" si="311"/>
        <v>0</v>
      </c>
      <c r="EK81" s="260" t="b">
        <f t="shared" ca="1" si="312"/>
        <v>1</v>
      </c>
      <c r="EL81" s="259">
        <f t="shared" si="257"/>
        <v>79</v>
      </c>
      <c r="EM81" s="259">
        <f ca="1">IF(AND(BA81&gt;0,BA81&lt;=$EM$1),MAX($EM$2:EM80)+1,0)</f>
        <v>0</v>
      </c>
      <c r="EN81" s="259">
        <f t="shared" ca="1" si="258"/>
        <v>81</v>
      </c>
      <c r="EP81" s="259" t="str">
        <f t="shared" ca="1" si="200"/>
        <v/>
      </c>
      <c r="EQ81" s="259">
        <f t="shared" ca="1" si="201"/>
        <v>0</v>
      </c>
      <c r="ER81" s="259">
        <f ca="1">IF(ISNA(EQ81),MAX(ER$2:ER80)+1,0)</f>
        <v>0</v>
      </c>
      <c r="ES81" s="259" t="str">
        <f t="shared" ca="1" si="259"/>
        <v/>
      </c>
      <c r="ET81" s="259" t="str">
        <f ca="1">IFERROR(UPPER(INDEX($ER$3:$ES$500,MATCH(ROWS(ET$3:ET81),$ER$3:$ER$500,0),2)),"")</f>
        <v/>
      </c>
      <c r="EY81" s="259">
        <f t="shared" ca="1" si="260"/>
        <v>0</v>
      </c>
      <c r="EZ81" s="259">
        <f t="shared" ca="1" si="260"/>
        <v>0</v>
      </c>
      <c r="FA81" s="259" t="str">
        <f t="shared" ca="1" si="261"/>
        <v/>
      </c>
      <c r="FB81" s="259">
        <f t="shared" ca="1" si="262"/>
        <v>0</v>
      </c>
      <c r="FC81" s="259">
        <f t="shared" ca="1" si="263"/>
        <v>0</v>
      </c>
      <c r="FD81" s="259">
        <f t="shared" ca="1" si="202"/>
        <v>0</v>
      </c>
      <c r="FE81" s="259" t="str">
        <f t="shared" ca="1" si="203"/>
        <v/>
      </c>
      <c r="FF81" s="259" t="str">
        <f t="shared" ca="1" si="264"/>
        <v/>
      </c>
      <c r="FG81" s="259" t="str">
        <f t="shared" si="265"/>
        <v>DEBITI PER IVA</v>
      </c>
      <c r="FH81" s="259">
        <f t="shared" ca="1" si="156"/>
        <v>0</v>
      </c>
      <c r="FI81" s="259">
        <f t="shared" ca="1" si="204"/>
        <v>0</v>
      </c>
      <c r="FJ81" s="259">
        <f t="shared" ca="1" si="266"/>
        <v>0</v>
      </c>
      <c r="FK81" s="259">
        <f t="shared" ca="1" si="267"/>
        <v>0</v>
      </c>
      <c r="FL81" s="259">
        <f ca="1">IF(OR(FJ81&gt;0,FK81&gt;0),MAX($FL$2:FL80)+1,0)</f>
        <v>0</v>
      </c>
      <c r="FM81" s="259">
        <f t="shared" ca="1" si="205"/>
        <v>0</v>
      </c>
      <c r="FN81" s="259">
        <f ca="1">IF(FM81&lt;0,MAX($FN$2:FN80)+1,0)</f>
        <v>0</v>
      </c>
      <c r="FO81" s="259" t="str">
        <f t="shared" ca="1" si="268"/>
        <v/>
      </c>
      <c r="FP81" s="259" t="str">
        <f ca="1">IFERROR(INDEX($FN$3:$FO$400,MATCH(ROWS($FP$3:FP81),$FN$3:$FN$400,0),2),"")</f>
        <v/>
      </c>
      <c r="FQ81" s="259" t="str">
        <f>IF(AE81="SE AVERE",MAX($FQ$2:FQ80)+1,"")</f>
        <v/>
      </c>
      <c r="FR81" s="259" t="str">
        <f>IF(AE81="SE DARE",MAX($FR$2:FR80)+1,"")</f>
        <v/>
      </c>
      <c r="FS81" s="259" t="str">
        <f ca="1">IF(AND(AE81="SP DARE",AA81&lt;&gt;$FS$1,AA81&lt;&gt;$FT$1),MAX($FS$2:FS80)+1,IF(AND(GQ81="SP DARE",AA81&lt;&gt;$FS$1,AA81&lt;&gt;$FT$1),MAX($FS$2:FS80)+1,""))</f>
        <v/>
      </c>
      <c r="FT81" s="259">
        <f ca="1">IF(AND(AE81="SP AVERE",AA81&lt;&gt;$FU$1),MAX($FT$2:FT80)+1,IF(AND(GQ81="SP AVERE",AA81&lt;&gt;$FU$1),MAX($FT$2:FT80)+1,""))</f>
        <v>163</v>
      </c>
      <c r="FU81" s="259">
        <f t="shared" ca="1" si="269"/>
        <v>163</v>
      </c>
      <c r="FV81" s="259" t="str">
        <f t="shared" si="270"/>
        <v>DEBITI PER IVA</v>
      </c>
      <c r="FW81" s="259">
        <f ca="1">IFERROR(INDEX($FU$3:$FV$500,MATCH(ROWS($FW$3:FW81),$FU$3:$FU$500,0),2),0)</f>
        <v>0</v>
      </c>
      <c r="FX81" s="259">
        <f t="shared" ca="1" si="271"/>
        <v>0</v>
      </c>
      <c r="FY81" s="259">
        <f t="shared" ca="1" si="272"/>
        <v>79</v>
      </c>
      <c r="FZ81" s="259">
        <f ca="1">IF(FY81&gt;0,MAX($FZ$2:FZ80)+1,0)</f>
        <v>5</v>
      </c>
      <c r="GA81" s="259">
        <f ca="1">IFERROR(INDEX($FY$3:$FZ$500,MATCH(ROWS($GA$3:GA81),$FZ$3:$FZ$500,0),1),0)</f>
        <v>0</v>
      </c>
      <c r="GC81" s="259">
        <f t="shared" ca="1" si="273"/>
        <v>79</v>
      </c>
      <c r="GD81" s="259" t="str">
        <f t="shared" ca="1" si="274"/>
        <v>CONTO DI RISULTATO ECONOMICO</v>
      </c>
      <c r="GG81" s="259">
        <f t="shared" ca="1" si="275"/>
        <v>0</v>
      </c>
      <c r="GH81" s="259">
        <f t="shared" ca="1" si="276"/>
        <v>0</v>
      </c>
      <c r="GI81" s="259">
        <f t="shared" ca="1" si="277"/>
        <v>0</v>
      </c>
      <c r="GJ81" s="259">
        <f t="shared" ca="1" si="278"/>
        <v>0</v>
      </c>
      <c r="GK81" s="259">
        <f t="shared" ca="1" si="279"/>
        <v>0</v>
      </c>
      <c r="GL81" s="259">
        <f t="shared" ca="1" si="280"/>
        <v>0</v>
      </c>
      <c r="GM81" s="259">
        <f ca="1">IF(OR(GK81&gt;0,GL81&gt;0),MAX($GM$2:GM80)+1,0)</f>
        <v>0</v>
      </c>
      <c r="GN81" s="259" t="str">
        <f ca="1">IFERROR(INDEX($GD$3:$GM$400,MATCH(ROWS($GN$3:GN81),$GM$3:$GM$400,0),1),"")</f>
        <v/>
      </c>
      <c r="GO81" s="259" t="str">
        <f ca="1">IFERROR(INDEX($GD$3:$GM$400,MATCH(ROWS($GO$3:GO81),$GM$3:$GM$400,0),8),"")</f>
        <v/>
      </c>
      <c r="GP81" s="259" t="str">
        <f ca="1">IFERROR(INDEX($GD$3:$GM$400,MATCH(ROWS($GP$3:GP81),$GM$3:$GM$400,0),9),"")</f>
        <v/>
      </c>
      <c r="GQ81" s="259">
        <f t="shared" ca="1" si="206"/>
        <v>0</v>
      </c>
      <c r="GR81" s="259">
        <f t="shared" ca="1" si="281"/>
        <v>0</v>
      </c>
      <c r="GS81" s="259" t="str">
        <f t="shared" ca="1" si="282"/>
        <v>rilevato utile d'esercizio</v>
      </c>
      <c r="GT81" s="259" t="str">
        <f ca="1">IFERROR(INDEX($GD$3:$GS$400,MATCH(ROWS($GT$3:GT81),$GM$3:$GM$400,0),16),"")</f>
        <v/>
      </c>
      <c r="GU81" s="259">
        <f ca="1">IF(GQ81&lt;&gt;0,MAX($GU$2:$GU80)+1,0)</f>
        <v>0</v>
      </c>
      <c r="GV81" s="259">
        <f t="shared" ca="1" si="283"/>
        <v>0</v>
      </c>
      <c r="GW81" s="259" t="str">
        <f ca="1">IF(AND(IFERROR(INDEX($GU$3:$GV$400,MATCH(ROWS($GW$3:GW81),$GU$3:$GU$400,0),2),"")&lt;&gt;"",GW82&lt;&gt;""),CONCATENATE(IFERROR(INDEX($GU$3:$GV$400,MATCH(ROWS($GW$3:GW81),$GU$3:$GU$400,0),2),"")," - "),IFERROR(INDEX($GU$3:$GV$400,MATCH(ROWS($GW$3:GW81),$GU$3:$GU$400,0),2),""))</f>
        <v/>
      </c>
      <c r="GX81" s="259">
        <f ca="1">IF(OR(GN81="IVA NS/CREDITO",GN81="IVA NS/DEBITO",GN81="IVA C/ACCONTO",GN81="IMPOSTE C/ACCONTO"),MAX($GX$2:GX80)+1,0)</f>
        <v>0</v>
      </c>
      <c r="GY81" s="259" t="str">
        <f ca="1">IF(AND(IFERROR(INDEX($GN$3:$GX$200,MATCH(ROWS($GY$3:GY81),$GX$3:$GX$200,0),1),"")&lt;&gt;"",GY82&lt;&gt;""),CONCATENATE(IFERROR(INDEX($GN$3:$GX$200,MATCH(ROWS($GY$3:GY81),$GX$3:$GX$200,0),1),"")," - "),IFERROR(INDEX($GN$3:$GX$200,MATCH(ROWS($GY$3:GY81),$GX$3:$GX$200,0),1),""))</f>
        <v/>
      </c>
      <c r="GZ81" s="259" t="s">
        <v>526</v>
      </c>
      <c r="HA81" s="259" t="s">
        <v>475</v>
      </c>
      <c r="HB81" s="269" t="s">
        <v>257</v>
      </c>
      <c r="HC81" s="269" t="s">
        <v>211</v>
      </c>
      <c r="HD81" s="269" t="s">
        <v>5</v>
      </c>
      <c r="HE81" s="269" t="s">
        <v>212</v>
      </c>
      <c r="HL81" s="259" t="str">
        <f t="shared" ca="1" si="207"/>
        <v/>
      </c>
      <c r="HM81" s="259" t="str">
        <f t="shared" ca="1" si="208"/>
        <v/>
      </c>
      <c r="HN81" s="259" t="str">
        <f t="shared" ca="1" si="209"/>
        <v/>
      </c>
      <c r="HO81" s="259">
        <f ca="1">IF(HL81&lt;&gt;"",MAX($HO$2:HO80)+1,0)</f>
        <v>0</v>
      </c>
      <c r="HP81" s="259">
        <f ca="1">IF(HM81&lt;&gt;"",MAX($HP$2:HP80)+1,0)</f>
        <v>0</v>
      </c>
      <c r="HQ81" s="259">
        <f ca="1">IF(HN81&lt;&gt;"",MAX($HQ$2:HQ80)+1,0)</f>
        <v>0</v>
      </c>
      <c r="HR81" s="259" t="str">
        <f t="shared" ca="1" si="284"/>
        <v/>
      </c>
      <c r="HS81" s="259" t="str">
        <f t="shared" ca="1" si="285"/>
        <v/>
      </c>
      <c r="HT81" s="259">
        <f t="shared" ca="1" si="286"/>
        <v>0</v>
      </c>
      <c r="HU81" s="259">
        <f t="shared" ca="1" si="287"/>
        <v>0</v>
      </c>
      <c r="HV81" s="259" t="str">
        <f ca="1">CONCATENATE(IFERROR(INDEX($HS$3:$HT$102,MATCH(ROWS($HV$3:HV81),$HT$3:$HT$102,0),1),""),HR81)</f>
        <v/>
      </c>
      <c r="IA81" s="259" t="s">
        <v>393</v>
      </c>
      <c r="IB81" s="259" t="s">
        <v>340</v>
      </c>
      <c r="IC81" s="259">
        <f ca="1">IFERROR(INDEX(PIANO_DEI_CONTI,MATCH(ROWS(DL$3:DL81),$DK$3:DK308,0),2),0)</f>
        <v>0</v>
      </c>
      <c r="ID81" s="259">
        <f t="shared" ca="1" si="288"/>
        <v>0</v>
      </c>
      <c r="IE81" s="259">
        <f t="shared" ca="1" si="289"/>
        <v>0</v>
      </c>
      <c r="IF81" s="259">
        <f t="shared" ca="1" si="290"/>
        <v>0</v>
      </c>
      <c r="IG81" s="259">
        <f t="shared" ca="1" si="323"/>
        <v>0</v>
      </c>
      <c r="IH81" s="259">
        <f ca="1">IF(IG81&lt;&gt;0,MAX($IH$35:IH80)+1,0)</f>
        <v>0</v>
      </c>
      <c r="II81" s="259">
        <f>IF(AD81="costi pluriennali",MAX($II$2:II80)+1,0)</f>
        <v>0</v>
      </c>
      <c r="IJ81" s="259">
        <f>IF($AD81="rettifiche costi pluriennali",MAX($IJ$2:IJ80)+1,0)</f>
        <v>0</v>
      </c>
      <c r="IK81" s="259">
        <f t="shared" si="291"/>
        <v>0</v>
      </c>
      <c r="IL81" s="259" t="str">
        <f t="shared" si="292"/>
        <v/>
      </c>
      <c r="IM81" s="259">
        <f t="shared" ca="1" si="293"/>
        <v>0</v>
      </c>
      <c r="IN81" s="259">
        <f t="shared" ca="1" si="313"/>
        <v>0</v>
      </c>
      <c r="IO81" s="259">
        <f>SUMIFS($IM$3:$IM$200,$IK$3:$IK$200,ROWS($IO$3:IO81))-SUMIFS($IN$3:$IN$200,$IK$3:$IK$200,ROWS($IO$3:IO81))</f>
        <v>0</v>
      </c>
      <c r="IP81" s="259" t="str">
        <f>IF(IO81&lt;0,INDEX($IJ$3:$IL$200,MATCH(ROWS($IP$3:IP81),$IJ$3:$IJ$200,0),3),"")</f>
        <v/>
      </c>
      <c r="IQ81" s="259">
        <f>IF(IP81&lt;&gt;"",MAX($IQ$2:IQ80)+1,0)</f>
        <v>0</v>
      </c>
      <c r="IR81" s="259" t="str">
        <f ca="1">IFERROR(INDEX($IP$3:$IQ$200,MATCH(ROWS($IR$3:IR81),$IQ$3:$IQ$200,0),1),"")</f>
        <v/>
      </c>
      <c r="IS81" s="259" t="str">
        <f t="shared" ca="1" si="294"/>
        <v/>
      </c>
      <c r="IT81" s="259" t="str">
        <f t="shared" ca="1" si="295"/>
        <v/>
      </c>
      <c r="IU81" s="259" t="str">
        <f t="shared" ca="1" si="296"/>
        <v/>
      </c>
      <c r="IV81" s="259" t="str">
        <f t="shared" ca="1" si="297"/>
        <v/>
      </c>
      <c r="IW81" s="259" t="str">
        <f t="shared" ca="1" si="298"/>
        <v/>
      </c>
      <c r="IX81" s="259" t="str">
        <f t="shared" ca="1" si="299"/>
        <v/>
      </c>
      <c r="IY81" s="259" t="str">
        <f t="shared" ca="1" si="300"/>
        <v/>
      </c>
      <c r="IZ81" s="259" t="str">
        <f t="shared" ca="1" si="301"/>
        <v/>
      </c>
      <c r="JA81" s="259" t="str">
        <f t="shared" ca="1" si="302"/>
        <v/>
      </c>
      <c r="JB81" s="259">
        <f t="shared" ca="1" si="210"/>
        <v>0</v>
      </c>
      <c r="JC81" s="259">
        <f t="shared" ca="1" si="303"/>
        <v>0</v>
      </c>
      <c r="JE81" s="259">
        <f ca="1">IFERROR(INDEX(LIBRO_GIORNALE!$N$11:$O$408,MATCH(ROWS($JE$2:JE80),LIBRO_GIORNALE!$O$11:$O$408,0),1),0)</f>
        <v>0</v>
      </c>
      <c r="JF81" s="259" t="str">
        <f t="shared" ca="1" si="304"/>
        <v>0</v>
      </c>
      <c r="JG81" s="259">
        <f t="shared" ca="1" si="305"/>
        <v>0</v>
      </c>
      <c r="JH81" s="259">
        <f ca="1">IF(JJ81&gt;0,0,MAX($JH$2:JH80)+1)</f>
        <v>79</v>
      </c>
      <c r="JI81" s="259">
        <f ca="1">IF(JG81&gt;0,MAX($JI$2:JI80)+1,0)</f>
        <v>0</v>
      </c>
      <c r="JJ81" s="259">
        <f ca="1">IFERROR(INDEX($JG$3:$JI$124,MATCH(ROWS($JJ$3:JJ81),$JI$3:$JI$124,0),1),0)</f>
        <v>0</v>
      </c>
      <c r="JK81" s="259">
        <f t="shared" ca="1" si="306"/>
        <v>0</v>
      </c>
      <c r="JL81" s="259">
        <f t="shared" ca="1" si="307"/>
        <v>79</v>
      </c>
    </row>
    <row r="82" spans="1:272">
      <c r="A82" s="259" t="str">
        <f t="shared" si="211"/>
        <v>13.21</v>
      </c>
      <c r="B82" s="259" t="str">
        <f t="shared" si="212"/>
        <v>BANCHE C/INTERESSI MATURATI</v>
      </c>
      <c r="C82" s="259" t="str">
        <f t="shared" si="213"/>
        <v>F</v>
      </c>
      <c r="D82" s="259" t="str">
        <f t="shared" si="214"/>
        <v>A</v>
      </c>
      <c r="E82" s="259" t="str">
        <f t="shared" si="215"/>
        <v>DEBITI</v>
      </c>
      <c r="F82" s="259" t="str">
        <f t="shared" si="216"/>
        <v>SP AVERE</v>
      </c>
      <c r="G82" s="259">
        <f t="shared" ca="1" si="217"/>
        <v>0</v>
      </c>
      <c r="H82" s="259">
        <f t="shared" ca="1" si="218"/>
        <v>0</v>
      </c>
      <c r="I82" s="259">
        <f t="shared" ca="1" si="219"/>
        <v>1</v>
      </c>
      <c r="K82" s="259" t="str">
        <f ca="1">IFERROR(IF($I$1=1,INDEX($AA$3:$AS$220,MATCH(ROWS($K$3:K82),$AQ$3:$AQ$220,0),1),IF($I$1=2,INDEX($AA$3:$AS$220,MATCH(ROWS($K$3:K82),$AR$3:$AR$220,0),1),IF($I$1=3,INDEX($AA$3:$AS$220,MATCH(ROWS($K$3:K82),$AS$3:$AS$220,0),1),""))),"")</f>
        <v>DEBITI PER CAUZIONI</v>
      </c>
      <c r="L82" s="259">
        <f ca="1">IF(AND($L$1="VISUALIZZA TUTTI I CONTI",K82&lt;&gt;""),MAX(L81:L81)+1,IFERROR(IF($J$1=1,IF(INDEX(PIANO_DEI_CONTI,MATCH($K82,DENOMINAZIONE,0),5)=$L$1,MAX($L$2:L81)+1,0),IF($J$1=2,IF(INDEX(PIANO_DEI_CONTI,MATCH($K82,DENOMINAZIONE,0),7)=$L$1,MAX($L$2:L81)+1,0))),0))</f>
        <v>80</v>
      </c>
      <c r="M82" s="259" t="str">
        <f ca="1">IFERROR(INDEX($K$3:$K$220,MATCH(ROWS($M$3:M82),$L$3:$L$220,0),1),"")</f>
        <v>DEBITI PER CAUZIONI</v>
      </c>
      <c r="Q82" s="259" t="str">
        <f ca="1">IF(IFERROR(INDEX($O$3:$P$220,MATCH(ROWS(Q$3:Q82),$P$3:$P$220,0),1),"")=0,"",IFERROR(INDEX($O$3:$P$220,MATCH(ROWS(Q$3:Q82),$P$3:$P$220,0),1),""))</f>
        <v/>
      </c>
      <c r="R82" s="259" t="str">
        <f t="shared" si="182"/>
        <v/>
      </c>
      <c r="S82" s="259">
        <f ca="1">IF(IFERROR(MATCH(R82,DENOMINAZIONE_GIORNALE,0),0)&gt;0,MAX(S$2:S81)+1,0)</f>
        <v>0</v>
      </c>
      <c r="T82" s="259" t="str">
        <f ca="1">IFERROR(INDEX($R$3:$S$220,MATCH(ROWS($T$3:T82),$S$3:$S$220,0),1),"")</f>
        <v/>
      </c>
      <c r="U82" s="259">
        <f t="shared" ca="1" si="183"/>
        <v>0</v>
      </c>
      <c r="V82" s="259">
        <f ca="1">IF(IF(U82&lt;&gt;0,MAX($V$2:V81)+1,0)=0,0,IF(U82&lt;&gt;0,MAX($V$2:V81)+1,0))</f>
        <v>0</v>
      </c>
      <c r="W82" s="259" t="str">
        <f t="shared" si="220"/>
        <v>13.21</v>
      </c>
      <c r="X82" s="259" t="str">
        <f t="shared" si="221"/>
        <v>BANCHE C/INTERESSI MATURATI</v>
      </c>
      <c r="Y82" s="259">
        <f>IF(W82="",0,MAX($Y$2:Y81)+1)</f>
        <v>68</v>
      </c>
      <c r="Z82" s="259" t="str">
        <f>IFERROR(INDEX($W$3:$Y$220,MATCH(ROWS($Z$2:Z81),$Y$3:$Y$220,0),1),"")</f>
        <v>15.04</v>
      </c>
      <c r="AA82" s="259" t="str">
        <f t="shared" si="222"/>
        <v>DEBITI FISCALI DIVERSI</v>
      </c>
      <c r="AB82" s="259" t="str">
        <f t="shared" si="223"/>
        <v>F</v>
      </c>
      <c r="AC82" s="259" t="str">
        <f t="shared" si="224"/>
        <v>A</v>
      </c>
      <c r="AD82" s="259" t="str">
        <f t="shared" si="225"/>
        <v>DEBITI</v>
      </c>
      <c r="AE82" s="259" t="str">
        <f t="shared" si="226"/>
        <v>SP AVERE</v>
      </c>
      <c r="AF82" s="259" t="str">
        <f t="shared" si="227"/>
        <v>DEBITI DIVERSI</v>
      </c>
      <c r="AG82" s="259">
        <f t="shared" ca="1" si="228"/>
        <v>1</v>
      </c>
      <c r="AH82" s="259">
        <f t="shared" ca="1" si="229"/>
        <v>1</v>
      </c>
      <c r="AI82" s="259">
        <f t="shared" ca="1" si="230"/>
        <v>1</v>
      </c>
      <c r="AJ82" s="259" t="str">
        <f t="shared" si="231"/>
        <v>15</v>
      </c>
      <c r="AK82" s="259" t="str">
        <f t="shared" si="232"/>
        <v/>
      </c>
      <c r="AL82" s="259">
        <f>IF(AK82&lt;&gt;"",MAX($AL$2:AL81)+1,0)</f>
        <v>0</v>
      </c>
      <c r="AM82" s="259" t="str">
        <f>IFERROR(INDEX($AK$3:$AL$220,MATCH(ROWS($AM$3:AM82),$AL$3:$AL$220,0),1),"")</f>
        <v/>
      </c>
      <c r="AN82" s="259" t="str">
        <f t="shared" si="233"/>
        <v/>
      </c>
      <c r="AO82" s="259" t="str">
        <f t="shared" si="234"/>
        <v/>
      </c>
      <c r="AP82" s="259" t="str">
        <f t="shared" si="235"/>
        <v>DEBITI DIVERSI</v>
      </c>
      <c r="AQ82" s="259">
        <f ca="1">IF(OR(AG82=0,AG82=""),0,MAX(AQ$2:AQ81)+1)</f>
        <v>40</v>
      </c>
      <c r="AR82" s="259">
        <f ca="1">IF(OR(AH82=0,AH82=""),0,MAX(AR$2:AR81)+1)</f>
        <v>58</v>
      </c>
      <c r="AS82" s="259">
        <f ca="1">IF(OR(AI82=0,AI82=""),0,MAX(AS$2:AS81)+1)</f>
        <v>78</v>
      </c>
      <c r="AT82" s="259" t="str">
        <f ca="1">IFERROR(INDEX($AD$3:$AS$220,MATCH(ROWS(AT$3:AT82),AQ$3:AQ$220,0),1),"")</f>
        <v>COSTI D'ESERCIZIO</v>
      </c>
      <c r="AU82" s="259" t="str">
        <f ca="1">IFERROR(INDEX($AD$3:$AS$220,MATCH(ROWS(AU$3:AU82),AR$3:AR$220,0),1),"")</f>
        <v>RICAVI D'ESERCIZIO</v>
      </c>
      <c r="AV82" s="259" t="str">
        <f ca="1">IFERROR(INDEX($AD$3:$AS$220,MATCH(ROWS(AV$3:AV82),AS$3:AS$220,0),1),"")</f>
        <v>DEBITI</v>
      </c>
      <c r="AW82" s="259" t="str">
        <f ca="1">IFERROR(INDEX($AP$3:$AS$220,MATCH(ROWS(AW$3:AW82),AQ$3:AQ$220,0),1),"")</f>
        <v>ONERI DIVERSI</v>
      </c>
      <c r="AX82" s="259" t="str">
        <f ca="1">IFERROR(INDEX($AP$3:$AS$220,MATCH(ROWS(AX$3:AX82),AR$3:AR$220,0),1),"")</f>
        <v>VALORE DELLA PRODUZIONE</v>
      </c>
      <c r="AY82" s="259" t="str">
        <f ca="1">IFERROR(INDEX($AP$3:$AS$220,MATCH(ROWS(AY$3:AY82),AS$3:AS$220,0),1),"")</f>
        <v>DEBITI DIVERSI</v>
      </c>
      <c r="AZ82" s="276" t="str">
        <f t="shared" ca="1" si="236"/>
        <v/>
      </c>
      <c r="BA82" s="259">
        <f t="shared" ca="1" si="184"/>
        <v>0</v>
      </c>
      <c r="BB82" s="259">
        <f ca="1">IFERROR(INDEX($FG$3:$FL$400,MATCH(ROWS($BB$3:BB82),$FL$3:$FL$400,0),1),0)</f>
        <v>0</v>
      </c>
      <c r="BC82" s="259" t="str">
        <f t="shared" ca="1" si="237"/>
        <v/>
      </c>
      <c r="BD82" s="259">
        <f ca="1">IFERROR(INDEX($FG$3:$FL$400,MATCH(ROWS($BD$3:BD82),$FL$3:$FL$400,0),4),0)</f>
        <v>0</v>
      </c>
      <c r="BE82" s="259">
        <f ca="1">IFERROR(INDEX($FG$3:$FL$400,MATCH(ROWS($BE$3:BE82),$FL$3:$FL$400,0),5),0)</f>
        <v>0</v>
      </c>
      <c r="BG82" s="259" t="str">
        <f t="shared" si="185"/>
        <v>DEBITI FISCALI DIVERSI</v>
      </c>
      <c r="BH82" s="259">
        <f ca="1">IF(IFERROR(MATCH(BG82,DENOMINAZIONE_GIORNALE,0),0)&gt;0,MAX(BH$2:BH81)+1,0)</f>
        <v>0</v>
      </c>
      <c r="BI82" s="259" t="str">
        <f ca="1">IFERROR(INDEX($BG$3:$BH$220,MATCH(ROWS($BI$3:BI82),$BH$3:$BH$220,0),1),"")</f>
        <v/>
      </c>
      <c r="BJ82" s="259" t="str">
        <f t="shared" ca="1" si="186"/>
        <v/>
      </c>
      <c r="BK82" s="259" t="str">
        <f ca="1">IF(IF(BJ82&lt;&gt;"",MAX($BK$2:BK81)+1,0)=0,"",IF(BJ82&lt;&gt;"",MAX($BK$2:BK81)+1,0))</f>
        <v/>
      </c>
      <c r="BL82" s="259" t="str">
        <f ca="1">IFERROR(INDEX($T$3:$U$220, MATCH(ROWS(BL$3:BL82),$V$3:$V$220,0),1),"")</f>
        <v/>
      </c>
      <c r="BM82" s="259" t="str">
        <f ca="1">IFERROR(INDEX($T$3:$U$220, MATCH(ROWS(BM$3:BM82),$V$3:$V$220,0),2),"")</f>
        <v/>
      </c>
      <c r="BN82" s="259" t="str">
        <f ca="1">IF(IFERROR(INDEX($BI$3:$BJ$220,MATCH(ROWS(BN$3:BN82),$BK$3:$BK$220,0),1),"")="PATRIMONIO NETTO","",IFERROR(INDEX($BI$3:$BJ$220,MATCH(ROWS(BN$3:BN82),$BK$3:$BK$220,0),1),""))</f>
        <v/>
      </c>
      <c r="BO82" s="259" t="str">
        <f ca="1">IFERROR(INDEX($BI$3:$BJ$220,MATCH(ROWS(BO$3:BO82),$BK$3:$BK$220,0),2),"")</f>
        <v/>
      </c>
      <c r="BP82" s="259">
        <f ca="1">IF(BN82&lt;&gt;"",MAX(BP$2:$BP81)+1,0)</f>
        <v>0</v>
      </c>
      <c r="BQ82" s="259" t="str">
        <f ca="1">IFERROR(INDEX($BN$3:$BO$200,MATCH(ROWS(BQ$3:BQ82),$BP$3:$BP$220,0),1),"")</f>
        <v/>
      </c>
      <c r="BR82" s="259" t="str">
        <f ca="1">IFERROR(INDEX($BN$3:$BO$220,MATCH(ROWS(BR$3:BR82),$BP$3:$BP$220,0),2),"")</f>
        <v/>
      </c>
      <c r="BS82" s="259" t="str">
        <f ca="1">IFERROR(IF(OR(INDEX($T$3:$U$220,MATCH(ROWS(BL$3:BL82),$V$3:$V$220,0),1)="PRELEVAMENTI EXTRAGESTIONE",INDEX($T$3:$U$220,MATCH(ROWS(BL$3:BL82),$V$3:$V$220,0),1)="TITOLARE C/RITENUTE SUBITE"),"",INDEX($T$3:$U$220,MATCH(ROWS(BL$3:BL82),$V$3:$V$220,0),1)),"")</f>
        <v/>
      </c>
      <c r="BT82" s="259">
        <f t="shared" ca="1" si="238"/>
        <v>0</v>
      </c>
      <c r="BU82" s="259">
        <f ca="1">IF(BS82&lt;&gt;"",MAX(BU$2:BU81)+1,0)</f>
        <v>0</v>
      </c>
      <c r="BV82" s="259" t="str">
        <f ca="1">IFERROR(INDEX($BS$3:$BT$223,MATCH(ROWS(BV$3:BV82),$BU$3:$BU$223,0),1),"")</f>
        <v/>
      </c>
      <c r="BW82" s="259">
        <f t="shared" ca="1" si="239"/>
        <v>0</v>
      </c>
      <c r="BX82" s="259" t="str">
        <f t="shared" ca="1" si="240"/>
        <v/>
      </c>
      <c r="BY82" s="259" t="str">
        <f t="shared" ca="1" si="241"/>
        <v/>
      </c>
      <c r="BZ82" s="259" t="str">
        <f ca="1">IFERROR(IF(OR($DS$231&lt;&gt;$DT$231,$DU$231&lt;&gt;$DV$231,$EO$25&lt;&gt;0,$EO$26&lt;&gt;0),INDEX($T$3:$V$220,MATCH(ROWS($BV$3:BV82),$V$3:$V$220,0),1),CONCATENATE(BV82,BY82)),"")</f>
        <v/>
      </c>
      <c r="CA82" s="259">
        <f t="shared" ca="1" si="242"/>
        <v>0</v>
      </c>
      <c r="CB82" s="259" t="str">
        <f ca="1">IFERROR(IF(OR($BB$1&lt;&gt;$BD$1,$BC$1&lt;&gt;$BE$1,$DS$231&lt;&gt;$DT$231,$DU$231&lt;&gt;$DV$231,$EO$25&lt;&gt;0,$EO$26&lt;&gt;0),INDEX($BI$3:$BK$220,MATCH(ROWS($CB$3:CB82),$BK$3:$BK$220,0),1),CONCATENATE(BQ82,BX82)),"")</f>
        <v/>
      </c>
      <c r="CC82" s="259" t="str">
        <f t="shared" ca="1" si="243"/>
        <v/>
      </c>
      <c r="CD82" s="259" t="str">
        <f t="shared" si="187"/>
        <v/>
      </c>
      <c r="CE82" s="259">
        <f ca="1">IF(IFERROR(MATCH(CD82,DENOMINAZIONE_GIORNALE,0),0)&gt;0,MAX(CE$2:CE81)+1,0)</f>
        <v>0</v>
      </c>
      <c r="CF82" s="259" t="str">
        <f ca="1">IFERROR(INDEX($CD$3:$CE$220,MATCH(ROWS($CF$3:CF82),$CE$3:$CE$220,0),1),"")</f>
        <v/>
      </c>
      <c r="CG82" s="259">
        <f t="shared" ca="1" si="188"/>
        <v>0</v>
      </c>
      <c r="CH82" s="259" t="str">
        <f ca="1">IF(IF(CG82&lt;&gt;0,MAX($CH$2:CH81)+1,0)=0,"",IF(CG82&lt;&gt;"",MAX($CH$2:CH81)+1,0))</f>
        <v/>
      </c>
      <c r="CI82" s="259" t="str">
        <f ca="1">IFERROR(INDEX($CF$3:$CG$220,MATCH(ROWS($CI$3:CI82),$CH$3:$CH$220,0),1),"")</f>
        <v/>
      </c>
      <c r="CJ82" s="259" t="str">
        <f t="shared" ca="1" si="244"/>
        <v/>
      </c>
      <c r="CK82" s="259" t="str">
        <f t="shared" si="189"/>
        <v/>
      </c>
      <c r="CL82" s="259">
        <f ca="1">IF(IFERROR(MATCH(CK82,DENOMINAZIONE_GIORNALE,0),0)&gt;0,MAX(CL$2:CL81)+1,0)</f>
        <v>0</v>
      </c>
      <c r="CM82" s="259" t="str">
        <f ca="1">IFERROR(INDEX($CK$3:$CL$220,MATCH(ROWS($CM$3:CM82),$CL$3:$CL$220,0),1),"")</f>
        <v/>
      </c>
      <c r="CN82" s="259" t="str">
        <f t="shared" ca="1" si="190"/>
        <v/>
      </c>
      <c r="CO82" s="259">
        <f ca="1">IF(IF(CN82&lt;&gt;0,MAX($CO$2:CO81)+1,0)=0,"",IF(CN82&lt;&gt;"",MAX($CO$2:CO81)+1,0))</f>
        <v>0</v>
      </c>
      <c r="CP82" s="259" t="str">
        <f ca="1">IFERROR(INDEX($CM$3:$CN$220,MATCH(ROWS(CP$3:CP82),$CO$3:$CO$220,0),1),"")</f>
        <v/>
      </c>
      <c r="CQ82" s="259" t="str">
        <f ca="1">IFERROR(INDEX($CM$3:$CN$220,MATCH(ROWS(CQ$3:CQ82),$CO$3:$CO$220,0),2),"")</f>
        <v/>
      </c>
      <c r="CR82" s="259" t="str">
        <f t="shared" ca="1" si="191"/>
        <v/>
      </c>
      <c r="CS82" s="259">
        <f t="shared" ca="1" si="192"/>
        <v>0</v>
      </c>
      <c r="CT82" s="259">
        <f t="shared" ca="1" si="193"/>
        <v>0</v>
      </c>
      <c r="CU82" s="259">
        <f ca="1">IF(OR(CS82&gt;0,CT82&gt;0),MAX($CU$2:CU81)+1,0)</f>
        <v>0</v>
      </c>
      <c r="CV82" s="259" t="str">
        <f ca="1">IFERROR(INDEX(PIANO_DEI_CONTI,MATCH(ROWS($CV$3:CV82),$CU$3:$CU$200,0),2),"")</f>
        <v/>
      </c>
      <c r="CW82" s="259">
        <f ca="1">IFERROR(IF(CV82&lt;&gt;"",MAX($CW$2:CW81)+1,0),0)</f>
        <v>0</v>
      </c>
      <c r="CX82" s="259">
        <f t="shared" ca="1" si="315"/>
        <v>5</v>
      </c>
      <c r="CY82" s="259" t="str">
        <f t="shared" ca="1" si="308"/>
        <v>MASTRO</v>
      </c>
      <c r="CZ82" s="259" t="e">
        <f t="shared" ca="1" si="317"/>
        <v>#N/A</v>
      </c>
      <c r="DA82" s="259" t="str">
        <f t="shared" ca="1" si="322"/>
        <v/>
      </c>
      <c r="DB82" s="259" t="str">
        <f t="shared" ca="1" si="318"/>
        <v/>
      </c>
      <c r="DC82" s="259" t="str">
        <f t="shared" ca="1" si="319"/>
        <v/>
      </c>
      <c r="DD82" s="259" t="str">
        <f t="shared" ca="1" si="320"/>
        <v/>
      </c>
      <c r="DE82" s="259" t="str">
        <f t="shared" ca="1" si="321"/>
        <v/>
      </c>
      <c r="DF82" s="259">
        <f ca="1">IF(AND(CX82=$DE$2,$DF$2&lt;&gt;0),0,IF(AND(DB82&lt;&gt;"",OR(DB81&lt;&gt;"",DB83&lt;&gt;"")),MAX($DF$2:DF81)+1,0))</f>
        <v>0</v>
      </c>
      <c r="DG82" s="259" t="str">
        <f>IF(OR(VALORI_INIZIALI!E87="",AND(VALORI_INIZIALI!E87&lt;&gt;"",VALORI_INIZIALI!H87=0,VALORI_INIZIALI!I87=0)),"",IFERROR(INDEX(PIANO_DEI_CONTI,MATCH(BB82,DENOMINAZIONE,0),1),0))</f>
        <v/>
      </c>
      <c r="DH82" s="259">
        <f ca="1">IFERROR(IF($J$1=1,IF(INDEX(PIANO_DEI_CONTI,MATCH($K82,DENOMINAZIONE,0),5)=$DF$1,MAX($DH$2:DH81)+1,0),IF($J$1=2,IF(INDEX(PIANO_DEI_CONTI,MATCH($K82,DENOMINAZIONE,0),7)=$DF$1,MAX($DH$2:DH81)+1,0))),0)</f>
        <v>0</v>
      </c>
      <c r="DI82" s="259">
        <f ca="1">IFERROR(INDEX($K$3:$K$220,MATCH(ROWS($DI$3:DI82),$DH$3:$DH$220,0),1),0)</f>
        <v>0</v>
      </c>
      <c r="DJ82" s="259">
        <f t="shared" ca="1" si="194"/>
        <v>0</v>
      </c>
      <c r="DK82" s="259">
        <f ca="1">IF(DJ82=0,0,MAX(DK$2:DK81)+1)</f>
        <v>0</v>
      </c>
      <c r="DL82" s="259">
        <f ca="1">IFERROR(INDEX(PIANO_DEI_CONTI,MATCH(ROWS(DL$3:DL82),$DK$3:DK309,0),2),0)</f>
        <v>0</v>
      </c>
      <c r="DM82" s="259">
        <f t="shared" ca="1" si="195"/>
        <v>0</v>
      </c>
      <c r="DN82" s="259">
        <f t="shared" ca="1" si="196"/>
        <v>0</v>
      </c>
      <c r="DO82" s="259">
        <f t="shared" ca="1" si="245"/>
        <v>0</v>
      </c>
      <c r="DP82" s="259">
        <f t="shared" ca="1" si="246"/>
        <v>0</v>
      </c>
      <c r="DQ82" s="259">
        <f ca="1">IF(OR($DQ$1="TOTALI",$DQ$1="TOTALI ED ECCEDENZE"),IF(OR(DM82&gt;0,DN82&gt;0),MAX(DQ$2:DQ81)+1,0),IF($DQ$1="ECCEDENZE",IF(OR(DO82&gt;0,DP82&gt;0),MAX(DQ$2:DQ81)+1,0),""))</f>
        <v>0</v>
      </c>
      <c r="DR82" s="259" t="str">
        <f ca="1">IFERROR(INDEX($DL$3:$DQ$230,MATCH(ROWS(DR$3:DR82),$DQ$3:$DQ$230,0),1),"")</f>
        <v/>
      </c>
      <c r="DS82" s="259" t="str">
        <f t="shared" ca="1" si="247"/>
        <v/>
      </c>
      <c r="DT82" s="259" t="str">
        <f t="shared" ca="1" si="248"/>
        <v/>
      </c>
      <c r="DU82" s="259" t="str">
        <f t="shared" ca="1" si="249"/>
        <v/>
      </c>
      <c r="DV82" s="259" t="str">
        <f t="shared" ca="1" si="250"/>
        <v/>
      </c>
      <c r="DW82" s="259">
        <f t="shared" ca="1" si="251"/>
        <v>0</v>
      </c>
      <c r="DX82" s="259" t="str">
        <f t="shared" ca="1" si="252"/>
        <v/>
      </c>
      <c r="DY82" s="259" t="str">
        <f t="shared" ca="1" si="253"/>
        <v/>
      </c>
      <c r="DZ82" s="259" t="str">
        <f t="shared" ca="1" si="254"/>
        <v/>
      </c>
      <c r="EA82" s="259">
        <f t="shared" ca="1" si="255"/>
        <v>80</v>
      </c>
      <c r="EB82" s="259" t="s">
        <v>361</v>
      </c>
      <c r="ED82" s="259">
        <f t="shared" ca="1" si="197"/>
        <v>0</v>
      </c>
      <c r="EE82" s="259" t="str">
        <f t="shared" ca="1" si="198"/>
        <v/>
      </c>
      <c r="EF82" s="259" t="str">
        <f t="shared" ca="1" si="199"/>
        <v/>
      </c>
      <c r="EG82" s="259" t="str">
        <f t="shared" ca="1" si="309"/>
        <v/>
      </c>
      <c r="EH82" s="259" t="str">
        <f t="shared" ca="1" si="256"/>
        <v/>
      </c>
      <c r="EI82" s="260" t="b">
        <f t="shared" ca="1" si="310"/>
        <v>0</v>
      </c>
      <c r="EJ82" s="260" t="b">
        <f t="shared" ca="1" si="311"/>
        <v>0</v>
      </c>
      <c r="EK82" s="260" t="b">
        <f t="shared" ca="1" si="312"/>
        <v>1</v>
      </c>
      <c r="EL82" s="259">
        <f t="shared" si="257"/>
        <v>80</v>
      </c>
      <c r="EM82" s="259">
        <f ca="1">IF(AND(BA82&gt;0,BA82&lt;=$EM$1),MAX($EM$2:EM81)+1,0)</f>
        <v>0</v>
      </c>
      <c r="EN82" s="259">
        <f t="shared" ca="1" si="258"/>
        <v>82</v>
      </c>
      <c r="EP82" s="259" t="str">
        <f t="shared" ca="1" si="200"/>
        <v/>
      </c>
      <c r="EQ82" s="259">
        <f t="shared" ca="1" si="201"/>
        <v>0</v>
      </c>
      <c r="ER82" s="259">
        <f ca="1">IF(ISNA(EQ82),MAX(ER$2:ER81)+1,0)</f>
        <v>0</v>
      </c>
      <c r="ES82" s="259" t="str">
        <f t="shared" ca="1" si="259"/>
        <v/>
      </c>
      <c r="ET82" s="259" t="str">
        <f ca="1">IFERROR(UPPER(INDEX($ER$3:$ES$500,MATCH(ROWS(ET$3:ET82),$ER$3:$ER$500,0),2)),"")</f>
        <v/>
      </c>
      <c r="EY82" s="259">
        <f t="shared" ca="1" si="260"/>
        <v>0</v>
      </c>
      <c r="EZ82" s="259">
        <f t="shared" ca="1" si="260"/>
        <v>0</v>
      </c>
      <c r="FA82" s="259" t="str">
        <f t="shared" ca="1" si="261"/>
        <v/>
      </c>
      <c r="FB82" s="259">
        <f t="shared" ca="1" si="262"/>
        <v>0</v>
      </c>
      <c r="FC82" s="259">
        <f t="shared" ca="1" si="263"/>
        <v>0</v>
      </c>
      <c r="FD82" s="259">
        <f t="shared" ca="1" si="202"/>
        <v>0</v>
      </c>
      <c r="FE82" s="259" t="str">
        <f t="shared" ca="1" si="203"/>
        <v/>
      </c>
      <c r="FF82" s="259" t="str">
        <f t="shared" ca="1" si="264"/>
        <v/>
      </c>
      <c r="FG82" s="259" t="str">
        <f t="shared" si="265"/>
        <v>DEBITI FISCALI DIVERSI</v>
      </c>
      <c r="FH82" s="259">
        <f t="shared" ca="1" si="156"/>
        <v>0</v>
      </c>
      <c r="FI82" s="259">
        <f t="shared" ca="1" si="204"/>
        <v>0</v>
      </c>
      <c r="FJ82" s="259">
        <f t="shared" ca="1" si="266"/>
        <v>0</v>
      </c>
      <c r="FK82" s="259">
        <f t="shared" ca="1" si="267"/>
        <v>0</v>
      </c>
      <c r="FL82" s="259">
        <f ca="1">IF(OR(FJ82&gt;0,FK82&gt;0),MAX($FL$2:FL81)+1,0)</f>
        <v>0</v>
      </c>
      <c r="FM82" s="259">
        <f t="shared" ca="1" si="205"/>
        <v>0</v>
      </c>
      <c r="FN82" s="259">
        <f ca="1">IF(FM82&lt;0,MAX($FN$2:FN81)+1,0)</f>
        <v>0</v>
      </c>
      <c r="FO82" s="259" t="str">
        <f t="shared" ca="1" si="268"/>
        <v/>
      </c>
      <c r="FP82" s="259" t="str">
        <f ca="1">IFERROR(INDEX($FN$3:$FO$400,MATCH(ROWS($FP$3:FP82),$FN$3:$FN$400,0),2),"")</f>
        <v/>
      </c>
      <c r="FQ82" s="259" t="str">
        <f>IF(AE82="SE AVERE",MAX($FQ$2:FQ81)+1,"")</f>
        <v/>
      </c>
      <c r="FR82" s="259" t="str">
        <f>IF(AE82="SE DARE",MAX($FR$2:FR81)+1,"")</f>
        <v/>
      </c>
      <c r="FS82" s="259" t="str">
        <f ca="1">IF(AND(AE82="SP DARE",AA82&lt;&gt;$FS$1,AA82&lt;&gt;$FT$1),MAX($FS$2:FS81)+1,IF(AND(GQ82="SP DARE",AA82&lt;&gt;$FS$1,AA82&lt;&gt;$FT$1),MAX($FS$2:FS81)+1,""))</f>
        <v/>
      </c>
      <c r="FT82" s="259">
        <f ca="1">IF(AND(AE82="SP AVERE",AA82&lt;&gt;$FU$1),MAX($FT$2:FT81)+1,IF(AND(GQ82="SP AVERE",AA82&lt;&gt;$FU$1),MAX($FT$2:FT81)+1,""))</f>
        <v>164</v>
      </c>
      <c r="FU82" s="259">
        <f t="shared" ca="1" si="269"/>
        <v>164</v>
      </c>
      <c r="FV82" s="259" t="str">
        <f t="shared" si="270"/>
        <v>DEBITI FISCALI DIVERSI</v>
      </c>
      <c r="FW82" s="259">
        <f ca="1">IFERROR(INDEX($FU$3:$FV$500,MATCH(ROWS($FW$3:FW82),$FU$3:$FU$500,0),2),0)</f>
        <v>0</v>
      </c>
      <c r="FX82" s="259">
        <f t="shared" ca="1" si="271"/>
        <v>0</v>
      </c>
      <c r="FY82" s="259">
        <f t="shared" ca="1" si="272"/>
        <v>80</v>
      </c>
      <c r="FZ82" s="259">
        <f ca="1">IF(FY82&gt;0,MAX($FZ$2:FZ81)+1,0)</f>
        <v>6</v>
      </c>
      <c r="GA82" s="259">
        <f ca="1">IFERROR(INDEX($FY$3:$FZ$500,MATCH(ROWS($GA$3:GA82),$FZ$3:$FZ$500,0),1),0)</f>
        <v>0</v>
      </c>
      <c r="GC82" s="259">
        <f t="shared" ca="1" si="273"/>
        <v>80</v>
      </c>
      <c r="GD82" s="259" t="str">
        <f t="shared" ca="1" si="274"/>
        <v>UTILE D'ESERCIZIO</v>
      </c>
      <c r="GG82" s="259">
        <f t="shared" ca="1" si="275"/>
        <v>0</v>
      </c>
      <c r="GH82" s="259">
        <f t="shared" ca="1" si="276"/>
        <v>0</v>
      </c>
      <c r="GI82" s="259">
        <f t="shared" ca="1" si="277"/>
        <v>0</v>
      </c>
      <c r="GJ82" s="259">
        <f t="shared" ca="1" si="278"/>
        <v>0</v>
      </c>
      <c r="GK82" s="259">
        <f t="shared" ca="1" si="279"/>
        <v>0</v>
      </c>
      <c r="GL82" s="259">
        <f t="shared" ca="1" si="280"/>
        <v>0</v>
      </c>
      <c r="GM82" s="259">
        <f ca="1">IF(OR(GK82&gt;0,GL82&gt;0),MAX($GM$2:GM81)+1,0)</f>
        <v>0</v>
      </c>
      <c r="GN82" s="259" t="str">
        <f ca="1">IFERROR(INDEX($GD$3:$GM$400,MATCH(ROWS($GN$3:GN82),$GM$3:$GM$400,0),1),"")</f>
        <v/>
      </c>
      <c r="GO82" s="259" t="str">
        <f ca="1">IFERROR(INDEX($GD$3:$GM$400,MATCH(ROWS($GO$3:GO82),$GM$3:$GM$400,0),8),"")</f>
        <v/>
      </c>
      <c r="GP82" s="259" t="str">
        <f ca="1">IFERROR(INDEX($GD$3:$GM$400,MATCH(ROWS($GP$3:GP82),$GM$3:$GM$400,0),9),"")</f>
        <v/>
      </c>
      <c r="GQ82" s="259">
        <f t="shared" ca="1" si="206"/>
        <v>0</v>
      </c>
      <c r="GR82" s="259">
        <f t="shared" ca="1" si="281"/>
        <v>0</v>
      </c>
      <c r="GS82" s="259" t="str">
        <f t="shared" ca="1" si="282"/>
        <v>rilevato utile d'esercizio</v>
      </c>
      <c r="GT82" s="259" t="str">
        <f ca="1">IFERROR(INDEX($GD$3:$GS$400,MATCH(ROWS($GT$3:GT82),$GM$3:$GM$400,0),16),"")</f>
        <v/>
      </c>
      <c r="GU82" s="259">
        <f ca="1">IF(GQ82&lt;&gt;0,MAX($GU$2:$GU81)+1,0)</f>
        <v>0</v>
      </c>
      <c r="GV82" s="259">
        <f t="shared" ca="1" si="283"/>
        <v>0</v>
      </c>
      <c r="GW82" s="259" t="str">
        <f ca="1">IF(AND(IFERROR(INDEX($GU$3:$GV$400,MATCH(ROWS($GW$3:GW82),$GU$3:$GU$400,0),2),"")&lt;&gt;"",GW83&lt;&gt;""),CONCATENATE(IFERROR(INDEX($GU$3:$GV$400,MATCH(ROWS($GW$3:GW82),$GU$3:$GU$400,0),2),"")," - "),IFERROR(INDEX($GU$3:$GV$400,MATCH(ROWS($GW$3:GW82),$GU$3:$GU$400,0),2),""))</f>
        <v/>
      </c>
      <c r="GX82" s="259">
        <f ca="1">IF(OR(GN82="IVA NS/CREDITO",GN82="IVA NS/DEBITO",GN82="IVA C/ACCONTO",GN82="IMPOSTE C/ACCONTO"),MAX($GX$2:GX81)+1,0)</f>
        <v>0</v>
      </c>
      <c r="GY82" s="259" t="str">
        <f ca="1">IF(AND(IFERROR(INDEX($GN$3:$GX$200,MATCH(ROWS($GY$3:GY82),$GX$3:$GX$200,0),1),"")&lt;&gt;"",GY83&lt;&gt;""),CONCATENATE(IFERROR(INDEX($GN$3:$GX$200,MATCH(ROWS($GY$3:GY82),$GX$3:$GX$200,0),1),"")," - "),IFERROR(INDEX($GN$3:$GX$200,MATCH(ROWS($GY$3:GY82),$GX$3:$GX$200,0),1),""))</f>
        <v/>
      </c>
      <c r="GZ82" s="259" t="s">
        <v>527</v>
      </c>
      <c r="HA82" s="259" t="s">
        <v>105</v>
      </c>
      <c r="HB82" s="269" t="s">
        <v>257</v>
      </c>
      <c r="HC82" s="269" t="s">
        <v>211</v>
      </c>
      <c r="HD82" s="269" t="s">
        <v>5</v>
      </c>
      <c r="HE82" s="269" t="s">
        <v>212</v>
      </c>
      <c r="HL82" s="259" t="str">
        <f t="shared" ca="1" si="207"/>
        <v/>
      </c>
      <c r="HM82" s="259" t="str">
        <f t="shared" ca="1" si="208"/>
        <v/>
      </c>
      <c r="HN82" s="259" t="str">
        <f t="shared" ca="1" si="209"/>
        <v/>
      </c>
      <c r="HO82" s="259">
        <f ca="1">IF(HL82&lt;&gt;"",MAX($HO$2:HO81)+1,0)</f>
        <v>0</v>
      </c>
      <c r="HP82" s="259">
        <f ca="1">IF(HM82&lt;&gt;"",MAX($HP$2:HP81)+1,0)</f>
        <v>0</v>
      </c>
      <c r="HQ82" s="259">
        <f ca="1">IF(HN82&lt;&gt;"",MAX($HQ$2:HQ81)+1,0)</f>
        <v>0</v>
      </c>
      <c r="HR82" s="259" t="str">
        <f t="shared" ca="1" si="284"/>
        <v/>
      </c>
      <c r="HS82" s="259" t="str">
        <f t="shared" ca="1" si="285"/>
        <v/>
      </c>
      <c r="HT82" s="259">
        <f t="shared" ca="1" si="286"/>
        <v>0</v>
      </c>
      <c r="HU82" s="259">
        <f t="shared" ca="1" si="287"/>
        <v>0</v>
      </c>
      <c r="HV82" s="259" t="str">
        <f ca="1">CONCATENATE(IFERROR(INDEX($HS$3:$HT$102,MATCH(ROWS($HV$3:HV82),$HT$3:$HT$102,0),1),""),HR82)</f>
        <v/>
      </c>
      <c r="IA82" s="259" t="s">
        <v>394</v>
      </c>
      <c r="IB82" s="259" t="s">
        <v>341</v>
      </c>
      <c r="IC82" s="259">
        <f ca="1">IFERROR(INDEX(PIANO_DEI_CONTI,MATCH(ROWS(DL$3:DL82),$DK$3:DK309,0),2),0)</f>
        <v>0</v>
      </c>
      <c r="ID82" s="259">
        <f t="shared" ca="1" si="288"/>
        <v>0</v>
      </c>
      <c r="IE82" s="259">
        <f t="shared" ca="1" si="289"/>
        <v>0</v>
      </c>
      <c r="IF82" s="259">
        <f t="shared" ca="1" si="290"/>
        <v>0</v>
      </c>
      <c r="IG82" s="259">
        <f t="shared" ca="1" si="323"/>
        <v>0</v>
      </c>
      <c r="IH82" s="259">
        <f ca="1">IF(IG82&lt;&gt;0,MAX($IH$35:IH81)+1,0)</f>
        <v>0</v>
      </c>
      <c r="II82" s="259">
        <f>IF(AD82="costi pluriennali",MAX($II$2:II81)+1,0)</f>
        <v>0</v>
      </c>
      <c r="IJ82" s="259">
        <f>IF($AD82="rettifiche costi pluriennali",MAX($IJ$2:IJ81)+1,0)</f>
        <v>0</v>
      </c>
      <c r="IK82" s="259">
        <f t="shared" si="291"/>
        <v>0</v>
      </c>
      <c r="IL82" s="259" t="str">
        <f t="shared" si="292"/>
        <v/>
      </c>
      <c r="IM82" s="259">
        <f t="shared" ca="1" si="293"/>
        <v>0</v>
      </c>
      <c r="IN82" s="259">
        <f t="shared" ca="1" si="313"/>
        <v>0</v>
      </c>
      <c r="IO82" s="259">
        <f>SUMIFS($IM$3:$IM$200,$IK$3:$IK$200,ROWS($IO$3:IO82))-SUMIFS($IN$3:$IN$200,$IK$3:$IK$200,ROWS($IO$3:IO82))</f>
        <v>0</v>
      </c>
      <c r="IP82" s="259" t="str">
        <f>IF(IO82&lt;0,INDEX($IJ$3:$IL$200,MATCH(ROWS($IP$3:IP82),$IJ$3:$IJ$200,0),3),"")</f>
        <v/>
      </c>
      <c r="IQ82" s="259">
        <f>IF(IP82&lt;&gt;"",MAX($IQ$2:IQ81)+1,0)</f>
        <v>0</v>
      </c>
      <c r="IR82" s="259" t="str">
        <f ca="1">IFERROR(INDEX($IP$3:$IQ$200,MATCH(ROWS($IR$3:IR82),$IQ$3:$IQ$200,0),1),"")</f>
        <v/>
      </c>
      <c r="IS82" s="259" t="str">
        <f t="shared" ca="1" si="294"/>
        <v/>
      </c>
      <c r="IT82" s="259" t="str">
        <f t="shared" ca="1" si="295"/>
        <v/>
      </c>
      <c r="IU82" s="259" t="str">
        <f t="shared" ca="1" si="296"/>
        <v/>
      </c>
      <c r="IV82" s="259" t="str">
        <f t="shared" ca="1" si="297"/>
        <v/>
      </c>
      <c r="IW82" s="259" t="str">
        <f t="shared" ca="1" si="298"/>
        <v/>
      </c>
      <c r="IX82" s="259" t="str">
        <f t="shared" ca="1" si="299"/>
        <v/>
      </c>
      <c r="IY82" s="259" t="str">
        <f t="shared" ca="1" si="300"/>
        <v/>
      </c>
      <c r="IZ82" s="259" t="str">
        <f t="shared" ca="1" si="301"/>
        <v/>
      </c>
      <c r="JA82" s="259" t="str">
        <f t="shared" ca="1" si="302"/>
        <v/>
      </c>
      <c r="JB82" s="259">
        <f t="shared" ca="1" si="210"/>
        <v>0</v>
      </c>
      <c r="JC82" s="259">
        <f t="shared" ca="1" si="303"/>
        <v>0</v>
      </c>
      <c r="JE82" s="259">
        <f ca="1">IFERROR(INDEX(LIBRO_GIORNALE!$N$11:$O$408,MATCH(ROWS($JE$2:JE81),LIBRO_GIORNALE!$O$11:$O$408,0),1),0)</f>
        <v>0</v>
      </c>
      <c r="JF82" s="259" t="str">
        <f t="shared" ca="1" si="304"/>
        <v>0</v>
      </c>
      <c r="JG82" s="259">
        <f t="shared" ca="1" si="305"/>
        <v>0</v>
      </c>
      <c r="JH82" s="259">
        <f ca="1">IF(JJ82&gt;0,0,MAX($JH$2:JH81)+1)</f>
        <v>80</v>
      </c>
      <c r="JI82" s="259">
        <f ca="1">IF(JG82&gt;0,MAX($JI$2:JI81)+1,0)</f>
        <v>0</v>
      </c>
      <c r="JJ82" s="259">
        <f ca="1">IFERROR(INDEX($JG$3:$JI$124,MATCH(ROWS($JJ$3:JJ82),$JI$3:$JI$124,0),1),0)</f>
        <v>0</v>
      </c>
      <c r="JK82" s="259">
        <f t="shared" ca="1" si="306"/>
        <v>0</v>
      </c>
      <c r="JL82" s="259">
        <f t="shared" ca="1" si="307"/>
        <v>80</v>
      </c>
    </row>
    <row r="83" spans="1:272">
      <c r="A83" s="259" t="str">
        <f t="shared" si="211"/>
        <v>13.30</v>
      </c>
      <c r="B83" s="259" t="str">
        <f t="shared" si="212"/>
        <v>DEBITI V/ALTRI FINANZIATORI</v>
      </c>
      <c r="C83" s="259" t="str">
        <f t="shared" si="213"/>
        <v>F</v>
      </c>
      <c r="D83" s="259" t="str">
        <f t="shared" si="214"/>
        <v>A</v>
      </c>
      <c r="E83" s="259" t="str">
        <f t="shared" si="215"/>
        <v>DEBITI</v>
      </c>
      <c r="F83" s="259" t="str">
        <f t="shared" si="216"/>
        <v>SP AVERE</v>
      </c>
      <c r="G83" s="259">
        <f t="shared" ca="1" si="217"/>
        <v>0</v>
      </c>
      <c r="H83" s="259">
        <f t="shared" ca="1" si="218"/>
        <v>0</v>
      </c>
      <c r="I83" s="259">
        <f t="shared" ca="1" si="219"/>
        <v>1</v>
      </c>
      <c r="K83" s="259" t="str">
        <f ca="1">IFERROR(IF($I$1=1,INDEX($AA$3:$AS$220,MATCH(ROWS($K$3:K83),$AQ$3:$AQ$220,0),1),IF($I$1=2,INDEX($AA$3:$AS$220,MATCH(ROWS($K$3:K83),$AR$3:$AR$220,0),1),IF($I$1=3,INDEX($AA$3:$AS$220,MATCH(ROWS($K$3:K83),$AS$3:$AS$220,0),1),""))),"")</f>
        <v>PERSONALE C/RETRIBUZIONI</v>
      </c>
      <c r="L83" s="259">
        <f ca="1">IF(AND($L$1="VISUALIZZA TUTTI I CONTI",K83&lt;&gt;""),MAX(L82:L82)+1,IFERROR(IF($J$1=1,IF(INDEX(PIANO_DEI_CONTI,MATCH($K83,DENOMINAZIONE,0),5)=$L$1,MAX($L$2:L82)+1,0),IF($J$1=2,IF(INDEX(PIANO_DEI_CONTI,MATCH($K83,DENOMINAZIONE,0),7)=$L$1,MAX($L$2:L82)+1,0))),0))</f>
        <v>81</v>
      </c>
      <c r="M83" s="259" t="str">
        <f ca="1">IFERROR(INDEX($K$3:$K$220,MATCH(ROWS($M$3:M83),$L$3:$L$220,0),1),"")</f>
        <v>PERSONALE C/RETRIBUZIONI</v>
      </c>
      <c r="Q83" s="259" t="str">
        <f ca="1">IF(IFERROR(INDEX($O$3:$P$220,MATCH(ROWS(Q$3:Q83),$P$3:$P$220,0),1),"")=0,"",IFERROR(INDEX($O$3:$P$220,MATCH(ROWS(Q$3:Q83),$P$3:$P$220,0),1),""))</f>
        <v/>
      </c>
      <c r="R83" s="259" t="str">
        <f t="shared" si="182"/>
        <v/>
      </c>
      <c r="S83" s="259">
        <f ca="1">IF(IFERROR(MATCH(R83,DENOMINAZIONE_GIORNALE,0),0)&gt;0,MAX(S$2:S82)+1,0)</f>
        <v>0</v>
      </c>
      <c r="T83" s="259" t="str">
        <f ca="1">IFERROR(INDEX($R$3:$S$220,MATCH(ROWS($T$3:T83),$S$3:$S$220,0),1),"")</f>
        <v/>
      </c>
      <c r="U83" s="259">
        <f t="shared" ca="1" si="183"/>
        <v>0</v>
      </c>
      <c r="V83" s="259">
        <f ca="1">IF(IF(U83&lt;&gt;0,MAX($V$2:V82)+1,0)=0,0,IF(U83&lt;&gt;0,MAX($V$2:V82)+1,0))</f>
        <v>0</v>
      </c>
      <c r="W83" s="259" t="str">
        <f t="shared" si="220"/>
        <v>13.30</v>
      </c>
      <c r="X83" s="259" t="str">
        <f t="shared" si="221"/>
        <v>DEBITI V/ALTRI FINANZIATORI</v>
      </c>
      <c r="Y83" s="259">
        <f>IF(W83="",0,MAX($Y$2:Y82)+1)</f>
        <v>69</v>
      </c>
      <c r="Z83" s="259" t="str">
        <f>IFERROR(INDEX($W$3:$Y$220,MATCH(ROWS($Z$2:Z82),$Y$3:$Y$220,0),1),"")</f>
        <v>15.06</v>
      </c>
      <c r="AA83" s="259" t="str">
        <f t="shared" si="222"/>
        <v>DEBITI V/ISTITUTI PREVIDENZIALI</v>
      </c>
      <c r="AB83" s="259" t="str">
        <f t="shared" si="223"/>
        <v>F</v>
      </c>
      <c r="AC83" s="259" t="str">
        <f t="shared" si="224"/>
        <v>A</v>
      </c>
      <c r="AD83" s="259" t="str">
        <f t="shared" si="225"/>
        <v>DEBITI</v>
      </c>
      <c r="AE83" s="259" t="str">
        <f t="shared" si="226"/>
        <v>SP AVERE</v>
      </c>
      <c r="AF83" s="259" t="str">
        <f t="shared" si="227"/>
        <v>DEBITI DIVERSI</v>
      </c>
      <c r="AG83" s="259">
        <f t="shared" ca="1" si="228"/>
        <v>0</v>
      </c>
      <c r="AH83" s="259">
        <f t="shared" ca="1" si="229"/>
        <v>0</v>
      </c>
      <c r="AI83" s="259">
        <f t="shared" ca="1" si="230"/>
        <v>1</v>
      </c>
      <c r="AJ83" s="259" t="str">
        <f t="shared" si="231"/>
        <v>15</v>
      </c>
      <c r="AK83" s="259" t="str">
        <f t="shared" si="232"/>
        <v/>
      </c>
      <c r="AL83" s="259">
        <f>IF(AK83&lt;&gt;"",MAX($AL$2:AL82)+1,0)</f>
        <v>0</v>
      </c>
      <c r="AM83" s="259" t="str">
        <f>IFERROR(INDEX($AK$3:$AL$220,MATCH(ROWS($AM$3:AM83),$AL$3:$AL$220,0),1),"")</f>
        <v/>
      </c>
      <c r="AN83" s="259" t="str">
        <f t="shared" si="233"/>
        <v/>
      </c>
      <c r="AO83" s="259" t="str">
        <f t="shared" si="234"/>
        <v/>
      </c>
      <c r="AP83" s="259" t="str">
        <f t="shared" si="235"/>
        <v>DEBITI DIVERSI</v>
      </c>
      <c r="AQ83" s="259">
        <f ca="1">IF(OR(AG83=0,AG83=""),0,MAX(AQ$2:AQ82)+1)</f>
        <v>0</v>
      </c>
      <c r="AR83" s="259">
        <f ca="1">IF(OR(AH83=0,AH83=""),0,MAX(AR$2:AR82)+1)</f>
        <v>0</v>
      </c>
      <c r="AS83" s="259">
        <f ca="1">IF(OR(AI83=0,AI83=""),0,MAX(AS$2:AS82)+1)</f>
        <v>79</v>
      </c>
      <c r="AT83" s="259" t="str">
        <f ca="1">IFERROR(INDEX($AD$3:$AS$220,MATCH(ROWS(AT$3:AT83),AQ$3:AQ$220,0),1),"")</f>
        <v>COSTI D'ESERCIZIO</v>
      </c>
      <c r="AU83" s="259" t="str">
        <f ca="1">IFERROR(INDEX($AD$3:$AS$220,MATCH(ROWS(AU$3:AU83),AR$3:AR$220,0),1),"")</f>
        <v>COSTI D'ESERCIZIO</v>
      </c>
      <c r="AV83" s="259" t="str">
        <f ca="1">IFERROR(INDEX($AD$3:$AS$220,MATCH(ROWS(AV$3:AV83),AS$3:AS$220,0),1),"")</f>
        <v>DEBITI</v>
      </c>
      <c r="AW83" s="259" t="str">
        <f ca="1">IFERROR(INDEX($AP$3:$AS$220,MATCH(ROWS(AW$3:AW83),AQ$3:AQ$220,0),1),"")</f>
        <v>ONERI DIVERSI</v>
      </c>
      <c r="AX83" s="259" t="str">
        <f ca="1">IFERROR(INDEX($AP$3:$AS$220,MATCH(ROWS(AX$3:AX83),AR$3:AR$220,0),1),"")</f>
        <v>COSTI PER MERCI E MATERIE DI CONSUMO</v>
      </c>
      <c r="AY83" s="259" t="str">
        <f ca="1">IFERROR(INDEX($AP$3:$AS$220,MATCH(ROWS(AY$3:AY83),AS$3:AS$220,0),1),"")</f>
        <v>DEBITI DIVERSI</v>
      </c>
      <c r="AZ83" s="276" t="str">
        <f t="shared" ca="1" si="236"/>
        <v/>
      </c>
      <c r="BA83" s="259">
        <f t="shared" ca="1" si="184"/>
        <v>0</v>
      </c>
      <c r="BB83" s="259">
        <f ca="1">IFERROR(INDEX($FG$3:$FL$400,MATCH(ROWS($BB$3:BB83),$FL$3:$FL$400,0),1),0)</f>
        <v>0</v>
      </c>
      <c r="BC83" s="259" t="str">
        <f t="shared" ca="1" si="237"/>
        <v/>
      </c>
      <c r="BD83" s="259">
        <f ca="1">IFERROR(INDEX($FG$3:$FL$400,MATCH(ROWS($BD$3:BD83),$FL$3:$FL$400,0),4),0)</f>
        <v>0</v>
      </c>
      <c r="BE83" s="259">
        <f ca="1">IFERROR(INDEX($FG$3:$FL$400,MATCH(ROWS($BE$3:BE83),$FL$3:$FL$400,0),5),0)</f>
        <v>0</v>
      </c>
      <c r="BG83" s="259" t="str">
        <f t="shared" si="185"/>
        <v>DEBITI V/ISTITUTI PREVIDENZIALI</v>
      </c>
      <c r="BH83" s="259">
        <f ca="1">IF(IFERROR(MATCH(BG83,DENOMINAZIONE_GIORNALE,0),0)&gt;0,MAX(BH$2:BH82)+1,0)</f>
        <v>0</v>
      </c>
      <c r="BI83" s="259" t="str">
        <f ca="1">IFERROR(INDEX($BG$3:$BH$220,MATCH(ROWS($BI$3:BI83),$BH$3:$BH$220,0),1),"")</f>
        <v/>
      </c>
      <c r="BJ83" s="259" t="str">
        <f t="shared" ca="1" si="186"/>
        <v/>
      </c>
      <c r="BK83" s="259" t="str">
        <f ca="1">IF(IF(BJ83&lt;&gt;"",MAX($BK$2:BK82)+1,0)=0,"",IF(BJ83&lt;&gt;"",MAX($BK$2:BK82)+1,0))</f>
        <v/>
      </c>
      <c r="BL83" s="259" t="str">
        <f ca="1">IFERROR(INDEX($T$3:$U$220, MATCH(ROWS(BL$3:BL83),$V$3:$V$220,0),1),"")</f>
        <v/>
      </c>
      <c r="BM83" s="259" t="str">
        <f ca="1">IFERROR(INDEX($T$3:$U$220, MATCH(ROWS(BM$3:BM83),$V$3:$V$220,0),2),"")</f>
        <v/>
      </c>
      <c r="BN83" s="259" t="str">
        <f ca="1">IF(IFERROR(INDEX($BI$3:$BJ$220,MATCH(ROWS(BN$3:BN83),$BK$3:$BK$220,0),1),"")="PATRIMONIO NETTO","",IFERROR(INDEX($BI$3:$BJ$220,MATCH(ROWS(BN$3:BN83),$BK$3:$BK$220,0),1),""))</f>
        <v/>
      </c>
      <c r="BO83" s="259" t="str">
        <f ca="1">IFERROR(INDEX($BI$3:$BJ$220,MATCH(ROWS(BO$3:BO83),$BK$3:$BK$220,0),2),"")</f>
        <v/>
      </c>
      <c r="BP83" s="259">
        <f ca="1">IF(BN83&lt;&gt;"",MAX(BP$2:$BP82)+1,0)</f>
        <v>0</v>
      </c>
      <c r="BQ83" s="259" t="str">
        <f ca="1">IFERROR(INDEX($BN$3:$BO$200,MATCH(ROWS(BQ$3:BQ83),$BP$3:$BP$220,0),1),"")</f>
        <v/>
      </c>
      <c r="BR83" s="259" t="str">
        <f ca="1">IFERROR(INDEX($BN$3:$BO$220,MATCH(ROWS(BR$3:BR83),$BP$3:$BP$220,0),2),"")</f>
        <v/>
      </c>
      <c r="BS83" s="259" t="str">
        <f ca="1">IFERROR(IF(OR(INDEX($T$3:$U$220,MATCH(ROWS(BL$3:BL83),$V$3:$V$220,0),1)="PRELEVAMENTI EXTRAGESTIONE",INDEX($T$3:$U$220,MATCH(ROWS(BL$3:BL83),$V$3:$V$220,0),1)="TITOLARE C/RITENUTE SUBITE"),"",INDEX($T$3:$U$220,MATCH(ROWS(BL$3:BL83),$V$3:$V$220,0),1)),"")</f>
        <v/>
      </c>
      <c r="BT83" s="259">
        <f t="shared" ca="1" si="238"/>
        <v>0</v>
      </c>
      <c r="BU83" s="259">
        <f ca="1">IF(BS83&lt;&gt;"",MAX(BU$2:BU82)+1,0)</f>
        <v>0</v>
      </c>
      <c r="BV83" s="259" t="str">
        <f ca="1">IFERROR(INDEX($BS$3:$BT$223,MATCH(ROWS(BV$3:BV83),$BU$3:$BU$223,0),1),"")</f>
        <v/>
      </c>
      <c r="BW83" s="259">
        <f t="shared" ca="1" si="239"/>
        <v>0</v>
      </c>
      <c r="BX83" s="259" t="str">
        <f t="shared" ca="1" si="240"/>
        <v/>
      </c>
      <c r="BY83" s="259" t="str">
        <f t="shared" ca="1" si="241"/>
        <v/>
      </c>
      <c r="BZ83" s="259" t="str">
        <f ca="1">IFERROR(IF(OR($DS$231&lt;&gt;$DT$231,$DU$231&lt;&gt;$DV$231,$EO$25&lt;&gt;0,$EO$26&lt;&gt;0),INDEX($T$3:$V$220,MATCH(ROWS($BV$3:BV83),$V$3:$V$220,0),1),CONCATENATE(BV83,BY83)),"")</f>
        <v/>
      </c>
      <c r="CA83" s="259">
        <f t="shared" ca="1" si="242"/>
        <v>0</v>
      </c>
      <c r="CB83" s="259" t="str">
        <f ca="1">IFERROR(IF(OR($BB$1&lt;&gt;$BD$1,$BC$1&lt;&gt;$BE$1,$DS$231&lt;&gt;$DT$231,$DU$231&lt;&gt;$DV$231,$EO$25&lt;&gt;0,$EO$26&lt;&gt;0),INDEX($BI$3:$BK$220,MATCH(ROWS($CB$3:CB83),$BK$3:$BK$220,0),1),CONCATENATE(BQ83,BX83)),"")</f>
        <v/>
      </c>
      <c r="CC83" s="259" t="str">
        <f t="shared" ca="1" si="243"/>
        <v/>
      </c>
      <c r="CD83" s="259" t="str">
        <f t="shared" si="187"/>
        <v/>
      </c>
      <c r="CE83" s="259">
        <f ca="1">IF(IFERROR(MATCH(CD83,DENOMINAZIONE_GIORNALE,0),0)&gt;0,MAX(CE$2:CE82)+1,0)</f>
        <v>0</v>
      </c>
      <c r="CF83" s="259" t="str">
        <f ca="1">IFERROR(INDEX($CD$3:$CE$220,MATCH(ROWS($CF$3:CF83),$CE$3:$CE$220,0),1),"")</f>
        <v/>
      </c>
      <c r="CG83" s="259">
        <f t="shared" ca="1" si="188"/>
        <v>0</v>
      </c>
      <c r="CH83" s="259" t="str">
        <f ca="1">IF(IF(CG83&lt;&gt;0,MAX($CH$2:CH82)+1,0)=0,"",IF(CG83&lt;&gt;"",MAX($CH$2:CH82)+1,0))</f>
        <v/>
      </c>
      <c r="CI83" s="259" t="str">
        <f ca="1">IFERROR(INDEX($CF$3:$CG$220,MATCH(ROWS($CI$3:CI83),$CH$3:$CH$220,0),1),"")</f>
        <v/>
      </c>
      <c r="CJ83" s="259" t="str">
        <f t="shared" ca="1" si="244"/>
        <v/>
      </c>
      <c r="CK83" s="259" t="str">
        <f t="shared" si="189"/>
        <v/>
      </c>
      <c r="CL83" s="259">
        <f ca="1">IF(IFERROR(MATCH(CK83,DENOMINAZIONE_GIORNALE,0),0)&gt;0,MAX(CL$2:CL82)+1,0)</f>
        <v>0</v>
      </c>
      <c r="CM83" s="259" t="str">
        <f ca="1">IFERROR(INDEX($CK$3:$CL$220,MATCH(ROWS($CM$3:CM83),$CL$3:$CL$220,0),1),"")</f>
        <v/>
      </c>
      <c r="CN83" s="259" t="str">
        <f t="shared" ca="1" si="190"/>
        <v/>
      </c>
      <c r="CO83" s="259">
        <f ca="1">IF(IF(CN83&lt;&gt;0,MAX($CO$2:CO82)+1,0)=0,"",IF(CN83&lt;&gt;"",MAX($CO$2:CO82)+1,0))</f>
        <v>0</v>
      </c>
      <c r="CP83" s="259" t="str">
        <f ca="1">IFERROR(INDEX($CM$3:$CN$220,MATCH(ROWS(CP$3:CP83),$CO$3:$CO$220,0),1),"")</f>
        <v/>
      </c>
      <c r="CQ83" s="259" t="str">
        <f ca="1">IFERROR(INDEX($CM$3:$CN$220,MATCH(ROWS(CQ$3:CQ83),$CO$3:$CO$220,0),2),"")</f>
        <v/>
      </c>
      <c r="CR83" s="259" t="str">
        <f t="shared" ca="1" si="191"/>
        <v/>
      </c>
      <c r="CS83" s="259">
        <f t="shared" ca="1" si="192"/>
        <v>0</v>
      </c>
      <c r="CT83" s="259">
        <f t="shared" ca="1" si="193"/>
        <v>0</v>
      </c>
      <c r="CU83" s="259">
        <f ca="1">IF(OR(CS83&gt;0,CT83&gt;0),MAX($CU$2:CU82)+1,0)</f>
        <v>0</v>
      </c>
      <c r="CV83" s="259" t="str">
        <f ca="1">IFERROR(INDEX(PIANO_DEI_CONTI,MATCH(ROWS($CV$3:CV83),$CU$3:$CU$200,0),2),"")</f>
        <v/>
      </c>
      <c r="CW83" s="259">
        <f ca="1">IFERROR(IF(CV83&lt;&gt;"",MAX($CW$2:CW82)+1,0),0)</f>
        <v>0</v>
      </c>
      <c r="CX83" s="259">
        <f t="shared" ca="1" si="315"/>
        <v>5</v>
      </c>
      <c r="CY83" s="259" t="str">
        <f t="shared" ca="1" si="308"/>
        <v>MASTRO</v>
      </c>
      <c r="CZ83" s="259" t="e">
        <f t="shared" ca="1" si="317"/>
        <v>#N/A</v>
      </c>
      <c r="DA83" s="259" t="str">
        <f t="shared" ca="1" si="322"/>
        <v/>
      </c>
      <c r="DB83" s="259" t="str">
        <f t="shared" ca="1" si="318"/>
        <v/>
      </c>
      <c r="DC83" s="259" t="str">
        <f t="shared" ca="1" si="319"/>
        <v/>
      </c>
      <c r="DD83" s="259" t="str">
        <f t="shared" ca="1" si="320"/>
        <v/>
      </c>
      <c r="DE83" s="259" t="str">
        <f t="shared" ca="1" si="321"/>
        <v/>
      </c>
      <c r="DF83" s="259">
        <f ca="1">IF(AND(CX83=$DE$2,$DF$2&lt;&gt;0),0,IF(AND(DB83&lt;&gt;"",OR(DB82&lt;&gt;"",DB84&lt;&gt;"")),MAX($DF$2:DF82)+1,0))</f>
        <v>0</v>
      </c>
      <c r="DG83" s="259" t="str">
        <f>IF(OR(VALORI_INIZIALI!E88="",AND(VALORI_INIZIALI!E88&lt;&gt;"",VALORI_INIZIALI!H88=0,VALORI_INIZIALI!I88=0)),"",IFERROR(INDEX(PIANO_DEI_CONTI,MATCH(BB83,DENOMINAZIONE,0),1),0))</f>
        <v/>
      </c>
      <c r="DH83" s="259">
        <f ca="1">IFERROR(IF($J$1=1,IF(INDEX(PIANO_DEI_CONTI,MATCH($K83,DENOMINAZIONE,0),5)=$DF$1,MAX($DH$2:DH82)+1,0),IF($J$1=2,IF(INDEX(PIANO_DEI_CONTI,MATCH($K83,DENOMINAZIONE,0),7)=$DF$1,MAX($DH$2:DH82)+1,0))),0)</f>
        <v>0</v>
      </c>
      <c r="DI83" s="259">
        <f ca="1">IFERROR(INDEX($K$3:$K$220,MATCH(ROWS($DI$3:DI83),$DH$3:$DH$220,0),1),0)</f>
        <v>0</v>
      </c>
      <c r="DJ83" s="259">
        <f t="shared" ca="1" si="194"/>
        <v>0</v>
      </c>
      <c r="DK83" s="259">
        <f ca="1">IF(DJ83=0,0,MAX(DK$2:DK82)+1)</f>
        <v>0</v>
      </c>
      <c r="DL83" s="259">
        <f ca="1">IFERROR(INDEX(PIANO_DEI_CONTI,MATCH(ROWS(DL$3:DL83),$DK$3:DK310,0),2),0)</f>
        <v>0</v>
      </c>
      <c r="DM83" s="259">
        <f t="shared" ca="1" si="195"/>
        <v>0</v>
      </c>
      <c r="DN83" s="259">
        <f t="shared" ca="1" si="196"/>
        <v>0</v>
      </c>
      <c r="DO83" s="259">
        <f t="shared" ca="1" si="245"/>
        <v>0</v>
      </c>
      <c r="DP83" s="259">
        <f t="shared" ca="1" si="246"/>
        <v>0</v>
      </c>
      <c r="DQ83" s="259">
        <f ca="1">IF(OR($DQ$1="TOTALI",$DQ$1="TOTALI ED ECCEDENZE"),IF(OR(DM83&gt;0,DN83&gt;0),MAX(DQ$2:DQ82)+1,0),IF($DQ$1="ECCEDENZE",IF(OR(DO83&gt;0,DP83&gt;0),MAX(DQ$2:DQ82)+1,0),""))</f>
        <v>0</v>
      </c>
      <c r="DR83" s="259" t="str">
        <f ca="1">IFERROR(INDEX($DL$3:$DQ$230,MATCH(ROWS(DR$3:DR83),$DQ$3:$DQ$230,0),1),"")</f>
        <v/>
      </c>
      <c r="DS83" s="259" t="str">
        <f t="shared" ca="1" si="247"/>
        <v/>
      </c>
      <c r="DT83" s="259" t="str">
        <f t="shared" ca="1" si="248"/>
        <v/>
      </c>
      <c r="DU83" s="259" t="str">
        <f t="shared" ca="1" si="249"/>
        <v/>
      </c>
      <c r="DV83" s="259" t="str">
        <f t="shared" ca="1" si="250"/>
        <v/>
      </c>
      <c r="DW83" s="259">
        <f t="shared" ca="1" si="251"/>
        <v>0</v>
      </c>
      <c r="DX83" s="259" t="str">
        <f t="shared" ca="1" si="252"/>
        <v/>
      </c>
      <c r="DY83" s="259" t="str">
        <f t="shared" ca="1" si="253"/>
        <v/>
      </c>
      <c r="DZ83" s="259" t="str">
        <f t="shared" ca="1" si="254"/>
        <v/>
      </c>
      <c r="EA83" s="259">
        <f t="shared" ca="1" si="255"/>
        <v>81</v>
      </c>
      <c r="EB83" s="259" t="s">
        <v>361</v>
      </c>
      <c r="ED83" s="259">
        <f t="shared" ca="1" si="197"/>
        <v>0</v>
      </c>
      <c r="EE83" s="259" t="str">
        <f t="shared" ca="1" si="198"/>
        <v/>
      </c>
      <c r="EF83" s="259" t="str">
        <f t="shared" ca="1" si="199"/>
        <v/>
      </c>
      <c r="EG83" s="259" t="str">
        <f t="shared" ca="1" si="309"/>
        <v/>
      </c>
      <c r="EH83" s="259" t="str">
        <f t="shared" ca="1" si="256"/>
        <v/>
      </c>
      <c r="EI83" s="260" t="b">
        <f t="shared" ca="1" si="310"/>
        <v>0</v>
      </c>
      <c r="EJ83" s="260" t="b">
        <f t="shared" ca="1" si="311"/>
        <v>0</v>
      </c>
      <c r="EK83" s="260" t="b">
        <f t="shared" ca="1" si="312"/>
        <v>1</v>
      </c>
      <c r="EL83" s="259">
        <f t="shared" si="257"/>
        <v>81</v>
      </c>
      <c r="EM83" s="259">
        <f ca="1">IF(AND(BA83&gt;0,BA83&lt;=$EM$1),MAX($EM$2:EM82)+1,0)</f>
        <v>0</v>
      </c>
      <c r="EN83" s="259">
        <f t="shared" ca="1" si="258"/>
        <v>83</v>
      </c>
      <c r="EP83" s="259" t="str">
        <f t="shared" ca="1" si="200"/>
        <v/>
      </c>
      <c r="EQ83" s="259">
        <f t="shared" ca="1" si="201"/>
        <v>0</v>
      </c>
      <c r="ER83" s="259">
        <f ca="1">IF(ISNA(EQ83),MAX(ER$2:ER82)+1,0)</f>
        <v>0</v>
      </c>
      <c r="ES83" s="259" t="str">
        <f t="shared" ca="1" si="259"/>
        <v/>
      </c>
      <c r="ET83" s="259" t="str">
        <f ca="1">IFERROR(UPPER(INDEX($ER$3:$ES$500,MATCH(ROWS(ET$3:ET83),$ER$3:$ER$500,0),2)),"")</f>
        <v/>
      </c>
      <c r="EY83" s="259">
        <f t="shared" ca="1" si="260"/>
        <v>0</v>
      </c>
      <c r="EZ83" s="259">
        <f t="shared" ca="1" si="260"/>
        <v>0</v>
      </c>
      <c r="FA83" s="259" t="str">
        <f t="shared" ca="1" si="261"/>
        <v/>
      </c>
      <c r="FB83" s="259">
        <f t="shared" ca="1" si="262"/>
        <v>0</v>
      </c>
      <c r="FC83" s="259">
        <f t="shared" ca="1" si="263"/>
        <v>0</v>
      </c>
      <c r="FD83" s="259">
        <f t="shared" ca="1" si="202"/>
        <v>0</v>
      </c>
      <c r="FE83" s="259" t="str">
        <f t="shared" ca="1" si="203"/>
        <v/>
      </c>
      <c r="FF83" s="259" t="str">
        <f t="shared" ca="1" si="264"/>
        <v/>
      </c>
      <c r="FG83" s="259" t="str">
        <f t="shared" si="265"/>
        <v>DEBITI V/ISTITUTI PREVIDENZIALI</v>
      </c>
      <c r="FH83" s="259">
        <f t="shared" ca="1" si="156"/>
        <v>0</v>
      </c>
      <c r="FI83" s="259">
        <f t="shared" ca="1" si="204"/>
        <v>0</v>
      </c>
      <c r="FJ83" s="259">
        <f t="shared" ca="1" si="266"/>
        <v>0</v>
      </c>
      <c r="FK83" s="259">
        <f t="shared" ca="1" si="267"/>
        <v>0</v>
      </c>
      <c r="FL83" s="259">
        <f ca="1">IF(OR(FJ83&gt;0,FK83&gt;0),MAX($FL$2:FL82)+1,0)</f>
        <v>0</v>
      </c>
      <c r="FM83" s="259">
        <f t="shared" ca="1" si="205"/>
        <v>0</v>
      </c>
      <c r="FN83" s="259">
        <f ca="1">IF(FM83&lt;0,MAX($FN$2:FN82)+1,0)</f>
        <v>0</v>
      </c>
      <c r="FO83" s="259" t="str">
        <f t="shared" ca="1" si="268"/>
        <v/>
      </c>
      <c r="FP83" s="259" t="str">
        <f ca="1">IFERROR(INDEX($FN$3:$FO$400,MATCH(ROWS($FP$3:FP83),$FN$3:$FN$400,0),2),"")</f>
        <v/>
      </c>
      <c r="FQ83" s="259" t="str">
        <f>IF(AE83="SE AVERE",MAX($FQ$2:FQ82)+1,"")</f>
        <v/>
      </c>
      <c r="FR83" s="259" t="str">
        <f>IF(AE83="SE DARE",MAX($FR$2:FR82)+1,"")</f>
        <v/>
      </c>
      <c r="FS83" s="259" t="str">
        <f ca="1">IF(AND(AE83="SP DARE",AA83&lt;&gt;$FS$1,AA83&lt;&gt;$FT$1),MAX($FS$2:FS82)+1,IF(AND(GQ83="SP DARE",AA83&lt;&gt;$FS$1,AA83&lt;&gt;$FT$1),MAX($FS$2:FS82)+1,""))</f>
        <v/>
      </c>
      <c r="FT83" s="259">
        <f ca="1">IF(AND(AE83="SP AVERE",AA83&lt;&gt;$FU$1),MAX($FT$2:FT82)+1,IF(AND(GQ83="SP AVERE",AA83&lt;&gt;$FU$1),MAX($FT$2:FT82)+1,""))</f>
        <v>165</v>
      </c>
      <c r="FU83" s="259">
        <f t="shared" ca="1" si="269"/>
        <v>165</v>
      </c>
      <c r="FV83" s="259" t="str">
        <f t="shared" si="270"/>
        <v>DEBITI V/ISTITUTI PREVIDENZIALI</v>
      </c>
      <c r="FW83" s="259">
        <f ca="1">IFERROR(INDEX($FU$3:$FV$500,MATCH(ROWS($FW$3:FW83),$FU$3:$FU$500,0),2),0)</f>
        <v>0</v>
      </c>
      <c r="FX83" s="259">
        <f t="shared" ca="1" si="271"/>
        <v>0</v>
      </c>
      <c r="FY83" s="259">
        <f t="shared" ca="1" si="272"/>
        <v>81</v>
      </c>
      <c r="FZ83" s="259">
        <f ca="1">IF(FY83&gt;0,MAX($FZ$2:FZ82)+1,0)</f>
        <v>7</v>
      </c>
      <c r="GA83" s="259">
        <f ca="1">IFERROR(INDEX($FY$3:$FZ$500,MATCH(ROWS($GA$3:GA83),$FZ$3:$FZ$500,0),1),0)</f>
        <v>0</v>
      </c>
      <c r="GC83" s="259">
        <f t="shared" ca="1" si="273"/>
        <v>81</v>
      </c>
      <c r="GD83" s="259" t="str">
        <f t="shared" ca="1" si="274"/>
        <v>UTILE D'ESERCIZIO</v>
      </c>
      <c r="GG83" s="259">
        <f t="shared" ca="1" si="275"/>
        <v>0</v>
      </c>
      <c r="GH83" s="259">
        <f t="shared" ca="1" si="276"/>
        <v>0</v>
      </c>
      <c r="GI83" s="259">
        <f t="shared" ca="1" si="277"/>
        <v>0</v>
      </c>
      <c r="GJ83" s="259">
        <f t="shared" ca="1" si="278"/>
        <v>0</v>
      </c>
      <c r="GK83" s="259">
        <f t="shared" ca="1" si="279"/>
        <v>0</v>
      </c>
      <c r="GL83" s="259">
        <f t="shared" ca="1" si="280"/>
        <v>0</v>
      </c>
      <c r="GM83" s="259">
        <f ca="1">IF(OR(GK83&gt;0,GL83&gt;0),MAX($GM$2:GM82)+1,0)</f>
        <v>0</v>
      </c>
      <c r="GN83" s="259" t="str">
        <f ca="1">IFERROR(INDEX($GD$3:$GM$400,MATCH(ROWS($GN$3:GN83),$GM$3:$GM$400,0),1),"")</f>
        <v/>
      </c>
      <c r="GO83" s="259" t="str">
        <f ca="1">IFERROR(INDEX($GD$3:$GM$400,MATCH(ROWS($GO$3:GO83),$GM$3:$GM$400,0),8),"")</f>
        <v/>
      </c>
      <c r="GP83" s="259" t="str">
        <f ca="1">IFERROR(INDEX($GD$3:$GM$400,MATCH(ROWS($GP$3:GP83),$GM$3:$GM$400,0),9),"")</f>
        <v/>
      </c>
      <c r="GQ83" s="259">
        <f t="shared" ca="1" si="206"/>
        <v>0</v>
      </c>
      <c r="GR83" s="259">
        <f t="shared" ca="1" si="281"/>
        <v>0</v>
      </c>
      <c r="GS83" s="259" t="str">
        <f t="shared" ca="1" si="282"/>
        <v>capitalizzato l'utile conseguito</v>
      </c>
      <c r="GT83" s="259" t="str">
        <f ca="1">IFERROR(INDEX($GD$3:$GS$400,MATCH(ROWS($GT$3:GT83),$GM$3:$GM$400,0),16),"")</f>
        <v/>
      </c>
      <c r="GU83" s="259">
        <f ca="1">IF(GQ83&lt;&gt;0,MAX($GU$2:$GU82)+1,0)</f>
        <v>0</v>
      </c>
      <c r="GV83" s="259">
        <f t="shared" ca="1" si="283"/>
        <v>0</v>
      </c>
      <c r="GW83" s="259" t="str">
        <f ca="1">IF(AND(IFERROR(INDEX($GU$3:$GV$400,MATCH(ROWS($GW$3:GW83),$GU$3:$GU$400,0),2),"")&lt;&gt;"",GW84&lt;&gt;""),CONCATENATE(IFERROR(INDEX($GU$3:$GV$400,MATCH(ROWS($GW$3:GW83),$GU$3:$GU$400,0),2),"")," - "),IFERROR(INDEX($GU$3:$GV$400,MATCH(ROWS($GW$3:GW83),$GU$3:$GU$400,0),2),""))</f>
        <v/>
      </c>
      <c r="GX83" s="259">
        <f ca="1">IF(OR(GN83="IVA NS/CREDITO",GN83="IVA NS/DEBITO",GN83="IVA C/ACCONTO",GN83="IMPOSTE C/ACCONTO"),MAX($GX$2:GX82)+1,0)</f>
        <v>0</v>
      </c>
      <c r="GY83" s="259" t="str">
        <f ca="1">IF(AND(IFERROR(INDEX($GN$3:$GX$200,MATCH(ROWS($GY$3:GY83),$GX$3:$GX$200,0),1),"")&lt;&gt;"",GY84&lt;&gt;""),CONCATENATE(IFERROR(INDEX($GN$3:$GX$200,MATCH(ROWS($GY$3:GY83),$GX$3:$GX$200,0),1),"")," - "),IFERROR(INDEX($GN$3:$GX$200,MATCH(ROWS($GY$3:GY83),$GX$3:$GX$200,0),1),""))</f>
        <v/>
      </c>
      <c r="GZ83" s="259" t="s">
        <v>639</v>
      </c>
      <c r="HA83" s="259" t="s">
        <v>528</v>
      </c>
      <c r="HB83" s="269" t="s">
        <v>257</v>
      </c>
      <c r="HC83" s="269" t="s">
        <v>211</v>
      </c>
      <c r="HD83" s="269" t="s">
        <v>5</v>
      </c>
      <c r="HE83" s="269" t="s">
        <v>212</v>
      </c>
      <c r="HL83" s="259" t="str">
        <f t="shared" ca="1" si="207"/>
        <v/>
      </c>
      <c r="HM83" s="259" t="str">
        <f t="shared" ca="1" si="208"/>
        <v/>
      </c>
      <c r="HN83" s="259" t="str">
        <f t="shared" ca="1" si="209"/>
        <v/>
      </c>
      <c r="HO83" s="259">
        <f ca="1">IF(HL83&lt;&gt;"",MAX($HO$2:HO82)+1,0)</f>
        <v>0</v>
      </c>
      <c r="HP83" s="259">
        <f ca="1">IF(HM83&lt;&gt;"",MAX($HP$2:HP82)+1,0)</f>
        <v>0</v>
      </c>
      <c r="HQ83" s="259">
        <f ca="1">IF(HN83&lt;&gt;"",MAX($HQ$2:HQ82)+1,0)</f>
        <v>0</v>
      </c>
      <c r="HR83" s="259" t="str">
        <f t="shared" ca="1" si="284"/>
        <v/>
      </c>
      <c r="HS83" s="259" t="str">
        <f t="shared" ca="1" si="285"/>
        <v/>
      </c>
      <c r="HT83" s="259">
        <f t="shared" ca="1" si="286"/>
        <v>0</v>
      </c>
      <c r="HU83" s="259">
        <f t="shared" ca="1" si="287"/>
        <v>0</v>
      </c>
      <c r="HV83" s="259" t="str">
        <f ca="1">CONCATENATE(IFERROR(INDEX($HS$3:$HT$102,MATCH(ROWS($HV$3:HV83),$HT$3:$HT$102,0),1),""),HR83)</f>
        <v/>
      </c>
      <c r="IA83" s="259" t="s">
        <v>395</v>
      </c>
      <c r="IB83" s="259" t="s">
        <v>342</v>
      </c>
      <c r="IC83" s="259">
        <f ca="1">IFERROR(INDEX(PIANO_DEI_CONTI,MATCH(ROWS(DL$3:DL83),$DK$3:DK310,0),2),0)</f>
        <v>0</v>
      </c>
      <c r="ID83" s="259">
        <f t="shared" ca="1" si="288"/>
        <v>0</v>
      </c>
      <c r="IE83" s="259">
        <f t="shared" ca="1" si="289"/>
        <v>0</v>
      </c>
      <c r="IF83" s="259">
        <f t="shared" ca="1" si="290"/>
        <v>0</v>
      </c>
      <c r="IG83" s="259">
        <f t="shared" ca="1" si="323"/>
        <v>0</v>
      </c>
      <c r="IH83" s="259">
        <f ca="1">IF(IG83&lt;&gt;0,MAX($IH$35:IH82)+1,0)</f>
        <v>0</v>
      </c>
      <c r="II83" s="259">
        <f>IF(AD83="costi pluriennali",MAX($II$2:II82)+1,0)</f>
        <v>0</v>
      </c>
      <c r="IJ83" s="259">
        <f>IF($AD83="rettifiche costi pluriennali",MAX($IJ$2:IJ82)+1,0)</f>
        <v>0</v>
      </c>
      <c r="IK83" s="259">
        <f t="shared" si="291"/>
        <v>0</v>
      </c>
      <c r="IL83" s="259" t="str">
        <f t="shared" si="292"/>
        <v/>
      </c>
      <c r="IM83" s="259">
        <f t="shared" ca="1" si="293"/>
        <v>0</v>
      </c>
      <c r="IN83" s="259">
        <f t="shared" ca="1" si="313"/>
        <v>0</v>
      </c>
      <c r="IO83" s="259">
        <f>SUMIFS($IM$3:$IM$200,$IK$3:$IK$200,ROWS($IO$3:IO83))-SUMIFS($IN$3:$IN$200,$IK$3:$IK$200,ROWS($IO$3:IO83))</f>
        <v>0</v>
      </c>
      <c r="IP83" s="259" t="str">
        <f>IF(IO83&lt;0,INDEX($IJ$3:$IL$200,MATCH(ROWS($IP$3:IP83),$IJ$3:$IJ$200,0),3),"")</f>
        <v/>
      </c>
      <c r="IQ83" s="259">
        <f>IF(IP83&lt;&gt;"",MAX($IQ$2:IQ82)+1,0)</f>
        <v>0</v>
      </c>
      <c r="IR83" s="259" t="str">
        <f ca="1">IFERROR(INDEX($IP$3:$IQ$200,MATCH(ROWS($IR$3:IR83),$IQ$3:$IQ$200,0),1),"")</f>
        <v/>
      </c>
      <c r="IS83" s="259" t="str">
        <f t="shared" ca="1" si="294"/>
        <v/>
      </c>
      <c r="IT83" s="259" t="str">
        <f t="shared" ca="1" si="295"/>
        <v/>
      </c>
      <c r="IU83" s="259" t="str">
        <f t="shared" ca="1" si="296"/>
        <v/>
      </c>
      <c r="IV83" s="259" t="str">
        <f t="shared" ca="1" si="297"/>
        <v/>
      </c>
      <c r="IW83" s="259" t="str">
        <f t="shared" ca="1" si="298"/>
        <v/>
      </c>
      <c r="IX83" s="259" t="str">
        <f t="shared" ca="1" si="299"/>
        <v/>
      </c>
      <c r="IY83" s="259" t="str">
        <f t="shared" ca="1" si="300"/>
        <v/>
      </c>
      <c r="IZ83" s="259" t="str">
        <f t="shared" ca="1" si="301"/>
        <v/>
      </c>
      <c r="JA83" s="259" t="str">
        <f t="shared" ca="1" si="302"/>
        <v/>
      </c>
      <c r="JB83" s="259">
        <f t="shared" ca="1" si="210"/>
        <v>0</v>
      </c>
      <c r="JC83" s="259">
        <f t="shared" ca="1" si="303"/>
        <v>0</v>
      </c>
      <c r="JE83" s="259">
        <f ca="1">IFERROR(INDEX(LIBRO_GIORNALE!$N$11:$O$408,MATCH(ROWS($JE$2:JE82),LIBRO_GIORNALE!$O$11:$O$408,0),1),0)</f>
        <v>0</v>
      </c>
      <c r="JF83" s="259" t="str">
        <f t="shared" ca="1" si="304"/>
        <v>0</v>
      </c>
      <c r="JG83" s="259">
        <f t="shared" ca="1" si="305"/>
        <v>0</v>
      </c>
      <c r="JH83" s="259">
        <f ca="1">IF(JJ83&gt;0,0,MAX($JH$2:JH82)+1)</f>
        <v>81</v>
      </c>
      <c r="JI83" s="259">
        <f ca="1">IF(JG83&gt;0,MAX($JI$2:JI82)+1,0)</f>
        <v>0</v>
      </c>
      <c r="JJ83" s="259">
        <f ca="1">IFERROR(INDEX($JG$3:$JI$124,MATCH(ROWS($JJ$3:JJ83),$JI$3:$JI$124,0),1),0)</f>
        <v>0</v>
      </c>
      <c r="JK83" s="259">
        <f t="shared" ca="1" si="306"/>
        <v>0</v>
      </c>
      <c r="JL83" s="259">
        <f t="shared" ca="1" si="307"/>
        <v>81</v>
      </c>
    </row>
    <row r="84" spans="1:272">
      <c r="A84" s="259" t="str">
        <f t="shared" si="211"/>
        <v>14.00</v>
      </c>
      <c r="B84" s="259" t="str">
        <f t="shared" si="212"/>
        <v>DEBITI COMMERCIALI</v>
      </c>
      <c r="C84" s="259">
        <f t="shared" si="213"/>
        <v>0</v>
      </c>
      <c r="D84" s="259">
        <f t="shared" si="214"/>
        <v>0</v>
      </c>
      <c r="E84" s="259">
        <f t="shared" si="215"/>
        <v>0</v>
      </c>
      <c r="F84" s="259">
        <f t="shared" si="216"/>
        <v>0</v>
      </c>
      <c r="G84" s="259">
        <f t="shared" ca="1" si="217"/>
        <v>0</v>
      </c>
      <c r="H84" s="259">
        <f t="shared" ca="1" si="218"/>
        <v>0</v>
      </c>
      <c r="I84" s="259">
        <f t="shared" ca="1" si="219"/>
        <v>0</v>
      </c>
      <c r="K84" s="259" t="str">
        <f ca="1">IFERROR(IF($I$1=1,INDEX($AA$3:$AS$220,MATCH(ROWS($K$3:K84),$AQ$3:$AQ$220,0),1),IF($I$1=2,INDEX($AA$3:$AS$220,MATCH(ROWS($K$3:K84),$AR$3:$AR$220,0),1),IF($I$1=3,INDEX($AA$3:$AS$220,MATCH(ROWS($K$3:K84),$AS$3:$AS$220,0),1),""))),"")</f>
        <v>PERSONALE C/LIQUIDAZIONE</v>
      </c>
      <c r="L84" s="259">
        <f ca="1">IF(AND($L$1="VISUALIZZA TUTTI I CONTI",K84&lt;&gt;""),MAX(L83:L83)+1,IFERROR(IF($J$1=1,IF(INDEX(PIANO_DEI_CONTI,MATCH($K84,DENOMINAZIONE,0),5)=$L$1,MAX($L$2:L83)+1,0),IF($J$1=2,IF(INDEX(PIANO_DEI_CONTI,MATCH($K84,DENOMINAZIONE,0),7)=$L$1,MAX($L$2:L83)+1,0))),0))</f>
        <v>82</v>
      </c>
      <c r="M84" s="259" t="str">
        <f ca="1">IFERROR(INDEX($K$3:$K$220,MATCH(ROWS($M$3:M84),$L$3:$L$220,0),1),"")</f>
        <v>PERSONALE C/LIQUIDAZIONE</v>
      </c>
      <c r="Q84" s="259" t="str">
        <f ca="1">IF(IFERROR(INDEX($O$3:$P$220,MATCH(ROWS(Q$3:Q84),$P$3:$P$220,0),1),"")=0,"",IFERROR(INDEX($O$3:$P$220,MATCH(ROWS(Q$3:Q84),$P$3:$P$220,0),1),""))</f>
        <v/>
      </c>
      <c r="R84" s="259" t="str">
        <f t="shared" si="182"/>
        <v/>
      </c>
      <c r="S84" s="259">
        <f ca="1">IF(IFERROR(MATCH(R84,DENOMINAZIONE_GIORNALE,0),0)&gt;0,MAX(S$2:S83)+1,0)</f>
        <v>0</v>
      </c>
      <c r="T84" s="259" t="str">
        <f ca="1">IFERROR(INDEX($R$3:$S$220,MATCH(ROWS($T$3:T84),$S$3:$S$220,0),1),"")</f>
        <v/>
      </c>
      <c r="U84" s="259">
        <f t="shared" ca="1" si="183"/>
        <v>0</v>
      </c>
      <c r="V84" s="259">
        <f ca="1">IF(IF(U84&lt;&gt;0,MAX($V$2:V83)+1,0)=0,0,IF(U84&lt;&gt;0,MAX($V$2:V83)+1,0))</f>
        <v>0</v>
      </c>
      <c r="W84" s="259" t="str">
        <f t="shared" si="220"/>
        <v/>
      </c>
      <c r="X84" s="259" t="str">
        <f t="shared" si="221"/>
        <v/>
      </c>
      <c r="Y84" s="259">
        <f>IF(W84="",0,MAX($Y$2:Y83)+1)</f>
        <v>0</v>
      </c>
      <c r="Z84" s="259" t="str">
        <f>IFERROR(INDEX($W$3:$Y$220,MATCH(ROWS($Z$2:Z83),$Y$3:$Y$220,0),1),"")</f>
        <v>15.07</v>
      </c>
      <c r="AA84" s="259" t="str">
        <f t="shared" si="222"/>
        <v>DEBITI PER CAUZIONI</v>
      </c>
      <c r="AB84" s="259" t="str">
        <f t="shared" si="223"/>
        <v>F</v>
      </c>
      <c r="AC84" s="259" t="str">
        <f t="shared" si="224"/>
        <v>A</v>
      </c>
      <c r="AD84" s="259" t="str">
        <f t="shared" si="225"/>
        <v>DEBITI</v>
      </c>
      <c r="AE84" s="259" t="str">
        <f t="shared" si="226"/>
        <v>SP AVERE</v>
      </c>
      <c r="AF84" s="259" t="str">
        <f t="shared" si="227"/>
        <v>DEBITI DIVERSI</v>
      </c>
      <c r="AG84" s="259">
        <f t="shared" ca="1" si="228"/>
        <v>1</v>
      </c>
      <c r="AH84" s="259">
        <f t="shared" ca="1" si="229"/>
        <v>1</v>
      </c>
      <c r="AI84" s="259">
        <f t="shared" ca="1" si="230"/>
        <v>1</v>
      </c>
      <c r="AJ84" s="259" t="str">
        <f t="shared" si="231"/>
        <v>15</v>
      </c>
      <c r="AK84" s="259" t="str">
        <f t="shared" si="232"/>
        <v>14</v>
      </c>
      <c r="AL84" s="259">
        <f>IF(AK84&lt;&gt;"",MAX($AL$2:AL83)+1,0)</f>
        <v>13</v>
      </c>
      <c r="AM84" s="259" t="str">
        <f>IFERROR(INDEX($AK$3:$AL$220,MATCH(ROWS($AM$3:AM84),$AL$3:$AL$220,0),1),"")</f>
        <v/>
      </c>
      <c r="AN84" s="259" t="str">
        <f t="shared" si="233"/>
        <v/>
      </c>
      <c r="AO84" s="259" t="str">
        <f t="shared" si="234"/>
        <v/>
      </c>
      <c r="AP84" s="259" t="str">
        <f t="shared" si="235"/>
        <v>DEBITI DIVERSI</v>
      </c>
      <c r="AQ84" s="259">
        <f ca="1">IF(OR(AG84=0,AG84=""),0,MAX(AQ$2:AQ83)+1)</f>
        <v>41</v>
      </c>
      <c r="AR84" s="259">
        <f ca="1">IF(OR(AH84=0,AH84=""),0,MAX(AR$2:AR83)+1)</f>
        <v>59</v>
      </c>
      <c r="AS84" s="259">
        <f ca="1">IF(OR(AI84=0,AI84=""),0,MAX(AS$2:AS83)+1)</f>
        <v>80</v>
      </c>
      <c r="AT84" s="259" t="str">
        <f ca="1">IFERROR(INDEX($AD$3:$AS$220,MATCH(ROWS(AT$3:AT84),AQ$3:AQ$220,0),1),"")</f>
        <v>COSTI D'ESERCIZIO</v>
      </c>
      <c r="AU84" s="259" t="str">
        <f ca="1">IFERROR(INDEX($AD$3:$AS$220,MATCH(ROWS(AU$3:AU84),AR$3:AR$220,0),1),"")</f>
        <v>COSTI D'ESERCIZIO</v>
      </c>
      <c r="AV84" s="259" t="str">
        <f ca="1">IFERROR(INDEX($AD$3:$AS$220,MATCH(ROWS(AV$3:AV84),AS$3:AS$220,0),1),"")</f>
        <v>DEBITI</v>
      </c>
      <c r="AW84" s="259" t="str">
        <f ca="1">IFERROR(INDEX($AP$3:$AS$220,MATCH(ROWS(AW$3:AW84),AQ$3:AQ$220,0),1),"")</f>
        <v>ONERI DIVERSI</v>
      </c>
      <c r="AX84" s="259" t="str">
        <f ca="1">IFERROR(INDEX($AP$3:$AS$220,MATCH(ROWS(AX$3:AX84),AR$3:AR$220,0),1),"")</f>
        <v>COSTI PER MERCI E MATERIE DI CONSUMO</v>
      </c>
      <c r="AY84" s="259" t="str">
        <f ca="1">IFERROR(INDEX($AP$3:$AS$220,MATCH(ROWS(AY$3:AY84),AS$3:AS$220,0),1),"")</f>
        <v>DEBITI DIVERSI</v>
      </c>
      <c r="AZ84" s="276" t="str">
        <f t="shared" ca="1" si="236"/>
        <v/>
      </c>
      <c r="BA84" s="259">
        <f t="shared" ca="1" si="184"/>
        <v>0</v>
      </c>
      <c r="BB84" s="259">
        <f ca="1">IFERROR(INDEX($FG$3:$FL$400,MATCH(ROWS($BB$3:BB84),$FL$3:$FL$400,0),1),0)</f>
        <v>0</v>
      </c>
      <c r="BC84" s="259" t="str">
        <f t="shared" ca="1" si="237"/>
        <v/>
      </c>
      <c r="BD84" s="259">
        <f ca="1">IFERROR(INDEX($FG$3:$FL$400,MATCH(ROWS($BD$3:BD84),$FL$3:$FL$400,0),4),0)</f>
        <v>0</v>
      </c>
      <c r="BE84" s="259">
        <f ca="1">IFERROR(INDEX($FG$3:$FL$400,MATCH(ROWS($BE$3:BE84),$FL$3:$FL$400,0),5),0)</f>
        <v>0</v>
      </c>
      <c r="BG84" s="259" t="str">
        <f t="shared" si="185"/>
        <v>DEBITI PER CAUZIONI</v>
      </c>
      <c r="BH84" s="259">
        <f ca="1">IF(IFERROR(MATCH(BG84,DENOMINAZIONE_GIORNALE,0),0)&gt;0,MAX(BH$2:BH83)+1,0)</f>
        <v>0</v>
      </c>
      <c r="BI84" s="259" t="str">
        <f ca="1">IFERROR(INDEX($BG$3:$BH$220,MATCH(ROWS($BI$3:BI84),$BH$3:$BH$220,0),1),"")</f>
        <v/>
      </c>
      <c r="BJ84" s="259" t="str">
        <f t="shared" ca="1" si="186"/>
        <v/>
      </c>
      <c r="BK84" s="259" t="str">
        <f ca="1">IF(IF(BJ84&lt;&gt;"",MAX($BK$2:BK83)+1,0)=0,"",IF(BJ84&lt;&gt;"",MAX($BK$2:BK83)+1,0))</f>
        <v/>
      </c>
      <c r="BL84" s="259" t="str">
        <f ca="1">IFERROR(INDEX($T$3:$U$220, MATCH(ROWS(BL$3:BL84),$V$3:$V$220,0),1),"")</f>
        <v/>
      </c>
      <c r="BM84" s="259" t="str">
        <f ca="1">IFERROR(INDEX($T$3:$U$220, MATCH(ROWS(BM$3:BM84),$V$3:$V$220,0),2),"")</f>
        <v/>
      </c>
      <c r="BN84" s="259" t="str">
        <f ca="1">IF(IFERROR(INDEX($BI$3:$BJ$220,MATCH(ROWS(BN$3:BN84),$BK$3:$BK$220,0),1),"")="PATRIMONIO NETTO","",IFERROR(INDEX($BI$3:$BJ$220,MATCH(ROWS(BN$3:BN84),$BK$3:$BK$220,0),1),""))</f>
        <v/>
      </c>
      <c r="BO84" s="259" t="str">
        <f ca="1">IFERROR(INDEX($BI$3:$BJ$220,MATCH(ROWS(BO$3:BO84),$BK$3:$BK$220,0),2),"")</f>
        <v/>
      </c>
      <c r="BP84" s="259">
        <f ca="1">IF(BN84&lt;&gt;"",MAX(BP$2:$BP83)+1,0)</f>
        <v>0</v>
      </c>
      <c r="BQ84" s="259" t="str">
        <f ca="1">IFERROR(INDEX($BN$3:$BO$200,MATCH(ROWS(BQ$3:BQ84),$BP$3:$BP$220,0),1),"")</f>
        <v/>
      </c>
      <c r="BR84" s="259" t="str">
        <f ca="1">IFERROR(INDEX($BN$3:$BO$220,MATCH(ROWS(BR$3:BR84),$BP$3:$BP$220,0),2),"")</f>
        <v/>
      </c>
      <c r="BS84" s="259" t="str">
        <f ca="1">IFERROR(IF(OR(INDEX($T$3:$U$220,MATCH(ROWS(BL$3:BL84),$V$3:$V$220,0),1)="PRELEVAMENTI EXTRAGESTIONE",INDEX($T$3:$U$220,MATCH(ROWS(BL$3:BL84),$V$3:$V$220,0),1)="TITOLARE C/RITENUTE SUBITE"),"",INDEX($T$3:$U$220,MATCH(ROWS(BL$3:BL84),$V$3:$V$220,0),1)),"")</f>
        <v/>
      </c>
      <c r="BT84" s="259">
        <f t="shared" ca="1" si="238"/>
        <v>0</v>
      </c>
      <c r="BU84" s="259">
        <f ca="1">IF(BS84&lt;&gt;"",MAX(BU$2:BU83)+1,0)</f>
        <v>0</v>
      </c>
      <c r="BV84" s="259" t="str">
        <f ca="1">IFERROR(INDEX($BS$3:$BT$223,MATCH(ROWS(BV$3:BV84),$BU$3:$BU$223,0),1),"")</f>
        <v/>
      </c>
      <c r="BW84" s="259">
        <f t="shared" ca="1" si="239"/>
        <v>0</v>
      </c>
      <c r="BX84" s="259" t="str">
        <f t="shared" ca="1" si="240"/>
        <v/>
      </c>
      <c r="BY84" s="259" t="str">
        <f t="shared" ca="1" si="241"/>
        <v/>
      </c>
      <c r="BZ84" s="259" t="str">
        <f ca="1">IFERROR(IF(OR($DS$231&lt;&gt;$DT$231,$DU$231&lt;&gt;$DV$231,$EO$25&lt;&gt;0,$EO$26&lt;&gt;0),INDEX($T$3:$V$220,MATCH(ROWS($BV$3:BV84),$V$3:$V$220,0),1),CONCATENATE(BV84,BY84)),"")</f>
        <v/>
      </c>
      <c r="CA84" s="259">
        <f t="shared" ca="1" si="242"/>
        <v>0</v>
      </c>
      <c r="CB84" s="259" t="str">
        <f ca="1">IFERROR(IF(OR($BB$1&lt;&gt;$BD$1,$BC$1&lt;&gt;$BE$1,$DS$231&lt;&gt;$DT$231,$DU$231&lt;&gt;$DV$231,$EO$25&lt;&gt;0,$EO$26&lt;&gt;0),INDEX($BI$3:$BK$220,MATCH(ROWS($CB$3:CB84),$BK$3:$BK$220,0),1),CONCATENATE(BQ84,BX84)),"")</f>
        <v/>
      </c>
      <c r="CC84" s="259" t="str">
        <f t="shared" ca="1" si="243"/>
        <v/>
      </c>
      <c r="CD84" s="259" t="str">
        <f t="shared" si="187"/>
        <v/>
      </c>
      <c r="CE84" s="259">
        <f ca="1">IF(IFERROR(MATCH(CD84,DENOMINAZIONE_GIORNALE,0),0)&gt;0,MAX(CE$2:CE83)+1,0)</f>
        <v>0</v>
      </c>
      <c r="CF84" s="259" t="str">
        <f ca="1">IFERROR(INDEX($CD$3:$CE$220,MATCH(ROWS($CF$3:CF84),$CE$3:$CE$220,0),1),"")</f>
        <v/>
      </c>
      <c r="CG84" s="259">
        <f t="shared" ca="1" si="188"/>
        <v>0</v>
      </c>
      <c r="CH84" s="259" t="str">
        <f ca="1">IF(IF(CG84&lt;&gt;0,MAX($CH$2:CH83)+1,0)=0,"",IF(CG84&lt;&gt;"",MAX($CH$2:CH83)+1,0))</f>
        <v/>
      </c>
      <c r="CI84" s="259" t="str">
        <f ca="1">IFERROR(INDEX($CF$3:$CG$220,MATCH(ROWS($CI$3:CI84),$CH$3:$CH$220,0),1),"")</f>
        <v/>
      </c>
      <c r="CJ84" s="259" t="str">
        <f t="shared" ca="1" si="244"/>
        <v/>
      </c>
      <c r="CK84" s="259" t="str">
        <f t="shared" si="189"/>
        <v/>
      </c>
      <c r="CL84" s="259">
        <f ca="1">IF(IFERROR(MATCH(CK84,DENOMINAZIONE_GIORNALE,0),0)&gt;0,MAX(CL$2:CL83)+1,0)</f>
        <v>0</v>
      </c>
      <c r="CM84" s="259" t="str">
        <f ca="1">IFERROR(INDEX($CK$3:$CL$220,MATCH(ROWS($CM$3:CM84),$CL$3:$CL$220,0),1),"")</f>
        <v/>
      </c>
      <c r="CN84" s="259" t="str">
        <f t="shared" ca="1" si="190"/>
        <v/>
      </c>
      <c r="CO84" s="259">
        <f ca="1">IF(IF(CN84&lt;&gt;0,MAX($CO$2:CO83)+1,0)=0,"",IF(CN84&lt;&gt;"",MAX($CO$2:CO83)+1,0))</f>
        <v>0</v>
      </c>
      <c r="CP84" s="259" t="str">
        <f ca="1">IFERROR(INDEX($CM$3:$CN$220,MATCH(ROWS(CP$3:CP84),$CO$3:$CO$220,0),1),"")</f>
        <v/>
      </c>
      <c r="CQ84" s="259" t="str">
        <f ca="1">IFERROR(INDEX($CM$3:$CN$220,MATCH(ROWS(CQ$3:CQ84),$CO$3:$CO$220,0),2),"")</f>
        <v/>
      </c>
      <c r="CR84" s="259" t="str">
        <f t="shared" ca="1" si="191"/>
        <v/>
      </c>
      <c r="CS84" s="259">
        <f t="shared" ca="1" si="192"/>
        <v>0</v>
      </c>
      <c r="CT84" s="259">
        <f t="shared" ca="1" si="193"/>
        <v>0</v>
      </c>
      <c r="CU84" s="259">
        <f ca="1">IF(OR(CS84&gt;0,CT84&gt;0),MAX($CU$2:CU83)+1,0)</f>
        <v>0</v>
      </c>
      <c r="CV84" s="259" t="str">
        <f ca="1">IFERROR(INDEX(PIANO_DEI_CONTI,MATCH(ROWS($CV$3:CV84),$CU$3:$CU$200,0),2),"")</f>
        <v/>
      </c>
      <c r="CW84" s="259">
        <f ca="1">IFERROR(IF(CV84&lt;&gt;"",MAX($CW$2:CW83)+1,0),0)</f>
        <v>0</v>
      </c>
      <c r="CX84" s="259">
        <f t="shared" ca="1" si="315"/>
        <v>5</v>
      </c>
      <c r="CY84" s="259" t="str">
        <f t="shared" ca="1" si="308"/>
        <v>MASTRO</v>
      </c>
      <c r="CZ84" s="259" t="e">
        <f t="shared" ca="1" si="317"/>
        <v>#N/A</v>
      </c>
      <c r="DA84" s="259" t="str">
        <f t="shared" ca="1" si="322"/>
        <v/>
      </c>
      <c r="DB84" s="259" t="str">
        <f t="shared" ca="1" si="318"/>
        <v/>
      </c>
      <c r="DC84" s="259" t="str">
        <f t="shared" ca="1" si="319"/>
        <v/>
      </c>
      <c r="DD84" s="259" t="str">
        <f t="shared" ca="1" si="320"/>
        <v/>
      </c>
      <c r="DE84" s="259" t="str">
        <f t="shared" ca="1" si="321"/>
        <v/>
      </c>
      <c r="DF84" s="259">
        <f ca="1">IF(AND(CX84=$DE$2,$DF$2&lt;&gt;0),0,IF(AND(DB84&lt;&gt;"",OR(DB83&lt;&gt;"",DB85&lt;&gt;"")),MAX($DF$2:DF83)+1,0))</f>
        <v>0</v>
      </c>
      <c r="DG84" s="259" t="str">
        <f>IF(OR(VALORI_INIZIALI!E89="",AND(VALORI_INIZIALI!E89&lt;&gt;"",VALORI_INIZIALI!H89=0,VALORI_INIZIALI!I89=0)),"",IFERROR(INDEX(PIANO_DEI_CONTI,MATCH(BB84,DENOMINAZIONE,0),1),0))</f>
        <v/>
      </c>
      <c r="DH84" s="259">
        <f ca="1">IFERROR(IF($J$1=1,IF(INDEX(PIANO_DEI_CONTI,MATCH($K84,DENOMINAZIONE,0),5)=$DF$1,MAX($DH$2:DH83)+1,0),IF($J$1=2,IF(INDEX(PIANO_DEI_CONTI,MATCH($K84,DENOMINAZIONE,0),7)=$DF$1,MAX($DH$2:DH83)+1,0))),0)</f>
        <v>0</v>
      </c>
      <c r="DI84" s="259">
        <f ca="1">IFERROR(INDEX($K$3:$K$220,MATCH(ROWS($DI$3:DI84),$DH$3:$DH$220,0),1),0)</f>
        <v>0</v>
      </c>
      <c r="DJ84" s="259">
        <f t="shared" ca="1" si="194"/>
        <v>0</v>
      </c>
      <c r="DK84" s="259">
        <f ca="1">IF(DJ84=0,0,MAX(DK$2:DK83)+1)</f>
        <v>0</v>
      </c>
      <c r="DL84" s="259">
        <f ca="1">IFERROR(INDEX(PIANO_DEI_CONTI,MATCH(ROWS(DL$3:DL84),$DK$3:DK311,0),2),0)</f>
        <v>0</v>
      </c>
      <c r="DM84" s="259">
        <f t="shared" ca="1" si="195"/>
        <v>0</v>
      </c>
      <c r="DN84" s="259">
        <f t="shared" ca="1" si="196"/>
        <v>0</v>
      </c>
      <c r="DO84" s="259">
        <f t="shared" ca="1" si="245"/>
        <v>0</v>
      </c>
      <c r="DP84" s="259">
        <f t="shared" ca="1" si="246"/>
        <v>0</v>
      </c>
      <c r="DQ84" s="259">
        <f ca="1">IF(OR($DQ$1="TOTALI",$DQ$1="TOTALI ED ECCEDENZE"),IF(OR(DM84&gt;0,DN84&gt;0),MAX(DQ$2:DQ83)+1,0),IF($DQ$1="ECCEDENZE",IF(OR(DO84&gt;0,DP84&gt;0),MAX(DQ$2:DQ83)+1,0),""))</f>
        <v>0</v>
      </c>
      <c r="DR84" s="259" t="str">
        <f ca="1">IFERROR(INDEX($DL$3:$DQ$230,MATCH(ROWS(DR$3:DR84),$DQ$3:$DQ$230,0),1),"")</f>
        <v/>
      </c>
      <c r="DS84" s="259" t="str">
        <f t="shared" ca="1" si="247"/>
        <v/>
      </c>
      <c r="DT84" s="259" t="str">
        <f t="shared" ca="1" si="248"/>
        <v/>
      </c>
      <c r="DU84" s="259" t="str">
        <f t="shared" ca="1" si="249"/>
        <v/>
      </c>
      <c r="DV84" s="259" t="str">
        <f t="shared" ca="1" si="250"/>
        <v/>
      </c>
      <c r="DW84" s="259">
        <f t="shared" ca="1" si="251"/>
        <v>0</v>
      </c>
      <c r="DX84" s="259" t="str">
        <f t="shared" ca="1" si="252"/>
        <v/>
      </c>
      <c r="DY84" s="259" t="str">
        <f t="shared" ca="1" si="253"/>
        <v/>
      </c>
      <c r="DZ84" s="259" t="str">
        <f t="shared" ca="1" si="254"/>
        <v/>
      </c>
      <c r="EA84" s="259">
        <f t="shared" ca="1" si="255"/>
        <v>82</v>
      </c>
      <c r="EB84" s="259" t="s">
        <v>361</v>
      </c>
      <c r="ED84" s="259">
        <f t="shared" ca="1" si="197"/>
        <v>0</v>
      </c>
      <c r="EE84" s="259" t="str">
        <f t="shared" ca="1" si="198"/>
        <v/>
      </c>
      <c r="EF84" s="259" t="str">
        <f t="shared" ca="1" si="199"/>
        <v/>
      </c>
      <c r="EG84" s="259" t="str">
        <f t="shared" ca="1" si="309"/>
        <v/>
      </c>
      <c r="EH84" s="259" t="str">
        <f t="shared" ca="1" si="256"/>
        <v/>
      </c>
      <c r="EI84" s="260" t="b">
        <f t="shared" ca="1" si="310"/>
        <v>0</v>
      </c>
      <c r="EJ84" s="260" t="b">
        <f t="shared" ca="1" si="311"/>
        <v>0</v>
      </c>
      <c r="EK84" s="260" t="b">
        <f t="shared" ca="1" si="312"/>
        <v>0</v>
      </c>
      <c r="EL84" s="259">
        <f t="shared" si="257"/>
        <v>82</v>
      </c>
      <c r="EM84" s="259">
        <f ca="1">IF(AND(BA84&gt;0,BA84&lt;=$EM$1),MAX($EM$2:EM83)+1,0)</f>
        <v>0</v>
      </c>
      <c r="EN84" s="259">
        <f t="shared" ca="1" si="258"/>
        <v>84</v>
      </c>
      <c r="EP84" s="259" t="str">
        <f t="shared" ca="1" si="200"/>
        <v/>
      </c>
      <c r="EQ84" s="259">
        <f t="shared" ca="1" si="201"/>
        <v>0</v>
      </c>
      <c r="ER84" s="259">
        <f ca="1">IF(ISNA(EQ84),MAX(ER$2:ER83)+1,0)</f>
        <v>0</v>
      </c>
      <c r="ES84" s="259" t="str">
        <f t="shared" ca="1" si="259"/>
        <v/>
      </c>
      <c r="ET84" s="259" t="str">
        <f ca="1">IFERROR(UPPER(INDEX($ER$3:$ES$500,MATCH(ROWS(ET$3:ET84),$ER$3:$ER$500,0),2)),"")</f>
        <v/>
      </c>
      <c r="EY84" s="259">
        <f t="shared" ca="1" si="260"/>
        <v>0</v>
      </c>
      <c r="EZ84" s="259">
        <f t="shared" ca="1" si="260"/>
        <v>0</v>
      </c>
      <c r="FA84" s="259" t="str">
        <f t="shared" ca="1" si="261"/>
        <v/>
      </c>
      <c r="FB84" s="259">
        <f t="shared" ca="1" si="262"/>
        <v>0</v>
      </c>
      <c r="FC84" s="259">
        <f t="shared" ca="1" si="263"/>
        <v>0</v>
      </c>
      <c r="FD84" s="259">
        <f t="shared" ca="1" si="202"/>
        <v>0</v>
      </c>
      <c r="FE84" s="259" t="str">
        <f t="shared" ca="1" si="203"/>
        <v/>
      </c>
      <c r="FF84" s="259" t="str">
        <f t="shared" ca="1" si="264"/>
        <v/>
      </c>
      <c r="FG84" s="259" t="str">
        <f t="shared" si="265"/>
        <v>DEBITI PER CAUZIONI</v>
      </c>
      <c r="FH84" s="259">
        <f t="shared" ca="1" si="156"/>
        <v>0</v>
      </c>
      <c r="FI84" s="259">
        <f t="shared" ca="1" si="204"/>
        <v>0</v>
      </c>
      <c r="FJ84" s="259">
        <f t="shared" ca="1" si="266"/>
        <v>0</v>
      </c>
      <c r="FK84" s="259">
        <f t="shared" ca="1" si="267"/>
        <v>0</v>
      </c>
      <c r="FL84" s="259">
        <f ca="1">IF(OR(FJ84&gt;0,FK84&gt;0),MAX($FL$2:FL83)+1,0)</f>
        <v>0</v>
      </c>
      <c r="FM84" s="259">
        <f t="shared" ca="1" si="205"/>
        <v>0</v>
      </c>
      <c r="FN84" s="259">
        <f ca="1">IF(FM84&lt;0,MAX($FN$2:FN83)+1,0)</f>
        <v>0</v>
      </c>
      <c r="FO84" s="259" t="str">
        <f t="shared" ca="1" si="268"/>
        <v/>
      </c>
      <c r="FP84" s="259" t="str">
        <f ca="1">IFERROR(INDEX($FN$3:$FO$400,MATCH(ROWS($FP$3:FP84),$FN$3:$FN$400,0),2),"")</f>
        <v/>
      </c>
      <c r="FQ84" s="259" t="str">
        <f>IF(AE84="SE AVERE",MAX($FQ$2:FQ83)+1,"")</f>
        <v/>
      </c>
      <c r="FR84" s="259" t="str">
        <f>IF(AE84="SE DARE",MAX($FR$2:FR83)+1,"")</f>
        <v/>
      </c>
      <c r="FS84" s="259" t="str">
        <f ca="1">IF(AND(AE84="SP DARE",AA84&lt;&gt;$FS$1,AA84&lt;&gt;$FT$1),MAX($FS$2:FS83)+1,IF(AND(GQ84="SP DARE",AA84&lt;&gt;$FS$1,AA84&lt;&gt;$FT$1),MAX($FS$2:FS83)+1,""))</f>
        <v/>
      </c>
      <c r="FT84" s="259">
        <f ca="1">IF(AND(AE84="SP AVERE",AA84&lt;&gt;$FU$1),MAX($FT$2:FT83)+1,IF(AND(GQ84="SP AVERE",AA84&lt;&gt;$FU$1),MAX($FT$2:FT83)+1,""))</f>
        <v>166</v>
      </c>
      <c r="FU84" s="259">
        <f t="shared" ca="1" si="269"/>
        <v>166</v>
      </c>
      <c r="FV84" s="259" t="str">
        <f t="shared" si="270"/>
        <v>DEBITI PER CAUZIONI</v>
      </c>
      <c r="FW84" s="259">
        <f ca="1">IFERROR(INDEX($FU$3:$FV$500,MATCH(ROWS($FW$3:FW84),$FU$3:$FU$500,0),2),0)</f>
        <v>0</v>
      </c>
      <c r="FX84" s="259">
        <f t="shared" ca="1" si="271"/>
        <v>0</v>
      </c>
      <c r="FY84" s="259">
        <f t="shared" ca="1" si="272"/>
        <v>82</v>
      </c>
      <c r="FZ84" s="259">
        <f ca="1">IF(FY84&gt;0,MAX($FZ$2:FZ83)+1,0)</f>
        <v>8</v>
      </c>
      <c r="GA84" s="259">
        <f ca="1">IFERROR(INDEX($FY$3:$FZ$500,MATCH(ROWS($GA$3:GA84),$FZ$3:$FZ$500,0),1),0)</f>
        <v>0</v>
      </c>
      <c r="GC84" s="259">
        <f t="shared" ca="1" si="273"/>
        <v>82</v>
      </c>
      <c r="GD84" s="259" t="str">
        <f t="shared" ca="1" si="274"/>
        <v>PATRIMONIO NETTO</v>
      </c>
      <c r="GG84" s="259">
        <f t="shared" ca="1" si="275"/>
        <v>0</v>
      </c>
      <c r="GH84" s="259">
        <f t="shared" ca="1" si="276"/>
        <v>0</v>
      </c>
      <c r="GI84" s="259">
        <f t="shared" ca="1" si="277"/>
        <v>0</v>
      </c>
      <c r="GJ84" s="259">
        <f t="shared" ca="1" si="278"/>
        <v>0</v>
      </c>
      <c r="GK84" s="259">
        <f t="shared" ca="1" si="279"/>
        <v>0</v>
      </c>
      <c r="GL84" s="259">
        <f t="shared" ca="1" si="280"/>
        <v>0</v>
      </c>
      <c r="GM84" s="259">
        <f ca="1">IF(OR(GK84&gt;0,GL84&gt;0),MAX($GM$2:GM83)+1,0)</f>
        <v>0</v>
      </c>
      <c r="GN84" s="259" t="str">
        <f ca="1">IFERROR(INDEX($GD$3:$GM$400,MATCH(ROWS($GN$3:GN84),$GM$3:$GM$400,0),1),"")</f>
        <v/>
      </c>
      <c r="GO84" s="259" t="str">
        <f ca="1">IFERROR(INDEX($GD$3:$GM$400,MATCH(ROWS($GO$3:GO84),$GM$3:$GM$400,0),8),"")</f>
        <v/>
      </c>
      <c r="GP84" s="259" t="str">
        <f ca="1">IFERROR(INDEX($GD$3:$GM$400,MATCH(ROWS($GP$3:GP84),$GM$3:$GM$400,0),9),"")</f>
        <v/>
      </c>
      <c r="GQ84" s="259">
        <f t="shared" ca="1" si="206"/>
        <v>0</v>
      </c>
      <c r="GR84" s="259">
        <f t="shared" ca="1" si="281"/>
        <v>0</v>
      </c>
      <c r="GS84" s="259" t="str">
        <f t="shared" ca="1" si="282"/>
        <v>capitalizzato l'utile conseguito</v>
      </c>
      <c r="GT84" s="259" t="str">
        <f ca="1">IFERROR(INDEX($GD$3:$GS$400,MATCH(ROWS($GT$3:GT84),$GM$3:$GM$400,0),16),"")</f>
        <v/>
      </c>
      <c r="GU84" s="259">
        <f ca="1">IF(GQ84&lt;&gt;0,MAX($GU$2:$GU83)+1,0)</f>
        <v>0</v>
      </c>
      <c r="GV84" s="259">
        <f t="shared" ca="1" si="283"/>
        <v>0</v>
      </c>
      <c r="GW84" s="259" t="str">
        <f ca="1">IF(AND(IFERROR(INDEX($GU$3:$GV$400,MATCH(ROWS($GW$3:GW84),$GU$3:$GU$400,0),2),"")&lt;&gt;"",GW85&lt;&gt;""),CONCATENATE(IFERROR(INDEX($GU$3:$GV$400,MATCH(ROWS($GW$3:GW84),$GU$3:$GU$400,0),2),"")," - "),IFERROR(INDEX($GU$3:$GV$400,MATCH(ROWS($GW$3:GW84),$GU$3:$GU$400,0),2),""))</f>
        <v/>
      </c>
      <c r="GX84" s="259">
        <f ca="1">IF(OR(GN84="IVA NS/CREDITO",GN84="IVA NS/DEBITO",GN84="IVA C/ACCONTO",GN84="IMPOSTE C/ACCONTO"),MAX($GX$2:GX83)+1,0)</f>
        <v>0</v>
      </c>
      <c r="GY84" s="259" t="str">
        <f ca="1">IF(AND(IFERROR(INDEX($GN$3:$GX$200,MATCH(ROWS($GY$3:GY84),$GX$3:$GX$200,0),1),"")&lt;&gt;"",GY85&lt;&gt;""),CONCATENATE(IFERROR(INDEX($GN$3:$GX$200,MATCH(ROWS($GY$3:GY84),$GX$3:$GX$200,0),1),"")," - "),IFERROR(INDEX($GN$3:$GX$200,MATCH(ROWS($GY$3:GY84),$GX$3:$GX$200,0),1),""))</f>
        <v/>
      </c>
      <c r="GZ84" s="259" t="s">
        <v>106</v>
      </c>
      <c r="HA84" s="270" t="s">
        <v>107</v>
      </c>
      <c r="HL84" s="259" t="str">
        <f t="shared" ca="1" si="207"/>
        <v/>
      </c>
      <c r="HM84" s="259" t="str">
        <f t="shared" ca="1" si="208"/>
        <v/>
      </c>
      <c r="HN84" s="259" t="str">
        <f t="shared" ca="1" si="209"/>
        <v/>
      </c>
      <c r="HO84" s="259">
        <f ca="1">IF(HL84&lt;&gt;"",MAX($HO$2:HO83)+1,0)</f>
        <v>0</v>
      </c>
      <c r="HP84" s="259">
        <f ca="1">IF(HM84&lt;&gt;"",MAX($HP$2:HP83)+1,0)</f>
        <v>0</v>
      </c>
      <c r="HQ84" s="259">
        <f ca="1">IF(HN84&lt;&gt;"",MAX($HQ$2:HQ83)+1,0)</f>
        <v>0</v>
      </c>
      <c r="HR84" s="259" t="str">
        <f t="shared" ca="1" si="284"/>
        <v/>
      </c>
      <c r="HS84" s="259" t="str">
        <f t="shared" ca="1" si="285"/>
        <v/>
      </c>
      <c r="HT84" s="259">
        <f t="shared" ca="1" si="286"/>
        <v>0</v>
      </c>
      <c r="HU84" s="259">
        <f t="shared" ca="1" si="287"/>
        <v>0</v>
      </c>
      <c r="HV84" s="259" t="str">
        <f ca="1">CONCATENATE(IFERROR(INDEX($HS$3:$HT$102,MATCH(ROWS($HV$3:HV84),$HT$3:$HT$102,0),1),""),HR84)</f>
        <v/>
      </c>
      <c r="IA84" s="259" t="s">
        <v>396</v>
      </c>
      <c r="IB84" s="259" t="s">
        <v>343</v>
      </c>
      <c r="IC84" s="259">
        <f ca="1">IFERROR(INDEX(PIANO_DEI_CONTI,MATCH(ROWS(DL$3:DL84),$DK$3:DK311,0),2),0)</f>
        <v>0</v>
      </c>
      <c r="ID84" s="259">
        <f t="shared" ca="1" si="288"/>
        <v>0</v>
      </c>
      <c r="IE84" s="259">
        <f t="shared" ca="1" si="289"/>
        <v>0</v>
      </c>
      <c r="IF84" s="259">
        <f t="shared" ca="1" si="290"/>
        <v>0</v>
      </c>
      <c r="IG84" s="259">
        <f t="shared" ca="1" si="323"/>
        <v>0</v>
      </c>
      <c r="IH84" s="259">
        <f ca="1">IF(IG84&lt;&gt;0,MAX($IH$35:IH83)+1,0)</f>
        <v>0</v>
      </c>
      <c r="II84" s="259">
        <f>IF(AD84="costi pluriennali",MAX($II$2:II83)+1,0)</f>
        <v>0</v>
      </c>
      <c r="IJ84" s="259">
        <f>IF($AD84="rettifiche costi pluriennali",MAX($IJ$2:IJ83)+1,0)</f>
        <v>0</v>
      </c>
      <c r="IK84" s="259">
        <f t="shared" si="291"/>
        <v>0</v>
      </c>
      <c r="IL84" s="259" t="str">
        <f t="shared" si="292"/>
        <v/>
      </c>
      <c r="IM84" s="259">
        <f t="shared" ca="1" si="293"/>
        <v>0</v>
      </c>
      <c r="IN84" s="259">
        <f t="shared" ca="1" si="313"/>
        <v>0</v>
      </c>
      <c r="IO84" s="259">
        <f>SUMIFS($IM$3:$IM$200,$IK$3:$IK$200,ROWS($IO$3:IO84))-SUMIFS($IN$3:$IN$200,$IK$3:$IK$200,ROWS($IO$3:IO84))</f>
        <v>0</v>
      </c>
      <c r="IP84" s="259" t="str">
        <f>IF(IO84&lt;0,INDEX($IJ$3:$IL$200,MATCH(ROWS($IP$3:IP84),$IJ$3:$IJ$200,0),3),"")</f>
        <v/>
      </c>
      <c r="IQ84" s="259">
        <f>IF(IP84&lt;&gt;"",MAX($IQ$2:IQ83)+1,0)</f>
        <v>0</v>
      </c>
      <c r="IR84" s="259" t="str">
        <f ca="1">IFERROR(INDEX($IP$3:$IQ$200,MATCH(ROWS($IR$3:IR84),$IQ$3:$IQ$200,0),1),"")</f>
        <v/>
      </c>
      <c r="IS84" s="259" t="str">
        <f t="shared" ca="1" si="294"/>
        <v/>
      </c>
      <c r="IT84" s="259" t="str">
        <f t="shared" ca="1" si="295"/>
        <v/>
      </c>
      <c r="IU84" s="259" t="str">
        <f t="shared" ca="1" si="296"/>
        <v/>
      </c>
      <c r="IV84" s="259" t="str">
        <f t="shared" ca="1" si="297"/>
        <v/>
      </c>
      <c r="IW84" s="259" t="str">
        <f t="shared" ca="1" si="298"/>
        <v/>
      </c>
      <c r="IX84" s="259" t="str">
        <f t="shared" ca="1" si="299"/>
        <v/>
      </c>
      <c r="IY84" s="259" t="str">
        <f t="shared" ca="1" si="300"/>
        <v/>
      </c>
      <c r="IZ84" s="259" t="str">
        <f t="shared" ca="1" si="301"/>
        <v/>
      </c>
      <c r="JA84" s="259" t="str">
        <f t="shared" ca="1" si="302"/>
        <v/>
      </c>
      <c r="JB84" s="259">
        <f t="shared" ca="1" si="210"/>
        <v>0</v>
      </c>
      <c r="JC84" s="259">
        <f t="shared" ca="1" si="303"/>
        <v>0</v>
      </c>
      <c r="JE84" s="259">
        <f ca="1">IFERROR(INDEX(LIBRO_GIORNALE!$N$11:$O$408,MATCH(ROWS($JE$2:JE83),LIBRO_GIORNALE!$O$11:$O$408,0),1),0)</f>
        <v>0</v>
      </c>
      <c r="JF84" s="259" t="str">
        <f t="shared" ca="1" si="304"/>
        <v>0</v>
      </c>
      <c r="JG84" s="259">
        <f t="shared" ca="1" si="305"/>
        <v>0</v>
      </c>
      <c r="JH84" s="259">
        <f ca="1">IF(JJ84&gt;0,0,MAX($JH$2:JH83)+1)</f>
        <v>82</v>
      </c>
      <c r="JI84" s="259">
        <f ca="1">IF(JG84&gt;0,MAX($JI$2:JI83)+1,0)</f>
        <v>0</v>
      </c>
      <c r="JJ84" s="259">
        <f ca="1">IFERROR(INDEX($JG$3:$JI$124,MATCH(ROWS($JJ$3:JJ84),$JI$3:$JI$124,0),1),0)</f>
        <v>0</v>
      </c>
      <c r="JK84" s="259">
        <f t="shared" ca="1" si="306"/>
        <v>0</v>
      </c>
      <c r="JL84" s="259">
        <f t="shared" ca="1" si="307"/>
        <v>82</v>
      </c>
    </row>
    <row r="85" spans="1:272">
      <c r="A85" s="259" t="str">
        <f t="shared" si="211"/>
        <v>14.01</v>
      </c>
      <c r="B85" s="259" t="str">
        <f t="shared" si="212"/>
        <v>DEBITI V/FORNITORI</v>
      </c>
      <c r="C85" s="259" t="str">
        <f t="shared" si="213"/>
        <v>F</v>
      </c>
      <c r="D85" s="259" t="str">
        <f t="shared" si="214"/>
        <v>A</v>
      </c>
      <c r="E85" s="259" t="str">
        <f t="shared" si="215"/>
        <v>DEBITI</v>
      </c>
      <c r="F85" s="259" t="str">
        <f t="shared" si="216"/>
        <v>SP AVERE</v>
      </c>
      <c r="G85" s="259">
        <f t="shared" ca="1" si="217"/>
        <v>1</v>
      </c>
      <c r="H85" s="259">
        <f t="shared" ca="1" si="218"/>
        <v>1</v>
      </c>
      <c r="I85" s="259">
        <f t="shared" ca="1" si="219"/>
        <v>1</v>
      </c>
      <c r="K85" s="259" t="str">
        <f ca="1">IFERROR(IF($I$1=1,INDEX($AA$3:$AS$220,MATCH(ROWS($K$3:K85),$AQ$3:$AQ$220,0),1),IF($I$1=2,INDEX($AA$3:$AS$220,MATCH(ROWS($K$3:K85),$AR$3:$AR$220,0),1),IF($I$1=3,INDEX($AA$3:$AS$220,MATCH(ROWS($K$3:K85),$AS$3:$AS$220,0),1),""))),"")</f>
        <v>DEBITI V/FONDI PENSIONE</v>
      </c>
      <c r="L85" s="259">
        <f ca="1">IF(AND($L$1="VISUALIZZA TUTTI I CONTI",K85&lt;&gt;""),MAX(L84:L84)+1,IFERROR(IF($J$1=1,IF(INDEX(PIANO_DEI_CONTI,MATCH($K85,DENOMINAZIONE,0),5)=$L$1,MAX($L$2:L84)+1,0),IF($J$1=2,IF(INDEX(PIANO_DEI_CONTI,MATCH($K85,DENOMINAZIONE,0),7)=$L$1,MAX($L$2:L84)+1,0))),0))</f>
        <v>83</v>
      </c>
      <c r="M85" s="259" t="str">
        <f ca="1">IFERROR(INDEX($K$3:$K$220,MATCH(ROWS($M$3:M85),$L$3:$L$220,0),1),"")</f>
        <v>DEBITI V/FONDI PENSIONE</v>
      </c>
      <c r="Q85" s="259" t="str">
        <f ca="1">IF(IFERROR(INDEX($O$3:$P$220,MATCH(ROWS(Q$3:Q85),$P$3:$P$220,0),1),"")=0,"",IFERROR(INDEX($O$3:$P$220,MATCH(ROWS(Q$3:Q85),$P$3:$P$220,0),1),""))</f>
        <v/>
      </c>
      <c r="R85" s="259" t="str">
        <f t="shared" si="182"/>
        <v/>
      </c>
      <c r="S85" s="259">
        <f ca="1">IF(IFERROR(MATCH(R85,DENOMINAZIONE_GIORNALE,0),0)&gt;0,MAX(S$2:S84)+1,0)</f>
        <v>0</v>
      </c>
      <c r="T85" s="259" t="str">
        <f ca="1">IFERROR(INDEX($R$3:$S$220,MATCH(ROWS($T$3:T85),$S$3:$S$220,0),1),"")</f>
        <v/>
      </c>
      <c r="U85" s="259">
        <f t="shared" ca="1" si="183"/>
        <v>0</v>
      </c>
      <c r="V85" s="259">
        <f ca="1">IF(IF(U85&lt;&gt;0,MAX($V$2:V84)+1,0)=0,0,IF(U85&lt;&gt;0,MAX($V$2:V84)+1,0))</f>
        <v>0</v>
      </c>
      <c r="W85" s="259" t="str">
        <f t="shared" si="220"/>
        <v>14.01</v>
      </c>
      <c r="X85" s="259" t="str">
        <f t="shared" si="221"/>
        <v>DEBITI V/FORNITORI</v>
      </c>
      <c r="Y85" s="259">
        <f>IF(W85="",0,MAX($Y$2:Y84)+1)</f>
        <v>70</v>
      </c>
      <c r="Z85" s="259" t="str">
        <f>IFERROR(INDEX($W$3:$Y$220,MATCH(ROWS($Z$2:Z84),$Y$3:$Y$220,0),1),"")</f>
        <v>15.20</v>
      </c>
      <c r="AA85" s="259" t="str">
        <f t="shared" si="222"/>
        <v>PERSONALE C/RETRIBUZIONI</v>
      </c>
      <c r="AB85" s="259" t="str">
        <f t="shared" si="223"/>
        <v>F</v>
      </c>
      <c r="AC85" s="259" t="str">
        <f t="shared" si="224"/>
        <v>A</v>
      </c>
      <c r="AD85" s="259" t="str">
        <f t="shared" si="225"/>
        <v>DEBITI</v>
      </c>
      <c r="AE85" s="259" t="str">
        <f t="shared" si="226"/>
        <v>SP AVERE</v>
      </c>
      <c r="AF85" s="259" t="str">
        <f t="shared" si="227"/>
        <v>DEBITI DIVERSI</v>
      </c>
      <c r="AG85" s="259">
        <f t="shared" ca="1" si="228"/>
        <v>0</v>
      </c>
      <c r="AH85" s="259">
        <f t="shared" ca="1" si="229"/>
        <v>1</v>
      </c>
      <c r="AI85" s="259">
        <f t="shared" ca="1" si="230"/>
        <v>1</v>
      </c>
      <c r="AJ85" s="259" t="str">
        <f t="shared" si="231"/>
        <v>15</v>
      </c>
      <c r="AK85" s="259" t="str">
        <f t="shared" si="232"/>
        <v/>
      </c>
      <c r="AL85" s="259">
        <f>IF(AK85&lt;&gt;"",MAX($AL$2:AL84)+1,0)</f>
        <v>0</v>
      </c>
      <c r="AM85" s="259" t="str">
        <f>IFERROR(INDEX($AK$3:$AL$220,MATCH(ROWS($AM$3:AM85),$AL$3:$AL$220,0),1),"")</f>
        <v/>
      </c>
      <c r="AN85" s="259" t="str">
        <f t="shared" si="233"/>
        <v/>
      </c>
      <c r="AO85" s="259" t="str">
        <f t="shared" si="234"/>
        <v/>
      </c>
      <c r="AP85" s="259" t="str">
        <f t="shared" si="235"/>
        <v>DEBITI DIVERSI</v>
      </c>
      <c r="AQ85" s="259">
        <f ca="1">IF(OR(AG85=0,AG85=""),0,MAX(AQ$2:AQ84)+1)</f>
        <v>0</v>
      </c>
      <c r="AR85" s="259">
        <f ca="1">IF(OR(AH85=0,AH85=""),0,MAX(AR$2:AR84)+1)</f>
        <v>60</v>
      </c>
      <c r="AS85" s="259">
        <f ca="1">IF(OR(AI85=0,AI85=""),0,MAX(AS$2:AS84)+1)</f>
        <v>81</v>
      </c>
      <c r="AT85" s="259" t="str">
        <f ca="1">IFERROR(INDEX($AD$3:$AS$220,MATCH(ROWS(AT$3:AT85),AQ$3:AQ$220,0),1),"")</f>
        <v>RICAVI D'ESERCIZIO</v>
      </c>
      <c r="AU85" s="259" t="str">
        <f ca="1">IFERROR(INDEX($AD$3:$AS$220,MATCH(ROWS(AU$3:AU85),AR$3:AR$220,0),1),"")</f>
        <v>COSTI D'ESERCIZIO</v>
      </c>
      <c r="AV85" s="259" t="str">
        <f ca="1">IFERROR(INDEX($AD$3:$AS$220,MATCH(ROWS(AV$3:AV85),AS$3:AS$220,0),1),"")</f>
        <v>DEBITI</v>
      </c>
      <c r="AW85" s="259" t="str">
        <f ca="1">IFERROR(INDEX($AP$3:$AS$220,MATCH(ROWS(AW$3:AW85),AQ$3:AQ$220,0),1),"")</f>
        <v>PROVENTI FINANZIARI</v>
      </c>
      <c r="AX85" s="259" t="str">
        <f ca="1">IFERROR(INDEX($AP$3:$AS$220,MATCH(ROWS(AX$3:AX85),AR$3:AR$220,0),1),"")</f>
        <v>COSTI PER MERCI E MATERIE DI CONSUMO</v>
      </c>
      <c r="AY85" s="259" t="str">
        <f ca="1">IFERROR(INDEX($AP$3:$AS$220,MATCH(ROWS(AY$3:AY85),AS$3:AS$220,0),1),"")</f>
        <v>DEBITI DIVERSI</v>
      </c>
      <c r="AZ85" s="276" t="str">
        <f t="shared" ca="1" si="236"/>
        <v/>
      </c>
      <c r="BA85" s="259">
        <f t="shared" ca="1" si="184"/>
        <v>0</v>
      </c>
      <c r="BB85" s="259">
        <f ca="1">IFERROR(INDEX($FG$3:$FL$400,MATCH(ROWS($BB$3:BB85),$FL$3:$FL$400,0),1),0)</f>
        <v>0</v>
      </c>
      <c r="BC85" s="259" t="str">
        <f t="shared" ca="1" si="237"/>
        <v/>
      </c>
      <c r="BD85" s="259">
        <f ca="1">IFERROR(INDEX($FG$3:$FL$400,MATCH(ROWS($BD$3:BD85),$FL$3:$FL$400,0),4),0)</f>
        <v>0</v>
      </c>
      <c r="BE85" s="259">
        <f ca="1">IFERROR(INDEX($FG$3:$FL$400,MATCH(ROWS($BE$3:BE85),$FL$3:$FL$400,0),5),0)</f>
        <v>0</v>
      </c>
      <c r="BG85" s="259" t="str">
        <f t="shared" si="185"/>
        <v>PERSONALE C/RETRIBUZIONI</v>
      </c>
      <c r="BH85" s="259">
        <f ca="1">IF(IFERROR(MATCH(BG85,DENOMINAZIONE_GIORNALE,0),0)&gt;0,MAX(BH$2:BH84)+1,0)</f>
        <v>0</v>
      </c>
      <c r="BI85" s="259" t="str">
        <f ca="1">IFERROR(INDEX($BG$3:$BH$220,MATCH(ROWS($BI$3:BI85),$BH$3:$BH$220,0),1),"")</f>
        <v/>
      </c>
      <c r="BJ85" s="259" t="str">
        <f t="shared" ca="1" si="186"/>
        <v/>
      </c>
      <c r="BK85" s="259" t="str">
        <f ca="1">IF(IF(BJ85&lt;&gt;"",MAX($BK$2:BK84)+1,0)=0,"",IF(BJ85&lt;&gt;"",MAX($BK$2:BK84)+1,0))</f>
        <v/>
      </c>
      <c r="BL85" s="259" t="str">
        <f ca="1">IFERROR(INDEX($T$3:$U$220, MATCH(ROWS(BL$3:BL85),$V$3:$V$220,0),1),"")</f>
        <v/>
      </c>
      <c r="BM85" s="259" t="str">
        <f ca="1">IFERROR(INDEX($T$3:$U$220, MATCH(ROWS(BM$3:BM85),$V$3:$V$220,0),2),"")</f>
        <v/>
      </c>
      <c r="BN85" s="259" t="str">
        <f ca="1">IF(IFERROR(INDEX($BI$3:$BJ$220,MATCH(ROWS(BN$3:BN85),$BK$3:$BK$220,0),1),"")="PATRIMONIO NETTO","",IFERROR(INDEX($BI$3:$BJ$220,MATCH(ROWS(BN$3:BN85),$BK$3:$BK$220,0),1),""))</f>
        <v/>
      </c>
      <c r="BO85" s="259" t="str">
        <f ca="1">IFERROR(INDEX($BI$3:$BJ$220,MATCH(ROWS(BO$3:BO85),$BK$3:$BK$220,0),2),"")</f>
        <v/>
      </c>
      <c r="BP85" s="259">
        <f ca="1">IF(BN85&lt;&gt;"",MAX(BP$2:$BP84)+1,0)</f>
        <v>0</v>
      </c>
      <c r="BQ85" s="259" t="str">
        <f ca="1">IFERROR(INDEX($BN$3:$BO$200,MATCH(ROWS(BQ$3:BQ85),$BP$3:$BP$220,0),1),"")</f>
        <v/>
      </c>
      <c r="BR85" s="259" t="str">
        <f ca="1">IFERROR(INDEX($BN$3:$BO$220,MATCH(ROWS(BR$3:BR85),$BP$3:$BP$220,0),2),"")</f>
        <v/>
      </c>
      <c r="BS85" s="259" t="str">
        <f ca="1">IFERROR(IF(OR(INDEX($T$3:$U$220,MATCH(ROWS(BL$3:BL85),$V$3:$V$220,0),1)="PRELEVAMENTI EXTRAGESTIONE",INDEX($T$3:$U$220,MATCH(ROWS(BL$3:BL85),$V$3:$V$220,0),1)="TITOLARE C/RITENUTE SUBITE"),"",INDEX($T$3:$U$220,MATCH(ROWS(BL$3:BL85),$V$3:$V$220,0),1)),"")</f>
        <v/>
      </c>
      <c r="BT85" s="259">
        <f t="shared" ca="1" si="238"/>
        <v>0</v>
      </c>
      <c r="BU85" s="259">
        <f ca="1">IF(BS85&lt;&gt;"",MAX(BU$2:BU84)+1,0)</f>
        <v>0</v>
      </c>
      <c r="BV85" s="259" t="str">
        <f ca="1">IFERROR(INDEX($BS$3:$BT$223,MATCH(ROWS(BV$3:BV85),$BU$3:$BU$223,0),1),"")</f>
        <v/>
      </c>
      <c r="BW85" s="259">
        <f t="shared" ca="1" si="239"/>
        <v>0</v>
      </c>
      <c r="BX85" s="259" t="str">
        <f t="shared" ca="1" si="240"/>
        <v/>
      </c>
      <c r="BY85" s="259" t="str">
        <f t="shared" ca="1" si="241"/>
        <v/>
      </c>
      <c r="BZ85" s="259" t="str">
        <f ca="1">IFERROR(IF(OR($DS$231&lt;&gt;$DT$231,$DU$231&lt;&gt;$DV$231,$EO$25&lt;&gt;0,$EO$26&lt;&gt;0),INDEX($T$3:$V$220,MATCH(ROWS($BV$3:BV85),$V$3:$V$220,0),1),CONCATENATE(BV85,BY85)),"")</f>
        <v/>
      </c>
      <c r="CA85" s="259">
        <f t="shared" ca="1" si="242"/>
        <v>0</v>
      </c>
      <c r="CB85" s="259" t="str">
        <f ca="1">IFERROR(IF(OR($BB$1&lt;&gt;$BD$1,$BC$1&lt;&gt;$BE$1,$DS$231&lt;&gt;$DT$231,$DU$231&lt;&gt;$DV$231,$EO$25&lt;&gt;0,$EO$26&lt;&gt;0),INDEX($BI$3:$BK$220,MATCH(ROWS($CB$3:CB85),$BK$3:$BK$220,0),1),CONCATENATE(BQ85,BX85)),"")</f>
        <v/>
      </c>
      <c r="CC85" s="259" t="str">
        <f t="shared" ca="1" si="243"/>
        <v/>
      </c>
      <c r="CD85" s="259" t="str">
        <f t="shared" si="187"/>
        <v/>
      </c>
      <c r="CE85" s="259">
        <f ca="1">IF(IFERROR(MATCH(CD85,DENOMINAZIONE_GIORNALE,0),0)&gt;0,MAX(CE$2:CE84)+1,0)</f>
        <v>0</v>
      </c>
      <c r="CF85" s="259" t="str">
        <f ca="1">IFERROR(INDEX($CD$3:$CE$220,MATCH(ROWS($CF$3:CF85),$CE$3:$CE$220,0),1),"")</f>
        <v/>
      </c>
      <c r="CG85" s="259">
        <f t="shared" ca="1" si="188"/>
        <v>0</v>
      </c>
      <c r="CH85" s="259" t="str">
        <f ca="1">IF(IF(CG85&lt;&gt;0,MAX($CH$2:CH84)+1,0)=0,"",IF(CG85&lt;&gt;"",MAX($CH$2:CH84)+1,0))</f>
        <v/>
      </c>
      <c r="CI85" s="259" t="str">
        <f ca="1">IFERROR(INDEX($CF$3:$CG$220,MATCH(ROWS($CI$3:CI85),$CH$3:$CH$220,0),1),"")</f>
        <v/>
      </c>
      <c r="CJ85" s="259" t="str">
        <f t="shared" ca="1" si="244"/>
        <v/>
      </c>
      <c r="CK85" s="259" t="str">
        <f t="shared" si="189"/>
        <v/>
      </c>
      <c r="CL85" s="259">
        <f ca="1">IF(IFERROR(MATCH(CK85,DENOMINAZIONE_GIORNALE,0),0)&gt;0,MAX(CL$2:CL84)+1,0)</f>
        <v>0</v>
      </c>
      <c r="CM85" s="259" t="str">
        <f ca="1">IFERROR(INDEX($CK$3:$CL$220,MATCH(ROWS($CM$3:CM85),$CL$3:$CL$220,0),1),"")</f>
        <v/>
      </c>
      <c r="CN85" s="259" t="str">
        <f t="shared" ca="1" si="190"/>
        <v/>
      </c>
      <c r="CO85" s="259">
        <f ca="1">IF(IF(CN85&lt;&gt;0,MAX($CO$2:CO84)+1,0)=0,"",IF(CN85&lt;&gt;"",MAX($CO$2:CO84)+1,0))</f>
        <v>0</v>
      </c>
      <c r="CP85" s="259" t="str">
        <f ca="1">IFERROR(INDEX($CM$3:$CN$220,MATCH(ROWS(CP$3:CP85),$CO$3:$CO$220,0),1),"")</f>
        <v/>
      </c>
      <c r="CQ85" s="259" t="str">
        <f ca="1">IFERROR(INDEX($CM$3:$CN$220,MATCH(ROWS(CQ$3:CQ85),$CO$3:$CO$220,0),2),"")</f>
        <v/>
      </c>
      <c r="CR85" s="259" t="str">
        <f t="shared" ca="1" si="191"/>
        <v/>
      </c>
      <c r="CS85" s="259">
        <f t="shared" ca="1" si="192"/>
        <v>0</v>
      </c>
      <c r="CT85" s="259">
        <f t="shared" ca="1" si="193"/>
        <v>0</v>
      </c>
      <c r="CU85" s="259">
        <f ca="1">IF(OR(CS85&gt;0,CT85&gt;0),MAX($CU$2:CU84)+1,0)</f>
        <v>0</v>
      </c>
      <c r="CV85" s="259" t="str">
        <f ca="1">IFERROR(INDEX(PIANO_DEI_CONTI,MATCH(ROWS($CV$3:CV85),$CU$3:$CU$200,0),2),"")</f>
        <v/>
      </c>
      <c r="CW85" s="259">
        <f ca="1">IFERROR(IF(CV85&lt;&gt;"",MAX($CW$2:CW84)+1,0),0)</f>
        <v>0</v>
      </c>
      <c r="CX85" s="259">
        <f t="shared" ca="1" si="315"/>
        <v>5</v>
      </c>
      <c r="CY85" s="259" t="str">
        <f t="shared" ca="1" si="308"/>
        <v>MASTRO</v>
      </c>
      <c r="CZ85" s="259" t="e">
        <f t="shared" ca="1" si="317"/>
        <v>#N/A</v>
      </c>
      <c r="DA85" s="259" t="str">
        <f t="shared" ca="1" si="322"/>
        <v/>
      </c>
      <c r="DB85" s="259" t="str">
        <f t="shared" ca="1" si="318"/>
        <v/>
      </c>
      <c r="DC85" s="259" t="str">
        <f t="shared" ca="1" si="319"/>
        <v/>
      </c>
      <c r="DD85" s="259" t="str">
        <f t="shared" ca="1" si="320"/>
        <v/>
      </c>
      <c r="DE85" s="259" t="str">
        <f t="shared" ca="1" si="321"/>
        <v/>
      </c>
      <c r="DF85" s="259">
        <f ca="1">IF(AND(CX85=$DE$2,$DF$2&lt;&gt;0),0,IF(AND(DB85&lt;&gt;"",OR(DB84&lt;&gt;"",DB86&lt;&gt;"")),MAX($DF$2:DF84)+1,0))</f>
        <v>0</v>
      </c>
      <c r="DG85" s="259" t="str">
        <f>IF(OR(VALORI_INIZIALI!E90="",AND(VALORI_INIZIALI!E90&lt;&gt;"",VALORI_INIZIALI!H90=0,VALORI_INIZIALI!I90=0)),"",IFERROR(INDEX(PIANO_DEI_CONTI,MATCH(BB85,DENOMINAZIONE,0),1),0))</f>
        <v/>
      </c>
      <c r="DH85" s="259">
        <f ca="1">IFERROR(IF($J$1=1,IF(INDEX(PIANO_DEI_CONTI,MATCH($K85,DENOMINAZIONE,0),5)=$DF$1,MAX($DH$2:DH84)+1,0),IF($J$1=2,IF(INDEX(PIANO_DEI_CONTI,MATCH($K85,DENOMINAZIONE,0),7)=$DF$1,MAX($DH$2:DH84)+1,0))),0)</f>
        <v>0</v>
      </c>
      <c r="DI85" s="259">
        <f ca="1">IFERROR(INDEX($K$3:$K$220,MATCH(ROWS($DI$3:DI85),$DH$3:$DH$220,0),1),0)</f>
        <v>0</v>
      </c>
      <c r="DJ85" s="259">
        <f t="shared" ca="1" si="194"/>
        <v>0</v>
      </c>
      <c r="DK85" s="259">
        <f ca="1">IF(DJ85=0,0,MAX(DK$2:DK84)+1)</f>
        <v>0</v>
      </c>
      <c r="DL85" s="259">
        <f ca="1">IFERROR(INDEX(PIANO_DEI_CONTI,MATCH(ROWS(DL$3:DL85),$DK$3:DK312,0),2),0)</f>
        <v>0</v>
      </c>
      <c r="DM85" s="259">
        <f t="shared" ca="1" si="195"/>
        <v>0</v>
      </c>
      <c r="DN85" s="259">
        <f t="shared" ca="1" si="196"/>
        <v>0</v>
      </c>
      <c r="DO85" s="259">
        <f t="shared" ca="1" si="245"/>
        <v>0</v>
      </c>
      <c r="DP85" s="259">
        <f t="shared" ca="1" si="246"/>
        <v>0</v>
      </c>
      <c r="DQ85" s="259">
        <f ca="1">IF(OR($DQ$1="TOTALI",$DQ$1="TOTALI ED ECCEDENZE"),IF(OR(DM85&gt;0,DN85&gt;0),MAX(DQ$2:DQ84)+1,0),IF($DQ$1="ECCEDENZE",IF(OR(DO85&gt;0,DP85&gt;0),MAX(DQ$2:DQ84)+1,0),""))</f>
        <v>0</v>
      </c>
      <c r="DR85" s="259" t="str">
        <f ca="1">IFERROR(INDEX($DL$3:$DQ$230,MATCH(ROWS(DR$3:DR85),$DQ$3:$DQ$230,0),1),"")</f>
        <v/>
      </c>
      <c r="DS85" s="259" t="str">
        <f t="shared" ca="1" si="247"/>
        <v/>
      </c>
      <c r="DT85" s="259" t="str">
        <f t="shared" ca="1" si="248"/>
        <v/>
      </c>
      <c r="DU85" s="259" t="str">
        <f t="shared" ca="1" si="249"/>
        <v/>
      </c>
      <c r="DV85" s="259" t="str">
        <f t="shared" ca="1" si="250"/>
        <v/>
      </c>
      <c r="DW85" s="259">
        <f t="shared" ca="1" si="251"/>
        <v>0</v>
      </c>
      <c r="DX85" s="259" t="str">
        <f t="shared" ca="1" si="252"/>
        <v/>
      </c>
      <c r="DY85" s="259" t="str">
        <f t="shared" ca="1" si="253"/>
        <v/>
      </c>
      <c r="DZ85" s="259" t="str">
        <f t="shared" ca="1" si="254"/>
        <v/>
      </c>
      <c r="EA85" s="259">
        <f t="shared" ca="1" si="255"/>
        <v>83</v>
      </c>
      <c r="EB85" s="259" t="s">
        <v>361</v>
      </c>
      <c r="ED85" s="259">
        <f t="shared" ca="1" si="197"/>
        <v>0</v>
      </c>
      <c r="EE85" s="259" t="str">
        <f t="shared" ca="1" si="198"/>
        <v/>
      </c>
      <c r="EF85" s="259" t="str">
        <f t="shared" ca="1" si="199"/>
        <v/>
      </c>
      <c r="EG85" s="259" t="str">
        <f t="shared" ca="1" si="309"/>
        <v/>
      </c>
      <c r="EH85" s="259" t="str">
        <f t="shared" ca="1" si="256"/>
        <v/>
      </c>
      <c r="EI85" s="260" t="b">
        <f t="shared" ca="1" si="310"/>
        <v>1</v>
      </c>
      <c r="EJ85" s="260" t="b">
        <f t="shared" ca="1" si="311"/>
        <v>1</v>
      </c>
      <c r="EK85" s="260" t="b">
        <f t="shared" ca="1" si="312"/>
        <v>1</v>
      </c>
      <c r="EL85" s="259">
        <f t="shared" si="257"/>
        <v>83</v>
      </c>
      <c r="EM85" s="259">
        <f ca="1">IF(AND(BA85&gt;0,BA85&lt;=$EM$1),MAX($EM$2:EM84)+1,0)</f>
        <v>0</v>
      </c>
      <c r="EN85" s="259">
        <f t="shared" ca="1" si="258"/>
        <v>85</v>
      </c>
      <c r="EP85" s="259" t="str">
        <f t="shared" ca="1" si="200"/>
        <v/>
      </c>
      <c r="EQ85" s="259">
        <f t="shared" ca="1" si="201"/>
        <v>0</v>
      </c>
      <c r="ER85" s="259">
        <f ca="1">IF(ISNA(EQ85),MAX(ER$2:ER84)+1,0)</f>
        <v>0</v>
      </c>
      <c r="ES85" s="259" t="str">
        <f t="shared" ca="1" si="259"/>
        <v/>
      </c>
      <c r="ET85" s="259" t="str">
        <f ca="1">IFERROR(UPPER(INDEX($ER$3:$ES$500,MATCH(ROWS(ET$3:ET85),$ER$3:$ER$500,0),2)),"")</f>
        <v/>
      </c>
      <c r="EY85" s="259">
        <f t="shared" ca="1" si="260"/>
        <v>0</v>
      </c>
      <c r="EZ85" s="259">
        <f t="shared" ca="1" si="260"/>
        <v>0</v>
      </c>
      <c r="FA85" s="259" t="str">
        <f t="shared" ca="1" si="261"/>
        <v/>
      </c>
      <c r="FB85" s="259">
        <f t="shared" ca="1" si="262"/>
        <v>0</v>
      </c>
      <c r="FC85" s="259">
        <f t="shared" ca="1" si="263"/>
        <v>0</v>
      </c>
      <c r="FD85" s="259">
        <f t="shared" ca="1" si="202"/>
        <v>0</v>
      </c>
      <c r="FE85" s="259" t="str">
        <f t="shared" ca="1" si="203"/>
        <v/>
      </c>
      <c r="FF85" s="259" t="str">
        <f t="shared" ca="1" si="264"/>
        <v/>
      </c>
      <c r="FG85" s="259" t="str">
        <f t="shared" si="265"/>
        <v>PERSONALE C/RETRIBUZIONI</v>
      </c>
      <c r="FH85" s="259">
        <f t="shared" ca="1" si="156"/>
        <v>0</v>
      </c>
      <c r="FI85" s="259">
        <f t="shared" ca="1" si="204"/>
        <v>0</v>
      </c>
      <c r="FJ85" s="259">
        <f t="shared" ca="1" si="266"/>
        <v>0</v>
      </c>
      <c r="FK85" s="259">
        <f t="shared" ca="1" si="267"/>
        <v>0</v>
      </c>
      <c r="FL85" s="259">
        <f ca="1">IF(OR(FJ85&gt;0,FK85&gt;0),MAX($FL$2:FL84)+1,0)</f>
        <v>0</v>
      </c>
      <c r="FM85" s="259">
        <f t="shared" ca="1" si="205"/>
        <v>0</v>
      </c>
      <c r="FN85" s="259">
        <f ca="1">IF(FM85&lt;0,MAX($FN$2:FN84)+1,0)</f>
        <v>0</v>
      </c>
      <c r="FO85" s="259" t="str">
        <f t="shared" ca="1" si="268"/>
        <v/>
      </c>
      <c r="FP85" s="259" t="str">
        <f ca="1">IFERROR(INDEX($FN$3:$FO$400,MATCH(ROWS($FP$3:FP85),$FN$3:$FN$400,0),2),"")</f>
        <v/>
      </c>
      <c r="FQ85" s="259" t="str">
        <f>IF(AE85="SE AVERE",MAX($FQ$2:FQ84)+1,"")</f>
        <v/>
      </c>
      <c r="FR85" s="259" t="str">
        <f>IF(AE85="SE DARE",MAX($FR$2:FR84)+1,"")</f>
        <v/>
      </c>
      <c r="FS85" s="259" t="str">
        <f ca="1">IF(AND(AE85="SP DARE",AA85&lt;&gt;$FS$1,AA85&lt;&gt;$FT$1),MAX($FS$2:FS84)+1,IF(AND(GQ85="SP DARE",AA85&lt;&gt;$FS$1,AA85&lt;&gt;$FT$1),MAX($FS$2:FS84)+1,""))</f>
        <v/>
      </c>
      <c r="FT85" s="259">
        <f ca="1">IF(AND(AE85="SP AVERE",AA85&lt;&gt;$FU$1),MAX($FT$2:FT84)+1,IF(AND(GQ85="SP AVERE",AA85&lt;&gt;$FU$1),MAX($FT$2:FT84)+1,""))</f>
        <v>167</v>
      </c>
      <c r="FU85" s="259">
        <f t="shared" ca="1" si="269"/>
        <v>167</v>
      </c>
      <c r="FV85" s="259" t="str">
        <f t="shared" si="270"/>
        <v>PERSONALE C/RETRIBUZIONI</v>
      </c>
      <c r="FW85" s="259">
        <f ca="1">IFERROR(INDEX($FU$3:$FV$500,MATCH(ROWS($FW$3:FW85),$FU$3:$FU$500,0),2),0)</f>
        <v>0</v>
      </c>
      <c r="FX85" s="259">
        <f t="shared" ca="1" si="271"/>
        <v>0</v>
      </c>
      <c r="FY85" s="259">
        <f t="shared" ca="1" si="272"/>
        <v>83</v>
      </c>
      <c r="FZ85" s="259">
        <f ca="1">IF(FY85&gt;0,MAX($FZ$2:FZ84)+1,0)</f>
        <v>9</v>
      </c>
      <c r="GA85" s="259">
        <f ca="1">IFERROR(INDEX($FY$3:$FZ$500,MATCH(ROWS($GA$3:GA85),$FZ$3:$FZ$500,0),1),0)</f>
        <v>0</v>
      </c>
      <c r="GC85" s="259">
        <f t="shared" ca="1" si="273"/>
        <v>83</v>
      </c>
      <c r="GD85" s="259" t="str">
        <f t="shared" ca="1" si="274"/>
        <v>PATRIMONIO NETTO</v>
      </c>
      <c r="GG85" s="259">
        <f t="shared" ca="1" si="275"/>
        <v>0</v>
      </c>
      <c r="GH85" s="259">
        <f t="shared" ca="1" si="276"/>
        <v>0</v>
      </c>
      <c r="GI85" s="259">
        <f t="shared" ca="1" si="277"/>
        <v>0</v>
      </c>
      <c r="GJ85" s="259">
        <f t="shared" ca="1" si="278"/>
        <v>0</v>
      </c>
      <c r="GK85" s="259">
        <f t="shared" ca="1" si="279"/>
        <v>0</v>
      </c>
      <c r="GL85" s="259">
        <f t="shared" ca="1" si="280"/>
        <v>0</v>
      </c>
      <c r="GM85" s="259">
        <f ca="1">IF(OR(GK85&gt;0,GL85&gt;0),MAX($GM$2:GM84)+1,0)</f>
        <v>0</v>
      </c>
      <c r="GN85" s="259" t="str">
        <f ca="1">IFERROR(INDEX($GD$3:$GM$400,MATCH(ROWS($GN$3:GN85),$GM$3:$GM$400,0),1),"")</f>
        <v/>
      </c>
      <c r="GO85" s="259" t="str">
        <f ca="1">IFERROR(INDEX($GD$3:$GM$400,MATCH(ROWS($GO$3:GO85),$GM$3:$GM$400,0),8),"")</f>
        <v/>
      </c>
      <c r="GP85" s="259" t="str">
        <f ca="1">IFERROR(INDEX($GD$3:$GM$400,MATCH(ROWS($GP$3:GP85),$GM$3:$GM$400,0),9),"")</f>
        <v/>
      </c>
      <c r="GQ85" s="259">
        <f t="shared" ca="1" si="206"/>
        <v>0</v>
      </c>
      <c r="GR85" s="259">
        <f t="shared" ca="1" si="281"/>
        <v>0</v>
      </c>
      <c r="GS85" s="259" t="str">
        <f t="shared" ca="1" si="282"/>
        <v>coperta perdita d'esercizio</v>
      </c>
      <c r="GT85" s="259" t="str">
        <f ca="1">IFERROR(INDEX($GD$3:$GS$400,MATCH(ROWS($GT$3:GT85),$GM$3:$GM$400,0),16),"")</f>
        <v/>
      </c>
      <c r="GU85" s="259">
        <f ca="1">IF(GQ85&lt;&gt;0,MAX($GU$2:$GU84)+1,0)</f>
        <v>0</v>
      </c>
      <c r="GV85" s="259">
        <f t="shared" ca="1" si="283"/>
        <v>0</v>
      </c>
      <c r="GW85" s="259" t="str">
        <f ca="1">IF(AND(IFERROR(INDEX($GU$3:$GV$400,MATCH(ROWS($GW$3:GW85),$GU$3:$GU$400,0),2),"")&lt;&gt;"",GW86&lt;&gt;""),CONCATENATE(IFERROR(INDEX($GU$3:$GV$400,MATCH(ROWS($GW$3:GW85),$GU$3:$GU$400,0),2),"")," - "),IFERROR(INDEX($GU$3:$GV$400,MATCH(ROWS($GW$3:GW85),$GU$3:$GU$400,0),2),""))</f>
        <v/>
      </c>
      <c r="GX85" s="259">
        <f ca="1">IF(OR(GN85="IVA NS/CREDITO",GN85="IVA NS/DEBITO",GN85="IVA C/ACCONTO",GN85="IMPOSTE C/ACCONTO"),MAX($GX$2:GX84)+1,0)</f>
        <v>0</v>
      </c>
      <c r="GY85" s="259" t="str">
        <f ca="1">IF(AND(IFERROR(INDEX($GN$3:$GX$200,MATCH(ROWS($GY$3:GY85),$GX$3:$GX$200,0),1),"")&lt;&gt;"",GY86&lt;&gt;""),CONCATENATE(IFERROR(INDEX($GN$3:$GX$200,MATCH(ROWS($GY$3:GY85),$GX$3:$GX$200,0),1),"")," - "),IFERROR(INDEX($GN$3:$GX$200,MATCH(ROWS($GY$3:GY85),$GX$3:$GX$200,0),1),""))</f>
        <v/>
      </c>
      <c r="GZ85" s="259" t="s">
        <v>112</v>
      </c>
      <c r="HA85" s="259" t="s">
        <v>108</v>
      </c>
      <c r="HB85" s="269" t="s">
        <v>257</v>
      </c>
      <c r="HC85" s="269" t="s">
        <v>211</v>
      </c>
      <c r="HD85" s="269" t="s">
        <v>5</v>
      </c>
      <c r="HE85" s="269" t="s">
        <v>212</v>
      </c>
      <c r="HG85" s="270"/>
      <c r="HL85" s="259" t="str">
        <f t="shared" ca="1" si="207"/>
        <v/>
      </c>
      <c r="HM85" s="259" t="str">
        <f t="shared" ca="1" si="208"/>
        <v/>
      </c>
      <c r="HN85" s="259" t="str">
        <f t="shared" ca="1" si="209"/>
        <v/>
      </c>
      <c r="HO85" s="259">
        <f ca="1">IF(HL85&lt;&gt;"",MAX($HO$2:HO84)+1,0)</f>
        <v>0</v>
      </c>
      <c r="HP85" s="259">
        <f ca="1">IF(HM85&lt;&gt;"",MAX($HP$2:HP84)+1,0)</f>
        <v>0</v>
      </c>
      <c r="HQ85" s="259">
        <f ca="1">IF(HN85&lt;&gt;"",MAX($HQ$2:HQ84)+1,0)</f>
        <v>0</v>
      </c>
      <c r="HR85" s="259" t="str">
        <f t="shared" ca="1" si="284"/>
        <v/>
      </c>
      <c r="HS85" s="259" t="str">
        <f t="shared" ca="1" si="285"/>
        <v/>
      </c>
      <c r="HT85" s="259">
        <f t="shared" ca="1" si="286"/>
        <v>0</v>
      </c>
      <c r="HU85" s="259">
        <f t="shared" ca="1" si="287"/>
        <v>0</v>
      </c>
      <c r="HV85" s="259" t="str">
        <f ca="1">CONCATENATE(IFERROR(INDEX($HS$3:$HT$102,MATCH(ROWS($HV$3:HV85),$HT$3:$HT$102,0),1),""),HR85)</f>
        <v/>
      </c>
      <c r="IB85" s="259" t="s">
        <v>344</v>
      </c>
      <c r="IC85" s="259">
        <f ca="1">IFERROR(INDEX(PIANO_DEI_CONTI,MATCH(ROWS(DL$3:DL85),$DK$3:DK312,0),2),0)</f>
        <v>0</v>
      </c>
      <c r="ID85" s="259">
        <f t="shared" ca="1" si="288"/>
        <v>0</v>
      </c>
      <c r="IE85" s="259">
        <f t="shared" ca="1" si="289"/>
        <v>0</v>
      </c>
      <c r="IF85" s="259">
        <f t="shared" ca="1" si="290"/>
        <v>0</v>
      </c>
      <c r="IG85" s="259">
        <f t="shared" ref="IG85:IG148" ca="1" si="324">IF(SUMIFS($ID$3:$ID$200,$IF$3:$IF$200,IA85)&lt;=SUMIFS($IE$3:$IE$200,$IF$3:$IF$200,IA85),SUMIFS($IE$3:$IE$200,$IF$3:$IF$200,IA85)-SUMIFS($ID$3:$ID$200,$IF$3:$IF$200,IA85),0)</f>
        <v>0</v>
      </c>
      <c r="IH85" s="259">
        <f ca="1">IF(IG85&lt;&gt;0,MAX($IH$35:IH84)+1,0)</f>
        <v>0</v>
      </c>
      <c r="II85" s="259">
        <f>IF(AD85="costi pluriennali",MAX($II$2:II84)+1,0)</f>
        <v>0</v>
      </c>
      <c r="IJ85" s="259">
        <f>IF($AD85="rettifiche costi pluriennali",MAX($IJ$2:IJ84)+1,0)</f>
        <v>0</v>
      </c>
      <c r="IK85" s="259">
        <f t="shared" si="291"/>
        <v>0</v>
      </c>
      <c r="IL85" s="259" t="str">
        <f t="shared" si="292"/>
        <v/>
      </c>
      <c r="IM85" s="259">
        <f t="shared" ca="1" si="293"/>
        <v>0</v>
      </c>
      <c r="IN85" s="259">
        <f t="shared" ca="1" si="313"/>
        <v>0</v>
      </c>
      <c r="IO85" s="259">
        <f>SUMIFS($IM$3:$IM$200,$IK$3:$IK$200,ROWS($IO$3:IO85))-SUMIFS($IN$3:$IN$200,$IK$3:$IK$200,ROWS($IO$3:IO85))</f>
        <v>0</v>
      </c>
      <c r="IP85" s="259" t="str">
        <f>IF(IO85&lt;0,INDEX($IJ$3:$IL$200,MATCH(ROWS($IP$3:IP85),$IJ$3:$IJ$200,0),3),"")</f>
        <v/>
      </c>
      <c r="IQ85" s="259">
        <f>IF(IP85&lt;&gt;"",MAX($IQ$2:IQ84)+1,0)</f>
        <v>0</v>
      </c>
      <c r="IR85" s="259" t="str">
        <f ca="1">IFERROR(INDEX($IP$3:$IQ$200,MATCH(ROWS($IR$3:IR85),$IQ$3:$IQ$200,0),1),"")</f>
        <v/>
      </c>
      <c r="IS85" s="259" t="str">
        <f t="shared" ca="1" si="294"/>
        <v/>
      </c>
      <c r="IT85" s="259" t="str">
        <f t="shared" ca="1" si="295"/>
        <v/>
      </c>
      <c r="IU85" s="259" t="str">
        <f t="shared" ca="1" si="296"/>
        <v/>
      </c>
      <c r="IV85" s="259" t="str">
        <f t="shared" ca="1" si="297"/>
        <v/>
      </c>
      <c r="IW85" s="259" t="str">
        <f t="shared" ca="1" si="298"/>
        <v/>
      </c>
      <c r="IX85" s="259" t="str">
        <f t="shared" ca="1" si="299"/>
        <v/>
      </c>
      <c r="IY85" s="259" t="str">
        <f t="shared" ca="1" si="300"/>
        <v/>
      </c>
      <c r="IZ85" s="259" t="str">
        <f t="shared" ca="1" si="301"/>
        <v/>
      </c>
      <c r="JA85" s="259" t="str">
        <f t="shared" ca="1" si="302"/>
        <v/>
      </c>
      <c r="JB85" s="259">
        <f t="shared" ca="1" si="210"/>
        <v>0</v>
      </c>
      <c r="JC85" s="259">
        <f t="shared" ca="1" si="303"/>
        <v>0</v>
      </c>
      <c r="JE85" s="259">
        <f ca="1">IFERROR(INDEX(LIBRO_GIORNALE!$N$11:$O$408,MATCH(ROWS($JE$2:JE84),LIBRO_GIORNALE!$O$11:$O$408,0),1),0)</f>
        <v>0</v>
      </c>
      <c r="JF85" s="259" t="str">
        <f t="shared" ca="1" si="304"/>
        <v>0</v>
      </c>
      <c r="JG85" s="259">
        <f t="shared" ca="1" si="305"/>
        <v>0</v>
      </c>
      <c r="JH85" s="259">
        <f ca="1">IF(JJ85&gt;0,0,MAX($JH$2:JH84)+1)</f>
        <v>83</v>
      </c>
      <c r="JI85" s="259">
        <f ca="1">IF(JG85&gt;0,MAX($JI$2:JI84)+1,0)</f>
        <v>0</v>
      </c>
      <c r="JJ85" s="259">
        <f ca="1">IFERROR(INDEX($JG$3:$JI$124,MATCH(ROWS($JJ$3:JJ85),$JI$3:$JI$124,0),1),0)</f>
        <v>0</v>
      </c>
      <c r="JK85" s="259">
        <f t="shared" ca="1" si="306"/>
        <v>0</v>
      </c>
      <c r="JL85" s="259">
        <f t="shared" ca="1" si="307"/>
        <v>83</v>
      </c>
    </row>
    <row r="86" spans="1:272">
      <c r="A86" s="259" t="str">
        <f t="shared" si="211"/>
        <v>14.02</v>
      </c>
      <c r="B86" s="259" t="str">
        <f t="shared" si="212"/>
        <v>FATTURE DA RICEVERE</v>
      </c>
      <c r="C86" s="259" t="str">
        <f t="shared" si="213"/>
        <v>F</v>
      </c>
      <c r="D86" s="259" t="str">
        <f t="shared" si="214"/>
        <v>A</v>
      </c>
      <c r="E86" s="259" t="str">
        <f t="shared" si="215"/>
        <v>DEBITI</v>
      </c>
      <c r="F86" s="259" t="str">
        <f t="shared" si="216"/>
        <v>SP AVERE</v>
      </c>
      <c r="G86" s="259">
        <f t="shared" ca="1" si="217"/>
        <v>0</v>
      </c>
      <c r="H86" s="259">
        <f t="shared" ca="1" si="218"/>
        <v>0</v>
      </c>
      <c r="I86" s="259">
        <f t="shared" ca="1" si="219"/>
        <v>1</v>
      </c>
      <c r="K86" s="259" t="str">
        <f ca="1">IFERROR(IF($I$1=1,INDEX($AA$3:$AS$220,MATCH(ROWS($K$3:K86),$AQ$3:$AQ$220,0),1),IF($I$1=2,INDEX($AA$3:$AS$220,MATCH(ROWS($K$3:K86),$AR$3:$AR$220,0),1),IF($I$1=3,INDEX($AA$3:$AS$220,MATCH(ROWS($K$3:K86),$AS$3:$AS$220,0),1),""))),"")</f>
        <v>CEDENTE C/CESSIONE</v>
      </c>
      <c r="L86" s="259">
        <f ca="1">IF(AND($L$1="VISUALIZZA TUTTI I CONTI",K86&lt;&gt;""),MAX(L85:L85)+1,IFERROR(IF($J$1=1,IF(INDEX(PIANO_DEI_CONTI,MATCH($K86,DENOMINAZIONE,0),5)=$L$1,MAX($L$2:L85)+1,0),IF($J$1=2,IF(INDEX(PIANO_DEI_CONTI,MATCH($K86,DENOMINAZIONE,0),7)=$L$1,MAX($L$2:L85)+1,0))),0))</f>
        <v>84</v>
      </c>
      <c r="M86" s="259" t="str">
        <f ca="1">IFERROR(INDEX($K$3:$K$220,MATCH(ROWS($M$3:M86),$L$3:$L$220,0),1),"")</f>
        <v>CEDENTE C/CESSIONE</v>
      </c>
      <c r="Q86" s="259" t="str">
        <f ca="1">IF(IFERROR(INDEX($O$3:$P$220,MATCH(ROWS(Q$3:Q86),$P$3:$P$220,0),1),"")=0,"",IFERROR(INDEX($O$3:$P$220,MATCH(ROWS(Q$3:Q86),$P$3:$P$220,0),1),""))</f>
        <v/>
      </c>
      <c r="R86" s="259" t="str">
        <f t="shared" si="182"/>
        <v/>
      </c>
      <c r="S86" s="259">
        <f ca="1">IF(IFERROR(MATCH(R86,DENOMINAZIONE_GIORNALE,0),0)&gt;0,MAX(S$2:S85)+1,0)</f>
        <v>0</v>
      </c>
      <c r="T86" s="259" t="str">
        <f ca="1">IFERROR(INDEX($R$3:$S$220,MATCH(ROWS($T$3:T86),$S$3:$S$220,0),1),"")</f>
        <v/>
      </c>
      <c r="U86" s="259">
        <f t="shared" ca="1" si="183"/>
        <v>0</v>
      </c>
      <c r="V86" s="259">
        <f ca="1">IF(IF(U86&lt;&gt;0,MAX($V$2:V85)+1,0)=0,0,IF(U86&lt;&gt;0,MAX($V$2:V85)+1,0))</f>
        <v>0</v>
      </c>
      <c r="W86" s="259" t="str">
        <f t="shared" si="220"/>
        <v>14.02</v>
      </c>
      <c r="X86" s="259" t="str">
        <f t="shared" si="221"/>
        <v>FATTURE DA RICEVERE</v>
      </c>
      <c r="Y86" s="259">
        <f>IF(W86="",0,MAX($Y$2:Y85)+1)</f>
        <v>71</v>
      </c>
      <c r="Z86" s="259" t="str">
        <f>IFERROR(INDEX($W$3:$Y$220,MATCH(ROWS($Z$2:Z85),$Y$3:$Y$220,0),1),"")</f>
        <v>15.21</v>
      </c>
      <c r="AA86" s="259" t="str">
        <f t="shared" si="222"/>
        <v>PERSONALE C/LIQUIDAZIONE</v>
      </c>
      <c r="AB86" s="259" t="str">
        <f t="shared" si="223"/>
        <v>F</v>
      </c>
      <c r="AC86" s="259" t="str">
        <f t="shared" si="224"/>
        <v>A</v>
      </c>
      <c r="AD86" s="259" t="str">
        <f t="shared" si="225"/>
        <v>DEBITI</v>
      </c>
      <c r="AE86" s="259" t="str">
        <f t="shared" si="226"/>
        <v>SP AVERE</v>
      </c>
      <c r="AF86" s="259" t="str">
        <f t="shared" si="227"/>
        <v>DEBITI DIVERSI</v>
      </c>
      <c r="AG86" s="259">
        <f t="shared" ca="1" si="228"/>
        <v>0</v>
      </c>
      <c r="AH86" s="259">
        <f t="shared" ca="1" si="229"/>
        <v>1</v>
      </c>
      <c r="AI86" s="259">
        <f t="shared" ca="1" si="230"/>
        <v>1</v>
      </c>
      <c r="AJ86" s="259" t="str">
        <f t="shared" si="231"/>
        <v>15</v>
      </c>
      <c r="AK86" s="259" t="str">
        <f t="shared" si="232"/>
        <v/>
      </c>
      <c r="AL86" s="259">
        <f>IF(AK86&lt;&gt;"",MAX($AL$2:AL85)+1,0)</f>
        <v>0</v>
      </c>
      <c r="AM86" s="259" t="str">
        <f>IFERROR(INDEX($AK$3:$AL$220,MATCH(ROWS($AM$3:AM86),$AL$3:$AL$220,0),1),"")</f>
        <v/>
      </c>
      <c r="AN86" s="259" t="str">
        <f t="shared" si="233"/>
        <v/>
      </c>
      <c r="AO86" s="259" t="str">
        <f t="shared" si="234"/>
        <v/>
      </c>
      <c r="AP86" s="259" t="str">
        <f t="shared" si="235"/>
        <v>DEBITI DIVERSI</v>
      </c>
      <c r="AQ86" s="259">
        <f ca="1">IF(OR(AG86=0,AG86=""),0,MAX(AQ$2:AQ85)+1)</f>
        <v>0</v>
      </c>
      <c r="AR86" s="259">
        <f ca="1">IF(OR(AH86=0,AH86=""),0,MAX(AR$2:AR85)+1)</f>
        <v>61</v>
      </c>
      <c r="AS86" s="259">
        <f ca="1">IF(OR(AI86=0,AI86=""),0,MAX(AS$2:AS85)+1)</f>
        <v>82</v>
      </c>
      <c r="AT86" s="259" t="str">
        <f ca="1">IFERROR(INDEX($AD$3:$AS$220,MATCH(ROWS(AT$3:AT86),AQ$3:AQ$220,0),1),"")</f>
        <v>RICAVI D'ESERCIZIO</v>
      </c>
      <c r="AU86" s="259" t="str">
        <f ca="1">IFERROR(INDEX($AD$3:$AS$220,MATCH(ROWS(AU$3:AU86),AR$3:AR$220,0),1),"")</f>
        <v>RETTIFICHE COSTI D'ESERCIZIO</v>
      </c>
      <c r="AV86" s="259" t="str">
        <f ca="1">IFERROR(INDEX($AD$3:$AS$220,MATCH(ROWS(AV$3:AV86),AS$3:AS$220,0),1),"")</f>
        <v>DEBITI</v>
      </c>
      <c r="AW86" s="259" t="str">
        <f ca="1">IFERROR(INDEX($AP$3:$AS$220,MATCH(ROWS(AW$3:AW86),AQ$3:AQ$220,0),1),"")</f>
        <v>PROVENTI FINANZIARI</v>
      </c>
      <c r="AX86" s="259" t="str">
        <f ca="1">IFERROR(INDEX($AP$3:$AS$220,MATCH(ROWS(AX$3:AX86),AR$3:AR$220,0),1),"")</f>
        <v>COSTI PER MERCI E MATERIE DI CONSUMO</v>
      </c>
      <c r="AY86" s="259" t="str">
        <f ca="1">IFERROR(INDEX($AP$3:$AS$220,MATCH(ROWS(AY$3:AY86),AS$3:AS$220,0),1),"")</f>
        <v>DEBITI DIVERSI</v>
      </c>
      <c r="AZ86" s="276" t="str">
        <f t="shared" ca="1" si="236"/>
        <v/>
      </c>
      <c r="BA86" s="259">
        <f t="shared" ca="1" si="184"/>
        <v>0</v>
      </c>
      <c r="BB86" s="259">
        <f ca="1">IFERROR(INDEX($FG$3:$FL$400,MATCH(ROWS($BB$3:BB86),$FL$3:$FL$400,0),1),0)</f>
        <v>0</v>
      </c>
      <c r="BC86" s="259" t="str">
        <f t="shared" ca="1" si="237"/>
        <v/>
      </c>
      <c r="BD86" s="259">
        <f ca="1">IFERROR(INDEX($FG$3:$FL$400,MATCH(ROWS($BD$3:BD86),$FL$3:$FL$400,0),4),0)</f>
        <v>0</v>
      </c>
      <c r="BE86" s="259">
        <f ca="1">IFERROR(INDEX($FG$3:$FL$400,MATCH(ROWS($BE$3:BE86),$FL$3:$FL$400,0),5),0)</f>
        <v>0</v>
      </c>
      <c r="BG86" s="259" t="str">
        <f t="shared" si="185"/>
        <v>PERSONALE C/LIQUIDAZIONE</v>
      </c>
      <c r="BH86" s="259">
        <f ca="1">IF(IFERROR(MATCH(BG86,DENOMINAZIONE_GIORNALE,0),0)&gt;0,MAX(BH$2:BH85)+1,0)</f>
        <v>0</v>
      </c>
      <c r="BI86" s="259" t="str">
        <f ca="1">IFERROR(INDEX($BG$3:$BH$220,MATCH(ROWS($BI$3:BI86),$BH$3:$BH$220,0),1),"")</f>
        <v/>
      </c>
      <c r="BJ86" s="259" t="str">
        <f t="shared" ca="1" si="186"/>
        <v/>
      </c>
      <c r="BK86" s="259" t="str">
        <f ca="1">IF(IF(BJ86&lt;&gt;"",MAX($BK$2:BK85)+1,0)=0,"",IF(BJ86&lt;&gt;"",MAX($BK$2:BK85)+1,0))</f>
        <v/>
      </c>
      <c r="BL86" s="259" t="str">
        <f ca="1">IFERROR(INDEX($T$3:$U$220, MATCH(ROWS(BL$3:BL86),$V$3:$V$220,0),1),"")</f>
        <v/>
      </c>
      <c r="BM86" s="259" t="str">
        <f ca="1">IFERROR(INDEX($T$3:$U$220, MATCH(ROWS(BM$3:BM86),$V$3:$V$220,0),2),"")</f>
        <v/>
      </c>
      <c r="BN86" s="259" t="str">
        <f ca="1">IF(IFERROR(INDEX($BI$3:$BJ$220,MATCH(ROWS(BN$3:BN86),$BK$3:$BK$220,0),1),"")="PATRIMONIO NETTO","",IFERROR(INDEX($BI$3:$BJ$220,MATCH(ROWS(BN$3:BN86),$BK$3:$BK$220,0),1),""))</f>
        <v/>
      </c>
      <c r="BO86" s="259" t="str">
        <f ca="1">IFERROR(INDEX($BI$3:$BJ$220,MATCH(ROWS(BO$3:BO86),$BK$3:$BK$220,0),2),"")</f>
        <v/>
      </c>
      <c r="BP86" s="259">
        <f ca="1">IF(BN86&lt;&gt;"",MAX(BP$2:$BP85)+1,0)</f>
        <v>0</v>
      </c>
      <c r="BQ86" s="259" t="str">
        <f ca="1">IFERROR(INDEX($BN$3:$BO$200,MATCH(ROWS(BQ$3:BQ86),$BP$3:$BP$220,0),1),"")</f>
        <v/>
      </c>
      <c r="BR86" s="259" t="str">
        <f ca="1">IFERROR(INDEX($BN$3:$BO$220,MATCH(ROWS(BR$3:BR86),$BP$3:$BP$220,0),2),"")</f>
        <v/>
      </c>
      <c r="BS86" s="259" t="str">
        <f ca="1">IFERROR(IF(OR(INDEX($T$3:$U$220,MATCH(ROWS(BL$3:BL86),$V$3:$V$220,0),1)="PRELEVAMENTI EXTRAGESTIONE",INDEX($T$3:$U$220,MATCH(ROWS(BL$3:BL86),$V$3:$V$220,0),1)="TITOLARE C/RITENUTE SUBITE"),"",INDEX($T$3:$U$220,MATCH(ROWS(BL$3:BL86),$V$3:$V$220,0),1)),"")</f>
        <v/>
      </c>
      <c r="BT86" s="259">
        <f t="shared" ca="1" si="238"/>
        <v>0</v>
      </c>
      <c r="BU86" s="259">
        <f ca="1">IF(BS86&lt;&gt;"",MAX(BU$2:BU85)+1,0)</f>
        <v>0</v>
      </c>
      <c r="BV86" s="259" t="str">
        <f ca="1">IFERROR(INDEX($BS$3:$BT$223,MATCH(ROWS(BV$3:BV86),$BU$3:$BU$223,0),1),"")</f>
        <v/>
      </c>
      <c r="BW86" s="259">
        <f t="shared" ca="1" si="239"/>
        <v>0</v>
      </c>
      <c r="BX86" s="259" t="str">
        <f t="shared" ca="1" si="240"/>
        <v/>
      </c>
      <c r="BY86" s="259" t="str">
        <f t="shared" ca="1" si="241"/>
        <v/>
      </c>
      <c r="BZ86" s="259" t="str">
        <f ca="1">IFERROR(IF(OR($DS$231&lt;&gt;$DT$231,$DU$231&lt;&gt;$DV$231,$EO$25&lt;&gt;0,$EO$26&lt;&gt;0),INDEX($T$3:$V$220,MATCH(ROWS($BV$3:BV86),$V$3:$V$220,0),1),CONCATENATE(BV86,BY86)),"")</f>
        <v/>
      </c>
      <c r="CA86" s="259">
        <f t="shared" ca="1" si="242"/>
        <v>0</v>
      </c>
      <c r="CB86" s="259" t="str">
        <f ca="1">IFERROR(IF(OR($BB$1&lt;&gt;$BD$1,$BC$1&lt;&gt;$BE$1,$DS$231&lt;&gt;$DT$231,$DU$231&lt;&gt;$DV$231,$EO$25&lt;&gt;0,$EO$26&lt;&gt;0),INDEX($BI$3:$BK$220,MATCH(ROWS($CB$3:CB86),$BK$3:$BK$220,0),1),CONCATENATE(BQ86,BX86)),"")</f>
        <v/>
      </c>
      <c r="CC86" s="259" t="str">
        <f t="shared" ca="1" si="243"/>
        <v/>
      </c>
      <c r="CD86" s="259" t="str">
        <f t="shared" si="187"/>
        <v/>
      </c>
      <c r="CE86" s="259">
        <f ca="1">IF(IFERROR(MATCH(CD86,DENOMINAZIONE_GIORNALE,0),0)&gt;0,MAX(CE$2:CE85)+1,0)</f>
        <v>0</v>
      </c>
      <c r="CF86" s="259" t="str">
        <f ca="1">IFERROR(INDEX($CD$3:$CE$220,MATCH(ROWS($CF$3:CF86),$CE$3:$CE$220,0),1),"")</f>
        <v/>
      </c>
      <c r="CG86" s="259">
        <f t="shared" ca="1" si="188"/>
        <v>0</v>
      </c>
      <c r="CH86" s="259" t="str">
        <f ca="1">IF(IF(CG86&lt;&gt;0,MAX($CH$2:CH85)+1,0)=0,"",IF(CG86&lt;&gt;"",MAX($CH$2:CH85)+1,0))</f>
        <v/>
      </c>
      <c r="CI86" s="259" t="str">
        <f ca="1">IFERROR(INDEX($CF$3:$CG$220,MATCH(ROWS($CI$3:CI86),$CH$3:$CH$220,0),1),"")</f>
        <v/>
      </c>
      <c r="CJ86" s="259" t="str">
        <f t="shared" ca="1" si="244"/>
        <v/>
      </c>
      <c r="CK86" s="259" t="str">
        <f t="shared" si="189"/>
        <v/>
      </c>
      <c r="CL86" s="259">
        <f ca="1">IF(IFERROR(MATCH(CK86,DENOMINAZIONE_GIORNALE,0),0)&gt;0,MAX(CL$2:CL85)+1,0)</f>
        <v>0</v>
      </c>
      <c r="CM86" s="259" t="str">
        <f ca="1">IFERROR(INDEX($CK$3:$CL$220,MATCH(ROWS($CM$3:CM86),$CL$3:$CL$220,0),1),"")</f>
        <v/>
      </c>
      <c r="CN86" s="259" t="str">
        <f t="shared" ca="1" si="190"/>
        <v/>
      </c>
      <c r="CO86" s="259">
        <f ca="1">IF(IF(CN86&lt;&gt;0,MAX($CO$2:CO85)+1,0)=0,"",IF(CN86&lt;&gt;"",MAX($CO$2:CO85)+1,0))</f>
        <v>0</v>
      </c>
      <c r="CP86" s="259" t="str">
        <f ca="1">IFERROR(INDEX($CM$3:$CN$220,MATCH(ROWS(CP$3:CP86),$CO$3:$CO$220,0),1),"")</f>
        <v/>
      </c>
      <c r="CQ86" s="259" t="str">
        <f ca="1">IFERROR(INDEX($CM$3:$CN$220,MATCH(ROWS(CQ$3:CQ86),$CO$3:$CO$220,0),2),"")</f>
        <v/>
      </c>
      <c r="CR86" s="259" t="str">
        <f t="shared" ca="1" si="191"/>
        <v/>
      </c>
      <c r="CS86" s="259">
        <f t="shared" ca="1" si="192"/>
        <v>0</v>
      </c>
      <c r="CT86" s="259">
        <f t="shared" ca="1" si="193"/>
        <v>0</v>
      </c>
      <c r="CU86" s="259">
        <f ca="1">IF(OR(CS86&gt;0,CT86&gt;0),MAX($CU$2:CU85)+1,0)</f>
        <v>0</v>
      </c>
      <c r="CV86" s="259" t="str">
        <f ca="1">IFERROR(INDEX(PIANO_DEI_CONTI,MATCH(ROWS($CV$3:CV86),$CU$3:$CU$200,0),2),"")</f>
        <v/>
      </c>
      <c r="CW86" s="259">
        <f ca="1">IFERROR(IF(CV86&lt;&gt;"",MAX($CW$2:CW85)+1,0),0)</f>
        <v>0</v>
      </c>
      <c r="CX86" s="259">
        <f t="shared" ca="1" si="315"/>
        <v>5</v>
      </c>
      <c r="CY86" s="259" t="str">
        <f t="shared" ca="1" si="308"/>
        <v>MASTRO</v>
      </c>
      <c r="CZ86" s="259" t="e">
        <f t="shared" ca="1" si="317"/>
        <v>#N/A</v>
      </c>
      <c r="DA86" s="259" t="str">
        <f t="shared" ca="1" si="322"/>
        <v/>
      </c>
      <c r="DB86" s="259" t="str">
        <f t="shared" ca="1" si="318"/>
        <v/>
      </c>
      <c r="DC86" s="259" t="str">
        <f t="shared" ca="1" si="319"/>
        <v/>
      </c>
      <c r="DD86" s="259" t="str">
        <f t="shared" ca="1" si="320"/>
        <v/>
      </c>
      <c r="DE86" s="259" t="str">
        <f t="shared" ca="1" si="321"/>
        <v/>
      </c>
      <c r="DF86" s="259">
        <f ca="1">IF(AND(CX86=$DE$2,$DF$2&lt;&gt;0),0,IF(AND(DB86&lt;&gt;"",OR(DB85&lt;&gt;"",DB87&lt;&gt;"")),MAX($DF$2:DF85)+1,0))</f>
        <v>0</v>
      </c>
      <c r="DG86" s="259" t="str">
        <f>IF(OR(VALORI_INIZIALI!E91="",AND(VALORI_INIZIALI!E91&lt;&gt;"",VALORI_INIZIALI!H91=0,VALORI_INIZIALI!I91=0)),"",IFERROR(INDEX(PIANO_DEI_CONTI,MATCH(BB86,DENOMINAZIONE,0),1),0))</f>
        <v/>
      </c>
      <c r="DH86" s="259">
        <f ca="1">IFERROR(IF($J$1=1,IF(INDEX(PIANO_DEI_CONTI,MATCH($K86,DENOMINAZIONE,0),5)=$DF$1,MAX($DH$2:DH85)+1,0),IF($J$1=2,IF(INDEX(PIANO_DEI_CONTI,MATCH($K86,DENOMINAZIONE,0),7)=$DF$1,MAX($DH$2:DH85)+1,0))),0)</f>
        <v>0</v>
      </c>
      <c r="DI86" s="259">
        <f ca="1">IFERROR(INDEX($K$3:$K$220,MATCH(ROWS($DI$3:DI86),$DH$3:$DH$220,0),1),0)</f>
        <v>0</v>
      </c>
      <c r="DJ86" s="259">
        <f t="shared" ca="1" si="194"/>
        <v>0</v>
      </c>
      <c r="DK86" s="259">
        <f ca="1">IF(DJ86=0,0,MAX(DK$2:DK85)+1)</f>
        <v>0</v>
      </c>
      <c r="DL86" s="259">
        <f ca="1">IFERROR(INDEX(PIANO_DEI_CONTI,MATCH(ROWS(DL$3:DL86),$DK$3:DK313,0),2),0)</f>
        <v>0</v>
      </c>
      <c r="DM86" s="259">
        <f t="shared" ca="1" si="195"/>
        <v>0</v>
      </c>
      <c r="DN86" s="259">
        <f t="shared" ca="1" si="196"/>
        <v>0</v>
      </c>
      <c r="DO86" s="259">
        <f t="shared" ca="1" si="245"/>
        <v>0</v>
      </c>
      <c r="DP86" s="259">
        <f t="shared" ca="1" si="246"/>
        <v>0</v>
      </c>
      <c r="DQ86" s="259">
        <f ca="1">IF(OR($DQ$1="TOTALI",$DQ$1="TOTALI ED ECCEDENZE"),IF(OR(DM86&gt;0,DN86&gt;0),MAX(DQ$2:DQ85)+1,0),IF($DQ$1="ECCEDENZE",IF(OR(DO86&gt;0,DP86&gt;0),MAX(DQ$2:DQ85)+1,0),""))</f>
        <v>0</v>
      </c>
      <c r="DR86" s="259" t="str">
        <f ca="1">IFERROR(INDEX($DL$3:$DQ$230,MATCH(ROWS(DR$3:DR86),$DQ$3:$DQ$230,0),1),"")</f>
        <v/>
      </c>
      <c r="DS86" s="259" t="str">
        <f t="shared" ca="1" si="247"/>
        <v/>
      </c>
      <c r="DT86" s="259" t="str">
        <f t="shared" ca="1" si="248"/>
        <v/>
      </c>
      <c r="DU86" s="259" t="str">
        <f t="shared" ca="1" si="249"/>
        <v/>
      </c>
      <c r="DV86" s="259" t="str">
        <f t="shared" ca="1" si="250"/>
        <v/>
      </c>
      <c r="DW86" s="259">
        <f t="shared" ca="1" si="251"/>
        <v>0</v>
      </c>
      <c r="DX86" s="259" t="str">
        <f t="shared" ca="1" si="252"/>
        <v/>
      </c>
      <c r="DY86" s="259" t="str">
        <f t="shared" ca="1" si="253"/>
        <v/>
      </c>
      <c r="DZ86" s="259" t="str">
        <f t="shared" ca="1" si="254"/>
        <v/>
      </c>
      <c r="EA86" s="259">
        <f t="shared" ca="1" si="255"/>
        <v>84</v>
      </c>
      <c r="EB86" s="259" t="s">
        <v>361</v>
      </c>
      <c r="ED86" s="259">
        <f t="shared" ca="1" si="197"/>
        <v>0</v>
      </c>
      <c r="EE86" s="259" t="str">
        <f t="shared" ca="1" si="198"/>
        <v/>
      </c>
      <c r="EF86" s="259" t="str">
        <f t="shared" ca="1" si="199"/>
        <v/>
      </c>
      <c r="EG86" s="259" t="str">
        <f t="shared" ca="1" si="309"/>
        <v/>
      </c>
      <c r="EH86" s="259" t="str">
        <f t="shared" ca="1" si="256"/>
        <v/>
      </c>
      <c r="EI86" s="260" t="b">
        <f t="shared" ca="1" si="310"/>
        <v>0</v>
      </c>
      <c r="EJ86" s="260" t="b">
        <f t="shared" ca="1" si="311"/>
        <v>0</v>
      </c>
      <c r="EK86" s="260" t="b">
        <f t="shared" ca="1" si="312"/>
        <v>1</v>
      </c>
      <c r="EL86" s="259">
        <f t="shared" si="257"/>
        <v>84</v>
      </c>
      <c r="EM86" s="259">
        <f ca="1">IF(AND(BA86&gt;0,BA86&lt;=$EM$1),MAX($EM$2:EM85)+1,0)</f>
        <v>0</v>
      </c>
      <c r="EN86" s="259">
        <f t="shared" ca="1" si="258"/>
        <v>86</v>
      </c>
      <c r="EP86" s="259" t="str">
        <f t="shared" ca="1" si="200"/>
        <v/>
      </c>
      <c r="EQ86" s="259">
        <f t="shared" ca="1" si="201"/>
        <v>0</v>
      </c>
      <c r="ER86" s="259">
        <f ca="1">IF(ISNA(EQ86),MAX(ER$2:ER85)+1,0)</f>
        <v>0</v>
      </c>
      <c r="ES86" s="259" t="str">
        <f t="shared" ca="1" si="259"/>
        <v/>
      </c>
      <c r="ET86" s="259" t="str">
        <f ca="1">IFERROR(UPPER(INDEX($ER$3:$ES$500,MATCH(ROWS(ET$3:ET86),$ER$3:$ER$500,0),2)),"")</f>
        <v/>
      </c>
      <c r="EY86" s="259">
        <f t="shared" ca="1" si="260"/>
        <v>0</v>
      </c>
      <c r="EZ86" s="259">
        <f t="shared" ca="1" si="260"/>
        <v>0</v>
      </c>
      <c r="FA86" s="259" t="str">
        <f t="shared" ca="1" si="261"/>
        <v/>
      </c>
      <c r="FB86" s="259">
        <f t="shared" ca="1" si="262"/>
        <v>0</v>
      </c>
      <c r="FC86" s="259">
        <f t="shared" ca="1" si="263"/>
        <v>0</v>
      </c>
      <c r="FD86" s="259">
        <f t="shared" ca="1" si="202"/>
        <v>0</v>
      </c>
      <c r="FE86" s="259" t="str">
        <f t="shared" ca="1" si="203"/>
        <v/>
      </c>
      <c r="FF86" s="259" t="str">
        <f t="shared" ca="1" si="264"/>
        <v/>
      </c>
      <c r="FG86" s="259" t="str">
        <f t="shared" si="265"/>
        <v>PERSONALE C/LIQUIDAZIONE</v>
      </c>
      <c r="FH86" s="259">
        <f t="shared" ca="1" si="156"/>
        <v>0</v>
      </c>
      <c r="FI86" s="259">
        <f t="shared" ca="1" si="204"/>
        <v>0</v>
      </c>
      <c r="FJ86" s="259">
        <f t="shared" ca="1" si="266"/>
        <v>0</v>
      </c>
      <c r="FK86" s="259">
        <f t="shared" ca="1" si="267"/>
        <v>0</v>
      </c>
      <c r="FL86" s="259">
        <f ca="1">IF(OR(FJ86&gt;0,FK86&gt;0),MAX($FL$2:FL85)+1,0)</f>
        <v>0</v>
      </c>
      <c r="FM86" s="259">
        <f t="shared" ca="1" si="205"/>
        <v>0</v>
      </c>
      <c r="FN86" s="259">
        <f ca="1">IF(FM86&lt;0,MAX($FN$2:FN85)+1,0)</f>
        <v>0</v>
      </c>
      <c r="FO86" s="259" t="str">
        <f t="shared" ca="1" si="268"/>
        <v/>
      </c>
      <c r="FP86" s="259" t="str">
        <f ca="1">IFERROR(INDEX($FN$3:$FO$400,MATCH(ROWS($FP$3:FP86),$FN$3:$FN$400,0),2),"")</f>
        <v/>
      </c>
      <c r="FQ86" s="259" t="str">
        <f>IF(AE86="SE AVERE",MAX($FQ$2:FQ85)+1,"")</f>
        <v/>
      </c>
      <c r="FR86" s="259" t="str">
        <f>IF(AE86="SE DARE",MAX($FR$2:FR85)+1,"")</f>
        <v/>
      </c>
      <c r="FS86" s="259" t="str">
        <f ca="1">IF(AND(AE86="SP DARE",AA86&lt;&gt;$FS$1,AA86&lt;&gt;$FT$1),MAX($FS$2:FS85)+1,IF(AND(GQ86="SP DARE",AA86&lt;&gt;$FS$1,AA86&lt;&gt;$FT$1),MAX($FS$2:FS85)+1,""))</f>
        <v/>
      </c>
      <c r="FT86" s="259">
        <f ca="1">IF(AND(AE86="SP AVERE",AA86&lt;&gt;$FU$1),MAX($FT$2:FT85)+1,IF(AND(GQ86="SP AVERE",AA86&lt;&gt;$FU$1),MAX($FT$2:FT85)+1,""))</f>
        <v>168</v>
      </c>
      <c r="FU86" s="259">
        <f t="shared" ca="1" si="269"/>
        <v>168</v>
      </c>
      <c r="FV86" s="259" t="str">
        <f t="shared" si="270"/>
        <v>PERSONALE C/LIQUIDAZIONE</v>
      </c>
      <c r="FW86" s="259">
        <f ca="1">IFERROR(INDEX($FU$3:$FV$500,MATCH(ROWS($FW$3:FW86),$FU$3:$FU$500,0),2),0)</f>
        <v>0</v>
      </c>
      <c r="FX86" s="259">
        <f t="shared" ca="1" si="271"/>
        <v>0</v>
      </c>
      <c r="FY86" s="259">
        <f t="shared" ca="1" si="272"/>
        <v>84</v>
      </c>
      <c r="FZ86" s="259">
        <f ca="1">IF(FY86&gt;0,MAX($FZ$2:FZ85)+1,0)</f>
        <v>10</v>
      </c>
      <c r="GA86" s="259">
        <f ca="1">IFERROR(INDEX($FY$3:$FZ$500,MATCH(ROWS($GA$3:GA86),$FZ$3:$FZ$500,0),1),0)</f>
        <v>0</v>
      </c>
      <c r="GC86" s="259">
        <f t="shared" ca="1" si="273"/>
        <v>84</v>
      </c>
      <c r="GD86" s="259" t="str">
        <f t="shared" ca="1" si="274"/>
        <v>PERDITA D'ESERCIZIO</v>
      </c>
      <c r="GG86" s="259">
        <f t="shared" ca="1" si="275"/>
        <v>0</v>
      </c>
      <c r="GH86" s="259">
        <f t="shared" ca="1" si="276"/>
        <v>0</v>
      </c>
      <c r="GI86" s="259">
        <f t="shared" ca="1" si="277"/>
        <v>0</v>
      </c>
      <c r="GJ86" s="259">
        <f t="shared" ca="1" si="278"/>
        <v>0</v>
      </c>
      <c r="GK86" s="259">
        <f t="shared" ca="1" si="279"/>
        <v>0</v>
      </c>
      <c r="GL86" s="259">
        <f t="shared" ca="1" si="280"/>
        <v>0</v>
      </c>
      <c r="GM86" s="259">
        <f ca="1">IF(OR(GK86&gt;0,GL86&gt;0),MAX($GM$2:GM85)+1,0)</f>
        <v>0</v>
      </c>
      <c r="GN86" s="259" t="str">
        <f ca="1">IFERROR(INDEX($GD$3:$GM$400,MATCH(ROWS($GN$3:GN86),$GM$3:$GM$400,0),1),"")</f>
        <v/>
      </c>
      <c r="GO86" s="259" t="str">
        <f ca="1">IFERROR(INDEX($GD$3:$GM$400,MATCH(ROWS($GO$3:GO86),$GM$3:$GM$400,0),8),"")</f>
        <v/>
      </c>
      <c r="GP86" s="259" t="str">
        <f ca="1">IFERROR(INDEX($GD$3:$GM$400,MATCH(ROWS($GP$3:GP86),$GM$3:$GM$400,0),9),"")</f>
        <v/>
      </c>
      <c r="GQ86" s="259">
        <f t="shared" ca="1" si="206"/>
        <v>0</v>
      </c>
      <c r="GR86" s="259">
        <f t="shared" ca="1" si="281"/>
        <v>0</v>
      </c>
      <c r="GS86" s="259" t="str">
        <f t="shared" ca="1" si="282"/>
        <v>coperta perdita d'esercizio</v>
      </c>
      <c r="GT86" s="259" t="str">
        <f ca="1">IFERROR(INDEX($GD$3:$GS$400,MATCH(ROWS($GT$3:GT86),$GM$3:$GM$400,0),16),"")</f>
        <v/>
      </c>
      <c r="GU86" s="259">
        <f ca="1">IF(GQ86&lt;&gt;0,MAX($GU$2:$GU85)+1,0)</f>
        <v>0</v>
      </c>
      <c r="GV86" s="259">
        <f t="shared" ca="1" si="283"/>
        <v>0</v>
      </c>
      <c r="GW86" s="259" t="str">
        <f ca="1">IF(AND(IFERROR(INDEX($GU$3:$GV$400,MATCH(ROWS($GW$3:GW86),$GU$3:$GU$400,0),2),"")&lt;&gt;"",GW87&lt;&gt;""),CONCATENATE(IFERROR(INDEX($GU$3:$GV$400,MATCH(ROWS($GW$3:GW86),$GU$3:$GU$400,0),2),"")," - "),IFERROR(INDEX($GU$3:$GV$400,MATCH(ROWS($GW$3:GW86),$GU$3:$GU$400,0),2),""))</f>
        <v/>
      </c>
      <c r="GX86" s="259">
        <f ca="1">IF(OR(GN86="IVA NS/CREDITO",GN86="IVA NS/DEBITO",GN86="IVA C/ACCONTO",GN86="IMPOSTE C/ACCONTO"),MAX($GX$2:GX85)+1,0)</f>
        <v>0</v>
      </c>
      <c r="GY86" s="259" t="str">
        <f ca="1">IF(AND(IFERROR(INDEX($GN$3:$GX$200,MATCH(ROWS($GY$3:GY86),$GX$3:$GX$200,0),1),"")&lt;&gt;"",GY87&lt;&gt;""),CONCATENATE(IFERROR(INDEX($GN$3:$GX$200,MATCH(ROWS($GY$3:GY86),$GX$3:$GX$200,0),1),"")," - "),IFERROR(INDEX($GN$3:$GX$200,MATCH(ROWS($GY$3:GY86),$GX$3:$GX$200,0),1),""))</f>
        <v/>
      </c>
      <c r="GZ86" s="259" t="s">
        <v>640</v>
      </c>
      <c r="HA86" s="259" t="s">
        <v>109</v>
      </c>
      <c r="HB86" s="269" t="s">
        <v>257</v>
      </c>
      <c r="HC86" s="269" t="s">
        <v>211</v>
      </c>
      <c r="HD86" s="269" t="s">
        <v>5</v>
      </c>
      <c r="HE86" s="269" t="s">
        <v>212</v>
      </c>
      <c r="HL86" s="259" t="str">
        <f t="shared" ca="1" si="207"/>
        <v/>
      </c>
      <c r="HM86" s="259" t="str">
        <f t="shared" ca="1" si="208"/>
        <v/>
      </c>
      <c r="HN86" s="259" t="str">
        <f t="shared" ca="1" si="209"/>
        <v/>
      </c>
      <c r="HO86" s="259">
        <f ca="1">IF(HL86&lt;&gt;"",MAX($HO$2:HO85)+1,0)</f>
        <v>0</v>
      </c>
      <c r="HP86" s="259">
        <f ca="1">IF(HM86&lt;&gt;"",MAX($HP$2:HP85)+1,0)</f>
        <v>0</v>
      </c>
      <c r="HQ86" s="259">
        <f ca="1">IF(HN86&lt;&gt;"",MAX($HQ$2:HQ85)+1,0)</f>
        <v>0</v>
      </c>
      <c r="HR86" s="259" t="str">
        <f t="shared" ca="1" si="284"/>
        <v/>
      </c>
      <c r="HS86" s="259" t="str">
        <f t="shared" ca="1" si="285"/>
        <v/>
      </c>
      <c r="HT86" s="259">
        <f t="shared" ca="1" si="286"/>
        <v>0</v>
      </c>
      <c r="HU86" s="259">
        <f t="shared" ca="1" si="287"/>
        <v>0</v>
      </c>
      <c r="HV86" s="259" t="str">
        <f ca="1">CONCATENATE(IFERROR(INDEX($HS$3:$HT$102,MATCH(ROWS($HV$3:HV86),$HT$3:$HT$102,0),1),""),HR86)</f>
        <v/>
      </c>
      <c r="IA86" s="259" t="s">
        <v>397</v>
      </c>
      <c r="IB86" s="259" t="s">
        <v>340</v>
      </c>
      <c r="IC86" s="259">
        <f ca="1">IFERROR(INDEX(PIANO_DEI_CONTI,MATCH(ROWS(DL$3:DL86),$DK$3:DK313,0),2),0)</f>
        <v>0</v>
      </c>
      <c r="ID86" s="259">
        <f t="shared" ca="1" si="288"/>
        <v>0</v>
      </c>
      <c r="IE86" s="259">
        <f t="shared" ca="1" si="289"/>
        <v>0</v>
      </c>
      <c r="IF86" s="259">
        <f t="shared" ca="1" si="290"/>
        <v>0</v>
      </c>
      <c r="IG86" s="259">
        <f t="shared" ca="1" si="324"/>
        <v>0</v>
      </c>
      <c r="IH86" s="259">
        <f ca="1">IF(IG86&lt;&gt;0,MAX($IH$35:IH85)+1,0)</f>
        <v>0</v>
      </c>
      <c r="II86" s="259">
        <f>IF(AD86="costi pluriennali",MAX($II$2:II85)+1,0)</f>
        <v>0</v>
      </c>
      <c r="IJ86" s="259">
        <f>IF($AD86="rettifiche costi pluriennali",MAX($IJ$2:IJ85)+1,0)</f>
        <v>0</v>
      </c>
      <c r="IK86" s="259">
        <f t="shared" si="291"/>
        <v>0</v>
      </c>
      <c r="IL86" s="259" t="str">
        <f t="shared" si="292"/>
        <v/>
      </c>
      <c r="IM86" s="259">
        <f t="shared" ca="1" si="293"/>
        <v>0</v>
      </c>
      <c r="IN86" s="259">
        <f t="shared" ca="1" si="313"/>
        <v>0</v>
      </c>
      <c r="IO86" s="259">
        <f>SUMIFS($IM$3:$IM$200,$IK$3:$IK$200,ROWS($IO$3:IO86))-SUMIFS($IN$3:$IN$200,$IK$3:$IK$200,ROWS($IO$3:IO86))</f>
        <v>0</v>
      </c>
      <c r="IP86" s="259" t="str">
        <f>IF(IO86&lt;0,INDEX($IJ$3:$IL$200,MATCH(ROWS($IP$3:IP86),$IJ$3:$IJ$200,0),3),"")</f>
        <v/>
      </c>
      <c r="IQ86" s="259">
        <f>IF(IP86&lt;&gt;"",MAX($IQ$2:IQ85)+1,0)</f>
        <v>0</v>
      </c>
      <c r="IR86" s="259" t="str">
        <f ca="1">IFERROR(INDEX($IP$3:$IQ$200,MATCH(ROWS($IR$3:IR86),$IQ$3:$IQ$200,0),1),"")</f>
        <v/>
      </c>
      <c r="IS86" s="259" t="str">
        <f t="shared" ca="1" si="294"/>
        <v/>
      </c>
      <c r="IT86" s="259" t="str">
        <f t="shared" ca="1" si="295"/>
        <v/>
      </c>
      <c r="IU86" s="259" t="str">
        <f t="shared" ca="1" si="296"/>
        <v/>
      </c>
      <c r="IV86" s="259" t="str">
        <f t="shared" ca="1" si="297"/>
        <v/>
      </c>
      <c r="IW86" s="259" t="str">
        <f t="shared" ca="1" si="298"/>
        <v/>
      </c>
      <c r="IX86" s="259" t="str">
        <f t="shared" ca="1" si="299"/>
        <v/>
      </c>
      <c r="IY86" s="259" t="str">
        <f t="shared" ca="1" si="300"/>
        <v/>
      </c>
      <c r="IZ86" s="259" t="str">
        <f t="shared" ca="1" si="301"/>
        <v/>
      </c>
      <c r="JA86" s="259" t="str">
        <f t="shared" ca="1" si="302"/>
        <v/>
      </c>
      <c r="JB86" s="259">
        <f t="shared" ca="1" si="210"/>
        <v>0</v>
      </c>
      <c r="JC86" s="259">
        <f t="shared" ca="1" si="303"/>
        <v>0</v>
      </c>
      <c r="JE86" s="259">
        <f ca="1">IFERROR(INDEX(LIBRO_GIORNALE!$N$11:$O$408,MATCH(ROWS($JE$2:JE85),LIBRO_GIORNALE!$O$11:$O$408,0),1),0)</f>
        <v>0</v>
      </c>
      <c r="JF86" s="259" t="str">
        <f t="shared" ca="1" si="304"/>
        <v>0</v>
      </c>
      <c r="JG86" s="259">
        <f t="shared" ca="1" si="305"/>
        <v>0</v>
      </c>
      <c r="JH86" s="259">
        <f ca="1">IF(JJ86&gt;0,0,MAX($JH$2:JH85)+1)</f>
        <v>84</v>
      </c>
      <c r="JI86" s="259">
        <f ca="1">IF(JG86&gt;0,MAX($JI$2:JI85)+1,0)</f>
        <v>0</v>
      </c>
      <c r="JJ86" s="259">
        <f ca="1">IFERROR(INDEX($JG$3:$JI$124,MATCH(ROWS($JJ$3:JJ86),$JI$3:$JI$124,0),1),0)</f>
        <v>0</v>
      </c>
      <c r="JK86" s="259">
        <f t="shared" ca="1" si="306"/>
        <v>0</v>
      </c>
      <c r="JL86" s="259">
        <f t="shared" ca="1" si="307"/>
        <v>84</v>
      </c>
    </row>
    <row r="87" spans="1:272">
      <c r="A87" s="259" t="str">
        <f t="shared" si="211"/>
        <v>14.03</v>
      </c>
      <c r="B87" s="259" t="str">
        <f t="shared" si="212"/>
        <v>DEBITI COMMERCIALI DIVERSI</v>
      </c>
      <c r="C87" s="259" t="str">
        <f t="shared" si="213"/>
        <v>F</v>
      </c>
      <c r="D87" s="259" t="str">
        <f t="shared" si="214"/>
        <v>A</v>
      </c>
      <c r="E87" s="259" t="str">
        <f t="shared" si="215"/>
        <v>DEBITI</v>
      </c>
      <c r="F87" s="259" t="str">
        <f t="shared" si="216"/>
        <v>SP AVERE</v>
      </c>
      <c r="G87" s="259">
        <f t="shared" ca="1" si="217"/>
        <v>1</v>
      </c>
      <c r="H87" s="259">
        <f t="shared" ca="1" si="218"/>
        <v>1</v>
      </c>
      <c r="I87" s="259">
        <f t="shared" ca="1" si="219"/>
        <v>1</v>
      </c>
      <c r="K87" s="259" t="str">
        <f ca="1">IFERROR(IF($I$1=1,INDEX($AA$3:$AS$220,MATCH(ROWS($K$3:K87),$AQ$3:$AQ$220,0),1),IF($I$1=2,INDEX($AA$3:$AS$220,MATCH(ROWS($K$3:K87),$AR$3:$AR$220,0),1),IF($I$1=3,INDEX($AA$3:$AS$220,MATCH(ROWS($K$3:K87),$AS$3:$AS$220,0),1),""))),"")</f>
        <v>DEBITI DIVERSI</v>
      </c>
      <c r="L87" s="259">
        <f ca="1">IF(AND($L$1="VISUALIZZA TUTTI I CONTI",K87&lt;&gt;""),MAX(L86:L86)+1,IFERROR(IF($J$1=1,IF(INDEX(PIANO_DEI_CONTI,MATCH($K87,DENOMINAZIONE,0),5)=$L$1,MAX($L$2:L86)+1,0),IF($J$1=2,IF(INDEX(PIANO_DEI_CONTI,MATCH($K87,DENOMINAZIONE,0),7)=$L$1,MAX($L$2:L86)+1,0))),0))</f>
        <v>85</v>
      </c>
      <c r="M87" s="259" t="str">
        <f ca="1">IFERROR(INDEX($K$3:$K$220,MATCH(ROWS($M$3:M87),$L$3:$L$220,0),1),"")</f>
        <v>DEBITI DIVERSI</v>
      </c>
      <c r="Q87" s="259" t="str">
        <f ca="1">IF(IFERROR(INDEX($O$3:$P$220,MATCH(ROWS(Q$3:Q87),$P$3:$P$220,0),1),"")=0,"",IFERROR(INDEX($O$3:$P$220,MATCH(ROWS(Q$3:Q87),$P$3:$P$220,0),1),""))</f>
        <v/>
      </c>
      <c r="R87" s="259" t="str">
        <f t="shared" si="182"/>
        <v/>
      </c>
      <c r="S87" s="259">
        <f ca="1">IF(IFERROR(MATCH(R87,DENOMINAZIONE_GIORNALE,0),0)&gt;0,MAX(S$2:S86)+1,0)</f>
        <v>0</v>
      </c>
      <c r="T87" s="259" t="str">
        <f ca="1">IFERROR(INDEX($R$3:$S$220,MATCH(ROWS($T$3:T87),$S$3:$S$220,0),1),"")</f>
        <v/>
      </c>
      <c r="U87" s="259">
        <f t="shared" ca="1" si="183"/>
        <v>0</v>
      </c>
      <c r="V87" s="259">
        <f ca="1">IF(IF(U87&lt;&gt;0,MAX($V$2:V86)+1,0)=0,0,IF(U87&lt;&gt;0,MAX($V$2:V86)+1,0))</f>
        <v>0</v>
      </c>
      <c r="W87" s="259" t="str">
        <f t="shared" si="220"/>
        <v>14.03</v>
      </c>
      <c r="X87" s="259" t="str">
        <f t="shared" si="221"/>
        <v>DEBITI COMMERCIALI DIVERSI</v>
      </c>
      <c r="Y87" s="259">
        <f>IF(W87="",0,MAX($Y$2:Y86)+1)</f>
        <v>72</v>
      </c>
      <c r="Z87" s="259" t="str">
        <f>IFERROR(INDEX($W$3:$Y$220,MATCH(ROWS($Z$2:Z86),$Y$3:$Y$220,0),1),"")</f>
        <v>15.22</v>
      </c>
      <c r="AA87" s="259" t="str">
        <f t="shared" si="222"/>
        <v>DEBITI V/FONDI PENSIONE</v>
      </c>
      <c r="AB87" s="259" t="str">
        <f t="shared" si="223"/>
        <v>F</v>
      </c>
      <c r="AC87" s="259" t="str">
        <f t="shared" si="224"/>
        <v>A</v>
      </c>
      <c r="AD87" s="259" t="str">
        <f t="shared" si="225"/>
        <v>DEBITI</v>
      </c>
      <c r="AE87" s="259" t="str">
        <f t="shared" si="226"/>
        <v>SP AVERE</v>
      </c>
      <c r="AF87" s="259" t="str">
        <f t="shared" si="227"/>
        <v>DEBITI DIVERSI</v>
      </c>
      <c r="AG87" s="259">
        <f t="shared" ca="1" si="228"/>
        <v>0</v>
      </c>
      <c r="AH87" s="259">
        <f t="shared" ca="1" si="229"/>
        <v>0</v>
      </c>
      <c r="AI87" s="259">
        <f t="shared" ca="1" si="230"/>
        <v>1</v>
      </c>
      <c r="AJ87" s="259" t="str">
        <f t="shared" si="231"/>
        <v>15</v>
      </c>
      <c r="AK87" s="259" t="str">
        <f t="shared" si="232"/>
        <v/>
      </c>
      <c r="AL87" s="259">
        <f>IF(AK87&lt;&gt;"",MAX($AL$2:AL86)+1,0)</f>
        <v>0</v>
      </c>
      <c r="AM87" s="259" t="str">
        <f>IFERROR(INDEX($AK$3:$AL$220,MATCH(ROWS($AM$3:AM87),$AL$3:$AL$220,0),1),"")</f>
        <v/>
      </c>
      <c r="AN87" s="259" t="str">
        <f t="shared" si="233"/>
        <v/>
      </c>
      <c r="AO87" s="259" t="str">
        <f t="shared" si="234"/>
        <v/>
      </c>
      <c r="AP87" s="259" t="str">
        <f t="shared" si="235"/>
        <v>DEBITI DIVERSI</v>
      </c>
      <c r="AQ87" s="259">
        <f ca="1">IF(OR(AG87=0,AG87=""),0,MAX(AQ$2:AQ86)+1)</f>
        <v>0</v>
      </c>
      <c r="AR87" s="259">
        <f ca="1">IF(OR(AH87=0,AH87=""),0,MAX(AR$2:AR86)+1)</f>
        <v>0</v>
      </c>
      <c r="AS87" s="259">
        <f ca="1">IF(OR(AI87=0,AI87=""),0,MAX(AS$2:AS86)+1)</f>
        <v>83</v>
      </c>
      <c r="AT87" s="259" t="str">
        <f ca="1">IFERROR(INDEX($AD$3:$AS$220,MATCH(ROWS(AT$3:AT87),AQ$3:AQ$220,0),1),"")</f>
        <v>RICAVI D'ESERCIZIO</v>
      </c>
      <c r="AU87" s="259" t="str">
        <f ca="1">IFERROR(INDEX($AD$3:$AS$220,MATCH(ROWS(AU$3:AU87),AR$3:AR$220,0),1),"")</f>
        <v>RETTIFICHE COSTI D'ESERCIZIO</v>
      </c>
      <c r="AV87" s="259" t="str">
        <f ca="1">IFERROR(INDEX($AD$3:$AS$220,MATCH(ROWS(AV$3:AV87),AS$3:AS$220,0),1),"")</f>
        <v>DEBITI</v>
      </c>
      <c r="AW87" s="259" t="str">
        <f ca="1">IFERROR(INDEX($AP$3:$AS$220,MATCH(ROWS(AW$3:AW87),AQ$3:AQ$220,0),1),"")</f>
        <v>PROVENTI FINANZIARI</v>
      </c>
      <c r="AX87" s="259" t="str">
        <f ca="1">IFERROR(INDEX($AP$3:$AS$220,MATCH(ROWS(AX$3:AX87),AR$3:AR$220,0),1),"")</f>
        <v>COSTI PER MERCI E MATERIE DI CONSUMO</v>
      </c>
      <c r="AY87" s="259" t="str">
        <f ca="1">IFERROR(INDEX($AP$3:$AS$220,MATCH(ROWS(AY$3:AY87),AS$3:AS$220,0),1),"")</f>
        <v>DEBITI DIVERSI</v>
      </c>
      <c r="AZ87" s="276" t="str">
        <f t="shared" ca="1" si="236"/>
        <v/>
      </c>
      <c r="BA87" s="259">
        <f t="shared" ca="1" si="184"/>
        <v>0</v>
      </c>
      <c r="BB87" s="259">
        <f ca="1">IFERROR(INDEX($FG$3:$FL$400,MATCH(ROWS($BB$3:BB87),$FL$3:$FL$400,0),1),0)</f>
        <v>0</v>
      </c>
      <c r="BC87" s="259" t="str">
        <f t="shared" ca="1" si="237"/>
        <v/>
      </c>
      <c r="BD87" s="259">
        <f ca="1">IFERROR(INDEX($FG$3:$FL$400,MATCH(ROWS($BD$3:BD87),$FL$3:$FL$400,0),4),0)</f>
        <v>0</v>
      </c>
      <c r="BE87" s="259">
        <f ca="1">IFERROR(INDEX($FG$3:$FL$400,MATCH(ROWS($BE$3:BE87),$FL$3:$FL$400,0),5),0)</f>
        <v>0</v>
      </c>
      <c r="BG87" s="259" t="str">
        <f t="shared" si="185"/>
        <v>DEBITI V/FONDI PENSIONE</v>
      </c>
      <c r="BH87" s="259">
        <f ca="1">IF(IFERROR(MATCH(BG87,DENOMINAZIONE_GIORNALE,0),0)&gt;0,MAX(BH$2:BH86)+1,0)</f>
        <v>0</v>
      </c>
      <c r="BI87" s="259" t="str">
        <f ca="1">IFERROR(INDEX($BG$3:$BH$220,MATCH(ROWS($BI$3:BI87),$BH$3:$BH$220,0),1),"")</f>
        <v/>
      </c>
      <c r="BJ87" s="259" t="str">
        <f t="shared" ca="1" si="186"/>
        <v/>
      </c>
      <c r="BK87" s="259" t="str">
        <f ca="1">IF(IF(BJ87&lt;&gt;"",MAX($BK$2:BK86)+1,0)=0,"",IF(BJ87&lt;&gt;"",MAX($BK$2:BK86)+1,0))</f>
        <v/>
      </c>
      <c r="BL87" s="259" t="str">
        <f ca="1">IFERROR(INDEX($T$3:$U$220, MATCH(ROWS(BL$3:BL87),$V$3:$V$220,0),1),"")</f>
        <v/>
      </c>
      <c r="BM87" s="259" t="str">
        <f ca="1">IFERROR(INDEX($T$3:$U$220, MATCH(ROWS(BM$3:BM87),$V$3:$V$220,0),2),"")</f>
        <v/>
      </c>
      <c r="BN87" s="259" t="str">
        <f ca="1">IF(IFERROR(INDEX($BI$3:$BJ$220,MATCH(ROWS(BN$3:BN87),$BK$3:$BK$220,0),1),"")="PATRIMONIO NETTO","",IFERROR(INDEX($BI$3:$BJ$220,MATCH(ROWS(BN$3:BN87),$BK$3:$BK$220,0),1),""))</f>
        <v/>
      </c>
      <c r="BO87" s="259" t="str">
        <f ca="1">IFERROR(INDEX($BI$3:$BJ$220,MATCH(ROWS(BO$3:BO87),$BK$3:$BK$220,0),2),"")</f>
        <v/>
      </c>
      <c r="BP87" s="259">
        <f ca="1">IF(BN87&lt;&gt;"",MAX(BP$2:$BP86)+1,0)</f>
        <v>0</v>
      </c>
      <c r="BQ87" s="259" t="str">
        <f ca="1">IFERROR(INDEX($BN$3:$BO$200,MATCH(ROWS(BQ$3:BQ87),$BP$3:$BP$220,0),1),"")</f>
        <v/>
      </c>
      <c r="BR87" s="259" t="str">
        <f ca="1">IFERROR(INDEX($BN$3:$BO$220,MATCH(ROWS(BR$3:BR87),$BP$3:$BP$220,0),2),"")</f>
        <v/>
      </c>
      <c r="BS87" s="259" t="str">
        <f ca="1">IFERROR(IF(OR(INDEX($T$3:$U$220,MATCH(ROWS(BL$3:BL87),$V$3:$V$220,0),1)="PRELEVAMENTI EXTRAGESTIONE",INDEX($T$3:$U$220,MATCH(ROWS(BL$3:BL87),$V$3:$V$220,0),1)="TITOLARE C/RITENUTE SUBITE"),"",INDEX($T$3:$U$220,MATCH(ROWS(BL$3:BL87),$V$3:$V$220,0),1)),"")</f>
        <v/>
      </c>
      <c r="BT87" s="259">
        <f t="shared" ca="1" si="238"/>
        <v>0</v>
      </c>
      <c r="BU87" s="259">
        <f ca="1">IF(BS87&lt;&gt;"",MAX(BU$2:BU86)+1,0)</f>
        <v>0</v>
      </c>
      <c r="BV87" s="259" t="str">
        <f ca="1">IFERROR(INDEX($BS$3:$BT$223,MATCH(ROWS(BV$3:BV87),$BU$3:$BU$223,0),1),"")</f>
        <v/>
      </c>
      <c r="BW87" s="259">
        <f t="shared" ca="1" si="239"/>
        <v>0</v>
      </c>
      <c r="BX87" s="259" t="str">
        <f t="shared" ca="1" si="240"/>
        <v/>
      </c>
      <c r="BY87" s="259" t="str">
        <f t="shared" ca="1" si="241"/>
        <v/>
      </c>
      <c r="BZ87" s="259" t="str">
        <f ca="1">IFERROR(IF(OR($DS$231&lt;&gt;$DT$231,$DU$231&lt;&gt;$DV$231,$EO$25&lt;&gt;0,$EO$26&lt;&gt;0),INDEX($T$3:$V$220,MATCH(ROWS($BV$3:BV87),$V$3:$V$220,0),1),CONCATENATE(BV87,BY87)),"")</f>
        <v/>
      </c>
      <c r="CA87" s="259">
        <f t="shared" ca="1" si="242"/>
        <v>0</v>
      </c>
      <c r="CB87" s="259" t="str">
        <f ca="1">IFERROR(IF(OR($BB$1&lt;&gt;$BD$1,$BC$1&lt;&gt;$BE$1,$DS$231&lt;&gt;$DT$231,$DU$231&lt;&gt;$DV$231,$EO$25&lt;&gt;0,$EO$26&lt;&gt;0),INDEX($BI$3:$BK$220,MATCH(ROWS($CB$3:CB87),$BK$3:$BK$220,0),1),CONCATENATE(BQ87,BX87)),"")</f>
        <v/>
      </c>
      <c r="CC87" s="259" t="str">
        <f t="shared" ca="1" si="243"/>
        <v/>
      </c>
      <c r="CD87" s="259" t="str">
        <f t="shared" si="187"/>
        <v/>
      </c>
      <c r="CE87" s="259">
        <f ca="1">IF(IFERROR(MATCH(CD87,DENOMINAZIONE_GIORNALE,0),0)&gt;0,MAX(CE$2:CE86)+1,0)</f>
        <v>0</v>
      </c>
      <c r="CF87" s="259" t="str">
        <f ca="1">IFERROR(INDEX($CD$3:$CE$220,MATCH(ROWS($CF$3:CF87),$CE$3:$CE$220,0),1),"")</f>
        <v/>
      </c>
      <c r="CG87" s="259">
        <f t="shared" ca="1" si="188"/>
        <v>0</v>
      </c>
      <c r="CH87" s="259" t="str">
        <f ca="1">IF(IF(CG87&lt;&gt;0,MAX($CH$2:CH86)+1,0)=0,"",IF(CG87&lt;&gt;"",MAX($CH$2:CH86)+1,0))</f>
        <v/>
      </c>
      <c r="CI87" s="259" t="str">
        <f ca="1">IFERROR(INDEX($CF$3:$CG$220,MATCH(ROWS($CI$3:CI87),$CH$3:$CH$220,0),1),"")</f>
        <v/>
      </c>
      <c r="CJ87" s="259" t="str">
        <f t="shared" ca="1" si="244"/>
        <v/>
      </c>
      <c r="CK87" s="259" t="str">
        <f t="shared" si="189"/>
        <v/>
      </c>
      <c r="CL87" s="259">
        <f ca="1">IF(IFERROR(MATCH(CK87,DENOMINAZIONE_GIORNALE,0),0)&gt;0,MAX(CL$2:CL86)+1,0)</f>
        <v>0</v>
      </c>
      <c r="CM87" s="259" t="str">
        <f ca="1">IFERROR(INDEX($CK$3:$CL$220,MATCH(ROWS($CM$3:CM87),$CL$3:$CL$220,0),1),"")</f>
        <v/>
      </c>
      <c r="CN87" s="259" t="str">
        <f t="shared" ca="1" si="190"/>
        <v/>
      </c>
      <c r="CO87" s="259">
        <f ca="1">IF(IF(CN87&lt;&gt;0,MAX($CO$2:CO86)+1,0)=0,"",IF(CN87&lt;&gt;"",MAX($CO$2:CO86)+1,0))</f>
        <v>0</v>
      </c>
      <c r="CP87" s="259" t="str">
        <f ca="1">IFERROR(INDEX($CM$3:$CN$220,MATCH(ROWS(CP$3:CP87),$CO$3:$CO$220,0),1),"")</f>
        <v/>
      </c>
      <c r="CQ87" s="259" t="str">
        <f ca="1">IFERROR(INDEX($CM$3:$CN$220,MATCH(ROWS(CQ$3:CQ87),$CO$3:$CO$220,0),2),"")</f>
        <v/>
      </c>
      <c r="CR87" s="259" t="str">
        <f t="shared" ca="1" si="191"/>
        <v/>
      </c>
      <c r="CS87" s="259">
        <f t="shared" ca="1" si="192"/>
        <v>0</v>
      </c>
      <c r="CT87" s="259">
        <f t="shared" ca="1" si="193"/>
        <v>0</v>
      </c>
      <c r="CU87" s="259">
        <f ca="1">IF(OR(CS87&gt;0,CT87&gt;0),MAX($CU$2:CU86)+1,0)</f>
        <v>0</v>
      </c>
      <c r="CV87" s="259" t="str">
        <f ca="1">IFERROR(INDEX(PIANO_DEI_CONTI,MATCH(ROWS($CV$3:CV87),$CU$3:$CU$200,0),2),"")</f>
        <v/>
      </c>
      <c r="CW87" s="259">
        <f ca="1">IFERROR(IF(CV87&lt;&gt;"",MAX($CW$2:CW86)+1,0),0)</f>
        <v>0</v>
      </c>
      <c r="CX87" s="259">
        <f t="shared" ca="1" si="315"/>
        <v>5</v>
      </c>
      <c r="CY87" s="259" t="str">
        <f t="shared" ca="1" si="308"/>
        <v>MASTRO</v>
      </c>
      <c r="CZ87" s="259" t="e">
        <f t="shared" ca="1" si="317"/>
        <v>#N/A</v>
      </c>
      <c r="DA87" s="259" t="str">
        <f t="shared" ca="1" si="322"/>
        <v/>
      </c>
      <c r="DB87" s="259" t="str">
        <f t="shared" ca="1" si="318"/>
        <v/>
      </c>
      <c r="DC87" s="259" t="str">
        <f t="shared" ca="1" si="319"/>
        <v/>
      </c>
      <c r="DD87" s="259" t="str">
        <f t="shared" ca="1" si="320"/>
        <v/>
      </c>
      <c r="DE87" s="259" t="str">
        <f t="shared" ca="1" si="321"/>
        <v/>
      </c>
      <c r="DF87" s="259">
        <f ca="1">IF(AND(CX87=$DE$2,$DF$2&lt;&gt;0),0,IF(AND(DB87&lt;&gt;"",OR(DB86&lt;&gt;"",DB88&lt;&gt;"")),MAX($DF$2:DF86)+1,0))</f>
        <v>0</v>
      </c>
      <c r="DG87" s="259" t="str">
        <f>IF(OR(VALORI_INIZIALI!E92="",AND(VALORI_INIZIALI!E92&lt;&gt;"",VALORI_INIZIALI!H92=0,VALORI_INIZIALI!I92=0)),"",IFERROR(INDEX(PIANO_DEI_CONTI,MATCH(BB87,DENOMINAZIONE,0),1),0))</f>
        <v/>
      </c>
      <c r="DH87" s="259">
        <f ca="1">IFERROR(IF($J$1=1,IF(INDEX(PIANO_DEI_CONTI,MATCH($K87,DENOMINAZIONE,0),5)=$DF$1,MAX($DH$2:DH86)+1,0),IF($J$1=2,IF(INDEX(PIANO_DEI_CONTI,MATCH($K87,DENOMINAZIONE,0),7)=$DF$1,MAX($DH$2:DH86)+1,0))),0)</f>
        <v>0</v>
      </c>
      <c r="DI87" s="259">
        <f ca="1">IFERROR(INDEX($K$3:$K$220,MATCH(ROWS($DI$3:DI87),$DH$3:$DH$220,0),1),0)</f>
        <v>0</v>
      </c>
      <c r="DJ87" s="259">
        <f t="shared" ca="1" si="194"/>
        <v>0</v>
      </c>
      <c r="DK87" s="259">
        <f ca="1">IF(DJ87=0,0,MAX(DK$2:DK86)+1)</f>
        <v>0</v>
      </c>
      <c r="DL87" s="259">
        <f ca="1">IFERROR(INDEX(PIANO_DEI_CONTI,MATCH(ROWS(DL$3:DL87),$DK$3:DK314,0),2),0)</f>
        <v>0</v>
      </c>
      <c r="DM87" s="259">
        <f t="shared" ca="1" si="195"/>
        <v>0</v>
      </c>
      <c r="DN87" s="259">
        <f t="shared" ca="1" si="196"/>
        <v>0</v>
      </c>
      <c r="DO87" s="259">
        <f t="shared" ca="1" si="245"/>
        <v>0</v>
      </c>
      <c r="DP87" s="259">
        <f t="shared" ca="1" si="246"/>
        <v>0</v>
      </c>
      <c r="DQ87" s="259">
        <f ca="1">IF(OR($DQ$1="TOTALI",$DQ$1="TOTALI ED ECCEDENZE"),IF(OR(DM87&gt;0,DN87&gt;0),MAX(DQ$2:DQ86)+1,0),IF($DQ$1="ECCEDENZE",IF(OR(DO87&gt;0,DP87&gt;0),MAX(DQ$2:DQ86)+1,0),""))</f>
        <v>0</v>
      </c>
      <c r="DR87" s="259" t="str">
        <f ca="1">IFERROR(INDEX($DL$3:$DQ$230,MATCH(ROWS(DR$3:DR87),$DQ$3:$DQ$230,0),1),"")</f>
        <v/>
      </c>
      <c r="DS87" s="259" t="str">
        <f t="shared" ca="1" si="247"/>
        <v/>
      </c>
      <c r="DT87" s="259" t="str">
        <f t="shared" ca="1" si="248"/>
        <v/>
      </c>
      <c r="DU87" s="259" t="str">
        <f t="shared" ca="1" si="249"/>
        <v/>
      </c>
      <c r="DV87" s="259" t="str">
        <f t="shared" ca="1" si="250"/>
        <v/>
      </c>
      <c r="DW87" s="259">
        <f t="shared" ca="1" si="251"/>
        <v>0</v>
      </c>
      <c r="DX87" s="259" t="str">
        <f t="shared" ca="1" si="252"/>
        <v/>
      </c>
      <c r="DY87" s="259" t="str">
        <f t="shared" ca="1" si="253"/>
        <v/>
      </c>
      <c r="DZ87" s="259" t="str">
        <f t="shared" ca="1" si="254"/>
        <v/>
      </c>
      <c r="EA87" s="259">
        <f t="shared" ca="1" si="255"/>
        <v>85</v>
      </c>
      <c r="EB87" s="259" t="s">
        <v>361</v>
      </c>
      <c r="ED87" s="259">
        <f t="shared" ca="1" si="197"/>
        <v>0</v>
      </c>
      <c r="EE87" s="259" t="str">
        <f t="shared" ca="1" si="198"/>
        <v/>
      </c>
      <c r="EF87" s="259" t="str">
        <f t="shared" ca="1" si="199"/>
        <v/>
      </c>
      <c r="EG87" s="259" t="str">
        <f t="shared" ca="1" si="309"/>
        <v/>
      </c>
      <c r="EH87" s="259" t="str">
        <f t="shared" ca="1" si="256"/>
        <v/>
      </c>
      <c r="EI87" s="260" t="b">
        <f t="shared" ca="1" si="310"/>
        <v>1</v>
      </c>
      <c r="EJ87" s="260" t="b">
        <f t="shared" ca="1" si="311"/>
        <v>1</v>
      </c>
      <c r="EK87" s="260" t="b">
        <f t="shared" ca="1" si="312"/>
        <v>1</v>
      </c>
      <c r="EL87" s="259">
        <f t="shared" si="257"/>
        <v>85</v>
      </c>
      <c r="EM87" s="259">
        <f ca="1">IF(AND(BA87&gt;0,BA87&lt;=$EM$1),MAX($EM$2:EM86)+1,0)</f>
        <v>0</v>
      </c>
      <c r="EN87" s="259">
        <f t="shared" ca="1" si="258"/>
        <v>87</v>
      </c>
      <c r="EP87" s="259" t="str">
        <f t="shared" ca="1" si="200"/>
        <v/>
      </c>
      <c r="EQ87" s="259">
        <f t="shared" ca="1" si="201"/>
        <v>0</v>
      </c>
      <c r="ER87" s="259">
        <f ca="1">IF(ISNA(EQ87),MAX(ER$2:ER86)+1,0)</f>
        <v>0</v>
      </c>
      <c r="ES87" s="259" t="str">
        <f t="shared" ca="1" si="259"/>
        <v/>
      </c>
      <c r="ET87" s="259" t="str">
        <f ca="1">IFERROR(UPPER(INDEX($ER$3:$ES$500,MATCH(ROWS(ET$3:ET87),$ER$3:$ER$500,0),2)),"")</f>
        <v/>
      </c>
      <c r="EY87" s="259">
        <f t="shared" ca="1" si="260"/>
        <v>0</v>
      </c>
      <c r="EZ87" s="259">
        <f t="shared" ca="1" si="260"/>
        <v>0</v>
      </c>
      <c r="FA87" s="259" t="str">
        <f t="shared" ca="1" si="261"/>
        <v/>
      </c>
      <c r="FB87" s="259">
        <f t="shared" ca="1" si="262"/>
        <v>0</v>
      </c>
      <c r="FC87" s="259">
        <f t="shared" ca="1" si="263"/>
        <v>0</v>
      </c>
      <c r="FD87" s="259">
        <f t="shared" ca="1" si="202"/>
        <v>0</v>
      </c>
      <c r="FE87" s="259" t="str">
        <f t="shared" ca="1" si="203"/>
        <v/>
      </c>
      <c r="FF87" s="259" t="str">
        <f t="shared" ca="1" si="264"/>
        <v/>
      </c>
      <c r="FG87" s="259" t="str">
        <f t="shared" si="265"/>
        <v>DEBITI V/FONDI PENSIONE</v>
      </c>
      <c r="FH87" s="259">
        <f t="shared" ca="1" si="156"/>
        <v>0</v>
      </c>
      <c r="FI87" s="259">
        <f t="shared" ca="1" si="204"/>
        <v>0</v>
      </c>
      <c r="FJ87" s="259">
        <f t="shared" ca="1" si="266"/>
        <v>0</v>
      </c>
      <c r="FK87" s="259">
        <f t="shared" ca="1" si="267"/>
        <v>0</v>
      </c>
      <c r="FL87" s="259">
        <f ca="1">IF(OR(FJ87&gt;0,FK87&gt;0),MAX($FL$2:FL86)+1,0)</f>
        <v>0</v>
      </c>
      <c r="FM87" s="259">
        <f t="shared" ca="1" si="205"/>
        <v>0</v>
      </c>
      <c r="FN87" s="259">
        <f ca="1">IF(FM87&lt;0,MAX($FN$2:FN86)+1,0)</f>
        <v>0</v>
      </c>
      <c r="FO87" s="259" t="str">
        <f t="shared" ca="1" si="268"/>
        <v/>
      </c>
      <c r="FP87" s="259" t="str">
        <f ca="1">IFERROR(INDEX($FN$3:$FO$400,MATCH(ROWS($FP$3:FP87),$FN$3:$FN$400,0),2),"")</f>
        <v/>
      </c>
      <c r="FQ87" s="259" t="str">
        <f>IF(AE87="SE AVERE",MAX($FQ$2:FQ86)+1,"")</f>
        <v/>
      </c>
      <c r="FR87" s="259" t="str">
        <f>IF(AE87="SE DARE",MAX($FR$2:FR86)+1,"")</f>
        <v/>
      </c>
      <c r="FS87" s="259" t="str">
        <f ca="1">IF(AND(AE87="SP DARE",AA87&lt;&gt;$FS$1,AA87&lt;&gt;$FT$1),MAX($FS$2:FS86)+1,IF(AND(GQ87="SP DARE",AA87&lt;&gt;$FS$1,AA87&lt;&gt;$FT$1),MAX($FS$2:FS86)+1,""))</f>
        <v/>
      </c>
      <c r="FT87" s="259">
        <f ca="1">IF(AND(AE87="SP AVERE",AA87&lt;&gt;$FU$1),MAX($FT$2:FT86)+1,IF(AND(GQ87="SP AVERE",AA87&lt;&gt;$FU$1),MAX($FT$2:FT86)+1,""))</f>
        <v>169</v>
      </c>
      <c r="FU87" s="259">
        <f t="shared" ca="1" si="269"/>
        <v>169</v>
      </c>
      <c r="FV87" s="259" t="str">
        <f t="shared" si="270"/>
        <v>DEBITI V/FONDI PENSIONE</v>
      </c>
      <c r="FW87" s="259">
        <f ca="1">IFERROR(INDEX($FU$3:$FV$500,MATCH(ROWS($FW$3:FW87),$FU$3:$FU$500,0),2),0)</f>
        <v>0</v>
      </c>
      <c r="FX87" s="259">
        <f t="shared" ca="1" si="271"/>
        <v>0</v>
      </c>
      <c r="FY87" s="259">
        <f t="shared" ca="1" si="272"/>
        <v>85</v>
      </c>
      <c r="FZ87" s="259">
        <f ca="1">IF(FY87&gt;0,MAX($FZ$2:FZ86)+1,0)</f>
        <v>11</v>
      </c>
      <c r="GA87" s="259">
        <f ca="1">IFERROR(INDEX($FY$3:$FZ$500,MATCH(ROWS($GA$3:GA87),$FZ$3:$FZ$500,0),1),0)</f>
        <v>0</v>
      </c>
      <c r="GC87" s="259">
        <f t="shared" ca="1" si="273"/>
        <v>85</v>
      </c>
      <c r="GD87" s="259" t="str">
        <f t="shared" ca="1" si="274"/>
        <v>PATRIMONIO NETTO</v>
      </c>
      <c r="GG87" s="259">
        <f t="shared" ca="1" si="275"/>
        <v>0</v>
      </c>
      <c r="GH87" s="259">
        <f t="shared" ca="1" si="276"/>
        <v>0</v>
      </c>
      <c r="GI87" s="259">
        <f t="shared" ca="1" si="277"/>
        <v>0</v>
      </c>
      <c r="GJ87" s="259">
        <f t="shared" ca="1" si="278"/>
        <v>0</v>
      </c>
      <c r="GK87" s="259">
        <f t="shared" ca="1" si="279"/>
        <v>0</v>
      </c>
      <c r="GL87" s="259">
        <f t="shared" ca="1" si="280"/>
        <v>0</v>
      </c>
      <c r="GM87" s="259">
        <f ca="1">IF(OR(GK87&gt;0,GL87&gt;0),MAX($GM$2:GM86)+1,0)</f>
        <v>0</v>
      </c>
      <c r="GN87" s="259" t="str">
        <f ca="1">IFERROR(INDEX($GD$3:$GM$400,MATCH(ROWS($GN$3:GN87),$GM$3:$GM$400,0),1),"")</f>
        <v/>
      </c>
      <c r="GO87" s="259" t="str">
        <f ca="1">IFERROR(INDEX($GD$3:$GM$400,MATCH(ROWS($GO$3:GO87),$GM$3:$GM$400,0),8),"")</f>
        <v/>
      </c>
      <c r="GP87" s="259" t="str">
        <f ca="1">IFERROR(INDEX($GD$3:$GM$400,MATCH(ROWS($GP$3:GP87),$GM$3:$GM$400,0),9),"")</f>
        <v/>
      </c>
      <c r="GQ87" s="259">
        <f t="shared" ca="1" si="206"/>
        <v>0</v>
      </c>
      <c r="GR87" s="259">
        <f t="shared" ca="1" si="281"/>
        <v>0</v>
      </c>
      <c r="GS87" s="259" t="str">
        <f t="shared" ca="1" si="282"/>
        <v>prelevamenti extragestione</v>
      </c>
      <c r="GT87" s="259" t="str">
        <f ca="1">IFERROR(INDEX($GD$3:$GS$400,MATCH(ROWS($GT$3:GT87),$GM$3:$GM$400,0),16),"")</f>
        <v/>
      </c>
      <c r="GU87" s="259">
        <f ca="1">IF(GQ87&lt;&gt;0,MAX($GU$2:$GU86)+1,0)</f>
        <v>0</v>
      </c>
      <c r="GV87" s="259">
        <f t="shared" ca="1" si="283"/>
        <v>0</v>
      </c>
      <c r="GW87" s="259" t="str">
        <f ca="1">IF(AND(IFERROR(INDEX($GU$3:$GV$400,MATCH(ROWS($GW$3:GW87),$GU$3:$GU$400,0),2),"")&lt;&gt;"",GW88&lt;&gt;""),CONCATENATE(IFERROR(INDEX($GU$3:$GV$400,MATCH(ROWS($GW$3:GW87),$GU$3:$GU$400,0),2),"")," - "),IFERROR(INDEX($GU$3:$GV$400,MATCH(ROWS($GW$3:GW87),$GU$3:$GU$400,0),2),""))</f>
        <v/>
      </c>
      <c r="GX87" s="259">
        <f ca="1">IF(OR(GN87="IVA NS/CREDITO",GN87="IVA NS/DEBITO",GN87="IVA C/ACCONTO",GN87="IMPOSTE C/ACCONTO"),MAX($GX$2:GX86)+1,0)</f>
        <v>0</v>
      </c>
      <c r="GY87" s="259" t="str">
        <f ca="1">IF(AND(IFERROR(INDEX($GN$3:$GX$200,MATCH(ROWS($GY$3:GY87),$GX$3:$GX$200,0),1),"")&lt;&gt;"",GY88&lt;&gt;""),CONCATENATE(IFERROR(INDEX($GN$3:$GX$200,MATCH(ROWS($GY$3:GY87),$GX$3:$GX$200,0),1),"")," - "),IFERROR(INDEX($GN$3:$GX$200,MATCH(ROWS($GY$3:GY87),$GX$3:$GX$200,0),1),""))</f>
        <v/>
      </c>
      <c r="GZ87" s="259" t="s">
        <v>113</v>
      </c>
      <c r="HA87" s="259" t="s">
        <v>641</v>
      </c>
      <c r="HB87" s="269" t="s">
        <v>257</v>
      </c>
      <c r="HC87" s="269" t="s">
        <v>211</v>
      </c>
      <c r="HD87" s="269" t="s">
        <v>5</v>
      </c>
      <c r="HE87" s="269" t="s">
        <v>212</v>
      </c>
      <c r="HL87" s="259" t="str">
        <f t="shared" ca="1" si="207"/>
        <v/>
      </c>
      <c r="HM87" s="259" t="str">
        <f t="shared" ca="1" si="208"/>
        <v/>
      </c>
      <c r="HN87" s="259" t="str">
        <f t="shared" ca="1" si="209"/>
        <v/>
      </c>
      <c r="HO87" s="259">
        <f ca="1">IF(HL87&lt;&gt;"",MAX($HO$2:HO86)+1,0)</f>
        <v>0</v>
      </c>
      <c r="HP87" s="259">
        <f ca="1">IF(HM87&lt;&gt;"",MAX($HP$2:HP86)+1,0)</f>
        <v>0</v>
      </c>
      <c r="HQ87" s="259">
        <f ca="1">IF(HN87&lt;&gt;"",MAX($HQ$2:HQ86)+1,0)</f>
        <v>0</v>
      </c>
      <c r="HR87" s="259" t="str">
        <f t="shared" ca="1" si="284"/>
        <v/>
      </c>
      <c r="HS87" s="259" t="str">
        <f t="shared" ca="1" si="285"/>
        <v/>
      </c>
      <c r="HT87" s="259">
        <f t="shared" ca="1" si="286"/>
        <v>0</v>
      </c>
      <c r="HU87" s="259">
        <f t="shared" ca="1" si="287"/>
        <v>0</v>
      </c>
      <c r="HV87" s="259" t="str">
        <f ca="1">CONCATENATE(IFERROR(INDEX($HS$3:$HT$102,MATCH(ROWS($HV$3:HV87),$HT$3:$HT$102,0),1),""),HR87)</f>
        <v/>
      </c>
      <c r="IA87" s="259" t="s">
        <v>398</v>
      </c>
      <c r="IB87" s="259" t="s">
        <v>341</v>
      </c>
      <c r="IC87" s="259">
        <f ca="1">IFERROR(INDEX(PIANO_DEI_CONTI,MATCH(ROWS(DL$3:DL87),$DK$3:DK314,0),2),0)</f>
        <v>0</v>
      </c>
      <c r="ID87" s="259">
        <f t="shared" ca="1" si="288"/>
        <v>0</v>
      </c>
      <c r="IE87" s="259">
        <f t="shared" ca="1" si="289"/>
        <v>0</v>
      </c>
      <c r="IF87" s="259">
        <f t="shared" ca="1" si="290"/>
        <v>0</v>
      </c>
      <c r="IG87" s="259">
        <f t="shared" ca="1" si="324"/>
        <v>0</v>
      </c>
      <c r="IH87" s="259">
        <f ca="1">IF(IG87&lt;&gt;0,MAX($IH$35:IH86)+1,0)</f>
        <v>0</v>
      </c>
      <c r="II87" s="259">
        <f>IF(AD87="costi pluriennali",MAX($II$2:II86)+1,0)</f>
        <v>0</v>
      </c>
      <c r="IJ87" s="259">
        <f>IF($AD87="rettifiche costi pluriennali",MAX($IJ$2:IJ86)+1,0)</f>
        <v>0</v>
      </c>
      <c r="IK87" s="259">
        <f t="shared" si="291"/>
        <v>0</v>
      </c>
      <c r="IL87" s="259" t="str">
        <f t="shared" si="292"/>
        <v/>
      </c>
      <c r="IM87" s="259">
        <f t="shared" ca="1" si="293"/>
        <v>0</v>
      </c>
      <c r="IN87" s="259">
        <f t="shared" ca="1" si="313"/>
        <v>0</v>
      </c>
      <c r="IO87" s="259">
        <f>SUMIFS($IM$3:$IM$200,$IK$3:$IK$200,ROWS($IO$3:IO87))-SUMIFS($IN$3:$IN$200,$IK$3:$IK$200,ROWS($IO$3:IO87))</f>
        <v>0</v>
      </c>
      <c r="IP87" s="259" t="str">
        <f>IF(IO87&lt;0,INDEX($IJ$3:$IL$200,MATCH(ROWS($IP$3:IP87),$IJ$3:$IJ$200,0),3),"")</f>
        <v/>
      </c>
      <c r="IQ87" s="259">
        <f>IF(IP87&lt;&gt;"",MAX($IQ$2:IQ86)+1,0)</f>
        <v>0</v>
      </c>
      <c r="IR87" s="259" t="str">
        <f ca="1">IFERROR(INDEX($IP$3:$IQ$200,MATCH(ROWS($IR$3:IR87),$IQ$3:$IQ$200,0),1),"")</f>
        <v/>
      </c>
      <c r="IS87" s="259" t="str">
        <f t="shared" ca="1" si="294"/>
        <v/>
      </c>
      <c r="IT87" s="259" t="str">
        <f t="shared" ca="1" si="295"/>
        <v/>
      </c>
      <c r="IU87" s="259" t="str">
        <f t="shared" ca="1" si="296"/>
        <v/>
      </c>
      <c r="IV87" s="259" t="str">
        <f t="shared" ca="1" si="297"/>
        <v/>
      </c>
      <c r="IW87" s="259" t="str">
        <f t="shared" ca="1" si="298"/>
        <v/>
      </c>
      <c r="IX87" s="259" t="str">
        <f t="shared" ca="1" si="299"/>
        <v/>
      </c>
      <c r="IY87" s="259" t="str">
        <f t="shared" ca="1" si="300"/>
        <v/>
      </c>
      <c r="IZ87" s="259" t="str">
        <f t="shared" ca="1" si="301"/>
        <v/>
      </c>
      <c r="JA87" s="259" t="str">
        <f t="shared" ca="1" si="302"/>
        <v/>
      </c>
      <c r="JB87" s="259">
        <f t="shared" ca="1" si="210"/>
        <v>0</v>
      </c>
      <c r="JC87" s="259">
        <f t="shared" ca="1" si="303"/>
        <v>0</v>
      </c>
      <c r="JE87" s="259">
        <f ca="1">IFERROR(INDEX(LIBRO_GIORNALE!$N$11:$O$408,MATCH(ROWS($JE$2:JE86),LIBRO_GIORNALE!$O$11:$O$408,0),1),0)</f>
        <v>0</v>
      </c>
      <c r="JF87" s="259" t="str">
        <f t="shared" ca="1" si="304"/>
        <v>0</v>
      </c>
      <c r="JG87" s="259">
        <f t="shared" ca="1" si="305"/>
        <v>0</v>
      </c>
      <c r="JH87" s="259">
        <f ca="1">IF(JJ87&gt;0,0,MAX($JH$2:JH86)+1)</f>
        <v>85</v>
      </c>
      <c r="JI87" s="259">
        <f ca="1">IF(JG87&gt;0,MAX($JI$2:JI86)+1,0)</f>
        <v>0</v>
      </c>
      <c r="JJ87" s="259">
        <f ca="1">IFERROR(INDEX($JG$3:$JI$124,MATCH(ROWS($JJ$3:JJ87),$JI$3:$JI$124,0),1),0)</f>
        <v>0</v>
      </c>
      <c r="JK87" s="259">
        <f t="shared" ca="1" si="306"/>
        <v>0</v>
      </c>
      <c r="JL87" s="259">
        <f t="shared" ca="1" si="307"/>
        <v>85</v>
      </c>
    </row>
    <row r="88" spans="1:272">
      <c r="A88" s="259" t="str">
        <f t="shared" si="211"/>
        <v>14.06</v>
      </c>
      <c r="B88" s="259" t="str">
        <f t="shared" si="212"/>
        <v>CAMBIALI PASSIVE</v>
      </c>
      <c r="C88" s="259" t="str">
        <f t="shared" si="213"/>
        <v>F</v>
      </c>
      <c r="D88" s="259" t="str">
        <f t="shared" si="214"/>
        <v>A</v>
      </c>
      <c r="E88" s="259" t="str">
        <f t="shared" si="215"/>
        <v>DEBITI</v>
      </c>
      <c r="F88" s="259" t="str">
        <f t="shared" si="216"/>
        <v>SP AVERE</v>
      </c>
      <c r="G88" s="259">
        <f t="shared" ca="1" si="217"/>
        <v>1</v>
      </c>
      <c r="H88" s="259">
        <f t="shared" ca="1" si="218"/>
        <v>1</v>
      </c>
      <c r="I88" s="259">
        <f t="shared" ca="1" si="219"/>
        <v>1</v>
      </c>
      <c r="K88" s="259" t="str">
        <f ca="1">IFERROR(IF($I$1=1,INDEX($AA$3:$AS$220,MATCH(ROWS($K$3:K88),$AQ$3:$AQ$220,0),1),IF($I$1=2,INDEX($AA$3:$AS$220,MATCH(ROWS($K$3:K88),$AR$3:$AR$220,0),1),IF($I$1=3,INDEX($AA$3:$AS$220,MATCH(ROWS($K$3:K88),$AS$3:$AS$220,0),1),""))),"")</f>
        <v>RATEI PASSIVI</v>
      </c>
      <c r="L88" s="259">
        <f ca="1">IF(AND($L$1="VISUALIZZA TUTTI I CONTI",K88&lt;&gt;""),MAX(L87:L87)+1,IFERROR(IF($J$1=1,IF(INDEX(PIANO_DEI_CONTI,MATCH($K88,DENOMINAZIONE,0),5)=$L$1,MAX($L$2:L87)+1,0),IF($J$1=2,IF(INDEX(PIANO_DEI_CONTI,MATCH($K88,DENOMINAZIONE,0),7)=$L$1,MAX($L$2:L87)+1,0))),0))</f>
        <v>86</v>
      </c>
      <c r="M88" s="259" t="str">
        <f ca="1">IFERROR(INDEX($K$3:$K$220,MATCH(ROWS($M$3:M88),$L$3:$L$220,0),1),"")</f>
        <v>RATEI PASSIVI</v>
      </c>
      <c r="Q88" s="259" t="str">
        <f ca="1">IF(IFERROR(INDEX($O$3:$P$220,MATCH(ROWS(Q$3:Q88),$P$3:$P$220,0),1),"")=0,"",IFERROR(INDEX($O$3:$P$220,MATCH(ROWS(Q$3:Q88),$P$3:$P$220,0),1),""))</f>
        <v/>
      </c>
      <c r="R88" s="259" t="str">
        <f t="shared" ca="1" si="182"/>
        <v/>
      </c>
      <c r="S88" s="259">
        <f ca="1">IF(IFERROR(MATCH(R88,DENOMINAZIONE_GIORNALE,0),0)&gt;0,MAX(S$2:S87)+1,0)</f>
        <v>0</v>
      </c>
      <c r="T88" s="259" t="str">
        <f ca="1">IFERROR(INDEX($R$3:$S$220,MATCH(ROWS($T$3:T88),$S$3:$S$220,0),1),"")</f>
        <v/>
      </c>
      <c r="U88" s="259">
        <f t="shared" ca="1" si="183"/>
        <v>0</v>
      </c>
      <c r="V88" s="259">
        <f ca="1">IF(IF(U88&lt;&gt;0,MAX($V$2:V87)+1,0)=0,0,IF(U88&lt;&gt;0,MAX($V$2:V87)+1,0))</f>
        <v>0</v>
      </c>
      <c r="W88" s="259" t="str">
        <f t="shared" si="220"/>
        <v>14.06</v>
      </c>
      <c r="X88" s="259" t="str">
        <f t="shared" si="221"/>
        <v>CAMBIALI PASSIVE</v>
      </c>
      <c r="Y88" s="259">
        <f>IF(W88="",0,MAX($Y$2:Y87)+1)</f>
        <v>73</v>
      </c>
      <c r="Z88" s="259" t="str">
        <f>IFERROR(INDEX($W$3:$Y$220,MATCH(ROWS($Z$2:Z87),$Y$3:$Y$220,0),1),"")</f>
        <v>15.23</v>
      </c>
      <c r="AA88" s="259" t="str">
        <f t="shared" ca="1" si="222"/>
        <v>CEDENTE C/CESSIONE</v>
      </c>
      <c r="AB88" s="259" t="str">
        <f t="shared" si="223"/>
        <v>F</v>
      </c>
      <c r="AC88" s="259" t="str">
        <f t="shared" si="224"/>
        <v>A</v>
      </c>
      <c r="AD88" s="259" t="str">
        <f t="shared" si="225"/>
        <v>DEBITI</v>
      </c>
      <c r="AE88" s="259" t="str">
        <f t="shared" si="226"/>
        <v>SP AVERE</v>
      </c>
      <c r="AF88" s="259" t="str">
        <f t="shared" si="227"/>
        <v>DEBITI DIVERSI</v>
      </c>
      <c r="AG88" s="259">
        <f t="shared" ca="1" si="228"/>
        <v>1</v>
      </c>
      <c r="AH88" s="259">
        <f t="shared" ca="1" si="229"/>
        <v>1</v>
      </c>
      <c r="AI88" s="259">
        <f t="shared" ca="1" si="230"/>
        <v>1</v>
      </c>
      <c r="AJ88" s="259" t="str">
        <f t="shared" si="231"/>
        <v>15</v>
      </c>
      <c r="AK88" s="259" t="str">
        <f t="shared" si="232"/>
        <v/>
      </c>
      <c r="AL88" s="259">
        <f>IF(AK88&lt;&gt;"",MAX($AL$2:AL87)+1,0)</f>
        <v>0</v>
      </c>
      <c r="AM88" s="259" t="str">
        <f>IFERROR(INDEX($AK$3:$AL$220,MATCH(ROWS($AM$3:AM88),$AL$3:$AL$220,0),1),"")</f>
        <v/>
      </c>
      <c r="AN88" s="259" t="str">
        <f t="shared" si="233"/>
        <v/>
      </c>
      <c r="AO88" s="259" t="str">
        <f t="shared" si="234"/>
        <v/>
      </c>
      <c r="AP88" s="259" t="str">
        <f t="shared" si="235"/>
        <v>DEBITI DIVERSI</v>
      </c>
      <c r="AQ88" s="259">
        <f ca="1">IF(OR(AG88=0,AG88=""),0,MAX(AQ$2:AQ87)+1)</f>
        <v>42</v>
      </c>
      <c r="AR88" s="259">
        <f ca="1">IF(OR(AH88=0,AH88=""),0,MAX(AR$2:AR87)+1)</f>
        <v>62</v>
      </c>
      <c r="AS88" s="259">
        <f ca="1">IF(OR(AI88=0,AI88=""),0,MAX(AS$2:AS87)+1)</f>
        <v>84</v>
      </c>
      <c r="AT88" s="259" t="str">
        <f ca="1">IFERROR(INDEX($AD$3:$AS$220,MATCH(ROWS(AT$3:AT88),AQ$3:AQ$220,0),1),"")</f>
        <v>RICAVI D'ESERCIZIO</v>
      </c>
      <c r="AU88" s="259" t="str">
        <f ca="1">IFERROR(INDEX($AD$3:$AS$220,MATCH(ROWS(AU$3:AU88),AR$3:AR$220,0),1),"")</f>
        <v>RETTIFICHE COSTI D'ESERCIZIO</v>
      </c>
      <c r="AV88" s="259" t="str">
        <f ca="1">IFERROR(INDEX($AD$3:$AS$220,MATCH(ROWS(AV$3:AV88),AS$3:AS$220,0),1),"")</f>
        <v>RATEI, FONDI RISCHI E ONERI</v>
      </c>
      <c r="AW88" s="259" t="str">
        <f ca="1">IFERROR(INDEX($AP$3:$AS$220,MATCH(ROWS(AW$3:AW88),AQ$3:AQ$220,0),1),"")</f>
        <v>PROVENTI FINANZIARI</v>
      </c>
      <c r="AX88" s="259" t="str">
        <f ca="1">IFERROR(INDEX($AP$3:$AS$220,MATCH(ROWS(AX$3:AX88),AR$3:AR$220,0),1),"")</f>
        <v>COSTI PER MERCI E MATERIE DI CONSUMO</v>
      </c>
      <c r="AY88" s="259" t="str">
        <f ca="1">IFERROR(INDEX($AP$3:$AS$220,MATCH(ROWS(AY$3:AY88),AS$3:AS$220,0),1),"")</f>
        <v>RATEI E RISCONTI PASSIVI</v>
      </c>
      <c r="AZ88" s="276" t="str">
        <f t="shared" ca="1" si="236"/>
        <v/>
      </c>
      <c r="BA88" s="259">
        <f t="shared" ca="1" si="184"/>
        <v>0</v>
      </c>
      <c r="BB88" s="259">
        <f ca="1">IFERROR(INDEX($FG$3:$FL$400,MATCH(ROWS($BB$3:BB88),$FL$3:$FL$400,0),1),0)</f>
        <v>0</v>
      </c>
      <c r="BC88" s="259" t="str">
        <f t="shared" ca="1" si="237"/>
        <v/>
      </c>
      <c r="BD88" s="259">
        <f ca="1">IFERROR(INDEX($FG$3:$FL$400,MATCH(ROWS($BD$3:BD88),$FL$3:$FL$400,0),4),0)</f>
        <v>0</v>
      </c>
      <c r="BE88" s="259">
        <f ca="1">IFERROR(INDEX($FG$3:$FL$400,MATCH(ROWS($BE$3:BE88),$FL$3:$FL$400,0),5),0)</f>
        <v>0</v>
      </c>
      <c r="BG88" s="259" t="str">
        <f t="shared" ca="1" si="185"/>
        <v>CEDENTE C/CESSIONE</v>
      </c>
      <c r="BH88" s="259">
        <f ca="1">IF(IFERROR(MATCH(BG88,DENOMINAZIONE_GIORNALE,0),0)&gt;0,MAX(BH$2:BH87)+1,0)</f>
        <v>0</v>
      </c>
      <c r="BI88" s="259" t="str">
        <f ca="1">IFERROR(INDEX($BG$3:$BH$220,MATCH(ROWS($BI$3:BI88),$BH$3:$BH$220,0),1),"")</f>
        <v/>
      </c>
      <c r="BJ88" s="259" t="str">
        <f t="shared" ca="1" si="186"/>
        <v/>
      </c>
      <c r="BK88" s="259" t="str">
        <f ca="1">IF(IF(BJ88&lt;&gt;"",MAX($BK$2:BK87)+1,0)=0,"",IF(BJ88&lt;&gt;"",MAX($BK$2:BK87)+1,0))</f>
        <v/>
      </c>
      <c r="BL88" s="259" t="str">
        <f ca="1">IFERROR(INDEX($T$3:$U$220, MATCH(ROWS(BL$3:BL88),$V$3:$V$220,0),1),"")</f>
        <v/>
      </c>
      <c r="BM88" s="259" t="str">
        <f ca="1">IFERROR(INDEX($T$3:$U$220, MATCH(ROWS(BM$3:BM88),$V$3:$V$220,0),2),"")</f>
        <v/>
      </c>
      <c r="BN88" s="259" t="str">
        <f ca="1">IF(IFERROR(INDEX($BI$3:$BJ$220,MATCH(ROWS(BN$3:BN88),$BK$3:$BK$220,0),1),"")="PATRIMONIO NETTO","",IFERROR(INDEX($BI$3:$BJ$220,MATCH(ROWS(BN$3:BN88),$BK$3:$BK$220,0),1),""))</f>
        <v/>
      </c>
      <c r="BO88" s="259" t="str">
        <f ca="1">IFERROR(INDEX($BI$3:$BJ$220,MATCH(ROWS(BO$3:BO88),$BK$3:$BK$220,0),2),"")</f>
        <v/>
      </c>
      <c r="BP88" s="259">
        <f ca="1">IF(BN88&lt;&gt;"",MAX(BP$2:$BP87)+1,0)</f>
        <v>0</v>
      </c>
      <c r="BQ88" s="259" t="str">
        <f ca="1">IFERROR(INDEX($BN$3:$BO$200,MATCH(ROWS(BQ$3:BQ88),$BP$3:$BP$220,0),1),"")</f>
        <v/>
      </c>
      <c r="BR88" s="259" t="str">
        <f ca="1">IFERROR(INDEX($BN$3:$BO$220,MATCH(ROWS(BR$3:BR88),$BP$3:$BP$220,0),2),"")</f>
        <v/>
      </c>
      <c r="BS88" s="259" t="str">
        <f ca="1">IFERROR(IF(OR(INDEX($T$3:$U$220,MATCH(ROWS(BL$3:BL88),$V$3:$V$220,0),1)="PRELEVAMENTI EXTRAGESTIONE",INDEX($T$3:$U$220,MATCH(ROWS(BL$3:BL88),$V$3:$V$220,0),1)="TITOLARE C/RITENUTE SUBITE"),"",INDEX($T$3:$U$220,MATCH(ROWS(BL$3:BL88),$V$3:$V$220,0),1)),"")</f>
        <v/>
      </c>
      <c r="BT88" s="259">
        <f t="shared" ca="1" si="238"/>
        <v>0</v>
      </c>
      <c r="BU88" s="259">
        <f ca="1">IF(BS88&lt;&gt;"",MAX(BU$2:BU87)+1,0)</f>
        <v>0</v>
      </c>
      <c r="BV88" s="259" t="str">
        <f ca="1">IFERROR(INDEX($BS$3:$BT$223,MATCH(ROWS(BV$3:BV88),$BU$3:$BU$223,0),1),"")</f>
        <v/>
      </c>
      <c r="BW88" s="259">
        <f t="shared" ca="1" si="239"/>
        <v>0</v>
      </c>
      <c r="BX88" s="259" t="str">
        <f t="shared" ca="1" si="240"/>
        <v/>
      </c>
      <c r="BY88" s="259" t="str">
        <f t="shared" ca="1" si="241"/>
        <v/>
      </c>
      <c r="BZ88" s="259" t="str">
        <f ca="1">IFERROR(IF(OR($DS$231&lt;&gt;$DT$231,$DU$231&lt;&gt;$DV$231,$EO$25&lt;&gt;0,$EO$26&lt;&gt;0),INDEX($T$3:$V$220,MATCH(ROWS($BV$3:BV88),$V$3:$V$220,0),1),CONCATENATE(BV88,BY88)),"")</f>
        <v/>
      </c>
      <c r="CA88" s="259">
        <f t="shared" ca="1" si="242"/>
        <v>0</v>
      </c>
      <c r="CB88" s="259" t="str">
        <f ca="1">IFERROR(IF(OR($BB$1&lt;&gt;$BD$1,$BC$1&lt;&gt;$BE$1,$DS$231&lt;&gt;$DT$231,$DU$231&lt;&gt;$DV$231,$EO$25&lt;&gt;0,$EO$26&lt;&gt;0),INDEX($BI$3:$BK$220,MATCH(ROWS($CB$3:CB88),$BK$3:$BK$220,0),1),CONCATENATE(BQ88,BX88)),"")</f>
        <v/>
      </c>
      <c r="CC88" s="259" t="str">
        <f t="shared" ca="1" si="243"/>
        <v/>
      </c>
      <c r="CD88" s="259" t="str">
        <f t="shared" ca="1" si="187"/>
        <v/>
      </c>
      <c r="CE88" s="259">
        <f ca="1">IF(IFERROR(MATCH(CD88,DENOMINAZIONE_GIORNALE,0),0)&gt;0,MAX(CE$2:CE87)+1,0)</f>
        <v>0</v>
      </c>
      <c r="CF88" s="259" t="str">
        <f ca="1">IFERROR(INDEX($CD$3:$CE$220,MATCH(ROWS($CF$3:CF88),$CE$3:$CE$220,0),1),"")</f>
        <v/>
      </c>
      <c r="CG88" s="259">
        <f t="shared" ca="1" si="188"/>
        <v>0</v>
      </c>
      <c r="CH88" s="259" t="str">
        <f ca="1">IF(IF(CG88&lt;&gt;0,MAX($CH$2:CH87)+1,0)=0,"",IF(CG88&lt;&gt;"",MAX($CH$2:CH87)+1,0))</f>
        <v/>
      </c>
      <c r="CI88" s="259" t="str">
        <f ca="1">IFERROR(INDEX($CF$3:$CG$220,MATCH(ROWS($CI$3:CI88),$CH$3:$CH$220,0),1),"")</f>
        <v/>
      </c>
      <c r="CJ88" s="259" t="str">
        <f t="shared" ca="1" si="244"/>
        <v/>
      </c>
      <c r="CK88" s="259" t="str">
        <f t="shared" ca="1" si="189"/>
        <v/>
      </c>
      <c r="CL88" s="259">
        <f ca="1">IF(IFERROR(MATCH(CK88,DENOMINAZIONE_GIORNALE,0),0)&gt;0,MAX(CL$2:CL87)+1,0)</f>
        <v>0</v>
      </c>
      <c r="CM88" s="259" t="str">
        <f ca="1">IFERROR(INDEX($CK$3:$CL$220,MATCH(ROWS($CM$3:CM88),$CL$3:$CL$220,0),1),"")</f>
        <v/>
      </c>
      <c r="CN88" s="259" t="str">
        <f t="shared" ca="1" si="190"/>
        <v/>
      </c>
      <c r="CO88" s="259">
        <f ca="1">IF(IF(CN88&lt;&gt;0,MAX($CO$2:CO87)+1,0)=0,"",IF(CN88&lt;&gt;"",MAX($CO$2:CO87)+1,0))</f>
        <v>0</v>
      </c>
      <c r="CP88" s="259" t="str">
        <f ca="1">IFERROR(INDEX($CM$3:$CN$220,MATCH(ROWS(CP$3:CP88),$CO$3:$CO$220,0),1),"")</f>
        <v/>
      </c>
      <c r="CQ88" s="259" t="str">
        <f ca="1">IFERROR(INDEX($CM$3:$CN$220,MATCH(ROWS(CQ$3:CQ88),$CO$3:$CO$220,0),2),"")</f>
        <v/>
      </c>
      <c r="CR88" s="259" t="str">
        <f t="shared" ca="1" si="191"/>
        <v/>
      </c>
      <c r="CS88" s="259">
        <f t="shared" ca="1" si="192"/>
        <v>0</v>
      </c>
      <c r="CT88" s="259">
        <f t="shared" ca="1" si="193"/>
        <v>0</v>
      </c>
      <c r="CU88" s="259">
        <f ca="1">IF(OR(CS88&gt;0,CT88&gt;0),MAX($CU$2:CU87)+1,0)</f>
        <v>0</v>
      </c>
      <c r="CV88" s="259" t="str">
        <f ca="1">IFERROR(INDEX(PIANO_DEI_CONTI,MATCH(ROWS($CV$3:CV88),$CU$3:$CU$200,0),2),"")</f>
        <v/>
      </c>
      <c r="CW88" s="259">
        <f ca="1">IFERROR(IF(CV88&lt;&gt;"",MAX($CW$2:CW87)+1,0),0)</f>
        <v>0</v>
      </c>
      <c r="CX88" s="259">
        <f t="shared" ca="1" si="315"/>
        <v>5</v>
      </c>
      <c r="CY88" s="259" t="str">
        <f t="shared" ca="1" si="308"/>
        <v>MASTRO</v>
      </c>
      <c r="CZ88" s="259" t="e">
        <f t="shared" ca="1" si="317"/>
        <v>#N/A</v>
      </c>
      <c r="DA88" s="259" t="str">
        <f t="shared" ca="1" si="322"/>
        <v/>
      </c>
      <c r="DB88" s="259" t="str">
        <f t="shared" ca="1" si="318"/>
        <v/>
      </c>
      <c r="DC88" s="259" t="str">
        <f t="shared" ca="1" si="319"/>
        <v/>
      </c>
      <c r="DD88" s="259" t="str">
        <f t="shared" ca="1" si="320"/>
        <v/>
      </c>
      <c r="DE88" s="259" t="str">
        <f t="shared" ca="1" si="321"/>
        <v/>
      </c>
      <c r="DF88" s="259">
        <f ca="1">IF(AND(CX88=$DE$2,$DF$2&lt;&gt;0),0,IF(AND(DB88&lt;&gt;"",OR(DB87&lt;&gt;"",DB89&lt;&gt;"")),MAX($DF$2:DF87)+1,0))</f>
        <v>0</v>
      </c>
      <c r="DG88" s="259" t="str">
        <f>IF(OR(VALORI_INIZIALI!E93="",AND(VALORI_INIZIALI!E93&lt;&gt;"",VALORI_INIZIALI!H93=0,VALORI_INIZIALI!I93=0)),"",IFERROR(INDEX(PIANO_DEI_CONTI,MATCH(BB88,DENOMINAZIONE,0),1),0))</f>
        <v/>
      </c>
      <c r="DH88" s="259">
        <f ca="1">IFERROR(IF($J$1=1,IF(INDEX(PIANO_DEI_CONTI,MATCH($K88,DENOMINAZIONE,0),5)=$DF$1,MAX($DH$2:DH87)+1,0),IF($J$1=2,IF(INDEX(PIANO_DEI_CONTI,MATCH($K88,DENOMINAZIONE,0),7)=$DF$1,MAX($DH$2:DH87)+1,0))),0)</f>
        <v>0</v>
      </c>
      <c r="DI88" s="259">
        <f ca="1">IFERROR(INDEX($K$3:$K$220,MATCH(ROWS($DI$3:DI88),$DH$3:$DH$220,0),1),0)</f>
        <v>0</v>
      </c>
      <c r="DJ88" s="259">
        <f t="shared" ca="1" si="194"/>
        <v>0</v>
      </c>
      <c r="DK88" s="259">
        <f ca="1">IF(DJ88=0,0,MAX(DK$2:DK87)+1)</f>
        <v>0</v>
      </c>
      <c r="DL88" s="259">
        <f ca="1">IFERROR(INDEX(PIANO_DEI_CONTI,MATCH(ROWS(DL$3:DL88),$DK$3:DK315,0),2),0)</f>
        <v>0</v>
      </c>
      <c r="DM88" s="259">
        <f t="shared" ca="1" si="195"/>
        <v>0</v>
      </c>
      <c r="DN88" s="259">
        <f t="shared" ca="1" si="196"/>
        <v>0</v>
      </c>
      <c r="DO88" s="259">
        <f t="shared" ca="1" si="245"/>
        <v>0</v>
      </c>
      <c r="DP88" s="259">
        <f t="shared" ca="1" si="246"/>
        <v>0</v>
      </c>
      <c r="DQ88" s="259">
        <f ca="1">IF(OR($DQ$1="TOTALI",$DQ$1="TOTALI ED ECCEDENZE"),IF(OR(DM88&gt;0,DN88&gt;0),MAX(DQ$2:DQ87)+1,0),IF($DQ$1="ECCEDENZE",IF(OR(DO88&gt;0,DP88&gt;0),MAX(DQ$2:DQ87)+1,0),""))</f>
        <v>0</v>
      </c>
      <c r="DR88" s="259" t="str">
        <f ca="1">IFERROR(INDEX($DL$3:$DQ$230,MATCH(ROWS(DR$3:DR88),$DQ$3:$DQ$230,0),1),"")</f>
        <v/>
      </c>
      <c r="DS88" s="259" t="str">
        <f t="shared" ca="1" si="247"/>
        <v/>
      </c>
      <c r="DT88" s="259" t="str">
        <f t="shared" ca="1" si="248"/>
        <v/>
      </c>
      <c r="DU88" s="259" t="str">
        <f t="shared" ca="1" si="249"/>
        <v/>
      </c>
      <c r="DV88" s="259" t="str">
        <f t="shared" ca="1" si="250"/>
        <v/>
      </c>
      <c r="DW88" s="259">
        <f t="shared" ca="1" si="251"/>
        <v>0</v>
      </c>
      <c r="DX88" s="259" t="str">
        <f t="shared" ca="1" si="252"/>
        <v/>
      </c>
      <c r="DY88" s="259" t="str">
        <f t="shared" ca="1" si="253"/>
        <v/>
      </c>
      <c r="DZ88" s="259" t="str">
        <f t="shared" ca="1" si="254"/>
        <v/>
      </c>
      <c r="EA88" s="259">
        <f t="shared" ca="1" si="255"/>
        <v>86</v>
      </c>
      <c r="EB88" s="259" t="s">
        <v>361</v>
      </c>
      <c r="ED88" s="259">
        <f t="shared" ca="1" si="197"/>
        <v>0</v>
      </c>
      <c r="EE88" s="259" t="str">
        <f t="shared" ca="1" si="198"/>
        <v/>
      </c>
      <c r="EF88" s="259" t="str">
        <f t="shared" ca="1" si="199"/>
        <v/>
      </c>
      <c r="EG88" s="259" t="str">
        <f t="shared" ca="1" si="309"/>
        <v/>
      </c>
      <c r="EH88" s="259" t="str">
        <f t="shared" ca="1" si="256"/>
        <v/>
      </c>
      <c r="EI88" s="260" t="b">
        <f t="shared" ca="1" si="310"/>
        <v>1</v>
      </c>
      <c r="EJ88" s="260" t="b">
        <f t="shared" ca="1" si="311"/>
        <v>1</v>
      </c>
      <c r="EK88" s="260" t="b">
        <f t="shared" ca="1" si="312"/>
        <v>1</v>
      </c>
      <c r="EL88" s="259">
        <f t="shared" si="257"/>
        <v>86</v>
      </c>
      <c r="EM88" s="259">
        <f ca="1">IF(AND(BA88&gt;0,BA88&lt;=$EM$1),MAX($EM$2:EM87)+1,0)</f>
        <v>0</v>
      </c>
      <c r="EN88" s="259">
        <f t="shared" ca="1" si="258"/>
        <v>88</v>
      </c>
      <c r="EP88" s="259" t="str">
        <f t="shared" ca="1" si="200"/>
        <v/>
      </c>
      <c r="EQ88" s="259">
        <f t="shared" ca="1" si="201"/>
        <v>0</v>
      </c>
      <c r="ER88" s="259">
        <f ca="1">IF(ISNA(EQ88),MAX(ER$2:ER87)+1,0)</f>
        <v>0</v>
      </c>
      <c r="ES88" s="259" t="str">
        <f t="shared" ca="1" si="259"/>
        <v/>
      </c>
      <c r="ET88" s="259" t="str">
        <f ca="1">IFERROR(UPPER(INDEX($ER$3:$ES$500,MATCH(ROWS(ET$3:ET88),$ER$3:$ER$500,0),2)),"")</f>
        <v/>
      </c>
      <c r="EY88" s="259">
        <f t="shared" ca="1" si="260"/>
        <v>0</v>
      </c>
      <c r="EZ88" s="259">
        <f t="shared" ca="1" si="260"/>
        <v>0</v>
      </c>
      <c r="FA88" s="259" t="str">
        <f t="shared" ca="1" si="261"/>
        <v/>
      </c>
      <c r="FB88" s="259">
        <f t="shared" ca="1" si="262"/>
        <v>0</v>
      </c>
      <c r="FC88" s="259">
        <f t="shared" ca="1" si="263"/>
        <v>0</v>
      </c>
      <c r="FD88" s="259">
        <f t="shared" ca="1" si="202"/>
        <v>0</v>
      </c>
      <c r="FE88" s="259" t="str">
        <f t="shared" ca="1" si="203"/>
        <v/>
      </c>
      <c r="FF88" s="259" t="str">
        <f t="shared" ca="1" si="264"/>
        <v/>
      </c>
      <c r="FG88" s="259" t="str">
        <f t="shared" ca="1" si="265"/>
        <v>CEDENTE C/CESSIONE</v>
      </c>
      <c r="FH88" s="259">
        <f t="shared" ca="1" si="156"/>
        <v>0</v>
      </c>
      <c r="FI88" s="259">
        <f t="shared" ca="1" si="204"/>
        <v>0</v>
      </c>
      <c r="FJ88" s="259">
        <f t="shared" ca="1" si="266"/>
        <v>0</v>
      </c>
      <c r="FK88" s="259">
        <f t="shared" ca="1" si="267"/>
        <v>0</v>
      </c>
      <c r="FL88" s="259">
        <f ca="1">IF(OR(FJ88&gt;0,FK88&gt;0),MAX($FL$2:FL87)+1,0)</f>
        <v>0</v>
      </c>
      <c r="FM88" s="259">
        <f t="shared" ca="1" si="205"/>
        <v>0</v>
      </c>
      <c r="FN88" s="259">
        <f ca="1">IF(FM88&lt;0,MAX($FN$2:FN87)+1,0)</f>
        <v>0</v>
      </c>
      <c r="FO88" s="259" t="str">
        <f t="shared" ca="1" si="268"/>
        <v/>
      </c>
      <c r="FP88" s="259" t="str">
        <f ca="1">IFERROR(INDEX($FN$3:$FO$400,MATCH(ROWS($FP$3:FP88),$FN$3:$FN$400,0),2),"")</f>
        <v/>
      </c>
      <c r="FQ88" s="259" t="str">
        <f>IF(AE88="SE AVERE",MAX($FQ$2:FQ87)+1,"")</f>
        <v/>
      </c>
      <c r="FR88" s="259" t="str">
        <f>IF(AE88="SE DARE",MAX($FR$2:FR87)+1,"")</f>
        <v/>
      </c>
      <c r="FS88" s="259" t="str">
        <f ca="1">IF(AND(AE88="SP DARE",AA88&lt;&gt;$FS$1,AA88&lt;&gt;$FT$1),MAX($FS$2:FS87)+1,IF(AND(GQ88="SP DARE",AA88&lt;&gt;$FS$1,AA88&lt;&gt;$FT$1),MAX($FS$2:FS87)+1,""))</f>
        <v/>
      </c>
      <c r="FT88" s="259">
        <f ca="1">IF(AND(AE88="SP AVERE",AA88&lt;&gt;$FU$1),MAX($FT$2:FT87)+1,IF(AND(GQ88="SP AVERE",AA88&lt;&gt;$FU$1),MAX($FT$2:FT87)+1,""))</f>
        <v>170</v>
      </c>
      <c r="FU88" s="259">
        <f t="shared" ca="1" si="269"/>
        <v>170</v>
      </c>
      <c r="FV88" s="259" t="str">
        <f t="shared" ca="1" si="270"/>
        <v>CEDENTE C/CESSIONE</v>
      </c>
      <c r="FW88" s="259">
        <f ca="1">IFERROR(INDEX($FU$3:$FV$500,MATCH(ROWS($FW$3:FW88),$FU$3:$FU$500,0),2),0)</f>
        <v>0</v>
      </c>
      <c r="FX88" s="259">
        <f t="shared" ca="1" si="271"/>
        <v>0</v>
      </c>
      <c r="FY88" s="259">
        <f t="shared" ca="1" si="272"/>
        <v>86</v>
      </c>
      <c r="FZ88" s="259">
        <f ca="1">IF(FY88&gt;0,MAX($FZ$2:FZ87)+1,0)</f>
        <v>12</v>
      </c>
      <c r="GA88" s="259">
        <f ca="1">IFERROR(INDEX($FY$3:$FZ$500,MATCH(ROWS($GA$3:GA88),$FZ$3:$FZ$500,0),1),0)</f>
        <v>0</v>
      </c>
      <c r="GC88" s="259">
        <f t="shared" ca="1" si="273"/>
        <v>86</v>
      </c>
      <c r="GD88" s="259" t="str">
        <f t="shared" ca="1" si="274"/>
        <v>PRELEVAMENTI EXTRAGESTIONE</v>
      </c>
      <c r="GG88" s="259">
        <f t="shared" ca="1" si="275"/>
        <v>0</v>
      </c>
      <c r="GH88" s="259">
        <f t="shared" ca="1" si="276"/>
        <v>0</v>
      </c>
      <c r="GI88" s="259">
        <f t="shared" ca="1" si="277"/>
        <v>0</v>
      </c>
      <c r="GJ88" s="259">
        <f t="shared" ca="1" si="278"/>
        <v>0</v>
      </c>
      <c r="GK88" s="259">
        <f t="shared" ca="1" si="279"/>
        <v>0</v>
      </c>
      <c r="GL88" s="259">
        <f t="shared" ca="1" si="280"/>
        <v>0</v>
      </c>
      <c r="GM88" s="259">
        <f ca="1">IF(OR(GK88&gt;0,GL88&gt;0),MAX($GM$2:GM87)+1,0)</f>
        <v>0</v>
      </c>
      <c r="GN88" s="259" t="str">
        <f ca="1">IFERROR(INDEX($GD$3:$GM$400,MATCH(ROWS($GN$3:GN88),$GM$3:$GM$400,0),1),"")</f>
        <v/>
      </c>
      <c r="GO88" s="259" t="str">
        <f ca="1">IFERROR(INDEX($GD$3:$GM$400,MATCH(ROWS($GO$3:GO88),$GM$3:$GM$400,0),8),"")</f>
        <v/>
      </c>
      <c r="GP88" s="259" t="str">
        <f ca="1">IFERROR(INDEX($GD$3:$GM$400,MATCH(ROWS($GP$3:GP88),$GM$3:$GM$400,0),9),"")</f>
        <v/>
      </c>
      <c r="GQ88" s="259">
        <f t="shared" ca="1" si="206"/>
        <v>0</v>
      </c>
      <c r="GR88" s="259">
        <f t="shared" ca="1" si="281"/>
        <v>0</v>
      </c>
      <c r="GS88" s="259" t="str">
        <f t="shared" ca="1" si="282"/>
        <v>giro a patrimonio netto</v>
      </c>
      <c r="GT88" s="259" t="str">
        <f ca="1">IFERROR(INDEX($GD$3:$GS$400,MATCH(ROWS($GT$3:GT88),$GM$3:$GM$400,0),16),"")</f>
        <v/>
      </c>
      <c r="GU88" s="259">
        <f ca="1">IF(GQ88&lt;&gt;0,MAX($GU$2:$GU87)+1,0)</f>
        <v>0</v>
      </c>
      <c r="GV88" s="259">
        <f t="shared" ca="1" si="283"/>
        <v>0</v>
      </c>
      <c r="GW88" s="259" t="str">
        <f ca="1">IF(AND(IFERROR(INDEX($GU$3:$GV$400,MATCH(ROWS($GW$3:GW88),$GU$3:$GU$400,0),2),"")&lt;&gt;"",GW89&lt;&gt;""),CONCATENATE(IFERROR(INDEX($GU$3:$GV$400,MATCH(ROWS($GW$3:GW88),$GU$3:$GU$400,0),2),"")," - "),IFERROR(INDEX($GU$3:$GV$400,MATCH(ROWS($GW$3:GW88),$GU$3:$GU$400,0),2),""))</f>
        <v/>
      </c>
      <c r="GX88" s="259">
        <f ca="1">IF(OR(GN88="IVA NS/CREDITO",GN88="IVA NS/DEBITO",GN88="IVA C/ACCONTO",GN88="IMPOSTE C/ACCONTO"),MAX($GX$2:GX87)+1,0)</f>
        <v>0</v>
      </c>
      <c r="GY88" s="259" t="str">
        <f ca="1">IF(AND(IFERROR(INDEX($GN$3:$GX$200,MATCH(ROWS($GY$3:GY88),$GX$3:$GX$200,0),1),"")&lt;&gt;"",GY89&lt;&gt;""),CONCATENATE(IFERROR(INDEX($GN$3:$GX$200,MATCH(ROWS($GY$3:GY88),$GX$3:$GX$200,0),1),"")," - "),IFERROR(INDEX($GN$3:$GX$200,MATCH(ROWS($GY$3:GY88),$GX$3:$GX$200,0),1),""))</f>
        <v/>
      </c>
      <c r="GZ88" s="259" t="s">
        <v>642</v>
      </c>
      <c r="HA88" s="259" t="s">
        <v>110</v>
      </c>
      <c r="HB88" s="269" t="s">
        <v>257</v>
      </c>
      <c r="HC88" s="269" t="s">
        <v>211</v>
      </c>
      <c r="HD88" s="269" t="s">
        <v>5</v>
      </c>
      <c r="HE88" s="269" t="s">
        <v>212</v>
      </c>
      <c r="HG88" s="270"/>
      <c r="HL88" s="259" t="str">
        <f t="shared" ca="1" si="207"/>
        <v/>
      </c>
      <c r="HM88" s="259" t="str">
        <f t="shared" ca="1" si="208"/>
        <v/>
      </c>
      <c r="HN88" s="259" t="str">
        <f t="shared" ca="1" si="209"/>
        <v/>
      </c>
      <c r="HO88" s="259">
        <f ca="1">IF(HL88&lt;&gt;"",MAX($HO$2:HO87)+1,0)</f>
        <v>0</v>
      </c>
      <c r="HP88" s="259">
        <f ca="1">IF(HM88&lt;&gt;"",MAX($HP$2:HP87)+1,0)</f>
        <v>0</v>
      </c>
      <c r="HQ88" s="259">
        <f ca="1">IF(HN88&lt;&gt;"",MAX($HQ$2:HQ87)+1,0)</f>
        <v>0</v>
      </c>
      <c r="HR88" s="259" t="str">
        <f t="shared" ca="1" si="284"/>
        <v/>
      </c>
      <c r="HS88" s="259" t="str">
        <f t="shared" ca="1" si="285"/>
        <v/>
      </c>
      <c r="HT88" s="259">
        <f t="shared" ca="1" si="286"/>
        <v>0</v>
      </c>
      <c r="HU88" s="259">
        <f t="shared" ca="1" si="287"/>
        <v>0</v>
      </c>
      <c r="HV88" s="259" t="str">
        <f ca="1">CONCATENATE(IFERROR(INDEX($HS$3:$HT$102,MATCH(ROWS($HV$3:HV88),$HT$3:$HT$102,0),1),""),HR88)</f>
        <v/>
      </c>
      <c r="IA88" s="259" t="s">
        <v>399</v>
      </c>
      <c r="IB88" s="259" t="s">
        <v>342</v>
      </c>
      <c r="IC88" s="259">
        <f ca="1">IFERROR(INDEX(PIANO_DEI_CONTI,MATCH(ROWS(DL$3:DL88),$DK$3:DK315,0),2),0)</f>
        <v>0</v>
      </c>
      <c r="ID88" s="259">
        <f t="shared" ca="1" si="288"/>
        <v>0</v>
      </c>
      <c r="IE88" s="259">
        <f t="shared" ca="1" si="289"/>
        <v>0</v>
      </c>
      <c r="IF88" s="259">
        <f t="shared" ca="1" si="290"/>
        <v>0</v>
      </c>
      <c r="IG88" s="259">
        <f t="shared" ca="1" si="324"/>
        <v>0</v>
      </c>
      <c r="IH88" s="259">
        <f ca="1">IF(IG88&lt;&gt;0,MAX($IH$35:IH87)+1,0)</f>
        <v>0</v>
      </c>
      <c r="II88" s="259">
        <f>IF(AD88="costi pluriennali",MAX($II$2:II87)+1,0)</f>
        <v>0</v>
      </c>
      <c r="IJ88" s="259">
        <f>IF($AD88="rettifiche costi pluriennali",MAX($IJ$2:IJ87)+1,0)</f>
        <v>0</v>
      </c>
      <c r="IK88" s="259">
        <f t="shared" si="291"/>
        <v>0</v>
      </c>
      <c r="IL88" s="259" t="str">
        <f t="shared" si="292"/>
        <v/>
      </c>
      <c r="IM88" s="259">
        <f t="shared" ca="1" si="293"/>
        <v>0</v>
      </c>
      <c r="IN88" s="259">
        <f t="shared" ca="1" si="313"/>
        <v>0</v>
      </c>
      <c r="IO88" s="259">
        <f>SUMIFS($IM$3:$IM$200,$IK$3:$IK$200,ROWS($IO$3:IO88))-SUMIFS($IN$3:$IN$200,$IK$3:$IK$200,ROWS($IO$3:IO88))</f>
        <v>0</v>
      </c>
      <c r="IP88" s="259" t="str">
        <f>IF(IO88&lt;0,INDEX($IJ$3:$IL$200,MATCH(ROWS($IP$3:IP88),$IJ$3:$IJ$200,0),3),"")</f>
        <v/>
      </c>
      <c r="IQ88" s="259">
        <f>IF(IP88&lt;&gt;"",MAX($IQ$2:IQ87)+1,0)</f>
        <v>0</v>
      </c>
      <c r="IR88" s="259" t="str">
        <f ca="1">IFERROR(INDEX($IP$3:$IQ$200,MATCH(ROWS($IR$3:IR88),$IQ$3:$IQ$200,0),1),"")</f>
        <v/>
      </c>
      <c r="IS88" s="259" t="str">
        <f t="shared" ca="1" si="294"/>
        <v/>
      </c>
      <c r="IT88" s="259" t="str">
        <f t="shared" ca="1" si="295"/>
        <v/>
      </c>
      <c r="IU88" s="259" t="str">
        <f t="shared" ca="1" si="296"/>
        <v/>
      </c>
      <c r="IV88" s="259" t="str">
        <f t="shared" ca="1" si="297"/>
        <v/>
      </c>
      <c r="IW88" s="259" t="str">
        <f t="shared" ca="1" si="298"/>
        <v/>
      </c>
      <c r="IX88" s="259" t="str">
        <f t="shared" ca="1" si="299"/>
        <v/>
      </c>
      <c r="IY88" s="259" t="str">
        <f t="shared" ca="1" si="300"/>
        <v/>
      </c>
      <c r="IZ88" s="259" t="str">
        <f t="shared" ca="1" si="301"/>
        <v/>
      </c>
      <c r="JA88" s="259" t="str">
        <f t="shared" ca="1" si="302"/>
        <v/>
      </c>
      <c r="JB88" s="259">
        <f t="shared" ca="1" si="210"/>
        <v>0</v>
      </c>
      <c r="JC88" s="259">
        <f t="shared" ca="1" si="303"/>
        <v>0</v>
      </c>
      <c r="JE88" s="259">
        <f ca="1">IFERROR(INDEX(LIBRO_GIORNALE!$N$11:$O$408,MATCH(ROWS($JE$2:JE87),LIBRO_GIORNALE!$O$11:$O$408,0),1),0)</f>
        <v>0</v>
      </c>
      <c r="JF88" s="259" t="str">
        <f t="shared" ca="1" si="304"/>
        <v>0</v>
      </c>
      <c r="JG88" s="259">
        <f t="shared" ca="1" si="305"/>
        <v>0</v>
      </c>
      <c r="JH88" s="259">
        <f ca="1">IF(JJ88&gt;0,0,MAX($JH$2:JH87)+1)</f>
        <v>86</v>
      </c>
      <c r="JI88" s="259">
        <f ca="1">IF(JG88&gt;0,MAX($JI$2:JI87)+1,0)</f>
        <v>0</v>
      </c>
      <c r="JJ88" s="259">
        <f ca="1">IFERROR(INDEX($JG$3:$JI$124,MATCH(ROWS($JJ$3:JJ88),$JI$3:$JI$124,0),1),0)</f>
        <v>0</v>
      </c>
      <c r="JK88" s="259">
        <f t="shared" ca="1" si="306"/>
        <v>0</v>
      </c>
      <c r="JL88" s="259">
        <f t="shared" ca="1" si="307"/>
        <v>86</v>
      </c>
    </row>
    <row r="89" spans="1:272">
      <c r="A89" s="259" t="str">
        <f t="shared" si="211"/>
        <v>14.09</v>
      </c>
      <c r="B89" s="259" t="str">
        <f t="shared" si="212"/>
        <v>DEBITI DA LIQUIDARE</v>
      </c>
      <c r="C89" s="259" t="str">
        <f t="shared" si="213"/>
        <v>F</v>
      </c>
      <c r="D89" s="259" t="str">
        <f t="shared" si="214"/>
        <v>A</v>
      </c>
      <c r="E89" s="259" t="str">
        <f t="shared" si="215"/>
        <v>DEBITI</v>
      </c>
      <c r="F89" s="259" t="str">
        <f t="shared" si="216"/>
        <v>SP AVERE</v>
      </c>
      <c r="G89" s="259">
        <f t="shared" ca="1" si="217"/>
        <v>0</v>
      </c>
      <c r="H89" s="259">
        <f t="shared" ca="1" si="218"/>
        <v>0</v>
      </c>
      <c r="I89" s="259">
        <f t="shared" ca="1" si="219"/>
        <v>1</v>
      </c>
      <c r="K89" s="259" t="str">
        <f ca="1">IFERROR(IF($I$1=1,INDEX($AA$3:$AS$220,MATCH(ROWS($K$3:K89),$AQ$3:$AQ$220,0),1),IF($I$1=2,INDEX($AA$3:$AS$220,MATCH(ROWS($K$3:K89),$AR$3:$AR$220,0),1),IF($I$1=3,INDEX($AA$3:$AS$220,MATCH(ROWS($K$3:K89),$AS$3:$AS$220,0),1),""))),"")</f>
        <v>RISCONTI PASSIVI</v>
      </c>
      <c r="L89" s="259">
        <f ca="1">IF(AND($L$1="VISUALIZZA TUTTI I CONTI",K89&lt;&gt;""),MAX(L88:L88)+1,IFERROR(IF($J$1=1,IF(INDEX(PIANO_DEI_CONTI,MATCH($K89,DENOMINAZIONE,0),5)=$L$1,MAX($L$2:L88)+1,0),IF($J$1=2,IF(INDEX(PIANO_DEI_CONTI,MATCH($K89,DENOMINAZIONE,0),7)=$L$1,MAX($L$2:L88)+1,0))),0))</f>
        <v>87</v>
      </c>
      <c r="M89" s="259" t="str">
        <f ca="1">IFERROR(INDEX($K$3:$K$220,MATCH(ROWS($M$3:M89),$L$3:$L$220,0),1),"")</f>
        <v>RISCONTI PASSIVI</v>
      </c>
      <c r="Q89" s="259" t="str">
        <f ca="1">IF(IFERROR(INDEX($O$3:$P$220,MATCH(ROWS(Q$3:Q89),$P$3:$P$220,0),1),"")=0,"",IFERROR(INDEX($O$3:$P$220,MATCH(ROWS(Q$3:Q89),$P$3:$P$220,0),1),""))</f>
        <v/>
      </c>
      <c r="R89" s="259" t="str">
        <f t="shared" ca="1" si="182"/>
        <v/>
      </c>
      <c r="S89" s="259">
        <f ca="1">IF(IFERROR(MATCH(R89,DENOMINAZIONE_GIORNALE,0),0)&gt;0,MAX(S$2:S88)+1,0)</f>
        <v>0</v>
      </c>
      <c r="T89" s="259" t="str">
        <f ca="1">IFERROR(INDEX($R$3:$S$220,MATCH(ROWS($T$3:T89),$S$3:$S$220,0),1),"")</f>
        <v/>
      </c>
      <c r="U89" s="259">
        <f t="shared" ca="1" si="183"/>
        <v>0</v>
      </c>
      <c r="V89" s="259">
        <f ca="1">IF(IF(U89&lt;&gt;0,MAX($V$2:V88)+1,0)=0,0,IF(U89&lt;&gt;0,MAX($V$2:V88)+1,0))</f>
        <v>0</v>
      </c>
      <c r="W89" s="259" t="str">
        <f t="shared" si="220"/>
        <v>14.09</v>
      </c>
      <c r="X89" s="259" t="str">
        <f t="shared" si="221"/>
        <v>DEBITI DA LIQUIDARE</v>
      </c>
      <c r="Y89" s="259">
        <f>IF(W89="",0,MAX($Y$2:Y88)+1)</f>
        <v>74</v>
      </c>
      <c r="Z89" s="259" t="str">
        <f>IFERROR(INDEX($W$3:$Y$220,MATCH(ROWS($Z$2:Z88),$Y$3:$Y$220,0),1),"")</f>
        <v>15.30</v>
      </c>
      <c r="AA89" s="259" t="str">
        <f t="shared" si="222"/>
        <v>DEBITI DIVERSI</v>
      </c>
      <c r="AB89" s="259" t="str">
        <f t="shared" si="223"/>
        <v>F</v>
      </c>
      <c r="AC89" s="259" t="str">
        <f t="shared" si="224"/>
        <v>A</v>
      </c>
      <c r="AD89" s="259" t="str">
        <f t="shared" si="225"/>
        <v>DEBITI</v>
      </c>
      <c r="AE89" s="259" t="str">
        <f t="shared" si="226"/>
        <v>SP AVERE</v>
      </c>
      <c r="AF89" s="259" t="str">
        <f t="shared" si="227"/>
        <v>DEBITI DIVERSI</v>
      </c>
      <c r="AG89" s="259">
        <f t="shared" ca="1" si="228"/>
        <v>1</v>
      </c>
      <c r="AH89" s="259">
        <f t="shared" ca="1" si="229"/>
        <v>1</v>
      </c>
      <c r="AI89" s="259">
        <f t="shared" ca="1" si="230"/>
        <v>1</v>
      </c>
      <c r="AJ89" s="259" t="str">
        <f t="shared" si="231"/>
        <v>15</v>
      </c>
      <c r="AK89" s="259" t="str">
        <f t="shared" si="232"/>
        <v/>
      </c>
      <c r="AL89" s="259">
        <f>IF(AK89&lt;&gt;"",MAX($AL$2:AL88)+1,0)</f>
        <v>0</v>
      </c>
      <c r="AM89" s="259" t="str">
        <f>IFERROR(INDEX($AK$3:$AL$220,MATCH(ROWS($AM$3:AM89),$AL$3:$AL$220,0),1),"")</f>
        <v/>
      </c>
      <c r="AN89" s="259" t="str">
        <f t="shared" si="233"/>
        <v/>
      </c>
      <c r="AO89" s="259" t="str">
        <f t="shared" si="234"/>
        <v/>
      </c>
      <c r="AP89" s="259" t="str">
        <f t="shared" si="235"/>
        <v>DEBITI DIVERSI</v>
      </c>
      <c r="AQ89" s="259">
        <f ca="1">IF(OR(AG89=0,AG89=""),0,MAX(AQ$2:AQ88)+1)</f>
        <v>43</v>
      </c>
      <c r="AR89" s="259">
        <f ca="1">IF(OR(AH89=0,AH89=""),0,MAX(AR$2:AR88)+1)</f>
        <v>63</v>
      </c>
      <c r="AS89" s="259">
        <f ca="1">IF(OR(AI89=0,AI89=""),0,MAX(AS$2:AS88)+1)</f>
        <v>85</v>
      </c>
      <c r="AT89" s="259" t="str">
        <f ca="1">IFERROR(INDEX($AD$3:$AS$220,MATCH(ROWS(AT$3:AT89),AQ$3:AQ$220,0),1),"")</f>
        <v>COSTI D'ESERCIZIO</v>
      </c>
      <c r="AU89" s="259" t="str">
        <f ca="1">IFERROR(INDEX($AD$3:$AS$220,MATCH(ROWS(AU$3:AU89),AR$3:AR$220,0),1),"")</f>
        <v>COSTI D'ESERCIZIO</v>
      </c>
      <c r="AV89" s="259" t="str">
        <f ca="1">IFERROR(INDEX($AD$3:$AS$220,MATCH(ROWS(AV$3:AV89),AS$3:AS$220,0),1),"")</f>
        <v>RICAVI SOSPESI</v>
      </c>
      <c r="AW89" s="259" t="str">
        <f ca="1">IFERROR(INDEX($AP$3:$AS$220,MATCH(ROWS(AW$3:AW89),AQ$3:AQ$220,0),1),"")</f>
        <v>ONERI FINANZIARI</v>
      </c>
      <c r="AX89" s="259" t="str">
        <f ca="1">IFERROR(INDEX($AP$3:$AS$220,MATCH(ROWS(AX$3:AX89),AR$3:AR$220,0),1),"")</f>
        <v>COSTI PER SERVIZI</v>
      </c>
      <c r="AY89" s="259" t="str">
        <f ca="1">IFERROR(INDEX($AP$3:$AS$220,MATCH(ROWS(AY$3:AY89),AS$3:AS$220,0),1),"")</f>
        <v>RATEI E RISCONTI PASSIVI</v>
      </c>
      <c r="AZ89" s="276" t="str">
        <f t="shared" ca="1" si="236"/>
        <v/>
      </c>
      <c r="BA89" s="259">
        <f t="shared" ca="1" si="184"/>
        <v>0</v>
      </c>
      <c r="BB89" s="259">
        <f ca="1">IFERROR(INDEX($FG$3:$FL$400,MATCH(ROWS($BB$3:BB89),$FL$3:$FL$400,0),1),0)</f>
        <v>0</v>
      </c>
      <c r="BC89" s="259" t="str">
        <f t="shared" ca="1" si="237"/>
        <v/>
      </c>
      <c r="BD89" s="259">
        <f ca="1">IFERROR(INDEX($FG$3:$FL$400,MATCH(ROWS($BD$3:BD89),$FL$3:$FL$400,0),4),0)</f>
        <v>0</v>
      </c>
      <c r="BE89" s="259">
        <f ca="1">IFERROR(INDEX($FG$3:$FL$400,MATCH(ROWS($BE$3:BE89),$FL$3:$FL$400,0),5),0)</f>
        <v>0</v>
      </c>
      <c r="BG89" s="259" t="str">
        <f t="shared" ca="1" si="185"/>
        <v>DEBITI DIVERSI</v>
      </c>
      <c r="BH89" s="259">
        <f ca="1">IF(IFERROR(MATCH(BG89,DENOMINAZIONE_GIORNALE,0),0)&gt;0,MAX(BH$2:BH88)+1,0)</f>
        <v>0</v>
      </c>
      <c r="BI89" s="259" t="str">
        <f ca="1">IFERROR(INDEX($BG$3:$BH$220,MATCH(ROWS($BI$3:BI89),$BH$3:$BH$220,0),1),"")</f>
        <v/>
      </c>
      <c r="BJ89" s="259" t="str">
        <f t="shared" ca="1" si="186"/>
        <v/>
      </c>
      <c r="BK89" s="259" t="str">
        <f ca="1">IF(IF(BJ89&lt;&gt;"",MAX($BK$2:BK88)+1,0)=0,"",IF(BJ89&lt;&gt;"",MAX($BK$2:BK88)+1,0))</f>
        <v/>
      </c>
      <c r="BL89" s="259" t="str">
        <f ca="1">IFERROR(INDEX($T$3:$U$220, MATCH(ROWS(BL$3:BL89),$V$3:$V$220,0),1),"")</f>
        <v/>
      </c>
      <c r="BM89" s="259" t="str">
        <f ca="1">IFERROR(INDEX($T$3:$U$220, MATCH(ROWS(BM$3:BM89),$V$3:$V$220,0),2),"")</f>
        <v/>
      </c>
      <c r="BN89" s="259" t="str">
        <f ca="1">IF(IFERROR(INDEX($BI$3:$BJ$220,MATCH(ROWS(BN$3:BN89),$BK$3:$BK$220,0),1),"")="PATRIMONIO NETTO","",IFERROR(INDEX($BI$3:$BJ$220,MATCH(ROWS(BN$3:BN89),$BK$3:$BK$220,0),1),""))</f>
        <v/>
      </c>
      <c r="BO89" s="259" t="str">
        <f ca="1">IFERROR(INDEX($BI$3:$BJ$220,MATCH(ROWS(BO$3:BO89),$BK$3:$BK$220,0),2),"")</f>
        <v/>
      </c>
      <c r="BP89" s="259">
        <f ca="1">IF(BN89&lt;&gt;"",MAX(BP$2:$BP88)+1,0)</f>
        <v>0</v>
      </c>
      <c r="BQ89" s="259" t="str">
        <f ca="1">IFERROR(INDEX($BN$3:$BO$200,MATCH(ROWS(BQ$3:BQ89),$BP$3:$BP$220,0),1),"")</f>
        <v/>
      </c>
      <c r="BR89" s="259" t="str">
        <f ca="1">IFERROR(INDEX($BN$3:$BO$220,MATCH(ROWS(BR$3:BR89),$BP$3:$BP$220,0),2),"")</f>
        <v/>
      </c>
      <c r="BS89" s="259" t="str">
        <f ca="1">IFERROR(IF(OR(INDEX($T$3:$U$220,MATCH(ROWS(BL$3:BL89),$V$3:$V$220,0),1)="PRELEVAMENTI EXTRAGESTIONE",INDEX($T$3:$U$220,MATCH(ROWS(BL$3:BL89),$V$3:$V$220,0),1)="TITOLARE C/RITENUTE SUBITE"),"",INDEX($T$3:$U$220,MATCH(ROWS(BL$3:BL89),$V$3:$V$220,0),1)),"")</f>
        <v/>
      </c>
      <c r="BT89" s="259">
        <f t="shared" ca="1" si="238"/>
        <v>0</v>
      </c>
      <c r="BU89" s="259">
        <f ca="1">IF(BS89&lt;&gt;"",MAX(BU$2:BU88)+1,0)</f>
        <v>0</v>
      </c>
      <c r="BV89" s="259" t="str">
        <f ca="1">IFERROR(INDEX($BS$3:$BT$223,MATCH(ROWS(BV$3:BV89),$BU$3:$BU$223,0),1),"")</f>
        <v/>
      </c>
      <c r="BW89" s="259">
        <f t="shared" ca="1" si="239"/>
        <v>0</v>
      </c>
      <c r="BX89" s="259" t="str">
        <f t="shared" ca="1" si="240"/>
        <v/>
      </c>
      <c r="BY89" s="259" t="str">
        <f t="shared" ca="1" si="241"/>
        <v/>
      </c>
      <c r="BZ89" s="259" t="str">
        <f ca="1">IFERROR(IF(OR($DS$231&lt;&gt;$DT$231,$DU$231&lt;&gt;$DV$231,$EO$25&lt;&gt;0,$EO$26&lt;&gt;0),INDEX($T$3:$V$220,MATCH(ROWS($BV$3:BV89),$V$3:$V$220,0),1),CONCATENATE(BV89,BY89)),"")</f>
        <v/>
      </c>
      <c r="CA89" s="259">
        <f t="shared" ca="1" si="242"/>
        <v>0</v>
      </c>
      <c r="CB89" s="259" t="str">
        <f ca="1">IFERROR(IF(OR($BB$1&lt;&gt;$BD$1,$BC$1&lt;&gt;$BE$1,$DS$231&lt;&gt;$DT$231,$DU$231&lt;&gt;$DV$231,$EO$25&lt;&gt;0,$EO$26&lt;&gt;0),INDEX($BI$3:$BK$220,MATCH(ROWS($CB$3:CB89),$BK$3:$BK$220,0),1),CONCATENATE(BQ89,BX89)),"")</f>
        <v/>
      </c>
      <c r="CC89" s="259" t="str">
        <f t="shared" ca="1" si="243"/>
        <v/>
      </c>
      <c r="CD89" s="259" t="str">
        <f t="shared" ca="1" si="187"/>
        <v/>
      </c>
      <c r="CE89" s="259">
        <f ca="1">IF(IFERROR(MATCH(CD89,DENOMINAZIONE_GIORNALE,0),0)&gt;0,MAX(CE$2:CE88)+1,0)</f>
        <v>0</v>
      </c>
      <c r="CF89" s="259" t="str">
        <f ca="1">IFERROR(INDEX($CD$3:$CE$220,MATCH(ROWS($CF$3:CF89),$CE$3:$CE$220,0),1),"")</f>
        <v/>
      </c>
      <c r="CG89" s="259">
        <f t="shared" ca="1" si="188"/>
        <v>0</v>
      </c>
      <c r="CH89" s="259" t="str">
        <f ca="1">IF(IF(CG89&lt;&gt;0,MAX($CH$2:CH88)+1,0)=0,"",IF(CG89&lt;&gt;"",MAX($CH$2:CH88)+1,0))</f>
        <v/>
      </c>
      <c r="CI89" s="259" t="str">
        <f ca="1">IFERROR(INDEX($CF$3:$CG$220,MATCH(ROWS($CI$3:CI89),$CH$3:$CH$220,0),1),"")</f>
        <v/>
      </c>
      <c r="CJ89" s="259" t="str">
        <f t="shared" ca="1" si="244"/>
        <v/>
      </c>
      <c r="CK89" s="259" t="str">
        <f t="shared" ca="1" si="189"/>
        <v/>
      </c>
      <c r="CL89" s="259">
        <f ca="1">IF(IFERROR(MATCH(CK89,DENOMINAZIONE_GIORNALE,0),0)&gt;0,MAX(CL$2:CL88)+1,0)</f>
        <v>0</v>
      </c>
      <c r="CM89" s="259" t="str">
        <f ca="1">IFERROR(INDEX($CK$3:$CL$220,MATCH(ROWS($CM$3:CM89),$CL$3:$CL$220,0),1),"")</f>
        <v/>
      </c>
      <c r="CN89" s="259" t="str">
        <f t="shared" ca="1" si="190"/>
        <v/>
      </c>
      <c r="CO89" s="259">
        <f ca="1">IF(IF(CN89&lt;&gt;0,MAX($CO$2:CO88)+1,0)=0,"",IF(CN89&lt;&gt;"",MAX($CO$2:CO88)+1,0))</f>
        <v>0</v>
      </c>
      <c r="CP89" s="259" t="str">
        <f ca="1">IFERROR(INDEX($CM$3:$CN$220,MATCH(ROWS(CP$3:CP89),$CO$3:$CO$220,0),1),"")</f>
        <v/>
      </c>
      <c r="CQ89" s="259" t="str">
        <f ca="1">IFERROR(INDEX($CM$3:$CN$220,MATCH(ROWS(CQ$3:CQ89),$CO$3:$CO$220,0),2),"")</f>
        <v/>
      </c>
      <c r="CR89" s="259" t="str">
        <f t="shared" ca="1" si="191"/>
        <v/>
      </c>
      <c r="CS89" s="259">
        <f t="shared" ca="1" si="192"/>
        <v>0</v>
      </c>
      <c r="CT89" s="259">
        <f t="shared" ca="1" si="193"/>
        <v>0</v>
      </c>
      <c r="CU89" s="259">
        <f ca="1">IF(OR(CS89&gt;0,CT89&gt;0),MAX($CU$2:CU88)+1,0)</f>
        <v>0</v>
      </c>
      <c r="CV89" s="259" t="str">
        <f ca="1">IFERROR(INDEX(PIANO_DEI_CONTI,MATCH(ROWS($CV$3:CV89),$CU$3:$CU$200,0),2),"")</f>
        <v/>
      </c>
      <c r="CW89" s="259">
        <f ca="1">IFERROR(IF(CV89&lt;&gt;"",MAX($CW$2:CW88)+1,0),0)</f>
        <v>0</v>
      </c>
      <c r="CX89" s="259">
        <f t="shared" ca="1" si="315"/>
        <v>5</v>
      </c>
      <c r="CY89" s="259" t="str">
        <f t="shared" ca="1" si="308"/>
        <v>MASTRO</v>
      </c>
      <c r="CZ89" s="259" t="e">
        <f t="shared" ca="1" si="317"/>
        <v>#N/A</v>
      </c>
      <c r="DA89" s="259" t="str">
        <f t="shared" ca="1" si="322"/>
        <v/>
      </c>
      <c r="DB89" s="259" t="str">
        <f t="shared" ca="1" si="318"/>
        <v/>
      </c>
      <c r="DC89" s="259" t="str">
        <f t="shared" ca="1" si="319"/>
        <v/>
      </c>
      <c r="DD89" s="259" t="str">
        <f t="shared" ca="1" si="320"/>
        <v/>
      </c>
      <c r="DE89" s="259" t="str">
        <f t="shared" ca="1" si="321"/>
        <v/>
      </c>
      <c r="DF89" s="259">
        <f ca="1">IF(AND(CX89=$DE$2,$DF$2&lt;&gt;0),0,IF(AND(DB89&lt;&gt;"",OR(DB88&lt;&gt;"",DB90&lt;&gt;"")),MAX($DF$2:DF88)+1,0))</f>
        <v>0</v>
      </c>
      <c r="DG89" s="259" t="str">
        <f>IF(OR(VALORI_INIZIALI!E94="",AND(VALORI_INIZIALI!E94&lt;&gt;"",VALORI_INIZIALI!H94=0,VALORI_INIZIALI!I94=0)),"",IFERROR(INDEX(PIANO_DEI_CONTI,MATCH(BB89,DENOMINAZIONE,0),1),0))</f>
        <v/>
      </c>
      <c r="DH89" s="259">
        <f ca="1">IFERROR(IF($J$1=1,IF(INDEX(PIANO_DEI_CONTI,MATCH($K89,DENOMINAZIONE,0),5)=$DF$1,MAX($DH$2:DH88)+1,0),IF($J$1=2,IF(INDEX(PIANO_DEI_CONTI,MATCH($K89,DENOMINAZIONE,0),7)=$DF$1,MAX($DH$2:DH88)+1,0))),0)</f>
        <v>0</v>
      </c>
      <c r="DI89" s="259">
        <f ca="1">IFERROR(INDEX($K$3:$K$220,MATCH(ROWS($DI$3:DI89),$DH$3:$DH$220,0),1),0)</f>
        <v>0</v>
      </c>
      <c r="DJ89" s="259">
        <f t="shared" ca="1" si="194"/>
        <v>0</v>
      </c>
      <c r="DK89" s="259">
        <f ca="1">IF(DJ89=0,0,MAX(DK$2:DK88)+1)</f>
        <v>0</v>
      </c>
      <c r="DL89" s="259">
        <f ca="1">IFERROR(INDEX(PIANO_DEI_CONTI,MATCH(ROWS(DL$3:DL89),$DK$3:DK316,0),2),0)</f>
        <v>0</v>
      </c>
      <c r="DM89" s="259">
        <f t="shared" ca="1" si="195"/>
        <v>0</v>
      </c>
      <c r="DN89" s="259">
        <f t="shared" ca="1" si="196"/>
        <v>0</v>
      </c>
      <c r="DO89" s="259">
        <f t="shared" ca="1" si="245"/>
        <v>0</v>
      </c>
      <c r="DP89" s="259">
        <f t="shared" ca="1" si="246"/>
        <v>0</v>
      </c>
      <c r="DQ89" s="259">
        <f ca="1">IF(OR($DQ$1="TOTALI",$DQ$1="TOTALI ED ECCEDENZE"),IF(OR(DM89&gt;0,DN89&gt;0),MAX(DQ$2:DQ88)+1,0),IF($DQ$1="ECCEDENZE",IF(OR(DO89&gt;0,DP89&gt;0),MAX(DQ$2:DQ88)+1,0),""))</f>
        <v>0</v>
      </c>
      <c r="DR89" s="259" t="str">
        <f ca="1">IFERROR(INDEX($DL$3:$DQ$230,MATCH(ROWS(DR$3:DR89),$DQ$3:$DQ$230,0),1),"")</f>
        <v/>
      </c>
      <c r="DS89" s="259" t="str">
        <f t="shared" ca="1" si="247"/>
        <v/>
      </c>
      <c r="DT89" s="259" t="str">
        <f t="shared" ca="1" si="248"/>
        <v/>
      </c>
      <c r="DU89" s="259" t="str">
        <f t="shared" ca="1" si="249"/>
        <v/>
      </c>
      <c r="DV89" s="259" t="str">
        <f t="shared" ca="1" si="250"/>
        <v/>
      </c>
      <c r="DW89" s="259">
        <f t="shared" ca="1" si="251"/>
        <v>0</v>
      </c>
      <c r="DX89" s="259" t="str">
        <f t="shared" ca="1" si="252"/>
        <v/>
      </c>
      <c r="DY89" s="259" t="str">
        <f t="shared" ca="1" si="253"/>
        <v/>
      </c>
      <c r="DZ89" s="259" t="str">
        <f t="shared" ca="1" si="254"/>
        <v/>
      </c>
      <c r="EA89" s="259">
        <f t="shared" ca="1" si="255"/>
        <v>87</v>
      </c>
      <c r="EB89" s="259" t="s">
        <v>361</v>
      </c>
      <c r="ED89" s="259">
        <f t="shared" ca="1" si="197"/>
        <v>0</v>
      </c>
      <c r="EE89" s="259" t="str">
        <f t="shared" ca="1" si="198"/>
        <v/>
      </c>
      <c r="EF89" s="259" t="str">
        <f t="shared" ca="1" si="199"/>
        <v/>
      </c>
      <c r="EG89" s="259" t="str">
        <f t="shared" ca="1" si="309"/>
        <v/>
      </c>
      <c r="EH89" s="259" t="str">
        <f t="shared" ca="1" si="256"/>
        <v/>
      </c>
      <c r="EI89" s="260" t="b">
        <f t="shared" ca="1" si="310"/>
        <v>0</v>
      </c>
      <c r="EJ89" s="260" t="b">
        <f t="shared" ca="1" si="311"/>
        <v>0</v>
      </c>
      <c r="EK89" s="260" t="b">
        <f t="shared" ca="1" si="312"/>
        <v>1</v>
      </c>
      <c r="EL89" s="259">
        <f t="shared" si="257"/>
        <v>87</v>
      </c>
      <c r="EM89" s="259">
        <f ca="1">IF(AND(BA89&gt;0,BA89&lt;=$EM$1),MAX($EM$2:EM88)+1,0)</f>
        <v>0</v>
      </c>
      <c r="EN89" s="259">
        <f t="shared" ca="1" si="258"/>
        <v>89</v>
      </c>
      <c r="EP89" s="259" t="str">
        <f t="shared" ca="1" si="200"/>
        <v/>
      </c>
      <c r="EQ89" s="259">
        <f t="shared" ca="1" si="201"/>
        <v>0</v>
      </c>
      <c r="ER89" s="259">
        <f ca="1">IF(ISNA(EQ89),MAX(ER$2:ER88)+1,0)</f>
        <v>0</v>
      </c>
      <c r="ES89" s="259" t="str">
        <f t="shared" ca="1" si="259"/>
        <v/>
      </c>
      <c r="ET89" s="259" t="str">
        <f ca="1">IFERROR(UPPER(INDEX($ER$3:$ES$500,MATCH(ROWS(ET$3:ET89),$ER$3:$ER$500,0),2)),"")</f>
        <v/>
      </c>
      <c r="EY89" s="259">
        <f t="shared" ca="1" si="260"/>
        <v>0</v>
      </c>
      <c r="EZ89" s="259">
        <f t="shared" ca="1" si="260"/>
        <v>0</v>
      </c>
      <c r="FA89" s="259" t="str">
        <f t="shared" ca="1" si="261"/>
        <v/>
      </c>
      <c r="FB89" s="259">
        <f t="shared" ca="1" si="262"/>
        <v>0</v>
      </c>
      <c r="FC89" s="259">
        <f t="shared" ca="1" si="263"/>
        <v>0</v>
      </c>
      <c r="FD89" s="259">
        <f t="shared" ca="1" si="202"/>
        <v>0</v>
      </c>
      <c r="FE89" s="259" t="str">
        <f t="shared" ca="1" si="203"/>
        <v/>
      </c>
      <c r="FF89" s="259" t="str">
        <f t="shared" ca="1" si="264"/>
        <v/>
      </c>
      <c r="FG89" s="259" t="str">
        <f t="shared" si="265"/>
        <v>DEBITI DIVERSI</v>
      </c>
      <c r="FH89" s="259">
        <f t="shared" ca="1" si="156"/>
        <v>0</v>
      </c>
      <c r="FI89" s="259">
        <f t="shared" ca="1" si="204"/>
        <v>0</v>
      </c>
      <c r="FJ89" s="259">
        <f t="shared" ca="1" si="266"/>
        <v>0</v>
      </c>
      <c r="FK89" s="259">
        <f t="shared" ca="1" si="267"/>
        <v>0</v>
      </c>
      <c r="FL89" s="259">
        <f ca="1">IF(OR(FJ89&gt;0,FK89&gt;0),MAX($FL$2:FL88)+1,0)</f>
        <v>0</v>
      </c>
      <c r="FM89" s="259">
        <f t="shared" ca="1" si="205"/>
        <v>0</v>
      </c>
      <c r="FN89" s="259">
        <f ca="1">IF(FM89&lt;0,MAX($FN$2:FN88)+1,0)</f>
        <v>0</v>
      </c>
      <c r="FO89" s="259" t="str">
        <f t="shared" ca="1" si="268"/>
        <v/>
      </c>
      <c r="FP89" s="259" t="str">
        <f ca="1">IFERROR(INDEX($FN$3:$FO$400,MATCH(ROWS($FP$3:FP89),$FN$3:$FN$400,0),2),"")</f>
        <v/>
      </c>
      <c r="FQ89" s="259" t="str">
        <f>IF(AE89="SE AVERE",MAX($FQ$2:FQ88)+1,"")</f>
        <v/>
      </c>
      <c r="FR89" s="259" t="str">
        <f>IF(AE89="SE DARE",MAX($FR$2:FR88)+1,"")</f>
        <v/>
      </c>
      <c r="FS89" s="259" t="str">
        <f ca="1">IF(AND(AE89="SP DARE",AA89&lt;&gt;$FS$1,AA89&lt;&gt;$FT$1),MAX($FS$2:FS88)+1,IF(AND(GQ89="SP DARE",AA89&lt;&gt;$FS$1,AA89&lt;&gt;$FT$1),MAX($FS$2:FS88)+1,""))</f>
        <v/>
      </c>
      <c r="FT89" s="259">
        <f ca="1">IF(AND(AE89="SP AVERE",AA89&lt;&gt;$FU$1),MAX($FT$2:FT88)+1,IF(AND(GQ89="SP AVERE",AA89&lt;&gt;$FU$1),MAX($FT$2:FT88)+1,""))</f>
        <v>171</v>
      </c>
      <c r="FU89" s="259">
        <f t="shared" ca="1" si="269"/>
        <v>171</v>
      </c>
      <c r="FV89" s="259" t="str">
        <f t="shared" si="270"/>
        <v>DEBITI DIVERSI</v>
      </c>
      <c r="FW89" s="259">
        <f ca="1">IFERROR(INDEX($FU$3:$FV$500,MATCH(ROWS($FW$3:FW89),$FU$3:$FU$500,0),2),0)</f>
        <v>0</v>
      </c>
      <c r="FX89" s="259">
        <f t="shared" ca="1" si="271"/>
        <v>0</v>
      </c>
      <c r="FY89" s="259">
        <f t="shared" ca="1" si="272"/>
        <v>87</v>
      </c>
      <c r="FZ89" s="259">
        <f ca="1">IF(FY89&gt;0,MAX($FZ$2:FZ88)+1,0)</f>
        <v>13</v>
      </c>
      <c r="GA89" s="259">
        <f ca="1">IFERROR(INDEX($FY$3:$FZ$500,MATCH(ROWS($GA$3:GA89),$FZ$3:$FZ$500,0),1),0)</f>
        <v>0</v>
      </c>
      <c r="GC89" s="259">
        <f t="shared" ca="1" si="273"/>
        <v>87</v>
      </c>
      <c r="GD89" s="259" t="str">
        <f t="shared" ca="1" si="274"/>
        <v>PATRIMONIO NETTO</v>
      </c>
      <c r="GG89" s="259">
        <f t="shared" ca="1" si="275"/>
        <v>0</v>
      </c>
      <c r="GH89" s="259">
        <f t="shared" ca="1" si="276"/>
        <v>0</v>
      </c>
      <c r="GI89" s="259">
        <f t="shared" ca="1" si="277"/>
        <v>0</v>
      </c>
      <c r="GJ89" s="259">
        <f t="shared" ca="1" si="278"/>
        <v>0</v>
      </c>
      <c r="GK89" s="259">
        <f t="shared" ca="1" si="279"/>
        <v>0</v>
      </c>
      <c r="GL89" s="259">
        <f t="shared" ca="1" si="280"/>
        <v>0</v>
      </c>
      <c r="GM89" s="259">
        <f ca="1">IF(OR(GK89&gt;0,GL89&gt;0),MAX($GM$2:GM88)+1,0)</f>
        <v>0</v>
      </c>
      <c r="GN89" s="259" t="str">
        <f ca="1">IFERROR(INDEX($GD$3:$GM$400,MATCH(ROWS($GN$3:GN89),$GM$3:$GM$400,0),1),"")</f>
        <v/>
      </c>
      <c r="GO89" s="259" t="str">
        <f ca="1">IFERROR(INDEX($GD$3:$GM$400,MATCH(ROWS($GO$3:GO89),$GM$3:$GM$400,0),8),"")</f>
        <v/>
      </c>
      <c r="GP89" s="259" t="str">
        <f ca="1">IFERROR(INDEX($GD$3:$GM$400,MATCH(ROWS($GP$3:GP89),$GM$3:$GM$400,0),9),"")</f>
        <v/>
      </c>
      <c r="GQ89" s="259">
        <f t="shared" ca="1" si="206"/>
        <v>0</v>
      </c>
      <c r="GR89" s="259">
        <f t="shared" ca="1" si="281"/>
        <v>0</v>
      </c>
      <c r="GS89" s="259" t="str">
        <f t="shared" ca="1" si="282"/>
        <v>giro ritenute subite</v>
      </c>
      <c r="GT89" s="259" t="str">
        <f ca="1">IFERROR(INDEX($GD$3:$GS$400,MATCH(ROWS($GT$3:GT89),$GM$3:$GM$400,0),16),"")</f>
        <v/>
      </c>
      <c r="GU89" s="259">
        <f ca="1">IF(GQ89&lt;&gt;0,MAX($GU$2:$GU88)+1,0)</f>
        <v>0</v>
      </c>
      <c r="GV89" s="259">
        <f t="shared" ca="1" si="283"/>
        <v>0</v>
      </c>
      <c r="GW89" s="259" t="str">
        <f ca="1">IF(AND(IFERROR(INDEX($GU$3:$GV$400,MATCH(ROWS($GW$3:GW89),$GU$3:$GU$400,0),2),"")&lt;&gt;"",GW90&lt;&gt;""),CONCATENATE(IFERROR(INDEX($GU$3:$GV$400,MATCH(ROWS($GW$3:GW89),$GU$3:$GU$400,0),2),"")," - "),IFERROR(INDEX($GU$3:$GV$400,MATCH(ROWS($GW$3:GW89),$GU$3:$GU$400,0),2),""))</f>
        <v/>
      </c>
      <c r="GX89" s="259">
        <f ca="1">IF(OR(GN89="IVA NS/CREDITO",GN89="IVA NS/DEBITO",GN89="IVA C/ACCONTO",GN89="IMPOSTE C/ACCONTO"),MAX($GX$2:GX88)+1,0)</f>
        <v>0</v>
      </c>
      <c r="GY89" s="259" t="str">
        <f ca="1">IF(AND(IFERROR(INDEX($GN$3:$GX$200,MATCH(ROWS($GY$3:GY89),$GX$3:$GX$200,0),1),"")&lt;&gt;"",GY90&lt;&gt;""),CONCATENATE(IFERROR(INDEX($GN$3:$GX$200,MATCH(ROWS($GY$3:GY89),$GX$3:$GX$200,0),1),"")," - "),IFERROR(INDEX($GN$3:$GX$200,MATCH(ROWS($GY$3:GY89),$GX$3:$GX$200,0),1),""))</f>
        <v/>
      </c>
      <c r="GZ89" s="259" t="s">
        <v>643</v>
      </c>
      <c r="HA89" s="259" t="s">
        <v>530</v>
      </c>
      <c r="HB89" s="269" t="s">
        <v>257</v>
      </c>
      <c r="HC89" s="269" t="s">
        <v>211</v>
      </c>
      <c r="HD89" s="269" t="s">
        <v>5</v>
      </c>
      <c r="HE89" s="269" t="s">
        <v>212</v>
      </c>
      <c r="HL89" s="259" t="str">
        <f t="shared" ca="1" si="207"/>
        <v/>
      </c>
      <c r="HM89" s="259" t="str">
        <f t="shared" ca="1" si="208"/>
        <v/>
      </c>
      <c r="HN89" s="259" t="str">
        <f t="shared" ca="1" si="209"/>
        <v/>
      </c>
      <c r="HO89" s="259">
        <f ca="1">IF(HL89&lt;&gt;"",MAX($HO$2:HO88)+1,0)</f>
        <v>0</v>
      </c>
      <c r="HP89" s="259">
        <f ca="1">IF(HM89&lt;&gt;"",MAX($HP$2:HP88)+1,0)</f>
        <v>0</v>
      </c>
      <c r="HQ89" s="259">
        <f ca="1">IF(HN89&lt;&gt;"",MAX($HQ$2:HQ88)+1,0)</f>
        <v>0</v>
      </c>
      <c r="HR89" s="259" t="str">
        <f t="shared" ca="1" si="284"/>
        <v/>
      </c>
      <c r="HS89" s="259" t="str">
        <f t="shared" ca="1" si="285"/>
        <v/>
      </c>
      <c r="HT89" s="259">
        <f t="shared" ca="1" si="286"/>
        <v>0</v>
      </c>
      <c r="HU89" s="259">
        <f t="shared" ca="1" si="287"/>
        <v>0</v>
      </c>
      <c r="HV89" s="259" t="str">
        <f ca="1">CONCATENATE(IFERROR(INDEX($HS$3:$HT$102,MATCH(ROWS($HV$3:HV89),$HT$3:$HT$102,0),1),""),HR89)</f>
        <v/>
      </c>
      <c r="IA89" s="259" t="s">
        <v>400</v>
      </c>
      <c r="IB89" s="259" t="s">
        <v>343</v>
      </c>
      <c r="IC89" s="259">
        <f ca="1">IFERROR(INDEX(PIANO_DEI_CONTI,MATCH(ROWS(DL$3:DL89),$DK$3:DK316,0),2),0)</f>
        <v>0</v>
      </c>
      <c r="ID89" s="259">
        <f t="shared" ca="1" si="288"/>
        <v>0</v>
      </c>
      <c r="IE89" s="259">
        <f t="shared" ca="1" si="289"/>
        <v>0</v>
      </c>
      <c r="IF89" s="259">
        <f t="shared" ca="1" si="290"/>
        <v>0</v>
      </c>
      <c r="IG89" s="259">
        <f t="shared" ca="1" si="324"/>
        <v>0</v>
      </c>
      <c r="IH89" s="259">
        <f ca="1">IF(IG89&lt;&gt;0,MAX($IH$35:IH88)+1,0)</f>
        <v>0</v>
      </c>
      <c r="II89" s="259">
        <f>IF(AD89="costi pluriennali",MAX($II$2:II88)+1,0)</f>
        <v>0</v>
      </c>
      <c r="IJ89" s="259">
        <f>IF($AD89="rettifiche costi pluriennali",MAX($IJ$2:IJ88)+1,0)</f>
        <v>0</v>
      </c>
      <c r="IK89" s="259">
        <f t="shared" si="291"/>
        <v>0</v>
      </c>
      <c r="IL89" s="259" t="str">
        <f t="shared" si="292"/>
        <v/>
      </c>
      <c r="IM89" s="259">
        <f t="shared" ca="1" si="293"/>
        <v>0</v>
      </c>
      <c r="IN89" s="259">
        <f t="shared" ca="1" si="313"/>
        <v>0</v>
      </c>
      <c r="IO89" s="259">
        <f>SUMIFS($IM$3:$IM$200,$IK$3:$IK$200,ROWS($IO$3:IO89))-SUMIFS($IN$3:$IN$200,$IK$3:$IK$200,ROWS($IO$3:IO89))</f>
        <v>0</v>
      </c>
      <c r="IP89" s="259" t="str">
        <f>IF(IO89&lt;0,INDEX($IJ$3:$IL$200,MATCH(ROWS($IP$3:IP89),$IJ$3:$IJ$200,0),3),"")</f>
        <v/>
      </c>
      <c r="IQ89" s="259">
        <f>IF(IP89&lt;&gt;"",MAX($IQ$2:IQ88)+1,0)</f>
        <v>0</v>
      </c>
      <c r="IR89" s="259" t="str">
        <f ca="1">IFERROR(INDEX($IP$3:$IQ$200,MATCH(ROWS($IR$3:IR89),$IQ$3:$IQ$200,0),1),"")</f>
        <v/>
      </c>
      <c r="IS89" s="259" t="str">
        <f t="shared" ca="1" si="294"/>
        <v/>
      </c>
      <c r="IT89" s="259" t="str">
        <f t="shared" ca="1" si="295"/>
        <v/>
      </c>
      <c r="IU89" s="259" t="str">
        <f t="shared" ca="1" si="296"/>
        <v/>
      </c>
      <c r="IV89" s="259" t="str">
        <f t="shared" ca="1" si="297"/>
        <v/>
      </c>
      <c r="IW89" s="259" t="str">
        <f t="shared" ca="1" si="298"/>
        <v/>
      </c>
      <c r="IX89" s="259" t="str">
        <f t="shared" ca="1" si="299"/>
        <v/>
      </c>
      <c r="IY89" s="259" t="str">
        <f t="shared" ca="1" si="300"/>
        <v/>
      </c>
      <c r="IZ89" s="259" t="str">
        <f t="shared" ca="1" si="301"/>
        <v/>
      </c>
      <c r="JA89" s="259" t="str">
        <f t="shared" ca="1" si="302"/>
        <v/>
      </c>
      <c r="JB89" s="259">
        <f t="shared" ca="1" si="210"/>
        <v>0</v>
      </c>
      <c r="JC89" s="259">
        <f t="shared" ca="1" si="303"/>
        <v>0</v>
      </c>
      <c r="JE89" s="259">
        <f ca="1">IFERROR(INDEX(LIBRO_GIORNALE!$N$11:$O$408,MATCH(ROWS($JE$2:JE88),LIBRO_GIORNALE!$O$11:$O$408,0),1),0)</f>
        <v>0</v>
      </c>
      <c r="JF89" s="259" t="str">
        <f t="shared" ca="1" si="304"/>
        <v>0</v>
      </c>
      <c r="JG89" s="259">
        <f t="shared" ca="1" si="305"/>
        <v>0</v>
      </c>
      <c r="JH89" s="259">
        <f ca="1">IF(JJ89&gt;0,0,MAX($JH$2:JH88)+1)</f>
        <v>87</v>
      </c>
      <c r="JI89" s="259">
        <f ca="1">IF(JG89&gt;0,MAX($JI$2:JI88)+1,0)</f>
        <v>0</v>
      </c>
      <c r="JJ89" s="259">
        <f ca="1">IFERROR(INDEX($JG$3:$JI$124,MATCH(ROWS($JJ$3:JJ89),$JI$3:$JI$124,0),1),0)</f>
        <v>0</v>
      </c>
      <c r="JK89" s="259">
        <f t="shared" ca="1" si="306"/>
        <v>0</v>
      </c>
      <c r="JL89" s="259">
        <f t="shared" ca="1" si="307"/>
        <v>87</v>
      </c>
    </row>
    <row r="90" spans="1:272">
      <c r="A90" s="259" t="str">
        <f t="shared" si="211"/>
        <v>14.15</v>
      </c>
      <c r="B90" s="259" t="str">
        <f t="shared" si="212"/>
        <v>DEBITI PER ACCONTI A FORNITORI</v>
      </c>
      <c r="C90" s="259" t="str">
        <f t="shared" si="213"/>
        <v>F</v>
      </c>
      <c r="D90" s="259" t="str">
        <f t="shared" si="214"/>
        <v>A</v>
      </c>
      <c r="E90" s="259" t="str">
        <f t="shared" si="215"/>
        <v>DEBITI</v>
      </c>
      <c r="F90" s="259" t="str">
        <f t="shared" si="216"/>
        <v>SP AVERE</v>
      </c>
      <c r="G90" s="259">
        <f t="shared" ca="1" si="217"/>
        <v>1</v>
      </c>
      <c r="H90" s="259">
        <f t="shared" ca="1" si="218"/>
        <v>1</v>
      </c>
      <c r="I90" s="259">
        <f t="shared" ca="1" si="219"/>
        <v>1</v>
      </c>
      <c r="K90" s="259" t="str">
        <f ca="1">IFERROR(IF($I$1=1,INDEX($AA$3:$AS$220,MATCH(ROWS($K$3:K90),$AQ$3:$AQ$220,0),1),IF($I$1=2,INDEX($AA$3:$AS$220,MATCH(ROWS($K$3:K90),$AR$3:$AR$220,0),1),IF($I$1=3,INDEX($AA$3:$AS$220,MATCH(ROWS($K$3:K90),$AS$3:$AS$220,0),1),""))),"")</f>
        <v>IVA C/LIQUIDAZIONE</v>
      </c>
      <c r="L90" s="259">
        <f ca="1">IF(AND($L$1="VISUALIZZA TUTTI I CONTI",K90&lt;&gt;""),MAX(L89:L89)+1,IFERROR(IF($J$1=1,IF(INDEX(PIANO_DEI_CONTI,MATCH($K90,DENOMINAZIONE,0),5)=$L$1,MAX($L$2:L89)+1,0),IF($J$1=2,IF(INDEX(PIANO_DEI_CONTI,MATCH($K90,DENOMINAZIONE,0),7)=$L$1,MAX($L$2:L89)+1,0))),0))</f>
        <v>88</v>
      </c>
      <c r="M90" s="259" t="str">
        <f ca="1">IFERROR(INDEX($K$3:$K$220,MATCH(ROWS($M$3:M90),$L$3:$L$220,0),1),"")</f>
        <v>IVA C/LIQUIDAZIONE</v>
      </c>
      <c r="Q90" s="259" t="str">
        <f ca="1">IF(IFERROR(INDEX($O$3:$P$220,MATCH(ROWS(Q$3:Q90),$P$3:$P$220,0),1),"")=0,"",IFERROR(INDEX($O$3:$P$220,MATCH(ROWS(Q$3:Q90),$P$3:$P$220,0),1),""))</f>
        <v/>
      </c>
      <c r="R90" s="259" t="str">
        <f t="shared" ca="1" si="182"/>
        <v/>
      </c>
      <c r="S90" s="259">
        <f ca="1">IF(IFERROR(MATCH(R90,DENOMINAZIONE_GIORNALE,0),0)&gt;0,MAX(S$2:S89)+1,0)</f>
        <v>0</v>
      </c>
      <c r="T90" s="259" t="str">
        <f ca="1">IFERROR(INDEX($R$3:$S$220,MATCH(ROWS($T$3:T90),$S$3:$S$220,0),1),"")</f>
        <v/>
      </c>
      <c r="U90" s="259">
        <f t="shared" ca="1" si="183"/>
        <v>0</v>
      </c>
      <c r="V90" s="259">
        <f ca="1">IF(IF(U90&lt;&gt;0,MAX($V$2:V89)+1,0)=0,0,IF(U90&lt;&gt;0,MAX($V$2:V89)+1,0))</f>
        <v>0</v>
      </c>
      <c r="W90" s="259" t="str">
        <f t="shared" si="220"/>
        <v>14.15</v>
      </c>
      <c r="X90" s="259" t="str">
        <f t="shared" si="221"/>
        <v>DEBITI PER ACCONTI A FORNITORI</v>
      </c>
      <c r="Y90" s="259">
        <f>IF(W90="",0,MAX($Y$2:Y89)+1)</f>
        <v>75</v>
      </c>
      <c r="Z90" s="259" t="str">
        <f>IFERROR(INDEX($W$3:$Y$220,MATCH(ROWS($Z$2:Z89),$Y$3:$Y$220,0),1),"")</f>
        <v>16.01</v>
      </c>
      <c r="AA90" s="259" t="str">
        <f t="shared" si="222"/>
        <v>RATEI PASSIVI</v>
      </c>
      <c r="AB90" s="259" t="str">
        <f t="shared" si="223"/>
        <v>F</v>
      </c>
      <c r="AC90" s="259" t="str">
        <f t="shared" si="224"/>
        <v>A</v>
      </c>
      <c r="AD90" s="259" t="str">
        <f t="shared" si="225"/>
        <v>RATEI, FONDI RISCHI E ONERI</v>
      </c>
      <c r="AE90" s="259" t="str">
        <f t="shared" si="226"/>
        <v>SP AVERE</v>
      </c>
      <c r="AF90" s="259" t="str">
        <f t="shared" si="227"/>
        <v>RATEI E RISCONTI PASSIVI</v>
      </c>
      <c r="AG90" s="259">
        <f t="shared" ca="1" si="228"/>
        <v>0</v>
      </c>
      <c r="AH90" s="259">
        <f t="shared" ca="1" si="229"/>
        <v>0</v>
      </c>
      <c r="AI90" s="259">
        <f t="shared" ca="1" si="230"/>
        <v>1</v>
      </c>
      <c r="AJ90" s="259" t="str">
        <f t="shared" si="231"/>
        <v>16</v>
      </c>
      <c r="AK90" s="259" t="str">
        <f t="shared" si="232"/>
        <v/>
      </c>
      <c r="AL90" s="259">
        <f>IF(AK90&lt;&gt;"",MAX($AL$2:AL89)+1,0)</f>
        <v>0</v>
      </c>
      <c r="AM90" s="259" t="str">
        <f>IFERROR(INDEX($AK$3:$AL$220,MATCH(ROWS($AM$3:AM90),$AL$3:$AL$220,0),1),"")</f>
        <v/>
      </c>
      <c r="AN90" s="259" t="str">
        <f t="shared" si="233"/>
        <v/>
      </c>
      <c r="AO90" s="259" t="str">
        <f t="shared" si="234"/>
        <v/>
      </c>
      <c r="AP90" s="259" t="str">
        <f t="shared" si="235"/>
        <v>RATEI E RISCONTI PASSIVI</v>
      </c>
      <c r="AQ90" s="259">
        <f ca="1">IF(OR(AG90=0,AG90=""),0,MAX(AQ$2:AQ89)+1)</f>
        <v>0</v>
      </c>
      <c r="AR90" s="259">
        <f ca="1">IF(OR(AH90=0,AH90=""),0,MAX(AR$2:AR89)+1)</f>
        <v>0</v>
      </c>
      <c r="AS90" s="259">
        <f ca="1">IF(OR(AI90=0,AI90=""),0,MAX(AS$2:AS89)+1)</f>
        <v>86</v>
      </c>
      <c r="AT90" s="259" t="str">
        <f ca="1">IFERROR(INDEX($AD$3:$AS$220,MATCH(ROWS(AT$3:AT90),AQ$3:AQ$220,0),1),"")</f>
        <v>COSTI D'ESERCIZIO</v>
      </c>
      <c r="AU90" s="259" t="str">
        <f ca="1">IFERROR(INDEX($AD$3:$AS$220,MATCH(ROWS(AU$3:AU90),AR$3:AR$220,0),1),"")</f>
        <v>COSTI D'ESERCIZIO</v>
      </c>
      <c r="AV90" s="259" t="str">
        <f ca="1">IFERROR(INDEX($AD$3:$AS$220,MATCH(ROWS(AV$3:AV90),AS$3:AS$220,0),1),"")</f>
        <v>CONTI CON ALTERNANZA DI SALDI</v>
      </c>
      <c r="AW90" s="259" t="str">
        <f ca="1">IFERROR(INDEX($AP$3:$AS$220,MATCH(ROWS(AW$3:AW90),AQ$3:AQ$220,0),1),"")</f>
        <v>ONERI FINANZIARI</v>
      </c>
      <c r="AX90" s="259" t="str">
        <f ca="1">IFERROR(INDEX($AP$3:$AS$220,MATCH(ROWS(AX$3:AX90),AR$3:AR$220,0),1),"")</f>
        <v>COSTI PER SERVIZI</v>
      </c>
      <c r="AY90" s="259" t="str">
        <f ca="1">IFERROR(INDEX($AP$3:$AS$220,MATCH(ROWS(AY$3:AY90),AS$3:AS$220,0),1),"")</f>
        <v>CONTI TRANSITORI E DIVERSI</v>
      </c>
      <c r="AZ90" s="276" t="str">
        <f t="shared" ca="1" si="236"/>
        <v/>
      </c>
      <c r="BA90" s="259">
        <f t="shared" ca="1" si="184"/>
        <v>0</v>
      </c>
      <c r="BB90" s="259">
        <f ca="1">IFERROR(INDEX($FG$3:$FL$400,MATCH(ROWS($BB$3:BB90),$FL$3:$FL$400,0),1),0)</f>
        <v>0</v>
      </c>
      <c r="BC90" s="259" t="str">
        <f t="shared" ca="1" si="237"/>
        <v/>
      </c>
      <c r="BD90" s="259">
        <f ca="1">IFERROR(INDEX($FG$3:$FL$400,MATCH(ROWS($BD$3:BD90),$FL$3:$FL$400,0),4),0)</f>
        <v>0</v>
      </c>
      <c r="BE90" s="259">
        <f ca="1">IFERROR(INDEX($FG$3:$FL$400,MATCH(ROWS($BE$3:BE90),$FL$3:$FL$400,0),5),0)</f>
        <v>0</v>
      </c>
      <c r="BG90" s="259" t="str">
        <f t="shared" ca="1" si="185"/>
        <v>RATEI PASSIVI</v>
      </c>
      <c r="BH90" s="259">
        <f ca="1">IF(IFERROR(MATCH(BG90,DENOMINAZIONE_GIORNALE,0),0)&gt;0,MAX(BH$2:BH89)+1,0)</f>
        <v>0</v>
      </c>
      <c r="BI90" s="259" t="str">
        <f ca="1">IFERROR(INDEX($BG$3:$BH$220,MATCH(ROWS($BI$3:BI90),$BH$3:$BH$220,0),1),"")</f>
        <v/>
      </c>
      <c r="BJ90" s="259" t="str">
        <f t="shared" ca="1" si="186"/>
        <v/>
      </c>
      <c r="BK90" s="259" t="str">
        <f ca="1">IF(IF(BJ90&lt;&gt;"",MAX($BK$2:BK89)+1,0)=0,"",IF(BJ90&lt;&gt;"",MAX($BK$2:BK89)+1,0))</f>
        <v/>
      </c>
      <c r="BL90" s="259" t="str">
        <f ca="1">IFERROR(INDEX($T$3:$U$220, MATCH(ROWS(BL$3:BL90),$V$3:$V$220,0),1),"")</f>
        <v/>
      </c>
      <c r="BM90" s="259" t="str">
        <f ca="1">IFERROR(INDEX($T$3:$U$220, MATCH(ROWS(BM$3:BM90),$V$3:$V$220,0),2),"")</f>
        <v/>
      </c>
      <c r="BN90" s="259" t="str">
        <f ca="1">IF(IFERROR(INDEX($BI$3:$BJ$220,MATCH(ROWS(BN$3:BN90),$BK$3:$BK$220,0),1),"")="PATRIMONIO NETTO","",IFERROR(INDEX($BI$3:$BJ$220,MATCH(ROWS(BN$3:BN90),$BK$3:$BK$220,0),1),""))</f>
        <v/>
      </c>
      <c r="BO90" s="259" t="str">
        <f ca="1">IFERROR(INDEX($BI$3:$BJ$220,MATCH(ROWS(BO$3:BO90),$BK$3:$BK$220,0),2),"")</f>
        <v/>
      </c>
      <c r="BP90" s="259">
        <f ca="1">IF(BN90&lt;&gt;"",MAX(BP$2:$BP89)+1,0)</f>
        <v>0</v>
      </c>
      <c r="BQ90" s="259" t="str">
        <f ca="1">IFERROR(INDEX($BN$3:$BO$200,MATCH(ROWS(BQ$3:BQ90),$BP$3:$BP$220,0),1),"")</f>
        <v/>
      </c>
      <c r="BR90" s="259" t="str">
        <f ca="1">IFERROR(INDEX($BN$3:$BO$220,MATCH(ROWS(BR$3:BR90),$BP$3:$BP$220,0),2),"")</f>
        <v/>
      </c>
      <c r="BS90" s="259" t="str">
        <f ca="1">IFERROR(IF(OR(INDEX($T$3:$U$220,MATCH(ROWS(BL$3:BL90),$V$3:$V$220,0),1)="PRELEVAMENTI EXTRAGESTIONE",INDEX($T$3:$U$220,MATCH(ROWS(BL$3:BL90),$V$3:$V$220,0),1)="TITOLARE C/RITENUTE SUBITE"),"",INDEX($T$3:$U$220,MATCH(ROWS(BL$3:BL90),$V$3:$V$220,0),1)),"")</f>
        <v/>
      </c>
      <c r="BT90" s="259">
        <f t="shared" ca="1" si="238"/>
        <v>0</v>
      </c>
      <c r="BU90" s="259">
        <f ca="1">IF(BS90&lt;&gt;"",MAX(BU$2:BU89)+1,0)</f>
        <v>0</v>
      </c>
      <c r="BV90" s="259" t="str">
        <f ca="1">IFERROR(INDEX($BS$3:$BT$223,MATCH(ROWS(BV$3:BV90),$BU$3:$BU$223,0),1),"")</f>
        <v/>
      </c>
      <c r="BW90" s="259">
        <f t="shared" ca="1" si="239"/>
        <v>0</v>
      </c>
      <c r="BX90" s="259" t="str">
        <f t="shared" ca="1" si="240"/>
        <v/>
      </c>
      <c r="BY90" s="259" t="str">
        <f t="shared" ca="1" si="241"/>
        <v/>
      </c>
      <c r="BZ90" s="259" t="str">
        <f ca="1">IFERROR(IF(OR($DS$231&lt;&gt;$DT$231,$DU$231&lt;&gt;$DV$231,$EO$25&lt;&gt;0,$EO$26&lt;&gt;0),INDEX($T$3:$V$220,MATCH(ROWS($BV$3:BV90),$V$3:$V$220,0),1),CONCATENATE(BV90,BY90)),"")</f>
        <v/>
      </c>
      <c r="CA90" s="259">
        <f t="shared" ca="1" si="242"/>
        <v>0</v>
      </c>
      <c r="CB90" s="259" t="str">
        <f ca="1">IFERROR(IF(OR($BB$1&lt;&gt;$BD$1,$BC$1&lt;&gt;$BE$1,$DS$231&lt;&gt;$DT$231,$DU$231&lt;&gt;$DV$231,$EO$25&lt;&gt;0,$EO$26&lt;&gt;0),INDEX($BI$3:$BK$220,MATCH(ROWS($CB$3:CB90),$BK$3:$BK$220,0),1),CONCATENATE(BQ90,BX90)),"")</f>
        <v/>
      </c>
      <c r="CC90" s="259" t="str">
        <f t="shared" ca="1" si="243"/>
        <v/>
      </c>
      <c r="CD90" s="259" t="str">
        <f t="shared" ca="1" si="187"/>
        <v/>
      </c>
      <c r="CE90" s="259">
        <f ca="1">IF(IFERROR(MATCH(CD90,DENOMINAZIONE_GIORNALE,0),0)&gt;0,MAX(CE$2:CE89)+1,0)</f>
        <v>0</v>
      </c>
      <c r="CF90" s="259" t="str">
        <f ca="1">IFERROR(INDEX($CD$3:$CE$220,MATCH(ROWS($CF$3:CF90),$CE$3:$CE$220,0),1),"")</f>
        <v/>
      </c>
      <c r="CG90" s="259">
        <f t="shared" ca="1" si="188"/>
        <v>0</v>
      </c>
      <c r="CH90" s="259" t="str">
        <f ca="1">IF(IF(CG90&lt;&gt;0,MAX($CH$2:CH89)+1,0)=0,"",IF(CG90&lt;&gt;"",MAX($CH$2:CH89)+1,0))</f>
        <v/>
      </c>
      <c r="CI90" s="259" t="str">
        <f ca="1">IFERROR(INDEX($CF$3:$CG$220,MATCH(ROWS($CI$3:CI90),$CH$3:$CH$220,0),1),"")</f>
        <v/>
      </c>
      <c r="CJ90" s="259" t="str">
        <f t="shared" ca="1" si="244"/>
        <v/>
      </c>
      <c r="CK90" s="259" t="str">
        <f t="shared" ca="1" si="189"/>
        <v/>
      </c>
      <c r="CL90" s="259">
        <f ca="1">IF(IFERROR(MATCH(CK90,DENOMINAZIONE_GIORNALE,0),0)&gt;0,MAX(CL$2:CL89)+1,0)</f>
        <v>0</v>
      </c>
      <c r="CM90" s="259" t="str">
        <f ca="1">IFERROR(INDEX($CK$3:$CL$220,MATCH(ROWS($CM$3:CM90),$CL$3:$CL$220,0),1),"")</f>
        <v/>
      </c>
      <c r="CN90" s="259" t="str">
        <f t="shared" ca="1" si="190"/>
        <v/>
      </c>
      <c r="CO90" s="259">
        <f ca="1">IF(IF(CN90&lt;&gt;0,MAX($CO$2:CO89)+1,0)=0,"",IF(CN90&lt;&gt;"",MAX($CO$2:CO89)+1,0))</f>
        <v>0</v>
      </c>
      <c r="CP90" s="259" t="str">
        <f ca="1">IFERROR(INDEX($CM$3:$CN$220,MATCH(ROWS(CP$3:CP90),$CO$3:$CO$220,0),1),"")</f>
        <v/>
      </c>
      <c r="CQ90" s="259" t="str">
        <f ca="1">IFERROR(INDEX($CM$3:$CN$220,MATCH(ROWS(CQ$3:CQ90),$CO$3:$CO$220,0),2),"")</f>
        <v/>
      </c>
      <c r="CR90" s="259" t="str">
        <f t="shared" ca="1" si="191"/>
        <v/>
      </c>
      <c r="CS90" s="259">
        <f t="shared" ca="1" si="192"/>
        <v>0</v>
      </c>
      <c r="CT90" s="259">
        <f t="shared" ca="1" si="193"/>
        <v>0</v>
      </c>
      <c r="CU90" s="259">
        <f ca="1">IF(OR(CS90&gt;0,CT90&gt;0),MAX($CU$2:CU89)+1,0)</f>
        <v>0</v>
      </c>
      <c r="CV90" s="259" t="str">
        <f ca="1">IFERROR(INDEX(PIANO_DEI_CONTI,MATCH(ROWS($CV$3:CV90),$CU$3:$CU$200,0),2),"")</f>
        <v/>
      </c>
      <c r="CW90" s="259">
        <f ca="1">IFERROR(IF(CV90&lt;&gt;"",MAX($CW$2:CW89)+1,0),0)</f>
        <v>0</v>
      </c>
      <c r="CX90" s="259">
        <f t="shared" ca="1" si="315"/>
        <v>5</v>
      </c>
      <c r="CY90" s="259" t="str">
        <f t="shared" ca="1" si="308"/>
        <v>MASTRO</v>
      </c>
      <c r="CZ90" s="259" t="e">
        <f t="shared" ca="1" si="317"/>
        <v>#N/A</v>
      </c>
      <c r="DA90" s="259" t="str">
        <f t="shared" ca="1" si="322"/>
        <v/>
      </c>
      <c r="DB90" s="259" t="str">
        <f t="shared" ca="1" si="318"/>
        <v/>
      </c>
      <c r="DC90" s="259" t="str">
        <f t="shared" ca="1" si="319"/>
        <v/>
      </c>
      <c r="DD90" s="259" t="str">
        <f t="shared" ca="1" si="320"/>
        <v/>
      </c>
      <c r="DE90" s="259" t="str">
        <f t="shared" ca="1" si="321"/>
        <v/>
      </c>
      <c r="DF90" s="259">
        <f ca="1">IF(AND(CX90=$DE$2,$DF$2&lt;&gt;0),0,IF(AND(DB90&lt;&gt;"",OR(DB89&lt;&gt;"",DB91&lt;&gt;"")),MAX($DF$2:DF89)+1,0))</f>
        <v>0</v>
      </c>
      <c r="DG90" s="259" t="str">
        <f>IF(OR(VALORI_INIZIALI!E95="",AND(VALORI_INIZIALI!E95&lt;&gt;"",VALORI_INIZIALI!H95=0,VALORI_INIZIALI!I95=0)),"",IFERROR(INDEX(PIANO_DEI_CONTI,MATCH(BB90,DENOMINAZIONE,0),1),0))</f>
        <v/>
      </c>
      <c r="DH90" s="259">
        <f ca="1">IFERROR(IF($J$1=1,IF(INDEX(PIANO_DEI_CONTI,MATCH($K90,DENOMINAZIONE,0),5)=$DF$1,MAX($DH$2:DH89)+1,0),IF($J$1=2,IF(INDEX(PIANO_DEI_CONTI,MATCH($K90,DENOMINAZIONE,0),7)=$DF$1,MAX($DH$2:DH89)+1,0))),0)</f>
        <v>0</v>
      </c>
      <c r="DI90" s="259">
        <f ca="1">IFERROR(INDEX($K$3:$K$220,MATCH(ROWS($DI$3:DI90),$DH$3:$DH$220,0),1),0)</f>
        <v>0</v>
      </c>
      <c r="DJ90" s="259">
        <f t="shared" ca="1" si="194"/>
        <v>0</v>
      </c>
      <c r="DK90" s="259">
        <f ca="1">IF(DJ90=0,0,MAX(DK$2:DK89)+1)</f>
        <v>0</v>
      </c>
      <c r="DL90" s="259">
        <f ca="1">IFERROR(INDEX(PIANO_DEI_CONTI,MATCH(ROWS(DL$3:DL90),$DK$3:DK317,0),2),0)</f>
        <v>0</v>
      </c>
      <c r="DM90" s="259">
        <f t="shared" ca="1" si="195"/>
        <v>0</v>
      </c>
      <c r="DN90" s="259">
        <f t="shared" ca="1" si="196"/>
        <v>0</v>
      </c>
      <c r="DO90" s="259">
        <f t="shared" ca="1" si="245"/>
        <v>0</v>
      </c>
      <c r="DP90" s="259">
        <f t="shared" ca="1" si="246"/>
        <v>0</v>
      </c>
      <c r="DQ90" s="259">
        <f ca="1">IF(OR($DQ$1="TOTALI",$DQ$1="TOTALI ED ECCEDENZE"),IF(OR(DM90&gt;0,DN90&gt;0),MAX(DQ$2:DQ89)+1,0),IF($DQ$1="ECCEDENZE",IF(OR(DO90&gt;0,DP90&gt;0),MAX(DQ$2:DQ89)+1,0),""))</f>
        <v>0</v>
      </c>
      <c r="DR90" s="259" t="str">
        <f ca="1">IFERROR(INDEX($DL$3:$DQ$230,MATCH(ROWS(DR$3:DR90),$DQ$3:$DQ$230,0),1),"")</f>
        <v/>
      </c>
      <c r="DS90" s="259" t="str">
        <f t="shared" ca="1" si="247"/>
        <v/>
      </c>
      <c r="DT90" s="259" t="str">
        <f t="shared" ca="1" si="248"/>
        <v/>
      </c>
      <c r="DU90" s="259" t="str">
        <f t="shared" ca="1" si="249"/>
        <v/>
      </c>
      <c r="DV90" s="259" t="str">
        <f t="shared" ca="1" si="250"/>
        <v/>
      </c>
      <c r="DW90" s="259">
        <f t="shared" ca="1" si="251"/>
        <v>0</v>
      </c>
      <c r="DX90" s="259" t="str">
        <f t="shared" ca="1" si="252"/>
        <v/>
      </c>
      <c r="DY90" s="259" t="str">
        <f t="shared" ca="1" si="253"/>
        <v/>
      </c>
      <c r="DZ90" s="259" t="str">
        <f t="shared" ca="1" si="254"/>
        <v/>
      </c>
      <c r="EA90" s="259">
        <f t="shared" ca="1" si="255"/>
        <v>88</v>
      </c>
      <c r="EB90" s="259" t="str">
        <f ca="1">IF($ID$1=1,"ppe","ppd")</f>
        <v>ppe</v>
      </c>
      <c r="ED90" s="259">
        <f t="shared" ca="1" si="197"/>
        <v>0</v>
      </c>
      <c r="EE90" s="259" t="str">
        <f t="shared" ca="1" si="198"/>
        <v/>
      </c>
      <c r="EF90" s="259" t="str">
        <f t="shared" ca="1" si="199"/>
        <v/>
      </c>
      <c r="EG90" s="259" t="str">
        <f t="shared" ca="1" si="309"/>
        <v/>
      </c>
      <c r="EH90" s="259" t="str">
        <f t="shared" ca="1" si="256"/>
        <v/>
      </c>
      <c r="EI90" s="260" t="b">
        <f t="shared" ca="1" si="310"/>
        <v>1</v>
      </c>
      <c r="EJ90" s="260" t="b">
        <f t="shared" ca="1" si="311"/>
        <v>1</v>
      </c>
      <c r="EK90" s="260" t="b">
        <f t="shared" ca="1" si="312"/>
        <v>1</v>
      </c>
      <c r="EL90" s="259">
        <f t="shared" si="257"/>
        <v>88</v>
      </c>
      <c r="EM90" s="259">
        <f ca="1">IF(AND(BA90&gt;0,BA90&lt;=$EM$1),MAX($EM$2:EM89)+1,0)</f>
        <v>0</v>
      </c>
      <c r="EN90" s="259">
        <f t="shared" ca="1" si="258"/>
        <v>90</v>
      </c>
      <c r="EP90" s="259" t="str">
        <f t="shared" ca="1" si="200"/>
        <v/>
      </c>
      <c r="EQ90" s="259">
        <f t="shared" ca="1" si="201"/>
        <v>0</v>
      </c>
      <c r="ER90" s="259">
        <f ca="1">IF(ISNA(EQ90),MAX(ER$2:ER89)+1,0)</f>
        <v>0</v>
      </c>
      <c r="ES90" s="259" t="str">
        <f t="shared" ca="1" si="259"/>
        <v/>
      </c>
      <c r="ET90" s="259" t="str">
        <f ca="1">IFERROR(UPPER(INDEX($ER$3:$ES$500,MATCH(ROWS(ET$3:ET90),$ER$3:$ER$500,0),2)),"")</f>
        <v/>
      </c>
      <c r="EY90" s="259">
        <f t="shared" ca="1" si="260"/>
        <v>0</v>
      </c>
      <c r="EZ90" s="259">
        <f t="shared" ca="1" si="260"/>
        <v>0</v>
      </c>
      <c r="FA90" s="259" t="str">
        <f t="shared" ca="1" si="261"/>
        <v/>
      </c>
      <c r="FB90" s="259">
        <f t="shared" ca="1" si="262"/>
        <v>0</v>
      </c>
      <c r="FC90" s="259">
        <f t="shared" ca="1" si="263"/>
        <v>0</v>
      </c>
      <c r="FD90" s="259">
        <f t="shared" ca="1" si="202"/>
        <v>0</v>
      </c>
      <c r="FE90" s="259" t="str">
        <f t="shared" ca="1" si="203"/>
        <v/>
      </c>
      <c r="FF90" s="259" t="str">
        <f t="shared" ca="1" si="264"/>
        <v/>
      </c>
      <c r="FG90" s="259" t="str">
        <f t="shared" si="265"/>
        <v>RATEI PASSIVI</v>
      </c>
      <c r="FH90" s="259">
        <f t="shared" ca="1" si="156"/>
        <v>0</v>
      </c>
      <c r="FI90" s="259">
        <f t="shared" ca="1" si="204"/>
        <v>0</v>
      </c>
      <c r="FJ90" s="259">
        <f t="shared" ca="1" si="266"/>
        <v>0</v>
      </c>
      <c r="FK90" s="259">
        <f t="shared" ca="1" si="267"/>
        <v>0</v>
      </c>
      <c r="FL90" s="259">
        <f ca="1">IF(OR(FJ90&gt;0,FK90&gt;0),MAX($FL$2:FL89)+1,0)</f>
        <v>0</v>
      </c>
      <c r="FM90" s="259">
        <f t="shared" ca="1" si="205"/>
        <v>0</v>
      </c>
      <c r="FN90" s="259">
        <f ca="1">IF(FM90&lt;0,MAX($FN$2:FN89)+1,0)</f>
        <v>0</v>
      </c>
      <c r="FO90" s="259" t="str">
        <f t="shared" ca="1" si="268"/>
        <v/>
      </c>
      <c r="FP90" s="259" t="str">
        <f ca="1">IFERROR(INDEX($FN$3:$FO$400,MATCH(ROWS($FP$3:FP90),$FN$3:$FN$400,0),2),"")</f>
        <v/>
      </c>
      <c r="FQ90" s="259" t="str">
        <f>IF(AE90="SE AVERE",MAX($FQ$2:FQ89)+1,"")</f>
        <v/>
      </c>
      <c r="FR90" s="259" t="str">
        <f>IF(AE90="SE DARE",MAX($FR$2:FR89)+1,"")</f>
        <v/>
      </c>
      <c r="FS90" s="259" t="str">
        <f ca="1">IF(AND(AE90="SP DARE",AA90&lt;&gt;$FS$1,AA90&lt;&gt;$FT$1),MAX($FS$2:FS89)+1,IF(AND(GQ90="SP DARE",AA90&lt;&gt;$FS$1,AA90&lt;&gt;$FT$1),MAX($FS$2:FS89)+1,""))</f>
        <v/>
      </c>
      <c r="FT90" s="259">
        <f ca="1">IF(AND(AE90="SP AVERE",AA90&lt;&gt;$FU$1),MAX($FT$2:FT89)+1,IF(AND(GQ90="SP AVERE",AA90&lt;&gt;$FU$1),MAX($FT$2:FT89)+1,""))</f>
        <v>172</v>
      </c>
      <c r="FU90" s="259">
        <f t="shared" ca="1" si="269"/>
        <v>172</v>
      </c>
      <c r="FV90" s="259" t="str">
        <f t="shared" si="270"/>
        <v>RATEI PASSIVI</v>
      </c>
      <c r="FW90" s="259">
        <f ca="1">IFERROR(INDEX($FU$3:$FV$500,MATCH(ROWS($FW$3:FW90),$FU$3:$FU$500,0),2),0)</f>
        <v>0</v>
      </c>
      <c r="FX90" s="259">
        <f t="shared" ca="1" si="271"/>
        <v>0</v>
      </c>
      <c r="FY90" s="259">
        <f t="shared" ca="1" si="272"/>
        <v>88</v>
      </c>
      <c r="FZ90" s="259">
        <f ca="1">IF(FY90&gt;0,MAX($FZ$2:FZ89)+1,0)</f>
        <v>14</v>
      </c>
      <c r="GA90" s="259">
        <f ca="1">IFERROR(INDEX($FY$3:$FZ$500,MATCH(ROWS($GA$3:GA90),$FZ$3:$FZ$500,0),1),0)</f>
        <v>0</v>
      </c>
      <c r="GC90" s="259">
        <f t="shared" ca="1" si="273"/>
        <v>88</v>
      </c>
      <c r="GD90" s="259" t="str">
        <f t="shared" ca="1" si="274"/>
        <v>TITOLARE C/RITENUTE SUBITE</v>
      </c>
      <c r="GG90" s="259">
        <f t="shared" ca="1" si="275"/>
        <v>0</v>
      </c>
      <c r="GH90" s="259">
        <f t="shared" ca="1" si="276"/>
        <v>0</v>
      </c>
      <c r="GI90" s="259">
        <f t="shared" ca="1" si="277"/>
        <v>0</v>
      </c>
      <c r="GJ90" s="259">
        <f t="shared" ca="1" si="278"/>
        <v>0</v>
      </c>
      <c r="GK90" s="259">
        <f t="shared" ca="1" si="279"/>
        <v>0</v>
      </c>
      <c r="GL90" s="259">
        <f t="shared" ca="1" si="280"/>
        <v>0</v>
      </c>
      <c r="GM90" s="259">
        <f ca="1">IF(OR(GK90&gt;0,GL90&gt;0),MAX($GM$2:GM89)+1,0)</f>
        <v>0</v>
      </c>
      <c r="GN90" s="259" t="str">
        <f ca="1">IFERROR(INDEX($GD$3:$GM$400,MATCH(ROWS($GN$3:GN90),$GM$3:$GM$400,0),1),"")</f>
        <v/>
      </c>
      <c r="GO90" s="259" t="str">
        <f ca="1">IFERROR(INDEX($GD$3:$GM$400,MATCH(ROWS($GO$3:GO90),$GM$3:$GM$400,0),8),"")</f>
        <v/>
      </c>
      <c r="GP90" s="259" t="str">
        <f ca="1">IFERROR(INDEX($GD$3:$GM$400,MATCH(ROWS($GP$3:GP90),$GM$3:$GM$400,0),9),"")</f>
        <v/>
      </c>
      <c r="GQ90" s="259">
        <f t="shared" ca="1" si="206"/>
        <v>0</v>
      </c>
      <c r="GR90" s="259">
        <f t="shared" ca="1" si="281"/>
        <v>0</v>
      </c>
      <c r="GS90" s="259" t="str">
        <f t="shared" ca="1" si="282"/>
        <v>giro a patrimonio netto</v>
      </c>
      <c r="GT90" s="259" t="str">
        <f ca="1">IFERROR(INDEX($GD$3:$GS$400,MATCH(ROWS($GT$3:GT90),$GM$3:$GM$400,0),16),"")</f>
        <v/>
      </c>
      <c r="GU90" s="259">
        <f ca="1">IF(GQ90&lt;&gt;0,MAX($GU$2:$GU89)+1,0)</f>
        <v>0</v>
      </c>
      <c r="GV90" s="259">
        <f t="shared" ca="1" si="283"/>
        <v>0</v>
      </c>
      <c r="GW90" s="259" t="str">
        <f ca="1">IF(AND(IFERROR(INDEX($GU$3:$GV$400,MATCH(ROWS($GW$3:GW90),$GU$3:$GU$400,0),2),"")&lt;&gt;"",GW91&lt;&gt;""),CONCATENATE(IFERROR(INDEX($GU$3:$GV$400,MATCH(ROWS($GW$3:GW90),$GU$3:$GU$400,0),2),"")," - "),IFERROR(INDEX($GU$3:$GV$400,MATCH(ROWS($GW$3:GW90),$GU$3:$GU$400,0),2),""))</f>
        <v/>
      </c>
      <c r="GX90" s="259">
        <f ca="1">IF(OR(GN90="IVA NS/CREDITO",GN90="IVA NS/DEBITO",GN90="IVA C/ACCONTO",GN90="IMPOSTE C/ACCONTO"),MAX($GX$2:GX89)+1,0)</f>
        <v>0</v>
      </c>
      <c r="GY90" s="259" t="str">
        <f ca="1">IF(AND(IFERROR(INDEX($GN$3:$GX$200,MATCH(ROWS($GY$3:GY90),$GX$3:$GX$200,0),1),"")&lt;&gt;"",GY91&lt;&gt;""),CONCATENATE(IFERROR(INDEX($GN$3:$GX$200,MATCH(ROWS($GY$3:GY90),$GX$3:$GX$200,0),1),"")," - "),IFERROR(INDEX($GN$3:$GX$200,MATCH(ROWS($GY$3:GY90),$GX$3:$GX$200,0),1),""))</f>
        <v/>
      </c>
      <c r="GZ90" s="259" t="s">
        <v>644</v>
      </c>
      <c r="HA90" s="259" t="s">
        <v>531</v>
      </c>
      <c r="HB90" s="269" t="s">
        <v>257</v>
      </c>
      <c r="HC90" s="269" t="s">
        <v>211</v>
      </c>
      <c r="HD90" s="269" t="s">
        <v>5</v>
      </c>
      <c r="HE90" s="269" t="s">
        <v>212</v>
      </c>
      <c r="HL90" s="259" t="str">
        <f t="shared" ca="1" si="207"/>
        <v/>
      </c>
      <c r="HM90" s="259" t="str">
        <f t="shared" ca="1" si="208"/>
        <v/>
      </c>
      <c r="HN90" s="259" t="str">
        <f t="shared" ca="1" si="209"/>
        <v/>
      </c>
      <c r="HO90" s="259">
        <f ca="1">IF(HL90&lt;&gt;"",MAX($HO$2:HO89)+1,0)</f>
        <v>0</v>
      </c>
      <c r="HP90" s="259">
        <f ca="1">IF(HM90&lt;&gt;"",MAX($HP$2:HP89)+1,0)</f>
        <v>0</v>
      </c>
      <c r="HQ90" s="259">
        <f ca="1">IF(HN90&lt;&gt;"",MAX($HQ$2:HQ89)+1,0)</f>
        <v>0</v>
      </c>
      <c r="HR90" s="259" t="str">
        <f t="shared" ca="1" si="284"/>
        <v/>
      </c>
      <c r="HS90" s="259" t="str">
        <f t="shared" ca="1" si="285"/>
        <v/>
      </c>
      <c r="HT90" s="259">
        <f t="shared" ca="1" si="286"/>
        <v>0</v>
      </c>
      <c r="HU90" s="259">
        <f t="shared" ca="1" si="287"/>
        <v>0</v>
      </c>
      <c r="HV90" s="259" t="str">
        <f ca="1">CONCATENATE(IFERROR(INDEX($HS$3:$HT$102,MATCH(ROWS($HV$3:HV90),$HT$3:$HT$102,0),1),""),HR90)</f>
        <v/>
      </c>
      <c r="IB90" s="259" t="s">
        <v>345</v>
      </c>
      <c r="IC90" s="259">
        <f ca="1">IFERROR(INDEX(PIANO_DEI_CONTI,MATCH(ROWS(DL$3:DL90),$DK$3:DK317,0),2),0)</f>
        <v>0</v>
      </c>
      <c r="ID90" s="259">
        <f t="shared" ca="1" si="288"/>
        <v>0</v>
      </c>
      <c r="IE90" s="259">
        <f t="shared" ca="1" si="289"/>
        <v>0</v>
      </c>
      <c r="IF90" s="259">
        <f t="shared" ca="1" si="290"/>
        <v>0</v>
      </c>
      <c r="IG90" s="259">
        <f ca="1">SUM(IG81:IG84,IG86:IG89)</f>
        <v>0</v>
      </c>
      <c r="IH90" s="259">
        <f ca="1">IF(IG90&lt;&gt;0,MAX($IH$35:IH89)+1,0)</f>
        <v>0</v>
      </c>
      <c r="II90" s="259">
        <f>IF(AD90="costi pluriennali",MAX($II$2:II89)+1,0)</f>
        <v>0</v>
      </c>
      <c r="IJ90" s="259">
        <f>IF($AD90="rettifiche costi pluriennali",MAX($IJ$2:IJ89)+1,0)</f>
        <v>0</v>
      </c>
      <c r="IK90" s="259">
        <f t="shared" si="291"/>
        <v>0</v>
      </c>
      <c r="IL90" s="259" t="str">
        <f t="shared" si="292"/>
        <v/>
      </c>
      <c r="IM90" s="259">
        <f t="shared" ca="1" si="293"/>
        <v>0</v>
      </c>
      <c r="IN90" s="259">
        <f t="shared" ca="1" si="313"/>
        <v>0</v>
      </c>
      <c r="IO90" s="259">
        <f>SUMIFS($IM$3:$IM$200,$IK$3:$IK$200,ROWS($IO$3:IO90))-SUMIFS($IN$3:$IN$200,$IK$3:$IK$200,ROWS($IO$3:IO90))</f>
        <v>0</v>
      </c>
      <c r="IP90" s="259" t="str">
        <f>IF(IO90&lt;0,INDEX($IJ$3:$IL$200,MATCH(ROWS($IP$3:IP90),$IJ$3:$IJ$200,0),3),"")</f>
        <v/>
      </c>
      <c r="IQ90" s="259">
        <f>IF(IP90&lt;&gt;"",MAX($IQ$2:IQ89)+1,0)</f>
        <v>0</v>
      </c>
      <c r="IR90" s="259" t="str">
        <f ca="1">IFERROR(INDEX($IP$3:$IQ$200,MATCH(ROWS($IR$3:IR90),$IQ$3:$IQ$200,0),1),"")</f>
        <v/>
      </c>
      <c r="IS90" s="259" t="str">
        <f t="shared" ca="1" si="294"/>
        <v/>
      </c>
      <c r="IT90" s="259" t="str">
        <f t="shared" ca="1" si="295"/>
        <v/>
      </c>
      <c r="IU90" s="259" t="str">
        <f t="shared" ca="1" si="296"/>
        <v/>
      </c>
      <c r="IV90" s="259" t="str">
        <f t="shared" ca="1" si="297"/>
        <v/>
      </c>
      <c r="IW90" s="259" t="str">
        <f t="shared" ca="1" si="298"/>
        <v/>
      </c>
      <c r="IX90" s="259" t="str">
        <f t="shared" ca="1" si="299"/>
        <v/>
      </c>
      <c r="IY90" s="259" t="str">
        <f t="shared" ca="1" si="300"/>
        <v/>
      </c>
      <c r="IZ90" s="259" t="str">
        <f t="shared" ca="1" si="301"/>
        <v/>
      </c>
      <c r="JA90" s="259" t="str">
        <f t="shared" ca="1" si="302"/>
        <v/>
      </c>
      <c r="JB90" s="259">
        <f t="shared" ca="1" si="210"/>
        <v>0</v>
      </c>
      <c r="JC90" s="259">
        <f t="shared" ca="1" si="303"/>
        <v>0</v>
      </c>
      <c r="JE90" s="259">
        <f ca="1">IFERROR(INDEX(LIBRO_GIORNALE!$N$11:$O$408,MATCH(ROWS($JE$2:JE89),LIBRO_GIORNALE!$O$11:$O$408,0),1),0)</f>
        <v>0</v>
      </c>
      <c r="JF90" s="259" t="str">
        <f t="shared" ca="1" si="304"/>
        <v>0</v>
      </c>
      <c r="JG90" s="259">
        <f t="shared" ca="1" si="305"/>
        <v>0</v>
      </c>
      <c r="JH90" s="259">
        <f ca="1">IF(JJ90&gt;0,0,MAX($JH$2:JH89)+1)</f>
        <v>88</v>
      </c>
      <c r="JI90" s="259">
        <f ca="1">IF(JG90&gt;0,MAX($JI$2:JI89)+1,0)</f>
        <v>0</v>
      </c>
      <c r="JJ90" s="259">
        <f ca="1">IFERROR(INDEX($JG$3:$JI$124,MATCH(ROWS($JJ$3:JJ90),$JI$3:$JI$124,0),1),0)</f>
        <v>0</v>
      </c>
      <c r="JK90" s="259">
        <f t="shared" ca="1" si="306"/>
        <v>0</v>
      </c>
      <c r="JL90" s="259">
        <f t="shared" ca="1" si="307"/>
        <v>88</v>
      </c>
    </row>
    <row r="91" spans="1:272">
      <c r="A91" s="259" t="str">
        <f t="shared" si="211"/>
        <v>14.20</v>
      </c>
      <c r="B91" s="259" t="str">
        <f t="shared" si="212"/>
        <v>CLIENTI C/ACCONTI</v>
      </c>
      <c r="C91" s="259" t="str">
        <f t="shared" si="213"/>
        <v>F</v>
      </c>
      <c r="D91" s="259" t="str">
        <f t="shared" si="214"/>
        <v>A</v>
      </c>
      <c r="E91" s="259" t="str">
        <f t="shared" si="215"/>
        <v>DEBITI</v>
      </c>
      <c r="F91" s="259" t="str">
        <f t="shared" si="216"/>
        <v>SP AVERE</v>
      </c>
      <c r="G91" s="259">
        <f t="shared" ca="1" si="217"/>
        <v>1</v>
      </c>
      <c r="H91" s="259">
        <f t="shared" ca="1" si="218"/>
        <v>1</v>
      </c>
      <c r="I91" s="259">
        <f t="shared" ca="1" si="219"/>
        <v>1</v>
      </c>
      <c r="K91" s="259" t="str">
        <f ca="1">IFERROR(IF($I$1=1,INDEX($AA$3:$AS$220,MATCH(ROWS($K$3:K91),$AQ$3:$AQ$220,0),1),IF($I$1=2,INDEX($AA$3:$AS$220,MATCH(ROWS($K$3:K91),$AR$3:$AR$220,0),1),IF($I$1=3,INDEX($AA$3:$AS$220,MATCH(ROWS($K$3:K91),$AS$3:$AS$220,0),1),""))),"")</f>
        <v>ISTITUTI PREVIDENZIALI</v>
      </c>
      <c r="L91" s="259">
        <f ca="1">IF(AND($L$1="VISUALIZZA TUTTI I CONTI",K91&lt;&gt;""),MAX(L90:L90)+1,IFERROR(IF($J$1=1,IF(INDEX(PIANO_DEI_CONTI,MATCH($K91,DENOMINAZIONE,0),5)=$L$1,MAX($L$2:L90)+1,0),IF($J$1=2,IF(INDEX(PIANO_DEI_CONTI,MATCH($K91,DENOMINAZIONE,0),7)=$L$1,MAX($L$2:L90)+1,0))),0))</f>
        <v>89</v>
      </c>
      <c r="M91" s="259" t="str">
        <f ca="1">IFERROR(INDEX($K$3:$K$220,MATCH(ROWS($M$3:M91),$L$3:$L$220,0),1),"")</f>
        <v>ISTITUTI PREVIDENZIALI</v>
      </c>
      <c r="Q91" s="259" t="str">
        <f ca="1">IF(IFERROR(INDEX($O$3:$P$220,MATCH(ROWS(Q$3:Q91),$P$3:$P$220,0),1),"")=0,"",IFERROR(INDEX($O$3:$P$220,MATCH(ROWS(Q$3:Q91),$P$3:$P$220,0),1),""))</f>
        <v/>
      </c>
      <c r="R91" s="259" t="str">
        <f t="shared" ca="1" si="182"/>
        <v/>
      </c>
      <c r="S91" s="259">
        <f ca="1">IF(IFERROR(MATCH(R91,DENOMINAZIONE_GIORNALE,0),0)&gt;0,MAX(S$2:S90)+1,0)</f>
        <v>0</v>
      </c>
      <c r="T91" s="259" t="str">
        <f ca="1">IFERROR(INDEX($R$3:$S$220,MATCH(ROWS($T$3:T91),$S$3:$S$220,0),1),"")</f>
        <v/>
      </c>
      <c r="U91" s="259">
        <f t="shared" ca="1" si="183"/>
        <v>0</v>
      </c>
      <c r="V91" s="259">
        <f ca="1">IF(IF(U91&lt;&gt;0,MAX($V$2:V90)+1,0)=0,0,IF(U91&lt;&gt;0,MAX($V$2:V90)+1,0))</f>
        <v>0</v>
      </c>
      <c r="W91" s="259" t="str">
        <f t="shared" si="220"/>
        <v>14.20</v>
      </c>
      <c r="X91" s="259" t="str">
        <f t="shared" si="221"/>
        <v>CLIENTI C/ACCONTI</v>
      </c>
      <c r="Y91" s="259">
        <f>IF(W91="",0,MAX($Y$2:Y90)+1)</f>
        <v>76</v>
      </c>
      <c r="Z91" s="259" t="str">
        <f>IFERROR(INDEX($W$3:$Y$220,MATCH(ROWS($Z$2:Z90),$Y$3:$Y$220,0),1),"")</f>
        <v>16.02</v>
      </c>
      <c r="AA91" s="259" t="str">
        <f t="shared" si="222"/>
        <v>RISCONTI PASSIVI</v>
      </c>
      <c r="AB91" s="259" t="str">
        <f t="shared" si="223"/>
        <v>E</v>
      </c>
      <c r="AC91" s="259" t="str">
        <f t="shared" si="224"/>
        <v>A</v>
      </c>
      <c r="AD91" s="259" t="str">
        <f t="shared" si="225"/>
        <v>RICAVI SOSPESI</v>
      </c>
      <c r="AE91" s="259" t="str">
        <f t="shared" si="226"/>
        <v>SP AVERE</v>
      </c>
      <c r="AF91" s="259" t="str">
        <f t="shared" si="227"/>
        <v>RATEI E RISCONTI PASSIVI</v>
      </c>
      <c r="AG91" s="259">
        <f t="shared" ca="1" si="228"/>
        <v>0</v>
      </c>
      <c r="AH91" s="259">
        <f t="shared" ca="1" si="229"/>
        <v>0</v>
      </c>
      <c r="AI91" s="259">
        <f t="shared" ca="1" si="230"/>
        <v>1</v>
      </c>
      <c r="AJ91" s="259" t="str">
        <f t="shared" si="231"/>
        <v>16</v>
      </c>
      <c r="AK91" s="259" t="str">
        <f t="shared" si="232"/>
        <v/>
      </c>
      <c r="AL91" s="259">
        <f>IF(AK91&lt;&gt;"",MAX($AL$2:AL90)+1,0)</f>
        <v>0</v>
      </c>
      <c r="AM91" s="259" t="str">
        <f>IFERROR(INDEX($AK$3:$AL$220,MATCH(ROWS($AM$3:AM91),$AL$3:$AL$220,0),1),"")</f>
        <v/>
      </c>
      <c r="AN91" s="259" t="str">
        <f t="shared" si="233"/>
        <v/>
      </c>
      <c r="AO91" s="259" t="str">
        <f t="shared" si="234"/>
        <v/>
      </c>
      <c r="AP91" s="259" t="str">
        <f t="shared" si="235"/>
        <v>RATEI E RISCONTI PASSIVI</v>
      </c>
      <c r="AQ91" s="259">
        <f ca="1">IF(OR(AG91=0,AG91=""),0,MAX(AQ$2:AQ90)+1)</f>
        <v>0</v>
      </c>
      <c r="AR91" s="259">
        <f ca="1">IF(OR(AH91=0,AH91=""),0,MAX(AR$2:AR90)+1)</f>
        <v>0</v>
      </c>
      <c r="AS91" s="259">
        <f ca="1">IF(OR(AI91=0,AI91=""),0,MAX(AS$2:AS90)+1)</f>
        <v>87</v>
      </c>
      <c r="AT91" s="259" t="str">
        <f ca="1">IFERROR(INDEX($AD$3:$AS$220,MATCH(ROWS(AT$3:AT91),AQ$3:AQ$220,0),1),"")</f>
        <v>COSTI D'ESERCIZIO</v>
      </c>
      <c r="AU91" s="259" t="str">
        <f ca="1">IFERROR(INDEX($AD$3:$AS$220,MATCH(ROWS(AU$3:AU91),AR$3:AR$220,0),1),"")</f>
        <v>COSTI D'ESERCIZIO</v>
      </c>
      <c r="AV91" s="259" t="str">
        <f ca="1">IFERROR(INDEX($AD$3:$AS$220,MATCH(ROWS(AV$3:AV91),AS$3:AS$220,0),1),"")</f>
        <v>CONTI CON ALTERNANZA DI SALDI</v>
      </c>
      <c r="AW91" s="259" t="str">
        <f ca="1">IFERROR(INDEX($AP$3:$AS$220,MATCH(ROWS(AW$3:AW91),AQ$3:AQ$220,0),1),"")</f>
        <v>ONERI FINANZIARI</v>
      </c>
      <c r="AX91" s="259" t="str">
        <f ca="1">IFERROR(INDEX($AP$3:$AS$220,MATCH(ROWS(AX$3:AX91),AR$3:AR$220,0),1),"")</f>
        <v>COSTI PER SERVIZI</v>
      </c>
      <c r="AY91" s="259" t="str">
        <f ca="1">IFERROR(INDEX($AP$3:$AS$220,MATCH(ROWS(AY$3:AY91),AS$3:AS$220,0),1),"")</f>
        <v>CONTI TRANSITORI E DIVERSI</v>
      </c>
      <c r="AZ91" s="276" t="str">
        <f t="shared" ca="1" si="236"/>
        <v/>
      </c>
      <c r="BA91" s="259">
        <f t="shared" ca="1" si="184"/>
        <v>0</v>
      </c>
      <c r="BB91" s="259">
        <f ca="1">IFERROR(INDEX($FG$3:$FL$400,MATCH(ROWS($BB$3:BB91),$FL$3:$FL$400,0),1),0)</f>
        <v>0</v>
      </c>
      <c r="BC91" s="259" t="str">
        <f t="shared" ca="1" si="237"/>
        <v/>
      </c>
      <c r="BD91" s="259">
        <f ca="1">IFERROR(INDEX($FG$3:$FL$400,MATCH(ROWS($BD$3:BD91),$FL$3:$FL$400,0),4),0)</f>
        <v>0</v>
      </c>
      <c r="BE91" s="259">
        <f ca="1">IFERROR(INDEX($FG$3:$FL$400,MATCH(ROWS($BE$3:BE91),$FL$3:$FL$400,0),5),0)</f>
        <v>0</v>
      </c>
      <c r="BG91" s="259" t="str">
        <f t="shared" ca="1" si="185"/>
        <v>RISCONTI PASSIVI</v>
      </c>
      <c r="BH91" s="259">
        <f ca="1">IF(IFERROR(MATCH(BG91,DENOMINAZIONE_GIORNALE,0),0)&gt;0,MAX(BH$2:BH90)+1,0)</f>
        <v>0</v>
      </c>
      <c r="BI91" s="259" t="str">
        <f ca="1">IFERROR(INDEX($BG$3:$BH$220,MATCH(ROWS($BI$3:BI91),$BH$3:$BH$220,0),1),"")</f>
        <v/>
      </c>
      <c r="BJ91" s="259" t="str">
        <f t="shared" ca="1" si="186"/>
        <v/>
      </c>
      <c r="BK91" s="259" t="str">
        <f ca="1">IF(IF(BJ91&lt;&gt;"",MAX($BK$2:BK90)+1,0)=0,"",IF(BJ91&lt;&gt;"",MAX($BK$2:BK90)+1,0))</f>
        <v/>
      </c>
      <c r="BL91" s="259" t="str">
        <f ca="1">IFERROR(INDEX($T$3:$U$220, MATCH(ROWS(BL$3:BL91),$V$3:$V$220,0),1),"")</f>
        <v/>
      </c>
      <c r="BM91" s="259" t="str">
        <f ca="1">IFERROR(INDEX($T$3:$U$220, MATCH(ROWS(BM$3:BM91),$V$3:$V$220,0),2),"")</f>
        <v/>
      </c>
      <c r="BN91" s="259" t="str">
        <f ca="1">IF(IFERROR(INDEX($BI$3:$BJ$220,MATCH(ROWS(BN$3:BN91),$BK$3:$BK$220,0),1),"")="PATRIMONIO NETTO","",IFERROR(INDEX($BI$3:$BJ$220,MATCH(ROWS(BN$3:BN91),$BK$3:$BK$220,0),1),""))</f>
        <v/>
      </c>
      <c r="BO91" s="259" t="str">
        <f ca="1">IFERROR(INDEX($BI$3:$BJ$220,MATCH(ROWS(BO$3:BO91),$BK$3:$BK$220,0),2),"")</f>
        <v/>
      </c>
      <c r="BP91" s="259">
        <f ca="1">IF(BN91&lt;&gt;"",MAX(BP$2:$BP90)+1,0)</f>
        <v>0</v>
      </c>
      <c r="BQ91" s="259" t="str">
        <f ca="1">IFERROR(INDEX($BN$3:$BO$200,MATCH(ROWS(BQ$3:BQ91),$BP$3:$BP$220,0),1),"")</f>
        <v/>
      </c>
      <c r="BR91" s="259" t="str">
        <f ca="1">IFERROR(INDEX($BN$3:$BO$220,MATCH(ROWS(BR$3:BR91),$BP$3:$BP$220,0),2),"")</f>
        <v/>
      </c>
      <c r="BS91" s="259" t="str">
        <f ca="1">IFERROR(IF(OR(INDEX($T$3:$U$220,MATCH(ROWS(BL$3:BL91),$V$3:$V$220,0),1)="PRELEVAMENTI EXTRAGESTIONE",INDEX($T$3:$U$220,MATCH(ROWS(BL$3:BL91),$V$3:$V$220,0),1)="TITOLARE C/RITENUTE SUBITE"),"",INDEX($T$3:$U$220,MATCH(ROWS(BL$3:BL91),$V$3:$V$220,0),1)),"")</f>
        <v/>
      </c>
      <c r="BT91" s="259">
        <f t="shared" ca="1" si="238"/>
        <v>0</v>
      </c>
      <c r="BU91" s="259">
        <f ca="1">IF(BS91&lt;&gt;"",MAX(BU$2:BU90)+1,0)</f>
        <v>0</v>
      </c>
      <c r="BV91" s="259" t="str">
        <f ca="1">IFERROR(INDEX($BS$3:$BT$223,MATCH(ROWS(BV$3:BV91),$BU$3:$BU$223,0),1),"")</f>
        <v/>
      </c>
      <c r="BW91" s="259">
        <f t="shared" ca="1" si="239"/>
        <v>0</v>
      </c>
      <c r="BX91" s="259" t="str">
        <f t="shared" ca="1" si="240"/>
        <v/>
      </c>
      <c r="BY91" s="259" t="str">
        <f t="shared" ca="1" si="241"/>
        <v/>
      </c>
      <c r="BZ91" s="259" t="str">
        <f ca="1">IFERROR(IF(OR($DS$231&lt;&gt;$DT$231,$DU$231&lt;&gt;$DV$231,$EO$25&lt;&gt;0,$EO$26&lt;&gt;0),INDEX($T$3:$V$220,MATCH(ROWS($BV$3:BV91),$V$3:$V$220,0),1),CONCATENATE(BV91,BY91)),"")</f>
        <v/>
      </c>
      <c r="CA91" s="259">
        <f t="shared" ca="1" si="242"/>
        <v>0</v>
      </c>
      <c r="CB91" s="259" t="str">
        <f ca="1">IFERROR(IF(OR($BB$1&lt;&gt;$BD$1,$BC$1&lt;&gt;$BE$1,$DS$231&lt;&gt;$DT$231,$DU$231&lt;&gt;$DV$231,$EO$25&lt;&gt;0,$EO$26&lt;&gt;0),INDEX($BI$3:$BK$220,MATCH(ROWS($CB$3:CB91),$BK$3:$BK$220,0),1),CONCATENATE(BQ91,BX91)),"")</f>
        <v/>
      </c>
      <c r="CC91" s="259" t="str">
        <f t="shared" ca="1" si="243"/>
        <v/>
      </c>
      <c r="CD91" s="259" t="str">
        <f t="shared" ca="1" si="187"/>
        <v/>
      </c>
      <c r="CE91" s="259">
        <f ca="1">IF(IFERROR(MATCH(CD91,DENOMINAZIONE_GIORNALE,0),0)&gt;0,MAX(CE$2:CE90)+1,0)</f>
        <v>0</v>
      </c>
      <c r="CF91" s="259" t="str">
        <f ca="1">IFERROR(INDEX($CD$3:$CE$220,MATCH(ROWS($CF$3:CF91),$CE$3:$CE$220,0),1),"")</f>
        <v/>
      </c>
      <c r="CG91" s="259">
        <f t="shared" ca="1" si="188"/>
        <v>0</v>
      </c>
      <c r="CH91" s="259" t="str">
        <f ca="1">IF(IF(CG91&lt;&gt;0,MAX($CH$2:CH90)+1,0)=0,"",IF(CG91&lt;&gt;"",MAX($CH$2:CH90)+1,0))</f>
        <v/>
      </c>
      <c r="CI91" s="259" t="str">
        <f ca="1">IFERROR(INDEX($CF$3:$CG$220,MATCH(ROWS($CI$3:CI91),$CH$3:$CH$220,0),1),"")</f>
        <v/>
      </c>
      <c r="CJ91" s="259" t="str">
        <f t="shared" ca="1" si="244"/>
        <v/>
      </c>
      <c r="CK91" s="259" t="str">
        <f t="shared" ca="1" si="189"/>
        <v/>
      </c>
      <c r="CL91" s="259">
        <f ca="1">IF(IFERROR(MATCH(CK91,DENOMINAZIONE_GIORNALE,0),0)&gt;0,MAX(CL$2:CL90)+1,0)</f>
        <v>0</v>
      </c>
      <c r="CM91" s="259" t="str">
        <f ca="1">IFERROR(INDEX($CK$3:$CL$220,MATCH(ROWS($CM$3:CM91),$CL$3:$CL$220,0),1),"")</f>
        <v/>
      </c>
      <c r="CN91" s="259" t="str">
        <f t="shared" ca="1" si="190"/>
        <v/>
      </c>
      <c r="CO91" s="259">
        <f ca="1">IF(IF(CN91&lt;&gt;0,MAX($CO$2:CO90)+1,0)=0,"",IF(CN91&lt;&gt;"",MAX($CO$2:CO90)+1,0))</f>
        <v>0</v>
      </c>
      <c r="CP91" s="259" t="str">
        <f ca="1">IFERROR(INDEX($CM$3:$CN$220,MATCH(ROWS(CP$3:CP91),$CO$3:$CO$220,0),1),"")</f>
        <v/>
      </c>
      <c r="CQ91" s="259" t="str">
        <f ca="1">IFERROR(INDEX($CM$3:$CN$220,MATCH(ROWS(CQ$3:CQ91),$CO$3:$CO$220,0),2),"")</f>
        <v/>
      </c>
      <c r="CR91" s="259" t="str">
        <f t="shared" ca="1" si="191"/>
        <v/>
      </c>
      <c r="CS91" s="259">
        <f t="shared" ca="1" si="192"/>
        <v>0</v>
      </c>
      <c r="CT91" s="259">
        <f t="shared" ca="1" si="193"/>
        <v>0</v>
      </c>
      <c r="CU91" s="259">
        <f ca="1">IF(OR(CS91&gt;0,CT91&gt;0),MAX($CU$2:CU90)+1,0)</f>
        <v>0</v>
      </c>
      <c r="CV91" s="259" t="str">
        <f ca="1">IFERROR(INDEX(PIANO_DEI_CONTI,MATCH(ROWS($CV$3:CV91),$CU$3:$CU$200,0),2),"")</f>
        <v/>
      </c>
      <c r="CW91" s="259">
        <f ca="1">IFERROR(IF(CV91&lt;&gt;"",MAX($CW$2:CW90)+1,0),0)</f>
        <v>0</v>
      </c>
      <c r="CX91" s="259">
        <f t="shared" ca="1" si="315"/>
        <v>5</v>
      </c>
      <c r="CY91" s="259" t="str">
        <f t="shared" ca="1" si="308"/>
        <v>MASTRO</v>
      </c>
      <c r="CZ91" s="259" t="e">
        <f t="shared" ca="1" si="317"/>
        <v>#N/A</v>
      </c>
      <c r="DA91" s="259" t="str">
        <f t="shared" ca="1" si="322"/>
        <v/>
      </c>
      <c r="DB91" s="259" t="str">
        <f t="shared" ca="1" si="318"/>
        <v/>
      </c>
      <c r="DC91" s="259" t="str">
        <f t="shared" ca="1" si="319"/>
        <v/>
      </c>
      <c r="DD91" s="259" t="str">
        <f t="shared" ca="1" si="320"/>
        <v/>
      </c>
      <c r="DE91" s="259" t="str">
        <f t="shared" ca="1" si="321"/>
        <v/>
      </c>
      <c r="DF91" s="259">
        <f ca="1">IF(AND(CX91=$DE$2,$DF$2&lt;&gt;0),0,IF(AND(DB91&lt;&gt;"",OR(DB90&lt;&gt;"",DB92&lt;&gt;"")),MAX($DF$2:DF90)+1,0))</f>
        <v>0</v>
      </c>
      <c r="DG91" s="259" t="str">
        <f>IF(OR(VALORI_INIZIALI!E96="",AND(VALORI_INIZIALI!E96&lt;&gt;"",VALORI_INIZIALI!H96=0,VALORI_INIZIALI!I96=0)),"",IFERROR(INDEX(PIANO_DEI_CONTI,MATCH(BB91,DENOMINAZIONE,0),1),0))</f>
        <v/>
      </c>
      <c r="DH91" s="259">
        <f ca="1">IFERROR(IF($J$1=1,IF(INDEX(PIANO_DEI_CONTI,MATCH($K91,DENOMINAZIONE,0),5)=$DF$1,MAX($DH$2:DH90)+1,0),IF($J$1=2,IF(INDEX(PIANO_DEI_CONTI,MATCH($K91,DENOMINAZIONE,0),7)=$DF$1,MAX($DH$2:DH90)+1,0))),0)</f>
        <v>0</v>
      </c>
      <c r="DI91" s="259">
        <f ca="1">IFERROR(INDEX($K$3:$K$220,MATCH(ROWS($DI$3:DI91),$DH$3:$DH$220,0),1),0)</f>
        <v>0</v>
      </c>
      <c r="DJ91" s="259">
        <f t="shared" ca="1" si="194"/>
        <v>0</v>
      </c>
      <c r="DK91" s="259">
        <f ca="1">IF(DJ91=0,0,MAX(DK$2:DK90)+1)</f>
        <v>0</v>
      </c>
      <c r="DL91" s="259">
        <f ca="1">IFERROR(INDEX(PIANO_DEI_CONTI,MATCH(ROWS(DL$3:DL91),$DK$3:DK318,0),2),0)</f>
        <v>0</v>
      </c>
      <c r="DM91" s="259">
        <f t="shared" ca="1" si="195"/>
        <v>0</v>
      </c>
      <c r="DN91" s="259">
        <f t="shared" ca="1" si="196"/>
        <v>0</v>
      </c>
      <c r="DO91" s="259">
        <f t="shared" ca="1" si="245"/>
        <v>0</v>
      </c>
      <c r="DP91" s="259">
        <f t="shared" ca="1" si="246"/>
        <v>0</v>
      </c>
      <c r="DQ91" s="259">
        <f ca="1">IF(OR($DQ$1="TOTALI",$DQ$1="TOTALI ED ECCEDENZE"),IF(OR(DM91&gt;0,DN91&gt;0),MAX(DQ$2:DQ90)+1,0),IF($DQ$1="ECCEDENZE",IF(OR(DO91&gt;0,DP91&gt;0),MAX(DQ$2:DQ90)+1,0),""))</f>
        <v>0</v>
      </c>
      <c r="DR91" s="259" t="str">
        <f ca="1">IFERROR(INDEX($DL$3:$DQ$230,MATCH(ROWS(DR$3:DR91),$DQ$3:$DQ$230,0),1),"")</f>
        <v/>
      </c>
      <c r="DS91" s="259" t="str">
        <f t="shared" ca="1" si="247"/>
        <v/>
      </c>
      <c r="DT91" s="259" t="str">
        <f t="shared" ca="1" si="248"/>
        <v/>
      </c>
      <c r="DU91" s="259" t="str">
        <f t="shared" ca="1" si="249"/>
        <v/>
      </c>
      <c r="DV91" s="259" t="str">
        <f t="shared" ca="1" si="250"/>
        <v/>
      </c>
      <c r="DW91" s="259">
        <f t="shared" ca="1" si="251"/>
        <v>0</v>
      </c>
      <c r="DX91" s="259" t="str">
        <f t="shared" ca="1" si="252"/>
        <v/>
      </c>
      <c r="DY91" s="259" t="str">
        <f t="shared" ca="1" si="253"/>
        <v/>
      </c>
      <c r="DZ91" s="259" t="str">
        <f t="shared" ca="1" si="254"/>
        <v/>
      </c>
      <c r="EA91" s="259">
        <f t="shared" ca="1" si="255"/>
        <v>89</v>
      </c>
      <c r="EB91" s="259" t="str">
        <f ca="1">IF($ID$1=1,"ppe","ppd")</f>
        <v>ppe</v>
      </c>
      <c r="ED91" s="259">
        <f t="shared" ca="1" si="197"/>
        <v>0</v>
      </c>
      <c r="EE91" s="259" t="str">
        <f t="shared" ca="1" si="198"/>
        <v/>
      </c>
      <c r="EF91" s="259" t="str">
        <f t="shared" ca="1" si="199"/>
        <v/>
      </c>
      <c r="EG91" s="259" t="str">
        <f t="shared" ca="1" si="309"/>
        <v/>
      </c>
      <c r="EH91" s="259" t="str">
        <f t="shared" ca="1" si="256"/>
        <v/>
      </c>
      <c r="EI91" s="260" t="b">
        <f t="shared" ca="1" si="310"/>
        <v>1</v>
      </c>
      <c r="EJ91" s="260" t="b">
        <f t="shared" ca="1" si="311"/>
        <v>1</v>
      </c>
      <c r="EK91" s="260" t="b">
        <f t="shared" ca="1" si="312"/>
        <v>1</v>
      </c>
      <c r="EL91" s="259">
        <f t="shared" si="257"/>
        <v>89</v>
      </c>
      <c r="EM91" s="259">
        <f ca="1">IF(AND(BA91&gt;0,BA91&lt;=$EM$1),MAX($EM$2:EM90)+1,0)</f>
        <v>0</v>
      </c>
      <c r="EN91" s="259">
        <f t="shared" ca="1" si="258"/>
        <v>91</v>
      </c>
      <c r="EP91" s="259" t="str">
        <f t="shared" ca="1" si="200"/>
        <v/>
      </c>
      <c r="EQ91" s="259">
        <f t="shared" ca="1" si="201"/>
        <v>0</v>
      </c>
      <c r="ER91" s="259">
        <f ca="1">IF(ISNA(EQ91),MAX(ER$2:ER90)+1,0)</f>
        <v>0</v>
      </c>
      <c r="ES91" s="259" t="str">
        <f t="shared" ca="1" si="259"/>
        <v/>
      </c>
      <c r="ET91" s="259" t="str">
        <f ca="1">IFERROR(UPPER(INDEX($ER$3:$ES$500,MATCH(ROWS(ET$3:ET91),$ER$3:$ER$500,0),2)),"")</f>
        <v/>
      </c>
      <c r="EY91" s="259">
        <f t="shared" ca="1" si="260"/>
        <v>0</v>
      </c>
      <c r="EZ91" s="259">
        <f t="shared" ca="1" si="260"/>
        <v>0</v>
      </c>
      <c r="FA91" s="259" t="str">
        <f t="shared" ca="1" si="261"/>
        <v/>
      </c>
      <c r="FB91" s="259">
        <f t="shared" ca="1" si="262"/>
        <v>0</v>
      </c>
      <c r="FC91" s="259">
        <f t="shared" ca="1" si="263"/>
        <v>0</v>
      </c>
      <c r="FD91" s="259">
        <f t="shared" ca="1" si="202"/>
        <v>0</v>
      </c>
      <c r="FE91" s="259" t="str">
        <f t="shared" ca="1" si="203"/>
        <v/>
      </c>
      <c r="FF91" s="259" t="str">
        <f t="shared" ca="1" si="264"/>
        <v/>
      </c>
      <c r="FG91" s="259" t="str">
        <f t="shared" si="265"/>
        <v>RISCONTI PASSIVI</v>
      </c>
      <c r="FH91" s="259">
        <f t="shared" ca="1" si="156"/>
        <v>0</v>
      </c>
      <c r="FI91" s="259">
        <f t="shared" ca="1" si="204"/>
        <v>0</v>
      </c>
      <c r="FJ91" s="259">
        <f t="shared" ca="1" si="266"/>
        <v>0</v>
      </c>
      <c r="FK91" s="259">
        <f t="shared" ca="1" si="267"/>
        <v>0</v>
      </c>
      <c r="FL91" s="259">
        <f ca="1">IF(OR(FJ91&gt;0,FK91&gt;0),MAX($FL$2:FL90)+1,0)</f>
        <v>0</v>
      </c>
      <c r="FM91" s="259">
        <f t="shared" ca="1" si="205"/>
        <v>0</v>
      </c>
      <c r="FN91" s="259">
        <f ca="1">IF(FM91&lt;0,MAX($FN$2:FN90)+1,0)</f>
        <v>0</v>
      </c>
      <c r="FO91" s="259" t="str">
        <f t="shared" ca="1" si="268"/>
        <v/>
      </c>
      <c r="FP91" s="259" t="str">
        <f ca="1">IFERROR(INDEX($FN$3:$FO$400,MATCH(ROWS($FP$3:FP91),$FN$3:$FN$400,0),2),"")</f>
        <v/>
      </c>
      <c r="FQ91" s="259" t="str">
        <f>IF(AE91="SE AVERE",MAX($FQ$2:FQ90)+1,"")</f>
        <v/>
      </c>
      <c r="FR91" s="259" t="str">
        <f>IF(AE91="SE DARE",MAX($FR$2:FR90)+1,"")</f>
        <v/>
      </c>
      <c r="FS91" s="259" t="str">
        <f ca="1">IF(AND(AE91="SP DARE",AA91&lt;&gt;$FS$1,AA91&lt;&gt;$FT$1),MAX($FS$2:FS90)+1,IF(AND(GQ91="SP DARE",AA91&lt;&gt;$FS$1,AA91&lt;&gt;$FT$1),MAX($FS$2:FS90)+1,""))</f>
        <v/>
      </c>
      <c r="FT91" s="259">
        <f ca="1">IF(AND(AE91="SP AVERE",AA91&lt;&gt;$FU$1),MAX($FT$2:FT90)+1,IF(AND(GQ91="SP AVERE",AA91&lt;&gt;$FU$1),MAX($FT$2:FT90)+1,""))</f>
        <v>173</v>
      </c>
      <c r="FU91" s="259">
        <f t="shared" ca="1" si="269"/>
        <v>173</v>
      </c>
      <c r="FV91" s="259" t="str">
        <f t="shared" si="270"/>
        <v>RISCONTI PASSIVI</v>
      </c>
      <c r="FW91" s="259">
        <f ca="1">IFERROR(INDEX($FU$3:$FV$500,MATCH(ROWS($FW$3:FW91),$FU$3:$FU$500,0),2),0)</f>
        <v>0</v>
      </c>
      <c r="FX91" s="259">
        <f t="shared" ca="1" si="271"/>
        <v>0</v>
      </c>
      <c r="FY91" s="259">
        <f t="shared" ca="1" si="272"/>
        <v>89</v>
      </c>
      <c r="FZ91" s="259">
        <f ca="1">IF(FY91&gt;0,MAX($FZ$2:FZ90)+1,0)</f>
        <v>15</v>
      </c>
      <c r="GA91" s="259">
        <f ca="1">IFERROR(INDEX($FY$3:$FZ$500,MATCH(ROWS($GA$3:GA91),$FZ$3:$FZ$500,0),1),0)</f>
        <v>0</v>
      </c>
      <c r="GC91" s="259">
        <f t="shared" ca="1" si="273"/>
        <v>89</v>
      </c>
      <c r="GD91" s="259" t="str">
        <f t="shared" ca="1" si="274"/>
        <v>BILANCIO DI CHIUSURA</v>
      </c>
      <c r="GG91" s="259">
        <f t="shared" ca="1" si="275"/>
        <v>0</v>
      </c>
      <c r="GH91" s="259">
        <f t="shared" ca="1" si="276"/>
        <v>0</v>
      </c>
      <c r="GI91" s="259">
        <f t="shared" ca="1" si="277"/>
        <v>0</v>
      </c>
      <c r="GJ91" s="259">
        <f t="shared" ca="1" si="278"/>
        <v>0</v>
      </c>
      <c r="GK91" s="259">
        <f t="shared" ca="1" si="279"/>
        <v>0</v>
      </c>
      <c r="GL91" s="259">
        <f t="shared" ca="1" si="280"/>
        <v>0</v>
      </c>
      <c r="GM91" s="259">
        <f ca="1">IF(OR(GK91&gt;0,GL91&gt;0),MAX($GM$2:GM90)+1,0)</f>
        <v>0</v>
      </c>
      <c r="GN91" s="259" t="str">
        <f ca="1">IFERROR(INDEX($GD$3:$GM$400,MATCH(ROWS($GN$3:GN91),$GM$3:$GM$400,0),1),"")</f>
        <v/>
      </c>
      <c r="GO91" s="259" t="str">
        <f ca="1">IFERROR(INDEX($GD$3:$GM$400,MATCH(ROWS($GO$3:GO91),$GM$3:$GM$400,0),8),"")</f>
        <v/>
      </c>
      <c r="GP91" s="259" t="str">
        <f ca="1">IFERROR(INDEX($GD$3:$GM$400,MATCH(ROWS($GP$3:GP91),$GM$3:$GM$400,0),9),"")</f>
        <v/>
      </c>
      <c r="GQ91" s="259">
        <f t="shared" ca="1" si="206"/>
        <v>0</v>
      </c>
      <c r="GR91" s="259">
        <f t="shared" ca="1" si="281"/>
        <v>0</v>
      </c>
      <c r="GS91" s="259" t="str">
        <f t="shared" ca="1" si="282"/>
        <v>totale attività</v>
      </c>
      <c r="GT91" s="259" t="str">
        <f ca="1">IFERROR(INDEX($GD$3:$GS$400,MATCH(ROWS($GT$3:GT91),$GM$3:$GM$400,0),16),"")</f>
        <v/>
      </c>
      <c r="GU91" s="259">
        <f ca="1">IF(GQ91&lt;&gt;0,MAX($GU$2:$GU90)+1,0)</f>
        <v>0</v>
      </c>
      <c r="GV91" s="259">
        <f t="shared" ca="1" si="283"/>
        <v>0</v>
      </c>
      <c r="GW91" s="259" t="str">
        <f ca="1">IF(AND(IFERROR(INDEX($GU$3:$GV$400,MATCH(ROWS($GW$3:GW91),$GU$3:$GU$400,0),2),"")&lt;&gt;"",GW92&lt;&gt;""),CONCATENATE(IFERROR(INDEX($GU$3:$GV$400,MATCH(ROWS($GW$3:GW91),$GU$3:$GU$400,0),2),"")," - "),IFERROR(INDEX($GU$3:$GV$400,MATCH(ROWS($GW$3:GW91),$GU$3:$GU$400,0),2),""))</f>
        <v/>
      </c>
      <c r="GX91" s="259">
        <f ca="1">IF(OR(GN91="IVA NS/CREDITO",GN91="IVA NS/DEBITO",GN91="IVA C/ACCONTO",GN91="IMPOSTE C/ACCONTO"),MAX($GX$2:GX90)+1,0)</f>
        <v>0</v>
      </c>
      <c r="GY91" s="259" t="str">
        <f ca="1">IF(AND(IFERROR(INDEX($GN$3:$GX$200,MATCH(ROWS($GY$3:GY91),$GX$3:$GX$200,0),1),"")&lt;&gt;"",GY92&lt;&gt;""),CONCATENATE(IFERROR(INDEX($GN$3:$GX$200,MATCH(ROWS($GY$3:GY91),$GX$3:$GX$200,0),1),"")," - "),IFERROR(INDEX($GN$3:$GX$200,MATCH(ROWS($GY$3:GY91),$GX$3:$GX$200,0),1),""))</f>
        <v/>
      </c>
      <c r="GZ91" s="259" t="s">
        <v>529</v>
      </c>
      <c r="HA91" s="259" t="s">
        <v>111</v>
      </c>
      <c r="HB91" s="269" t="s">
        <v>257</v>
      </c>
      <c r="HC91" s="269" t="s">
        <v>211</v>
      </c>
      <c r="HD91" s="269" t="s">
        <v>5</v>
      </c>
      <c r="HE91" s="269" t="s">
        <v>212</v>
      </c>
      <c r="HL91" s="259" t="str">
        <f t="shared" ca="1" si="207"/>
        <v/>
      </c>
      <c r="HM91" s="259" t="str">
        <f t="shared" ca="1" si="208"/>
        <v/>
      </c>
      <c r="HN91" s="259" t="str">
        <f t="shared" ca="1" si="209"/>
        <v/>
      </c>
      <c r="HO91" s="259">
        <f ca="1">IF(HL91&lt;&gt;"",MAX($HO$2:HO90)+1,0)</f>
        <v>0</v>
      </c>
      <c r="HP91" s="259">
        <f ca="1">IF(HM91&lt;&gt;"",MAX($HP$2:HP90)+1,0)</f>
        <v>0</v>
      </c>
      <c r="HQ91" s="259">
        <f ca="1">IF(HN91&lt;&gt;"",MAX($HQ$2:HQ90)+1,0)</f>
        <v>0</v>
      </c>
      <c r="HR91" s="259" t="str">
        <f t="shared" ca="1" si="284"/>
        <v/>
      </c>
      <c r="HS91" s="259" t="str">
        <f t="shared" ca="1" si="285"/>
        <v/>
      </c>
      <c r="HT91" s="259">
        <f t="shared" ca="1" si="286"/>
        <v>0</v>
      </c>
      <c r="HU91" s="259">
        <f t="shared" ca="1" si="287"/>
        <v>0</v>
      </c>
      <c r="HV91" s="259" t="str">
        <f ca="1">CONCATENATE(IFERROR(INDEX($HS$3:$HT$102,MATCH(ROWS($HV$3:HV91),$HT$3:$HT$102,0),1),""),HR91)</f>
        <v/>
      </c>
      <c r="IB91" s="259" t="s">
        <v>408</v>
      </c>
      <c r="IC91" s="259">
        <f ca="1">IFERROR(INDEX(PIANO_DEI_CONTI,MATCH(ROWS(DL$3:DL91),$DK$3:DK318,0),2),0)</f>
        <v>0</v>
      </c>
      <c r="ID91" s="259">
        <f t="shared" ca="1" si="288"/>
        <v>0</v>
      </c>
      <c r="IE91" s="259">
        <f t="shared" ca="1" si="289"/>
        <v>0</v>
      </c>
      <c r="IF91" s="259">
        <f t="shared" ca="1" si="290"/>
        <v>0</v>
      </c>
      <c r="IG91" s="259">
        <f ca="1">IG68+IG78+IG90</f>
        <v>0</v>
      </c>
      <c r="IH91" s="259">
        <f ca="1">IF(IG91&lt;&gt;0,MAX($IH$35:IH90)+1,0)</f>
        <v>0</v>
      </c>
      <c r="II91" s="259">
        <f>IF(AD91="costi pluriennali",MAX($II$2:II90)+1,0)</f>
        <v>0</v>
      </c>
      <c r="IJ91" s="259">
        <f>IF($AD91="rettifiche costi pluriennali",MAX($IJ$2:IJ90)+1,0)</f>
        <v>0</v>
      </c>
      <c r="IK91" s="259">
        <f t="shared" si="291"/>
        <v>0</v>
      </c>
      <c r="IL91" s="259" t="str">
        <f t="shared" si="292"/>
        <v/>
      </c>
      <c r="IM91" s="259">
        <f t="shared" ca="1" si="293"/>
        <v>0</v>
      </c>
      <c r="IN91" s="259">
        <f t="shared" ca="1" si="313"/>
        <v>0</v>
      </c>
      <c r="IO91" s="259">
        <f>SUMIFS($IM$3:$IM$200,$IK$3:$IK$200,ROWS($IO$3:IO91))-SUMIFS($IN$3:$IN$200,$IK$3:$IK$200,ROWS($IO$3:IO91))</f>
        <v>0</v>
      </c>
      <c r="IP91" s="259" t="str">
        <f>IF(IO91&lt;0,INDEX($IJ$3:$IL$200,MATCH(ROWS($IP$3:IP91),$IJ$3:$IJ$200,0),3),"")</f>
        <v/>
      </c>
      <c r="IQ91" s="259">
        <f>IF(IP91&lt;&gt;"",MAX($IQ$2:IQ90)+1,0)</f>
        <v>0</v>
      </c>
      <c r="IR91" s="259" t="str">
        <f ca="1">IFERROR(INDEX($IP$3:$IQ$200,MATCH(ROWS($IR$3:IR91),$IQ$3:$IQ$200,0),1),"")</f>
        <v/>
      </c>
      <c r="IS91" s="259" t="str">
        <f t="shared" ca="1" si="294"/>
        <v/>
      </c>
      <c r="IT91" s="259" t="str">
        <f t="shared" ca="1" si="295"/>
        <v/>
      </c>
      <c r="IU91" s="259" t="str">
        <f t="shared" ca="1" si="296"/>
        <v/>
      </c>
      <c r="IV91" s="259" t="str">
        <f t="shared" ca="1" si="297"/>
        <v/>
      </c>
      <c r="IW91" s="259" t="str">
        <f t="shared" ca="1" si="298"/>
        <v/>
      </c>
      <c r="IX91" s="259" t="str">
        <f t="shared" ca="1" si="299"/>
        <v/>
      </c>
      <c r="IY91" s="259" t="str">
        <f t="shared" ca="1" si="300"/>
        <v/>
      </c>
      <c r="IZ91" s="259" t="str">
        <f t="shared" ca="1" si="301"/>
        <v/>
      </c>
      <c r="JA91" s="259" t="str">
        <f t="shared" ca="1" si="302"/>
        <v/>
      </c>
      <c r="JB91" s="259">
        <f t="shared" ca="1" si="210"/>
        <v>0</v>
      </c>
      <c r="JC91" s="259">
        <f t="shared" ca="1" si="303"/>
        <v>0</v>
      </c>
      <c r="JE91" s="259">
        <f ca="1">IFERROR(INDEX(LIBRO_GIORNALE!$N$11:$O$408,MATCH(ROWS($JE$2:JE90),LIBRO_GIORNALE!$O$11:$O$408,0),1),0)</f>
        <v>0</v>
      </c>
      <c r="JF91" s="259" t="str">
        <f t="shared" ca="1" si="304"/>
        <v>0</v>
      </c>
      <c r="JG91" s="259">
        <f t="shared" ca="1" si="305"/>
        <v>0</v>
      </c>
      <c r="JH91" s="259">
        <f ca="1">IF(JJ91&gt;0,0,MAX($JH$2:JH90)+1)</f>
        <v>89</v>
      </c>
      <c r="JI91" s="259">
        <f ca="1">IF(JG91&gt;0,MAX($JI$2:JI90)+1,0)</f>
        <v>0</v>
      </c>
      <c r="JJ91" s="259">
        <f ca="1">IFERROR(INDEX($JG$3:$JI$124,MATCH(ROWS($JJ$3:JJ91),$JI$3:$JI$124,0),1),0)</f>
        <v>0</v>
      </c>
      <c r="JK91" s="259">
        <f t="shared" ca="1" si="306"/>
        <v>0</v>
      </c>
      <c r="JL91" s="259">
        <f t="shared" ca="1" si="307"/>
        <v>89</v>
      </c>
    </row>
    <row r="92" spans="1:272">
      <c r="A92" s="259" t="str">
        <f t="shared" si="211"/>
        <v>15.00</v>
      </c>
      <c r="B92" s="259" t="str">
        <f t="shared" si="212"/>
        <v>DEBITI DIVERSI</v>
      </c>
      <c r="C92" s="259">
        <f t="shared" si="213"/>
        <v>0</v>
      </c>
      <c r="D92" s="259">
        <f t="shared" si="214"/>
        <v>0</v>
      </c>
      <c r="E92" s="259">
        <f t="shared" si="215"/>
        <v>0</v>
      </c>
      <c r="F92" s="259">
        <f t="shared" si="216"/>
        <v>0</v>
      </c>
      <c r="G92" s="259">
        <f t="shared" ca="1" si="217"/>
        <v>0</v>
      </c>
      <c r="H92" s="259">
        <f t="shared" ca="1" si="218"/>
        <v>0</v>
      </c>
      <c r="I92" s="259">
        <f t="shared" ca="1" si="219"/>
        <v>0</v>
      </c>
      <c r="K92" s="259" t="str">
        <f ca="1">IFERROR(IF($I$1=1,INDEX($AA$3:$AS$220,MATCH(ROWS($K$3:K92),$AQ$3:$AQ$220,0),1),IF($I$1=2,INDEX($AA$3:$AS$220,MATCH(ROWS($K$3:K92),$AR$3:$AR$220,0),1),IF($I$1=3,INDEX($AA$3:$AS$220,MATCH(ROWS($K$3:K92),$AS$3:$AS$220,0),1),""))),"")</f>
        <v>BANCA X C/C</v>
      </c>
      <c r="L92" s="259">
        <f ca="1">IF(AND($L$1="VISUALIZZA TUTTI I CONTI",K92&lt;&gt;""),MAX(L91:L91)+1,IFERROR(IF($J$1=1,IF(INDEX(PIANO_DEI_CONTI,MATCH($K92,DENOMINAZIONE,0),5)=$L$1,MAX($L$2:L91)+1,0),IF($J$1=2,IF(INDEX(PIANO_DEI_CONTI,MATCH($K92,DENOMINAZIONE,0),7)=$L$1,MAX($L$2:L91)+1,0))),0))</f>
        <v>90</v>
      </c>
      <c r="M92" s="259" t="str">
        <f ca="1">IFERROR(INDEX($K$3:$K$220,MATCH(ROWS($M$3:M92),$L$3:$L$220,0),1),"")</f>
        <v>BANCA X C/C</v>
      </c>
      <c r="Q92" s="259" t="str">
        <f ca="1">IF(IFERROR(INDEX($O$3:$P$220,MATCH(ROWS(Q$3:Q92),$P$3:$P$220,0),1),"")=0,"",IFERROR(INDEX($O$3:$P$220,MATCH(ROWS(Q$3:Q92),$P$3:$P$220,0),1),""))</f>
        <v/>
      </c>
      <c r="R92" s="259" t="str">
        <f t="shared" ca="1" si="182"/>
        <v/>
      </c>
      <c r="S92" s="259">
        <f ca="1">IF(IFERROR(MATCH(R92,DENOMINAZIONE_GIORNALE,0),0)&gt;0,MAX(S$2:S91)+1,0)</f>
        <v>0</v>
      </c>
      <c r="T92" s="259" t="str">
        <f ca="1">IFERROR(INDEX($R$3:$S$220,MATCH(ROWS($T$3:T92),$S$3:$S$220,0),1),"")</f>
        <v/>
      </c>
      <c r="U92" s="259">
        <f t="shared" ca="1" si="183"/>
        <v>0</v>
      </c>
      <c r="V92" s="259">
        <f ca="1">IF(IF(U92&lt;&gt;0,MAX($V$2:V91)+1,0)=0,0,IF(U92&lt;&gt;0,MAX($V$2:V91)+1,0))</f>
        <v>0</v>
      </c>
      <c r="W92" s="259" t="str">
        <f t="shared" si="220"/>
        <v/>
      </c>
      <c r="X92" s="259" t="str">
        <f t="shared" si="221"/>
        <v/>
      </c>
      <c r="Y92" s="259">
        <f>IF(W92="",0,MAX($Y$2:Y91)+1)</f>
        <v>0</v>
      </c>
      <c r="Z92" s="259" t="str">
        <f>IFERROR(INDEX($W$3:$Y$220,MATCH(ROWS($Z$2:Z91),$Y$3:$Y$220,0),1),"")</f>
        <v>18.01</v>
      </c>
      <c r="AA92" s="259" t="str">
        <f t="shared" si="222"/>
        <v>BILANCIO DI APERTURA</v>
      </c>
      <c r="AB92" s="259">
        <f t="shared" si="223"/>
        <v>0</v>
      </c>
      <c r="AC92" s="259" t="str">
        <f t="shared" si="224"/>
        <v>D/A</v>
      </c>
      <c r="AD92" s="259" t="str">
        <f t="shared" si="225"/>
        <v>TRANSITORIO DI CONTROPARTITA</v>
      </c>
      <c r="AE92" s="259">
        <f t="shared" si="226"/>
        <v>0</v>
      </c>
      <c r="AF92" s="259" t="str">
        <f t="shared" si="227"/>
        <v>CONTI TRANSITORI E DIVERSI</v>
      </c>
      <c r="AG92" s="259">
        <f t="shared" ca="1" si="228"/>
        <v>0</v>
      </c>
      <c r="AH92" s="259">
        <f t="shared" ca="1" si="229"/>
        <v>0</v>
      </c>
      <c r="AI92" s="259">
        <f t="shared" ca="1" si="230"/>
        <v>0</v>
      </c>
      <c r="AJ92" s="259" t="str">
        <f t="shared" si="231"/>
        <v>18</v>
      </c>
      <c r="AK92" s="259" t="str">
        <f t="shared" si="232"/>
        <v>15</v>
      </c>
      <c r="AL92" s="259">
        <f>IF(AK92&lt;&gt;"",MAX($AL$2:AL91)+1,0)</f>
        <v>14</v>
      </c>
      <c r="AM92" s="259" t="str">
        <f>IFERROR(INDEX($AK$3:$AL$220,MATCH(ROWS($AM$3:AM92),$AL$3:$AL$220,0),1),"")</f>
        <v/>
      </c>
      <c r="AN92" s="259" t="str">
        <f t="shared" si="233"/>
        <v/>
      </c>
      <c r="AO92" s="259" t="str">
        <f t="shared" si="234"/>
        <v/>
      </c>
      <c r="AP92" s="259" t="str">
        <f t="shared" si="235"/>
        <v>CONTI TRANSITORI E DIVERSI</v>
      </c>
      <c r="AQ92" s="259">
        <f ca="1">IF(OR(AG92=0,AG92=""),0,MAX(AQ$2:AQ91)+1)</f>
        <v>0</v>
      </c>
      <c r="AR92" s="259">
        <f ca="1">IF(OR(AH92=0,AH92=""),0,MAX(AR$2:AR91)+1)</f>
        <v>0</v>
      </c>
      <c r="AS92" s="259">
        <f ca="1">IF(OR(AI92=0,AI92=""),0,MAX(AS$2:AS91)+1)</f>
        <v>0</v>
      </c>
      <c r="AT92" s="259" t="str">
        <f ca="1">IFERROR(INDEX($AD$3:$AS$220,MATCH(ROWS(AT$3:AT92),AQ$3:AQ$220,0),1),"")</f>
        <v>COSTI D'ESERCIZIO</v>
      </c>
      <c r="AU92" s="259" t="str">
        <f ca="1">IFERROR(INDEX($AD$3:$AS$220,MATCH(ROWS(AU$3:AU92),AR$3:AR$220,0),1),"")</f>
        <v>COSTI D'ESERCIZIO</v>
      </c>
      <c r="AV92" s="259" t="str">
        <f ca="1">IFERROR(INDEX($AD$3:$AS$220,MATCH(ROWS(AV$3:AV92),AS$3:AS$220,0),1),"")</f>
        <v>CONTI CON ALTERNANZA DI SALDI</v>
      </c>
      <c r="AW92" s="259" t="str">
        <f ca="1">IFERROR(INDEX($AP$3:$AS$220,MATCH(ROWS(AW$3:AW92),AQ$3:AQ$220,0),1),"")</f>
        <v>ONERI FINANZIARI</v>
      </c>
      <c r="AX92" s="259" t="str">
        <f ca="1">IFERROR(INDEX($AP$3:$AS$220,MATCH(ROWS(AX$3:AX92),AR$3:AR$220,0),1),"")</f>
        <v>COSTI PER SERVIZI</v>
      </c>
      <c r="AY92" s="259" t="str">
        <f ca="1">IFERROR(INDEX($AP$3:$AS$220,MATCH(ROWS(AY$3:AY92),AS$3:AS$220,0),1),"")</f>
        <v>CONTI TRANSITORI E DIVERSI</v>
      </c>
      <c r="AZ92" s="276" t="str">
        <f t="shared" ca="1" si="236"/>
        <v/>
      </c>
      <c r="BA92" s="259">
        <f t="shared" ca="1" si="184"/>
        <v>0</v>
      </c>
      <c r="BB92" s="259">
        <f ca="1">IFERROR(INDEX($FG$3:$FL$400,MATCH(ROWS($BB$3:BB92),$FL$3:$FL$400,0),1),0)</f>
        <v>0</v>
      </c>
      <c r="BC92" s="259" t="str">
        <f t="shared" ca="1" si="237"/>
        <v/>
      </c>
      <c r="BD92" s="259">
        <f ca="1">IFERROR(INDEX($FG$3:$FL$400,MATCH(ROWS($BD$3:BD92),$FL$3:$FL$400,0),4),0)</f>
        <v>0</v>
      </c>
      <c r="BE92" s="259">
        <f ca="1">IFERROR(INDEX($FG$3:$FL$400,MATCH(ROWS($BE$3:BE92),$FL$3:$FL$400,0),5),0)</f>
        <v>0</v>
      </c>
      <c r="BG92" s="259" t="str">
        <f t="shared" ca="1" si="185"/>
        <v/>
      </c>
      <c r="BH92" s="259">
        <f ca="1">IF(IFERROR(MATCH(BG92,DENOMINAZIONE_GIORNALE,0),0)&gt;0,MAX(BH$2:BH91)+1,0)</f>
        <v>0</v>
      </c>
      <c r="BI92" s="259" t="str">
        <f ca="1">IFERROR(INDEX($BG$3:$BH$220,MATCH(ROWS($BI$3:BI92),$BH$3:$BH$220,0),1),"")</f>
        <v/>
      </c>
      <c r="BJ92" s="259" t="str">
        <f t="shared" ca="1" si="186"/>
        <v/>
      </c>
      <c r="BK92" s="259" t="str">
        <f ca="1">IF(IF(BJ92&lt;&gt;"",MAX($BK$2:BK91)+1,0)=0,"",IF(BJ92&lt;&gt;"",MAX($BK$2:BK91)+1,0))</f>
        <v/>
      </c>
      <c r="BL92" s="259" t="str">
        <f ca="1">IFERROR(INDEX($T$3:$U$220, MATCH(ROWS(BL$3:BL92),$V$3:$V$220,0),1),"")</f>
        <v/>
      </c>
      <c r="BM92" s="259" t="str">
        <f ca="1">IFERROR(INDEX($T$3:$U$220, MATCH(ROWS(BM$3:BM92),$V$3:$V$220,0),2),"")</f>
        <v/>
      </c>
      <c r="BN92" s="259" t="str">
        <f ca="1">IF(IFERROR(INDEX($BI$3:$BJ$220,MATCH(ROWS(BN$3:BN92),$BK$3:$BK$220,0),1),"")="PATRIMONIO NETTO","",IFERROR(INDEX($BI$3:$BJ$220,MATCH(ROWS(BN$3:BN92),$BK$3:$BK$220,0),1),""))</f>
        <v/>
      </c>
      <c r="BO92" s="259" t="str">
        <f ca="1">IFERROR(INDEX($BI$3:$BJ$220,MATCH(ROWS(BO$3:BO92),$BK$3:$BK$220,0),2),"")</f>
        <v/>
      </c>
      <c r="BP92" s="259">
        <f ca="1">IF(BN92&lt;&gt;"",MAX(BP$2:$BP91)+1,0)</f>
        <v>0</v>
      </c>
      <c r="BQ92" s="259" t="str">
        <f ca="1">IFERROR(INDEX($BN$3:$BO$200,MATCH(ROWS(BQ$3:BQ92),$BP$3:$BP$220,0),1),"")</f>
        <v/>
      </c>
      <c r="BR92" s="259" t="str">
        <f ca="1">IFERROR(INDEX($BN$3:$BO$220,MATCH(ROWS(BR$3:BR92),$BP$3:$BP$220,0),2),"")</f>
        <v/>
      </c>
      <c r="BS92" s="259" t="str">
        <f ca="1">IFERROR(IF(OR(INDEX($T$3:$U$220,MATCH(ROWS(BL$3:BL92),$V$3:$V$220,0),1)="PRELEVAMENTI EXTRAGESTIONE",INDEX($T$3:$U$220,MATCH(ROWS(BL$3:BL92),$V$3:$V$220,0),1)="TITOLARE C/RITENUTE SUBITE"),"",INDEX($T$3:$U$220,MATCH(ROWS(BL$3:BL92),$V$3:$V$220,0),1)),"")</f>
        <v/>
      </c>
      <c r="BT92" s="259">
        <f t="shared" ca="1" si="238"/>
        <v>0</v>
      </c>
      <c r="BU92" s="259">
        <f ca="1">IF(BS92&lt;&gt;"",MAX(BU$2:BU91)+1,0)</f>
        <v>0</v>
      </c>
      <c r="BV92" s="259" t="str">
        <f ca="1">IFERROR(INDEX($BS$3:$BT$223,MATCH(ROWS(BV$3:BV92),$BU$3:$BU$223,0),1),"")</f>
        <v/>
      </c>
      <c r="BW92" s="259">
        <f t="shared" ca="1" si="239"/>
        <v>0</v>
      </c>
      <c r="BX92" s="259" t="str">
        <f t="shared" ca="1" si="240"/>
        <v/>
      </c>
      <c r="BY92" s="259" t="str">
        <f t="shared" ca="1" si="241"/>
        <v/>
      </c>
      <c r="BZ92" s="259" t="str">
        <f ca="1">IFERROR(IF(OR($DS$231&lt;&gt;$DT$231,$DU$231&lt;&gt;$DV$231,$EO$25&lt;&gt;0,$EO$26&lt;&gt;0),INDEX($T$3:$V$220,MATCH(ROWS($BV$3:BV92),$V$3:$V$220,0),1),CONCATENATE(BV92,BY92)),"")</f>
        <v/>
      </c>
      <c r="CA92" s="259">
        <f t="shared" ca="1" si="242"/>
        <v>0</v>
      </c>
      <c r="CB92" s="259" t="str">
        <f ca="1">IFERROR(IF(OR($BB$1&lt;&gt;$BD$1,$BC$1&lt;&gt;$BE$1,$DS$231&lt;&gt;$DT$231,$DU$231&lt;&gt;$DV$231,$EO$25&lt;&gt;0,$EO$26&lt;&gt;0),INDEX($BI$3:$BK$220,MATCH(ROWS($CB$3:CB92),$BK$3:$BK$220,0),1),CONCATENATE(BQ92,BX92)),"")</f>
        <v/>
      </c>
      <c r="CC92" s="259" t="str">
        <f t="shared" ca="1" si="243"/>
        <v/>
      </c>
      <c r="CD92" s="259" t="str">
        <f t="shared" ca="1" si="187"/>
        <v/>
      </c>
      <c r="CE92" s="259">
        <f ca="1">IF(IFERROR(MATCH(CD92,DENOMINAZIONE_GIORNALE,0),0)&gt;0,MAX(CE$2:CE91)+1,0)</f>
        <v>0</v>
      </c>
      <c r="CF92" s="259" t="str">
        <f ca="1">IFERROR(INDEX($CD$3:$CE$220,MATCH(ROWS($CF$3:CF92),$CE$3:$CE$220,0),1),"")</f>
        <v/>
      </c>
      <c r="CG92" s="259">
        <f t="shared" ca="1" si="188"/>
        <v>0</v>
      </c>
      <c r="CH92" s="259" t="str">
        <f ca="1">IF(IF(CG92&lt;&gt;0,MAX($CH$2:CH91)+1,0)=0,"",IF(CG92&lt;&gt;"",MAX($CH$2:CH91)+1,0))</f>
        <v/>
      </c>
      <c r="CI92" s="259" t="str">
        <f ca="1">IFERROR(INDEX($CF$3:$CG$220,MATCH(ROWS($CI$3:CI92),$CH$3:$CH$220,0),1),"")</f>
        <v/>
      </c>
      <c r="CJ92" s="259" t="str">
        <f t="shared" ca="1" si="244"/>
        <v/>
      </c>
      <c r="CK92" s="259" t="str">
        <f t="shared" ca="1" si="189"/>
        <v/>
      </c>
      <c r="CL92" s="259">
        <f ca="1">IF(IFERROR(MATCH(CK92,DENOMINAZIONE_GIORNALE,0),0)&gt;0,MAX(CL$2:CL91)+1,0)</f>
        <v>0</v>
      </c>
      <c r="CM92" s="259" t="str">
        <f ca="1">IFERROR(INDEX($CK$3:$CL$220,MATCH(ROWS($CM$3:CM92),$CL$3:$CL$220,0),1),"")</f>
        <v/>
      </c>
      <c r="CN92" s="259" t="str">
        <f t="shared" ca="1" si="190"/>
        <v/>
      </c>
      <c r="CO92" s="259">
        <f ca="1">IF(IF(CN92&lt;&gt;0,MAX($CO$2:CO91)+1,0)=0,"",IF(CN92&lt;&gt;"",MAX($CO$2:CO91)+1,0))</f>
        <v>0</v>
      </c>
      <c r="CP92" s="259" t="str">
        <f ca="1">IFERROR(INDEX($CM$3:$CN$220,MATCH(ROWS(CP$3:CP92),$CO$3:$CO$220,0),1),"")</f>
        <v/>
      </c>
      <c r="CQ92" s="259" t="str">
        <f ca="1">IFERROR(INDEX($CM$3:$CN$220,MATCH(ROWS(CQ$3:CQ92),$CO$3:$CO$220,0),2),"")</f>
        <v/>
      </c>
      <c r="CR92" s="259" t="str">
        <f t="shared" ca="1" si="191"/>
        <v/>
      </c>
      <c r="CS92" s="259">
        <f t="shared" ca="1" si="192"/>
        <v>0</v>
      </c>
      <c r="CT92" s="259">
        <f t="shared" ca="1" si="193"/>
        <v>0</v>
      </c>
      <c r="CU92" s="259">
        <f ca="1">IF(OR(CS92&gt;0,CT92&gt;0),MAX($CU$2:CU91)+1,0)</f>
        <v>0</v>
      </c>
      <c r="CV92" s="259" t="str">
        <f ca="1">IFERROR(INDEX(PIANO_DEI_CONTI,MATCH(ROWS($CV$3:CV92),$CU$3:$CU$200,0),2),"")</f>
        <v/>
      </c>
      <c r="CW92" s="259">
        <f ca="1">IFERROR(IF(CV92&lt;&gt;"",MAX($CW$2:CW91)+1,0),0)</f>
        <v>0</v>
      </c>
      <c r="CX92" s="259" t="str">
        <f>IFERROR(IF(CX74+1=1,"",(CX74+1)),"")</f>
        <v/>
      </c>
      <c r="CY92" s="259" t="str">
        <f t="shared" ca="1" si="308"/>
        <v>MASTRO</v>
      </c>
      <c r="DB92" s="259" t="str">
        <f t="shared" ref="DB92" ca="1" si="325">CY92</f>
        <v>MASTRO</v>
      </c>
      <c r="DF92" s="259">
        <f ca="1">IF(AND(CX92=$DE$2,$DF$2&lt;&gt;0),0,IF(AND(DB92&lt;&gt;"",OR(DB91&lt;&gt;"",DB93&lt;&gt;"")),MAX($DF$2:DF91)+1,0))</f>
        <v>0</v>
      </c>
      <c r="DG92" s="259" t="str">
        <f>IF(OR(VALORI_INIZIALI!E97="",AND(VALORI_INIZIALI!E97&lt;&gt;"",VALORI_INIZIALI!H97=0,VALORI_INIZIALI!I97=0)),"",IFERROR(INDEX(PIANO_DEI_CONTI,MATCH(BB92,DENOMINAZIONE,0),1),0))</f>
        <v/>
      </c>
      <c r="DH92" s="259">
        <f ca="1">IFERROR(IF($J$1=1,IF(INDEX(PIANO_DEI_CONTI,MATCH($K92,DENOMINAZIONE,0),5)=$DF$1,MAX($DH$2:DH91)+1,0),IF($J$1=2,IF(INDEX(PIANO_DEI_CONTI,MATCH($K92,DENOMINAZIONE,0),7)=$DF$1,MAX($DH$2:DH91)+1,0))),0)</f>
        <v>0</v>
      </c>
      <c r="DI92" s="259">
        <f ca="1">IFERROR(INDEX($K$3:$K$220,MATCH(ROWS($DI$3:DI92),$DH$3:$DH$220,0),1),0)</f>
        <v>0</v>
      </c>
      <c r="DJ92" s="259">
        <f t="shared" ca="1" si="194"/>
        <v>0</v>
      </c>
      <c r="DK92" s="259">
        <f ca="1">IF(DJ92=0,0,MAX(DK$2:DK91)+1)</f>
        <v>0</v>
      </c>
      <c r="DL92" s="259">
        <f ca="1">IFERROR(INDEX(PIANO_DEI_CONTI,MATCH(ROWS(DL$3:DL92),$DK$3:DK319,0),2),0)</f>
        <v>0</v>
      </c>
      <c r="DM92" s="259">
        <f t="shared" ca="1" si="195"/>
        <v>0</v>
      </c>
      <c r="DN92" s="259">
        <f t="shared" ca="1" si="196"/>
        <v>0</v>
      </c>
      <c r="DO92" s="259">
        <f t="shared" ca="1" si="245"/>
        <v>0</v>
      </c>
      <c r="DP92" s="259">
        <f t="shared" ca="1" si="246"/>
        <v>0</v>
      </c>
      <c r="DQ92" s="259">
        <f ca="1">IF(OR($DQ$1="TOTALI",$DQ$1="TOTALI ED ECCEDENZE"),IF(OR(DM92&gt;0,DN92&gt;0),MAX(DQ$2:DQ91)+1,0),IF($DQ$1="ECCEDENZE",IF(OR(DO92&gt;0,DP92&gt;0),MAX(DQ$2:DQ91)+1,0),""))</f>
        <v>0</v>
      </c>
      <c r="DR92" s="259" t="str">
        <f ca="1">IFERROR(INDEX($DL$3:$DQ$230,MATCH(ROWS(DR$3:DR92),$DQ$3:$DQ$230,0),1),"")</f>
        <v/>
      </c>
      <c r="DS92" s="259" t="str">
        <f t="shared" ca="1" si="247"/>
        <v/>
      </c>
      <c r="DT92" s="259" t="str">
        <f t="shared" ca="1" si="248"/>
        <v/>
      </c>
      <c r="DU92" s="259" t="str">
        <f t="shared" ca="1" si="249"/>
        <v/>
      </c>
      <c r="DV92" s="259" t="str">
        <f t="shared" ca="1" si="250"/>
        <v/>
      </c>
      <c r="DW92" s="259">
        <f t="shared" ca="1" si="251"/>
        <v>0</v>
      </c>
      <c r="DX92" s="259" t="str">
        <f t="shared" ca="1" si="252"/>
        <v/>
      </c>
      <c r="DY92" s="259" t="str">
        <f t="shared" ca="1" si="253"/>
        <v/>
      </c>
      <c r="DZ92" s="259" t="str">
        <f t="shared" ca="1" si="254"/>
        <v/>
      </c>
      <c r="EA92" s="259">
        <f t="shared" ca="1" si="255"/>
        <v>90</v>
      </c>
      <c r="ED92" s="259">
        <f t="shared" ca="1" si="197"/>
        <v>0</v>
      </c>
      <c r="EE92" s="259" t="str">
        <f t="shared" ca="1" si="198"/>
        <v/>
      </c>
      <c r="EF92" s="259" t="str">
        <f t="shared" ca="1" si="199"/>
        <v/>
      </c>
      <c r="EG92" s="259" t="str">
        <f t="shared" ca="1" si="309"/>
        <v/>
      </c>
      <c r="EH92" s="259" t="str">
        <f t="shared" ca="1" si="256"/>
        <v/>
      </c>
      <c r="EI92" s="260" t="b">
        <f t="shared" ca="1" si="310"/>
        <v>0</v>
      </c>
      <c r="EJ92" s="260" t="b">
        <f t="shared" ca="1" si="311"/>
        <v>0</v>
      </c>
      <c r="EK92" s="260" t="b">
        <f t="shared" ca="1" si="312"/>
        <v>0</v>
      </c>
      <c r="EL92" s="259">
        <f t="shared" si="257"/>
        <v>90</v>
      </c>
      <c r="EM92" s="259">
        <f ca="1">IF(AND(BA92&gt;0,BA92&lt;=$EM$1),MAX($EM$2:EM91)+1,0)</f>
        <v>0</v>
      </c>
      <c r="EN92" s="259">
        <f t="shared" ca="1" si="258"/>
        <v>92</v>
      </c>
      <c r="EP92" s="259" t="str">
        <f t="shared" ca="1" si="200"/>
        <v/>
      </c>
      <c r="EQ92" s="259">
        <f t="shared" ca="1" si="201"/>
        <v>0</v>
      </c>
      <c r="ER92" s="259">
        <f ca="1">IF(ISNA(EQ92),MAX(ER$2:ER91)+1,0)</f>
        <v>0</v>
      </c>
      <c r="ES92" s="259" t="str">
        <f t="shared" ca="1" si="259"/>
        <v/>
      </c>
      <c r="ET92" s="259" t="str">
        <f ca="1">IFERROR(UPPER(INDEX($ER$3:$ES$500,MATCH(ROWS(ET$3:ET92),$ER$3:$ER$500,0),2)),"")</f>
        <v/>
      </c>
      <c r="EY92" s="259">
        <f t="shared" ca="1" si="260"/>
        <v>0</v>
      </c>
      <c r="EZ92" s="259">
        <f t="shared" ca="1" si="260"/>
        <v>0</v>
      </c>
      <c r="FA92" s="259" t="str">
        <f t="shared" ca="1" si="261"/>
        <v/>
      </c>
      <c r="FB92" s="259">
        <f t="shared" ca="1" si="262"/>
        <v>0</v>
      </c>
      <c r="FC92" s="259">
        <f t="shared" ca="1" si="263"/>
        <v>0</v>
      </c>
      <c r="FD92" s="259">
        <f t="shared" ca="1" si="202"/>
        <v>0</v>
      </c>
      <c r="FE92" s="259" t="str">
        <f t="shared" ca="1" si="203"/>
        <v/>
      </c>
      <c r="FF92" s="259" t="str">
        <f t="shared" ca="1" si="264"/>
        <v/>
      </c>
      <c r="FG92" s="259" t="str">
        <f t="shared" si="265"/>
        <v/>
      </c>
      <c r="FH92" s="259">
        <f t="shared" ca="1" si="156"/>
        <v>0</v>
      </c>
      <c r="FI92" s="259">
        <f t="shared" ca="1" si="204"/>
        <v>0</v>
      </c>
      <c r="FJ92" s="259">
        <f t="shared" ca="1" si="266"/>
        <v>0</v>
      </c>
      <c r="FK92" s="259">
        <f t="shared" ca="1" si="267"/>
        <v>0</v>
      </c>
      <c r="FL92" s="259">
        <f ca="1">IF(OR(FJ92&gt;0,FK92&gt;0),MAX($FL$2:FL91)+1,0)</f>
        <v>0</v>
      </c>
      <c r="FM92" s="259">
        <f t="shared" si="205"/>
        <v>0</v>
      </c>
      <c r="FN92" s="259">
        <f>IF(FM92&lt;0,MAX($FN$2:FN91)+1,0)</f>
        <v>0</v>
      </c>
      <c r="FO92" s="259" t="str">
        <f t="shared" si="268"/>
        <v/>
      </c>
      <c r="FP92" s="259" t="str">
        <f ca="1">IFERROR(INDEX($FN$3:$FO$400,MATCH(ROWS($FP$3:FP92),$FN$3:$FN$400,0),2),"")</f>
        <v/>
      </c>
      <c r="FQ92" s="259" t="str">
        <f>IF(AE92="SE AVERE",MAX($FQ$2:FQ91)+1,"")</f>
        <v/>
      </c>
      <c r="FR92" s="259" t="str">
        <f>IF(AE92="SE DARE",MAX($FR$2:FR91)+1,"")</f>
        <v/>
      </c>
      <c r="FS92" s="259" t="str">
        <f ca="1">IF(AND(AE92="SP DARE",AA92&lt;&gt;$FS$1,AA92&lt;&gt;$FT$1),MAX($FS$2:FS91)+1,IF(AND(GQ92="SP DARE",AA92&lt;&gt;$FS$1,AA92&lt;&gt;$FT$1),MAX($FS$2:FS91)+1,""))</f>
        <v/>
      </c>
      <c r="FT92" s="259" t="str">
        <f ca="1">IF(AND(AE92="SP AVERE",AA92&lt;&gt;$FU$1),MAX($FT$2:FT91)+1,IF(AND(GQ92="SP AVERE",AA92&lt;&gt;$FU$1),MAX($FT$2:FT91)+1,""))</f>
        <v/>
      </c>
      <c r="FU92" s="259">
        <f t="shared" ca="1" si="269"/>
        <v>0</v>
      </c>
      <c r="FV92" s="259" t="str">
        <f t="shared" si="270"/>
        <v>BILANCIO DI APERTURA</v>
      </c>
      <c r="FW92" s="259" t="str">
        <f ca="1">IFERROR(INDEX($FU$3:$FV$500,MATCH(ROWS($FW$3:FW92),$FU$3:$FU$500,0),2),0)</f>
        <v>COSTI DI IMPIANTO</v>
      </c>
      <c r="FX92" s="259">
        <f t="shared" ca="1" si="271"/>
        <v>90</v>
      </c>
      <c r="FY92" s="259">
        <f t="shared" ca="1" si="272"/>
        <v>0</v>
      </c>
      <c r="FZ92" s="259">
        <f ca="1">IF(FY92&gt;0,MAX($FZ$2:FZ91)+1,0)</f>
        <v>0</v>
      </c>
      <c r="GA92" s="259">
        <f ca="1">IFERROR(INDEX($FY$3:$FZ$500,MATCH(ROWS($GA$3:GA92),$FZ$3:$FZ$500,0),1),0)</f>
        <v>0</v>
      </c>
      <c r="GC92" s="259">
        <f t="shared" ca="1" si="273"/>
        <v>90</v>
      </c>
      <c r="GD92" s="259" t="str">
        <f t="shared" ca="1" si="274"/>
        <v>COSTI DI IMPIANTO</v>
      </c>
      <c r="GG92" s="259">
        <f t="shared" ca="1" si="275"/>
        <v>0</v>
      </c>
      <c r="GH92" s="259">
        <f t="shared" ca="1" si="276"/>
        <v>0</v>
      </c>
      <c r="GI92" s="259">
        <f t="shared" ca="1" si="277"/>
        <v>0</v>
      </c>
      <c r="GJ92" s="259">
        <f t="shared" ca="1" si="278"/>
        <v>0</v>
      </c>
      <c r="GK92" s="259">
        <f t="shared" ca="1" si="279"/>
        <v>0</v>
      </c>
      <c r="GL92" s="259">
        <f t="shared" ca="1" si="280"/>
        <v>0</v>
      </c>
      <c r="GM92" s="259">
        <f ca="1">IF(OR(GK92&gt;0,GL92&gt;0),MAX($GM$2:GM91)+1,0)</f>
        <v>0</v>
      </c>
      <c r="GN92" s="259" t="str">
        <f ca="1">IFERROR(INDEX($GD$3:$GM$400,MATCH(ROWS($GN$3:GN92),$GM$3:$GM$400,0),1),"")</f>
        <v/>
      </c>
      <c r="GO92" s="259" t="str">
        <f ca="1">IFERROR(INDEX($GD$3:$GM$400,MATCH(ROWS($GO$3:GO92),$GM$3:$GM$400,0),8),"")</f>
        <v/>
      </c>
      <c r="GP92" s="259" t="str">
        <f ca="1">IFERROR(INDEX($GD$3:$GM$400,MATCH(ROWS($GP$3:GP92),$GM$3:$GM$400,0),9),"")</f>
        <v/>
      </c>
      <c r="GQ92" s="259">
        <f t="shared" ca="1" si="206"/>
        <v>0</v>
      </c>
      <c r="GR92" s="259">
        <f t="shared" ca="1" si="281"/>
        <v>0</v>
      </c>
      <c r="GS92" s="259" t="str">
        <f t="shared" ca="1" si="282"/>
        <v>chiusura del conto</v>
      </c>
      <c r="GT92" s="259" t="str">
        <f ca="1">IFERROR(INDEX($GD$3:$GS$400,MATCH(ROWS($GT$3:GT92),$GM$3:$GM$400,0),16),"")</f>
        <v/>
      </c>
      <c r="GU92" s="259">
        <f ca="1">IF(GQ92&lt;&gt;0,MAX($GU$2:$GU91)+1,0)</f>
        <v>0</v>
      </c>
      <c r="GV92" s="259">
        <f t="shared" ca="1" si="283"/>
        <v>0</v>
      </c>
      <c r="GW92" s="259" t="str">
        <f ca="1">IF(AND(IFERROR(INDEX($GU$3:$GV$400,MATCH(ROWS($GW$3:GW92),$GU$3:$GU$400,0),2),"")&lt;&gt;"",GW93&lt;&gt;""),CONCATENATE(IFERROR(INDEX($GU$3:$GV$400,MATCH(ROWS($GW$3:GW92),$GU$3:$GU$400,0),2),"")," - "),IFERROR(INDEX($GU$3:$GV$400,MATCH(ROWS($GW$3:GW92),$GU$3:$GU$400,0),2),""))</f>
        <v/>
      </c>
      <c r="GX92" s="259">
        <f ca="1">IF(OR(GN92="IVA NS/CREDITO",GN92="IVA NS/DEBITO",GN92="IVA C/ACCONTO",GN92="IMPOSTE C/ACCONTO"),MAX($GX$2:GX91)+1,0)</f>
        <v>0</v>
      </c>
      <c r="GY92" s="259" t="str">
        <f ca="1">IF(AND(IFERROR(INDEX($GN$3:$GX$200,MATCH(ROWS($GY$3:GY92),$GX$3:$GX$200,0),1),"")&lt;&gt;"",GY93&lt;&gt;""),CONCATENATE(IFERROR(INDEX($GN$3:$GX$200,MATCH(ROWS($GY$3:GY92),$GX$3:$GX$200,0),1),"")," - "),IFERROR(INDEX($GN$3:$GX$200,MATCH(ROWS($GY$3:GY92),$GX$3:$GX$200,0),1),""))</f>
        <v/>
      </c>
      <c r="GZ92" s="259" t="s">
        <v>114</v>
      </c>
      <c r="HA92" s="270" t="s">
        <v>115</v>
      </c>
      <c r="HL92" s="259" t="str">
        <f t="shared" ca="1" si="207"/>
        <v/>
      </c>
      <c r="HM92" s="259" t="str">
        <f t="shared" ca="1" si="208"/>
        <v/>
      </c>
      <c r="HN92" s="259" t="str">
        <f t="shared" ca="1" si="209"/>
        <v/>
      </c>
      <c r="HO92" s="259">
        <f ca="1">IF(HL92&lt;&gt;"",MAX($HO$2:HO91)+1,0)</f>
        <v>0</v>
      </c>
      <c r="HP92" s="259">
        <f ca="1">IF(HM92&lt;&gt;"",MAX($HP$2:HP91)+1,0)</f>
        <v>0</v>
      </c>
      <c r="HQ92" s="259">
        <f ca="1">IF(HN92&lt;&gt;"",MAX($HQ$2:HQ91)+1,0)</f>
        <v>0</v>
      </c>
      <c r="HR92" s="259" t="str">
        <f t="shared" ca="1" si="284"/>
        <v/>
      </c>
      <c r="HS92" s="259" t="str">
        <f t="shared" ca="1" si="285"/>
        <v/>
      </c>
      <c r="HT92" s="259">
        <f t="shared" ca="1" si="286"/>
        <v>0</v>
      </c>
      <c r="HU92" s="259">
        <f t="shared" ca="1" si="287"/>
        <v>0</v>
      </c>
      <c r="HV92" s="259" t="str">
        <f ca="1">CONCATENATE(IFERROR(INDEX($HS$3:$HT$102,MATCH(ROWS($HV$3:HV92),$HT$3:$HT$102,0),1),""),HR92)</f>
        <v/>
      </c>
      <c r="IA92" s="259" t="s">
        <v>401</v>
      </c>
      <c r="IB92" s="259" t="s">
        <v>346</v>
      </c>
      <c r="IC92" s="259">
        <f ca="1">IFERROR(INDEX(PIANO_DEI_CONTI,MATCH(ROWS(DL$3:DL92),$DK$3:DK319,0),2),0)</f>
        <v>0</v>
      </c>
      <c r="ID92" s="259">
        <f t="shared" ca="1" si="288"/>
        <v>0</v>
      </c>
      <c r="IE92" s="259">
        <f t="shared" ca="1" si="289"/>
        <v>0</v>
      </c>
      <c r="IF92" s="259">
        <f t="shared" ca="1" si="290"/>
        <v>0</v>
      </c>
      <c r="IG92" s="259">
        <f ca="1">ROUND(-SUMIFS($ID$3:$ID$200,$IF$3:$IF$200,IA92),0)</f>
        <v>0</v>
      </c>
      <c r="IH92" s="259">
        <f ca="1">IF(OR(IG91&lt;&gt;0,IG92&lt;&gt;0),MAX($IH$35:IH91)+1,0)</f>
        <v>0</v>
      </c>
      <c r="II92" s="259">
        <f>IF(AD92="costi pluriennali",MAX($II$2:II91)+1,0)</f>
        <v>0</v>
      </c>
      <c r="IJ92" s="259">
        <f>IF($AD92="rettifiche costi pluriennali",MAX($IJ$2:IJ91)+1,0)</f>
        <v>0</v>
      </c>
      <c r="IK92" s="259">
        <f t="shared" si="291"/>
        <v>0</v>
      </c>
      <c r="IL92" s="259" t="str">
        <f t="shared" si="292"/>
        <v/>
      </c>
      <c r="IM92" s="259">
        <f t="shared" ca="1" si="293"/>
        <v>0</v>
      </c>
      <c r="IN92" s="259">
        <f t="shared" ca="1" si="313"/>
        <v>0</v>
      </c>
      <c r="IO92" s="259">
        <f>SUMIFS($IM$3:$IM$200,$IK$3:$IK$200,ROWS($IO$3:IO92))-SUMIFS($IN$3:$IN$200,$IK$3:$IK$200,ROWS($IO$3:IO92))</f>
        <v>0</v>
      </c>
      <c r="IP92" s="259" t="str">
        <f>IF(IO92&lt;0,INDEX($IJ$3:$IL$200,MATCH(ROWS($IP$3:IP92),$IJ$3:$IJ$200,0),3),"")</f>
        <v/>
      </c>
      <c r="IQ92" s="259">
        <f>IF(IP92&lt;&gt;"",MAX($IQ$2:IQ91)+1,0)</f>
        <v>0</v>
      </c>
      <c r="IR92" s="259" t="str">
        <f ca="1">IFERROR(INDEX($IP$3:$IQ$200,MATCH(ROWS($IR$3:IR92),$IQ$3:$IQ$200,0),1),"")</f>
        <v/>
      </c>
      <c r="IS92" s="259" t="str">
        <f t="shared" ca="1" si="294"/>
        <v/>
      </c>
      <c r="IT92" s="259" t="str">
        <f t="shared" ca="1" si="295"/>
        <v/>
      </c>
      <c r="IU92" s="259" t="str">
        <f t="shared" ca="1" si="296"/>
        <v/>
      </c>
      <c r="IV92" s="259" t="str">
        <f t="shared" ca="1" si="297"/>
        <v/>
      </c>
      <c r="IW92" s="259" t="str">
        <f t="shared" ca="1" si="298"/>
        <v/>
      </c>
      <c r="IX92" s="259" t="str">
        <f t="shared" ca="1" si="299"/>
        <v/>
      </c>
      <c r="IY92" s="259" t="str">
        <f t="shared" ca="1" si="300"/>
        <v/>
      </c>
      <c r="IZ92" s="259" t="str">
        <f t="shared" ca="1" si="301"/>
        <v/>
      </c>
      <c r="JA92" s="259" t="str">
        <f t="shared" ca="1" si="302"/>
        <v/>
      </c>
      <c r="JB92" s="259">
        <f t="shared" ca="1" si="210"/>
        <v>0</v>
      </c>
      <c r="JC92" s="259">
        <f t="shared" ca="1" si="303"/>
        <v>0</v>
      </c>
      <c r="JE92" s="259">
        <f ca="1">IFERROR(INDEX(LIBRO_GIORNALE!$N$11:$O$408,MATCH(ROWS($JE$2:JE91),LIBRO_GIORNALE!$O$11:$O$408,0),1),0)</f>
        <v>0</v>
      </c>
      <c r="JF92" s="259" t="str">
        <f t="shared" ca="1" si="304"/>
        <v>0</v>
      </c>
      <c r="JG92" s="259">
        <f t="shared" ca="1" si="305"/>
        <v>0</v>
      </c>
      <c r="JH92" s="259">
        <f ca="1">IF(JJ92&gt;0,0,MAX($JH$2:JH91)+1)</f>
        <v>90</v>
      </c>
      <c r="JI92" s="259">
        <f ca="1">IF(JG92&gt;0,MAX($JI$2:JI91)+1,0)</f>
        <v>0</v>
      </c>
      <c r="JJ92" s="259">
        <f ca="1">IFERROR(INDEX($JG$3:$JI$124,MATCH(ROWS($JJ$3:JJ92),$JI$3:$JI$124,0),1),0)</f>
        <v>0</v>
      </c>
      <c r="JK92" s="259">
        <f t="shared" ca="1" si="306"/>
        <v>0</v>
      </c>
      <c r="JL92" s="259">
        <f t="shared" ca="1" si="307"/>
        <v>90</v>
      </c>
    </row>
    <row r="93" spans="1:272">
      <c r="A93" s="259" t="str">
        <f t="shared" si="211"/>
        <v>15.01</v>
      </c>
      <c r="B93" s="259" t="str">
        <f t="shared" si="212"/>
        <v>IVA NS/DEBITO</v>
      </c>
      <c r="C93" s="259" t="str">
        <f t="shared" si="213"/>
        <v>F</v>
      </c>
      <c r="D93" s="259" t="str">
        <f t="shared" si="214"/>
        <v>A</v>
      </c>
      <c r="E93" s="259" t="str">
        <f t="shared" si="215"/>
        <v>DEBITI</v>
      </c>
      <c r="F93" s="259" t="str">
        <f t="shared" si="216"/>
        <v>SP AVERE</v>
      </c>
      <c r="G93" s="259">
        <f t="shared" ca="1" si="217"/>
        <v>1</v>
      </c>
      <c r="H93" s="259">
        <f t="shared" ca="1" si="218"/>
        <v>1</v>
      </c>
      <c r="I93" s="259">
        <f t="shared" ca="1" si="219"/>
        <v>1</v>
      </c>
      <c r="K93" s="259" t="str">
        <f ca="1">IFERROR(IF($I$1=1,INDEX($AA$3:$AS$220,MATCH(ROWS($K$3:K93),$AQ$3:$AQ$220,0),1),IF($I$1=2,INDEX($AA$3:$AS$220,MATCH(ROWS($K$3:K93),$AR$3:$AR$220,0),1),IF($I$1=3,INDEX($AA$3:$AS$220,MATCH(ROWS($K$3:K93),$AS$3:$AS$220,0),1),""))),"")</f>
        <v>BANCA Y C/C</v>
      </c>
      <c r="L93" s="259">
        <f ca="1">IF(AND($L$1="VISUALIZZA TUTTI I CONTI",K93&lt;&gt;""),MAX(L92:L92)+1,IFERROR(IF($J$1=1,IF(INDEX(PIANO_DEI_CONTI,MATCH($K93,DENOMINAZIONE,0),5)=$L$1,MAX($L$2:L92)+1,0),IF($J$1=2,IF(INDEX(PIANO_DEI_CONTI,MATCH($K93,DENOMINAZIONE,0),7)=$L$1,MAX($L$2:L92)+1,0))),0))</f>
        <v>91</v>
      </c>
      <c r="M93" s="259" t="str">
        <f ca="1">IFERROR(INDEX($K$3:$K$220,MATCH(ROWS($M$3:M93),$L$3:$L$220,0),1),"")</f>
        <v>BANCA Y C/C</v>
      </c>
      <c r="Q93" s="259" t="str">
        <f ca="1">IF(IFERROR(INDEX($O$3:$P$220,MATCH(ROWS(Q$3:Q93),$P$3:$P$220,0),1),"")=0,"",IFERROR(INDEX($O$3:$P$220,MATCH(ROWS(Q$3:Q93),$P$3:$P$220,0),1),""))</f>
        <v/>
      </c>
      <c r="R93" s="259" t="str">
        <f t="shared" ca="1" si="182"/>
        <v/>
      </c>
      <c r="S93" s="259">
        <f ca="1">IF(IFERROR(MATCH(R93,DENOMINAZIONE_GIORNALE,0),0)&gt;0,MAX(S$2:S92)+1,0)</f>
        <v>0</v>
      </c>
      <c r="T93" s="259" t="str">
        <f ca="1">IFERROR(INDEX($R$3:$S$220,MATCH(ROWS($T$3:T93),$S$3:$S$220,0),1),"")</f>
        <v/>
      </c>
      <c r="U93" s="259">
        <f t="shared" ca="1" si="183"/>
        <v>0</v>
      </c>
      <c r="V93" s="259">
        <f ca="1">IF(IF(U93&lt;&gt;0,MAX($V$2:V92)+1,0)=0,0,IF(U93&lt;&gt;0,MAX($V$2:V92)+1,0))</f>
        <v>0</v>
      </c>
      <c r="W93" s="259" t="str">
        <f t="shared" si="220"/>
        <v>15.01</v>
      </c>
      <c r="X93" s="259" t="str">
        <f t="shared" si="221"/>
        <v>IVA NS/DEBITO</v>
      </c>
      <c r="Y93" s="259">
        <f>IF(W93="",0,MAX($Y$2:Y92)+1)</f>
        <v>77</v>
      </c>
      <c r="Z93" s="259" t="str">
        <f>IFERROR(INDEX($W$3:$Y$220,MATCH(ROWS($Z$2:Z92),$Y$3:$Y$220,0),1),"")</f>
        <v>18.02</v>
      </c>
      <c r="AA93" s="259" t="str">
        <f t="shared" si="222"/>
        <v>BILANCIO DI CHIUSURA</v>
      </c>
      <c r="AB93" s="259">
        <f t="shared" si="223"/>
        <v>0</v>
      </c>
      <c r="AC93" s="259" t="str">
        <f t="shared" si="224"/>
        <v>D/A</v>
      </c>
      <c r="AD93" s="259" t="str">
        <f t="shared" si="225"/>
        <v>TRANSITORIO DI CONTROPARTITA</v>
      </c>
      <c r="AE93" s="259">
        <f t="shared" si="226"/>
        <v>0</v>
      </c>
      <c r="AF93" s="259" t="str">
        <f t="shared" si="227"/>
        <v>CONTI TRANSITORI E DIVERSI</v>
      </c>
      <c r="AG93" s="259">
        <f t="shared" ca="1" si="228"/>
        <v>0</v>
      </c>
      <c r="AH93" s="259">
        <f t="shared" ca="1" si="229"/>
        <v>0</v>
      </c>
      <c r="AI93" s="259">
        <f t="shared" ca="1" si="230"/>
        <v>0</v>
      </c>
      <c r="AJ93" s="259" t="str">
        <f t="shared" si="231"/>
        <v>18</v>
      </c>
      <c r="AK93" s="259" t="str">
        <f t="shared" si="232"/>
        <v/>
      </c>
      <c r="AL93" s="259">
        <f>IF(AK93&lt;&gt;"",MAX($AL$2:AL92)+1,0)</f>
        <v>0</v>
      </c>
      <c r="AM93" s="259" t="str">
        <f>IFERROR(INDEX($AK$3:$AL$220,MATCH(ROWS($AM$3:AM93),$AL$3:$AL$220,0),1),"")</f>
        <v/>
      </c>
      <c r="AN93" s="259" t="str">
        <f t="shared" si="233"/>
        <v/>
      </c>
      <c r="AO93" s="259" t="str">
        <f t="shared" si="234"/>
        <v/>
      </c>
      <c r="AP93" s="259" t="str">
        <f t="shared" si="235"/>
        <v>CONTI TRANSITORI E DIVERSI</v>
      </c>
      <c r="AQ93" s="259">
        <f ca="1">IF(OR(AG93=0,AG93=""),0,MAX(AQ$2:AQ92)+1)</f>
        <v>0</v>
      </c>
      <c r="AR93" s="259">
        <f ca="1">IF(OR(AH93=0,AH93=""),0,MAX(AR$2:AR92)+1)</f>
        <v>0</v>
      </c>
      <c r="AS93" s="259">
        <f ca="1">IF(OR(AI93=0,AI93=""),0,MAX(AS$2:AS92)+1)</f>
        <v>0</v>
      </c>
      <c r="AT93" s="259" t="str">
        <f ca="1">IFERROR(INDEX($AD$3:$AS$220,MATCH(ROWS(AT$3:AT93),AQ$3:AQ$220,0),1),"")</f>
        <v/>
      </c>
      <c r="AU93" s="259" t="str">
        <f ca="1">IFERROR(INDEX($AD$3:$AS$220,MATCH(ROWS(AU$3:AU93),AR$3:AR$220,0),1),"")</f>
        <v>COSTI D'ESERCIZIO</v>
      </c>
      <c r="AV93" s="259" t="str">
        <f ca="1">IFERROR(INDEX($AD$3:$AS$220,MATCH(ROWS(AV$3:AV93),AS$3:AS$220,0),1),"")</f>
        <v>CONTI CON ALTERNANZA DI SALDI</v>
      </c>
      <c r="AW93" s="259" t="str">
        <f ca="1">IFERROR(INDEX($AP$3:$AS$220,MATCH(ROWS(AW$3:AW93),AQ$3:AQ$220,0),1),"")</f>
        <v/>
      </c>
      <c r="AX93" s="259" t="str">
        <f ca="1">IFERROR(INDEX($AP$3:$AS$220,MATCH(ROWS(AX$3:AX93),AR$3:AR$220,0),1),"")</f>
        <v>COSTI PER SERVIZI</v>
      </c>
      <c r="AY93" s="259" t="str">
        <f ca="1">IFERROR(INDEX($AP$3:$AS$220,MATCH(ROWS(AY$3:AY93),AS$3:AS$220,0),1),"")</f>
        <v>CONTI TRANSITORI E DIVERSI</v>
      </c>
      <c r="AZ93" s="276" t="str">
        <f t="shared" ca="1" si="236"/>
        <v/>
      </c>
      <c r="BA93" s="259">
        <f t="shared" ca="1" si="184"/>
        <v>0</v>
      </c>
      <c r="BB93" s="259">
        <f ca="1">IFERROR(INDEX($FG$3:$FL$400,MATCH(ROWS($BB$3:BB93),$FL$3:$FL$400,0),1),0)</f>
        <v>0</v>
      </c>
      <c r="BC93" s="259" t="str">
        <f t="shared" ca="1" si="237"/>
        <v/>
      </c>
      <c r="BD93" s="259">
        <f ca="1">IFERROR(INDEX($FG$3:$FL$400,MATCH(ROWS($BD$3:BD93),$FL$3:$FL$400,0),4),0)</f>
        <v>0</v>
      </c>
      <c r="BE93" s="259">
        <f ca="1">IFERROR(INDEX($FG$3:$FL$400,MATCH(ROWS($BE$3:BE93),$FL$3:$FL$400,0),5),0)</f>
        <v>0</v>
      </c>
      <c r="BG93" s="259" t="str">
        <f t="shared" ca="1" si="185"/>
        <v/>
      </c>
      <c r="BH93" s="259">
        <f ca="1">IF(IFERROR(MATCH(BG93,DENOMINAZIONE_GIORNALE,0),0)&gt;0,MAX(BH$2:BH92)+1,0)</f>
        <v>0</v>
      </c>
      <c r="BI93" s="259" t="str">
        <f ca="1">IFERROR(INDEX($BG$3:$BH$220,MATCH(ROWS($BI$3:BI93),$BH$3:$BH$220,0),1),"")</f>
        <v/>
      </c>
      <c r="BJ93" s="259" t="str">
        <f t="shared" ca="1" si="186"/>
        <v/>
      </c>
      <c r="BK93" s="259" t="str">
        <f ca="1">IF(IF(BJ93&lt;&gt;"",MAX($BK$2:BK92)+1,0)=0,"",IF(BJ93&lt;&gt;"",MAX($BK$2:BK92)+1,0))</f>
        <v/>
      </c>
      <c r="BL93" s="259" t="str">
        <f ca="1">IFERROR(INDEX($T$3:$U$220, MATCH(ROWS(BL$3:BL93),$V$3:$V$220,0),1),"")</f>
        <v/>
      </c>
      <c r="BM93" s="259" t="str">
        <f ca="1">IFERROR(INDEX($T$3:$U$220, MATCH(ROWS(BM$3:BM93),$V$3:$V$220,0),2),"")</f>
        <v/>
      </c>
      <c r="BN93" s="259" t="str">
        <f ca="1">IF(IFERROR(INDEX($BI$3:$BJ$220,MATCH(ROWS(BN$3:BN93),$BK$3:$BK$220,0),1),"")="PATRIMONIO NETTO","",IFERROR(INDEX($BI$3:$BJ$220,MATCH(ROWS(BN$3:BN93),$BK$3:$BK$220,0),1),""))</f>
        <v/>
      </c>
      <c r="BO93" s="259" t="str">
        <f ca="1">IFERROR(INDEX($BI$3:$BJ$220,MATCH(ROWS(BO$3:BO93),$BK$3:$BK$220,0),2),"")</f>
        <v/>
      </c>
      <c r="BP93" s="259">
        <f ca="1">IF(BN93&lt;&gt;"",MAX(BP$2:$BP92)+1,0)</f>
        <v>0</v>
      </c>
      <c r="BQ93" s="259" t="str">
        <f ca="1">IFERROR(INDEX($BN$3:$BO$200,MATCH(ROWS(BQ$3:BQ93),$BP$3:$BP$220,0),1),"")</f>
        <v/>
      </c>
      <c r="BR93" s="259" t="str">
        <f ca="1">IFERROR(INDEX($BN$3:$BO$220,MATCH(ROWS(BR$3:BR93),$BP$3:$BP$220,0),2),"")</f>
        <v/>
      </c>
      <c r="BS93" s="259" t="str">
        <f ca="1">IFERROR(IF(OR(INDEX($T$3:$U$220,MATCH(ROWS(BL$3:BL93),$V$3:$V$220,0),1)="PRELEVAMENTI EXTRAGESTIONE",INDEX($T$3:$U$220,MATCH(ROWS(BL$3:BL93),$V$3:$V$220,0),1)="TITOLARE C/RITENUTE SUBITE"),"",INDEX($T$3:$U$220,MATCH(ROWS(BL$3:BL93),$V$3:$V$220,0),1)),"")</f>
        <v/>
      </c>
      <c r="BT93" s="259">
        <f t="shared" ca="1" si="238"/>
        <v>0</v>
      </c>
      <c r="BU93" s="259">
        <f ca="1">IF(BS93&lt;&gt;"",MAX(BU$2:BU92)+1,0)</f>
        <v>0</v>
      </c>
      <c r="BV93" s="259" t="str">
        <f ca="1">IFERROR(INDEX($BS$3:$BT$223,MATCH(ROWS(BV$3:BV93),$BU$3:$BU$223,0),1),"")</f>
        <v/>
      </c>
      <c r="BW93" s="259">
        <f t="shared" ca="1" si="239"/>
        <v>0</v>
      </c>
      <c r="BX93" s="259" t="str">
        <f t="shared" ca="1" si="240"/>
        <v/>
      </c>
      <c r="BY93" s="259" t="str">
        <f t="shared" ca="1" si="241"/>
        <v/>
      </c>
      <c r="BZ93" s="259" t="str">
        <f ca="1">IFERROR(IF(OR($DS$231&lt;&gt;$DT$231,$DU$231&lt;&gt;$DV$231,$EO$25&lt;&gt;0,$EO$26&lt;&gt;0),INDEX($T$3:$V$220,MATCH(ROWS($BV$3:BV93),$V$3:$V$220,0),1),CONCATENATE(BV93,BY93)),"")</f>
        <v/>
      </c>
      <c r="CA93" s="259">
        <f t="shared" ca="1" si="242"/>
        <v>0</v>
      </c>
      <c r="CB93" s="259" t="str">
        <f ca="1">IFERROR(IF(OR($BB$1&lt;&gt;$BD$1,$BC$1&lt;&gt;$BE$1,$DS$231&lt;&gt;$DT$231,$DU$231&lt;&gt;$DV$231,$EO$25&lt;&gt;0,$EO$26&lt;&gt;0),INDEX($BI$3:$BK$220,MATCH(ROWS($CB$3:CB93),$BK$3:$BK$220,0),1),CONCATENATE(BQ93,BX93)),"")</f>
        <v/>
      </c>
      <c r="CC93" s="259" t="str">
        <f t="shared" ca="1" si="243"/>
        <v/>
      </c>
      <c r="CD93" s="259" t="str">
        <f t="shared" ca="1" si="187"/>
        <v/>
      </c>
      <c r="CE93" s="259">
        <f ca="1">IF(IFERROR(MATCH(CD93,DENOMINAZIONE_GIORNALE,0),0)&gt;0,MAX(CE$2:CE92)+1,0)</f>
        <v>0</v>
      </c>
      <c r="CF93" s="259" t="str">
        <f ca="1">IFERROR(INDEX($CD$3:$CE$220,MATCH(ROWS($CF$3:CF93),$CE$3:$CE$220,0),1),"")</f>
        <v/>
      </c>
      <c r="CG93" s="259">
        <f t="shared" ca="1" si="188"/>
        <v>0</v>
      </c>
      <c r="CH93" s="259" t="str">
        <f ca="1">IF(IF(CG93&lt;&gt;0,MAX($CH$2:CH92)+1,0)=0,"",IF(CG93&lt;&gt;"",MAX($CH$2:CH92)+1,0))</f>
        <v/>
      </c>
      <c r="CI93" s="259" t="str">
        <f ca="1">IFERROR(INDEX($CF$3:$CG$220,MATCH(ROWS($CI$3:CI93),$CH$3:$CH$220,0),1),"")</f>
        <v/>
      </c>
      <c r="CJ93" s="259" t="str">
        <f t="shared" ca="1" si="244"/>
        <v/>
      </c>
      <c r="CK93" s="259" t="str">
        <f t="shared" ca="1" si="189"/>
        <v/>
      </c>
      <c r="CL93" s="259">
        <f ca="1">IF(IFERROR(MATCH(CK93,DENOMINAZIONE_GIORNALE,0),0)&gt;0,MAX(CL$2:CL92)+1,0)</f>
        <v>0</v>
      </c>
      <c r="CM93" s="259" t="str">
        <f ca="1">IFERROR(INDEX($CK$3:$CL$220,MATCH(ROWS($CM$3:CM93),$CL$3:$CL$220,0),1),"")</f>
        <v/>
      </c>
      <c r="CN93" s="259" t="str">
        <f t="shared" ca="1" si="190"/>
        <v/>
      </c>
      <c r="CO93" s="259">
        <f ca="1">IF(IF(CN93&lt;&gt;0,MAX($CO$2:CO92)+1,0)=0,"",IF(CN93&lt;&gt;"",MAX($CO$2:CO92)+1,0))</f>
        <v>0</v>
      </c>
      <c r="CP93" s="259" t="str">
        <f ca="1">IFERROR(INDEX($CM$3:$CN$220,MATCH(ROWS(CP$3:CP93),$CO$3:$CO$220,0),1),"")</f>
        <v/>
      </c>
      <c r="CQ93" s="259" t="str">
        <f ca="1">IFERROR(INDEX($CM$3:$CN$220,MATCH(ROWS(CQ$3:CQ93),$CO$3:$CO$220,0),2),"")</f>
        <v/>
      </c>
      <c r="CR93" s="259" t="str">
        <f t="shared" ca="1" si="191"/>
        <v/>
      </c>
      <c r="CS93" s="259">
        <f t="shared" ca="1" si="192"/>
        <v>0</v>
      </c>
      <c r="CT93" s="259">
        <f t="shared" ca="1" si="193"/>
        <v>0</v>
      </c>
      <c r="CU93" s="259">
        <f ca="1">IF(OR(CS93&gt;0,CT93&gt;0),MAX($CU$2:CU92)+1,0)</f>
        <v>0</v>
      </c>
      <c r="CV93" s="259" t="str">
        <f ca="1">IFERROR(INDEX(PIANO_DEI_CONTI,MATCH(ROWS($CV$3:CV93),$CU$3:$CU$200,0),2),"")</f>
        <v/>
      </c>
      <c r="CW93" s="259">
        <f ca="1">IFERROR(IF(CV93&lt;&gt;"",MAX($CW$2:CW92)+1,0),0)</f>
        <v>0</v>
      </c>
      <c r="CX93" s="259">
        <f ca="1">$EA$8</f>
        <v>6</v>
      </c>
      <c r="CY93" s="259" t="str">
        <f t="shared" ca="1" si="308"/>
        <v>MASTRO</v>
      </c>
      <c r="DA93" s="259" t="str">
        <f ca="1">IF(CY92="MASTRO","Conto n.","")</f>
        <v>Conto n.</v>
      </c>
      <c r="DB93" s="259" t="str">
        <f ca="1">IF(CY93=0,"",INDEX(PIANO_DEI_CONTI,MATCH(DC93,DENOMINAZIONE,0),1))</f>
        <v/>
      </c>
      <c r="DC93" s="259" t="str">
        <f ca="1">IF(OR(CY93=0,CY93="mastro"),"",CY93)</f>
        <v/>
      </c>
      <c r="DD93" s="259" t="str">
        <f ca="1">IF(AND($DA$2=TRUE,OR(INDEX(PIANO_DEI_CONTI,MATCH($DC93,DENOMINAZIONE,0),4)="A",INDEX(PIANO_DEI_CONTI,MATCH($DC93,DENOMINAZIONE,0),4)="D/A"),SUMIFS(AVERE,DENOMINAZIONE_GIORNALE,"="&amp;$DC93)&gt;SUMIFS(DARE,DENOMINAZIONE_GIORNALE,"="&amp;$DC93)),CONCATENATE("s ",FIXED(ABS(SUMIFS(AVERE,DENOMINAZIONE_GIORNALE,"="&amp;$DC93)-SUMIFS(DARE,DENOMINAZIONE_GIORNALE,"="&amp;$DC93)),2)),"")</f>
        <v/>
      </c>
      <c r="DE93" s="259" t="str">
        <f ca="1">IF(AND($DA$2=TRUE,OR(INDEX(PIANO_DEI_CONTI,MATCH($DC93,DENOMINAZIONE,0),4)="D",INDEX(PIANO_DEI_CONTI,MATCH($DC93,DENOMINAZIONE,0),4)="D/A"),SUMIFS(DARE,DENOMINAZIONE_GIORNALE,"="&amp;$DC93)&gt;SUMIFS(AVERE,DENOMINAZIONE_GIORNALE,"="&amp;$DC93)),CONCATENATE("s ",FIXED(ABS(SUMIFS(DARE,DENOMINAZIONE_GIORNALE,"="&amp;$DC93)-SUMIFS(AVERE,DENOMINAZIONE_GIORNALE,"="&amp;$DC93)),2)),"")</f>
        <v/>
      </c>
      <c r="DF93" s="259">
        <f ca="1">IF(AND(CX93=$DE$2,$DF$2&lt;&gt;0),0,IF(AND(DB93&lt;&gt;"",OR(DB92&lt;&gt;"",DB94&lt;&gt;"")),MAX($DF$2:DF92)+1,0))</f>
        <v>0</v>
      </c>
      <c r="DG93" s="259" t="str">
        <f>IF(OR(VALORI_INIZIALI!E98="",AND(VALORI_INIZIALI!E98&lt;&gt;"",VALORI_INIZIALI!H98=0,VALORI_INIZIALI!I98=0)),"",IFERROR(INDEX(PIANO_DEI_CONTI,MATCH(BB93,DENOMINAZIONE,0),1),0))</f>
        <v/>
      </c>
      <c r="DH93" s="259">
        <f ca="1">IFERROR(IF($J$1=1,IF(INDEX(PIANO_DEI_CONTI,MATCH($K93,DENOMINAZIONE,0),5)=$DF$1,MAX($DH$2:DH92)+1,0),IF($J$1=2,IF(INDEX(PIANO_DEI_CONTI,MATCH($K93,DENOMINAZIONE,0),7)=$DF$1,MAX($DH$2:DH92)+1,0))),0)</f>
        <v>0</v>
      </c>
      <c r="DI93" s="259">
        <f ca="1">IFERROR(INDEX($K$3:$K$220,MATCH(ROWS($DI$3:DI93),$DH$3:$DH$220,0),1),0)</f>
        <v>0</v>
      </c>
      <c r="DJ93" s="259">
        <f t="shared" ca="1" si="194"/>
        <v>0</v>
      </c>
      <c r="DK93" s="259">
        <f ca="1">IF(DJ93=0,0,MAX(DK$2:DK92)+1)</f>
        <v>0</v>
      </c>
      <c r="DL93" s="259">
        <f ca="1">IFERROR(INDEX(PIANO_DEI_CONTI,MATCH(ROWS(DL$3:DL93),$DK$3:DK320,0),2),0)</f>
        <v>0</v>
      </c>
      <c r="DM93" s="259">
        <f t="shared" ca="1" si="195"/>
        <v>0</v>
      </c>
      <c r="DN93" s="259">
        <f t="shared" ca="1" si="196"/>
        <v>0</v>
      </c>
      <c r="DO93" s="259">
        <f t="shared" ca="1" si="245"/>
        <v>0</v>
      </c>
      <c r="DP93" s="259">
        <f t="shared" ca="1" si="246"/>
        <v>0</v>
      </c>
      <c r="DQ93" s="259">
        <f ca="1">IF(OR($DQ$1="TOTALI",$DQ$1="TOTALI ED ECCEDENZE"),IF(OR(DM93&gt;0,DN93&gt;0),MAX(DQ$2:DQ92)+1,0),IF($DQ$1="ECCEDENZE",IF(OR(DO93&gt;0,DP93&gt;0),MAX(DQ$2:DQ92)+1,0),""))</f>
        <v>0</v>
      </c>
      <c r="DR93" s="259" t="str">
        <f ca="1">IFERROR(INDEX($DL$3:$DQ$230,MATCH(ROWS(DR$3:DR93),$DQ$3:$DQ$230,0),1),"")</f>
        <v/>
      </c>
      <c r="DS93" s="259" t="str">
        <f t="shared" ca="1" si="247"/>
        <v/>
      </c>
      <c r="DT93" s="259" t="str">
        <f t="shared" ca="1" si="248"/>
        <v/>
      </c>
      <c r="DU93" s="259" t="str">
        <f t="shared" ca="1" si="249"/>
        <v/>
      </c>
      <c r="DV93" s="259" t="str">
        <f t="shared" ca="1" si="250"/>
        <v/>
      </c>
      <c r="DW93" s="259">
        <f t="shared" ca="1" si="251"/>
        <v>0</v>
      </c>
      <c r="DX93" s="259" t="str">
        <f t="shared" ca="1" si="252"/>
        <v/>
      </c>
      <c r="DY93" s="259" t="str">
        <f t="shared" ca="1" si="253"/>
        <v/>
      </c>
      <c r="DZ93" s="259" t="str">
        <f t="shared" ca="1" si="254"/>
        <v/>
      </c>
      <c r="EA93" s="259">
        <f t="shared" ca="1" si="255"/>
        <v>91</v>
      </c>
      <c r="ED93" s="259">
        <f t="shared" ca="1" si="197"/>
        <v>0</v>
      </c>
      <c r="EE93" s="259" t="str">
        <f t="shared" ca="1" si="198"/>
        <v/>
      </c>
      <c r="EF93" s="259" t="str">
        <f t="shared" ca="1" si="199"/>
        <v/>
      </c>
      <c r="EG93" s="259" t="str">
        <f t="shared" ca="1" si="309"/>
        <v/>
      </c>
      <c r="EH93" s="259" t="str">
        <f t="shared" ca="1" si="256"/>
        <v/>
      </c>
      <c r="EI93" s="260" t="b">
        <f t="shared" ca="1" si="310"/>
        <v>1</v>
      </c>
      <c r="EJ93" s="260" t="b">
        <f t="shared" ca="1" si="311"/>
        <v>1</v>
      </c>
      <c r="EK93" s="260" t="b">
        <f t="shared" ca="1" si="312"/>
        <v>1</v>
      </c>
      <c r="EL93" s="259">
        <f t="shared" si="257"/>
        <v>91</v>
      </c>
      <c r="EM93" s="259">
        <f ca="1">IF(AND(BA93&gt;0,BA93&lt;=$EM$1),MAX($EM$2:EM92)+1,0)</f>
        <v>0</v>
      </c>
      <c r="EN93" s="259">
        <f t="shared" ca="1" si="258"/>
        <v>93</v>
      </c>
      <c r="EP93" s="259" t="str">
        <f t="shared" ca="1" si="200"/>
        <v/>
      </c>
      <c r="EQ93" s="259">
        <f t="shared" ca="1" si="201"/>
        <v>0</v>
      </c>
      <c r="ER93" s="259">
        <f ca="1">IF(ISNA(EQ93),MAX(ER$2:ER92)+1,0)</f>
        <v>0</v>
      </c>
      <c r="ES93" s="259" t="str">
        <f t="shared" ca="1" si="259"/>
        <v/>
      </c>
      <c r="ET93" s="259" t="str">
        <f ca="1">IFERROR(UPPER(INDEX($ER$3:$ES$500,MATCH(ROWS(ET$3:ET93),$ER$3:$ER$500,0),2)),"")</f>
        <v/>
      </c>
      <c r="EY93" s="259">
        <f t="shared" ca="1" si="260"/>
        <v>0</v>
      </c>
      <c r="EZ93" s="259">
        <f t="shared" ca="1" si="260"/>
        <v>0</v>
      </c>
      <c r="FA93" s="259" t="str">
        <f t="shared" ca="1" si="261"/>
        <v/>
      </c>
      <c r="FB93" s="259">
        <f t="shared" ca="1" si="262"/>
        <v>0</v>
      </c>
      <c r="FC93" s="259">
        <f t="shared" ca="1" si="263"/>
        <v>0</v>
      </c>
      <c r="FD93" s="259">
        <f t="shared" ca="1" si="202"/>
        <v>0</v>
      </c>
      <c r="FE93" s="259" t="str">
        <f t="shared" ca="1" si="203"/>
        <v/>
      </c>
      <c r="FF93" s="259" t="str">
        <f t="shared" ca="1" si="264"/>
        <v/>
      </c>
      <c r="FG93" s="259" t="str">
        <f t="shared" si="265"/>
        <v/>
      </c>
      <c r="FH93" s="259">
        <f t="shared" ca="1" si="156"/>
        <v>0</v>
      </c>
      <c r="FI93" s="259">
        <f t="shared" ca="1" si="204"/>
        <v>0</v>
      </c>
      <c r="FJ93" s="259">
        <f t="shared" ca="1" si="266"/>
        <v>0</v>
      </c>
      <c r="FK93" s="259">
        <f t="shared" ca="1" si="267"/>
        <v>0</v>
      </c>
      <c r="FL93" s="259">
        <f ca="1">IF(OR(FJ93&gt;0,FK93&gt;0),MAX($FL$2:FL92)+1,0)</f>
        <v>0</v>
      </c>
      <c r="FM93" s="259">
        <f t="shared" si="205"/>
        <v>0</v>
      </c>
      <c r="FN93" s="259">
        <f>IF(FM93&lt;0,MAX($FN$2:FN92)+1,0)</f>
        <v>0</v>
      </c>
      <c r="FO93" s="259" t="str">
        <f t="shared" si="268"/>
        <v/>
      </c>
      <c r="FP93" s="259" t="str">
        <f ca="1">IFERROR(INDEX($FN$3:$FO$400,MATCH(ROWS($FP$3:FP93),$FN$3:$FN$400,0),2),"")</f>
        <v/>
      </c>
      <c r="FQ93" s="259" t="str">
        <f>IF(AE93="SE AVERE",MAX($FQ$2:FQ92)+1,"")</f>
        <v/>
      </c>
      <c r="FR93" s="259" t="str">
        <f>IF(AE93="SE DARE",MAX($FR$2:FR92)+1,"")</f>
        <v/>
      </c>
      <c r="FS93" s="259" t="str">
        <f ca="1">IF(AND(AE93="SP DARE",AA93&lt;&gt;$FS$1,AA93&lt;&gt;$FT$1),MAX($FS$2:FS92)+1,IF(AND(GQ93="SP DARE",AA93&lt;&gt;$FS$1,AA93&lt;&gt;$FT$1),MAX($FS$2:FS92)+1,""))</f>
        <v/>
      </c>
      <c r="FT93" s="259" t="str">
        <f ca="1">IF(AND(AE93="SP AVERE",AA93&lt;&gt;$FU$1),MAX($FT$2:FT92)+1,IF(AND(GQ93="SP AVERE",AA93&lt;&gt;$FU$1),MAX($FT$2:FT92)+1,""))</f>
        <v/>
      </c>
      <c r="FU93" s="259">
        <f t="shared" ca="1" si="269"/>
        <v>0</v>
      </c>
      <c r="FV93" s="259" t="str">
        <f t="shared" si="270"/>
        <v>BILANCIO DI CHIUSURA</v>
      </c>
      <c r="FW93" s="259" t="str">
        <f ca="1">IFERROR(INDEX($FU$3:$FV$500,MATCH(ROWS($FW$3:FW93),$FU$3:$FU$500,0),2),0)</f>
        <v>BREVETTI</v>
      </c>
      <c r="FX93" s="259">
        <f t="shared" ca="1" si="271"/>
        <v>91</v>
      </c>
      <c r="FY93" s="259">
        <f t="shared" ca="1" si="272"/>
        <v>0</v>
      </c>
      <c r="FZ93" s="259">
        <f ca="1">IF(FY93&gt;0,MAX($FZ$2:FZ92)+1,0)</f>
        <v>0</v>
      </c>
      <c r="GA93" s="259">
        <f ca="1">IFERROR(INDEX($FY$3:$FZ$500,MATCH(ROWS($GA$3:GA93),$FZ$3:$FZ$500,0),1),0)</f>
        <v>0</v>
      </c>
      <c r="GC93" s="259">
        <f t="shared" ca="1" si="273"/>
        <v>91</v>
      </c>
      <c r="GD93" s="259" t="str">
        <f t="shared" ca="1" si="274"/>
        <v>BREVETTI</v>
      </c>
      <c r="GG93" s="259">
        <f t="shared" ca="1" si="275"/>
        <v>0</v>
      </c>
      <c r="GH93" s="259">
        <f t="shared" ca="1" si="276"/>
        <v>0</v>
      </c>
      <c r="GI93" s="259">
        <f t="shared" ca="1" si="277"/>
        <v>0</v>
      </c>
      <c r="GJ93" s="259">
        <f t="shared" ca="1" si="278"/>
        <v>0</v>
      </c>
      <c r="GK93" s="259">
        <f t="shared" ca="1" si="279"/>
        <v>0</v>
      </c>
      <c r="GL93" s="259">
        <f t="shared" ca="1" si="280"/>
        <v>0</v>
      </c>
      <c r="GM93" s="259">
        <f ca="1">IF(OR(GK93&gt;0,GL93&gt;0),MAX($GM$2:GM92)+1,0)</f>
        <v>0</v>
      </c>
      <c r="GN93" s="259" t="str">
        <f ca="1">IFERROR(INDEX($GD$3:$GM$400,MATCH(ROWS($GN$3:GN93),$GM$3:$GM$400,0),1),"")</f>
        <v/>
      </c>
      <c r="GO93" s="259" t="str">
        <f ca="1">IFERROR(INDEX($GD$3:$GM$400,MATCH(ROWS($GO$3:GO93),$GM$3:$GM$400,0),8),"")</f>
        <v/>
      </c>
      <c r="GP93" s="259" t="str">
        <f ca="1">IFERROR(INDEX($GD$3:$GM$400,MATCH(ROWS($GP$3:GP93),$GM$3:$GM$400,0),9),"")</f>
        <v/>
      </c>
      <c r="GQ93" s="259">
        <f t="shared" ca="1" si="206"/>
        <v>0</v>
      </c>
      <c r="GR93" s="259">
        <f t="shared" ca="1" si="281"/>
        <v>0</v>
      </c>
      <c r="GS93" s="259" t="str">
        <f t="shared" ca="1" si="282"/>
        <v>chiusura del conto</v>
      </c>
      <c r="GT93" s="259" t="str">
        <f ca="1">IFERROR(INDEX($GD$3:$GS$400,MATCH(ROWS($GT$3:GT93),$GM$3:$GM$400,0),16),"")</f>
        <v/>
      </c>
      <c r="GU93" s="259">
        <f ca="1">IF(GQ93&lt;&gt;0,MAX($GU$2:$GU92)+1,0)</f>
        <v>0</v>
      </c>
      <c r="GV93" s="259">
        <f t="shared" ca="1" si="283"/>
        <v>0</v>
      </c>
      <c r="GW93" s="259" t="str">
        <f ca="1">IF(AND(IFERROR(INDEX($GU$3:$GV$400,MATCH(ROWS($GW$3:GW93),$GU$3:$GU$400,0),2),"")&lt;&gt;"",GW94&lt;&gt;""),CONCATENATE(IFERROR(INDEX($GU$3:$GV$400,MATCH(ROWS($GW$3:GW93),$GU$3:$GU$400,0),2),"")," - "),IFERROR(INDEX($GU$3:$GV$400,MATCH(ROWS($GW$3:GW93),$GU$3:$GU$400,0),2),""))</f>
        <v/>
      </c>
      <c r="GX93" s="259">
        <f ca="1">IF(OR(GN93="IVA NS/CREDITO",GN93="IVA NS/DEBITO",GN93="IVA C/ACCONTO",GN93="IMPOSTE C/ACCONTO"),MAX($GX$2:GX92)+1,0)</f>
        <v>0</v>
      </c>
      <c r="GY93" s="259" t="str">
        <f ca="1">IF(AND(IFERROR(INDEX($GN$3:$GX$200,MATCH(ROWS($GY$3:GY93),$GX$3:$GX$200,0),1),"")&lt;&gt;"",GY94&lt;&gt;""),CONCATENATE(IFERROR(INDEX($GN$3:$GX$200,MATCH(ROWS($GY$3:GY93),$GX$3:$GX$200,0),1),"")," - "),IFERROR(INDEX($GN$3:$GX$200,MATCH(ROWS($GY$3:GY93),$GX$3:$GX$200,0),1),""))</f>
        <v/>
      </c>
      <c r="GZ93" s="259" t="s">
        <v>120</v>
      </c>
      <c r="HA93" s="259" t="s">
        <v>116</v>
      </c>
      <c r="HB93" s="269" t="s">
        <v>257</v>
      </c>
      <c r="HC93" s="269" t="s">
        <v>211</v>
      </c>
      <c r="HD93" s="269" t="s">
        <v>5</v>
      </c>
      <c r="HE93" s="269" t="s">
        <v>212</v>
      </c>
      <c r="HG93" s="270"/>
      <c r="HL93" s="259" t="str">
        <f t="shared" ca="1" si="207"/>
        <v/>
      </c>
      <c r="HM93" s="259" t="str">
        <f t="shared" ca="1" si="208"/>
        <v/>
      </c>
      <c r="HN93" s="259" t="str">
        <f t="shared" ca="1" si="209"/>
        <v/>
      </c>
      <c r="HO93" s="259">
        <f ca="1">IF(HL93&lt;&gt;"",MAX($HO$2:HO92)+1,0)</f>
        <v>0</v>
      </c>
      <c r="HP93" s="259">
        <f ca="1">IF(HM93&lt;&gt;"",MAX($HP$2:HP92)+1,0)</f>
        <v>0</v>
      </c>
      <c r="HQ93" s="259">
        <f ca="1">IF(HN93&lt;&gt;"",MAX($HQ$2:HQ92)+1,0)</f>
        <v>0</v>
      </c>
      <c r="HR93" s="259" t="str">
        <f t="shared" ca="1" si="284"/>
        <v/>
      </c>
      <c r="HS93" s="259" t="str">
        <f t="shared" ca="1" si="285"/>
        <v/>
      </c>
      <c r="HT93" s="259">
        <f t="shared" ca="1" si="286"/>
        <v>0</v>
      </c>
      <c r="HU93" s="259">
        <f t="shared" ca="1" si="287"/>
        <v>0</v>
      </c>
      <c r="HV93" s="259" t="str">
        <f ca="1">CONCATENATE(IFERROR(INDEX($HS$3:$HT$102,MATCH(ROWS($HV$3:HV93),$HT$3:$HT$102,0),1),""),HR93)</f>
        <v/>
      </c>
      <c r="IA93" s="259" t="s">
        <v>402</v>
      </c>
      <c r="IB93" s="259" t="str">
        <f ca="1">IF(IG93&gt;=0,"_21) Utile dell'esercizio","_21) Perdita dell'esercizio")</f>
        <v>_21) Utile dell'esercizio</v>
      </c>
      <c r="IC93" s="259">
        <f ca="1">IFERROR(INDEX(PIANO_DEI_CONTI,MATCH(ROWS(DL$3:DL93),$DK$3:DK320,0),2),0)</f>
        <v>0</v>
      </c>
      <c r="ID93" s="259">
        <f t="shared" ca="1" si="288"/>
        <v>0</v>
      </c>
      <c r="IE93" s="259">
        <f t="shared" ca="1" si="289"/>
        <v>0</v>
      </c>
      <c r="IF93" s="259">
        <f t="shared" ca="1" si="290"/>
        <v>0</v>
      </c>
      <c r="IG93" s="259">
        <f ca="1">IF(EV1&gt;0,0,SUM(IG91:IG92))</f>
        <v>0</v>
      </c>
      <c r="IH93" s="259">
        <f ca="1">IF(IG93&lt;&gt;0,MAX($IH$35:IH92)+1,0)</f>
        <v>0</v>
      </c>
      <c r="II93" s="259">
        <f>IF(AD93="costi pluriennali",MAX($II$2:II92)+1,0)</f>
        <v>0</v>
      </c>
      <c r="IJ93" s="259">
        <f>IF($AD93="rettifiche costi pluriennali",MAX($IJ$2:IJ92)+1,0)</f>
        <v>0</v>
      </c>
      <c r="IK93" s="259">
        <f t="shared" si="291"/>
        <v>0</v>
      </c>
      <c r="IL93" s="259" t="str">
        <f t="shared" si="292"/>
        <v/>
      </c>
      <c r="IM93" s="259">
        <f t="shared" ca="1" si="293"/>
        <v>0</v>
      </c>
      <c r="IN93" s="259">
        <f t="shared" ca="1" si="313"/>
        <v>0</v>
      </c>
      <c r="IO93" s="259">
        <f>SUMIFS($IM$3:$IM$200,$IK$3:$IK$200,ROWS($IO$3:IO93))-SUMIFS($IN$3:$IN$200,$IK$3:$IK$200,ROWS($IO$3:IO93))</f>
        <v>0</v>
      </c>
      <c r="IP93" s="259" t="str">
        <f>IF(IO93&lt;0,INDEX($IJ$3:$IL$200,MATCH(ROWS($IP$3:IP93),$IJ$3:$IJ$200,0),3),"")</f>
        <v/>
      </c>
      <c r="IQ93" s="259">
        <f>IF(IP93&lt;&gt;"",MAX($IQ$2:IQ92)+1,0)</f>
        <v>0</v>
      </c>
      <c r="IR93" s="259" t="str">
        <f ca="1">IFERROR(INDEX($IP$3:$IQ$200,MATCH(ROWS($IR$3:IR93),$IQ$3:$IQ$200,0),1),"")</f>
        <v/>
      </c>
      <c r="IS93" s="259" t="str">
        <f t="shared" ca="1" si="294"/>
        <v/>
      </c>
      <c r="IT93" s="259" t="str">
        <f t="shared" ca="1" si="295"/>
        <v/>
      </c>
      <c r="IU93" s="259" t="str">
        <f t="shared" ca="1" si="296"/>
        <v/>
      </c>
      <c r="IV93" s="259" t="str">
        <f t="shared" ca="1" si="297"/>
        <v/>
      </c>
      <c r="IW93" s="259" t="str">
        <f t="shared" ca="1" si="298"/>
        <v/>
      </c>
      <c r="IX93" s="259" t="str">
        <f t="shared" ca="1" si="299"/>
        <v/>
      </c>
      <c r="IY93" s="259" t="str">
        <f t="shared" ca="1" si="300"/>
        <v/>
      </c>
      <c r="IZ93" s="259" t="str">
        <f t="shared" ca="1" si="301"/>
        <v/>
      </c>
      <c r="JA93" s="259" t="str">
        <f t="shared" ca="1" si="302"/>
        <v/>
      </c>
      <c r="JB93" s="259">
        <f t="shared" ca="1" si="210"/>
        <v>0</v>
      </c>
      <c r="JC93" s="259">
        <f t="shared" ca="1" si="303"/>
        <v>0</v>
      </c>
      <c r="JE93" s="259">
        <f ca="1">IFERROR(INDEX(LIBRO_GIORNALE!$N$11:$O$408,MATCH(ROWS($JE$2:JE92),LIBRO_GIORNALE!$O$11:$O$408,0),1),0)</f>
        <v>0</v>
      </c>
      <c r="JF93" s="259" t="str">
        <f t="shared" ca="1" si="304"/>
        <v>0</v>
      </c>
      <c r="JG93" s="259">
        <f t="shared" ca="1" si="305"/>
        <v>0</v>
      </c>
      <c r="JH93" s="259">
        <f ca="1">IF(JJ93&gt;0,0,MAX($JH$2:JH92)+1)</f>
        <v>91</v>
      </c>
      <c r="JI93" s="259">
        <f ca="1">IF(JG93&gt;0,MAX($JI$2:JI92)+1,0)</f>
        <v>0</v>
      </c>
      <c r="JJ93" s="259">
        <f ca="1">IFERROR(INDEX($JG$3:$JI$124,MATCH(ROWS($JJ$3:JJ93),$JI$3:$JI$124,0),1),0)</f>
        <v>0</v>
      </c>
      <c r="JK93" s="259">
        <f t="shared" ca="1" si="306"/>
        <v>0</v>
      </c>
      <c r="JL93" s="259">
        <f t="shared" ca="1" si="307"/>
        <v>91</v>
      </c>
    </row>
    <row r="94" spans="1:272">
      <c r="A94" s="259" t="str">
        <f t="shared" si="211"/>
        <v>15.02</v>
      </c>
      <c r="B94" s="259" t="str">
        <f t="shared" si="212"/>
        <v>DEBITI PER RITENUTE DA VERSARE</v>
      </c>
      <c r="C94" s="259" t="str">
        <f t="shared" si="213"/>
        <v>F</v>
      </c>
      <c r="D94" s="259" t="str">
        <f t="shared" si="214"/>
        <v>A</v>
      </c>
      <c r="E94" s="259" t="str">
        <f t="shared" si="215"/>
        <v>DEBITI</v>
      </c>
      <c r="F94" s="259" t="str">
        <f t="shared" si="216"/>
        <v>SP AVERE</v>
      </c>
      <c r="G94" s="259">
        <f t="shared" ca="1" si="217"/>
        <v>1</v>
      </c>
      <c r="H94" s="259">
        <f t="shared" ca="1" si="218"/>
        <v>1</v>
      </c>
      <c r="I94" s="259">
        <f t="shared" ca="1" si="219"/>
        <v>1</v>
      </c>
      <c r="K94" s="259" t="str">
        <f ca="1">IFERROR(IF($I$1=1,INDEX($AA$3:$AS$220,MATCH(ROWS($K$3:K94),$AQ$3:$AQ$220,0),1),IF($I$1=2,INDEX($AA$3:$AS$220,MATCH(ROWS($K$3:K94),$AR$3:$AR$220,0),1),IF($I$1=3,INDEX($AA$3:$AS$220,MATCH(ROWS($K$3:K94),$AS$3:$AS$220,0),1),""))),"")</f>
        <v>BENI DI TERZI</v>
      </c>
      <c r="L94" s="259">
        <f ca="1">IF(AND($L$1="VISUALIZZA TUTTI I CONTI",K94&lt;&gt;""),MAX(L93:L93)+1,IFERROR(IF($J$1=1,IF(INDEX(PIANO_DEI_CONTI,MATCH($K94,DENOMINAZIONE,0),5)=$L$1,MAX($L$2:L93)+1,0),IF($J$1=2,IF(INDEX(PIANO_DEI_CONTI,MATCH($K94,DENOMINAZIONE,0),7)=$L$1,MAX($L$2:L93)+1,0))),0))</f>
        <v>92</v>
      </c>
      <c r="M94" s="259" t="str">
        <f ca="1">IFERROR(INDEX($K$3:$K$220,MATCH(ROWS($M$3:M94),$L$3:$L$220,0),1),"")</f>
        <v>BENI DI TERZI</v>
      </c>
      <c r="Q94" s="259" t="str">
        <f ca="1">IF(IFERROR(INDEX($O$3:$P$220,MATCH(ROWS(Q$3:Q94),$P$3:$P$220,0),1),"")=0,"",IFERROR(INDEX($O$3:$P$220,MATCH(ROWS(Q$3:Q94),$P$3:$P$220,0),1),""))</f>
        <v/>
      </c>
      <c r="R94" s="259" t="str">
        <f t="shared" ca="1" si="182"/>
        <v>IVA C/LIQUIDAZIONE</v>
      </c>
      <c r="S94" s="259">
        <f ca="1">IF(IFERROR(MATCH(R94,DENOMINAZIONE_GIORNALE,0),0)&gt;0,MAX(S$2:S93)+1,0)</f>
        <v>0</v>
      </c>
      <c r="T94" s="259" t="str">
        <f ca="1">IFERROR(INDEX($R$3:$S$220,MATCH(ROWS($T$3:T94),$S$3:$S$220,0),1),"")</f>
        <v/>
      </c>
      <c r="U94" s="259">
        <f t="shared" ca="1" si="183"/>
        <v>0</v>
      </c>
      <c r="V94" s="259">
        <f ca="1">IF(IF(U94&lt;&gt;0,MAX($V$2:V93)+1,0)=0,0,IF(U94&lt;&gt;0,MAX($V$2:V93)+1,0))</f>
        <v>0</v>
      </c>
      <c r="W94" s="259" t="str">
        <f t="shared" si="220"/>
        <v>15.02</v>
      </c>
      <c r="X94" s="259" t="str">
        <f t="shared" si="221"/>
        <v>DEBITI PER RITENUTE DA VERSARE</v>
      </c>
      <c r="Y94" s="259">
        <f>IF(W94="",0,MAX($Y$2:Y93)+1)</f>
        <v>78</v>
      </c>
      <c r="Z94" s="259" t="str">
        <f>IFERROR(INDEX($W$3:$Y$220,MATCH(ROWS($Z$2:Z93),$Y$3:$Y$220,0),1),"")</f>
        <v>18.10</v>
      </c>
      <c r="AA94" s="259" t="str">
        <f t="shared" si="222"/>
        <v>IVA C/LIQUIDAZIONE</v>
      </c>
      <c r="AB94" s="259" t="str">
        <f t="shared" si="223"/>
        <v>F</v>
      </c>
      <c r="AC94" s="259" t="str">
        <f t="shared" si="224"/>
        <v>D/A</v>
      </c>
      <c r="AD94" s="259" t="str">
        <f t="shared" si="225"/>
        <v>CONTI CON ALTERNANZA DI SALDI</v>
      </c>
      <c r="AE94" s="259" t="str">
        <f t="shared" si="226"/>
        <v>SP DARE/AVERE</v>
      </c>
      <c r="AF94" s="259" t="str">
        <f t="shared" si="227"/>
        <v>CONTI TRANSITORI E DIVERSI</v>
      </c>
      <c r="AG94" s="259">
        <f t="shared" ca="1" si="228"/>
        <v>0</v>
      </c>
      <c r="AH94" s="259">
        <f t="shared" ca="1" si="229"/>
        <v>1</v>
      </c>
      <c r="AI94" s="259">
        <f t="shared" ca="1" si="230"/>
        <v>1</v>
      </c>
      <c r="AJ94" s="259" t="str">
        <f t="shared" si="231"/>
        <v>18</v>
      </c>
      <c r="AK94" s="259" t="str">
        <f t="shared" si="232"/>
        <v/>
      </c>
      <c r="AL94" s="259">
        <f>IF(AK94&lt;&gt;"",MAX($AL$2:AL93)+1,0)</f>
        <v>0</v>
      </c>
      <c r="AM94" s="259" t="str">
        <f>IFERROR(INDEX($AK$3:$AL$220,MATCH(ROWS($AM$3:AM94),$AL$3:$AL$220,0),1),"")</f>
        <v/>
      </c>
      <c r="AN94" s="259" t="str">
        <f t="shared" si="233"/>
        <v/>
      </c>
      <c r="AO94" s="259" t="str">
        <f t="shared" si="234"/>
        <v/>
      </c>
      <c r="AP94" s="259" t="str">
        <f t="shared" si="235"/>
        <v>CONTI TRANSITORI E DIVERSI</v>
      </c>
      <c r="AQ94" s="259">
        <f ca="1">IF(OR(AG94=0,AG94=""),0,MAX(AQ$2:AQ93)+1)</f>
        <v>0</v>
      </c>
      <c r="AR94" s="259">
        <f ca="1">IF(OR(AH94=0,AH94=""),0,MAX(AR$2:AR93)+1)</f>
        <v>64</v>
      </c>
      <c r="AS94" s="259">
        <f ca="1">IF(OR(AI94=0,AI94=""),0,MAX(AS$2:AS93)+1)</f>
        <v>88</v>
      </c>
      <c r="AT94" s="259" t="str">
        <f ca="1">IFERROR(INDEX($AD$3:$AS$220,MATCH(ROWS(AT$3:AT94),AQ$3:AQ$220,0),1),"")</f>
        <v/>
      </c>
      <c r="AU94" s="259" t="str">
        <f ca="1">IFERROR(INDEX($AD$3:$AS$220,MATCH(ROWS(AU$3:AU94),AR$3:AR$220,0),1),"")</f>
        <v>COSTI D'ESERCIZIO</v>
      </c>
      <c r="AV94" s="259" t="str">
        <f ca="1">IFERROR(INDEX($AD$3:$AS$220,MATCH(ROWS(AV$3:AV94),AS$3:AS$220,0),1),"")</f>
        <v>CONTI D'ORDINE</v>
      </c>
      <c r="AW94" s="259" t="str">
        <f ca="1">IFERROR(INDEX($AP$3:$AS$220,MATCH(ROWS(AW$3:AW94),AQ$3:AQ$220,0),1),"")</f>
        <v/>
      </c>
      <c r="AX94" s="259" t="str">
        <f ca="1">IFERROR(INDEX($AP$3:$AS$220,MATCH(ROWS(AX$3:AX94),AR$3:AR$220,0),1),"")</f>
        <v>COSTI PER SERVIZI</v>
      </c>
      <c r="AY94" s="259" t="str">
        <f ca="1">IFERROR(INDEX($AP$3:$AS$220,MATCH(ROWS(AY$3:AY94),AS$3:AS$220,0),1),"")</f>
        <v>CONTI DEI SISTEMI MINORI</v>
      </c>
      <c r="AZ94" s="276" t="str">
        <f t="shared" ca="1" si="236"/>
        <v/>
      </c>
      <c r="BA94" s="259">
        <f t="shared" ca="1" si="184"/>
        <v>0</v>
      </c>
      <c r="BB94" s="259">
        <f ca="1">IFERROR(INDEX($FG$3:$FL$400,MATCH(ROWS($BB$3:BB94),$FL$3:$FL$400,0),1),0)</f>
        <v>0</v>
      </c>
      <c r="BC94" s="259" t="str">
        <f t="shared" ca="1" si="237"/>
        <v/>
      </c>
      <c r="BD94" s="259">
        <f ca="1">IFERROR(INDEX($FG$3:$FL$400,MATCH(ROWS($BD$3:BD94),$FL$3:$FL$400,0),4),0)</f>
        <v>0</v>
      </c>
      <c r="BE94" s="259">
        <f ca="1">IFERROR(INDEX($FG$3:$FL$400,MATCH(ROWS($BE$3:BE94),$FL$3:$FL$400,0),5),0)</f>
        <v>0</v>
      </c>
      <c r="BG94" s="259" t="str">
        <f t="shared" ca="1" si="185"/>
        <v>IVA C/LIQUIDAZIONE</v>
      </c>
      <c r="BH94" s="259">
        <f ca="1">IF(IFERROR(MATCH(BG94,DENOMINAZIONE_GIORNALE,0),0)&gt;0,MAX(BH$2:BH93)+1,0)</f>
        <v>0</v>
      </c>
      <c r="BI94" s="259" t="str">
        <f ca="1">IFERROR(INDEX($BG$3:$BH$220,MATCH(ROWS($BI$3:BI94),$BH$3:$BH$220,0),1),"")</f>
        <v/>
      </c>
      <c r="BJ94" s="259" t="str">
        <f t="shared" ca="1" si="186"/>
        <v/>
      </c>
      <c r="BK94" s="259" t="str">
        <f ca="1">IF(IF(BJ94&lt;&gt;"",MAX($BK$2:BK93)+1,0)=0,"",IF(BJ94&lt;&gt;"",MAX($BK$2:BK93)+1,0))</f>
        <v/>
      </c>
      <c r="BL94" s="259" t="str">
        <f ca="1">IFERROR(INDEX($T$3:$U$220, MATCH(ROWS(BL$3:BL94),$V$3:$V$220,0),1),"")</f>
        <v/>
      </c>
      <c r="BM94" s="259" t="str">
        <f ca="1">IFERROR(INDEX($T$3:$U$220, MATCH(ROWS(BM$3:BM94),$V$3:$V$220,0),2),"")</f>
        <v/>
      </c>
      <c r="BN94" s="259" t="str">
        <f ca="1">IF(IFERROR(INDEX($BI$3:$BJ$220,MATCH(ROWS(BN$3:BN94),$BK$3:$BK$220,0),1),"")="PATRIMONIO NETTO","",IFERROR(INDEX($BI$3:$BJ$220,MATCH(ROWS(BN$3:BN94),$BK$3:$BK$220,0),1),""))</f>
        <v/>
      </c>
      <c r="BO94" s="259" t="str">
        <f ca="1">IFERROR(INDEX($BI$3:$BJ$220,MATCH(ROWS(BO$3:BO94),$BK$3:$BK$220,0),2),"")</f>
        <v/>
      </c>
      <c r="BP94" s="259">
        <f ca="1">IF(BN94&lt;&gt;"",MAX(BP$2:$BP93)+1,0)</f>
        <v>0</v>
      </c>
      <c r="BQ94" s="259" t="str">
        <f ca="1">IFERROR(INDEX($BN$3:$BO$200,MATCH(ROWS(BQ$3:BQ94),$BP$3:$BP$220,0),1),"")</f>
        <v/>
      </c>
      <c r="BR94" s="259" t="str">
        <f ca="1">IFERROR(INDEX($BN$3:$BO$220,MATCH(ROWS(BR$3:BR94),$BP$3:$BP$220,0),2),"")</f>
        <v/>
      </c>
      <c r="BS94" s="259" t="str">
        <f ca="1">IFERROR(IF(OR(INDEX($T$3:$U$220,MATCH(ROWS(BL$3:BL94),$V$3:$V$220,0),1)="PRELEVAMENTI EXTRAGESTIONE",INDEX($T$3:$U$220,MATCH(ROWS(BL$3:BL94),$V$3:$V$220,0),1)="TITOLARE C/RITENUTE SUBITE"),"",INDEX($T$3:$U$220,MATCH(ROWS(BL$3:BL94),$V$3:$V$220,0),1)),"")</f>
        <v/>
      </c>
      <c r="BT94" s="259">
        <f t="shared" ca="1" si="238"/>
        <v>0</v>
      </c>
      <c r="BU94" s="259">
        <f ca="1">IF(BS94&lt;&gt;"",MAX(BU$2:BU93)+1,0)</f>
        <v>0</v>
      </c>
      <c r="BV94" s="259" t="str">
        <f ca="1">IFERROR(INDEX($BS$3:$BT$223,MATCH(ROWS(BV$3:BV94),$BU$3:$BU$223,0),1),"")</f>
        <v/>
      </c>
      <c r="BW94" s="259">
        <f t="shared" ca="1" si="239"/>
        <v>0</v>
      </c>
      <c r="BX94" s="259" t="str">
        <f t="shared" ca="1" si="240"/>
        <v/>
      </c>
      <c r="BY94" s="259" t="str">
        <f t="shared" ca="1" si="241"/>
        <v/>
      </c>
      <c r="BZ94" s="259" t="str">
        <f ca="1">IFERROR(IF(OR($DS$231&lt;&gt;$DT$231,$DU$231&lt;&gt;$DV$231,$EO$25&lt;&gt;0,$EO$26&lt;&gt;0),INDEX($T$3:$V$220,MATCH(ROWS($BV$3:BV94),$V$3:$V$220,0),1),CONCATENATE(BV94,BY94)),"")</f>
        <v/>
      </c>
      <c r="CA94" s="259">
        <f t="shared" ca="1" si="242"/>
        <v>0</v>
      </c>
      <c r="CB94" s="259" t="str">
        <f ca="1">IFERROR(IF(OR($BB$1&lt;&gt;$BD$1,$BC$1&lt;&gt;$BE$1,$DS$231&lt;&gt;$DT$231,$DU$231&lt;&gt;$DV$231,$EO$25&lt;&gt;0,$EO$26&lt;&gt;0),INDEX($BI$3:$BK$220,MATCH(ROWS($CB$3:CB94),$BK$3:$BK$220,0),1),CONCATENATE(BQ94,BX94)),"")</f>
        <v/>
      </c>
      <c r="CC94" s="259" t="str">
        <f t="shared" ca="1" si="243"/>
        <v/>
      </c>
      <c r="CD94" s="259" t="str">
        <f t="shared" ca="1" si="187"/>
        <v/>
      </c>
      <c r="CE94" s="259">
        <f ca="1">IF(IFERROR(MATCH(CD94,DENOMINAZIONE_GIORNALE,0),0)&gt;0,MAX(CE$2:CE93)+1,0)</f>
        <v>0</v>
      </c>
      <c r="CF94" s="259" t="str">
        <f ca="1">IFERROR(INDEX($CD$3:$CE$220,MATCH(ROWS($CF$3:CF94),$CE$3:$CE$220,0),1),"")</f>
        <v/>
      </c>
      <c r="CG94" s="259">
        <f t="shared" ca="1" si="188"/>
        <v>0</v>
      </c>
      <c r="CH94" s="259" t="str">
        <f ca="1">IF(IF(CG94&lt;&gt;0,MAX($CH$2:CH93)+1,0)=0,"",IF(CG94&lt;&gt;"",MAX($CH$2:CH93)+1,0))</f>
        <v/>
      </c>
      <c r="CI94" s="259" t="str">
        <f ca="1">IFERROR(INDEX($CF$3:$CG$220,MATCH(ROWS($CI$3:CI94),$CH$3:$CH$220,0),1),"")</f>
        <v/>
      </c>
      <c r="CJ94" s="259" t="str">
        <f t="shared" ca="1" si="244"/>
        <v/>
      </c>
      <c r="CK94" s="259" t="str">
        <f t="shared" ca="1" si="189"/>
        <v/>
      </c>
      <c r="CL94" s="259">
        <f ca="1">IF(IFERROR(MATCH(CK94,DENOMINAZIONE_GIORNALE,0),0)&gt;0,MAX(CL$2:CL93)+1,0)</f>
        <v>0</v>
      </c>
      <c r="CM94" s="259" t="str">
        <f ca="1">IFERROR(INDEX($CK$3:$CL$220,MATCH(ROWS($CM$3:CM94),$CL$3:$CL$220,0),1),"")</f>
        <v/>
      </c>
      <c r="CN94" s="259" t="str">
        <f t="shared" ca="1" si="190"/>
        <v/>
      </c>
      <c r="CO94" s="259">
        <f ca="1">IF(IF(CN94&lt;&gt;0,MAX($CO$2:CO93)+1,0)=0,"",IF(CN94&lt;&gt;"",MAX($CO$2:CO93)+1,0))</f>
        <v>0</v>
      </c>
      <c r="CP94" s="259" t="str">
        <f ca="1">IFERROR(INDEX($CM$3:$CN$220,MATCH(ROWS(CP$3:CP94),$CO$3:$CO$220,0),1),"")</f>
        <v/>
      </c>
      <c r="CQ94" s="259" t="str">
        <f ca="1">IFERROR(INDEX($CM$3:$CN$220,MATCH(ROWS(CQ$3:CQ94),$CO$3:$CO$220,0),2),"")</f>
        <v/>
      </c>
      <c r="CR94" s="259" t="str">
        <f t="shared" ca="1" si="191"/>
        <v/>
      </c>
      <c r="CS94" s="259">
        <f t="shared" ca="1" si="192"/>
        <v>0</v>
      </c>
      <c r="CT94" s="259">
        <f t="shared" ca="1" si="193"/>
        <v>0</v>
      </c>
      <c r="CU94" s="259">
        <f ca="1">IF(OR(CS94&gt;0,CT94&gt;0),MAX($CU$2:CU93)+1,0)</f>
        <v>0</v>
      </c>
      <c r="CV94" s="259" t="str">
        <f ca="1">IFERROR(INDEX(PIANO_DEI_CONTI,MATCH(ROWS($CV$3:CV94),$CU$3:$CU$200,0),2),"")</f>
        <v/>
      </c>
      <c r="CW94" s="259">
        <f ca="1">IFERROR(IF(CV94&lt;&gt;"",MAX($CW$2:CW93)+1,0),0)</f>
        <v>0</v>
      </c>
      <c r="CX94" s="259">
        <f t="shared" ref="CX94:CX109" ca="1" si="326">$EA$8</f>
        <v>6</v>
      </c>
      <c r="CY94" s="259" t="str">
        <f t="shared" ca="1" si="308"/>
        <v>MASTRO</v>
      </c>
      <c r="DA94" s="259" t="str">
        <f ca="1">IF(DB93="","","Num. riga")</f>
        <v/>
      </c>
      <c r="DB94" s="259" t="str">
        <f t="shared" ref="DB94" ca="1" si="327">IF(DB93="","","Data")</f>
        <v/>
      </c>
      <c r="DC94" s="259" t="str">
        <f ca="1">IF(DB93="","","Operazioni")</f>
        <v/>
      </c>
      <c r="DD94" s="259" t="str">
        <f ca="1">IF(DB93="","","Dare        ")</f>
        <v/>
      </c>
      <c r="DE94" s="259" t="str">
        <f ca="1">IF(DB93="","","Avere        ")</f>
        <v/>
      </c>
      <c r="DF94" s="259">
        <f ca="1">IF(AND(CX94=$DE$2,$DF$2&lt;&gt;0),0,IF(AND(DB94&lt;&gt;"",OR(DB93&lt;&gt;"",DB95&lt;&gt;"")),MAX($DF$2:DF93)+1,0))</f>
        <v>0</v>
      </c>
      <c r="DG94" s="259" t="str">
        <f>IF(OR(VALORI_INIZIALI!E99="",AND(VALORI_INIZIALI!E99&lt;&gt;"",VALORI_INIZIALI!H99=0,VALORI_INIZIALI!I99=0)),"",IFERROR(INDEX(PIANO_DEI_CONTI,MATCH(BB94,DENOMINAZIONE,0),1),0))</f>
        <v/>
      </c>
      <c r="DH94" s="259">
        <f ca="1">IFERROR(IF($J$1=1,IF(INDEX(PIANO_DEI_CONTI,MATCH($K94,DENOMINAZIONE,0),5)=$DF$1,MAX($DH$2:DH93)+1,0),IF($J$1=2,IF(INDEX(PIANO_DEI_CONTI,MATCH($K94,DENOMINAZIONE,0),7)=$DF$1,MAX($DH$2:DH93)+1,0))),0)</f>
        <v>0</v>
      </c>
      <c r="DI94" s="259">
        <f ca="1">IFERROR(INDEX($K$3:$K$220,MATCH(ROWS($DI$3:DI94),$DH$3:$DH$220,0),1),0)</f>
        <v>0</v>
      </c>
      <c r="DJ94" s="259">
        <f t="shared" ca="1" si="194"/>
        <v>0</v>
      </c>
      <c r="DK94" s="259">
        <f ca="1">IF(DJ94=0,0,MAX(DK$2:DK93)+1)</f>
        <v>0</v>
      </c>
      <c r="DL94" s="259">
        <f ca="1">IFERROR(INDEX(PIANO_DEI_CONTI,MATCH(ROWS(DL$3:DL94),$DK$3:DK321,0),2),0)</f>
        <v>0</v>
      </c>
      <c r="DM94" s="259">
        <f t="shared" ca="1" si="195"/>
        <v>0</v>
      </c>
      <c r="DN94" s="259">
        <f t="shared" ca="1" si="196"/>
        <v>0</v>
      </c>
      <c r="DO94" s="259">
        <f t="shared" ca="1" si="245"/>
        <v>0</v>
      </c>
      <c r="DP94" s="259">
        <f t="shared" ca="1" si="246"/>
        <v>0</v>
      </c>
      <c r="DQ94" s="259">
        <f ca="1">IF(OR($DQ$1="TOTALI",$DQ$1="TOTALI ED ECCEDENZE"),IF(OR(DM94&gt;0,DN94&gt;0),MAX(DQ$2:DQ93)+1,0),IF($DQ$1="ECCEDENZE",IF(OR(DO94&gt;0,DP94&gt;0),MAX(DQ$2:DQ93)+1,0),""))</f>
        <v>0</v>
      </c>
      <c r="DR94" s="259" t="str">
        <f ca="1">IFERROR(INDEX($DL$3:$DQ$230,MATCH(ROWS(DR$3:DR94),$DQ$3:$DQ$230,0),1),"")</f>
        <v/>
      </c>
      <c r="DS94" s="259" t="str">
        <f t="shared" ca="1" si="247"/>
        <v/>
      </c>
      <c r="DT94" s="259" t="str">
        <f t="shared" ca="1" si="248"/>
        <v/>
      </c>
      <c r="DU94" s="259" t="str">
        <f t="shared" ca="1" si="249"/>
        <v/>
      </c>
      <c r="DV94" s="259" t="str">
        <f t="shared" ca="1" si="250"/>
        <v/>
      </c>
      <c r="DW94" s="259">
        <f t="shared" ca="1" si="251"/>
        <v>0</v>
      </c>
      <c r="DX94" s="259" t="str">
        <f t="shared" ca="1" si="252"/>
        <v/>
      </c>
      <c r="DY94" s="259" t="str">
        <f t="shared" ca="1" si="253"/>
        <v/>
      </c>
      <c r="DZ94" s="259" t="str">
        <f t="shared" ca="1" si="254"/>
        <v/>
      </c>
      <c r="EA94" s="259">
        <f t="shared" ca="1" si="255"/>
        <v>92</v>
      </c>
      <c r="EB94" s="259" t="str">
        <f ca="1">IF(SUMIFS($ID$3:$ID$200,$IC$3:$IC$200,AA94)&gt;=SUMIFS($IE$3:$IE$200,$IC$3:$IC$200,AA94),"pac2","ppd")</f>
        <v>pac2</v>
      </c>
      <c r="ED94" s="259">
        <f t="shared" ca="1" si="197"/>
        <v>0</v>
      </c>
      <c r="EE94" s="259" t="str">
        <f t="shared" ca="1" si="198"/>
        <v/>
      </c>
      <c r="EF94" s="259" t="str">
        <f t="shared" ca="1" si="199"/>
        <v/>
      </c>
      <c r="EG94" s="259" t="str">
        <f t="shared" ca="1" si="309"/>
        <v/>
      </c>
      <c r="EH94" s="259" t="str">
        <f t="shared" ca="1" si="256"/>
        <v/>
      </c>
      <c r="EI94" s="260" t="b">
        <f t="shared" ca="1" si="310"/>
        <v>1</v>
      </c>
      <c r="EJ94" s="260" t="b">
        <f t="shared" ca="1" si="311"/>
        <v>1</v>
      </c>
      <c r="EK94" s="260" t="b">
        <f t="shared" ca="1" si="312"/>
        <v>1</v>
      </c>
      <c r="EL94" s="259">
        <f t="shared" si="257"/>
        <v>92</v>
      </c>
      <c r="EM94" s="259">
        <f ca="1">IF(AND(BA94&gt;0,BA94&lt;=$EM$1),MAX($EM$2:EM93)+1,0)</f>
        <v>0</v>
      </c>
      <c r="EN94" s="259">
        <f t="shared" ca="1" si="258"/>
        <v>94</v>
      </c>
      <c r="EP94" s="259" t="str">
        <f t="shared" ca="1" si="200"/>
        <v/>
      </c>
      <c r="EQ94" s="259">
        <f t="shared" ca="1" si="201"/>
        <v>0</v>
      </c>
      <c r="ER94" s="259">
        <f ca="1">IF(ISNA(EQ94),MAX(ER$2:ER93)+1,0)</f>
        <v>0</v>
      </c>
      <c r="ES94" s="259" t="str">
        <f t="shared" ca="1" si="259"/>
        <v/>
      </c>
      <c r="ET94" s="259" t="str">
        <f ca="1">IFERROR(UPPER(INDEX($ER$3:$ES$500,MATCH(ROWS(ET$3:ET94),$ER$3:$ER$500,0),2)),"")</f>
        <v/>
      </c>
      <c r="EY94" s="259">
        <f t="shared" ca="1" si="260"/>
        <v>0</v>
      </c>
      <c r="EZ94" s="259">
        <f t="shared" ca="1" si="260"/>
        <v>0</v>
      </c>
      <c r="FA94" s="259" t="str">
        <f t="shared" ca="1" si="261"/>
        <v/>
      </c>
      <c r="FB94" s="259">
        <f t="shared" ca="1" si="262"/>
        <v>0</v>
      </c>
      <c r="FC94" s="259">
        <f t="shared" ca="1" si="263"/>
        <v>0</v>
      </c>
      <c r="FD94" s="259">
        <f t="shared" ca="1" si="202"/>
        <v>0</v>
      </c>
      <c r="FE94" s="259" t="str">
        <f t="shared" ca="1" si="203"/>
        <v/>
      </c>
      <c r="FF94" s="259" t="str">
        <f t="shared" ca="1" si="264"/>
        <v/>
      </c>
      <c r="FG94" s="259" t="str">
        <f t="shared" si="265"/>
        <v>IVA C/LIQUIDAZIONE</v>
      </c>
      <c r="FH94" s="259">
        <f t="shared" ca="1" si="156"/>
        <v>0</v>
      </c>
      <c r="FI94" s="259">
        <f t="shared" ca="1" si="204"/>
        <v>0</v>
      </c>
      <c r="FJ94" s="259">
        <f t="shared" ca="1" si="266"/>
        <v>0</v>
      </c>
      <c r="FK94" s="259">
        <f t="shared" ca="1" si="267"/>
        <v>0</v>
      </c>
      <c r="FL94" s="259">
        <f ca="1">IF(OR(FJ94&gt;0,FK94&gt;0),MAX($FL$2:FL93)+1,0)</f>
        <v>0</v>
      </c>
      <c r="FM94" s="259">
        <f t="shared" si="205"/>
        <v>0</v>
      </c>
      <c r="FN94" s="259">
        <f>IF(FM94&lt;0,MAX($FN$2:FN93)+1,0)</f>
        <v>0</v>
      </c>
      <c r="FO94" s="259" t="str">
        <f t="shared" si="268"/>
        <v/>
      </c>
      <c r="FP94" s="259" t="str">
        <f ca="1">IFERROR(INDEX($FN$3:$FO$400,MATCH(ROWS($FP$3:FP94),$FN$3:$FN$400,0),2),"")</f>
        <v/>
      </c>
      <c r="FQ94" s="259" t="str">
        <f>IF(AE94="SE AVERE",MAX($FQ$2:FQ93)+1,"")</f>
        <v/>
      </c>
      <c r="FR94" s="259" t="str">
        <f>IF(AE94="SE DARE",MAX($FR$2:FR93)+1,"")</f>
        <v/>
      </c>
      <c r="FS94" s="259" t="str">
        <f ca="1">IF(AND(AE94="SP DARE",AA94&lt;&gt;$FS$1,AA94&lt;&gt;$FT$1),MAX($FS$2:FS93)+1,IF(AND(GQ94="SP DARE",AA94&lt;&gt;$FS$1,AA94&lt;&gt;$FT$1),MAX($FS$2:FS93)+1,""))</f>
        <v/>
      </c>
      <c r="FT94" s="259" t="str">
        <f ca="1">IF(AND(AE94="SP AVERE",AA94&lt;&gt;$FU$1),MAX($FT$2:FT93)+1,IF(AND(GQ94="SP AVERE",AA94&lt;&gt;$FU$1),MAX($FT$2:FT93)+1,""))</f>
        <v/>
      </c>
      <c r="FU94" s="259">
        <f t="shared" ca="1" si="269"/>
        <v>0</v>
      </c>
      <c r="FV94" s="259" t="str">
        <f t="shared" si="270"/>
        <v>IVA C/LIQUIDAZIONE</v>
      </c>
      <c r="FW94" s="259" t="str">
        <f ca="1">IFERROR(INDEX($FU$3:$FV$500,MATCH(ROWS($FW$3:FW94),$FU$3:$FU$500,0),2),0)</f>
        <v>SOFTWARE</v>
      </c>
      <c r="FX94" s="259">
        <f t="shared" ca="1" si="271"/>
        <v>92</v>
      </c>
      <c r="FY94" s="259">
        <f t="shared" ca="1" si="272"/>
        <v>0</v>
      </c>
      <c r="FZ94" s="259">
        <f ca="1">IF(FY94&gt;0,MAX($FZ$2:FZ93)+1,0)</f>
        <v>0</v>
      </c>
      <c r="GA94" s="259">
        <f ca="1">IFERROR(INDEX($FY$3:$FZ$500,MATCH(ROWS($GA$3:GA94),$FZ$3:$FZ$500,0),1),0)</f>
        <v>0</v>
      </c>
      <c r="GC94" s="259">
        <f t="shared" ca="1" si="273"/>
        <v>92</v>
      </c>
      <c r="GD94" s="259" t="str">
        <f t="shared" ca="1" si="274"/>
        <v>SOFTWARE</v>
      </c>
      <c r="GG94" s="259">
        <f t="shared" ca="1" si="275"/>
        <v>0</v>
      </c>
      <c r="GH94" s="259">
        <f t="shared" ca="1" si="276"/>
        <v>0</v>
      </c>
      <c r="GI94" s="259">
        <f t="shared" ca="1" si="277"/>
        <v>0</v>
      </c>
      <c r="GJ94" s="259">
        <f t="shared" ca="1" si="278"/>
        <v>0</v>
      </c>
      <c r="GK94" s="259">
        <f t="shared" ca="1" si="279"/>
        <v>0</v>
      </c>
      <c r="GL94" s="259">
        <f t="shared" ca="1" si="280"/>
        <v>0</v>
      </c>
      <c r="GM94" s="259">
        <f ca="1">IF(OR(GK94&gt;0,GL94&gt;0),MAX($GM$2:GM93)+1,0)</f>
        <v>0</v>
      </c>
      <c r="GN94" s="259" t="str">
        <f ca="1">IFERROR(INDEX($GD$3:$GM$400,MATCH(ROWS($GN$3:GN94),$GM$3:$GM$400,0),1),"")</f>
        <v/>
      </c>
      <c r="GO94" s="259" t="str">
        <f ca="1">IFERROR(INDEX($GD$3:$GM$400,MATCH(ROWS($GO$3:GO94),$GM$3:$GM$400,0),8),"")</f>
        <v/>
      </c>
      <c r="GP94" s="259" t="str">
        <f ca="1">IFERROR(INDEX($GD$3:$GM$400,MATCH(ROWS($GP$3:GP94),$GM$3:$GM$400,0),9),"")</f>
        <v/>
      </c>
      <c r="GQ94" s="259">
        <f t="shared" ca="1" si="206"/>
        <v>0</v>
      </c>
      <c r="GR94" s="259">
        <f t="shared" ca="1" si="281"/>
        <v>0</v>
      </c>
      <c r="GS94" s="259" t="str">
        <f t="shared" ca="1" si="282"/>
        <v>chiusura del conto</v>
      </c>
      <c r="GT94" s="259" t="str">
        <f ca="1">IFERROR(INDEX($GD$3:$GS$400,MATCH(ROWS($GT$3:GT94),$GM$3:$GM$400,0),16),"")</f>
        <v/>
      </c>
      <c r="GU94" s="259">
        <f ca="1">IF(GQ94&lt;&gt;0,MAX($GU$2:$GU93)+1,0)</f>
        <v>0</v>
      </c>
      <c r="GV94" s="259">
        <f t="shared" ca="1" si="283"/>
        <v>0</v>
      </c>
      <c r="GW94" s="259" t="str">
        <f ca="1">IF(AND(IFERROR(INDEX($GU$3:$GV$400,MATCH(ROWS($GW$3:GW94),$GU$3:$GU$400,0),2),"")&lt;&gt;"",GW95&lt;&gt;""),CONCATENATE(IFERROR(INDEX($GU$3:$GV$400,MATCH(ROWS($GW$3:GW94),$GU$3:$GU$400,0),2),"")," - "),IFERROR(INDEX($GU$3:$GV$400,MATCH(ROWS($GW$3:GW94),$GU$3:$GU$400,0),2),""))</f>
        <v/>
      </c>
      <c r="GX94" s="259">
        <f ca="1">IF(OR(GN94="IVA NS/CREDITO",GN94="IVA NS/DEBITO",GN94="IVA C/ACCONTO",GN94="IMPOSTE C/ACCONTO"),MAX($GX$2:GX93)+1,0)</f>
        <v>0</v>
      </c>
      <c r="GY94" s="259" t="str">
        <f ca="1">IF(AND(IFERROR(INDEX($GN$3:$GX$200,MATCH(ROWS($GY$3:GY94),$GX$3:$GX$200,0),1),"")&lt;&gt;"",GY95&lt;&gt;""),CONCATENATE(IFERROR(INDEX($GN$3:$GX$200,MATCH(ROWS($GY$3:GY94),$GX$3:$GX$200,0),1),"")," - "),IFERROR(INDEX($GN$3:$GX$200,MATCH(ROWS($GY$3:GY94),$GX$3:$GX$200,0),1),""))</f>
        <v/>
      </c>
      <c r="GZ94" s="259" t="s">
        <v>121</v>
      </c>
      <c r="HA94" s="259" t="s">
        <v>117</v>
      </c>
      <c r="HB94" s="269" t="s">
        <v>257</v>
      </c>
      <c r="HC94" s="269" t="s">
        <v>211</v>
      </c>
      <c r="HD94" s="269" t="s">
        <v>5</v>
      </c>
      <c r="HE94" s="269" t="s">
        <v>212</v>
      </c>
      <c r="HL94" s="259" t="str">
        <f t="shared" ca="1" si="207"/>
        <v/>
      </c>
      <c r="HM94" s="259" t="str">
        <f t="shared" ca="1" si="208"/>
        <v/>
      </c>
      <c r="HN94" s="259" t="str">
        <f t="shared" ca="1" si="209"/>
        <v/>
      </c>
      <c r="HO94" s="259">
        <f ca="1">IF(HL94&lt;&gt;"",MAX($HO$2:HO93)+1,0)</f>
        <v>0</v>
      </c>
      <c r="HP94" s="259">
        <f ca="1">IF(HM94&lt;&gt;"",MAX($HP$2:HP93)+1,0)</f>
        <v>0</v>
      </c>
      <c r="HQ94" s="259">
        <f ca="1">IF(HN94&lt;&gt;"",MAX($HQ$2:HQ93)+1,0)</f>
        <v>0</v>
      </c>
      <c r="HR94" s="259" t="str">
        <f t="shared" ca="1" si="284"/>
        <v/>
      </c>
      <c r="HS94" s="259" t="str">
        <f t="shared" ca="1" si="285"/>
        <v/>
      </c>
      <c r="HT94" s="259">
        <f t="shared" ca="1" si="286"/>
        <v>0</v>
      </c>
      <c r="HU94" s="259">
        <f t="shared" ca="1" si="287"/>
        <v>0</v>
      </c>
      <c r="HV94" s="259" t="str">
        <f ca="1">CONCATENATE(IFERROR(INDEX($HS$3:$HT$102,MATCH(ROWS($HV$3:HV94),$HT$3:$HT$102,0),1),""),HR94)</f>
        <v/>
      </c>
      <c r="IC94" s="259">
        <f ca="1">IFERROR(INDEX(PIANO_DEI_CONTI,MATCH(ROWS(DL$3:DL94),$DK$3:DK321,0),2),0)</f>
        <v>0</v>
      </c>
      <c r="ID94" s="259">
        <f t="shared" ca="1" si="288"/>
        <v>0</v>
      </c>
      <c r="IE94" s="259">
        <f t="shared" ca="1" si="289"/>
        <v>0</v>
      </c>
      <c r="IF94" s="259">
        <f t="shared" ca="1" si="290"/>
        <v>0</v>
      </c>
      <c r="IG94" s="259">
        <f t="shared" ca="1" si="324"/>
        <v>0</v>
      </c>
      <c r="IH94" s="259">
        <f ca="1">IF(IG94&lt;&gt;0,MAX($IH$35:IH93)+1,0)</f>
        <v>0</v>
      </c>
      <c r="II94" s="259">
        <f>IF(AD94="costi pluriennali",MAX($II$2:II93)+1,0)</f>
        <v>0</v>
      </c>
      <c r="IJ94" s="259">
        <f>IF($AD94="rettifiche costi pluriennali",MAX($IJ$2:IJ93)+1,0)</f>
        <v>0</v>
      </c>
      <c r="IK94" s="259">
        <f t="shared" si="291"/>
        <v>0</v>
      </c>
      <c r="IL94" s="259" t="str">
        <f t="shared" si="292"/>
        <v/>
      </c>
      <c r="IM94" s="259">
        <f t="shared" ca="1" si="293"/>
        <v>0</v>
      </c>
      <c r="IN94" s="259">
        <f t="shared" ca="1" si="313"/>
        <v>0</v>
      </c>
      <c r="IO94" s="259">
        <f>SUMIFS($IM$3:$IM$200,$IK$3:$IK$200,ROWS($IO$3:IO94))-SUMIFS($IN$3:$IN$200,$IK$3:$IK$200,ROWS($IO$3:IO94))</f>
        <v>0</v>
      </c>
      <c r="IP94" s="259" t="str">
        <f>IF(IO94&lt;0,INDEX($IJ$3:$IL$200,MATCH(ROWS($IP$3:IP94),$IJ$3:$IJ$200,0),3),"")</f>
        <v/>
      </c>
      <c r="IQ94" s="259">
        <f>IF(IP94&lt;&gt;"",MAX($IQ$2:IQ93)+1,0)</f>
        <v>0</v>
      </c>
      <c r="IR94" s="259" t="str">
        <f ca="1">IFERROR(INDEX($IP$3:$IQ$200,MATCH(ROWS($IR$3:IR94),$IQ$3:$IQ$200,0),1),"")</f>
        <v/>
      </c>
      <c r="IS94" s="259" t="str">
        <f t="shared" ca="1" si="294"/>
        <v/>
      </c>
      <c r="IT94" s="259" t="str">
        <f t="shared" ca="1" si="295"/>
        <v/>
      </c>
      <c r="IU94" s="259" t="str">
        <f t="shared" ca="1" si="296"/>
        <v/>
      </c>
      <c r="IV94" s="259" t="str">
        <f t="shared" ca="1" si="297"/>
        <v/>
      </c>
      <c r="IW94" s="259" t="str">
        <f t="shared" ca="1" si="298"/>
        <v/>
      </c>
      <c r="IX94" s="259" t="str">
        <f t="shared" ca="1" si="299"/>
        <v/>
      </c>
      <c r="IY94" s="259" t="str">
        <f t="shared" ca="1" si="300"/>
        <v/>
      </c>
      <c r="IZ94" s="259" t="str">
        <f t="shared" ca="1" si="301"/>
        <v/>
      </c>
      <c r="JA94" s="259" t="str">
        <f t="shared" ca="1" si="302"/>
        <v/>
      </c>
      <c r="JB94" s="259">
        <f t="shared" ca="1" si="210"/>
        <v>0</v>
      </c>
      <c r="JC94" s="259">
        <f t="shared" ca="1" si="303"/>
        <v>0</v>
      </c>
      <c r="JE94" s="259">
        <f ca="1">IFERROR(INDEX(LIBRO_GIORNALE!$N$11:$O$408,MATCH(ROWS($JE$2:JE93),LIBRO_GIORNALE!$O$11:$O$408,0),1),0)</f>
        <v>0</v>
      </c>
      <c r="JF94" s="259" t="str">
        <f t="shared" ca="1" si="304"/>
        <v>0</v>
      </c>
      <c r="JG94" s="259">
        <f t="shared" ca="1" si="305"/>
        <v>0</v>
      </c>
      <c r="JH94" s="259">
        <f ca="1">IF(JJ94&gt;0,0,MAX($JH$2:JH93)+1)</f>
        <v>92</v>
      </c>
      <c r="JI94" s="259">
        <f ca="1">IF(JG94&gt;0,MAX($JI$2:JI93)+1,0)</f>
        <v>0</v>
      </c>
      <c r="JJ94" s="259">
        <f ca="1">IFERROR(INDEX($JG$3:$JI$124,MATCH(ROWS($JJ$3:JJ94),$JI$3:$JI$124,0),1),0)</f>
        <v>0</v>
      </c>
      <c r="JK94" s="259">
        <f t="shared" ca="1" si="306"/>
        <v>0</v>
      </c>
      <c r="JL94" s="259">
        <f t="shared" ca="1" si="307"/>
        <v>92</v>
      </c>
    </row>
    <row r="95" spans="1:272">
      <c r="A95" s="259" t="str">
        <f t="shared" si="211"/>
        <v>15.03</v>
      </c>
      <c r="B95" s="259" t="str">
        <f t="shared" si="212"/>
        <v>DEBITI PER IVA</v>
      </c>
      <c r="C95" s="259" t="str">
        <f t="shared" si="213"/>
        <v>F</v>
      </c>
      <c r="D95" s="259" t="str">
        <f t="shared" si="214"/>
        <v>A</v>
      </c>
      <c r="E95" s="259" t="str">
        <f t="shared" si="215"/>
        <v>DEBITI</v>
      </c>
      <c r="F95" s="259" t="str">
        <f t="shared" si="216"/>
        <v>SP AVERE</v>
      </c>
      <c r="G95" s="259">
        <f t="shared" ca="1" si="217"/>
        <v>0</v>
      </c>
      <c r="H95" s="259">
        <f t="shared" ca="1" si="218"/>
        <v>0</v>
      </c>
      <c r="I95" s="259">
        <f t="shared" ca="1" si="219"/>
        <v>1</v>
      </c>
      <c r="K95" s="259" t="str">
        <f ca="1">IFERROR(IF($I$1=1,INDEX($AA$3:$AS$220,MATCH(ROWS($K$3:K95),$AQ$3:$AQ$220,0),1),IF($I$1=2,INDEX($AA$3:$AS$220,MATCH(ROWS($K$3:K95),$AR$3:$AR$220,0),1),IF($I$1=3,INDEX($AA$3:$AS$220,MATCH(ROWS($K$3:K95),$AS$3:$AS$220,0),1),""))),"")</f>
        <v>DEPOSITANTI BENI</v>
      </c>
      <c r="L95" s="259">
        <f ca="1">IF(AND($L$1="VISUALIZZA TUTTI I CONTI",K95&lt;&gt;""),MAX(L94:L94)+1,IFERROR(IF($J$1=1,IF(INDEX(PIANO_DEI_CONTI,MATCH($K95,DENOMINAZIONE,0),5)=$L$1,MAX($L$2:L94)+1,0),IF($J$1=2,IF(INDEX(PIANO_DEI_CONTI,MATCH($K95,DENOMINAZIONE,0),7)=$L$1,MAX($L$2:L94)+1,0))),0))</f>
        <v>93</v>
      </c>
      <c r="M95" s="259" t="str">
        <f ca="1">IFERROR(INDEX($K$3:$K$220,MATCH(ROWS($M$3:M95),$L$3:$L$220,0),1),"")</f>
        <v>DEPOSITANTI BENI</v>
      </c>
      <c r="Q95" s="259" t="str">
        <f ca="1">IF(IFERROR(INDEX($O$3:$P$220,MATCH(ROWS(Q$3:Q95),$P$3:$P$220,0),1),"")=0,"",IFERROR(INDEX($O$3:$P$220,MATCH(ROWS(Q$3:Q95),$P$3:$P$220,0),1),""))</f>
        <v/>
      </c>
      <c r="R95" s="259" t="str">
        <f t="shared" ca="1" si="182"/>
        <v>ISTITUTI PREVIDENZIALI</v>
      </c>
      <c r="S95" s="259">
        <f ca="1">IF(IFERROR(MATCH(R95,DENOMINAZIONE_GIORNALE,0),0)&gt;0,MAX(S$2:S94)+1,0)</f>
        <v>0</v>
      </c>
      <c r="T95" s="259" t="str">
        <f ca="1">IFERROR(INDEX($R$3:$S$220,MATCH(ROWS($T$3:T95),$S$3:$S$220,0),1),"")</f>
        <v/>
      </c>
      <c r="U95" s="259">
        <f t="shared" ca="1" si="183"/>
        <v>0</v>
      </c>
      <c r="V95" s="259">
        <f ca="1">IF(IF(U95&lt;&gt;0,MAX($V$2:V94)+1,0)=0,0,IF(U95&lt;&gt;0,MAX($V$2:V94)+1,0))</f>
        <v>0</v>
      </c>
      <c r="W95" s="259" t="str">
        <f t="shared" si="220"/>
        <v>15.03</v>
      </c>
      <c r="X95" s="259" t="str">
        <f t="shared" si="221"/>
        <v>DEBITI PER IVA</v>
      </c>
      <c r="Y95" s="259">
        <f>IF(W95="",0,MAX($Y$2:Y94)+1)</f>
        <v>79</v>
      </c>
      <c r="Z95" s="259" t="str">
        <f>IFERROR(INDEX($W$3:$Y$220,MATCH(ROWS($Z$2:Z94),$Y$3:$Y$220,0),1),"")</f>
        <v>18.11</v>
      </c>
      <c r="AA95" s="259" t="str">
        <f t="shared" si="222"/>
        <v>ISTITUTI PREVIDENZIALI</v>
      </c>
      <c r="AB95" s="259" t="str">
        <f t="shared" si="223"/>
        <v>F</v>
      </c>
      <c r="AC95" s="259" t="str">
        <f t="shared" si="224"/>
        <v>D/A</v>
      </c>
      <c r="AD95" s="259" t="str">
        <f t="shared" si="225"/>
        <v>CONTI CON ALTERNANZA DI SALDI</v>
      </c>
      <c r="AE95" s="259" t="str">
        <f t="shared" si="226"/>
        <v>SP DARE/AVERE</v>
      </c>
      <c r="AF95" s="259" t="str">
        <f t="shared" si="227"/>
        <v>CONTI TRANSITORI E DIVERSI</v>
      </c>
      <c r="AG95" s="259">
        <f t="shared" ca="1" si="228"/>
        <v>0</v>
      </c>
      <c r="AH95" s="259">
        <f t="shared" ca="1" si="229"/>
        <v>1</v>
      </c>
      <c r="AI95" s="259">
        <f t="shared" ca="1" si="230"/>
        <v>1</v>
      </c>
      <c r="AJ95" s="259" t="str">
        <f t="shared" si="231"/>
        <v>18</v>
      </c>
      <c r="AK95" s="259" t="str">
        <f t="shared" si="232"/>
        <v/>
      </c>
      <c r="AL95" s="259">
        <f>IF(AK95&lt;&gt;"",MAX($AL$2:AL94)+1,0)</f>
        <v>0</v>
      </c>
      <c r="AM95" s="259" t="str">
        <f>IFERROR(INDEX($AK$3:$AL$220,MATCH(ROWS($AM$3:AM95),$AL$3:$AL$220,0),1),"")</f>
        <v/>
      </c>
      <c r="AN95" s="259" t="str">
        <f t="shared" si="233"/>
        <v/>
      </c>
      <c r="AO95" s="259" t="str">
        <f t="shared" si="234"/>
        <v/>
      </c>
      <c r="AP95" s="259" t="str">
        <f t="shared" si="235"/>
        <v>CONTI TRANSITORI E DIVERSI</v>
      </c>
      <c r="AQ95" s="259">
        <f ca="1">IF(OR(AG95=0,AG95=""),0,MAX(AQ$2:AQ94)+1)</f>
        <v>0</v>
      </c>
      <c r="AR95" s="259">
        <f ca="1">IF(OR(AH95=0,AH95=""),0,MAX(AR$2:AR94)+1)</f>
        <v>65</v>
      </c>
      <c r="AS95" s="259">
        <f ca="1">IF(OR(AI95=0,AI95=""),0,MAX(AS$2:AS94)+1)</f>
        <v>89</v>
      </c>
      <c r="AT95" s="259" t="str">
        <f ca="1">IFERROR(INDEX($AD$3:$AS$220,MATCH(ROWS(AT$3:AT95),AQ$3:AQ$220,0),1),"")</f>
        <v/>
      </c>
      <c r="AU95" s="259" t="str">
        <f ca="1">IFERROR(INDEX($AD$3:$AS$220,MATCH(ROWS(AU$3:AU95),AR$3:AR$220,0),1),"")</f>
        <v>COSTI D'ESERCIZIO</v>
      </c>
      <c r="AV95" s="259" t="str">
        <f ca="1">IFERROR(INDEX($AD$3:$AS$220,MATCH(ROWS(AV$3:AV95),AS$3:AS$220,0),1),"")</f>
        <v>CONTI D'ORDINE</v>
      </c>
      <c r="AW95" s="259" t="str">
        <f ca="1">IFERROR(INDEX($AP$3:$AS$220,MATCH(ROWS(AW$3:AW95),AQ$3:AQ$220,0),1),"")</f>
        <v/>
      </c>
      <c r="AX95" s="259" t="str">
        <f ca="1">IFERROR(INDEX($AP$3:$AS$220,MATCH(ROWS(AX$3:AX95),AR$3:AR$220,0),1),"")</f>
        <v>COSTI PER SERVIZI</v>
      </c>
      <c r="AY95" s="259" t="str">
        <f ca="1">IFERROR(INDEX($AP$3:$AS$220,MATCH(ROWS(AY$3:AY95),AS$3:AS$220,0),1),"")</f>
        <v>CONTI DEI SISTEMI MINORI</v>
      </c>
      <c r="AZ95" s="276" t="str">
        <f t="shared" ca="1" si="236"/>
        <v/>
      </c>
      <c r="BA95" s="259">
        <f t="shared" ca="1" si="184"/>
        <v>0</v>
      </c>
      <c r="BB95" s="259">
        <f ca="1">IFERROR(INDEX($FG$3:$FL$400,MATCH(ROWS($BB$3:BB95),$FL$3:$FL$400,0),1),0)</f>
        <v>0</v>
      </c>
      <c r="BC95" s="259" t="str">
        <f t="shared" ca="1" si="237"/>
        <v/>
      </c>
      <c r="BD95" s="259">
        <f ca="1">IFERROR(INDEX($FG$3:$FL$400,MATCH(ROWS($BD$3:BD95),$FL$3:$FL$400,0),4),0)</f>
        <v>0</v>
      </c>
      <c r="BE95" s="259">
        <f ca="1">IFERROR(INDEX($FG$3:$FL$400,MATCH(ROWS($BE$3:BE95),$FL$3:$FL$400,0),5),0)</f>
        <v>0</v>
      </c>
      <c r="BG95" s="259" t="str">
        <f t="shared" ca="1" si="185"/>
        <v>ISTITUTI PREVIDENZIALI</v>
      </c>
      <c r="BH95" s="259">
        <f ca="1">IF(IFERROR(MATCH(BG95,DENOMINAZIONE_GIORNALE,0),0)&gt;0,MAX(BH$2:BH94)+1,0)</f>
        <v>0</v>
      </c>
      <c r="BI95" s="259" t="str">
        <f ca="1">IFERROR(INDEX($BG$3:$BH$220,MATCH(ROWS($BI$3:BI95),$BH$3:$BH$220,0),1),"")</f>
        <v/>
      </c>
      <c r="BJ95" s="259" t="str">
        <f t="shared" ca="1" si="186"/>
        <v/>
      </c>
      <c r="BK95" s="259" t="str">
        <f ca="1">IF(IF(BJ95&lt;&gt;"",MAX($BK$2:BK94)+1,0)=0,"",IF(BJ95&lt;&gt;"",MAX($BK$2:BK94)+1,0))</f>
        <v/>
      </c>
      <c r="BL95" s="259" t="str">
        <f ca="1">IFERROR(INDEX($T$3:$U$220, MATCH(ROWS(BL$3:BL95),$V$3:$V$220,0),1),"")</f>
        <v/>
      </c>
      <c r="BM95" s="259" t="str">
        <f ca="1">IFERROR(INDEX($T$3:$U$220, MATCH(ROWS(BM$3:BM95),$V$3:$V$220,0),2),"")</f>
        <v/>
      </c>
      <c r="BN95" s="259" t="str">
        <f ca="1">IF(IFERROR(INDEX($BI$3:$BJ$220,MATCH(ROWS(BN$3:BN95),$BK$3:$BK$220,0),1),"")="PATRIMONIO NETTO","",IFERROR(INDEX($BI$3:$BJ$220,MATCH(ROWS(BN$3:BN95),$BK$3:$BK$220,0),1),""))</f>
        <v/>
      </c>
      <c r="BO95" s="259" t="str">
        <f ca="1">IFERROR(INDEX($BI$3:$BJ$220,MATCH(ROWS(BO$3:BO95),$BK$3:$BK$220,0),2),"")</f>
        <v/>
      </c>
      <c r="BP95" s="259">
        <f ca="1">IF(BN95&lt;&gt;"",MAX(BP$2:$BP94)+1,0)</f>
        <v>0</v>
      </c>
      <c r="BQ95" s="259" t="str">
        <f ca="1">IFERROR(INDEX($BN$3:$BO$200,MATCH(ROWS(BQ$3:BQ95),$BP$3:$BP$220,0),1),"")</f>
        <v/>
      </c>
      <c r="BR95" s="259" t="str">
        <f ca="1">IFERROR(INDEX($BN$3:$BO$220,MATCH(ROWS(BR$3:BR95),$BP$3:$BP$220,0),2),"")</f>
        <v/>
      </c>
      <c r="BS95" s="259" t="str">
        <f ca="1">IFERROR(IF(OR(INDEX($T$3:$U$220,MATCH(ROWS(BL$3:BL95),$V$3:$V$220,0),1)="PRELEVAMENTI EXTRAGESTIONE",INDEX($T$3:$U$220,MATCH(ROWS(BL$3:BL95),$V$3:$V$220,0),1)="TITOLARE C/RITENUTE SUBITE"),"",INDEX($T$3:$U$220,MATCH(ROWS(BL$3:BL95),$V$3:$V$220,0),1)),"")</f>
        <v/>
      </c>
      <c r="BT95" s="259">
        <f t="shared" ca="1" si="238"/>
        <v>0</v>
      </c>
      <c r="BU95" s="259">
        <f ca="1">IF(BS95&lt;&gt;"",MAX(BU$2:BU94)+1,0)</f>
        <v>0</v>
      </c>
      <c r="BV95" s="259" t="str">
        <f ca="1">IFERROR(INDEX($BS$3:$BT$223,MATCH(ROWS(BV$3:BV95),$BU$3:$BU$223,0),1),"")</f>
        <v/>
      </c>
      <c r="BW95" s="259">
        <f t="shared" ca="1" si="239"/>
        <v>0</v>
      </c>
      <c r="BX95" s="259" t="str">
        <f t="shared" ca="1" si="240"/>
        <v/>
      </c>
      <c r="BY95" s="259" t="str">
        <f t="shared" ca="1" si="241"/>
        <v/>
      </c>
      <c r="BZ95" s="259" t="str">
        <f ca="1">IFERROR(IF(OR($DS$231&lt;&gt;$DT$231,$DU$231&lt;&gt;$DV$231,$EO$25&lt;&gt;0,$EO$26&lt;&gt;0),INDEX($T$3:$V$220,MATCH(ROWS($BV$3:BV95),$V$3:$V$220,0),1),CONCATENATE(BV95,BY95)),"")</f>
        <v/>
      </c>
      <c r="CA95" s="259">
        <f t="shared" ca="1" si="242"/>
        <v>0</v>
      </c>
      <c r="CB95" s="259" t="str">
        <f ca="1">IFERROR(IF(OR($BB$1&lt;&gt;$BD$1,$BC$1&lt;&gt;$BE$1,$DS$231&lt;&gt;$DT$231,$DU$231&lt;&gt;$DV$231,$EO$25&lt;&gt;0,$EO$26&lt;&gt;0),INDEX($BI$3:$BK$220,MATCH(ROWS($CB$3:CB95),$BK$3:$BK$220,0),1),CONCATENATE(BQ95,BX95)),"")</f>
        <v/>
      </c>
      <c r="CC95" s="259" t="str">
        <f t="shared" ca="1" si="243"/>
        <v/>
      </c>
      <c r="CD95" s="259" t="str">
        <f t="shared" ca="1" si="187"/>
        <v/>
      </c>
      <c r="CE95" s="259">
        <f ca="1">IF(IFERROR(MATCH(CD95,DENOMINAZIONE_GIORNALE,0),0)&gt;0,MAX(CE$2:CE94)+1,0)</f>
        <v>0</v>
      </c>
      <c r="CF95" s="259" t="str">
        <f ca="1">IFERROR(INDEX($CD$3:$CE$220,MATCH(ROWS($CF$3:CF95),$CE$3:$CE$220,0),1),"")</f>
        <v/>
      </c>
      <c r="CG95" s="259">
        <f t="shared" ca="1" si="188"/>
        <v>0</v>
      </c>
      <c r="CH95" s="259" t="str">
        <f ca="1">IF(IF(CG95&lt;&gt;0,MAX($CH$2:CH94)+1,0)=0,"",IF(CG95&lt;&gt;"",MAX($CH$2:CH94)+1,0))</f>
        <v/>
      </c>
      <c r="CI95" s="259" t="str">
        <f ca="1">IFERROR(INDEX($CF$3:$CG$220,MATCH(ROWS($CI$3:CI95),$CH$3:$CH$220,0),1),"")</f>
        <v/>
      </c>
      <c r="CJ95" s="259" t="str">
        <f t="shared" ca="1" si="244"/>
        <v/>
      </c>
      <c r="CK95" s="259" t="str">
        <f t="shared" ca="1" si="189"/>
        <v/>
      </c>
      <c r="CL95" s="259">
        <f ca="1">IF(IFERROR(MATCH(CK95,DENOMINAZIONE_GIORNALE,0),0)&gt;0,MAX(CL$2:CL94)+1,0)</f>
        <v>0</v>
      </c>
      <c r="CM95" s="259" t="str">
        <f ca="1">IFERROR(INDEX($CK$3:$CL$220,MATCH(ROWS($CM$3:CM95),$CL$3:$CL$220,0),1),"")</f>
        <v/>
      </c>
      <c r="CN95" s="259" t="str">
        <f t="shared" ca="1" si="190"/>
        <v/>
      </c>
      <c r="CO95" s="259">
        <f ca="1">IF(IF(CN95&lt;&gt;0,MAX($CO$2:CO94)+1,0)=0,"",IF(CN95&lt;&gt;"",MAX($CO$2:CO94)+1,0))</f>
        <v>0</v>
      </c>
      <c r="CP95" s="259" t="str">
        <f ca="1">IFERROR(INDEX($CM$3:$CN$220,MATCH(ROWS(CP$3:CP95),$CO$3:$CO$220,0),1),"")</f>
        <v/>
      </c>
      <c r="CQ95" s="259" t="str">
        <f ca="1">IFERROR(INDEX($CM$3:$CN$220,MATCH(ROWS(CQ$3:CQ95),$CO$3:$CO$220,0),2),"")</f>
        <v/>
      </c>
      <c r="CR95" s="259" t="str">
        <f t="shared" ca="1" si="191"/>
        <v/>
      </c>
      <c r="CS95" s="259">
        <f t="shared" ca="1" si="192"/>
        <v>0</v>
      </c>
      <c r="CT95" s="259">
        <f t="shared" ca="1" si="193"/>
        <v>0</v>
      </c>
      <c r="CU95" s="259">
        <f ca="1">IF(OR(CS95&gt;0,CT95&gt;0),MAX($CU$2:CU94)+1,0)</f>
        <v>0</v>
      </c>
      <c r="CV95" s="259" t="str">
        <f ca="1">IFERROR(INDEX(PIANO_DEI_CONTI,MATCH(ROWS($CV$3:CV95),$CU$3:$CU$200,0),2),"")</f>
        <v/>
      </c>
      <c r="CW95" s="259">
        <f ca="1">IFERROR(IF(CV95&lt;&gt;"",MAX($CW$2:CW94)+1,0),0)</f>
        <v>0</v>
      </c>
      <c r="CX95" s="259">
        <f t="shared" ca="1" si="326"/>
        <v>6</v>
      </c>
      <c r="CY95" s="259" t="str">
        <f t="shared" ca="1" si="308"/>
        <v>MASTRO</v>
      </c>
      <c r="CZ95" s="259" t="e">
        <f t="shared" ref="CZ95:CZ109" ca="1" si="328">SUM(MATCH($CY95,INDIRECT(ADDRESS(SUM(CZ94)+3,54)&amp;":"&amp;ADDRESS(400,54)),0),CZ94)</f>
        <v>#N/A</v>
      </c>
      <c r="DA95" s="259" t="str">
        <f ca="1">IFERROR(INDEX(LIBRO_GIORNALE,CZ95,1),"")</f>
        <v/>
      </c>
      <c r="DB95" s="259" t="str">
        <f t="shared" ref="DB95:DB109" ca="1" si="329">IF(RIGHT(TEXT(IFERROR(INDEX(LIBRO_GIORNALE,CZ95,2),""),"gg/mm/aa"),1)="a",TEXT(IFERROR(INDEX(LIBRO_GIORNALE,CZ95,2),""),"dd/mm/yy"),TEXT(IFERROR(INDEX(LIBRO_GIORNALE,CZ95,2),""),"gg/mm/aa"))</f>
        <v/>
      </c>
      <c r="DC95" s="259" t="str">
        <f t="shared" ref="DC95:DC109" ca="1" si="330">IF(IFERROR(INDEX(LIBRO_GIORNALE,CZ95,4),"")=0,"manca la descrizione dell'operazione",IFERROR(INDEX(LIBRO_GIORNALE,CZ95,4),""))</f>
        <v/>
      </c>
      <c r="DD95" s="259" t="str">
        <f t="shared" ref="DD95:DD109" ca="1" si="331">IFERROR(IF(INDEX(LIBRO_GIORNALE,CZ95,5)&gt;0,INDEX(LIBRO_GIORNALE,CZ95,5),""),"")</f>
        <v/>
      </c>
      <c r="DE95" s="259" t="str">
        <f t="shared" ref="DE95:DE109" ca="1" si="332">IFERROR(IF(INDEX(LIBRO_GIORNALE,CZ95,6)&gt;0,INDEX(LIBRO_GIORNALE,CZ95,6),""),"")</f>
        <v/>
      </c>
      <c r="DF95" s="259">
        <f ca="1">IF(AND(CX95=$DE$2,$DF$2&lt;&gt;0),0,IF(AND(DB95&lt;&gt;"",OR(DB94&lt;&gt;"",DB96&lt;&gt;"")),MAX($DF$2:DF94)+1,0))</f>
        <v>0</v>
      </c>
      <c r="DG95" s="259" t="str">
        <f>IF(OR(VALORI_INIZIALI!E100="",AND(VALORI_INIZIALI!E100&lt;&gt;"",VALORI_INIZIALI!H100=0,VALORI_INIZIALI!I100=0)),"",IFERROR(INDEX(PIANO_DEI_CONTI,MATCH(BB95,DENOMINAZIONE,0),1),0))</f>
        <v/>
      </c>
      <c r="DH95" s="259">
        <f ca="1">IFERROR(IF($J$1=1,IF(INDEX(PIANO_DEI_CONTI,MATCH($K95,DENOMINAZIONE,0),5)=$DF$1,MAX($DH$2:DH94)+1,0),IF($J$1=2,IF(INDEX(PIANO_DEI_CONTI,MATCH($K95,DENOMINAZIONE,0),7)=$DF$1,MAX($DH$2:DH94)+1,0))),0)</f>
        <v>0</v>
      </c>
      <c r="DI95" s="259">
        <f ca="1">IFERROR(INDEX($K$3:$K$220,MATCH(ROWS($DI$3:DI95),$DH$3:$DH$220,0),1),0)</f>
        <v>0</v>
      </c>
      <c r="DJ95" s="259">
        <f t="shared" ca="1" si="194"/>
        <v>0</v>
      </c>
      <c r="DK95" s="259">
        <f ca="1">IF(DJ95=0,0,MAX(DK$2:DK94)+1)</f>
        <v>0</v>
      </c>
      <c r="DL95" s="259">
        <f ca="1">IFERROR(INDEX(PIANO_DEI_CONTI,MATCH(ROWS(DL$3:DL95),$DK$3:DK322,0),2),0)</f>
        <v>0</v>
      </c>
      <c r="DM95" s="259">
        <f t="shared" ca="1" si="195"/>
        <v>0</v>
      </c>
      <c r="DN95" s="259">
        <f t="shared" ca="1" si="196"/>
        <v>0</v>
      </c>
      <c r="DO95" s="259">
        <f t="shared" ca="1" si="245"/>
        <v>0</v>
      </c>
      <c r="DP95" s="259">
        <f t="shared" ca="1" si="246"/>
        <v>0</v>
      </c>
      <c r="DQ95" s="259">
        <f ca="1">IF(OR($DQ$1="TOTALI",$DQ$1="TOTALI ED ECCEDENZE"),IF(OR(DM95&gt;0,DN95&gt;0),MAX(DQ$2:DQ94)+1,0),IF($DQ$1="ECCEDENZE",IF(OR(DO95&gt;0,DP95&gt;0),MAX(DQ$2:DQ94)+1,0),""))</f>
        <v>0</v>
      </c>
      <c r="DR95" s="259" t="str">
        <f ca="1">IFERROR(INDEX($DL$3:$DQ$230,MATCH(ROWS(DR$3:DR95),$DQ$3:$DQ$230,0),1),"")</f>
        <v/>
      </c>
      <c r="DS95" s="259" t="str">
        <f t="shared" ca="1" si="247"/>
        <v/>
      </c>
      <c r="DT95" s="259" t="str">
        <f t="shared" ca="1" si="248"/>
        <v/>
      </c>
      <c r="DU95" s="259" t="str">
        <f t="shared" ca="1" si="249"/>
        <v/>
      </c>
      <c r="DV95" s="259" t="str">
        <f t="shared" ca="1" si="250"/>
        <v/>
      </c>
      <c r="DW95" s="259">
        <f t="shared" ca="1" si="251"/>
        <v>0</v>
      </c>
      <c r="DX95" s="259" t="str">
        <f t="shared" ca="1" si="252"/>
        <v/>
      </c>
      <c r="DY95" s="259" t="str">
        <f t="shared" ca="1" si="253"/>
        <v/>
      </c>
      <c r="DZ95" s="259" t="str">
        <f t="shared" ca="1" si="254"/>
        <v/>
      </c>
      <c r="EA95" s="259">
        <f t="shared" ca="1" si="255"/>
        <v>93</v>
      </c>
      <c r="EB95" s="259" t="str">
        <f ca="1">IF(SUMIFS($ID$3:$ID$200,$IC$3:$IC$200,AA95)&gt;=SUMIFS($IE$3:$IE$200,$IC$3:$IC$200,AA95),"pac2","ppd")</f>
        <v>pac2</v>
      </c>
      <c r="ED95" s="259">
        <f t="shared" ca="1" si="197"/>
        <v>0</v>
      </c>
      <c r="EE95" s="259" t="str">
        <f t="shared" ca="1" si="198"/>
        <v/>
      </c>
      <c r="EF95" s="259" t="str">
        <f t="shared" ca="1" si="199"/>
        <v/>
      </c>
      <c r="EG95" s="259" t="str">
        <f t="shared" ca="1" si="309"/>
        <v/>
      </c>
      <c r="EH95" s="259" t="str">
        <f t="shared" ca="1" si="256"/>
        <v/>
      </c>
      <c r="EI95" s="260" t="b">
        <f t="shared" ca="1" si="310"/>
        <v>0</v>
      </c>
      <c r="EJ95" s="260" t="b">
        <f t="shared" ca="1" si="311"/>
        <v>0</v>
      </c>
      <c r="EK95" s="260" t="b">
        <f t="shared" ca="1" si="312"/>
        <v>1</v>
      </c>
      <c r="EL95" s="259">
        <f t="shared" si="257"/>
        <v>93</v>
      </c>
      <c r="EM95" s="259">
        <f ca="1">IF(AND(BA95&gt;0,BA95&lt;=$EM$1),MAX($EM$2:EM94)+1,0)</f>
        <v>0</v>
      </c>
      <c r="EN95" s="259">
        <f t="shared" ca="1" si="258"/>
        <v>95</v>
      </c>
      <c r="EP95" s="259" t="str">
        <f t="shared" ca="1" si="200"/>
        <v/>
      </c>
      <c r="EQ95" s="259">
        <f t="shared" ca="1" si="201"/>
        <v>0</v>
      </c>
      <c r="ER95" s="259">
        <f ca="1">IF(ISNA(EQ95),MAX(ER$2:ER94)+1,0)</f>
        <v>0</v>
      </c>
      <c r="ES95" s="259" t="str">
        <f t="shared" ca="1" si="259"/>
        <v/>
      </c>
      <c r="ET95" s="259" t="str">
        <f ca="1">IFERROR(UPPER(INDEX($ER$3:$ES$500,MATCH(ROWS(ET$3:ET95),$ER$3:$ER$500,0),2)),"")</f>
        <v/>
      </c>
      <c r="EY95" s="259">
        <f t="shared" ca="1" si="260"/>
        <v>0</v>
      </c>
      <c r="EZ95" s="259">
        <f t="shared" ca="1" si="260"/>
        <v>0</v>
      </c>
      <c r="FA95" s="259" t="str">
        <f t="shared" ca="1" si="261"/>
        <v/>
      </c>
      <c r="FB95" s="259">
        <f t="shared" ca="1" si="262"/>
        <v>0</v>
      </c>
      <c r="FC95" s="259">
        <f t="shared" ca="1" si="263"/>
        <v>0</v>
      </c>
      <c r="FD95" s="259">
        <f t="shared" ca="1" si="202"/>
        <v>0</v>
      </c>
      <c r="FE95" s="259" t="str">
        <f t="shared" ca="1" si="203"/>
        <v/>
      </c>
      <c r="FF95" s="259" t="str">
        <f t="shared" ca="1" si="264"/>
        <v/>
      </c>
      <c r="FG95" s="259" t="str">
        <f t="shared" si="265"/>
        <v>ISTITUTI PREVIDENZIALI</v>
      </c>
      <c r="FH95" s="259">
        <f t="shared" ca="1" si="156"/>
        <v>0</v>
      </c>
      <c r="FI95" s="259">
        <f t="shared" ca="1" si="204"/>
        <v>0</v>
      </c>
      <c r="FJ95" s="259">
        <f t="shared" ca="1" si="266"/>
        <v>0</v>
      </c>
      <c r="FK95" s="259">
        <f t="shared" ca="1" si="267"/>
        <v>0</v>
      </c>
      <c r="FL95" s="259">
        <f ca="1">IF(OR(FJ95&gt;0,FK95&gt;0),MAX($FL$2:FL94)+1,0)</f>
        <v>0</v>
      </c>
      <c r="FM95" s="259">
        <f t="shared" si="205"/>
        <v>0</v>
      </c>
      <c r="FN95" s="259">
        <f>IF(FM95&lt;0,MAX($FN$2:FN94)+1,0)</f>
        <v>0</v>
      </c>
      <c r="FO95" s="259" t="str">
        <f t="shared" si="268"/>
        <v/>
      </c>
      <c r="FP95" s="259" t="str">
        <f ca="1">IFERROR(INDEX($FN$3:$FO$400,MATCH(ROWS($FP$3:FP95),$FN$3:$FN$400,0),2),"")</f>
        <v/>
      </c>
      <c r="FQ95" s="259" t="str">
        <f>IF(AE95="SE AVERE",MAX($FQ$2:FQ94)+1,"")</f>
        <v/>
      </c>
      <c r="FR95" s="259" t="str">
        <f>IF(AE95="SE DARE",MAX($FR$2:FR94)+1,"")</f>
        <v/>
      </c>
      <c r="FS95" s="259" t="str">
        <f ca="1">IF(AND(AE95="SP DARE",AA95&lt;&gt;$FS$1,AA95&lt;&gt;$FT$1),MAX($FS$2:FS94)+1,IF(AND(GQ95="SP DARE",AA95&lt;&gt;$FS$1,AA95&lt;&gt;$FT$1),MAX($FS$2:FS94)+1,""))</f>
        <v/>
      </c>
      <c r="FT95" s="259" t="str">
        <f ca="1">IF(AND(AE95="SP AVERE",AA95&lt;&gt;$FU$1),MAX($FT$2:FT94)+1,IF(AND(GQ95="SP AVERE",AA95&lt;&gt;$FU$1),MAX($FT$2:FT94)+1,""))</f>
        <v/>
      </c>
      <c r="FU95" s="259">
        <f t="shared" ca="1" si="269"/>
        <v>0</v>
      </c>
      <c r="FV95" s="259" t="str">
        <f t="shared" si="270"/>
        <v>ISTITUTI PREVIDENZIALI</v>
      </c>
      <c r="FW95" s="259" t="str">
        <f ca="1">IFERROR(INDEX($FU$3:$FV$500,MATCH(ROWS($FW$3:FW95),$FU$3:$FU$500,0),2),0)</f>
        <v>AVVIAMENTO</v>
      </c>
      <c r="FX95" s="259">
        <f t="shared" ca="1" si="271"/>
        <v>93</v>
      </c>
      <c r="FY95" s="259">
        <f t="shared" ca="1" si="272"/>
        <v>0</v>
      </c>
      <c r="FZ95" s="259">
        <f ca="1">IF(FY95&gt;0,MAX($FZ$2:FZ94)+1,0)</f>
        <v>0</v>
      </c>
      <c r="GA95" s="259">
        <f ca="1">IFERROR(INDEX($FY$3:$FZ$500,MATCH(ROWS($GA$3:GA95),$FZ$3:$FZ$500,0),1),0)</f>
        <v>0</v>
      </c>
      <c r="GC95" s="259">
        <f t="shared" ca="1" si="273"/>
        <v>93</v>
      </c>
      <c r="GD95" s="259" t="str">
        <f t="shared" ca="1" si="274"/>
        <v>AVVIAMENTO</v>
      </c>
      <c r="GG95" s="259">
        <f t="shared" ca="1" si="275"/>
        <v>0</v>
      </c>
      <c r="GH95" s="259">
        <f t="shared" ca="1" si="276"/>
        <v>0</v>
      </c>
      <c r="GI95" s="259">
        <f t="shared" ca="1" si="277"/>
        <v>0</v>
      </c>
      <c r="GJ95" s="259">
        <f t="shared" ca="1" si="278"/>
        <v>0</v>
      </c>
      <c r="GK95" s="259">
        <f t="shared" ca="1" si="279"/>
        <v>0</v>
      </c>
      <c r="GL95" s="259">
        <f t="shared" ca="1" si="280"/>
        <v>0</v>
      </c>
      <c r="GM95" s="259">
        <f ca="1">IF(OR(GK95&gt;0,GL95&gt;0),MAX($GM$2:GM94)+1,0)</f>
        <v>0</v>
      </c>
      <c r="GN95" s="259" t="str">
        <f ca="1">IFERROR(INDEX($GD$3:$GM$400,MATCH(ROWS($GN$3:GN95),$GM$3:$GM$400,0),1),"")</f>
        <v/>
      </c>
      <c r="GO95" s="259" t="str">
        <f ca="1">IFERROR(INDEX($GD$3:$GM$400,MATCH(ROWS($GO$3:GO95),$GM$3:$GM$400,0),8),"")</f>
        <v/>
      </c>
      <c r="GP95" s="259" t="str">
        <f ca="1">IFERROR(INDEX($GD$3:$GM$400,MATCH(ROWS($GP$3:GP95),$GM$3:$GM$400,0),9),"")</f>
        <v/>
      </c>
      <c r="GQ95" s="259">
        <f t="shared" ca="1" si="206"/>
        <v>0</v>
      </c>
      <c r="GR95" s="259">
        <f t="shared" ca="1" si="281"/>
        <v>0</v>
      </c>
      <c r="GS95" s="259" t="str">
        <f t="shared" ca="1" si="282"/>
        <v>chiusura del conto</v>
      </c>
      <c r="GT95" s="259" t="str">
        <f ca="1">IFERROR(INDEX($GD$3:$GS$400,MATCH(ROWS($GT$3:GT95),$GM$3:$GM$400,0),16),"")</f>
        <v/>
      </c>
      <c r="GU95" s="259">
        <f ca="1">IF(GQ95&lt;&gt;0,MAX($GU$2:$GU94)+1,0)</f>
        <v>0</v>
      </c>
      <c r="GV95" s="259">
        <f t="shared" ca="1" si="283"/>
        <v>0</v>
      </c>
      <c r="GW95" s="259" t="str">
        <f ca="1">IF(AND(IFERROR(INDEX($GU$3:$GV$400,MATCH(ROWS($GW$3:GW95),$GU$3:$GU$400,0),2),"")&lt;&gt;"",GW96&lt;&gt;""),CONCATENATE(IFERROR(INDEX($GU$3:$GV$400,MATCH(ROWS($GW$3:GW95),$GU$3:$GU$400,0),2),"")," - "),IFERROR(INDEX($GU$3:$GV$400,MATCH(ROWS($GW$3:GW95),$GU$3:$GU$400,0),2),""))</f>
        <v/>
      </c>
      <c r="GX95" s="259">
        <f ca="1">IF(OR(GN95="IVA NS/CREDITO",GN95="IVA NS/DEBITO",GN95="IVA C/ACCONTO",GN95="IMPOSTE C/ACCONTO"),MAX($GX$2:GX94)+1,0)</f>
        <v>0</v>
      </c>
      <c r="GY95" s="259" t="str">
        <f ca="1">IF(AND(IFERROR(INDEX($GN$3:$GX$200,MATCH(ROWS($GY$3:GY95),$GX$3:$GX$200,0),1),"")&lt;&gt;"",GY96&lt;&gt;""),CONCATENATE(IFERROR(INDEX($GN$3:$GX$200,MATCH(ROWS($GY$3:GY95),$GX$3:$GX$200,0),1),"")," - "),IFERROR(INDEX($GN$3:$GX$200,MATCH(ROWS($GY$3:GY95),$GX$3:$GX$200,0),1),""))</f>
        <v/>
      </c>
      <c r="GZ95" s="259" t="s">
        <v>645</v>
      </c>
      <c r="HA95" s="259" t="s">
        <v>532</v>
      </c>
      <c r="HB95" s="269" t="s">
        <v>257</v>
      </c>
      <c r="HC95" s="269" t="s">
        <v>211</v>
      </c>
      <c r="HD95" s="269" t="s">
        <v>5</v>
      </c>
      <c r="HE95" s="269" t="s">
        <v>212</v>
      </c>
      <c r="HL95" s="259" t="str">
        <f t="shared" ca="1" si="207"/>
        <v/>
      </c>
      <c r="HM95" s="259" t="str">
        <f t="shared" ca="1" si="208"/>
        <v/>
      </c>
      <c r="HN95" s="259" t="str">
        <f t="shared" ca="1" si="209"/>
        <v/>
      </c>
      <c r="HO95" s="259">
        <f ca="1">IF(HL95&lt;&gt;"",MAX($HO$2:HO94)+1,0)</f>
        <v>0</v>
      </c>
      <c r="HP95" s="259">
        <f ca="1">IF(HM95&lt;&gt;"",MAX($HP$2:HP94)+1,0)</f>
        <v>0</v>
      </c>
      <c r="HQ95" s="259">
        <f ca="1">IF(HN95&lt;&gt;"",MAX($HQ$2:HQ94)+1,0)</f>
        <v>0</v>
      </c>
      <c r="HR95" s="259" t="str">
        <f t="shared" ca="1" si="284"/>
        <v/>
      </c>
      <c r="HS95" s="259" t="str">
        <f t="shared" ca="1" si="285"/>
        <v/>
      </c>
      <c r="HT95" s="259">
        <f t="shared" ca="1" si="286"/>
        <v>0</v>
      </c>
      <c r="HU95" s="259">
        <f t="shared" ca="1" si="287"/>
        <v>0</v>
      </c>
      <c r="HV95" s="259" t="str">
        <f ca="1">CONCATENATE(IFERROR(INDEX($HS$3:$HT$102,MATCH(ROWS($HV$3:HV95),$HT$3:$HT$102,0),1),""),HR95)</f>
        <v/>
      </c>
      <c r="IC95" s="259">
        <f ca="1">IFERROR(INDEX(PIANO_DEI_CONTI,MATCH(ROWS(DL$3:DL95),$DK$3:DK322,0),2),0)</f>
        <v>0</v>
      </c>
      <c r="ID95" s="259">
        <f t="shared" ca="1" si="288"/>
        <v>0</v>
      </c>
      <c r="IE95" s="259">
        <f t="shared" ca="1" si="289"/>
        <v>0</v>
      </c>
      <c r="IF95" s="259">
        <f t="shared" ca="1" si="290"/>
        <v>0</v>
      </c>
      <c r="IG95" s="259">
        <f t="shared" ca="1" si="324"/>
        <v>0</v>
      </c>
      <c r="IH95" s="259">
        <f ca="1">IF(IG95&lt;&gt;0,MAX($IH$35:IH94)+1,0)</f>
        <v>0</v>
      </c>
      <c r="II95" s="259">
        <f>IF(AD95="costi pluriennali",MAX($II$2:II94)+1,0)</f>
        <v>0</v>
      </c>
      <c r="IJ95" s="259">
        <f>IF($AD95="rettifiche costi pluriennali",MAX($IJ$2:IJ94)+1,0)</f>
        <v>0</v>
      </c>
      <c r="IK95" s="259">
        <f t="shared" si="291"/>
        <v>0</v>
      </c>
      <c r="IL95" s="259" t="str">
        <f t="shared" si="292"/>
        <v/>
      </c>
      <c r="IM95" s="259">
        <f t="shared" ca="1" si="293"/>
        <v>0</v>
      </c>
      <c r="IN95" s="259">
        <f t="shared" ca="1" si="313"/>
        <v>0</v>
      </c>
      <c r="IO95" s="259">
        <f>SUMIFS($IM$3:$IM$200,$IK$3:$IK$200,ROWS($IO$3:IO95))-SUMIFS($IN$3:$IN$200,$IK$3:$IK$200,ROWS($IO$3:IO95))</f>
        <v>0</v>
      </c>
      <c r="IP95" s="259" t="str">
        <f>IF(IO95&lt;0,INDEX($IJ$3:$IL$200,MATCH(ROWS($IP$3:IP95),$IJ$3:$IJ$200,0),3),"")</f>
        <v/>
      </c>
      <c r="IQ95" s="259">
        <f>IF(IP95&lt;&gt;"",MAX($IQ$2:IQ94)+1,0)</f>
        <v>0</v>
      </c>
      <c r="IR95" s="259" t="str">
        <f ca="1">IFERROR(INDEX($IP$3:$IQ$200,MATCH(ROWS($IR$3:IR95),$IQ$3:$IQ$200,0),1),"")</f>
        <v/>
      </c>
      <c r="IS95" s="259" t="str">
        <f t="shared" ca="1" si="294"/>
        <v/>
      </c>
      <c r="IT95" s="259" t="str">
        <f t="shared" ca="1" si="295"/>
        <v/>
      </c>
      <c r="IU95" s="259" t="str">
        <f t="shared" ca="1" si="296"/>
        <v/>
      </c>
      <c r="IV95" s="259" t="str">
        <f t="shared" ca="1" si="297"/>
        <v/>
      </c>
      <c r="IW95" s="259" t="str">
        <f t="shared" ca="1" si="298"/>
        <v/>
      </c>
      <c r="IX95" s="259" t="str">
        <f t="shared" ca="1" si="299"/>
        <v/>
      </c>
      <c r="IY95" s="259" t="str">
        <f t="shared" ca="1" si="300"/>
        <v/>
      </c>
      <c r="IZ95" s="259" t="str">
        <f t="shared" ca="1" si="301"/>
        <v/>
      </c>
      <c r="JA95" s="259" t="str">
        <f t="shared" ca="1" si="302"/>
        <v/>
      </c>
      <c r="JB95" s="259">
        <f t="shared" ca="1" si="210"/>
        <v>0</v>
      </c>
      <c r="JC95" s="259">
        <f t="shared" ca="1" si="303"/>
        <v>0</v>
      </c>
      <c r="JE95" s="259">
        <f ca="1">IFERROR(INDEX(LIBRO_GIORNALE!$N$11:$O$408,MATCH(ROWS($JE$2:JE94),LIBRO_GIORNALE!$O$11:$O$408,0),1),0)</f>
        <v>0</v>
      </c>
      <c r="JF95" s="259" t="str">
        <f t="shared" ca="1" si="304"/>
        <v>0</v>
      </c>
      <c r="JG95" s="259">
        <f t="shared" ca="1" si="305"/>
        <v>0</v>
      </c>
      <c r="JH95" s="259">
        <f ca="1">IF(JJ95&gt;0,0,MAX($JH$2:JH94)+1)</f>
        <v>93</v>
      </c>
      <c r="JI95" s="259">
        <f ca="1">IF(JG95&gt;0,MAX($JI$2:JI94)+1,0)</f>
        <v>0</v>
      </c>
      <c r="JJ95" s="259">
        <f ca="1">IFERROR(INDEX($JG$3:$JI$124,MATCH(ROWS($JJ$3:JJ95),$JI$3:$JI$124,0),1),0)</f>
        <v>0</v>
      </c>
      <c r="JK95" s="259">
        <f t="shared" ca="1" si="306"/>
        <v>0</v>
      </c>
      <c r="JL95" s="259">
        <f t="shared" ca="1" si="307"/>
        <v>93</v>
      </c>
    </row>
    <row r="96" spans="1:272">
      <c r="A96" s="259" t="str">
        <f t="shared" si="211"/>
        <v>15.04</v>
      </c>
      <c r="B96" s="259" t="str">
        <f t="shared" si="212"/>
        <v>DEBITI FISCALI DIVERSI</v>
      </c>
      <c r="C96" s="259" t="str">
        <f t="shared" si="213"/>
        <v>F</v>
      </c>
      <c r="D96" s="259" t="str">
        <f t="shared" si="214"/>
        <v>A</v>
      </c>
      <c r="E96" s="259" t="str">
        <f t="shared" si="215"/>
        <v>DEBITI</v>
      </c>
      <c r="F96" s="259" t="str">
        <f t="shared" si="216"/>
        <v>SP AVERE</v>
      </c>
      <c r="G96" s="259">
        <f t="shared" ca="1" si="217"/>
        <v>1</v>
      </c>
      <c r="H96" s="259">
        <f t="shared" ca="1" si="218"/>
        <v>1</v>
      </c>
      <c r="I96" s="259">
        <f t="shared" ca="1" si="219"/>
        <v>1</v>
      </c>
      <c r="K96" s="259" t="str">
        <f ca="1">IFERROR(IF($I$1=1,INDEX($AA$3:$AS$220,MATCH(ROWS($K$3:K96),$AQ$3:$AQ$220,0),1),IF($I$1=2,INDEX($AA$3:$AS$220,MATCH(ROWS($K$3:K96),$AR$3:$AR$220,0),1),IF($I$1=3,INDEX($AA$3:$AS$220,MATCH(ROWS($K$3:K96),$AS$3:$AS$220,0),1),""))),"")</f>
        <v>IMPEGNI PER BENI IN LEASING</v>
      </c>
      <c r="L96" s="259">
        <f ca="1">IF(AND($L$1="VISUALIZZA TUTTI I CONTI",K96&lt;&gt;""),MAX(L95:L95)+1,IFERROR(IF($J$1=1,IF(INDEX(PIANO_DEI_CONTI,MATCH($K96,DENOMINAZIONE,0),5)=$L$1,MAX($L$2:L95)+1,0),IF($J$1=2,IF(INDEX(PIANO_DEI_CONTI,MATCH($K96,DENOMINAZIONE,0),7)=$L$1,MAX($L$2:L95)+1,0))),0))</f>
        <v>94</v>
      </c>
      <c r="M96" s="259" t="str">
        <f ca="1">IFERROR(INDEX($K$3:$K$220,MATCH(ROWS($M$3:M96),$L$3:$L$220,0),1),"")</f>
        <v>IMPEGNI PER BENI IN LEASING</v>
      </c>
      <c r="Q96" s="259" t="str">
        <f ca="1">IF(IFERROR(INDEX($O$3:$P$220,MATCH(ROWS(Q$3:Q96),$P$3:$P$220,0),1),"")=0,"",IFERROR(INDEX($O$3:$P$220,MATCH(ROWS(Q$3:Q96),$P$3:$P$220,0),1),""))</f>
        <v/>
      </c>
      <c r="R96" s="259" t="str">
        <f t="shared" ca="1" si="182"/>
        <v>BANCA X C/C</v>
      </c>
      <c r="S96" s="259">
        <f ca="1">IF(IFERROR(MATCH(R96,DENOMINAZIONE_GIORNALE,0),0)&gt;0,MAX(S$2:S95)+1,0)</f>
        <v>0</v>
      </c>
      <c r="T96" s="259" t="str">
        <f ca="1">IFERROR(INDEX($R$3:$S$220,MATCH(ROWS($T$3:T96),$S$3:$S$220,0),1),"")</f>
        <v/>
      </c>
      <c r="U96" s="259">
        <f t="shared" ca="1" si="183"/>
        <v>0</v>
      </c>
      <c r="V96" s="259">
        <f ca="1">IF(IF(U96&lt;&gt;0,MAX($V$2:V95)+1,0)=0,0,IF(U96&lt;&gt;0,MAX($V$2:V95)+1,0))</f>
        <v>0</v>
      </c>
      <c r="W96" s="259" t="str">
        <f t="shared" si="220"/>
        <v>15.04</v>
      </c>
      <c r="X96" s="259" t="str">
        <f t="shared" si="221"/>
        <v>DEBITI FISCALI DIVERSI</v>
      </c>
      <c r="Y96" s="259">
        <f>IF(W96="",0,MAX($Y$2:Y95)+1)</f>
        <v>80</v>
      </c>
      <c r="Z96" s="259" t="str">
        <f>IFERROR(INDEX($W$3:$Y$220,MATCH(ROWS($Z$2:Z95),$Y$3:$Y$220,0),1),"")</f>
        <v>18.20</v>
      </c>
      <c r="AA96" s="259" t="str">
        <f t="shared" ca="1" si="222"/>
        <v>BANCA X C/C</v>
      </c>
      <c r="AB96" s="259" t="str">
        <f t="shared" si="223"/>
        <v>F</v>
      </c>
      <c r="AC96" s="259" t="str">
        <f t="shared" si="224"/>
        <v>D/A</v>
      </c>
      <c r="AD96" s="259" t="str">
        <f t="shared" si="225"/>
        <v>CONTI CON ALTERNANZA DI SALDI</v>
      </c>
      <c r="AE96" s="259" t="str">
        <f t="shared" si="226"/>
        <v>SP DARE/AVERE</v>
      </c>
      <c r="AF96" s="259" t="str">
        <f t="shared" si="227"/>
        <v>CONTI TRANSITORI E DIVERSI</v>
      </c>
      <c r="AG96" s="259">
        <f t="shared" ca="1" si="228"/>
        <v>1</v>
      </c>
      <c r="AH96" s="259">
        <f t="shared" ca="1" si="229"/>
        <v>1</v>
      </c>
      <c r="AI96" s="259">
        <f t="shared" ca="1" si="230"/>
        <v>1</v>
      </c>
      <c r="AJ96" s="259" t="str">
        <f t="shared" si="231"/>
        <v>18</v>
      </c>
      <c r="AK96" s="259" t="str">
        <f t="shared" si="232"/>
        <v/>
      </c>
      <c r="AL96" s="259">
        <f>IF(AK96&lt;&gt;"",MAX($AL$2:AL95)+1,0)</f>
        <v>0</v>
      </c>
      <c r="AM96" s="259" t="str">
        <f>IFERROR(INDEX($AK$3:$AL$220,MATCH(ROWS($AM$3:AM96),$AL$3:$AL$220,0),1),"")</f>
        <v/>
      </c>
      <c r="AN96" s="259" t="str">
        <f t="shared" si="233"/>
        <v/>
      </c>
      <c r="AO96" s="259" t="str">
        <f t="shared" si="234"/>
        <v/>
      </c>
      <c r="AP96" s="259" t="str">
        <f t="shared" si="235"/>
        <v>CONTI TRANSITORI E DIVERSI</v>
      </c>
      <c r="AQ96" s="259">
        <f ca="1">IF(OR(AG96=0,AG96=""),0,MAX(AQ$2:AQ95)+1)</f>
        <v>44</v>
      </c>
      <c r="AR96" s="259">
        <f ca="1">IF(OR(AH96=0,AH96=""),0,MAX(AR$2:AR95)+1)</f>
        <v>66</v>
      </c>
      <c r="AS96" s="259">
        <f ca="1">IF(OR(AI96=0,AI96=""),0,MAX(AS$2:AS95)+1)</f>
        <v>90</v>
      </c>
      <c r="AT96" s="259" t="str">
        <f ca="1">IFERROR(INDEX($AD$3:$AS$220,MATCH(ROWS(AT$3:AT96),AQ$3:AQ$220,0),1),"")</f>
        <v/>
      </c>
      <c r="AU96" s="259" t="str">
        <f ca="1">IFERROR(INDEX($AD$3:$AS$220,MATCH(ROWS(AU$3:AU96),AR$3:AR$220,0),1),"")</f>
        <v>COSTI D'ESERCIZIO</v>
      </c>
      <c r="AV96" s="259" t="str">
        <f ca="1">IFERROR(INDEX($AD$3:$AS$220,MATCH(ROWS(AV$3:AV96),AS$3:AS$220,0),1),"")</f>
        <v>CONTI D'ORDINE</v>
      </c>
      <c r="AW96" s="259" t="str">
        <f ca="1">IFERROR(INDEX($AP$3:$AS$220,MATCH(ROWS(AW$3:AW96),AQ$3:AQ$220,0),1),"")</f>
        <v/>
      </c>
      <c r="AX96" s="259" t="str">
        <f ca="1">IFERROR(INDEX($AP$3:$AS$220,MATCH(ROWS(AX$3:AX96),AR$3:AR$220,0),1),"")</f>
        <v>COSTI PER SERVIZI</v>
      </c>
      <c r="AY96" s="259" t="str">
        <f ca="1">IFERROR(INDEX($AP$3:$AS$220,MATCH(ROWS(AY$3:AY96),AS$3:AS$220,0),1),"")</f>
        <v>CONTI DEI SISTEMI MINORI</v>
      </c>
      <c r="AZ96" s="276" t="str">
        <f t="shared" ca="1" si="236"/>
        <v/>
      </c>
      <c r="BA96" s="259">
        <f t="shared" ca="1" si="184"/>
        <v>0</v>
      </c>
      <c r="BB96" s="259">
        <f ca="1">IFERROR(INDEX($FG$3:$FL$400,MATCH(ROWS($BB$3:BB96),$FL$3:$FL$400,0),1),0)</f>
        <v>0</v>
      </c>
      <c r="BC96" s="259" t="str">
        <f t="shared" ca="1" si="237"/>
        <v/>
      </c>
      <c r="BD96" s="259">
        <f ca="1">IFERROR(INDEX($FG$3:$FL$400,MATCH(ROWS($BD$3:BD96),$FL$3:$FL$400,0),4),0)</f>
        <v>0</v>
      </c>
      <c r="BE96" s="259">
        <f ca="1">IFERROR(INDEX($FG$3:$FL$400,MATCH(ROWS($BE$3:BE96),$FL$3:$FL$400,0),5),0)</f>
        <v>0</v>
      </c>
      <c r="BG96" s="259" t="str">
        <f t="shared" ca="1" si="185"/>
        <v>BANCA X C/C</v>
      </c>
      <c r="BH96" s="259">
        <f ca="1">IF(IFERROR(MATCH(BG96,DENOMINAZIONE_GIORNALE,0),0)&gt;0,MAX(BH$2:BH95)+1,0)</f>
        <v>0</v>
      </c>
      <c r="BI96" s="259" t="str">
        <f ca="1">IFERROR(INDEX($BG$3:$BH$220,MATCH(ROWS($BI$3:BI96),$BH$3:$BH$220,0),1),"")</f>
        <v/>
      </c>
      <c r="BJ96" s="259" t="str">
        <f t="shared" ca="1" si="186"/>
        <v/>
      </c>
      <c r="BK96" s="259" t="str">
        <f ca="1">IF(IF(BJ96&lt;&gt;"",MAX($BK$2:BK95)+1,0)=0,"",IF(BJ96&lt;&gt;"",MAX($BK$2:BK95)+1,0))</f>
        <v/>
      </c>
      <c r="BL96" s="259" t="str">
        <f ca="1">IFERROR(INDEX($T$3:$U$220, MATCH(ROWS(BL$3:BL96),$V$3:$V$220,0),1),"")</f>
        <v/>
      </c>
      <c r="BM96" s="259" t="str">
        <f ca="1">IFERROR(INDEX($T$3:$U$220, MATCH(ROWS(BM$3:BM96),$V$3:$V$220,0),2),"")</f>
        <v/>
      </c>
      <c r="BN96" s="259" t="str">
        <f ca="1">IF(IFERROR(INDEX($BI$3:$BJ$220,MATCH(ROWS(BN$3:BN96),$BK$3:$BK$220,0),1),"")="PATRIMONIO NETTO","",IFERROR(INDEX($BI$3:$BJ$220,MATCH(ROWS(BN$3:BN96),$BK$3:$BK$220,0),1),""))</f>
        <v/>
      </c>
      <c r="BO96" s="259" t="str">
        <f ca="1">IFERROR(INDEX($BI$3:$BJ$220,MATCH(ROWS(BO$3:BO96),$BK$3:$BK$220,0),2),"")</f>
        <v/>
      </c>
      <c r="BP96" s="259">
        <f ca="1">IF(BN96&lt;&gt;"",MAX(BP$2:$BP95)+1,0)</f>
        <v>0</v>
      </c>
      <c r="BQ96" s="259" t="str">
        <f ca="1">IFERROR(INDEX($BN$3:$BO$200,MATCH(ROWS(BQ$3:BQ96),$BP$3:$BP$220,0),1),"")</f>
        <v/>
      </c>
      <c r="BR96" s="259" t="str">
        <f ca="1">IFERROR(INDEX($BN$3:$BO$220,MATCH(ROWS(BR$3:BR96),$BP$3:$BP$220,0),2),"")</f>
        <v/>
      </c>
      <c r="BS96" s="259" t="str">
        <f ca="1">IFERROR(IF(OR(INDEX($T$3:$U$220,MATCH(ROWS(BL$3:BL96),$V$3:$V$220,0),1)="PRELEVAMENTI EXTRAGESTIONE",INDEX($T$3:$U$220,MATCH(ROWS(BL$3:BL96),$V$3:$V$220,0),1)="TITOLARE C/RITENUTE SUBITE"),"",INDEX($T$3:$U$220,MATCH(ROWS(BL$3:BL96),$V$3:$V$220,0),1)),"")</f>
        <v/>
      </c>
      <c r="BT96" s="259">
        <f t="shared" ca="1" si="238"/>
        <v>0</v>
      </c>
      <c r="BU96" s="259">
        <f ca="1">IF(BS96&lt;&gt;"",MAX(BU$2:BU95)+1,0)</f>
        <v>0</v>
      </c>
      <c r="BV96" s="259" t="str">
        <f ca="1">IFERROR(INDEX($BS$3:$BT$223,MATCH(ROWS(BV$3:BV96),$BU$3:$BU$223,0),1),"")</f>
        <v/>
      </c>
      <c r="BW96" s="259">
        <f t="shared" ca="1" si="239"/>
        <v>0</v>
      </c>
      <c r="BX96" s="259" t="str">
        <f t="shared" ca="1" si="240"/>
        <v/>
      </c>
      <c r="BY96" s="259" t="str">
        <f t="shared" ca="1" si="241"/>
        <v/>
      </c>
      <c r="BZ96" s="259" t="str">
        <f ca="1">IFERROR(IF(OR($DS$231&lt;&gt;$DT$231,$DU$231&lt;&gt;$DV$231,$EO$25&lt;&gt;0,$EO$26&lt;&gt;0),INDEX($T$3:$V$220,MATCH(ROWS($BV$3:BV96),$V$3:$V$220,0),1),CONCATENATE(BV96,BY96)),"")</f>
        <v/>
      </c>
      <c r="CA96" s="259">
        <f t="shared" ca="1" si="242"/>
        <v>0</v>
      </c>
      <c r="CB96" s="259" t="str">
        <f ca="1">IFERROR(IF(OR($BB$1&lt;&gt;$BD$1,$BC$1&lt;&gt;$BE$1,$DS$231&lt;&gt;$DT$231,$DU$231&lt;&gt;$DV$231,$EO$25&lt;&gt;0,$EO$26&lt;&gt;0),INDEX($BI$3:$BK$220,MATCH(ROWS($CB$3:CB96),$BK$3:$BK$220,0),1),CONCATENATE(BQ96,BX96)),"")</f>
        <v/>
      </c>
      <c r="CC96" s="259" t="str">
        <f t="shared" ca="1" si="243"/>
        <v/>
      </c>
      <c r="CD96" s="259" t="str">
        <f t="shared" ca="1" si="187"/>
        <v/>
      </c>
      <c r="CE96" s="259">
        <f ca="1">IF(IFERROR(MATCH(CD96,DENOMINAZIONE_GIORNALE,0),0)&gt;0,MAX(CE$2:CE95)+1,0)</f>
        <v>0</v>
      </c>
      <c r="CF96" s="259" t="str">
        <f ca="1">IFERROR(INDEX($CD$3:$CE$220,MATCH(ROWS($CF$3:CF96),$CE$3:$CE$220,0),1),"")</f>
        <v/>
      </c>
      <c r="CG96" s="259">
        <f t="shared" ca="1" si="188"/>
        <v>0</v>
      </c>
      <c r="CH96" s="259" t="str">
        <f ca="1">IF(IF(CG96&lt;&gt;0,MAX($CH$2:CH95)+1,0)=0,"",IF(CG96&lt;&gt;"",MAX($CH$2:CH95)+1,0))</f>
        <v/>
      </c>
      <c r="CI96" s="259" t="str">
        <f ca="1">IFERROR(INDEX($CF$3:$CG$220,MATCH(ROWS($CI$3:CI96),$CH$3:$CH$220,0),1),"")</f>
        <v/>
      </c>
      <c r="CJ96" s="259" t="str">
        <f t="shared" ca="1" si="244"/>
        <v/>
      </c>
      <c r="CK96" s="259" t="str">
        <f t="shared" ca="1" si="189"/>
        <v/>
      </c>
      <c r="CL96" s="259">
        <f ca="1">IF(IFERROR(MATCH(CK96,DENOMINAZIONE_GIORNALE,0),0)&gt;0,MAX(CL$2:CL95)+1,0)</f>
        <v>0</v>
      </c>
      <c r="CM96" s="259" t="str">
        <f ca="1">IFERROR(INDEX($CK$3:$CL$220,MATCH(ROWS($CM$3:CM96),$CL$3:$CL$220,0),1),"")</f>
        <v/>
      </c>
      <c r="CN96" s="259" t="str">
        <f t="shared" ca="1" si="190"/>
        <v/>
      </c>
      <c r="CO96" s="259">
        <f ca="1">IF(IF(CN96&lt;&gt;0,MAX($CO$2:CO95)+1,0)=0,"",IF(CN96&lt;&gt;"",MAX($CO$2:CO95)+1,0))</f>
        <v>0</v>
      </c>
      <c r="CP96" s="259" t="str">
        <f ca="1">IFERROR(INDEX($CM$3:$CN$220,MATCH(ROWS(CP$3:CP96),$CO$3:$CO$220,0),1),"")</f>
        <v/>
      </c>
      <c r="CQ96" s="259" t="str">
        <f ca="1">IFERROR(INDEX($CM$3:$CN$220,MATCH(ROWS(CQ$3:CQ96),$CO$3:$CO$220,0),2),"")</f>
        <v/>
      </c>
      <c r="CR96" s="259" t="str">
        <f t="shared" ca="1" si="191"/>
        <v/>
      </c>
      <c r="CS96" s="259">
        <f t="shared" ca="1" si="192"/>
        <v>0</v>
      </c>
      <c r="CT96" s="259">
        <f t="shared" ca="1" si="193"/>
        <v>0</v>
      </c>
      <c r="CU96" s="259">
        <f ca="1">IF(OR(CS96&gt;0,CT96&gt;0),MAX($CU$2:CU95)+1,0)</f>
        <v>0</v>
      </c>
      <c r="CV96" s="259" t="str">
        <f ca="1">IFERROR(INDEX(PIANO_DEI_CONTI,MATCH(ROWS($CV$3:CV96),$CU$3:$CU$200,0),2),"")</f>
        <v/>
      </c>
      <c r="CW96" s="259">
        <f ca="1">IFERROR(IF(CV96&lt;&gt;"",MAX($CW$2:CW95)+1,0),0)</f>
        <v>0</v>
      </c>
      <c r="CX96" s="259">
        <f t="shared" ca="1" si="326"/>
        <v>6</v>
      </c>
      <c r="CY96" s="259" t="str">
        <f t="shared" ca="1" si="308"/>
        <v>MASTRO</v>
      </c>
      <c r="CZ96" s="259" t="e">
        <f t="shared" ca="1" si="328"/>
        <v>#N/A</v>
      </c>
      <c r="DA96" s="259" t="str">
        <f t="shared" ref="DA96:DA109" ca="1" si="333">IFERROR(INDEX(LIBRO_GIORNALE,CZ96,1),"")</f>
        <v/>
      </c>
      <c r="DB96" s="259" t="str">
        <f t="shared" ca="1" si="329"/>
        <v/>
      </c>
      <c r="DC96" s="259" t="str">
        <f t="shared" ca="1" si="330"/>
        <v/>
      </c>
      <c r="DD96" s="259" t="str">
        <f t="shared" ca="1" si="331"/>
        <v/>
      </c>
      <c r="DE96" s="259" t="str">
        <f t="shared" ca="1" si="332"/>
        <v/>
      </c>
      <c r="DF96" s="259">
        <f ca="1">IF(AND(CX96=$DE$2,$DF$2&lt;&gt;0),0,IF(AND(DB96&lt;&gt;"",OR(DB95&lt;&gt;"",DB97&lt;&gt;"")),MAX($DF$2:DF95)+1,0))</f>
        <v>0</v>
      </c>
      <c r="DG96" s="259" t="str">
        <f>IF(OR(VALORI_INIZIALI!E101="",AND(VALORI_INIZIALI!E101&lt;&gt;"",VALORI_INIZIALI!H101=0,VALORI_INIZIALI!I101=0)),"",IFERROR(INDEX(PIANO_DEI_CONTI,MATCH(BB96,DENOMINAZIONE,0),1),0))</f>
        <v/>
      </c>
      <c r="DH96" s="259">
        <f ca="1">IFERROR(IF($J$1=1,IF(INDEX(PIANO_DEI_CONTI,MATCH($K96,DENOMINAZIONE,0),5)=$DF$1,MAX($DH$2:DH95)+1,0),IF($J$1=2,IF(INDEX(PIANO_DEI_CONTI,MATCH($K96,DENOMINAZIONE,0),7)=$DF$1,MAX($DH$2:DH95)+1,0))),0)</f>
        <v>0</v>
      </c>
      <c r="DI96" s="259">
        <f ca="1">IFERROR(INDEX($K$3:$K$220,MATCH(ROWS($DI$3:DI96),$DH$3:$DH$220,0),1),0)</f>
        <v>0</v>
      </c>
      <c r="DJ96" s="259">
        <f t="shared" ca="1" si="194"/>
        <v>0</v>
      </c>
      <c r="DK96" s="259">
        <f ca="1">IF(DJ96=0,0,MAX(DK$2:DK95)+1)</f>
        <v>0</v>
      </c>
      <c r="DL96" s="259">
        <f ca="1">IFERROR(INDEX(PIANO_DEI_CONTI,MATCH(ROWS(DL$3:DL96),$DK$3:DK323,0),2),0)</f>
        <v>0</v>
      </c>
      <c r="DM96" s="259">
        <f t="shared" ca="1" si="195"/>
        <v>0</v>
      </c>
      <c r="DN96" s="259">
        <f t="shared" ca="1" si="196"/>
        <v>0</v>
      </c>
      <c r="DO96" s="259">
        <f t="shared" ca="1" si="245"/>
        <v>0</v>
      </c>
      <c r="DP96" s="259">
        <f t="shared" ca="1" si="246"/>
        <v>0</v>
      </c>
      <c r="DQ96" s="259">
        <f ca="1">IF(OR($DQ$1="TOTALI",$DQ$1="TOTALI ED ECCEDENZE"),IF(OR(DM96&gt;0,DN96&gt;0),MAX(DQ$2:DQ95)+1,0),IF($DQ$1="ECCEDENZE",IF(OR(DO96&gt;0,DP96&gt;0),MAX(DQ$2:DQ95)+1,0),""))</f>
        <v>0</v>
      </c>
      <c r="DR96" s="259" t="str">
        <f ca="1">IFERROR(INDEX($DL$3:$DQ$230,MATCH(ROWS(DR$3:DR96),$DQ$3:$DQ$230,0),1),"")</f>
        <v/>
      </c>
      <c r="DS96" s="259" t="str">
        <f t="shared" ca="1" si="247"/>
        <v/>
      </c>
      <c r="DT96" s="259" t="str">
        <f t="shared" ca="1" si="248"/>
        <v/>
      </c>
      <c r="DU96" s="259" t="str">
        <f t="shared" ca="1" si="249"/>
        <v/>
      </c>
      <c r="DV96" s="259" t="str">
        <f t="shared" ca="1" si="250"/>
        <v/>
      </c>
      <c r="DW96" s="259">
        <f t="shared" ca="1" si="251"/>
        <v>0</v>
      </c>
      <c r="DX96" s="259" t="str">
        <f t="shared" ca="1" si="252"/>
        <v/>
      </c>
      <c r="DY96" s="259" t="str">
        <f t="shared" ca="1" si="253"/>
        <v/>
      </c>
      <c r="DZ96" s="259" t="str">
        <f t="shared" ca="1" si="254"/>
        <v/>
      </c>
      <c r="EA96" s="259">
        <f t="shared" ca="1" si="255"/>
        <v>94</v>
      </c>
      <c r="EB96" s="259" t="str">
        <f ca="1">IF(SUMIFS($ID$3:$ID$200,$IC$3:$IC$200,AA96)&gt;=SUMIFS($IE$3:$IE$200,$IC$3:$IC$200,AA96),"pac4","ppd")</f>
        <v>pac4</v>
      </c>
      <c r="ED96" s="259">
        <f t="shared" ca="1" si="197"/>
        <v>0</v>
      </c>
      <c r="EE96" s="259" t="str">
        <f t="shared" ca="1" si="198"/>
        <v/>
      </c>
      <c r="EF96" s="259" t="str">
        <f t="shared" ca="1" si="199"/>
        <v/>
      </c>
      <c r="EG96" s="259" t="str">
        <f t="shared" ca="1" si="309"/>
        <v/>
      </c>
      <c r="EH96" s="259" t="str">
        <f t="shared" ca="1" si="256"/>
        <v/>
      </c>
      <c r="EI96" s="260" t="b">
        <f t="shared" ca="1" si="310"/>
        <v>1</v>
      </c>
      <c r="EJ96" s="260" t="b">
        <f t="shared" ca="1" si="311"/>
        <v>1</v>
      </c>
      <c r="EK96" s="260" t="b">
        <f t="shared" ca="1" si="312"/>
        <v>1</v>
      </c>
      <c r="EL96" s="259">
        <f t="shared" si="257"/>
        <v>94</v>
      </c>
      <c r="EM96" s="259">
        <f ca="1">IF(AND(BA96&gt;0,BA96&lt;=$EM$1),MAX($EM$2:EM95)+1,0)</f>
        <v>0</v>
      </c>
      <c r="EN96" s="259">
        <f t="shared" ca="1" si="258"/>
        <v>96</v>
      </c>
      <c r="EP96" s="259" t="str">
        <f t="shared" ca="1" si="200"/>
        <v/>
      </c>
      <c r="EQ96" s="259">
        <f t="shared" ca="1" si="201"/>
        <v>0</v>
      </c>
      <c r="ER96" s="259">
        <f ca="1">IF(ISNA(EQ96),MAX(ER$2:ER95)+1,0)</f>
        <v>0</v>
      </c>
      <c r="ES96" s="259" t="str">
        <f t="shared" ca="1" si="259"/>
        <v/>
      </c>
      <c r="ET96" s="259" t="str">
        <f ca="1">IFERROR(UPPER(INDEX($ER$3:$ES$500,MATCH(ROWS(ET$3:ET96),$ER$3:$ER$500,0),2)),"")</f>
        <v/>
      </c>
      <c r="EY96" s="259">
        <f t="shared" ca="1" si="260"/>
        <v>0</v>
      </c>
      <c r="EZ96" s="259">
        <f t="shared" ca="1" si="260"/>
        <v>0</v>
      </c>
      <c r="FA96" s="259" t="str">
        <f t="shared" ca="1" si="261"/>
        <v/>
      </c>
      <c r="FB96" s="259">
        <f t="shared" ca="1" si="262"/>
        <v>0</v>
      </c>
      <c r="FC96" s="259">
        <f t="shared" ca="1" si="263"/>
        <v>0</v>
      </c>
      <c r="FD96" s="259">
        <f t="shared" ca="1" si="202"/>
        <v>0</v>
      </c>
      <c r="FE96" s="259" t="str">
        <f t="shared" ca="1" si="203"/>
        <v/>
      </c>
      <c r="FF96" s="259" t="str">
        <f t="shared" ca="1" si="264"/>
        <v/>
      </c>
      <c r="FG96" s="259" t="str">
        <f t="shared" ca="1" si="265"/>
        <v>BANCA X C/C</v>
      </c>
      <c r="FH96" s="259">
        <f t="shared" ca="1" si="156"/>
        <v>0</v>
      </c>
      <c r="FI96" s="259">
        <f t="shared" ca="1" si="204"/>
        <v>0</v>
      </c>
      <c r="FJ96" s="259">
        <f t="shared" ca="1" si="266"/>
        <v>0</v>
      </c>
      <c r="FK96" s="259">
        <f t="shared" ca="1" si="267"/>
        <v>0</v>
      </c>
      <c r="FL96" s="259">
        <f ca="1">IF(OR(FJ96&gt;0,FK96&gt;0),MAX($FL$2:FL95)+1,0)</f>
        <v>0</v>
      </c>
      <c r="FM96" s="259">
        <f t="shared" si="205"/>
        <v>0</v>
      </c>
      <c r="FN96" s="259">
        <f>IF(FM96&lt;0,MAX($FN$2:FN95)+1,0)</f>
        <v>0</v>
      </c>
      <c r="FO96" s="259" t="str">
        <f t="shared" si="268"/>
        <v/>
      </c>
      <c r="FP96" s="259" t="str">
        <f ca="1">IFERROR(INDEX($FN$3:$FO$400,MATCH(ROWS($FP$3:FP96),$FN$3:$FN$400,0),2),"")</f>
        <v/>
      </c>
      <c r="FQ96" s="259" t="str">
        <f>IF(AE96="SE AVERE",MAX($FQ$2:FQ95)+1,"")</f>
        <v/>
      </c>
      <c r="FR96" s="259" t="str">
        <f>IF(AE96="SE DARE",MAX($FR$2:FR95)+1,"")</f>
        <v/>
      </c>
      <c r="FS96" s="259" t="str">
        <f ca="1">IF(AND(AE96="SP DARE",AA96&lt;&gt;$FS$1,AA96&lt;&gt;$FT$1),MAX($FS$2:FS95)+1,IF(AND(GQ96="SP DARE",AA96&lt;&gt;$FS$1,AA96&lt;&gt;$FT$1),MAX($FS$2:FS95)+1,""))</f>
        <v/>
      </c>
      <c r="FT96" s="259" t="str">
        <f ca="1">IF(AND(AE96="SP AVERE",AA96&lt;&gt;$FU$1),MAX($FT$2:FT95)+1,IF(AND(GQ96="SP AVERE",AA96&lt;&gt;$FU$1),MAX($FT$2:FT95)+1,""))</f>
        <v/>
      </c>
      <c r="FU96" s="259">
        <f t="shared" ca="1" si="269"/>
        <v>0</v>
      </c>
      <c r="FV96" s="259" t="str">
        <f t="shared" ca="1" si="270"/>
        <v>BANCA X C/C</v>
      </c>
      <c r="FW96" s="259" t="str">
        <f ca="1">IFERROR(INDEX($FU$3:$FV$500,MATCH(ROWS($FW$3:FW96),$FU$3:$FU$500,0),2),0)</f>
        <v>FORNITORI IMMOBILIZZ. IMMATERIALI C/ACCONTI</v>
      </c>
      <c r="FX96" s="259">
        <f t="shared" ca="1" si="271"/>
        <v>94</v>
      </c>
      <c r="FY96" s="259">
        <f t="shared" ca="1" si="272"/>
        <v>0</v>
      </c>
      <c r="FZ96" s="259">
        <f ca="1">IF(FY96&gt;0,MAX($FZ$2:FZ95)+1,0)</f>
        <v>0</v>
      </c>
      <c r="GA96" s="259">
        <f ca="1">IFERROR(INDEX($FY$3:$FZ$500,MATCH(ROWS($GA$3:GA96),$FZ$3:$FZ$500,0),1),0)</f>
        <v>0</v>
      </c>
      <c r="GC96" s="259">
        <f t="shared" ca="1" si="273"/>
        <v>94</v>
      </c>
      <c r="GD96" s="259" t="str">
        <f t="shared" ca="1" si="274"/>
        <v>FORNITORI IMMOBILIZZ. IMMATERIALI C/ACCONTI</v>
      </c>
      <c r="GG96" s="259">
        <f t="shared" ca="1" si="275"/>
        <v>0</v>
      </c>
      <c r="GH96" s="259">
        <f t="shared" ca="1" si="276"/>
        <v>0</v>
      </c>
      <c r="GI96" s="259">
        <f t="shared" ca="1" si="277"/>
        <v>0</v>
      </c>
      <c r="GJ96" s="259">
        <f t="shared" ca="1" si="278"/>
        <v>0</v>
      </c>
      <c r="GK96" s="259">
        <f t="shared" ca="1" si="279"/>
        <v>0</v>
      </c>
      <c r="GL96" s="259">
        <f t="shared" ca="1" si="280"/>
        <v>0</v>
      </c>
      <c r="GM96" s="259">
        <f ca="1">IF(OR(GK96&gt;0,GL96&gt;0),MAX($GM$2:GM95)+1,0)</f>
        <v>0</v>
      </c>
      <c r="GN96" s="259" t="str">
        <f ca="1">IFERROR(INDEX($GD$3:$GM$400,MATCH(ROWS($GN$3:GN96),$GM$3:$GM$400,0),1),"")</f>
        <v/>
      </c>
      <c r="GO96" s="259" t="str">
        <f ca="1">IFERROR(INDEX($GD$3:$GM$400,MATCH(ROWS($GO$3:GO96),$GM$3:$GM$400,0),8),"")</f>
        <v/>
      </c>
      <c r="GP96" s="259" t="str">
        <f ca="1">IFERROR(INDEX($GD$3:$GM$400,MATCH(ROWS($GP$3:GP96),$GM$3:$GM$400,0),9),"")</f>
        <v/>
      </c>
      <c r="GQ96" s="259">
        <f t="shared" ca="1" si="206"/>
        <v>0</v>
      </c>
      <c r="GR96" s="259">
        <f t="shared" ca="1" si="281"/>
        <v>0</v>
      </c>
      <c r="GS96" s="259" t="str">
        <f t="shared" ca="1" si="282"/>
        <v>chiusura del conto</v>
      </c>
      <c r="GT96" s="259" t="str">
        <f ca="1">IFERROR(INDEX($GD$3:$GS$400,MATCH(ROWS($GT$3:GT96),$GM$3:$GM$400,0),16),"")</f>
        <v/>
      </c>
      <c r="GU96" s="259">
        <f ca="1">IF(GQ96&lt;&gt;0,MAX($GU$2:$GU95)+1,0)</f>
        <v>0</v>
      </c>
      <c r="GV96" s="259">
        <f t="shared" ca="1" si="283"/>
        <v>0</v>
      </c>
      <c r="GW96" s="259" t="str">
        <f ca="1">IF(AND(IFERROR(INDEX($GU$3:$GV$400,MATCH(ROWS($GW$3:GW96),$GU$3:$GU$400,0),2),"")&lt;&gt;"",GW97&lt;&gt;""),CONCATENATE(IFERROR(INDEX($GU$3:$GV$400,MATCH(ROWS($GW$3:GW96),$GU$3:$GU$400,0),2),"")," - "),IFERROR(INDEX($GU$3:$GV$400,MATCH(ROWS($GW$3:GW96),$GU$3:$GU$400,0),2),""))</f>
        <v/>
      </c>
      <c r="GX96" s="259">
        <f ca="1">IF(OR(GN96="IVA NS/CREDITO",GN96="IVA NS/DEBITO",GN96="IVA C/ACCONTO",GN96="IMPOSTE C/ACCONTO"),MAX($GX$2:GX95)+1,0)</f>
        <v>0</v>
      </c>
      <c r="GY96" s="259" t="str">
        <f ca="1">IF(AND(IFERROR(INDEX($GN$3:$GX$200,MATCH(ROWS($GY$3:GY96),$GX$3:$GX$200,0),1),"")&lt;&gt;"",GY97&lt;&gt;""),CONCATENATE(IFERROR(INDEX($GN$3:$GX$200,MATCH(ROWS($GY$3:GY96),$GX$3:$GX$200,0),1),"")," - "),IFERROR(INDEX($GN$3:$GX$200,MATCH(ROWS($GY$3:GY96),$GX$3:$GX$200,0),1),""))</f>
        <v/>
      </c>
      <c r="GZ96" s="259" t="s">
        <v>690</v>
      </c>
      <c r="HA96" s="259" t="s">
        <v>691</v>
      </c>
      <c r="HB96" s="269" t="s">
        <v>257</v>
      </c>
      <c r="HC96" s="269" t="s">
        <v>211</v>
      </c>
      <c r="HD96" s="269" t="s">
        <v>5</v>
      </c>
      <c r="HE96" s="269" t="s">
        <v>212</v>
      </c>
      <c r="HL96" s="259" t="str">
        <f t="shared" ca="1" si="207"/>
        <v/>
      </c>
      <c r="HM96" s="259" t="str">
        <f t="shared" ca="1" si="208"/>
        <v/>
      </c>
      <c r="HN96" s="259" t="str">
        <f t="shared" ca="1" si="209"/>
        <v/>
      </c>
      <c r="HO96" s="259">
        <f ca="1">IF(HL96&lt;&gt;"",MAX($HO$2:HO95)+1,0)</f>
        <v>0</v>
      </c>
      <c r="HP96" s="259">
        <f ca="1">IF(HM96&lt;&gt;"",MAX($HP$2:HP95)+1,0)</f>
        <v>0</v>
      </c>
      <c r="HQ96" s="259">
        <f ca="1">IF(HN96&lt;&gt;"",MAX($HQ$2:HQ95)+1,0)</f>
        <v>0</v>
      </c>
      <c r="HR96" s="259" t="str">
        <f t="shared" ca="1" si="284"/>
        <v/>
      </c>
      <c r="HS96" s="259" t="str">
        <f t="shared" ca="1" si="285"/>
        <v/>
      </c>
      <c r="HT96" s="259">
        <f t="shared" ca="1" si="286"/>
        <v>0</v>
      </c>
      <c r="HU96" s="259">
        <f t="shared" ca="1" si="287"/>
        <v>0</v>
      </c>
      <c r="HV96" s="259" t="str">
        <f ca="1">CONCATENATE(IFERROR(INDEX($HS$3:$HT$102,MATCH(ROWS($HV$3:HV96),$HT$3:$HT$102,0),1),""),HR96)</f>
        <v/>
      </c>
      <c r="IC96" s="259">
        <f ca="1">IFERROR(INDEX(PIANO_DEI_CONTI,MATCH(ROWS(DL$3:DL96),$DK$3:DK323,0),2),0)</f>
        <v>0</v>
      </c>
      <c r="ID96" s="259">
        <f t="shared" ca="1" si="288"/>
        <v>0</v>
      </c>
      <c r="IE96" s="259">
        <f t="shared" ca="1" si="289"/>
        <v>0</v>
      </c>
      <c r="IF96" s="259">
        <f t="shared" ca="1" si="290"/>
        <v>0</v>
      </c>
      <c r="IG96" s="259">
        <f t="shared" ca="1" si="324"/>
        <v>0</v>
      </c>
      <c r="IH96" s="259">
        <f ca="1">IF(IG96&lt;&gt;0,MAX($IH$35:IH95)+1,0)</f>
        <v>0</v>
      </c>
      <c r="II96" s="259">
        <f>IF(AD96="costi pluriennali",MAX($II$2:II95)+1,0)</f>
        <v>0</v>
      </c>
      <c r="IJ96" s="259">
        <f>IF($AD96="rettifiche costi pluriennali",MAX($IJ$2:IJ95)+1,0)</f>
        <v>0</v>
      </c>
      <c r="IK96" s="259">
        <f t="shared" si="291"/>
        <v>0</v>
      </c>
      <c r="IL96" s="259" t="str">
        <f t="shared" si="292"/>
        <v/>
      </c>
      <c r="IM96" s="259">
        <f t="shared" ca="1" si="293"/>
        <v>0</v>
      </c>
      <c r="IN96" s="259">
        <f t="shared" ca="1" si="313"/>
        <v>0</v>
      </c>
      <c r="IO96" s="259">
        <f>SUMIFS($IM$3:$IM$200,$IK$3:$IK$200,ROWS($IO$3:IO96))-SUMIFS($IN$3:$IN$200,$IK$3:$IK$200,ROWS($IO$3:IO96))</f>
        <v>0</v>
      </c>
      <c r="IP96" s="259" t="str">
        <f>IF(IO96&lt;0,INDEX($IJ$3:$IL$200,MATCH(ROWS($IP$3:IP96),$IJ$3:$IJ$200,0),3),"")</f>
        <v/>
      </c>
      <c r="IQ96" s="259">
        <f>IF(IP96&lt;&gt;"",MAX($IQ$2:IQ95)+1,0)</f>
        <v>0</v>
      </c>
      <c r="IR96" s="259" t="str">
        <f ca="1">IFERROR(INDEX($IP$3:$IQ$200,MATCH(ROWS($IR$3:IR96),$IQ$3:$IQ$200,0),1),"")</f>
        <v/>
      </c>
      <c r="IS96" s="259" t="str">
        <f t="shared" ca="1" si="294"/>
        <v/>
      </c>
      <c r="IT96" s="259" t="str">
        <f t="shared" ca="1" si="295"/>
        <v/>
      </c>
      <c r="IU96" s="259" t="str">
        <f t="shared" ca="1" si="296"/>
        <v/>
      </c>
      <c r="IV96" s="259" t="str">
        <f t="shared" ca="1" si="297"/>
        <v/>
      </c>
      <c r="IW96" s="259" t="str">
        <f t="shared" ca="1" si="298"/>
        <v/>
      </c>
      <c r="IX96" s="259" t="str">
        <f t="shared" ca="1" si="299"/>
        <v/>
      </c>
      <c r="IY96" s="259" t="str">
        <f t="shared" ca="1" si="300"/>
        <v/>
      </c>
      <c r="IZ96" s="259" t="str">
        <f t="shared" ca="1" si="301"/>
        <v/>
      </c>
      <c r="JA96" s="259" t="str">
        <f t="shared" ca="1" si="302"/>
        <v/>
      </c>
      <c r="JB96" s="259">
        <f t="shared" ca="1" si="210"/>
        <v>0</v>
      </c>
      <c r="JC96" s="259">
        <f t="shared" ca="1" si="303"/>
        <v>0</v>
      </c>
      <c r="JE96" s="259">
        <f ca="1">IFERROR(INDEX(LIBRO_GIORNALE!$N$11:$O$408,MATCH(ROWS($JE$2:JE95),LIBRO_GIORNALE!$O$11:$O$408,0),1),0)</f>
        <v>0</v>
      </c>
      <c r="JF96" s="259" t="str">
        <f t="shared" ca="1" si="304"/>
        <v>0</v>
      </c>
      <c r="JG96" s="259">
        <f t="shared" ca="1" si="305"/>
        <v>0</v>
      </c>
      <c r="JH96" s="259">
        <f ca="1">IF(JJ96&gt;0,0,MAX($JH$2:JH95)+1)</f>
        <v>94</v>
      </c>
      <c r="JI96" s="259">
        <f ca="1">IF(JG96&gt;0,MAX($JI$2:JI95)+1,0)</f>
        <v>0</v>
      </c>
      <c r="JJ96" s="259">
        <f ca="1">IFERROR(INDEX($JG$3:$JI$124,MATCH(ROWS($JJ$3:JJ96),$JI$3:$JI$124,0),1),0)</f>
        <v>0</v>
      </c>
      <c r="JK96" s="259">
        <f t="shared" ca="1" si="306"/>
        <v>0</v>
      </c>
      <c r="JL96" s="259">
        <f t="shared" ca="1" si="307"/>
        <v>94</v>
      </c>
    </row>
    <row r="97" spans="1:273">
      <c r="A97" s="259" t="str">
        <f t="shared" si="211"/>
        <v>15.06</v>
      </c>
      <c r="B97" s="259" t="str">
        <f t="shared" si="212"/>
        <v>DEBITI V/ISTITUTI PREVIDENZIALI</v>
      </c>
      <c r="C97" s="259" t="str">
        <f t="shared" si="213"/>
        <v>F</v>
      </c>
      <c r="D97" s="259" t="str">
        <f t="shared" si="214"/>
        <v>A</v>
      </c>
      <c r="E97" s="259" t="str">
        <f t="shared" si="215"/>
        <v>DEBITI</v>
      </c>
      <c r="F97" s="259" t="str">
        <f t="shared" si="216"/>
        <v>SP AVERE</v>
      </c>
      <c r="G97" s="259">
        <f t="shared" ca="1" si="217"/>
        <v>0</v>
      </c>
      <c r="H97" s="259">
        <f t="shared" ca="1" si="218"/>
        <v>0</v>
      </c>
      <c r="I97" s="259">
        <f t="shared" ca="1" si="219"/>
        <v>1</v>
      </c>
      <c r="K97" s="259" t="str">
        <f ca="1">IFERROR(IF($I$1=1,INDEX($AA$3:$AS$220,MATCH(ROWS($K$3:K97),$AQ$3:$AQ$220,0),1),IF($I$1=2,INDEX($AA$3:$AS$220,MATCH(ROWS($K$3:K97),$AR$3:$AR$220,0),1),IF($I$1=3,INDEX($AA$3:$AS$220,MATCH(ROWS($K$3:K97),$AS$3:$AS$220,0),1),""))),"")</f>
        <v>CREDITORI C/LEASING</v>
      </c>
      <c r="L97" s="259">
        <f ca="1">IF(AND($L$1="VISUALIZZA TUTTI I CONTI",K97&lt;&gt;""),MAX(L96:L96)+1,IFERROR(IF($J$1=1,IF(INDEX(PIANO_DEI_CONTI,MATCH($K97,DENOMINAZIONE,0),5)=$L$1,MAX($L$2:L96)+1,0),IF($J$1=2,IF(INDEX(PIANO_DEI_CONTI,MATCH($K97,DENOMINAZIONE,0),7)=$L$1,MAX($L$2:L96)+1,0))),0))</f>
        <v>95</v>
      </c>
      <c r="M97" s="259" t="str">
        <f ca="1">IFERROR(INDEX($K$3:$K$220,MATCH(ROWS($M$3:M97),$L$3:$L$220,0),1),"")</f>
        <v>CREDITORI C/LEASING</v>
      </c>
      <c r="Q97" s="259" t="str">
        <f ca="1">IF(IFERROR(INDEX($O$3:$P$220,MATCH(ROWS(Q$3:Q97),$P$3:$P$220,0),1),"")=0,"",IFERROR(INDEX($O$3:$P$220,MATCH(ROWS(Q$3:Q97),$P$3:$P$220,0),1),""))</f>
        <v/>
      </c>
      <c r="R97" s="259" t="str">
        <f t="shared" ca="1" si="182"/>
        <v>BANCA Y C/C</v>
      </c>
      <c r="S97" s="259">
        <f ca="1">IF(IFERROR(MATCH(R97,DENOMINAZIONE_GIORNALE,0),0)&gt;0,MAX(S$2:S96)+1,0)</f>
        <v>0</v>
      </c>
      <c r="T97" s="259" t="str">
        <f ca="1">IFERROR(INDEX($R$3:$S$220,MATCH(ROWS($T$3:T97),$S$3:$S$220,0),1),"")</f>
        <v/>
      </c>
      <c r="U97" s="259">
        <f t="shared" ca="1" si="183"/>
        <v>0</v>
      </c>
      <c r="V97" s="259">
        <f ca="1">IF(IF(U97&lt;&gt;0,MAX($V$2:V96)+1,0)=0,0,IF(U97&lt;&gt;0,MAX($V$2:V96)+1,0))</f>
        <v>0</v>
      </c>
      <c r="W97" s="259" t="str">
        <f t="shared" si="220"/>
        <v>15.06</v>
      </c>
      <c r="X97" s="259" t="str">
        <f t="shared" si="221"/>
        <v>DEBITI V/ISTITUTI PREVIDENZIALI</v>
      </c>
      <c r="Y97" s="259">
        <f>IF(W97="",0,MAX($Y$2:Y96)+1)</f>
        <v>81</v>
      </c>
      <c r="Z97" s="259" t="str">
        <f>IFERROR(INDEX($W$3:$Y$220,MATCH(ROWS($Z$2:Z96),$Y$3:$Y$220,0),1),"")</f>
        <v>18.21</v>
      </c>
      <c r="AA97" s="259" t="str">
        <f t="shared" ca="1" si="222"/>
        <v>BANCA Y C/C</v>
      </c>
      <c r="AB97" s="259" t="str">
        <f t="shared" si="223"/>
        <v>F</v>
      </c>
      <c r="AC97" s="259" t="str">
        <f t="shared" si="224"/>
        <v>D/A</v>
      </c>
      <c r="AD97" s="259" t="str">
        <f t="shared" si="225"/>
        <v>CONTI CON ALTERNANZA DI SALDI</v>
      </c>
      <c r="AE97" s="259" t="str">
        <f t="shared" si="226"/>
        <v>SP DARE/AVERE</v>
      </c>
      <c r="AF97" s="259" t="str">
        <f t="shared" si="227"/>
        <v>CONTI TRANSITORI E DIVERSI</v>
      </c>
      <c r="AG97" s="259">
        <f t="shared" ca="1" si="228"/>
        <v>1</v>
      </c>
      <c r="AH97" s="259">
        <f t="shared" ca="1" si="229"/>
        <v>1</v>
      </c>
      <c r="AI97" s="259">
        <f t="shared" ca="1" si="230"/>
        <v>1</v>
      </c>
      <c r="AJ97" s="259" t="str">
        <f t="shared" si="231"/>
        <v>18</v>
      </c>
      <c r="AK97" s="259" t="str">
        <f t="shared" si="232"/>
        <v/>
      </c>
      <c r="AL97" s="259">
        <f>IF(AK97&lt;&gt;"",MAX($AL$2:AL96)+1,0)</f>
        <v>0</v>
      </c>
      <c r="AM97" s="259" t="str">
        <f>IFERROR(INDEX($AK$3:$AL$220,MATCH(ROWS($AM$3:AM97),$AL$3:$AL$220,0),1),"")</f>
        <v/>
      </c>
      <c r="AN97" s="259" t="str">
        <f t="shared" si="233"/>
        <v/>
      </c>
      <c r="AO97" s="259" t="str">
        <f t="shared" si="234"/>
        <v/>
      </c>
      <c r="AP97" s="259" t="str">
        <f t="shared" si="235"/>
        <v>CONTI TRANSITORI E DIVERSI</v>
      </c>
      <c r="AQ97" s="259">
        <f ca="1">IF(OR(AG97=0,AG97=""),0,MAX(AQ$2:AQ96)+1)</f>
        <v>45</v>
      </c>
      <c r="AR97" s="259">
        <f ca="1">IF(OR(AH97=0,AH97=""),0,MAX(AR$2:AR96)+1)</f>
        <v>67</v>
      </c>
      <c r="AS97" s="259">
        <f ca="1">IF(OR(AI97=0,AI97=""),0,MAX(AS$2:AS96)+1)</f>
        <v>91</v>
      </c>
      <c r="AT97" s="259" t="str">
        <f ca="1">IFERROR(INDEX($AD$3:$AS$220,MATCH(ROWS(AT$3:AT97),AQ$3:AQ$220,0),1),"")</f>
        <v/>
      </c>
      <c r="AU97" s="259" t="str">
        <f ca="1">IFERROR(INDEX($AD$3:$AS$220,MATCH(ROWS(AU$3:AU97),AR$3:AR$220,0),1),"")</f>
        <v>COSTI D'ESERCIZIO</v>
      </c>
      <c r="AV97" s="259" t="str">
        <f ca="1">IFERROR(INDEX($AD$3:$AS$220,MATCH(ROWS(AV$3:AV97),AS$3:AS$220,0),1),"")</f>
        <v>CONTI D'ORDINE</v>
      </c>
      <c r="AW97" s="259" t="str">
        <f ca="1">IFERROR(INDEX($AP$3:$AS$220,MATCH(ROWS(AW$3:AW97),AQ$3:AQ$220,0),1),"")</f>
        <v/>
      </c>
      <c r="AX97" s="259" t="str">
        <f ca="1">IFERROR(INDEX($AP$3:$AS$220,MATCH(ROWS(AX$3:AX97),AR$3:AR$220,0),1),"")</f>
        <v>COSTI PER SERVIZI</v>
      </c>
      <c r="AY97" s="259" t="str">
        <f ca="1">IFERROR(INDEX($AP$3:$AS$220,MATCH(ROWS(AY$3:AY97),AS$3:AS$220,0),1),"")</f>
        <v>CONTI DEI SISTEMI MINORI</v>
      </c>
      <c r="AZ97" s="276" t="str">
        <f t="shared" ca="1" si="236"/>
        <v/>
      </c>
      <c r="BA97" s="259">
        <f t="shared" ca="1" si="184"/>
        <v>0</v>
      </c>
      <c r="BB97" s="259">
        <f ca="1">IFERROR(INDEX($FG$3:$FL$400,MATCH(ROWS($BB$3:BB97),$FL$3:$FL$400,0),1),0)</f>
        <v>0</v>
      </c>
      <c r="BC97" s="259" t="str">
        <f t="shared" ca="1" si="237"/>
        <v/>
      </c>
      <c r="BD97" s="259">
        <f ca="1">IFERROR(INDEX($FG$3:$FL$400,MATCH(ROWS($BD$3:BD97),$FL$3:$FL$400,0),4),0)</f>
        <v>0</v>
      </c>
      <c r="BE97" s="259">
        <f ca="1">IFERROR(INDEX($FG$3:$FL$400,MATCH(ROWS($BE$3:BE97),$FL$3:$FL$400,0),5),0)</f>
        <v>0</v>
      </c>
      <c r="BG97" s="259" t="str">
        <f t="shared" ca="1" si="185"/>
        <v>BANCA Y C/C</v>
      </c>
      <c r="BH97" s="259">
        <f ca="1">IF(IFERROR(MATCH(BG97,DENOMINAZIONE_GIORNALE,0),0)&gt;0,MAX(BH$2:BH96)+1,0)</f>
        <v>0</v>
      </c>
      <c r="BI97" s="259" t="str">
        <f ca="1">IFERROR(INDEX($BG$3:$BH$220,MATCH(ROWS($BI$3:BI97),$BH$3:$BH$220,0),1),"")</f>
        <v/>
      </c>
      <c r="BJ97" s="259" t="str">
        <f t="shared" ca="1" si="186"/>
        <v/>
      </c>
      <c r="BK97" s="259" t="str">
        <f ca="1">IF(IF(BJ97&lt;&gt;"",MAX($BK$2:BK96)+1,0)=0,"",IF(BJ97&lt;&gt;"",MAX($BK$2:BK96)+1,0))</f>
        <v/>
      </c>
      <c r="BL97" s="259" t="str">
        <f ca="1">IFERROR(INDEX($T$3:$U$220, MATCH(ROWS(BL$3:BL97),$V$3:$V$220,0),1),"")</f>
        <v/>
      </c>
      <c r="BM97" s="259" t="str">
        <f ca="1">IFERROR(INDEX($T$3:$U$220, MATCH(ROWS(BM$3:BM97),$V$3:$V$220,0),2),"")</f>
        <v/>
      </c>
      <c r="BN97" s="259" t="str">
        <f ca="1">IF(IFERROR(INDEX($BI$3:$BJ$220,MATCH(ROWS(BN$3:BN97),$BK$3:$BK$220,0),1),"")="PATRIMONIO NETTO","",IFERROR(INDEX($BI$3:$BJ$220,MATCH(ROWS(BN$3:BN97),$BK$3:$BK$220,0),1),""))</f>
        <v/>
      </c>
      <c r="BO97" s="259" t="str">
        <f ca="1">IFERROR(INDEX($BI$3:$BJ$220,MATCH(ROWS(BO$3:BO97),$BK$3:$BK$220,0),2),"")</f>
        <v/>
      </c>
      <c r="BP97" s="259">
        <f ca="1">IF(BN97&lt;&gt;"",MAX(BP$2:$BP96)+1,0)</f>
        <v>0</v>
      </c>
      <c r="BQ97" s="259" t="str">
        <f ca="1">IFERROR(INDEX($BN$3:$BO$200,MATCH(ROWS(BQ$3:BQ97),$BP$3:$BP$220,0),1),"")</f>
        <v/>
      </c>
      <c r="BR97" s="259" t="str">
        <f ca="1">IFERROR(INDEX($BN$3:$BO$220,MATCH(ROWS(BR$3:BR97),$BP$3:$BP$220,0),2),"")</f>
        <v/>
      </c>
      <c r="BS97" s="259" t="str">
        <f ca="1">IFERROR(IF(OR(INDEX($T$3:$U$220,MATCH(ROWS(BL$3:BL97),$V$3:$V$220,0),1)="PRELEVAMENTI EXTRAGESTIONE",INDEX($T$3:$U$220,MATCH(ROWS(BL$3:BL97),$V$3:$V$220,0),1)="TITOLARE C/RITENUTE SUBITE"),"",INDEX($T$3:$U$220,MATCH(ROWS(BL$3:BL97),$V$3:$V$220,0),1)),"")</f>
        <v/>
      </c>
      <c r="BT97" s="259">
        <f t="shared" ca="1" si="238"/>
        <v>0</v>
      </c>
      <c r="BU97" s="259">
        <f ca="1">IF(BS97&lt;&gt;"",MAX(BU$2:BU96)+1,0)</f>
        <v>0</v>
      </c>
      <c r="BV97" s="259" t="str">
        <f ca="1">IFERROR(INDEX($BS$3:$BT$223,MATCH(ROWS(BV$3:BV97),$BU$3:$BU$223,0),1),"")</f>
        <v/>
      </c>
      <c r="BW97" s="259">
        <f t="shared" ca="1" si="239"/>
        <v>0</v>
      </c>
      <c r="BX97" s="259" t="str">
        <f t="shared" ca="1" si="240"/>
        <v/>
      </c>
      <c r="BY97" s="259" t="str">
        <f t="shared" ca="1" si="241"/>
        <v/>
      </c>
      <c r="BZ97" s="259" t="str">
        <f ca="1">IFERROR(IF(OR($DS$231&lt;&gt;$DT$231,$DU$231&lt;&gt;$DV$231,$EO$25&lt;&gt;0,$EO$26&lt;&gt;0),INDEX($T$3:$V$220,MATCH(ROWS($BV$3:BV97),$V$3:$V$220,0),1),CONCATENATE(BV97,BY97)),"")</f>
        <v/>
      </c>
      <c r="CA97" s="259">
        <f t="shared" ca="1" si="242"/>
        <v>0</v>
      </c>
      <c r="CB97" s="259" t="str">
        <f ca="1">IFERROR(IF(OR($BB$1&lt;&gt;$BD$1,$BC$1&lt;&gt;$BE$1,$DS$231&lt;&gt;$DT$231,$DU$231&lt;&gt;$DV$231,$EO$25&lt;&gt;0,$EO$26&lt;&gt;0),INDEX($BI$3:$BK$220,MATCH(ROWS($CB$3:CB97),$BK$3:$BK$220,0),1),CONCATENATE(BQ97,BX97)),"")</f>
        <v/>
      </c>
      <c r="CC97" s="259" t="str">
        <f t="shared" ca="1" si="243"/>
        <v/>
      </c>
      <c r="CD97" s="259" t="str">
        <f t="shared" ca="1" si="187"/>
        <v/>
      </c>
      <c r="CE97" s="259">
        <f ca="1">IF(IFERROR(MATCH(CD97,DENOMINAZIONE_GIORNALE,0),0)&gt;0,MAX(CE$2:CE96)+1,0)</f>
        <v>0</v>
      </c>
      <c r="CF97" s="259" t="str">
        <f ca="1">IFERROR(INDEX($CD$3:$CE$220,MATCH(ROWS($CF$3:CF97),$CE$3:$CE$220,0),1),"")</f>
        <v/>
      </c>
      <c r="CG97" s="259">
        <f t="shared" ca="1" si="188"/>
        <v>0</v>
      </c>
      <c r="CH97" s="259" t="str">
        <f ca="1">IF(IF(CG97&lt;&gt;0,MAX($CH$2:CH96)+1,0)=0,"",IF(CG97&lt;&gt;"",MAX($CH$2:CH96)+1,0))</f>
        <v/>
      </c>
      <c r="CI97" s="259" t="str">
        <f ca="1">IFERROR(INDEX($CF$3:$CG$220,MATCH(ROWS($CI$3:CI97),$CH$3:$CH$220,0),1),"")</f>
        <v/>
      </c>
      <c r="CJ97" s="259" t="str">
        <f t="shared" ca="1" si="244"/>
        <v/>
      </c>
      <c r="CK97" s="259" t="str">
        <f t="shared" ca="1" si="189"/>
        <v/>
      </c>
      <c r="CL97" s="259">
        <f ca="1">IF(IFERROR(MATCH(CK97,DENOMINAZIONE_GIORNALE,0),0)&gt;0,MAX(CL$2:CL96)+1,0)</f>
        <v>0</v>
      </c>
      <c r="CM97" s="259" t="str">
        <f ca="1">IFERROR(INDEX($CK$3:$CL$220,MATCH(ROWS($CM$3:CM97),$CL$3:$CL$220,0),1),"")</f>
        <v/>
      </c>
      <c r="CN97" s="259" t="str">
        <f t="shared" ca="1" si="190"/>
        <v/>
      </c>
      <c r="CO97" s="259">
        <f ca="1">IF(IF(CN97&lt;&gt;0,MAX($CO$2:CO96)+1,0)=0,"",IF(CN97&lt;&gt;"",MAX($CO$2:CO96)+1,0))</f>
        <v>0</v>
      </c>
      <c r="CP97" s="259" t="str">
        <f ca="1">IFERROR(INDEX($CM$3:$CN$220,MATCH(ROWS(CP$3:CP97),$CO$3:$CO$220,0),1),"")</f>
        <v/>
      </c>
      <c r="CQ97" s="259" t="str">
        <f ca="1">IFERROR(INDEX($CM$3:$CN$220,MATCH(ROWS(CQ$3:CQ97),$CO$3:$CO$220,0),2),"")</f>
        <v/>
      </c>
      <c r="CR97" s="259" t="str">
        <f t="shared" ca="1" si="191"/>
        <v/>
      </c>
      <c r="CS97" s="259">
        <f t="shared" ca="1" si="192"/>
        <v>0</v>
      </c>
      <c r="CT97" s="259">
        <f t="shared" ca="1" si="193"/>
        <v>0</v>
      </c>
      <c r="CU97" s="259">
        <f ca="1">IF(OR(CS97&gt;0,CT97&gt;0),MAX($CU$2:CU96)+1,0)</f>
        <v>0</v>
      </c>
      <c r="CV97" s="259" t="str">
        <f ca="1">IFERROR(INDEX(PIANO_DEI_CONTI,MATCH(ROWS($CV$3:CV97),$CU$3:$CU$200,0),2),"")</f>
        <v/>
      </c>
      <c r="CW97" s="259">
        <f ca="1">IFERROR(IF(CV97&lt;&gt;"",MAX($CW$2:CW96)+1,0),0)</f>
        <v>0</v>
      </c>
      <c r="CX97" s="259">
        <f t="shared" ca="1" si="326"/>
        <v>6</v>
      </c>
      <c r="CY97" s="259" t="str">
        <f t="shared" ca="1" si="308"/>
        <v>MASTRO</v>
      </c>
      <c r="CZ97" s="259" t="e">
        <f t="shared" ca="1" si="328"/>
        <v>#N/A</v>
      </c>
      <c r="DA97" s="259" t="str">
        <f t="shared" ca="1" si="333"/>
        <v/>
      </c>
      <c r="DB97" s="259" t="str">
        <f t="shared" ca="1" si="329"/>
        <v/>
      </c>
      <c r="DC97" s="259" t="str">
        <f t="shared" ca="1" si="330"/>
        <v/>
      </c>
      <c r="DD97" s="259" t="str">
        <f t="shared" ca="1" si="331"/>
        <v/>
      </c>
      <c r="DE97" s="259" t="str">
        <f t="shared" ca="1" si="332"/>
        <v/>
      </c>
      <c r="DF97" s="259">
        <f ca="1">IF(AND(CX97=$DE$2,$DF$2&lt;&gt;0),0,IF(AND(DB97&lt;&gt;"",OR(DB96&lt;&gt;"",DB98&lt;&gt;"")),MAX($DF$2:DF96)+1,0))</f>
        <v>0</v>
      </c>
      <c r="DG97" s="259" t="str">
        <f>IF(OR(VALORI_INIZIALI!E102="",AND(VALORI_INIZIALI!E102&lt;&gt;"",VALORI_INIZIALI!H102=0,VALORI_INIZIALI!I102=0)),"",IFERROR(INDEX(PIANO_DEI_CONTI,MATCH(BB97,DENOMINAZIONE,0),1),0))</f>
        <v/>
      </c>
      <c r="DH97" s="259">
        <f ca="1">IFERROR(IF($J$1=1,IF(INDEX(PIANO_DEI_CONTI,MATCH($K97,DENOMINAZIONE,0),5)=$DF$1,MAX($DH$2:DH96)+1,0),IF($J$1=2,IF(INDEX(PIANO_DEI_CONTI,MATCH($K97,DENOMINAZIONE,0),7)=$DF$1,MAX($DH$2:DH96)+1,0))),0)</f>
        <v>0</v>
      </c>
      <c r="DI97" s="259">
        <f ca="1">IFERROR(INDEX($K$3:$K$220,MATCH(ROWS($DI$3:DI97),$DH$3:$DH$220,0),1),0)</f>
        <v>0</v>
      </c>
      <c r="DJ97" s="259">
        <f t="shared" ca="1" si="194"/>
        <v>0</v>
      </c>
      <c r="DK97" s="259">
        <f ca="1">IF(DJ97=0,0,MAX(DK$2:DK96)+1)</f>
        <v>0</v>
      </c>
      <c r="DL97" s="259">
        <f ca="1">IFERROR(INDEX(PIANO_DEI_CONTI,MATCH(ROWS(DL$3:DL97),$DK$3:DK324,0),2),0)</f>
        <v>0</v>
      </c>
      <c r="DM97" s="259">
        <f t="shared" ca="1" si="195"/>
        <v>0</v>
      </c>
      <c r="DN97" s="259">
        <f t="shared" ca="1" si="196"/>
        <v>0</v>
      </c>
      <c r="DO97" s="259">
        <f t="shared" ca="1" si="245"/>
        <v>0</v>
      </c>
      <c r="DP97" s="259">
        <f t="shared" ca="1" si="246"/>
        <v>0</v>
      </c>
      <c r="DQ97" s="259">
        <f ca="1">IF(OR($DQ$1="TOTALI",$DQ$1="TOTALI ED ECCEDENZE"),IF(OR(DM97&gt;0,DN97&gt;0),MAX(DQ$2:DQ96)+1,0),IF($DQ$1="ECCEDENZE",IF(OR(DO97&gt;0,DP97&gt;0),MAX(DQ$2:DQ96)+1,0),""))</f>
        <v>0</v>
      </c>
      <c r="DR97" s="259" t="str">
        <f ca="1">IFERROR(INDEX($DL$3:$DQ$230,MATCH(ROWS(DR$3:DR97),$DQ$3:$DQ$230,0),1),"")</f>
        <v/>
      </c>
      <c r="DS97" s="259" t="str">
        <f t="shared" ca="1" si="247"/>
        <v/>
      </c>
      <c r="DT97" s="259" t="str">
        <f t="shared" ca="1" si="248"/>
        <v/>
      </c>
      <c r="DU97" s="259" t="str">
        <f t="shared" ca="1" si="249"/>
        <v/>
      </c>
      <c r="DV97" s="259" t="str">
        <f t="shared" ca="1" si="250"/>
        <v/>
      </c>
      <c r="DW97" s="259">
        <f t="shared" ca="1" si="251"/>
        <v>0</v>
      </c>
      <c r="DX97" s="259" t="str">
        <f t="shared" ca="1" si="252"/>
        <v/>
      </c>
      <c r="DY97" s="259" t="str">
        <f t="shared" ca="1" si="253"/>
        <v/>
      </c>
      <c r="DZ97" s="259" t="str">
        <f t="shared" ca="1" si="254"/>
        <v/>
      </c>
      <c r="EA97" s="259">
        <f t="shared" ca="1" si="255"/>
        <v>95</v>
      </c>
      <c r="EB97" s="259" t="str">
        <f ca="1">IF(SUMIFS($ID$3:$ID$200,$IC$3:$IC$200,AA97)&gt;=SUMIFS($IE$3:$IE$200,$IC$3:$IC$200,AA97),"pac4","ppd")</f>
        <v>pac4</v>
      </c>
      <c r="ED97" s="259">
        <f t="shared" ca="1" si="197"/>
        <v>0</v>
      </c>
      <c r="EE97" s="259" t="str">
        <f t="shared" ca="1" si="198"/>
        <v/>
      </c>
      <c r="EF97" s="259" t="str">
        <f t="shared" ca="1" si="199"/>
        <v/>
      </c>
      <c r="EG97" s="259" t="str">
        <f t="shared" ca="1" si="309"/>
        <v/>
      </c>
      <c r="EH97" s="259" t="str">
        <f t="shared" ca="1" si="256"/>
        <v/>
      </c>
      <c r="EI97" s="260" t="b">
        <f t="shared" ca="1" si="310"/>
        <v>0</v>
      </c>
      <c r="EJ97" s="260" t="b">
        <f t="shared" ca="1" si="311"/>
        <v>0</v>
      </c>
      <c r="EK97" s="260" t="b">
        <f t="shared" ca="1" si="312"/>
        <v>1</v>
      </c>
      <c r="EL97" s="259">
        <f t="shared" si="257"/>
        <v>95</v>
      </c>
      <c r="EM97" s="259">
        <f ca="1">IF(AND(BA97&gt;0,BA97&lt;=$EM$1),MAX($EM$2:EM96)+1,0)</f>
        <v>0</v>
      </c>
      <c r="EN97" s="259">
        <f t="shared" ca="1" si="258"/>
        <v>97</v>
      </c>
      <c r="EP97" s="259" t="str">
        <f t="shared" ca="1" si="200"/>
        <v/>
      </c>
      <c r="EQ97" s="259">
        <f t="shared" ca="1" si="201"/>
        <v>0</v>
      </c>
      <c r="ER97" s="259">
        <f ca="1">IF(ISNA(EQ97),MAX(ER$2:ER96)+1,0)</f>
        <v>0</v>
      </c>
      <c r="ES97" s="259" t="str">
        <f t="shared" ca="1" si="259"/>
        <v/>
      </c>
      <c r="ET97" s="259" t="str">
        <f ca="1">IFERROR(UPPER(INDEX($ER$3:$ES$500,MATCH(ROWS(ET$3:ET97),$ER$3:$ER$500,0),2)),"")</f>
        <v/>
      </c>
      <c r="EY97" s="259">
        <f t="shared" ca="1" si="260"/>
        <v>0</v>
      </c>
      <c r="EZ97" s="259">
        <f t="shared" ca="1" si="260"/>
        <v>0</v>
      </c>
      <c r="FA97" s="259" t="str">
        <f t="shared" ca="1" si="261"/>
        <v/>
      </c>
      <c r="FB97" s="259">
        <f t="shared" ca="1" si="262"/>
        <v>0</v>
      </c>
      <c r="FC97" s="259">
        <f t="shared" ca="1" si="263"/>
        <v>0</v>
      </c>
      <c r="FD97" s="259">
        <f t="shared" ca="1" si="202"/>
        <v>0</v>
      </c>
      <c r="FE97" s="259" t="str">
        <f t="shared" ca="1" si="203"/>
        <v/>
      </c>
      <c r="FF97" s="259" t="str">
        <f t="shared" ca="1" si="264"/>
        <v/>
      </c>
      <c r="FG97" s="259" t="str">
        <f t="shared" ca="1" si="265"/>
        <v>BANCA Y C/C</v>
      </c>
      <c r="FH97" s="259">
        <f t="shared" ca="1" si="156"/>
        <v>0</v>
      </c>
      <c r="FI97" s="259">
        <f t="shared" ca="1" si="204"/>
        <v>0</v>
      </c>
      <c r="FJ97" s="259">
        <f t="shared" ca="1" si="266"/>
        <v>0</v>
      </c>
      <c r="FK97" s="259">
        <f t="shared" ca="1" si="267"/>
        <v>0</v>
      </c>
      <c r="FL97" s="259">
        <f ca="1">IF(OR(FJ97&gt;0,FK97&gt;0),MAX($FL$2:FL96)+1,0)</f>
        <v>0</v>
      </c>
      <c r="FM97" s="259">
        <f t="shared" si="205"/>
        <v>0</v>
      </c>
      <c r="FN97" s="259">
        <f>IF(FM97&lt;0,MAX($FN$2:FN96)+1,0)</f>
        <v>0</v>
      </c>
      <c r="FO97" s="259" t="str">
        <f t="shared" si="268"/>
        <v/>
      </c>
      <c r="FP97" s="259" t="str">
        <f ca="1">IFERROR(INDEX($FN$3:$FO$400,MATCH(ROWS($FP$3:FP97),$FN$3:$FN$400,0),2),"")</f>
        <v/>
      </c>
      <c r="FQ97" s="259" t="str">
        <f>IF(AE97="SE AVERE",MAX($FQ$2:FQ96)+1,"")</f>
        <v/>
      </c>
      <c r="FR97" s="259" t="str">
        <f>IF(AE97="SE DARE",MAX($FR$2:FR96)+1,"")</f>
        <v/>
      </c>
      <c r="FS97" s="259" t="str">
        <f ca="1">IF(AND(AE97="SP DARE",AA97&lt;&gt;$FS$1,AA97&lt;&gt;$FT$1),MAX($FS$2:FS96)+1,IF(AND(GQ97="SP DARE",AA97&lt;&gt;$FS$1,AA97&lt;&gt;$FT$1),MAX($FS$2:FS96)+1,""))</f>
        <v/>
      </c>
      <c r="FT97" s="259" t="str">
        <f ca="1">IF(AND(AE97="SP AVERE",AA97&lt;&gt;$FU$1),MAX($FT$2:FT96)+1,IF(AND(GQ97="SP AVERE",AA97&lt;&gt;$FU$1),MAX($FT$2:FT96)+1,""))</f>
        <v/>
      </c>
      <c r="FU97" s="259">
        <f t="shared" ca="1" si="269"/>
        <v>0</v>
      </c>
      <c r="FV97" s="259" t="str">
        <f t="shared" ca="1" si="270"/>
        <v>BANCA Y C/C</v>
      </c>
      <c r="FW97" s="259" t="str">
        <f ca="1">IFERROR(INDEX($FU$3:$FV$500,MATCH(ROWS($FW$3:FW97),$FU$3:$FU$500,0),2),0)</f>
        <v>FABBRICATI</v>
      </c>
      <c r="FX97" s="259">
        <f t="shared" ca="1" si="271"/>
        <v>95</v>
      </c>
      <c r="FY97" s="259">
        <f t="shared" ca="1" si="272"/>
        <v>0</v>
      </c>
      <c r="FZ97" s="259">
        <f ca="1">IF(FY97&gt;0,MAX($FZ$2:FZ96)+1,0)</f>
        <v>0</v>
      </c>
      <c r="GA97" s="259">
        <f ca="1">IFERROR(INDEX($FY$3:$FZ$500,MATCH(ROWS($GA$3:GA97),$FZ$3:$FZ$500,0),1),0)</f>
        <v>0</v>
      </c>
      <c r="GC97" s="259">
        <f t="shared" ca="1" si="273"/>
        <v>95</v>
      </c>
      <c r="GD97" s="259" t="str">
        <f t="shared" ca="1" si="274"/>
        <v>FABBRICATI</v>
      </c>
      <c r="GG97" s="259">
        <f t="shared" ca="1" si="275"/>
        <v>0</v>
      </c>
      <c r="GH97" s="259">
        <f t="shared" ca="1" si="276"/>
        <v>0</v>
      </c>
      <c r="GI97" s="259">
        <f t="shared" ca="1" si="277"/>
        <v>0</v>
      </c>
      <c r="GJ97" s="259">
        <f t="shared" ca="1" si="278"/>
        <v>0</v>
      </c>
      <c r="GK97" s="259">
        <f t="shared" ca="1" si="279"/>
        <v>0</v>
      </c>
      <c r="GL97" s="259">
        <f t="shared" ca="1" si="280"/>
        <v>0</v>
      </c>
      <c r="GM97" s="259">
        <f ca="1">IF(OR(GK97&gt;0,GL97&gt;0),MAX($GM$2:GM96)+1,0)</f>
        <v>0</v>
      </c>
      <c r="GN97" s="259" t="str">
        <f ca="1">IFERROR(INDEX($GD$3:$GM$400,MATCH(ROWS($GN$3:GN97),$GM$3:$GM$400,0),1),"")</f>
        <v/>
      </c>
      <c r="GO97" s="259" t="str">
        <f ca="1">IFERROR(INDEX($GD$3:$GM$400,MATCH(ROWS($GO$3:GO97),$GM$3:$GM$400,0),8),"")</f>
        <v/>
      </c>
      <c r="GP97" s="259" t="str">
        <f ca="1">IFERROR(INDEX($GD$3:$GM$400,MATCH(ROWS($GP$3:GP97),$GM$3:$GM$400,0),9),"")</f>
        <v/>
      </c>
      <c r="GQ97" s="259">
        <f t="shared" ca="1" si="206"/>
        <v>0</v>
      </c>
      <c r="GR97" s="259">
        <f t="shared" ca="1" si="281"/>
        <v>0</v>
      </c>
      <c r="GS97" s="259" t="str">
        <f t="shared" ca="1" si="282"/>
        <v>chiusura del conto</v>
      </c>
      <c r="GT97" s="259" t="str">
        <f ca="1">IFERROR(INDEX($GD$3:$GS$400,MATCH(ROWS($GT$3:GT97),$GM$3:$GM$400,0),16),"")</f>
        <v/>
      </c>
      <c r="GU97" s="259">
        <f ca="1">IF(GQ97&lt;&gt;0,MAX($GU$2:$GU96)+1,0)</f>
        <v>0</v>
      </c>
      <c r="GV97" s="259">
        <f t="shared" ca="1" si="283"/>
        <v>0</v>
      </c>
      <c r="GW97" s="259" t="str">
        <f ca="1">IF(AND(IFERROR(INDEX($GU$3:$GV$400,MATCH(ROWS($GW$3:GW97),$GU$3:$GU$400,0),2),"")&lt;&gt;"",GW98&lt;&gt;""),CONCATENATE(IFERROR(INDEX($GU$3:$GV$400,MATCH(ROWS($GW$3:GW97),$GU$3:$GU$400,0),2),"")," - "),IFERROR(INDEX($GU$3:$GV$400,MATCH(ROWS($GW$3:GW97),$GU$3:$GU$400,0),2),""))</f>
        <v/>
      </c>
      <c r="GX97" s="259">
        <f ca="1">IF(OR(GN97="IVA NS/CREDITO",GN97="IVA NS/DEBITO",GN97="IVA C/ACCONTO",GN97="IMPOSTE C/ACCONTO"),MAX($GX$2:GX96)+1,0)</f>
        <v>0</v>
      </c>
      <c r="GY97" s="259" t="str">
        <f ca="1">IF(AND(IFERROR(INDEX($GN$3:$GX$200,MATCH(ROWS($GY$3:GY97),$GX$3:$GX$200,0),1),"")&lt;&gt;"",GY98&lt;&gt;""),CONCATENATE(IFERROR(INDEX($GN$3:$GX$200,MATCH(ROWS($GY$3:GY97),$GX$3:$GX$200,0),1),"")," - "),IFERROR(INDEX($GN$3:$GX$200,MATCH(ROWS($GY$3:GY97),$GX$3:$GX$200,0),1),""))</f>
        <v/>
      </c>
      <c r="GZ97" s="259" t="s">
        <v>122</v>
      </c>
      <c r="HA97" s="259" t="s">
        <v>476</v>
      </c>
      <c r="HB97" s="269" t="s">
        <v>257</v>
      </c>
      <c r="HC97" s="269" t="s">
        <v>211</v>
      </c>
      <c r="HD97" s="269" t="s">
        <v>5</v>
      </c>
      <c r="HE97" s="269" t="s">
        <v>212</v>
      </c>
      <c r="HL97" s="259" t="str">
        <f t="shared" ca="1" si="207"/>
        <v/>
      </c>
      <c r="HM97" s="259" t="str">
        <f t="shared" ca="1" si="208"/>
        <v/>
      </c>
      <c r="HN97" s="259" t="str">
        <f t="shared" ca="1" si="209"/>
        <v/>
      </c>
      <c r="HO97" s="259">
        <f ca="1">IF(HL97&lt;&gt;"",MAX($HO$2:HO96)+1,0)</f>
        <v>0</v>
      </c>
      <c r="HP97" s="259">
        <f ca="1">IF(HM97&lt;&gt;"",MAX($HP$2:HP96)+1,0)</f>
        <v>0</v>
      </c>
      <c r="HQ97" s="259">
        <f ca="1">IF(HN97&lt;&gt;"",MAX($HQ$2:HQ96)+1,0)</f>
        <v>0</v>
      </c>
      <c r="HR97" s="259" t="str">
        <f t="shared" ca="1" si="284"/>
        <v/>
      </c>
      <c r="HS97" s="259" t="str">
        <f t="shared" ca="1" si="285"/>
        <v/>
      </c>
      <c r="HT97" s="259">
        <f t="shared" ca="1" si="286"/>
        <v>0</v>
      </c>
      <c r="HU97" s="259">
        <f t="shared" ca="1" si="287"/>
        <v>0</v>
      </c>
      <c r="HV97" s="259" t="str">
        <f ca="1">CONCATENATE(IFERROR(INDEX($HS$3:$HT$102,MATCH(ROWS($HV$3:HV97),$HT$3:$HT$102,0),1),""),HR97)</f>
        <v/>
      </c>
      <c r="IC97" s="259">
        <f ca="1">IFERROR(INDEX(PIANO_DEI_CONTI,MATCH(ROWS(DL$3:DL97),$DK$3:DK324,0),2),0)</f>
        <v>0</v>
      </c>
      <c r="ID97" s="259">
        <f t="shared" ca="1" si="288"/>
        <v>0</v>
      </c>
      <c r="IE97" s="259">
        <f t="shared" ca="1" si="289"/>
        <v>0</v>
      </c>
      <c r="IF97" s="259">
        <f t="shared" ca="1" si="290"/>
        <v>0</v>
      </c>
      <c r="IG97" s="259">
        <f t="shared" ca="1" si="324"/>
        <v>0</v>
      </c>
      <c r="IH97" s="259">
        <f ca="1">IF(IG97&lt;&gt;0,MAX($IH$35:IH96)+1,0)</f>
        <v>0</v>
      </c>
      <c r="II97" s="259">
        <f>IF(AD97="costi pluriennali",MAX($II$2:II96)+1,0)</f>
        <v>0</v>
      </c>
      <c r="IJ97" s="259">
        <f>IF($AD97="rettifiche costi pluriennali",MAX($IJ$2:IJ96)+1,0)</f>
        <v>0</v>
      </c>
      <c r="IK97" s="259">
        <f t="shared" si="291"/>
        <v>0</v>
      </c>
      <c r="IL97" s="259" t="str">
        <f t="shared" si="292"/>
        <v/>
      </c>
      <c r="IM97" s="259">
        <f t="shared" ca="1" si="293"/>
        <v>0</v>
      </c>
      <c r="IN97" s="259">
        <f t="shared" ca="1" si="313"/>
        <v>0</v>
      </c>
      <c r="IO97" s="259">
        <f>SUMIFS($IM$3:$IM$200,$IK$3:$IK$200,ROWS($IO$3:IO97))-SUMIFS($IN$3:$IN$200,$IK$3:$IK$200,ROWS($IO$3:IO97))</f>
        <v>0</v>
      </c>
      <c r="IP97" s="259" t="str">
        <f>IF(IO97&lt;0,INDEX($IJ$3:$IL$200,MATCH(ROWS($IP$3:IP97),$IJ$3:$IJ$200,0),3),"")</f>
        <v/>
      </c>
      <c r="IQ97" s="259">
        <f>IF(IP97&lt;&gt;"",MAX($IQ$2:IQ96)+1,0)</f>
        <v>0</v>
      </c>
      <c r="IR97" s="259" t="str">
        <f ca="1">IFERROR(INDEX($IP$3:$IQ$200,MATCH(ROWS($IR$3:IR97),$IQ$3:$IQ$200,0),1),"")</f>
        <v/>
      </c>
      <c r="IS97" s="259" t="str">
        <f t="shared" ca="1" si="294"/>
        <v/>
      </c>
      <c r="IT97" s="259" t="str">
        <f t="shared" ca="1" si="295"/>
        <v/>
      </c>
      <c r="IU97" s="259" t="str">
        <f t="shared" ca="1" si="296"/>
        <v/>
      </c>
      <c r="IV97" s="259" t="str">
        <f t="shared" ca="1" si="297"/>
        <v/>
      </c>
      <c r="IW97" s="259" t="str">
        <f t="shared" ca="1" si="298"/>
        <v/>
      </c>
      <c r="IX97" s="259" t="str">
        <f t="shared" ca="1" si="299"/>
        <v/>
      </c>
      <c r="IY97" s="259" t="str">
        <f t="shared" ca="1" si="300"/>
        <v/>
      </c>
      <c r="IZ97" s="259" t="str">
        <f t="shared" ca="1" si="301"/>
        <v/>
      </c>
      <c r="JA97" s="259" t="str">
        <f t="shared" ca="1" si="302"/>
        <v/>
      </c>
      <c r="JB97" s="259">
        <f t="shared" ca="1" si="210"/>
        <v>0</v>
      </c>
      <c r="JC97" s="259">
        <f t="shared" ca="1" si="303"/>
        <v>0</v>
      </c>
      <c r="JE97" s="259">
        <f ca="1">IFERROR(INDEX(LIBRO_GIORNALE!$N$11:$O$408,MATCH(ROWS($JE$2:JE96),LIBRO_GIORNALE!$O$11:$O$408,0),1),0)</f>
        <v>0</v>
      </c>
      <c r="JF97" s="259" t="str">
        <f t="shared" ca="1" si="304"/>
        <v>0</v>
      </c>
      <c r="JG97" s="259">
        <f t="shared" ca="1" si="305"/>
        <v>0</v>
      </c>
      <c r="JH97" s="259">
        <f ca="1">IF(JJ97&gt;0,0,MAX($JH$2:JH96)+1)</f>
        <v>95</v>
      </c>
      <c r="JI97" s="259">
        <f ca="1">IF(JG97&gt;0,MAX($JI$2:JI96)+1,0)</f>
        <v>0</v>
      </c>
      <c r="JJ97" s="259">
        <f ca="1">IFERROR(INDEX($JG$3:$JI$124,MATCH(ROWS($JJ$3:JJ97),$JI$3:$JI$124,0),1),0)</f>
        <v>0</v>
      </c>
      <c r="JK97" s="259">
        <f t="shared" ca="1" si="306"/>
        <v>0</v>
      </c>
      <c r="JL97" s="259">
        <f t="shared" ca="1" si="307"/>
        <v>95</v>
      </c>
    </row>
    <row r="98" spans="1:273">
      <c r="A98" s="259" t="str">
        <f t="shared" si="211"/>
        <v>15.07</v>
      </c>
      <c r="B98" s="259" t="str">
        <f t="shared" si="212"/>
        <v>DEBITI PER CAUZIONI</v>
      </c>
      <c r="C98" s="259" t="str">
        <f t="shared" si="213"/>
        <v>F</v>
      </c>
      <c r="D98" s="259" t="str">
        <f t="shared" si="214"/>
        <v>A</v>
      </c>
      <c r="E98" s="259" t="str">
        <f t="shared" si="215"/>
        <v>DEBITI</v>
      </c>
      <c r="F98" s="259" t="str">
        <f t="shared" si="216"/>
        <v>SP AVERE</v>
      </c>
      <c r="G98" s="259">
        <f t="shared" ca="1" si="217"/>
        <v>1</v>
      </c>
      <c r="H98" s="259">
        <f t="shared" ca="1" si="218"/>
        <v>1</v>
      </c>
      <c r="I98" s="259">
        <f t="shared" ca="1" si="219"/>
        <v>1</v>
      </c>
      <c r="K98" s="259" t="str">
        <f ca="1">IFERROR(IF($I$1=1,INDEX($AA$3:$AS$220,MATCH(ROWS($K$3:K98),$AQ$3:$AQ$220,0),1),IF($I$1=2,INDEX($AA$3:$AS$220,MATCH(ROWS($K$3:K98),$AR$3:$AR$220,0),1),IF($I$1=3,INDEX($AA$3:$AS$220,MATCH(ROWS($K$3:K98),$AS$3:$AS$220,0),1),""))),"")</f>
        <v>RISCHI PER FIDEIUSSIONI</v>
      </c>
      <c r="L98" s="259">
        <f ca="1">IF(AND($L$1="VISUALIZZA TUTTI I CONTI",K98&lt;&gt;""),MAX(L97:L97)+1,IFERROR(IF($J$1=1,IF(INDEX(PIANO_DEI_CONTI,MATCH($K98,DENOMINAZIONE,0),5)=$L$1,MAX($L$2:L97)+1,0),IF($J$1=2,IF(INDEX(PIANO_DEI_CONTI,MATCH($K98,DENOMINAZIONE,0),7)=$L$1,MAX($L$2:L97)+1,0))),0))</f>
        <v>96</v>
      </c>
      <c r="M98" s="259" t="str">
        <f ca="1">IFERROR(INDEX($K$3:$K$220,MATCH(ROWS($M$3:M98),$L$3:$L$220,0),1),"")</f>
        <v>RISCHI PER FIDEIUSSIONI</v>
      </c>
      <c r="Q98" s="259" t="str">
        <f ca="1">IF(IFERROR(INDEX($O$3:$P$220,MATCH(ROWS(Q$3:Q98),$P$3:$P$220,0),1),"")=0,"",IFERROR(INDEX($O$3:$P$220,MATCH(ROWS(Q$3:Q98),$P$3:$P$220,0),1),""))</f>
        <v/>
      </c>
      <c r="R98" s="259" t="str">
        <f t="shared" ca="1" si="182"/>
        <v/>
      </c>
      <c r="S98" s="259">
        <f ca="1">IF(IFERROR(MATCH(R98,DENOMINAZIONE_GIORNALE,0),0)&gt;0,MAX(S$2:S97)+1,0)</f>
        <v>0</v>
      </c>
      <c r="T98" s="259" t="str">
        <f ca="1">IFERROR(INDEX($R$3:$S$220,MATCH(ROWS($T$3:T98),$S$3:$S$220,0),1),"")</f>
        <v/>
      </c>
      <c r="U98" s="259">
        <f t="shared" ca="1" si="183"/>
        <v>0</v>
      </c>
      <c r="V98" s="259">
        <f ca="1">IF(IF(U98&lt;&gt;0,MAX($V$2:V97)+1,0)=0,0,IF(U98&lt;&gt;0,MAX($V$2:V97)+1,0))</f>
        <v>0</v>
      </c>
      <c r="W98" s="259" t="str">
        <f t="shared" si="220"/>
        <v>15.07</v>
      </c>
      <c r="X98" s="259" t="str">
        <f t="shared" si="221"/>
        <v>DEBITI PER CAUZIONI</v>
      </c>
      <c r="Y98" s="259">
        <f>IF(W98="",0,MAX($Y$2:Y97)+1)</f>
        <v>82</v>
      </c>
      <c r="Z98" s="259" t="str">
        <f>IFERROR(INDEX($W$3:$Y$220,MATCH(ROWS($Z$2:Z97),$Y$3:$Y$220,0),1),"")</f>
        <v>19.01</v>
      </c>
      <c r="AA98" s="259" t="str">
        <f t="shared" si="222"/>
        <v>BENI DI TERZI</v>
      </c>
      <c r="AB98" s="259">
        <f t="shared" si="223"/>
        <v>0</v>
      </c>
      <c r="AC98" s="259" t="str">
        <f t="shared" si="224"/>
        <v>D</v>
      </c>
      <c r="AD98" s="259" t="str">
        <f t="shared" si="225"/>
        <v>CONTI D'ORDINE</v>
      </c>
      <c r="AE98" s="259">
        <f t="shared" si="226"/>
        <v>0</v>
      </c>
      <c r="AF98" s="259" t="str">
        <f t="shared" si="227"/>
        <v>CONTI DEI SISTEMI MINORI</v>
      </c>
      <c r="AG98" s="259">
        <f t="shared" ca="1" si="228"/>
        <v>0</v>
      </c>
      <c r="AH98" s="259">
        <f t="shared" ca="1" si="229"/>
        <v>0</v>
      </c>
      <c r="AI98" s="259">
        <f t="shared" ca="1" si="230"/>
        <v>1</v>
      </c>
      <c r="AJ98" s="259" t="str">
        <f t="shared" si="231"/>
        <v>19</v>
      </c>
      <c r="AK98" s="259" t="str">
        <f t="shared" si="232"/>
        <v/>
      </c>
      <c r="AL98" s="259">
        <f>IF(AK98&lt;&gt;"",MAX($AL$2:AL97)+1,0)</f>
        <v>0</v>
      </c>
      <c r="AM98" s="259" t="str">
        <f>IFERROR(INDEX($AK$3:$AL$220,MATCH(ROWS($AM$3:AM98),$AL$3:$AL$220,0),1),"")</f>
        <v/>
      </c>
      <c r="AN98" s="259" t="str">
        <f t="shared" si="233"/>
        <v/>
      </c>
      <c r="AO98" s="259" t="str">
        <f t="shared" si="234"/>
        <v/>
      </c>
      <c r="AP98" s="259" t="str">
        <f t="shared" si="235"/>
        <v>CONTI DEI SISTEMI MINORI</v>
      </c>
      <c r="AQ98" s="259">
        <f ca="1">IF(OR(AG98=0,AG98=""),0,MAX(AQ$2:AQ97)+1)</f>
        <v>0</v>
      </c>
      <c r="AR98" s="259">
        <f ca="1">IF(OR(AH98=0,AH98=""),0,MAX(AR$2:AR97)+1)</f>
        <v>0</v>
      </c>
      <c r="AS98" s="259">
        <f ca="1">IF(OR(AI98=0,AI98=""),0,MAX(AS$2:AS97)+1)</f>
        <v>92</v>
      </c>
      <c r="AT98" s="259" t="str">
        <f ca="1">IFERROR(INDEX($AD$3:$AS$220,MATCH(ROWS(AT$3:AT98),AQ$3:AQ$220,0),1),"")</f>
        <v/>
      </c>
      <c r="AU98" s="259" t="str">
        <f ca="1">IFERROR(INDEX($AD$3:$AS$220,MATCH(ROWS(AU$3:AU98),AR$3:AR$220,0),1),"")</f>
        <v>COSTI D'ESERCIZIO</v>
      </c>
      <c r="AV98" s="259" t="str">
        <f ca="1">IFERROR(INDEX($AD$3:$AS$220,MATCH(ROWS(AV$3:AV98),AS$3:AS$220,0),1),"")</f>
        <v>CONTI D'ORDINE</v>
      </c>
      <c r="AW98" s="259" t="str">
        <f ca="1">IFERROR(INDEX($AP$3:$AS$220,MATCH(ROWS(AW$3:AW98),AQ$3:AQ$220,0),1),"")</f>
        <v/>
      </c>
      <c r="AX98" s="259" t="str">
        <f ca="1">IFERROR(INDEX($AP$3:$AS$220,MATCH(ROWS(AX$3:AX98),AR$3:AR$220,0),1),"")</f>
        <v>COSTI PER SERVIZI</v>
      </c>
      <c r="AY98" s="259" t="str">
        <f ca="1">IFERROR(INDEX($AP$3:$AS$220,MATCH(ROWS(AY$3:AY98),AS$3:AS$220,0),1),"")</f>
        <v>CONTI DEI SISTEMI MINORI</v>
      </c>
      <c r="AZ98" s="276" t="str">
        <f t="shared" ca="1" si="236"/>
        <v/>
      </c>
      <c r="BA98" s="259">
        <f t="shared" ca="1" si="184"/>
        <v>0</v>
      </c>
      <c r="BB98" s="259">
        <f ca="1">IFERROR(INDEX($FG$3:$FL$400,MATCH(ROWS($BB$3:BB98),$FL$3:$FL$400,0),1),0)</f>
        <v>0</v>
      </c>
      <c r="BC98" s="259" t="str">
        <f t="shared" ca="1" si="237"/>
        <v/>
      </c>
      <c r="BD98" s="259">
        <f ca="1">IFERROR(INDEX($FG$3:$FL$400,MATCH(ROWS($BD$3:BD98),$FL$3:$FL$400,0),4),0)</f>
        <v>0</v>
      </c>
      <c r="BE98" s="259">
        <f ca="1">IFERROR(INDEX($FG$3:$FL$400,MATCH(ROWS($BE$3:BE98),$FL$3:$FL$400,0),5),0)</f>
        <v>0</v>
      </c>
      <c r="BG98" s="259" t="str">
        <f t="shared" ca="1" si="185"/>
        <v/>
      </c>
      <c r="BH98" s="259">
        <f ca="1">IF(IFERROR(MATCH(BG98,DENOMINAZIONE_GIORNALE,0),0)&gt;0,MAX(BH$2:BH97)+1,0)</f>
        <v>0</v>
      </c>
      <c r="BI98" s="259" t="str">
        <f ca="1">IFERROR(INDEX($BG$3:$BH$220,MATCH(ROWS($BI$3:BI98),$BH$3:$BH$220,0),1),"")</f>
        <v/>
      </c>
      <c r="BJ98" s="259" t="str">
        <f t="shared" ca="1" si="186"/>
        <v/>
      </c>
      <c r="BK98" s="259" t="str">
        <f ca="1">IF(IF(BJ98&lt;&gt;"",MAX($BK$2:BK97)+1,0)=0,"",IF(BJ98&lt;&gt;"",MAX($BK$2:BK97)+1,0))</f>
        <v/>
      </c>
      <c r="BL98" s="259" t="str">
        <f ca="1">IFERROR(INDEX($T$3:$U$220, MATCH(ROWS(BL$3:BL98),$V$3:$V$220,0),1),"")</f>
        <v/>
      </c>
      <c r="BM98" s="259" t="str">
        <f ca="1">IFERROR(INDEX($T$3:$U$220, MATCH(ROWS(BM$3:BM98),$V$3:$V$220,0),2),"")</f>
        <v/>
      </c>
      <c r="BN98" s="259" t="str">
        <f ca="1">IF(IFERROR(INDEX($BI$3:$BJ$220,MATCH(ROWS(BN$3:BN98),$BK$3:$BK$220,0),1),"")="PATRIMONIO NETTO","",IFERROR(INDEX($BI$3:$BJ$220,MATCH(ROWS(BN$3:BN98),$BK$3:$BK$220,0),1),""))</f>
        <v/>
      </c>
      <c r="BO98" s="259" t="str">
        <f ca="1">IFERROR(INDEX($BI$3:$BJ$220,MATCH(ROWS(BO$3:BO98),$BK$3:$BK$220,0),2),"")</f>
        <v/>
      </c>
      <c r="BP98" s="259">
        <f ca="1">IF(BN98&lt;&gt;"",MAX(BP$2:$BP97)+1,0)</f>
        <v>0</v>
      </c>
      <c r="BQ98" s="259" t="str">
        <f ca="1">IFERROR(INDEX($BN$3:$BO$200,MATCH(ROWS(BQ$3:BQ98),$BP$3:$BP$220,0),1),"")</f>
        <v/>
      </c>
      <c r="BR98" s="259" t="str">
        <f ca="1">IFERROR(INDEX($BN$3:$BO$220,MATCH(ROWS(BR$3:BR98),$BP$3:$BP$220,0),2),"")</f>
        <v/>
      </c>
      <c r="BS98" s="259" t="str">
        <f ca="1">IFERROR(IF(OR(INDEX($T$3:$U$220,MATCH(ROWS(BL$3:BL98),$V$3:$V$220,0),1)="PRELEVAMENTI EXTRAGESTIONE",INDEX($T$3:$U$220,MATCH(ROWS(BL$3:BL98),$V$3:$V$220,0),1)="TITOLARE C/RITENUTE SUBITE"),"",INDEX($T$3:$U$220,MATCH(ROWS(BL$3:BL98),$V$3:$V$220,0),1)),"")</f>
        <v/>
      </c>
      <c r="BT98" s="259">
        <f t="shared" ca="1" si="238"/>
        <v>0</v>
      </c>
      <c r="BU98" s="259">
        <f ca="1">IF(BS98&lt;&gt;"",MAX(BU$2:BU97)+1,0)</f>
        <v>0</v>
      </c>
      <c r="BV98" s="259" t="str">
        <f ca="1">IFERROR(INDEX($BS$3:$BT$223,MATCH(ROWS(BV$3:BV98),$BU$3:$BU$223,0),1),"")</f>
        <v/>
      </c>
      <c r="BW98" s="259">
        <f t="shared" ca="1" si="239"/>
        <v>0</v>
      </c>
      <c r="BX98" s="259" t="str">
        <f t="shared" ca="1" si="240"/>
        <v/>
      </c>
      <c r="BY98" s="259" t="str">
        <f t="shared" ca="1" si="241"/>
        <v/>
      </c>
      <c r="BZ98" s="259" t="str">
        <f ca="1">IFERROR(IF(OR($DS$231&lt;&gt;$DT$231,$DU$231&lt;&gt;$DV$231,$EO$25&lt;&gt;0,$EO$26&lt;&gt;0),INDEX($T$3:$V$220,MATCH(ROWS($BV$3:BV98),$V$3:$V$220,0),1),CONCATENATE(BV98,BY98)),"")</f>
        <v/>
      </c>
      <c r="CA98" s="259">
        <f t="shared" ca="1" si="242"/>
        <v>0</v>
      </c>
      <c r="CB98" s="259" t="str">
        <f ca="1">IFERROR(IF(OR($BB$1&lt;&gt;$BD$1,$BC$1&lt;&gt;$BE$1,$DS$231&lt;&gt;$DT$231,$DU$231&lt;&gt;$DV$231,$EO$25&lt;&gt;0,$EO$26&lt;&gt;0),INDEX($BI$3:$BK$220,MATCH(ROWS($CB$3:CB98),$BK$3:$BK$220,0),1),CONCATENATE(BQ98,BX98)),"")</f>
        <v/>
      </c>
      <c r="CC98" s="259" t="str">
        <f t="shared" ca="1" si="243"/>
        <v/>
      </c>
      <c r="CD98" s="259" t="str">
        <f t="shared" ca="1" si="187"/>
        <v/>
      </c>
      <c r="CE98" s="259">
        <f ca="1">IF(IFERROR(MATCH(CD98,DENOMINAZIONE_GIORNALE,0),0)&gt;0,MAX(CE$2:CE97)+1,0)</f>
        <v>0</v>
      </c>
      <c r="CF98" s="259" t="str">
        <f ca="1">IFERROR(INDEX($CD$3:$CE$220,MATCH(ROWS($CF$3:CF98),$CE$3:$CE$220,0),1),"")</f>
        <v/>
      </c>
      <c r="CG98" s="259">
        <f t="shared" ca="1" si="188"/>
        <v>0</v>
      </c>
      <c r="CH98" s="259" t="str">
        <f ca="1">IF(IF(CG98&lt;&gt;0,MAX($CH$2:CH97)+1,0)=0,"",IF(CG98&lt;&gt;"",MAX($CH$2:CH97)+1,0))</f>
        <v/>
      </c>
      <c r="CI98" s="259" t="str">
        <f ca="1">IFERROR(INDEX($CF$3:$CG$220,MATCH(ROWS($CI$3:CI98),$CH$3:$CH$220,0),1),"")</f>
        <v/>
      </c>
      <c r="CJ98" s="259" t="str">
        <f t="shared" ca="1" si="244"/>
        <v/>
      </c>
      <c r="CK98" s="259" t="str">
        <f t="shared" ca="1" si="189"/>
        <v/>
      </c>
      <c r="CL98" s="259">
        <f ca="1">IF(IFERROR(MATCH(CK98,DENOMINAZIONE_GIORNALE,0),0)&gt;0,MAX(CL$2:CL97)+1,0)</f>
        <v>0</v>
      </c>
      <c r="CM98" s="259" t="str">
        <f ca="1">IFERROR(INDEX($CK$3:$CL$220,MATCH(ROWS($CM$3:CM98),$CL$3:$CL$220,0),1),"")</f>
        <v/>
      </c>
      <c r="CN98" s="259" t="str">
        <f t="shared" ca="1" si="190"/>
        <v/>
      </c>
      <c r="CO98" s="259">
        <f ca="1">IF(IF(CN98&lt;&gt;0,MAX($CO$2:CO97)+1,0)=0,"",IF(CN98&lt;&gt;"",MAX($CO$2:CO97)+1,0))</f>
        <v>0</v>
      </c>
      <c r="CP98" s="259" t="str">
        <f ca="1">IFERROR(INDEX($CM$3:$CN$220,MATCH(ROWS(CP$3:CP98),$CO$3:$CO$220,0),1),"")</f>
        <v/>
      </c>
      <c r="CQ98" s="259" t="str">
        <f ca="1">IFERROR(INDEX($CM$3:$CN$220,MATCH(ROWS(CQ$3:CQ98),$CO$3:$CO$220,0),2),"")</f>
        <v/>
      </c>
      <c r="CR98" s="259" t="str">
        <f t="shared" ca="1" si="191"/>
        <v/>
      </c>
      <c r="CS98" s="259">
        <f t="shared" ca="1" si="192"/>
        <v>0</v>
      </c>
      <c r="CT98" s="259">
        <f t="shared" ca="1" si="193"/>
        <v>0</v>
      </c>
      <c r="CU98" s="259">
        <f ca="1">IF(OR(CS98&gt;0,CT98&gt;0),MAX($CU$2:CU97)+1,0)</f>
        <v>0</v>
      </c>
      <c r="CV98" s="259" t="str">
        <f ca="1">IFERROR(INDEX(PIANO_DEI_CONTI,MATCH(ROWS($CV$3:CV98),$CU$3:$CU$200,0),2),"")</f>
        <v/>
      </c>
      <c r="CW98" s="259">
        <f ca="1">IFERROR(IF(CV98&lt;&gt;"",MAX($CW$2:CW97)+1,0),0)</f>
        <v>0</v>
      </c>
      <c r="CX98" s="259">
        <f t="shared" ca="1" si="326"/>
        <v>6</v>
      </c>
      <c r="CY98" s="259" t="str">
        <f t="shared" ca="1" si="308"/>
        <v>MASTRO</v>
      </c>
      <c r="CZ98" s="259" t="e">
        <f t="shared" ca="1" si="328"/>
        <v>#N/A</v>
      </c>
      <c r="DA98" s="259" t="str">
        <f t="shared" ca="1" si="333"/>
        <v/>
      </c>
      <c r="DB98" s="259" t="str">
        <f t="shared" ca="1" si="329"/>
        <v/>
      </c>
      <c r="DC98" s="259" t="str">
        <f t="shared" ca="1" si="330"/>
        <v/>
      </c>
      <c r="DD98" s="259" t="str">
        <f t="shared" ca="1" si="331"/>
        <v/>
      </c>
      <c r="DE98" s="259" t="str">
        <f t="shared" ca="1" si="332"/>
        <v/>
      </c>
      <c r="DF98" s="259">
        <f ca="1">IF(AND(CX98=$DE$2,$DF$2&lt;&gt;0),0,IF(AND(DB98&lt;&gt;"",OR(DB97&lt;&gt;"",DB99&lt;&gt;"")),MAX($DF$2:DF97)+1,0))</f>
        <v>0</v>
      </c>
      <c r="DG98" s="259" t="str">
        <f>IF(OR(VALORI_INIZIALI!E103="",AND(VALORI_INIZIALI!E103&lt;&gt;"",VALORI_INIZIALI!H103=0,VALORI_INIZIALI!I103=0)),"",IFERROR(INDEX(PIANO_DEI_CONTI,MATCH(BB98,DENOMINAZIONE,0),1),0))</f>
        <v/>
      </c>
      <c r="DH98" s="259">
        <f ca="1">IFERROR(IF($J$1=1,IF(INDEX(PIANO_DEI_CONTI,MATCH($K98,DENOMINAZIONE,0),5)=$DF$1,MAX($DH$2:DH97)+1,0),IF($J$1=2,IF(INDEX(PIANO_DEI_CONTI,MATCH($K98,DENOMINAZIONE,0),7)=$DF$1,MAX($DH$2:DH97)+1,0))),0)</f>
        <v>0</v>
      </c>
      <c r="DI98" s="259">
        <f ca="1">IFERROR(INDEX($K$3:$K$220,MATCH(ROWS($DI$3:DI98),$DH$3:$DH$220,0),1),0)</f>
        <v>0</v>
      </c>
      <c r="DJ98" s="259">
        <f t="shared" ca="1" si="194"/>
        <v>0</v>
      </c>
      <c r="DK98" s="259">
        <f ca="1">IF(DJ98=0,0,MAX(DK$2:DK97)+1)</f>
        <v>0</v>
      </c>
      <c r="DL98" s="259">
        <f ca="1">IFERROR(INDEX(PIANO_DEI_CONTI,MATCH(ROWS(DL$3:DL98),$DK$3:DK325,0),2),0)</f>
        <v>0</v>
      </c>
      <c r="DM98" s="259">
        <f t="shared" ca="1" si="195"/>
        <v>0</v>
      </c>
      <c r="DN98" s="259">
        <f t="shared" ca="1" si="196"/>
        <v>0</v>
      </c>
      <c r="DO98" s="259">
        <f t="shared" ca="1" si="245"/>
        <v>0</v>
      </c>
      <c r="DP98" s="259">
        <f t="shared" ca="1" si="246"/>
        <v>0</v>
      </c>
      <c r="DQ98" s="259">
        <f ca="1">IF(OR($DQ$1="TOTALI",$DQ$1="TOTALI ED ECCEDENZE"),IF(OR(DM98&gt;0,DN98&gt;0),MAX(DQ$2:DQ97)+1,0),IF($DQ$1="ECCEDENZE",IF(OR(DO98&gt;0,DP98&gt;0),MAX(DQ$2:DQ97)+1,0),""))</f>
        <v>0</v>
      </c>
      <c r="DR98" s="259" t="str">
        <f ca="1">IFERROR(INDEX($DL$3:$DQ$230,MATCH(ROWS(DR$3:DR98),$DQ$3:$DQ$230,0),1),"")</f>
        <v/>
      </c>
      <c r="DS98" s="259" t="str">
        <f t="shared" ca="1" si="247"/>
        <v/>
      </c>
      <c r="DT98" s="259" t="str">
        <f t="shared" ca="1" si="248"/>
        <v/>
      </c>
      <c r="DU98" s="259" t="str">
        <f t="shared" ca="1" si="249"/>
        <v/>
      </c>
      <c r="DV98" s="259" t="str">
        <f t="shared" ca="1" si="250"/>
        <v/>
      </c>
      <c r="DW98" s="259">
        <f t="shared" ca="1" si="251"/>
        <v>0</v>
      </c>
      <c r="DX98" s="259" t="str">
        <f t="shared" ca="1" si="252"/>
        <v/>
      </c>
      <c r="DY98" s="259" t="str">
        <f t="shared" ca="1" si="253"/>
        <v/>
      </c>
      <c r="DZ98" s="259" t="str">
        <f t="shared" ca="1" si="254"/>
        <v/>
      </c>
      <c r="EA98" s="259">
        <f t="shared" ca="1" si="255"/>
        <v>96</v>
      </c>
      <c r="ED98" s="259">
        <f t="shared" ca="1" si="197"/>
        <v>0</v>
      </c>
      <c r="EE98" s="259" t="str">
        <f t="shared" ca="1" si="198"/>
        <v/>
      </c>
      <c r="EF98" s="259" t="str">
        <f t="shared" ca="1" si="199"/>
        <v/>
      </c>
      <c r="EG98" s="259" t="str">
        <f t="shared" ca="1" si="309"/>
        <v/>
      </c>
      <c r="EH98" s="259" t="str">
        <f t="shared" ca="1" si="256"/>
        <v/>
      </c>
      <c r="EI98" s="260" t="b">
        <f t="shared" ca="1" si="310"/>
        <v>1</v>
      </c>
      <c r="EJ98" s="260" t="b">
        <f t="shared" ca="1" si="311"/>
        <v>1</v>
      </c>
      <c r="EK98" s="260" t="b">
        <f t="shared" ca="1" si="312"/>
        <v>1</v>
      </c>
      <c r="EL98" s="259">
        <f t="shared" si="257"/>
        <v>96</v>
      </c>
      <c r="EM98" s="259">
        <f ca="1">IF(AND(BA98&gt;0,BA98&lt;=$EM$1),MAX($EM$2:EM97)+1,0)</f>
        <v>0</v>
      </c>
      <c r="EN98" s="259">
        <f t="shared" ca="1" si="258"/>
        <v>98</v>
      </c>
      <c r="EP98" s="259" t="str">
        <f t="shared" ca="1" si="200"/>
        <v/>
      </c>
      <c r="EQ98" s="259">
        <f t="shared" ca="1" si="201"/>
        <v>0</v>
      </c>
      <c r="ER98" s="259">
        <f ca="1">IF(ISNA(EQ98),MAX(ER$2:ER97)+1,0)</f>
        <v>0</v>
      </c>
      <c r="ES98" s="259" t="str">
        <f t="shared" ca="1" si="259"/>
        <v/>
      </c>
      <c r="ET98" s="259" t="str">
        <f ca="1">IFERROR(UPPER(INDEX($ER$3:$ES$500,MATCH(ROWS(ET$3:ET98),$ER$3:$ER$500,0),2)),"")</f>
        <v/>
      </c>
      <c r="EY98" s="259">
        <f t="shared" ca="1" si="260"/>
        <v>0</v>
      </c>
      <c r="EZ98" s="259">
        <f t="shared" ca="1" si="260"/>
        <v>0</v>
      </c>
      <c r="FA98" s="259" t="str">
        <f t="shared" ca="1" si="261"/>
        <v/>
      </c>
      <c r="FB98" s="259">
        <f t="shared" ca="1" si="262"/>
        <v>0</v>
      </c>
      <c r="FC98" s="259">
        <f t="shared" ca="1" si="263"/>
        <v>0</v>
      </c>
      <c r="FD98" s="259">
        <f t="shared" ca="1" si="202"/>
        <v>0</v>
      </c>
      <c r="FE98" s="259" t="str">
        <f t="shared" ca="1" si="203"/>
        <v/>
      </c>
      <c r="FF98" s="259" t="str">
        <f t="shared" ca="1" si="264"/>
        <v/>
      </c>
      <c r="FG98" s="259" t="str">
        <f t="shared" si="265"/>
        <v/>
      </c>
      <c r="FH98" s="259">
        <f t="shared" ca="1" si="156"/>
        <v>0</v>
      </c>
      <c r="FI98" s="259">
        <f t="shared" ca="1" si="204"/>
        <v>0</v>
      </c>
      <c r="FJ98" s="259">
        <f t="shared" ca="1" si="266"/>
        <v>0</v>
      </c>
      <c r="FK98" s="259">
        <f t="shared" ca="1" si="267"/>
        <v>0</v>
      </c>
      <c r="FL98" s="259">
        <f ca="1">IF(OR(FJ98&gt;0,FK98&gt;0),MAX($FL$2:FL97)+1,0)</f>
        <v>0</v>
      </c>
      <c r="FM98" s="259">
        <f t="shared" si="205"/>
        <v>0</v>
      </c>
      <c r="FN98" s="259">
        <f>IF(FM98&lt;0,MAX($FN$2:FN97)+1,0)</f>
        <v>0</v>
      </c>
      <c r="FO98" s="259" t="str">
        <f t="shared" si="268"/>
        <v/>
      </c>
      <c r="FP98" s="259" t="str">
        <f ca="1">IFERROR(INDEX($FN$3:$FO$400,MATCH(ROWS($FP$3:FP98),$FN$3:$FN$400,0),2),"")</f>
        <v/>
      </c>
      <c r="FQ98" s="259" t="str">
        <f>IF(AE98="SE AVERE",MAX($FQ$2:FQ97)+1,"")</f>
        <v/>
      </c>
      <c r="FR98" s="259" t="str">
        <f>IF(AE98="SE DARE",MAX($FR$2:FR97)+1,"")</f>
        <v/>
      </c>
      <c r="FS98" s="259" t="str">
        <f ca="1">IF(AND(AE98="SP DARE",AA98&lt;&gt;$FS$1,AA98&lt;&gt;$FT$1),MAX($FS$2:FS97)+1,IF(AND(GQ98="SP DARE",AA98&lt;&gt;$FS$1,AA98&lt;&gt;$FT$1),MAX($FS$2:FS97)+1,""))</f>
        <v/>
      </c>
      <c r="FT98" s="259" t="str">
        <f ca="1">IF(AND(AE98="SP AVERE",AA98&lt;&gt;$FU$1),MAX($FT$2:FT97)+1,IF(AND(GQ98="SP AVERE",AA98&lt;&gt;$FU$1),MAX($FT$2:FT97)+1,""))</f>
        <v/>
      </c>
      <c r="FU98" s="259">
        <f t="shared" ca="1" si="269"/>
        <v>0</v>
      </c>
      <c r="FV98" s="259" t="str">
        <f t="shared" si="270"/>
        <v>BENI DI TERZI</v>
      </c>
      <c r="FW98" s="259" t="str">
        <f ca="1">IFERROR(INDEX($FU$3:$FV$500,MATCH(ROWS($FW$3:FW98),$FU$3:$FU$500,0),2),0)</f>
        <v>IMPIANTI E MACCHINARI</v>
      </c>
      <c r="FX98" s="259">
        <f t="shared" ca="1" si="271"/>
        <v>96</v>
      </c>
      <c r="FY98" s="259">
        <f t="shared" ca="1" si="272"/>
        <v>0</v>
      </c>
      <c r="FZ98" s="259">
        <f ca="1">IF(FY98&gt;0,MAX($FZ$2:FZ97)+1,0)</f>
        <v>0</v>
      </c>
      <c r="GA98" s="259">
        <f ca="1">IFERROR(INDEX($FY$3:$FZ$500,MATCH(ROWS($GA$3:GA98),$FZ$3:$FZ$500,0),1),0)</f>
        <v>0</v>
      </c>
      <c r="GC98" s="259">
        <f t="shared" ca="1" si="273"/>
        <v>96</v>
      </c>
      <c r="GD98" s="259" t="str">
        <f t="shared" ca="1" si="274"/>
        <v>IMPIANTI E MACCHINARI</v>
      </c>
      <c r="GG98" s="259">
        <f t="shared" ca="1" si="275"/>
        <v>0</v>
      </c>
      <c r="GH98" s="259">
        <f t="shared" ca="1" si="276"/>
        <v>0</v>
      </c>
      <c r="GI98" s="259">
        <f t="shared" ca="1" si="277"/>
        <v>0</v>
      </c>
      <c r="GJ98" s="259">
        <f t="shared" ca="1" si="278"/>
        <v>0</v>
      </c>
      <c r="GK98" s="259">
        <f t="shared" ca="1" si="279"/>
        <v>0</v>
      </c>
      <c r="GL98" s="259">
        <f t="shared" ca="1" si="280"/>
        <v>0</v>
      </c>
      <c r="GM98" s="259">
        <f ca="1">IF(OR(GK98&gt;0,GL98&gt;0),MAX($GM$2:GM97)+1,0)</f>
        <v>0</v>
      </c>
      <c r="GN98" s="259" t="str">
        <f ca="1">IFERROR(INDEX($GD$3:$GM$400,MATCH(ROWS($GN$3:GN98),$GM$3:$GM$400,0),1),"")</f>
        <v/>
      </c>
      <c r="GO98" s="259" t="str">
        <f ca="1">IFERROR(INDEX($GD$3:$GM$400,MATCH(ROWS($GO$3:GO98),$GM$3:$GM$400,0),8),"")</f>
        <v/>
      </c>
      <c r="GP98" s="259" t="str">
        <f ca="1">IFERROR(INDEX($GD$3:$GM$400,MATCH(ROWS($GP$3:GP98),$GM$3:$GM$400,0),9),"")</f>
        <v/>
      </c>
      <c r="GQ98" s="259">
        <f t="shared" ca="1" si="206"/>
        <v>0</v>
      </c>
      <c r="GR98" s="259">
        <f t="shared" ca="1" si="281"/>
        <v>0</v>
      </c>
      <c r="GS98" s="259" t="str">
        <f t="shared" ca="1" si="282"/>
        <v>chiusura del conto</v>
      </c>
      <c r="GT98" s="259" t="str">
        <f ca="1">IFERROR(INDEX($GD$3:$GS$400,MATCH(ROWS($GT$3:GT98),$GM$3:$GM$400,0),16),"")</f>
        <v/>
      </c>
      <c r="GU98" s="259">
        <f ca="1">IF(GQ98&lt;&gt;0,MAX($GU$2:$GU97)+1,0)</f>
        <v>0</v>
      </c>
      <c r="GV98" s="259">
        <f t="shared" ca="1" si="283"/>
        <v>0</v>
      </c>
      <c r="GW98" s="259" t="str">
        <f ca="1">IF(AND(IFERROR(INDEX($GU$3:$GV$400,MATCH(ROWS($GW$3:GW98),$GU$3:$GU$400,0),2),"")&lt;&gt;"",GW99&lt;&gt;""),CONCATENATE(IFERROR(INDEX($GU$3:$GV$400,MATCH(ROWS($GW$3:GW98),$GU$3:$GU$400,0),2),"")," - "),IFERROR(INDEX($GU$3:$GV$400,MATCH(ROWS($GW$3:GW98),$GU$3:$GU$400,0),2),""))</f>
        <v/>
      </c>
      <c r="GX98" s="259">
        <f ca="1">IF(OR(GN98="IVA NS/CREDITO",GN98="IVA NS/DEBITO",GN98="IVA C/ACCONTO",GN98="IMPOSTE C/ACCONTO"),MAX($GX$2:GX97)+1,0)</f>
        <v>0</v>
      </c>
      <c r="GY98" s="259" t="str">
        <f ca="1">IF(AND(IFERROR(INDEX($GN$3:$GX$200,MATCH(ROWS($GY$3:GY98),$GX$3:$GX$200,0),1),"")&lt;&gt;"",GY99&lt;&gt;""),CONCATENATE(IFERROR(INDEX($GN$3:$GX$200,MATCH(ROWS($GY$3:GY98),$GX$3:$GX$200,0),1),"")," - "),IFERROR(INDEX($GN$3:$GX$200,MATCH(ROWS($GY$3:GY98),$GX$3:$GX$200,0),1),""))</f>
        <v/>
      </c>
      <c r="GZ98" s="259" t="s">
        <v>646</v>
      </c>
      <c r="HA98" s="259" t="s">
        <v>118</v>
      </c>
      <c r="HB98" s="269" t="s">
        <v>257</v>
      </c>
      <c r="HC98" s="269" t="s">
        <v>211</v>
      </c>
      <c r="HD98" s="269" t="s">
        <v>5</v>
      </c>
      <c r="HE98" s="269" t="s">
        <v>212</v>
      </c>
      <c r="HL98" s="259" t="str">
        <f t="shared" ca="1" si="207"/>
        <v/>
      </c>
      <c r="HM98" s="259" t="str">
        <f t="shared" ca="1" si="208"/>
        <v/>
      </c>
      <c r="HN98" s="259" t="str">
        <f t="shared" ca="1" si="209"/>
        <v/>
      </c>
      <c r="HO98" s="259">
        <f ca="1">IF(HL98&lt;&gt;"",MAX($HO$2:HO97)+1,0)</f>
        <v>0</v>
      </c>
      <c r="HP98" s="259">
        <f ca="1">IF(HM98&lt;&gt;"",MAX($HP$2:HP97)+1,0)</f>
        <v>0</v>
      </c>
      <c r="HQ98" s="259">
        <f ca="1">IF(HN98&lt;&gt;"",MAX($HQ$2:HQ97)+1,0)</f>
        <v>0</v>
      </c>
      <c r="HR98" s="259" t="str">
        <f t="shared" ca="1" si="284"/>
        <v/>
      </c>
      <c r="HS98" s="259" t="str">
        <f t="shared" ca="1" si="285"/>
        <v/>
      </c>
      <c r="HT98" s="259">
        <f t="shared" ca="1" si="286"/>
        <v>0</v>
      </c>
      <c r="HU98" s="259">
        <f t="shared" ca="1" si="287"/>
        <v>0</v>
      </c>
      <c r="HV98" s="259" t="str">
        <f ca="1">CONCATENATE(IFERROR(INDEX($HS$3:$HT$102,MATCH(ROWS($HV$3:HV98),$HT$3:$HT$102,0),1),""),HR98)</f>
        <v/>
      </c>
      <c r="IC98" s="259">
        <f ca="1">IFERROR(INDEX(PIANO_DEI_CONTI,MATCH(ROWS(DL$3:DL98),$DK$3:DK325,0),2),0)</f>
        <v>0</v>
      </c>
      <c r="ID98" s="259">
        <f t="shared" ca="1" si="288"/>
        <v>0</v>
      </c>
      <c r="IE98" s="259">
        <f t="shared" ca="1" si="289"/>
        <v>0</v>
      </c>
      <c r="IF98" s="259">
        <f t="shared" ca="1" si="290"/>
        <v>0</v>
      </c>
      <c r="IG98" s="259">
        <f t="shared" ca="1" si="324"/>
        <v>0</v>
      </c>
      <c r="IH98" s="259">
        <f ca="1">IF(IG98&lt;&gt;0,MAX($IH$35:IH97)+1,0)</f>
        <v>0</v>
      </c>
      <c r="II98" s="259">
        <f>IF(AD98="costi pluriennali",MAX($II$2:II97)+1,0)</f>
        <v>0</v>
      </c>
      <c r="IJ98" s="259">
        <f>IF($AD98="rettifiche costi pluriennali",MAX($IJ$2:IJ97)+1,0)</f>
        <v>0</v>
      </c>
      <c r="IK98" s="259">
        <f t="shared" si="291"/>
        <v>0</v>
      </c>
      <c r="IL98" s="259" t="str">
        <f t="shared" si="292"/>
        <v/>
      </c>
      <c r="IM98" s="259">
        <f t="shared" ca="1" si="293"/>
        <v>0</v>
      </c>
      <c r="IN98" s="259">
        <f t="shared" ca="1" si="313"/>
        <v>0</v>
      </c>
      <c r="IO98" s="259">
        <f>SUMIFS($IM$3:$IM$200,$IK$3:$IK$200,ROWS($IO$3:IO98))-SUMIFS($IN$3:$IN$200,$IK$3:$IK$200,ROWS($IO$3:IO98))</f>
        <v>0</v>
      </c>
      <c r="IP98" s="259" t="str">
        <f>IF(IO98&lt;0,INDEX($IJ$3:$IL$200,MATCH(ROWS($IP$3:IP98),$IJ$3:$IJ$200,0),3),"")</f>
        <v/>
      </c>
      <c r="IQ98" s="259">
        <f>IF(IP98&lt;&gt;"",MAX($IQ$2:IQ97)+1,0)</f>
        <v>0</v>
      </c>
      <c r="IR98" s="259" t="str">
        <f ca="1">IFERROR(INDEX($IP$3:$IQ$200,MATCH(ROWS($IR$3:IR98),$IQ$3:$IQ$200,0),1),"")</f>
        <v/>
      </c>
      <c r="IS98" s="259" t="str">
        <f t="shared" ca="1" si="294"/>
        <v/>
      </c>
      <c r="IT98" s="259" t="str">
        <f t="shared" ca="1" si="295"/>
        <v/>
      </c>
      <c r="IU98" s="259" t="str">
        <f t="shared" ca="1" si="296"/>
        <v/>
      </c>
      <c r="IV98" s="259" t="str">
        <f t="shared" ca="1" si="297"/>
        <v/>
      </c>
      <c r="IW98" s="259" t="str">
        <f t="shared" ca="1" si="298"/>
        <v/>
      </c>
      <c r="IX98" s="259" t="str">
        <f t="shared" ca="1" si="299"/>
        <v/>
      </c>
      <c r="IY98" s="259" t="str">
        <f t="shared" ca="1" si="300"/>
        <v/>
      </c>
      <c r="IZ98" s="259" t="str">
        <f t="shared" ca="1" si="301"/>
        <v/>
      </c>
      <c r="JA98" s="259" t="str">
        <f t="shared" ca="1" si="302"/>
        <v/>
      </c>
      <c r="JB98" s="259">
        <f t="shared" ca="1" si="210"/>
        <v>0</v>
      </c>
      <c r="JC98" s="259">
        <f t="shared" ca="1" si="303"/>
        <v>0</v>
      </c>
      <c r="JE98" s="259">
        <f ca="1">IFERROR(INDEX(LIBRO_GIORNALE!$N$11:$O$408,MATCH(ROWS($JE$2:JE97),LIBRO_GIORNALE!$O$11:$O$408,0),1),0)</f>
        <v>0</v>
      </c>
      <c r="JF98" s="259" t="str">
        <f t="shared" ca="1" si="304"/>
        <v>0</v>
      </c>
      <c r="JG98" s="259">
        <f t="shared" ca="1" si="305"/>
        <v>0</v>
      </c>
      <c r="JH98" s="259">
        <f ca="1">IF(JJ98&gt;0,0,MAX($JH$2:JH97)+1)</f>
        <v>96</v>
      </c>
      <c r="JI98" s="259">
        <f ca="1">IF(JG98&gt;0,MAX($JI$2:JI97)+1,0)</f>
        <v>0</v>
      </c>
      <c r="JJ98" s="259">
        <f ca="1">IFERROR(INDEX($JG$3:$JI$124,MATCH(ROWS($JJ$3:JJ98),$JI$3:$JI$124,0),1),0)</f>
        <v>0</v>
      </c>
      <c r="JK98" s="259">
        <f t="shared" ca="1" si="306"/>
        <v>0</v>
      </c>
      <c r="JL98" s="259">
        <f t="shared" ca="1" si="307"/>
        <v>96</v>
      </c>
    </row>
    <row r="99" spans="1:273">
      <c r="A99" s="259" t="str">
        <f t="shared" si="211"/>
        <v>15.20</v>
      </c>
      <c r="B99" s="259" t="str">
        <f t="shared" si="212"/>
        <v>PERSONALE C/RETRIBUZIONI</v>
      </c>
      <c r="C99" s="259" t="str">
        <f t="shared" si="213"/>
        <v>F</v>
      </c>
      <c r="D99" s="259" t="str">
        <f t="shared" si="214"/>
        <v>A</v>
      </c>
      <c r="E99" s="259" t="str">
        <f t="shared" si="215"/>
        <v>DEBITI</v>
      </c>
      <c r="F99" s="259" t="str">
        <f t="shared" si="216"/>
        <v>SP AVERE</v>
      </c>
      <c r="G99" s="259">
        <f t="shared" ca="1" si="217"/>
        <v>0</v>
      </c>
      <c r="H99" s="259">
        <f t="shared" ca="1" si="218"/>
        <v>1</v>
      </c>
      <c r="I99" s="259">
        <f t="shared" ca="1" si="219"/>
        <v>1</v>
      </c>
      <c r="K99" s="259" t="str">
        <f ca="1">IFERROR(IF($I$1=1,INDEX($AA$3:$AS$220,MATCH(ROWS($K$3:K99),$AQ$3:$AQ$220,0),1),IF($I$1=2,INDEX($AA$3:$AS$220,MATCH(ROWS($K$3:K99),$AR$3:$AR$220,0),1),IF($I$1=3,INDEX($AA$3:$AS$220,MATCH(ROWS($K$3:K99),$AS$3:$AS$220,0),1),""))),"")</f>
        <v>CREDITORI PER FIDEIUSSIONI</v>
      </c>
      <c r="L99" s="259">
        <f ca="1">IF(AND($L$1="VISUALIZZA TUTTI I CONTI",K99&lt;&gt;""),MAX(L98:L98)+1,IFERROR(IF($J$1=1,IF(INDEX(PIANO_DEI_CONTI,MATCH($K99,DENOMINAZIONE,0),5)=$L$1,MAX($L$2:L98)+1,0),IF($J$1=2,IF(INDEX(PIANO_DEI_CONTI,MATCH($K99,DENOMINAZIONE,0),7)=$L$1,MAX($L$2:L98)+1,0))),0))</f>
        <v>97</v>
      </c>
      <c r="M99" s="259" t="str">
        <f ca="1">IFERROR(INDEX($K$3:$K$220,MATCH(ROWS($M$3:M99),$L$3:$L$220,0),1),"")</f>
        <v>CREDITORI PER FIDEIUSSIONI</v>
      </c>
      <c r="Q99" s="259" t="str">
        <f ca="1">IF(IFERROR(INDEX($O$3:$P$220,MATCH(ROWS(Q$3:Q99),$P$3:$P$220,0),1),"")=0,"",IFERROR(INDEX($O$3:$P$220,MATCH(ROWS(Q$3:Q99),$P$3:$P$220,0),1),""))</f>
        <v/>
      </c>
      <c r="R99" s="259" t="str">
        <f t="shared" ca="1" si="182"/>
        <v/>
      </c>
      <c r="S99" s="259">
        <f ca="1">IF(IFERROR(MATCH(R99,DENOMINAZIONE_GIORNALE,0),0)&gt;0,MAX(S$2:S98)+1,0)</f>
        <v>0</v>
      </c>
      <c r="T99" s="259" t="str">
        <f ca="1">IFERROR(INDEX($R$3:$S$220,MATCH(ROWS($T$3:T99),$S$3:$S$220,0),1),"")</f>
        <v/>
      </c>
      <c r="U99" s="259">
        <f t="shared" ca="1" si="183"/>
        <v>0</v>
      </c>
      <c r="V99" s="259">
        <f ca="1">IF(IF(U99&lt;&gt;0,MAX($V$2:V98)+1,0)=0,0,IF(U99&lt;&gt;0,MAX($V$2:V98)+1,0))</f>
        <v>0</v>
      </c>
      <c r="W99" s="259" t="str">
        <f t="shared" si="220"/>
        <v>15.20</v>
      </c>
      <c r="X99" s="259" t="str">
        <f t="shared" si="221"/>
        <v>PERSONALE C/RETRIBUZIONI</v>
      </c>
      <c r="Y99" s="259">
        <f>IF(W99="",0,MAX($Y$2:Y98)+1)</f>
        <v>83</v>
      </c>
      <c r="Z99" s="259" t="str">
        <f>IFERROR(INDEX($W$3:$Y$220,MATCH(ROWS($Z$2:Z98),$Y$3:$Y$220,0),1),"")</f>
        <v>19.02</v>
      </c>
      <c r="AA99" s="259" t="str">
        <f t="shared" si="222"/>
        <v>DEPOSITANTI BENI</v>
      </c>
      <c r="AB99" s="259">
        <f t="shared" si="223"/>
        <v>0</v>
      </c>
      <c r="AC99" s="259" t="str">
        <f t="shared" si="224"/>
        <v>A</v>
      </c>
      <c r="AD99" s="259" t="str">
        <f t="shared" si="225"/>
        <v>CONTI D'ORDINE</v>
      </c>
      <c r="AE99" s="259">
        <f t="shared" si="226"/>
        <v>0</v>
      </c>
      <c r="AF99" s="259" t="str">
        <f t="shared" si="227"/>
        <v>CONTI DEI SISTEMI MINORI</v>
      </c>
      <c r="AG99" s="259">
        <f t="shared" ca="1" si="228"/>
        <v>0</v>
      </c>
      <c r="AH99" s="259">
        <f t="shared" ca="1" si="229"/>
        <v>0</v>
      </c>
      <c r="AI99" s="259">
        <f t="shared" ca="1" si="230"/>
        <v>1</v>
      </c>
      <c r="AJ99" s="259" t="str">
        <f t="shared" si="231"/>
        <v>19</v>
      </c>
      <c r="AK99" s="259" t="str">
        <f t="shared" si="232"/>
        <v/>
      </c>
      <c r="AL99" s="259">
        <f>IF(AK99&lt;&gt;"",MAX($AL$2:AL98)+1,0)</f>
        <v>0</v>
      </c>
      <c r="AM99" s="259" t="str">
        <f>IFERROR(INDEX($AK$3:$AL$220,MATCH(ROWS($AM$3:AM99),$AL$3:$AL$220,0),1),"")</f>
        <v/>
      </c>
      <c r="AN99" s="259" t="str">
        <f t="shared" si="233"/>
        <v/>
      </c>
      <c r="AO99" s="259" t="str">
        <f t="shared" si="234"/>
        <v/>
      </c>
      <c r="AP99" s="259" t="str">
        <f t="shared" si="235"/>
        <v>CONTI DEI SISTEMI MINORI</v>
      </c>
      <c r="AQ99" s="259">
        <f ca="1">IF(OR(AG99=0,AG99=""),0,MAX(AQ$2:AQ98)+1)</f>
        <v>0</v>
      </c>
      <c r="AR99" s="259">
        <f ca="1">IF(OR(AH99=0,AH99=""),0,MAX(AR$2:AR98)+1)</f>
        <v>0</v>
      </c>
      <c r="AS99" s="259">
        <f ca="1">IF(OR(AI99=0,AI99=""),0,MAX(AS$2:AS98)+1)</f>
        <v>93</v>
      </c>
      <c r="AT99" s="259" t="str">
        <f ca="1">IFERROR(INDEX($AD$3:$AS$220,MATCH(ROWS(AT$3:AT99),AQ$3:AQ$220,0),1),"")</f>
        <v/>
      </c>
      <c r="AU99" s="259" t="str">
        <f ca="1">IFERROR(INDEX($AD$3:$AS$220,MATCH(ROWS(AU$3:AU99),AR$3:AR$220,0),1),"")</f>
        <v>COSTI D'ESERCIZIO</v>
      </c>
      <c r="AV99" s="259" t="str">
        <f ca="1">IFERROR(INDEX($AD$3:$AS$220,MATCH(ROWS(AV$3:AV99),AS$3:AS$220,0),1),"")</f>
        <v>CONTI D'ORDINE</v>
      </c>
      <c r="AW99" s="259" t="str">
        <f ca="1">IFERROR(INDEX($AP$3:$AS$220,MATCH(ROWS(AW$3:AW99),AQ$3:AQ$220,0),1),"")</f>
        <v/>
      </c>
      <c r="AX99" s="259" t="str">
        <f ca="1">IFERROR(INDEX($AP$3:$AS$220,MATCH(ROWS(AX$3:AX99),AR$3:AR$220,0),1),"")</f>
        <v>COSTI PER SERVIZI</v>
      </c>
      <c r="AY99" s="259" t="str">
        <f ca="1">IFERROR(INDEX($AP$3:$AS$220,MATCH(ROWS(AY$3:AY99),AS$3:AS$220,0),1),"")</f>
        <v>CONTI DEI SISTEMI MINORI</v>
      </c>
      <c r="AZ99" s="276" t="str">
        <f t="shared" ca="1" si="236"/>
        <v/>
      </c>
      <c r="BA99" s="259">
        <f ca="1">IF(BB99&lt;&gt;0,INIZIO_AC,0)</f>
        <v>0</v>
      </c>
      <c r="BB99" s="259">
        <f ca="1">IFERROR(INDEX($FG$3:$FL$400,MATCH(ROWS($BB$3:BB99),$FL$3:$FL$400,0),1),0)</f>
        <v>0</v>
      </c>
      <c r="BC99" s="259" t="str">
        <f t="shared" ca="1" si="237"/>
        <v/>
      </c>
      <c r="BD99" s="259">
        <f ca="1">IFERROR(INDEX($FG$3:$FL$400,MATCH(ROWS($BD$3:BD99),$FL$3:$FL$400,0),4),0)</f>
        <v>0</v>
      </c>
      <c r="BE99" s="259">
        <f ca="1">IFERROR(INDEX($FG$3:$FL$400,MATCH(ROWS($BE$3:BE99),$FL$3:$FL$400,0),5),0)</f>
        <v>0</v>
      </c>
      <c r="BG99" s="259" t="str">
        <f t="shared" ca="1" si="185"/>
        <v/>
      </c>
      <c r="BH99" s="259">
        <f ca="1">IF(IFERROR(MATCH(BG99,DENOMINAZIONE_GIORNALE,0),0)&gt;0,MAX(BH$2:BH98)+1,0)</f>
        <v>0</v>
      </c>
      <c r="BI99" s="259" t="str">
        <f ca="1">IFERROR(INDEX($BG$3:$BH$220,MATCH(ROWS($BI$3:BI99),$BH$3:$BH$220,0),1),"")</f>
        <v/>
      </c>
      <c r="BJ99" s="259" t="str">
        <f t="shared" ca="1" si="186"/>
        <v/>
      </c>
      <c r="BK99" s="259" t="str">
        <f ca="1">IF(IF(BJ99&lt;&gt;"",MAX($BK$2:BK98)+1,0)=0,"",IF(BJ99&lt;&gt;"",MAX($BK$2:BK98)+1,0))</f>
        <v/>
      </c>
      <c r="BL99" s="259" t="str">
        <f ca="1">IFERROR(INDEX($T$3:$U$220, MATCH(ROWS(BL$3:BL99),$V$3:$V$220,0),1),"")</f>
        <v/>
      </c>
      <c r="BM99" s="259" t="str">
        <f ca="1">IFERROR(INDEX($T$3:$U$220, MATCH(ROWS(BM$3:BM99),$V$3:$V$220,0),2),"")</f>
        <v/>
      </c>
      <c r="BN99" s="259" t="str">
        <f ca="1">IF(IFERROR(INDEX($BI$3:$BJ$220,MATCH(ROWS(BN$3:BN99),$BK$3:$BK$220,0),1),"")="PATRIMONIO NETTO","",IFERROR(INDEX($BI$3:$BJ$220,MATCH(ROWS(BN$3:BN99),$BK$3:$BK$220,0),1),""))</f>
        <v/>
      </c>
      <c r="BO99" s="259" t="str">
        <f ca="1">IFERROR(INDEX($BI$3:$BJ$220,MATCH(ROWS(BO$3:BO99),$BK$3:$BK$220,0),2),"")</f>
        <v/>
      </c>
      <c r="BP99" s="259">
        <f ca="1">IF(BN99&lt;&gt;"",MAX(BP$2:$BP98)+1,0)</f>
        <v>0</v>
      </c>
      <c r="BQ99" s="259" t="str">
        <f ca="1">IFERROR(INDEX($BN$3:$BO$200,MATCH(ROWS(BQ$3:BQ99),$BP$3:$BP$220,0),1),"")</f>
        <v/>
      </c>
      <c r="BR99" s="259" t="str">
        <f ca="1">IFERROR(INDEX($BN$3:$BO$220,MATCH(ROWS(BR$3:BR99),$BP$3:$BP$220,0),2),"")</f>
        <v/>
      </c>
      <c r="BS99" s="259" t="str">
        <f ca="1">IFERROR(IF(OR(INDEX($T$3:$U$220,MATCH(ROWS(BL$3:BL99),$V$3:$V$220,0),1)="PRELEVAMENTI EXTRAGESTIONE",INDEX($T$3:$U$220,MATCH(ROWS(BL$3:BL99),$V$3:$V$220,0),1)="TITOLARE C/RITENUTE SUBITE"),"",INDEX($T$3:$U$220,MATCH(ROWS(BL$3:BL99),$V$3:$V$220,0),1)),"")</f>
        <v/>
      </c>
      <c r="BT99" s="259">
        <f t="shared" ca="1" si="238"/>
        <v>0</v>
      </c>
      <c r="BU99" s="259">
        <f ca="1">IF(BS99&lt;&gt;"",MAX(BU$2:BU98)+1,0)</f>
        <v>0</v>
      </c>
      <c r="BV99" s="259" t="str">
        <f ca="1">IFERROR(INDEX($BS$3:$BT$223,MATCH(ROWS(BV$3:BV99),$BU$3:$BU$223,0),1),"")</f>
        <v/>
      </c>
      <c r="BW99" s="259">
        <f t="shared" ca="1" si="239"/>
        <v>0</v>
      </c>
      <c r="BX99" s="259" t="str">
        <f t="shared" ca="1" si="240"/>
        <v/>
      </c>
      <c r="BY99" s="259" t="str">
        <f t="shared" ca="1" si="241"/>
        <v/>
      </c>
      <c r="BZ99" s="259" t="str">
        <f ca="1">IFERROR(IF(OR($DS$231&lt;&gt;$DT$231,$DU$231&lt;&gt;$DV$231,$EO$25&lt;&gt;0,$EO$26&lt;&gt;0),INDEX($T$3:$V$220,MATCH(ROWS($BV$3:BV99),$V$3:$V$220,0),1),CONCATENATE(BV99,BY99)),"")</f>
        <v/>
      </c>
      <c r="CA99" s="259">
        <f t="shared" ca="1" si="242"/>
        <v>0</v>
      </c>
      <c r="CB99" s="259" t="str">
        <f ca="1">IFERROR(IF(OR($BB$1&lt;&gt;$BD$1,$BC$1&lt;&gt;$BE$1,$DS$231&lt;&gt;$DT$231,$DU$231&lt;&gt;$DV$231,$EO$25&lt;&gt;0,$EO$26&lt;&gt;0),INDEX($BI$3:$BK$220,MATCH(ROWS($CB$3:CB99),$BK$3:$BK$220,0),1),CONCATENATE(BQ99,BX99)),"")</f>
        <v/>
      </c>
      <c r="CC99" s="259" t="str">
        <f t="shared" ca="1" si="243"/>
        <v/>
      </c>
      <c r="CD99" s="259" t="str">
        <f t="shared" ca="1" si="187"/>
        <v/>
      </c>
      <c r="CE99" s="259">
        <f ca="1">IF(IFERROR(MATCH(CD99,DENOMINAZIONE_GIORNALE,0),0)&gt;0,MAX(CE$2:CE98)+1,0)</f>
        <v>0</v>
      </c>
      <c r="CF99" s="259" t="str">
        <f ca="1">IFERROR(INDEX($CD$3:$CE$220,MATCH(ROWS($CF$3:CF99),$CE$3:$CE$220,0),1),"")</f>
        <v/>
      </c>
      <c r="CG99" s="259">
        <f t="shared" ca="1" si="188"/>
        <v>0</v>
      </c>
      <c r="CH99" s="259" t="str">
        <f ca="1">IF(IF(CG99&lt;&gt;0,MAX($CH$2:CH98)+1,0)=0,"",IF(CG99&lt;&gt;"",MAX($CH$2:CH98)+1,0))</f>
        <v/>
      </c>
      <c r="CI99" s="259" t="str">
        <f ca="1">IFERROR(INDEX($CF$3:$CG$220,MATCH(ROWS($CI$3:CI99),$CH$3:$CH$220,0),1),"")</f>
        <v/>
      </c>
      <c r="CJ99" s="259" t="str">
        <f t="shared" ca="1" si="244"/>
        <v/>
      </c>
      <c r="CK99" s="259" t="str">
        <f t="shared" ca="1" si="189"/>
        <v/>
      </c>
      <c r="CL99" s="259">
        <f ca="1">IF(IFERROR(MATCH(CK99,DENOMINAZIONE_GIORNALE,0),0)&gt;0,MAX(CL$2:CL98)+1,0)</f>
        <v>0</v>
      </c>
      <c r="CM99" s="259" t="str">
        <f ca="1">IFERROR(INDEX($CK$3:$CL$220,MATCH(ROWS($CM$3:CM99),$CL$3:$CL$220,0),1),"")</f>
        <v/>
      </c>
      <c r="CN99" s="259" t="str">
        <f t="shared" ca="1" si="190"/>
        <v/>
      </c>
      <c r="CO99" s="259">
        <f ca="1">IF(IF(CN99&lt;&gt;0,MAX($CO$2:CO98)+1,0)=0,"",IF(CN99&lt;&gt;"",MAX($CO$2:CO98)+1,0))</f>
        <v>0</v>
      </c>
      <c r="CP99" s="259" t="str">
        <f ca="1">IFERROR(INDEX($CM$3:$CN$220,MATCH(ROWS(CP$3:CP99),$CO$3:$CO$220,0),1),"")</f>
        <v/>
      </c>
      <c r="CQ99" s="259" t="str">
        <f ca="1">IFERROR(INDEX($CM$3:$CN$220,MATCH(ROWS(CQ$3:CQ99),$CO$3:$CO$220,0),2),"")</f>
        <v/>
      </c>
      <c r="CR99" s="259" t="str">
        <f t="shared" ca="1" si="191"/>
        <v/>
      </c>
      <c r="CS99" s="259">
        <f t="shared" ca="1" si="192"/>
        <v>0</v>
      </c>
      <c r="CT99" s="259">
        <f t="shared" ca="1" si="193"/>
        <v>0</v>
      </c>
      <c r="CU99" s="259">
        <f ca="1">IF(OR(CS99&gt;0,CT99&gt;0),MAX($CU$2:CU98)+1,0)</f>
        <v>0</v>
      </c>
      <c r="CV99" s="259" t="str">
        <f ca="1">IFERROR(INDEX(PIANO_DEI_CONTI,MATCH(ROWS($CV$3:CV99),$CU$3:$CU$200,0),2),"")</f>
        <v/>
      </c>
      <c r="CW99" s="259">
        <f ca="1">IFERROR(IF(CV99&lt;&gt;"",MAX($CW$2:CW98)+1,0),0)</f>
        <v>0</v>
      </c>
      <c r="CX99" s="259">
        <f t="shared" ca="1" si="326"/>
        <v>6</v>
      </c>
      <c r="CY99" s="259" t="str">
        <f t="shared" ca="1" si="308"/>
        <v>MASTRO</v>
      </c>
      <c r="CZ99" s="259" t="e">
        <f t="shared" ca="1" si="328"/>
        <v>#N/A</v>
      </c>
      <c r="DA99" s="259" t="str">
        <f t="shared" ca="1" si="333"/>
        <v/>
      </c>
      <c r="DB99" s="259" t="str">
        <f t="shared" ca="1" si="329"/>
        <v/>
      </c>
      <c r="DC99" s="259" t="str">
        <f t="shared" ca="1" si="330"/>
        <v/>
      </c>
      <c r="DD99" s="259" t="str">
        <f t="shared" ca="1" si="331"/>
        <v/>
      </c>
      <c r="DE99" s="259" t="str">
        <f t="shared" ca="1" si="332"/>
        <v/>
      </c>
      <c r="DF99" s="259">
        <f ca="1">IF(AND(CX99=$DE$2,$DF$2&lt;&gt;0),0,IF(AND(DB99&lt;&gt;"",OR(DB98&lt;&gt;"",DB100&lt;&gt;"")),MAX($DF$2:DF98)+1,0))</f>
        <v>0</v>
      </c>
      <c r="DG99" s="259" t="str">
        <f>IF(OR(VALORI_INIZIALI!E104="",AND(VALORI_INIZIALI!E104&lt;&gt;"",VALORI_INIZIALI!H104=0,VALORI_INIZIALI!I104=0)),"",IFERROR(INDEX(PIANO_DEI_CONTI,MATCH(BB99,DENOMINAZIONE,0),1),0))</f>
        <v/>
      </c>
      <c r="DH99" s="259">
        <f ca="1">IFERROR(IF($J$1=1,IF(INDEX(PIANO_DEI_CONTI,MATCH($K99,DENOMINAZIONE,0),5)=$DF$1,MAX($DH$2:DH98)+1,0),IF($J$1=2,IF(INDEX(PIANO_DEI_CONTI,MATCH($K99,DENOMINAZIONE,0),7)=$DF$1,MAX($DH$2:DH98)+1,0))),0)</f>
        <v>0</v>
      </c>
      <c r="DI99" s="259">
        <f ca="1">IFERROR(INDEX($K$3:$K$220,MATCH(ROWS($DI$3:DI99),$DH$3:$DH$220,0),1),0)</f>
        <v>0</v>
      </c>
      <c r="DJ99" s="259">
        <f t="shared" ca="1" si="194"/>
        <v>0</v>
      </c>
      <c r="DK99" s="259">
        <f ca="1">IF(DJ99=0,0,MAX(DK$2:DK98)+1)</f>
        <v>0</v>
      </c>
      <c r="DL99" s="259">
        <f ca="1">IFERROR(INDEX(PIANO_DEI_CONTI,MATCH(ROWS(DL$3:DL99),$DK$3:DK326,0),2),0)</f>
        <v>0</v>
      </c>
      <c r="DM99" s="259">
        <f t="shared" ca="1" si="195"/>
        <v>0</v>
      </c>
      <c r="DN99" s="259">
        <f t="shared" ca="1" si="196"/>
        <v>0</v>
      </c>
      <c r="DO99" s="259">
        <f t="shared" ca="1" si="245"/>
        <v>0</v>
      </c>
      <c r="DP99" s="259">
        <f t="shared" ca="1" si="246"/>
        <v>0</v>
      </c>
      <c r="DQ99" s="259">
        <f ca="1">IF(OR($DQ$1="TOTALI",$DQ$1="TOTALI ED ECCEDENZE"),IF(OR(DM99&gt;0,DN99&gt;0),MAX(DQ$2:DQ98)+1,0),IF($DQ$1="ECCEDENZE",IF(OR(DO99&gt;0,DP99&gt;0),MAX(DQ$2:DQ98)+1,0),""))</f>
        <v>0</v>
      </c>
      <c r="DR99" s="259" t="str">
        <f ca="1">IFERROR(INDEX($DL$3:$DQ$230,MATCH(ROWS(DR$3:DR99),$DQ$3:$DQ$230,0),1),"")</f>
        <v/>
      </c>
      <c r="DS99" s="259" t="str">
        <f t="shared" ca="1" si="247"/>
        <v/>
      </c>
      <c r="DT99" s="259" t="str">
        <f t="shared" ca="1" si="248"/>
        <v/>
      </c>
      <c r="DU99" s="259" t="str">
        <f t="shared" ca="1" si="249"/>
        <v/>
      </c>
      <c r="DV99" s="259" t="str">
        <f t="shared" ca="1" si="250"/>
        <v/>
      </c>
      <c r="DW99" s="259">
        <f t="shared" ca="1" si="251"/>
        <v>0</v>
      </c>
      <c r="DX99" s="259" t="str">
        <f t="shared" ca="1" si="252"/>
        <v/>
      </c>
      <c r="DY99" s="259" t="str">
        <f t="shared" ca="1" si="253"/>
        <v/>
      </c>
      <c r="DZ99" s="259" t="str">
        <f t="shared" ca="1" si="254"/>
        <v/>
      </c>
      <c r="EA99" s="259">
        <f t="shared" ca="1" si="255"/>
        <v>97</v>
      </c>
      <c r="ED99" s="259">
        <f t="shared" ca="1" si="197"/>
        <v>0</v>
      </c>
      <c r="EE99" s="259" t="str">
        <f t="shared" ca="1" si="198"/>
        <v/>
      </c>
      <c r="EF99" s="259" t="str">
        <f t="shared" ca="1" si="199"/>
        <v/>
      </c>
      <c r="EG99" s="259" t="str">
        <f t="shared" ca="1" si="309"/>
        <v/>
      </c>
      <c r="EH99" s="259" t="str">
        <f t="shared" ca="1" si="256"/>
        <v/>
      </c>
      <c r="EI99" s="260" t="b">
        <f t="shared" ca="1" si="310"/>
        <v>0</v>
      </c>
      <c r="EJ99" s="260" t="b">
        <f t="shared" ca="1" si="311"/>
        <v>1</v>
      </c>
      <c r="EK99" s="260" t="b">
        <f t="shared" ca="1" si="312"/>
        <v>1</v>
      </c>
      <c r="EL99" s="259">
        <f t="shared" si="257"/>
        <v>97</v>
      </c>
      <c r="EM99" s="259">
        <f ca="1">IF(AND(BA99&gt;0,BA99&lt;=$EM$1),MAX($EM$2:EM98)+1,0)</f>
        <v>0</v>
      </c>
      <c r="EN99" s="259">
        <f t="shared" ca="1" si="258"/>
        <v>99</v>
      </c>
      <c r="EP99" s="259" t="str">
        <f t="shared" ca="1" si="200"/>
        <v/>
      </c>
      <c r="EQ99" s="259">
        <f t="shared" ca="1" si="201"/>
        <v>0</v>
      </c>
      <c r="ER99" s="259">
        <f ca="1">IF(ISNA(EQ99),MAX(ER$2:ER98)+1,0)</f>
        <v>0</v>
      </c>
      <c r="ES99" s="259" t="str">
        <f t="shared" ca="1" si="259"/>
        <v/>
      </c>
      <c r="ET99" s="259" t="str">
        <f ca="1">IFERROR(UPPER(INDEX($ER$3:$ES$500,MATCH(ROWS(ET$3:ET99),$ER$3:$ER$500,0),2)),"")</f>
        <v/>
      </c>
      <c r="EY99" s="259">
        <f t="shared" ca="1" si="260"/>
        <v>0</v>
      </c>
      <c r="EZ99" s="259">
        <f t="shared" ca="1" si="260"/>
        <v>0</v>
      </c>
      <c r="FA99" s="259" t="str">
        <f t="shared" ca="1" si="261"/>
        <v/>
      </c>
      <c r="FB99" s="259">
        <f t="shared" ca="1" si="262"/>
        <v>0</v>
      </c>
      <c r="FC99" s="259">
        <f t="shared" ca="1" si="263"/>
        <v>0</v>
      </c>
      <c r="FD99" s="259">
        <f t="shared" ca="1" si="202"/>
        <v>0</v>
      </c>
      <c r="FE99" s="259" t="str">
        <f t="shared" ca="1" si="203"/>
        <v/>
      </c>
      <c r="FF99" s="259" t="str">
        <f t="shared" ca="1" si="264"/>
        <v/>
      </c>
      <c r="FG99" s="259" t="str">
        <f t="shared" si="265"/>
        <v/>
      </c>
      <c r="FH99" s="259">
        <f t="shared" ref="FH99:FH123" ca="1" si="334">IF(AND(INDEX(PIANO_DEI_CONTI,MATCH($FG99,DENOMINAZIONE,0),4)="D",SUMIFS(dare_grezzo,den_grezzo,$FG99,data_grezzo,"&lt;"&amp;INIZIO_AC,data_grezzo,"&gt;="&amp;INIZIO_A_PC)&gt;=SUMIFS(avere_grezzo,den_grezzo,$FG99,data_grezzo,"&lt;"&amp;INIZIO_AC,data_grezzo,"&gt;="&amp;INIZIO_A_PC)),SUMIFS(dare_grezzo,den_grezzo,$FG99,data_grezzo,"&lt;"&amp;INIZIO_AC,data_grezzo,"&gt;="&amp;INIZIO_A_PC),IF(AND(INDEX(PIANO_DEI_CONTI,MATCH($FG99,DENOMINAZIONE,0),4)="A",SUMIFS(avere_grezzo,den_grezzo,$FG99,data_grezzo,"&lt;"&amp;INIZIO_AC,data_grezzo,"&gt;="&amp;INIZIO_A_PC)&gt;=SUMIFS(dare_grezzo,den_grezzo,$FG99,data_grezzo,"&lt;"&amp;INIZIO_AC,data_grezzo,"&gt;="&amp;INIZIO_A_PC)),SUMIFS(dare_grezzo,den_grezzo,$FG99,data_grezzo,"&lt;"&amp;INIZIO_AC,data_grezzo,"&gt;="&amp;INIZIO_A_PC),IF(INDEX(PIANO_DEI_CONTI,MATCH($FG99,DENOMINAZIONE,0),4)="D/A",SUMIFS(dare_grezzo,den_grezzo,$FG99,data_grezzo,"&lt;"&amp;INIZIO_AC,data_grezzo,"&gt;="&amp;INIZIO_A_PC),0)))</f>
        <v>0</v>
      </c>
      <c r="FI99" s="259">
        <f t="shared" ca="1" si="204"/>
        <v>0</v>
      </c>
      <c r="FJ99" s="259">
        <f t="shared" ca="1" si="266"/>
        <v>0</v>
      </c>
      <c r="FK99" s="259">
        <f t="shared" ca="1" si="267"/>
        <v>0</v>
      </c>
      <c r="FL99" s="259">
        <f ca="1">IF(OR(FJ99&gt;0,FK99&gt;0),MAX($FL$2:FL98)+1,0)</f>
        <v>0</v>
      </c>
      <c r="FM99" s="259">
        <f t="shared" si="205"/>
        <v>0</v>
      </c>
      <c r="FN99" s="259">
        <f>IF(FM99&lt;0,MAX($FN$2:FN98)+1,0)</f>
        <v>0</v>
      </c>
      <c r="FO99" s="259" t="str">
        <f t="shared" si="268"/>
        <v/>
      </c>
      <c r="FP99" s="259" t="str">
        <f ca="1">IFERROR(INDEX($FN$3:$FO$400,MATCH(ROWS($FP$3:FP99),$FN$3:$FN$400,0),2),"")</f>
        <v/>
      </c>
      <c r="FQ99" s="259" t="str">
        <f>IF(AE99="SE AVERE",MAX($FQ$2:FQ98)+1,"")</f>
        <v/>
      </c>
      <c r="FR99" s="259" t="str">
        <f>IF(AE99="SE DARE",MAX($FR$2:FR98)+1,"")</f>
        <v/>
      </c>
      <c r="FS99" s="259" t="str">
        <f ca="1">IF(AND(AE99="SP DARE",AA99&lt;&gt;$FS$1,AA99&lt;&gt;$FT$1),MAX($FS$2:FS98)+1,IF(AND(GQ99="SP DARE",AA99&lt;&gt;$FS$1,AA99&lt;&gt;$FT$1),MAX($FS$2:FS98)+1,""))</f>
        <v/>
      </c>
      <c r="FT99" s="259" t="str">
        <f ca="1">IF(AND(AE99="SP AVERE",AA99&lt;&gt;$FU$1),MAX($FT$2:FT98)+1,IF(AND(GQ99="SP AVERE",AA99&lt;&gt;$FU$1),MAX($FT$2:FT98)+1,""))</f>
        <v/>
      </c>
      <c r="FU99" s="259">
        <f t="shared" ca="1" si="269"/>
        <v>0</v>
      </c>
      <c r="FV99" s="259" t="str">
        <f t="shared" si="270"/>
        <v>DEPOSITANTI BENI</v>
      </c>
      <c r="FW99" s="259" t="str">
        <f ca="1">IFERROR(INDEX($FU$3:$FV$500,MATCH(ROWS($FW$3:FW99),$FU$3:$FU$500,0),2),0)</f>
        <v>ATTREZZATURE COMMERCIALI</v>
      </c>
      <c r="FX99" s="259">
        <f t="shared" ca="1" si="271"/>
        <v>97</v>
      </c>
      <c r="FY99" s="259">
        <f t="shared" ca="1" si="272"/>
        <v>0</v>
      </c>
      <c r="FZ99" s="259">
        <f ca="1">IF(FY99&gt;0,MAX($FZ$2:FZ98)+1,0)</f>
        <v>0</v>
      </c>
      <c r="GA99" s="259">
        <f ca="1">IFERROR(INDEX($FY$3:$FZ$500,MATCH(ROWS($GA$3:GA99),$FZ$3:$FZ$500,0),1),0)</f>
        <v>0</v>
      </c>
      <c r="GC99" s="259">
        <f t="shared" ca="1" si="273"/>
        <v>97</v>
      </c>
      <c r="GD99" s="259" t="str">
        <f t="shared" ca="1" si="274"/>
        <v>ATTREZZATURE COMMERCIALI</v>
      </c>
      <c r="GG99" s="259">
        <f t="shared" ca="1" si="275"/>
        <v>0</v>
      </c>
      <c r="GH99" s="259">
        <f t="shared" ca="1" si="276"/>
        <v>0</v>
      </c>
      <c r="GI99" s="259">
        <f t="shared" ca="1" si="277"/>
        <v>0</v>
      </c>
      <c r="GJ99" s="259">
        <f t="shared" ca="1" si="278"/>
        <v>0</v>
      </c>
      <c r="GK99" s="259">
        <f t="shared" ca="1" si="279"/>
        <v>0</v>
      </c>
      <c r="GL99" s="259">
        <f t="shared" ca="1" si="280"/>
        <v>0</v>
      </c>
      <c r="GM99" s="259">
        <f ca="1">IF(OR(GK99&gt;0,GL99&gt;0),MAX($GM$2:GM98)+1,0)</f>
        <v>0</v>
      </c>
      <c r="GN99" s="259" t="str">
        <f ca="1">IFERROR(INDEX($GD$3:$GM$400,MATCH(ROWS($GN$3:GN99),$GM$3:$GM$400,0),1),"")</f>
        <v/>
      </c>
      <c r="GO99" s="259" t="str">
        <f ca="1">IFERROR(INDEX($GD$3:$GM$400,MATCH(ROWS($GO$3:GO99),$GM$3:$GM$400,0),8),"")</f>
        <v/>
      </c>
      <c r="GP99" s="259" t="str">
        <f ca="1">IFERROR(INDEX($GD$3:$GM$400,MATCH(ROWS($GP$3:GP99),$GM$3:$GM$400,0),9),"")</f>
        <v/>
      </c>
      <c r="GQ99" s="259">
        <f t="shared" ca="1" si="206"/>
        <v>0</v>
      </c>
      <c r="GR99" s="259">
        <f t="shared" ca="1" si="281"/>
        <v>0</v>
      </c>
      <c r="GS99" s="259" t="str">
        <f t="shared" ca="1" si="282"/>
        <v>chiusura del conto</v>
      </c>
      <c r="GT99" s="259" t="str">
        <f ca="1">IFERROR(INDEX($GD$3:$GS$400,MATCH(ROWS($GT$3:GT99),$GM$3:$GM$400,0),16),"")</f>
        <v/>
      </c>
      <c r="GU99" s="259">
        <f ca="1">IF(GQ99&lt;&gt;0,MAX($GU$2:$GU98)+1,0)</f>
        <v>0</v>
      </c>
      <c r="GV99" s="259">
        <f t="shared" ca="1" si="283"/>
        <v>0</v>
      </c>
      <c r="GW99" s="259" t="str">
        <f ca="1">IF(AND(IFERROR(INDEX($GU$3:$GV$400,MATCH(ROWS($GW$3:GW99),$GU$3:$GU$400,0),2),"")&lt;&gt;"",GW100&lt;&gt;""),CONCATENATE(IFERROR(INDEX($GU$3:$GV$400,MATCH(ROWS($GW$3:GW99),$GU$3:$GU$400,0),2),"")," - "),IFERROR(INDEX($GU$3:$GV$400,MATCH(ROWS($GW$3:GW99),$GU$3:$GU$400,0),2),""))</f>
        <v/>
      </c>
      <c r="GX99" s="259">
        <f ca="1">IF(OR(GN99="IVA NS/CREDITO",GN99="IVA NS/DEBITO",GN99="IVA C/ACCONTO",GN99="IMPOSTE C/ACCONTO"),MAX($GX$2:GX98)+1,0)</f>
        <v>0</v>
      </c>
      <c r="GY99" s="259" t="str">
        <f ca="1">IF(AND(IFERROR(INDEX($GN$3:$GX$200,MATCH(ROWS($GY$3:GY99),$GX$3:$GX$200,0),1),"")&lt;&gt;"",GY100&lt;&gt;""),CONCATENATE(IFERROR(INDEX($GN$3:$GX$200,MATCH(ROWS($GY$3:GY99),$GX$3:$GX$200,0),1),"")," - "),IFERROR(INDEX($GN$3:$GX$200,MATCH(ROWS($GY$3:GY99),$GX$3:$GX$200,0),1),""))</f>
        <v/>
      </c>
      <c r="GZ99" s="259" t="s">
        <v>533</v>
      </c>
      <c r="HA99" s="259" t="s">
        <v>119</v>
      </c>
      <c r="HB99" s="269" t="s">
        <v>257</v>
      </c>
      <c r="HC99" s="269" t="s">
        <v>211</v>
      </c>
      <c r="HD99" s="269" t="s">
        <v>5</v>
      </c>
      <c r="HE99" s="269" t="s">
        <v>212</v>
      </c>
      <c r="HG99" s="270"/>
      <c r="HL99" s="259" t="str">
        <f t="shared" ca="1" si="207"/>
        <v/>
      </c>
      <c r="HM99" s="259" t="str">
        <f t="shared" ca="1" si="208"/>
        <v/>
      </c>
      <c r="HN99" s="259" t="str">
        <f t="shared" ca="1" si="209"/>
        <v/>
      </c>
      <c r="HO99" s="259">
        <f ca="1">IF(HL99&lt;&gt;"",MAX($HO$2:HO98)+1,0)</f>
        <v>0</v>
      </c>
      <c r="HP99" s="259">
        <f ca="1">IF(HM99&lt;&gt;"",MAX($HP$2:HP98)+1,0)</f>
        <v>0</v>
      </c>
      <c r="HQ99" s="259">
        <f ca="1">IF(HN99&lt;&gt;"",MAX($HQ$2:HQ98)+1,0)</f>
        <v>0</v>
      </c>
      <c r="HR99" s="259" t="str">
        <f t="shared" ca="1" si="284"/>
        <v/>
      </c>
      <c r="HS99" s="259" t="str">
        <f t="shared" ca="1" si="285"/>
        <v/>
      </c>
      <c r="HT99" s="259">
        <f t="shared" ca="1" si="286"/>
        <v>0</v>
      </c>
      <c r="HU99" s="259">
        <f t="shared" ca="1" si="287"/>
        <v>0</v>
      </c>
      <c r="HV99" s="259" t="str">
        <f ca="1">CONCATENATE(IFERROR(INDEX($HS$3:$HT$102,MATCH(ROWS($HV$3:HV99),$HT$3:$HT$102,0),1),""),HR99)</f>
        <v/>
      </c>
      <c r="IC99" s="259">
        <f ca="1">IFERROR(INDEX(PIANO_DEI_CONTI,MATCH(ROWS(DL$3:DL99),$DK$3:DK326,0),2),0)</f>
        <v>0</v>
      </c>
      <c r="ID99" s="259">
        <f t="shared" ca="1" si="288"/>
        <v>0</v>
      </c>
      <c r="IE99" s="259">
        <f t="shared" ca="1" si="289"/>
        <v>0</v>
      </c>
      <c r="IF99" s="259">
        <f t="shared" ca="1" si="290"/>
        <v>0</v>
      </c>
      <c r="IG99" s="259">
        <f ca="1">IF(SUMIFS($ID$3:$ID$200,$IF$3:$IF$200,IA99)&gt;=SUMIFS($IE$3:$IE$200,$IF$3:$IF$200,IA99),SUMIFS($ID$3:$ID$200,$IF$3:$IF$200,IA99),SUMIFS($IE$3:$IE$200,$IF$3:$IF$200,IA99))</f>
        <v>0</v>
      </c>
      <c r="IH99" s="259">
        <f ca="1">IF(IG99&lt;&gt;0,MAX($IH$35:IH98)+1,0)</f>
        <v>0</v>
      </c>
      <c r="II99" s="259">
        <f>IF(AD99="costi pluriennali",MAX($II$2:II98)+1,0)</f>
        <v>0</v>
      </c>
      <c r="IJ99" s="259">
        <f>IF($AD99="rettifiche costi pluriennali",MAX($IJ$2:IJ98)+1,0)</f>
        <v>0</v>
      </c>
      <c r="IK99" s="259">
        <f t="shared" si="291"/>
        <v>0</v>
      </c>
      <c r="IL99" s="259" t="str">
        <f t="shared" si="292"/>
        <v/>
      </c>
      <c r="IM99" s="259">
        <f t="shared" ca="1" si="293"/>
        <v>0</v>
      </c>
      <c r="IN99" s="259">
        <f t="shared" ca="1" si="313"/>
        <v>0</v>
      </c>
      <c r="IO99" s="259">
        <f>SUMIFS($IM$3:$IM$200,$IK$3:$IK$200,ROWS($IO$3:IO99))-SUMIFS($IN$3:$IN$200,$IK$3:$IK$200,ROWS($IO$3:IO99))</f>
        <v>0</v>
      </c>
      <c r="IP99" s="259" t="str">
        <f>IF(IO99&lt;0,INDEX($IJ$3:$IL$200,MATCH(ROWS($IP$3:IP99),$IJ$3:$IJ$200,0),3),"")</f>
        <v/>
      </c>
      <c r="IQ99" s="259">
        <f>IF(IP99&lt;&gt;"",MAX($IQ$2:IQ98)+1,0)</f>
        <v>0</v>
      </c>
      <c r="IR99" s="259" t="str">
        <f ca="1">IFERROR(INDEX($IP$3:$IQ$200,MATCH(ROWS($IR$3:IR99),$IQ$3:$IQ$200,0),1),"")</f>
        <v/>
      </c>
      <c r="IS99" s="259" t="str">
        <f t="shared" ca="1" si="294"/>
        <v/>
      </c>
      <c r="IT99" s="259" t="str">
        <f t="shared" ca="1" si="295"/>
        <v/>
      </c>
      <c r="IU99" s="259" t="str">
        <f t="shared" ca="1" si="296"/>
        <v/>
      </c>
      <c r="IV99" s="259" t="str">
        <f t="shared" ca="1" si="297"/>
        <v/>
      </c>
      <c r="IW99" s="259" t="str">
        <f t="shared" ca="1" si="298"/>
        <v/>
      </c>
      <c r="IX99" s="259" t="str">
        <f t="shared" ca="1" si="299"/>
        <v/>
      </c>
      <c r="IY99" s="259" t="str">
        <f t="shared" ca="1" si="300"/>
        <v/>
      </c>
      <c r="IZ99" s="259" t="str">
        <f t="shared" ca="1" si="301"/>
        <v/>
      </c>
      <c r="JA99" s="259" t="str">
        <f t="shared" ca="1" si="302"/>
        <v/>
      </c>
      <c r="JB99" s="259">
        <f t="shared" ca="1" si="210"/>
        <v>0</v>
      </c>
      <c r="JC99" s="259">
        <f t="shared" ca="1" si="303"/>
        <v>0</v>
      </c>
      <c r="JE99" s="259">
        <f ca="1">IFERROR(INDEX(LIBRO_GIORNALE!$N$11:$O$408,MATCH(ROWS($JE$2:JE98),LIBRO_GIORNALE!$O$11:$O$408,0),1),0)</f>
        <v>0</v>
      </c>
      <c r="JF99" s="259" t="str">
        <f t="shared" ca="1" si="304"/>
        <v>0</v>
      </c>
      <c r="JG99" s="259">
        <f t="shared" ca="1" si="305"/>
        <v>0</v>
      </c>
      <c r="JH99" s="259">
        <f ca="1">IF(JJ99&gt;0,0,MAX($JH$2:JH98)+1)</f>
        <v>97</v>
      </c>
      <c r="JI99" s="259">
        <f ca="1">IF(JG99&gt;0,MAX($JI$2:JI98)+1,0)</f>
        <v>0</v>
      </c>
      <c r="JJ99" s="259">
        <f ca="1">IFERROR(INDEX($JG$3:$JI$124,MATCH(ROWS($JJ$3:JJ99),$JI$3:$JI$124,0),1),0)</f>
        <v>0</v>
      </c>
      <c r="JK99" s="259">
        <f t="shared" ca="1" si="306"/>
        <v>0</v>
      </c>
      <c r="JL99" s="259">
        <f t="shared" ca="1" si="307"/>
        <v>97</v>
      </c>
    </row>
    <row r="100" spans="1:273">
      <c r="A100" s="259" t="str">
        <f t="shared" si="211"/>
        <v>15.21</v>
      </c>
      <c r="B100" s="259" t="str">
        <f t="shared" si="212"/>
        <v>PERSONALE C/LIQUIDAZIONE</v>
      </c>
      <c r="C100" s="259" t="str">
        <f t="shared" si="213"/>
        <v>F</v>
      </c>
      <c r="D100" s="259" t="str">
        <f t="shared" si="214"/>
        <v>A</v>
      </c>
      <c r="E100" s="259" t="str">
        <f t="shared" si="215"/>
        <v>DEBITI</v>
      </c>
      <c r="F100" s="259" t="str">
        <f t="shared" si="216"/>
        <v>SP AVERE</v>
      </c>
      <c r="G100" s="259">
        <f t="shared" ca="1" si="217"/>
        <v>0</v>
      </c>
      <c r="H100" s="259">
        <f t="shared" ca="1" si="218"/>
        <v>1</v>
      </c>
      <c r="I100" s="259">
        <f t="shared" ca="1" si="219"/>
        <v>1</v>
      </c>
      <c r="K100" s="259" t="str">
        <f ca="1">IFERROR(IF($I$1=1,INDEX($AA$3:$AS$220,MATCH(ROWS($K$3:K100),$AQ$3:$AQ$220,0),1),IF($I$1=2,INDEX($AA$3:$AS$220,MATCH(ROWS($K$3:K100),$AR$3:$AR$220,0),1),IF($I$1=3,INDEX($AA$3:$AS$220,MATCH(ROWS($K$3:K100),$AS$3:$AS$220,0),1),""))),"")</f>
        <v>MERCI C/VENDITE</v>
      </c>
      <c r="L100" s="259">
        <f ca="1">IF(AND($L$1="VISUALIZZA TUTTI I CONTI",K100&lt;&gt;""),MAX(L99:L99)+1,IFERROR(IF($J$1=1,IF(INDEX(PIANO_DEI_CONTI,MATCH($K100,DENOMINAZIONE,0),5)=$L$1,MAX($L$2:L99)+1,0),IF($J$1=2,IF(INDEX(PIANO_DEI_CONTI,MATCH($K100,DENOMINAZIONE,0),7)=$L$1,MAX($L$2:L99)+1,0))),0))</f>
        <v>98</v>
      </c>
      <c r="M100" s="259" t="str">
        <f ca="1">IFERROR(INDEX($K$3:$K$220,MATCH(ROWS($M$3:M100),$L$3:$L$220,0),1),"")</f>
        <v>MERCI C/VENDITE</v>
      </c>
      <c r="Q100" s="259" t="str">
        <f ca="1">IF(IFERROR(INDEX($O$3:$P$220,MATCH(ROWS(Q$3:Q100),$P$3:$P$220,0),1),"")=0,"",IFERROR(INDEX($O$3:$P$220,MATCH(ROWS(Q$3:Q100),$P$3:$P$220,0),1),""))</f>
        <v/>
      </c>
      <c r="R100" s="259" t="str">
        <f t="shared" ca="1" si="182"/>
        <v/>
      </c>
      <c r="S100" s="259">
        <f ca="1">IF(IFERROR(MATCH(R100,DENOMINAZIONE_GIORNALE,0),0)&gt;0,MAX(S$2:S99)+1,0)</f>
        <v>0</v>
      </c>
      <c r="T100" s="259" t="str">
        <f ca="1">IFERROR(INDEX($R$3:$S$220,MATCH(ROWS($T$3:T100),$S$3:$S$220,0),1),"")</f>
        <v/>
      </c>
      <c r="U100" s="259">
        <f t="shared" ca="1" si="183"/>
        <v>0</v>
      </c>
      <c r="V100" s="259">
        <f ca="1">IF(IF(U100&lt;&gt;0,MAX($V$2:V99)+1,0)=0,0,IF(U100&lt;&gt;0,MAX($V$2:V99)+1,0))</f>
        <v>0</v>
      </c>
      <c r="W100" s="259" t="str">
        <f t="shared" si="220"/>
        <v>15.21</v>
      </c>
      <c r="X100" s="259" t="str">
        <f t="shared" si="221"/>
        <v>PERSONALE C/LIQUIDAZIONE</v>
      </c>
      <c r="Y100" s="259">
        <f>IF(W100="",0,MAX($Y$2:Y99)+1)</f>
        <v>84</v>
      </c>
      <c r="Z100" s="259" t="str">
        <f>IFERROR(INDEX($W$3:$Y$220,MATCH(ROWS($Z$2:Z99),$Y$3:$Y$220,0),1),"")</f>
        <v>19.11</v>
      </c>
      <c r="AA100" s="259" t="str">
        <f t="shared" si="222"/>
        <v>IMPEGNI PER BENI IN LEASING</v>
      </c>
      <c r="AB100" s="259">
        <f t="shared" si="223"/>
        <v>0</v>
      </c>
      <c r="AC100" s="259" t="str">
        <f t="shared" si="224"/>
        <v>D</v>
      </c>
      <c r="AD100" s="259" t="str">
        <f t="shared" si="225"/>
        <v>CONTI D'ORDINE</v>
      </c>
      <c r="AE100" s="259">
        <f t="shared" si="226"/>
        <v>0</v>
      </c>
      <c r="AF100" s="259" t="str">
        <f t="shared" si="227"/>
        <v>CONTI DEI SISTEMI MINORI</v>
      </c>
      <c r="AG100" s="259">
        <f t="shared" ca="1" si="228"/>
        <v>0</v>
      </c>
      <c r="AH100" s="259">
        <f t="shared" ca="1" si="229"/>
        <v>0</v>
      </c>
      <c r="AI100" s="259">
        <f t="shared" ca="1" si="230"/>
        <v>1</v>
      </c>
      <c r="AJ100" s="259" t="str">
        <f t="shared" si="231"/>
        <v>19</v>
      </c>
      <c r="AK100" s="259" t="str">
        <f t="shared" si="232"/>
        <v/>
      </c>
      <c r="AL100" s="259">
        <f>IF(AK100&lt;&gt;"",MAX($AL$2:AL99)+1,0)</f>
        <v>0</v>
      </c>
      <c r="AM100" s="259" t="str">
        <f>IFERROR(INDEX($AK$3:$AL$220,MATCH(ROWS($AM$3:AM100),$AL$3:$AL$220,0),1),"")</f>
        <v/>
      </c>
      <c r="AN100" s="259" t="str">
        <f t="shared" si="233"/>
        <v/>
      </c>
      <c r="AO100" s="259" t="str">
        <f t="shared" si="234"/>
        <v/>
      </c>
      <c r="AP100" s="259" t="str">
        <f t="shared" si="235"/>
        <v>CONTI DEI SISTEMI MINORI</v>
      </c>
      <c r="AQ100" s="259">
        <f ca="1">IF(OR(AG100=0,AG100=""),0,MAX(AQ$2:AQ99)+1)</f>
        <v>0</v>
      </c>
      <c r="AR100" s="259">
        <f ca="1">IF(OR(AH100=0,AH100=""),0,MAX(AR$2:AR99)+1)</f>
        <v>0</v>
      </c>
      <c r="AS100" s="259">
        <f ca="1">IF(OR(AI100=0,AI100=""),0,MAX(AS$2:AS99)+1)</f>
        <v>94</v>
      </c>
      <c r="AT100" s="259" t="str">
        <f ca="1">IFERROR(INDEX($AD$3:$AS$220,MATCH(ROWS(AT$3:AT100),AQ$3:AQ$220,0),1),"")</f>
        <v/>
      </c>
      <c r="AU100" s="259" t="str">
        <f ca="1">IFERROR(INDEX($AD$3:$AS$220,MATCH(ROWS(AU$3:AU100),AR$3:AR$220,0),1),"")</f>
        <v>COSTI D'ESERCIZIO</v>
      </c>
      <c r="AV100" s="259" t="str">
        <f ca="1">IFERROR(INDEX($AD$3:$AS$220,MATCH(ROWS(AV$3:AV100),AS$3:AS$220,0),1),"")</f>
        <v>RICAVI D'ESERCIZIO</v>
      </c>
      <c r="AW100" s="259" t="str">
        <f ca="1">IFERROR(INDEX($AP$3:$AS$220,MATCH(ROWS(AW$3:AW100),AQ$3:AQ$220,0),1),"")</f>
        <v/>
      </c>
      <c r="AX100" s="259" t="str">
        <f ca="1">IFERROR(INDEX($AP$3:$AS$220,MATCH(ROWS(AX$3:AX100),AR$3:AR$220,0),1),"")</f>
        <v>COSTI PER SERVIZI</v>
      </c>
      <c r="AY100" s="259" t="str">
        <f ca="1">IFERROR(INDEX($AP$3:$AS$220,MATCH(ROWS(AY$3:AY100),AS$3:AS$220,0),1),"")</f>
        <v>VALORE DELLA PRODUZIONE</v>
      </c>
      <c r="AZ100" s="276" t="str">
        <f t="shared" ca="1" si="236"/>
        <v/>
      </c>
      <c r="BA100" s="259">
        <f ca="1">IF(BB100&lt;&gt;0,INIZIO_AC,0)</f>
        <v>0</v>
      </c>
      <c r="BB100" s="259">
        <f ca="1">IFERROR(INDEX($FG$3:$FL$400,MATCH(ROWS($BB$3:BB100),$FL$3:$FL$400,0),1),0)</f>
        <v>0</v>
      </c>
      <c r="BC100" s="259" t="str">
        <f t="shared" ca="1" si="237"/>
        <v/>
      </c>
      <c r="BD100" s="259">
        <f ca="1">IFERROR(INDEX($FG$3:$FL$400,MATCH(ROWS($BD$3:BD100),$FL$3:$FL$400,0),4),0)</f>
        <v>0</v>
      </c>
      <c r="BE100" s="259">
        <f ca="1">IFERROR(INDEX($FG$3:$FL$400,MATCH(ROWS($BE$3:BE100),$FL$3:$FL$400,0),5),0)</f>
        <v>0</v>
      </c>
      <c r="BG100" s="259" t="str">
        <f t="shared" ca="1" si="185"/>
        <v/>
      </c>
      <c r="BH100" s="259">
        <f ca="1">IF(IFERROR(MATCH(BG100,DENOMINAZIONE_GIORNALE,0),0)&gt;0,MAX(BH$2:BH99)+1,0)</f>
        <v>0</v>
      </c>
      <c r="BI100" s="259" t="str">
        <f ca="1">IFERROR(INDEX($BG$3:$BH$220,MATCH(ROWS($BI$3:BI100),$BH$3:$BH$220,0),1),"")</f>
        <v/>
      </c>
      <c r="BJ100" s="259" t="str">
        <f t="shared" ca="1" si="186"/>
        <v/>
      </c>
      <c r="BK100" s="259" t="str">
        <f ca="1">IF(IF(BJ100&lt;&gt;"",MAX($BK$2:BK99)+1,0)=0,"",IF(BJ100&lt;&gt;"",MAX($BK$2:BK99)+1,0))</f>
        <v/>
      </c>
      <c r="BL100" s="259" t="str">
        <f ca="1">IFERROR(INDEX($T$3:$U$220, MATCH(ROWS(BL$3:BL100),$V$3:$V$220,0),1),"")</f>
        <v/>
      </c>
      <c r="BM100" s="259" t="str">
        <f ca="1">IFERROR(INDEX($T$3:$U$220, MATCH(ROWS(BM$3:BM100),$V$3:$V$220,0),2),"")</f>
        <v/>
      </c>
      <c r="BN100" s="259" t="str">
        <f ca="1">IF(IFERROR(INDEX($BI$3:$BJ$220,MATCH(ROWS(BN$3:BN100),$BK$3:$BK$220,0),1),"")="PATRIMONIO NETTO","",IFERROR(INDEX($BI$3:$BJ$220,MATCH(ROWS(BN$3:BN100),$BK$3:$BK$220,0),1),""))</f>
        <v/>
      </c>
      <c r="BO100" s="259" t="str">
        <f ca="1">IFERROR(INDEX($BI$3:$BJ$220,MATCH(ROWS(BO$3:BO100),$BK$3:$BK$220,0),2),"")</f>
        <v/>
      </c>
      <c r="BP100" s="259">
        <f ca="1">IF(BN100&lt;&gt;"",MAX(BP$2:$BP99)+1,0)</f>
        <v>0</v>
      </c>
      <c r="BQ100" s="259" t="str">
        <f ca="1">IFERROR(INDEX($BN$3:$BO$200,MATCH(ROWS(BQ$3:BQ100),$BP$3:$BP$220,0),1),"")</f>
        <v/>
      </c>
      <c r="BR100" s="259" t="str">
        <f ca="1">IFERROR(INDEX($BN$3:$BO$220,MATCH(ROWS(BR$3:BR100),$BP$3:$BP$220,0),2),"")</f>
        <v/>
      </c>
      <c r="BS100" s="259" t="str">
        <f ca="1">IFERROR(IF(OR(INDEX($T$3:$U$220,MATCH(ROWS(BL$3:BL100),$V$3:$V$220,0),1)="PRELEVAMENTI EXTRAGESTIONE",INDEX($T$3:$U$220,MATCH(ROWS(BL$3:BL100),$V$3:$V$220,0),1)="TITOLARE C/RITENUTE SUBITE"),"",INDEX($T$3:$U$220,MATCH(ROWS(BL$3:BL100),$V$3:$V$220,0),1)),"")</f>
        <v/>
      </c>
      <c r="BT100" s="259">
        <f t="shared" ca="1" si="238"/>
        <v>0</v>
      </c>
      <c r="BU100" s="259">
        <f ca="1">IF(BS100&lt;&gt;"",MAX(BU$2:BU99)+1,0)</f>
        <v>0</v>
      </c>
      <c r="BV100" s="259" t="str">
        <f ca="1">IFERROR(INDEX($BS$3:$BT$223,MATCH(ROWS(BV$3:BV100),$BU$3:$BU$223,0),1),"")</f>
        <v/>
      </c>
      <c r="BW100" s="259">
        <f t="shared" ca="1" si="239"/>
        <v>0</v>
      </c>
      <c r="BX100" s="259" t="str">
        <f t="shared" ca="1" si="240"/>
        <v/>
      </c>
      <c r="BY100" s="259" t="str">
        <f t="shared" ca="1" si="241"/>
        <v/>
      </c>
      <c r="BZ100" s="259" t="str">
        <f ca="1">IFERROR(IF(OR($DS$231&lt;&gt;$DT$231,$DU$231&lt;&gt;$DV$231,$EO$25&lt;&gt;0,$EO$26&lt;&gt;0),INDEX($T$3:$V$220,MATCH(ROWS($BV$3:BV100),$V$3:$V$220,0),1),CONCATENATE(BV100,BY100)),"")</f>
        <v/>
      </c>
      <c r="CA100" s="259">
        <f t="shared" ca="1" si="242"/>
        <v>0</v>
      </c>
      <c r="CB100" s="259" t="str">
        <f ca="1">IFERROR(IF(OR($BB$1&lt;&gt;$BD$1,$BC$1&lt;&gt;$BE$1,$DS$231&lt;&gt;$DT$231,$DU$231&lt;&gt;$DV$231,$EO$25&lt;&gt;0,$EO$26&lt;&gt;0),INDEX($BI$3:$BK$220,MATCH(ROWS($CB$3:CB100),$BK$3:$BK$220,0),1),CONCATENATE(BQ100,BX100)),"")</f>
        <v/>
      </c>
      <c r="CC100" s="259" t="str">
        <f t="shared" ca="1" si="243"/>
        <v/>
      </c>
      <c r="CD100" s="259" t="str">
        <f t="shared" ca="1" si="187"/>
        <v/>
      </c>
      <c r="CE100" s="259">
        <f ca="1">IF(IFERROR(MATCH(CD100,DENOMINAZIONE_GIORNALE,0),0)&gt;0,MAX(CE$2:CE99)+1,0)</f>
        <v>0</v>
      </c>
      <c r="CF100" s="259" t="str">
        <f ca="1">IFERROR(INDEX($CD$3:$CE$220,MATCH(ROWS($CF$3:CF100),$CE$3:$CE$220,0),1),"")</f>
        <v/>
      </c>
      <c r="CG100" s="259">
        <f t="shared" ca="1" si="188"/>
        <v>0</v>
      </c>
      <c r="CH100" s="259" t="str">
        <f ca="1">IF(IF(CG100&lt;&gt;0,MAX($CH$2:CH99)+1,0)=0,"",IF(CG100&lt;&gt;"",MAX($CH$2:CH99)+1,0))</f>
        <v/>
      </c>
      <c r="CI100" s="259" t="str">
        <f ca="1">IFERROR(INDEX($CF$3:$CG$220,MATCH(ROWS($CI$3:CI100),$CH$3:$CH$220,0),1),"")</f>
        <v/>
      </c>
      <c r="CJ100" s="259" t="str">
        <f t="shared" ca="1" si="244"/>
        <v/>
      </c>
      <c r="CK100" s="259" t="str">
        <f t="shared" ca="1" si="189"/>
        <v/>
      </c>
      <c r="CL100" s="259">
        <f ca="1">IF(IFERROR(MATCH(CK100,DENOMINAZIONE_GIORNALE,0),0)&gt;0,MAX(CL$2:CL99)+1,0)</f>
        <v>0</v>
      </c>
      <c r="CM100" s="259" t="str">
        <f ca="1">IFERROR(INDEX($CK$3:$CL$220,MATCH(ROWS($CM$3:CM100),$CL$3:$CL$220,0),1),"")</f>
        <v/>
      </c>
      <c r="CN100" s="259" t="str">
        <f t="shared" ca="1" si="190"/>
        <v/>
      </c>
      <c r="CO100" s="259">
        <f ca="1">IF(IF(CN100&lt;&gt;0,MAX($CO$2:CO99)+1,0)=0,"",IF(CN100&lt;&gt;"",MAX($CO$2:CO99)+1,0))</f>
        <v>0</v>
      </c>
      <c r="CP100" s="259" t="str">
        <f ca="1">IFERROR(INDEX($CM$3:$CN$220,MATCH(ROWS(CP$3:CP100),$CO$3:$CO$220,0),1),"")</f>
        <v/>
      </c>
      <c r="CQ100" s="259" t="str">
        <f ca="1">IFERROR(INDEX($CM$3:$CN$220,MATCH(ROWS(CQ$3:CQ100),$CO$3:$CO$220,0),2),"")</f>
        <v/>
      </c>
      <c r="CR100" s="259" t="str">
        <f t="shared" ca="1" si="191"/>
        <v/>
      </c>
      <c r="CS100" s="259">
        <f t="shared" ca="1" si="192"/>
        <v>0</v>
      </c>
      <c r="CT100" s="259">
        <f t="shared" ca="1" si="193"/>
        <v>0</v>
      </c>
      <c r="CU100" s="259">
        <f ca="1">IF(OR(CS100&gt;0,CT100&gt;0),MAX($CU$2:CU99)+1,0)</f>
        <v>0</v>
      </c>
      <c r="CV100" s="259" t="str">
        <f ca="1">IFERROR(INDEX(PIANO_DEI_CONTI,MATCH(ROWS($CV$3:CV100),$CU$3:$CU$200,0),2),"")</f>
        <v/>
      </c>
      <c r="CW100" s="259">
        <f ca="1">IFERROR(IF(CV100&lt;&gt;"",MAX($CW$2:CW99)+1,0),0)</f>
        <v>0</v>
      </c>
      <c r="CX100" s="259">
        <f t="shared" ca="1" si="326"/>
        <v>6</v>
      </c>
      <c r="CY100" s="259" t="str">
        <f t="shared" ca="1" si="308"/>
        <v>MASTRO</v>
      </c>
      <c r="CZ100" s="259" t="e">
        <f t="shared" ca="1" si="328"/>
        <v>#N/A</v>
      </c>
      <c r="DA100" s="259" t="str">
        <f t="shared" ca="1" si="333"/>
        <v/>
      </c>
      <c r="DB100" s="259" t="str">
        <f t="shared" ca="1" si="329"/>
        <v/>
      </c>
      <c r="DC100" s="259" t="str">
        <f t="shared" ca="1" si="330"/>
        <v/>
      </c>
      <c r="DD100" s="259" t="str">
        <f t="shared" ca="1" si="331"/>
        <v/>
      </c>
      <c r="DE100" s="259" t="str">
        <f t="shared" ca="1" si="332"/>
        <v/>
      </c>
      <c r="DF100" s="259">
        <f ca="1">IF(AND(CX100=$DE$2,$DF$2&lt;&gt;0),0,IF(AND(DB100&lt;&gt;"",OR(DB99&lt;&gt;"",DB101&lt;&gt;"")),MAX($DF$2:DF99)+1,0))</f>
        <v>0</v>
      </c>
      <c r="DG100" s="259" t="str">
        <f>IF(OR(VALORI_INIZIALI!E105="",AND(VALORI_INIZIALI!E105&lt;&gt;"",VALORI_INIZIALI!H105=0,VALORI_INIZIALI!I105=0)),"",IFERROR(INDEX(PIANO_DEI_CONTI,MATCH(BB100,DENOMINAZIONE,0),1),0))</f>
        <v/>
      </c>
      <c r="DH100" s="259">
        <f ca="1">IFERROR(IF($J$1=1,IF(INDEX(PIANO_DEI_CONTI,MATCH($K100,DENOMINAZIONE,0),5)=$DF$1,MAX($DH$2:DH99)+1,0),IF($J$1=2,IF(INDEX(PIANO_DEI_CONTI,MATCH($K100,DENOMINAZIONE,0),7)=$DF$1,MAX($DH$2:DH99)+1,0))),0)</f>
        <v>0</v>
      </c>
      <c r="DI100" s="259">
        <f ca="1">IFERROR(INDEX($K$3:$K$220,MATCH(ROWS($DI$3:DI100),$DH$3:$DH$220,0),1),0)</f>
        <v>0</v>
      </c>
      <c r="DJ100" s="259">
        <f t="shared" ca="1" si="194"/>
        <v>0</v>
      </c>
      <c r="DK100" s="259">
        <f ca="1">IF(DJ100=0,0,MAX(DK$2:DK99)+1)</f>
        <v>0</v>
      </c>
      <c r="DL100" s="259">
        <f ca="1">IFERROR(INDEX(PIANO_DEI_CONTI,MATCH(ROWS(DL$3:DL100),$DK$3:DK327,0),2),0)</f>
        <v>0</v>
      </c>
      <c r="DM100" s="259">
        <f t="shared" ca="1" si="195"/>
        <v>0</v>
      </c>
      <c r="DN100" s="259">
        <f t="shared" ca="1" si="196"/>
        <v>0</v>
      </c>
      <c r="DO100" s="259">
        <f t="shared" ca="1" si="245"/>
        <v>0</v>
      </c>
      <c r="DP100" s="259">
        <f t="shared" ca="1" si="246"/>
        <v>0</v>
      </c>
      <c r="DQ100" s="259">
        <f ca="1">IF(OR($DQ$1="TOTALI",$DQ$1="TOTALI ED ECCEDENZE"),IF(OR(DM100&gt;0,DN100&gt;0),MAX(DQ$2:DQ99)+1,0),IF($DQ$1="ECCEDENZE",IF(OR(DO100&gt;0,DP100&gt;0),MAX(DQ$2:DQ99)+1,0),""))</f>
        <v>0</v>
      </c>
      <c r="DR100" s="259" t="str">
        <f ca="1">IFERROR(INDEX($DL$3:$DQ$230,MATCH(ROWS(DR$3:DR100),$DQ$3:$DQ$230,0),1),"")</f>
        <v/>
      </c>
      <c r="DS100" s="259" t="str">
        <f t="shared" ca="1" si="247"/>
        <v/>
      </c>
      <c r="DT100" s="259" t="str">
        <f t="shared" ca="1" si="248"/>
        <v/>
      </c>
      <c r="DU100" s="259" t="str">
        <f t="shared" ca="1" si="249"/>
        <v/>
      </c>
      <c r="DV100" s="259" t="str">
        <f t="shared" ca="1" si="250"/>
        <v/>
      </c>
      <c r="DW100" s="259">
        <f t="shared" ca="1" si="251"/>
        <v>0</v>
      </c>
      <c r="DX100" s="259" t="str">
        <f t="shared" ca="1" si="252"/>
        <v/>
      </c>
      <c r="DY100" s="259" t="str">
        <f t="shared" ca="1" si="253"/>
        <v/>
      </c>
      <c r="DZ100" s="259" t="str">
        <f t="shared" ca="1" si="254"/>
        <v/>
      </c>
      <c r="EA100" s="259">
        <f t="shared" ca="1" si="255"/>
        <v>98</v>
      </c>
      <c r="ED100" s="259">
        <f t="shared" ca="1" si="197"/>
        <v>0</v>
      </c>
      <c r="EE100" s="259" t="str">
        <f t="shared" ca="1" si="198"/>
        <v/>
      </c>
      <c r="EF100" s="259" t="str">
        <f t="shared" ca="1" si="199"/>
        <v/>
      </c>
      <c r="EG100" s="259" t="str">
        <f t="shared" ca="1" si="309"/>
        <v/>
      </c>
      <c r="EH100" s="259" t="str">
        <f t="shared" ca="1" si="256"/>
        <v/>
      </c>
      <c r="EI100" s="260" t="b">
        <f t="shared" ca="1" si="310"/>
        <v>0</v>
      </c>
      <c r="EJ100" s="260" t="b">
        <f t="shared" ca="1" si="311"/>
        <v>1</v>
      </c>
      <c r="EK100" s="260" t="b">
        <f t="shared" ca="1" si="312"/>
        <v>1</v>
      </c>
      <c r="EL100" s="259">
        <f t="shared" si="257"/>
        <v>98</v>
      </c>
      <c r="EM100" s="259">
        <f ca="1">IF(AND(BA100&gt;0,BA100&lt;=$EM$1),MAX($EM$2:EM99)+1,0)</f>
        <v>0</v>
      </c>
      <c r="EN100" s="259">
        <f t="shared" ca="1" si="258"/>
        <v>100</v>
      </c>
      <c r="EP100" s="259" t="str">
        <f t="shared" ca="1" si="200"/>
        <v/>
      </c>
      <c r="EQ100" s="259">
        <f t="shared" ca="1" si="201"/>
        <v>0</v>
      </c>
      <c r="ER100" s="259">
        <f ca="1">IF(ISNA(EQ100),MAX(ER$2:ER99)+1,0)</f>
        <v>0</v>
      </c>
      <c r="ES100" s="259" t="str">
        <f t="shared" ca="1" si="259"/>
        <v/>
      </c>
      <c r="ET100" s="259" t="str">
        <f ca="1">IFERROR(UPPER(INDEX($ER$3:$ES$500,MATCH(ROWS(ET$3:ET100),$ER$3:$ER$500,0),2)),"")</f>
        <v/>
      </c>
      <c r="EY100" s="259">
        <f t="shared" ca="1" si="260"/>
        <v>0</v>
      </c>
      <c r="EZ100" s="259">
        <f t="shared" ca="1" si="260"/>
        <v>0</v>
      </c>
      <c r="FA100" s="259" t="str">
        <f t="shared" ca="1" si="261"/>
        <v/>
      </c>
      <c r="FB100" s="259">
        <f t="shared" ca="1" si="262"/>
        <v>0</v>
      </c>
      <c r="FC100" s="259">
        <f t="shared" ca="1" si="263"/>
        <v>0</v>
      </c>
      <c r="FD100" s="259">
        <f t="shared" ca="1" si="202"/>
        <v>0</v>
      </c>
      <c r="FE100" s="259" t="str">
        <f t="shared" ca="1" si="203"/>
        <v/>
      </c>
      <c r="FF100" s="259" t="str">
        <f t="shared" ca="1" si="264"/>
        <v/>
      </c>
      <c r="FG100" s="259" t="str">
        <f t="shared" si="265"/>
        <v/>
      </c>
      <c r="FH100" s="259">
        <f t="shared" ca="1" si="334"/>
        <v>0</v>
      </c>
      <c r="FI100" s="259">
        <f t="shared" ca="1" si="204"/>
        <v>0</v>
      </c>
      <c r="FJ100" s="259">
        <f t="shared" ca="1" si="266"/>
        <v>0</v>
      </c>
      <c r="FK100" s="259">
        <f t="shared" ca="1" si="267"/>
        <v>0</v>
      </c>
      <c r="FL100" s="259">
        <f ca="1">IF(OR(FJ100&gt;0,FK100&gt;0),MAX($FL$2:FL99)+1,0)</f>
        <v>0</v>
      </c>
      <c r="FM100" s="259">
        <f t="shared" si="205"/>
        <v>0</v>
      </c>
      <c r="FN100" s="259">
        <f>IF(FM100&lt;0,MAX($FN$2:FN99)+1,0)</f>
        <v>0</v>
      </c>
      <c r="FO100" s="259" t="str">
        <f t="shared" si="268"/>
        <v/>
      </c>
      <c r="FP100" s="259" t="str">
        <f ca="1">IFERROR(INDEX($FN$3:$FO$400,MATCH(ROWS($FP$3:FP100),$FN$3:$FN$400,0),2),"")</f>
        <v/>
      </c>
      <c r="FQ100" s="259" t="str">
        <f>IF(AE100="SE AVERE",MAX($FQ$2:FQ99)+1,"")</f>
        <v/>
      </c>
      <c r="FR100" s="259" t="str">
        <f>IF(AE100="SE DARE",MAX($FR$2:FR99)+1,"")</f>
        <v/>
      </c>
      <c r="FS100" s="259" t="str">
        <f ca="1">IF(AND(AE100="SP DARE",AA100&lt;&gt;$FS$1,AA100&lt;&gt;$FT$1),MAX($FS$2:FS99)+1,IF(AND(GQ100="SP DARE",AA100&lt;&gt;$FS$1,AA100&lt;&gt;$FT$1),MAX($FS$2:FS99)+1,""))</f>
        <v/>
      </c>
      <c r="FT100" s="259" t="str">
        <f ca="1">IF(AND(AE100="SP AVERE",AA100&lt;&gt;$FU$1),MAX($FT$2:FT99)+1,IF(AND(GQ100="SP AVERE",AA100&lt;&gt;$FU$1),MAX($FT$2:FT99)+1,""))</f>
        <v/>
      </c>
      <c r="FU100" s="259">
        <f t="shared" ca="1" si="269"/>
        <v>0</v>
      </c>
      <c r="FV100" s="259" t="str">
        <f t="shared" si="270"/>
        <v>IMPEGNI PER BENI IN LEASING</v>
      </c>
      <c r="FW100" s="259" t="str">
        <f ca="1">IFERROR(INDEX($FU$3:$FV$500,MATCH(ROWS($FW$3:FW100),$FU$3:$FU$500,0),2),0)</f>
        <v>MACCHINE D'UFFICIO</v>
      </c>
      <c r="FX100" s="259">
        <f t="shared" ca="1" si="271"/>
        <v>98</v>
      </c>
      <c r="FY100" s="259">
        <f t="shared" ca="1" si="272"/>
        <v>0</v>
      </c>
      <c r="FZ100" s="259">
        <f ca="1">IF(FY100&gt;0,MAX($FZ$2:FZ99)+1,0)</f>
        <v>0</v>
      </c>
      <c r="GA100" s="259">
        <f ca="1">IFERROR(INDEX($FY$3:$FZ$500,MATCH(ROWS($GA$3:GA100),$FZ$3:$FZ$500,0),1),0)</f>
        <v>0</v>
      </c>
      <c r="GC100" s="259">
        <f t="shared" ca="1" si="273"/>
        <v>98</v>
      </c>
      <c r="GD100" s="259" t="str">
        <f t="shared" ca="1" si="274"/>
        <v>MACCHINE D'UFFICIO</v>
      </c>
      <c r="GG100" s="259">
        <f t="shared" ca="1" si="275"/>
        <v>0</v>
      </c>
      <c r="GH100" s="259">
        <f t="shared" ca="1" si="276"/>
        <v>0</v>
      </c>
      <c r="GI100" s="259">
        <f t="shared" ca="1" si="277"/>
        <v>0</v>
      </c>
      <c r="GJ100" s="259">
        <f t="shared" ca="1" si="278"/>
        <v>0</v>
      </c>
      <c r="GK100" s="259">
        <f t="shared" ca="1" si="279"/>
        <v>0</v>
      </c>
      <c r="GL100" s="259">
        <f t="shared" ca="1" si="280"/>
        <v>0</v>
      </c>
      <c r="GM100" s="259">
        <f ca="1">IF(OR(GK100&gt;0,GL100&gt;0),MAX($GM$2:GM99)+1,0)</f>
        <v>0</v>
      </c>
      <c r="GN100" s="259" t="str">
        <f ca="1">IFERROR(INDEX($GD$3:$GM$400,MATCH(ROWS($GN$3:GN100),$GM$3:$GM$400,0),1),"")</f>
        <v/>
      </c>
      <c r="GO100" s="259" t="str">
        <f ca="1">IFERROR(INDEX($GD$3:$GM$400,MATCH(ROWS($GO$3:GO100),$GM$3:$GM$400,0),8),"")</f>
        <v/>
      </c>
      <c r="GP100" s="259" t="str">
        <f ca="1">IFERROR(INDEX($GD$3:$GM$400,MATCH(ROWS($GP$3:GP100),$GM$3:$GM$400,0),9),"")</f>
        <v/>
      </c>
      <c r="GQ100" s="259">
        <f t="shared" ca="1" si="206"/>
        <v>0</v>
      </c>
      <c r="GR100" s="259">
        <f t="shared" ca="1" si="281"/>
        <v>0</v>
      </c>
      <c r="GS100" s="259" t="str">
        <f t="shared" ca="1" si="282"/>
        <v>chiusura del conto</v>
      </c>
      <c r="GT100" s="259" t="str">
        <f ca="1">IFERROR(INDEX($GD$3:$GS$400,MATCH(ROWS($GT$3:GT100),$GM$3:$GM$400,0),16),"")</f>
        <v/>
      </c>
      <c r="GU100" s="259">
        <f ca="1">IF(GQ100&lt;&gt;0,MAX($GU$2:$GU99)+1,0)</f>
        <v>0</v>
      </c>
      <c r="GV100" s="259">
        <f t="shared" ca="1" si="283"/>
        <v>0</v>
      </c>
      <c r="GW100" s="259" t="str">
        <f ca="1">IF(AND(IFERROR(INDEX($GU$3:$GV$400,MATCH(ROWS($GW$3:GW100),$GU$3:$GU$400,0),2),"")&lt;&gt;"",GW101&lt;&gt;""),CONCATENATE(IFERROR(INDEX($GU$3:$GV$400,MATCH(ROWS($GW$3:GW100),$GU$3:$GU$400,0),2),"")," - "),IFERROR(INDEX($GU$3:$GV$400,MATCH(ROWS($GW$3:GW100),$GU$3:$GU$400,0),2),""))</f>
        <v/>
      </c>
      <c r="GX100" s="259">
        <f ca="1">IF(OR(GN100="IVA NS/CREDITO",GN100="IVA NS/DEBITO",GN100="IVA C/ACCONTO",GN100="IMPOSTE C/ACCONTO"),MAX($GX$2:GX99)+1,0)</f>
        <v>0</v>
      </c>
      <c r="GY100" s="259" t="str">
        <f ca="1">IF(AND(IFERROR(INDEX($GN$3:$GX$200,MATCH(ROWS($GY$3:GY100),$GX$3:$GX$200,0),1),"")&lt;&gt;"",GY101&lt;&gt;""),CONCATENATE(IFERROR(INDEX($GN$3:$GX$200,MATCH(ROWS($GY$3:GY100),$GX$3:$GX$200,0),1),"")," - "),IFERROR(INDEX($GN$3:$GX$200,MATCH(ROWS($GY$3:GY100),$GX$3:$GX$200,0),1),""))</f>
        <v/>
      </c>
      <c r="GZ100" s="259" t="s">
        <v>534</v>
      </c>
      <c r="HA100" s="259" t="s">
        <v>535</v>
      </c>
      <c r="HB100" s="269" t="s">
        <v>257</v>
      </c>
      <c r="HC100" s="269" t="s">
        <v>211</v>
      </c>
      <c r="HD100" s="269" t="s">
        <v>5</v>
      </c>
      <c r="HE100" s="269" t="s">
        <v>212</v>
      </c>
      <c r="HL100" s="259" t="str">
        <f t="shared" ca="1" si="207"/>
        <v/>
      </c>
      <c r="HM100" s="259" t="str">
        <f t="shared" ca="1" si="208"/>
        <v/>
      </c>
      <c r="HN100" s="259" t="str">
        <f t="shared" ca="1" si="209"/>
        <v/>
      </c>
      <c r="HO100" s="259">
        <f ca="1">IF(HL100&lt;&gt;"",MAX($HO$2:HO99)+1,0)</f>
        <v>0</v>
      </c>
      <c r="HP100" s="259">
        <f ca="1">IF(HM100&lt;&gt;"",MAX($HP$2:HP99)+1,0)</f>
        <v>0</v>
      </c>
      <c r="HQ100" s="259">
        <f ca="1">IF(HN100&lt;&gt;"",MAX($HQ$2:HQ99)+1,0)</f>
        <v>0</v>
      </c>
      <c r="HR100" s="259" t="str">
        <f t="shared" ca="1" si="284"/>
        <v/>
      </c>
      <c r="HS100" s="259" t="str">
        <f t="shared" ca="1" si="285"/>
        <v/>
      </c>
      <c r="HT100" s="259">
        <f t="shared" ca="1" si="286"/>
        <v>0</v>
      </c>
      <c r="HU100" s="259">
        <f t="shared" ca="1" si="287"/>
        <v>0</v>
      </c>
      <c r="HV100" s="259" t="str">
        <f ca="1">CONCATENATE(IFERROR(INDEX($HS$3:$HT$102,MATCH(ROWS($HV$3:HV100),$HT$3:$HT$102,0),1),""),HR100)</f>
        <v/>
      </c>
      <c r="IC100" s="259">
        <f ca="1">IFERROR(INDEX(PIANO_DEI_CONTI,MATCH(ROWS(DL$3:DL100),$DK$3:DK327,0),2),0)</f>
        <v>0</v>
      </c>
      <c r="ID100" s="259">
        <f t="shared" ca="1" si="288"/>
        <v>0</v>
      </c>
      <c r="IE100" s="259">
        <f t="shared" ca="1" si="289"/>
        <v>0</v>
      </c>
      <c r="IF100" s="259">
        <f t="shared" ca="1" si="290"/>
        <v>0</v>
      </c>
      <c r="IG100" s="259">
        <f t="shared" ca="1" si="324"/>
        <v>0</v>
      </c>
      <c r="IH100" s="259">
        <f ca="1">IF(IG100&lt;&gt;0,MAX($IH$35:IH99)+1,0)</f>
        <v>0</v>
      </c>
      <c r="II100" s="259">
        <f>IF(AD100="costi pluriennali",MAX($II$2:II99)+1,0)</f>
        <v>0</v>
      </c>
      <c r="IJ100" s="259">
        <f>IF($AD100="rettifiche costi pluriennali",MAX($IJ$2:IJ99)+1,0)</f>
        <v>0</v>
      </c>
      <c r="IK100" s="259">
        <f t="shared" si="291"/>
        <v>0</v>
      </c>
      <c r="IL100" s="259" t="str">
        <f t="shared" si="292"/>
        <v/>
      </c>
      <c r="IM100" s="259">
        <f t="shared" ca="1" si="293"/>
        <v>0</v>
      </c>
      <c r="IN100" s="259">
        <f t="shared" ca="1" si="313"/>
        <v>0</v>
      </c>
      <c r="IO100" s="259">
        <f>SUMIFS($IM$3:$IM$200,$IK$3:$IK$200,ROWS($IO$3:IO100))-SUMIFS($IN$3:$IN$200,$IK$3:$IK$200,ROWS($IO$3:IO100))</f>
        <v>0</v>
      </c>
      <c r="IP100" s="259" t="str">
        <f>IF(IO100&lt;0,INDEX($IJ$3:$IL$200,MATCH(ROWS($IP$3:IP100),$IJ$3:$IJ$200,0),3),"")</f>
        <v/>
      </c>
      <c r="IQ100" s="259">
        <f>IF(IP100&lt;&gt;"",MAX($IQ$2:IQ99)+1,0)</f>
        <v>0</v>
      </c>
      <c r="IR100" s="259" t="str">
        <f ca="1">IFERROR(INDEX($IP$3:$IQ$200,MATCH(ROWS($IR$3:IR100),$IQ$3:$IQ$200,0),1),"")</f>
        <v/>
      </c>
      <c r="IS100" s="259" t="str">
        <f t="shared" ca="1" si="294"/>
        <v/>
      </c>
      <c r="IT100" s="259" t="str">
        <f t="shared" ca="1" si="295"/>
        <v/>
      </c>
      <c r="IU100" s="259" t="str">
        <f t="shared" ca="1" si="296"/>
        <v/>
      </c>
      <c r="IV100" s="259" t="str">
        <f t="shared" ca="1" si="297"/>
        <v/>
      </c>
      <c r="IW100" s="259" t="str">
        <f t="shared" ca="1" si="298"/>
        <v/>
      </c>
      <c r="IX100" s="259" t="str">
        <f t="shared" ca="1" si="299"/>
        <v/>
      </c>
      <c r="IY100" s="259" t="str">
        <f t="shared" ca="1" si="300"/>
        <v/>
      </c>
      <c r="IZ100" s="259" t="str">
        <f t="shared" ca="1" si="301"/>
        <v/>
      </c>
      <c r="JA100" s="259" t="str">
        <f t="shared" ca="1" si="302"/>
        <v/>
      </c>
      <c r="JB100" s="259">
        <f t="shared" ca="1" si="210"/>
        <v>0</v>
      </c>
      <c r="JC100" s="259">
        <f t="shared" ca="1" si="303"/>
        <v>0</v>
      </c>
      <c r="JE100" s="259">
        <f ca="1">IFERROR(INDEX(LIBRO_GIORNALE!$N$11:$O$408,MATCH(ROWS($JE$2:JE99),LIBRO_GIORNALE!$O$11:$O$408,0),1),0)</f>
        <v>0</v>
      </c>
      <c r="JF100" s="259" t="str">
        <f t="shared" ca="1" si="304"/>
        <v>0</v>
      </c>
      <c r="JG100" s="259">
        <f t="shared" ca="1" si="305"/>
        <v>0</v>
      </c>
      <c r="JH100" s="259">
        <f ca="1">IF(JJ100&gt;0,0,MAX($JH$2:JH99)+1)</f>
        <v>98</v>
      </c>
      <c r="JI100" s="259">
        <f ca="1">IF(JG100&gt;0,MAX($JI$2:JI99)+1,0)</f>
        <v>0</v>
      </c>
      <c r="JJ100" s="259">
        <f ca="1">IFERROR(INDEX($JG$3:$JI$124,MATCH(ROWS($JJ$3:JJ100),$JI$3:$JI$124,0),1),0)</f>
        <v>0</v>
      </c>
      <c r="JK100" s="259">
        <f t="shared" ca="1" si="306"/>
        <v>0</v>
      </c>
      <c r="JL100" s="259">
        <f t="shared" ca="1" si="307"/>
        <v>98</v>
      </c>
    </row>
    <row r="101" spans="1:273">
      <c r="A101" s="259" t="str">
        <f t="shared" si="211"/>
        <v>15.22</v>
      </c>
      <c r="B101" s="259" t="str">
        <f t="shared" si="212"/>
        <v>DEBITI V/FONDI PENSIONE</v>
      </c>
      <c r="C101" s="259" t="str">
        <f t="shared" si="213"/>
        <v>F</v>
      </c>
      <c r="D101" s="259" t="str">
        <f t="shared" si="214"/>
        <v>A</v>
      </c>
      <c r="E101" s="259" t="str">
        <f t="shared" si="215"/>
        <v>DEBITI</v>
      </c>
      <c r="F101" s="259" t="str">
        <f t="shared" si="216"/>
        <v>SP AVERE</v>
      </c>
      <c r="G101" s="259">
        <f t="shared" ca="1" si="217"/>
        <v>0</v>
      </c>
      <c r="H101" s="259">
        <f t="shared" ca="1" si="218"/>
        <v>0</v>
      </c>
      <c r="I101" s="259">
        <f t="shared" ca="1" si="219"/>
        <v>1</v>
      </c>
      <c r="K101" s="259" t="str">
        <f ca="1">IFERROR(IF($I$1=1,INDEX($AA$3:$AS$220,MATCH(ROWS($K$3:K101),$AQ$3:$AQ$220,0),1),IF($I$1=2,INDEX($AA$3:$AS$220,MATCH(ROWS($K$3:K101),$AR$3:$AR$220,0),1),IF($I$1=3,INDEX($AA$3:$AS$220,MATCH(ROWS($K$3:K101),$AS$3:$AS$220,0),1),""))),"")</f>
        <v>MERCI C/VENDITE ON LINE</v>
      </c>
      <c r="L101" s="259">
        <f ca="1">IF(AND($L$1="VISUALIZZA TUTTI I CONTI",K101&lt;&gt;""),MAX(L100:L100)+1,IFERROR(IF($J$1=1,IF(INDEX(PIANO_DEI_CONTI,MATCH($K101,DENOMINAZIONE,0),5)=$L$1,MAX($L$2:L100)+1,0),IF($J$1=2,IF(INDEX(PIANO_DEI_CONTI,MATCH($K101,DENOMINAZIONE,0),7)=$L$1,MAX($L$2:L100)+1,0))),0))</f>
        <v>99</v>
      </c>
      <c r="M101" s="259" t="str">
        <f ca="1">IFERROR(INDEX($K$3:$K$220,MATCH(ROWS($M$3:M101),$L$3:$L$220,0),1),"")</f>
        <v>MERCI C/VENDITE ON LINE</v>
      </c>
      <c r="Q101" s="259" t="str">
        <f ca="1">IF(IFERROR(INDEX($O$3:$P$220,MATCH(ROWS(Q$3:Q101),$P$3:$P$220,0),1),"")=0,"",IFERROR(INDEX($O$3:$P$220,MATCH(ROWS(Q$3:Q101),$P$3:$P$220,0),1),""))</f>
        <v/>
      </c>
      <c r="R101" s="259" t="str">
        <f t="shared" ca="1" si="182"/>
        <v/>
      </c>
      <c r="S101" s="259">
        <f ca="1">IF(IFERROR(MATCH(R101,DENOMINAZIONE_GIORNALE,0),0)&gt;0,MAX(S$2:S100)+1,0)</f>
        <v>0</v>
      </c>
      <c r="T101" s="259" t="str">
        <f ca="1">IFERROR(INDEX($R$3:$S$220,MATCH(ROWS($T$3:T101),$S$3:$S$220,0),1),"")</f>
        <v/>
      </c>
      <c r="U101" s="259">
        <f t="shared" ca="1" si="183"/>
        <v>0</v>
      </c>
      <c r="V101" s="259">
        <f ca="1">IF(IF(U101&lt;&gt;0,MAX($V$2:V100)+1,0)=0,0,IF(U101&lt;&gt;0,MAX($V$2:V100)+1,0))</f>
        <v>0</v>
      </c>
      <c r="W101" s="259" t="str">
        <f t="shared" si="220"/>
        <v>15.22</v>
      </c>
      <c r="X101" s="259" t="str">
        <f t="shared" si="221"/>
        <v>DEBITI V/FONDI PENSIONE</v>
      </c>
      <c r="Y101" s="259">
        <f>IF(W101="",0,MAX($Y$2:Y100)+1)</f>
        <v>85</v>
      </c>
      <c r="Z101" s="259" t="str">
        <f>IFERROR(INDEX($W$3:$Y$220,MATCH(ROWS($Z$2:Z100),$Y$3:$Y$220,0),1),"")</f>
        <v>19.12</v>
      </c>
      <c r="AA101" s="259" t="str">
        <f t="shared" si="222"/>
        <v>CREDITORI C/LEASING</v>
      </c>
      <c r="AB101" s="259">
        <f t="shared" si="223"/>
        <v>0</v>
      </c>
      <c r="AC101" s="259" t="str">
        <f t="shared" si="224"/>
        <v>A</v>
      </c>
      <c r="AD101" s="259" t="str">
        <f t="shared" si="225"/>
        <v>CONTI D'ORDINE</v>
      </c>
      <c r="AE101" s="259">
        <f t="shared" si="226"/>
        <v>0</v>
      </c>
      <c r="AF101" s="259" t="str">
        <f t="shared" si="227"/>
        <v>CONTI DEI SISTEMI MINORI</v>
      </c>
      <c r="AG101" s="259">
        <f t="shared" ca="1" si="228"/>
        <v>0</v>
      </c>
      <c r="AH101" s="259">
        <f t="shared" ca="1" si="229"/>
        <v>0</v>
      </c>
      <c r="AI101" s="259">
        <f t="shared" ca="1" si="230"/>
        <v>1</v>
      </c>
      <c r="AJ101" s="259" t="str">
        <f t="shared" si="231"/>
        <v>19</v>
      </c>
      <c r="AK101" s="259" t="str">
        <f t="shared" si="232"/>
        <v/>
      </c>
      <c r="AL101" s="259">
        <f>IF(AK101&lt;&gt;"",MAX($AL$2:AL100)+1,0)</f>
        <v>0</v>
      </c>
      <c r="AM101" s="259" t="str">
        <f>IFERROR(INDEX($AK$3:$AL$220,MATCH(ROWS($AM$3:AM101),$AL$3:$AL$220,0),1),"")</f>
        <v/>
      </c>
      <c r="AN101" s="259" t="str">
        <f t="shared" si="233"/>
        <v/>
      </c>
      <c r="AO101" s="259" t="str">
        <f t="shared" si="234"/>
        <v/>
      </c>
      <c r="AP101" s="259" t="str">
        <f t="shared" si="235"/>
        <v>CONTI DEI SISTEMI MINORI</v>
      </c>
      <c r="AQ101" s="259">
        <f ca="1">IF(OR(AG101=0,AG101=""),0,MAX(AQ$2:AQ100)+1)</f>
        <v>0</v>
      </c>
      <c r="AR101" s="259">
        <f ca="1">IF(OR(AH101=0,AH101=""),0,MAX(AR$2:AR100)+1)</f>
        <v>0</v>
      </c>
      <c r="AS101" s="259">
        <f ca="1">IF(OR(AI101=0,AI101=""),0,MAX(AS$2:AS100)+1)</f>
        <v>95</v>
      </c>
      <c r="AT101" s="259" t="str">
        <f ca="1">IFERROR(INDEX($AD$3:$AS$220,MATCH(ROWS(AT$3:AT101),AQ$3:AQ$220,0),1),"")</f>
        <v/>
      </c>
      <c r="AU101" s="259" t="str">
        <f ca="1">IFERROR(INDEX($AD$3:$AS$220,MATCH(ROWS(AU$3:AU101),AR$3:AR$220,0),1),"")</f>
        <v>COSTI D'ESERCIZIO</v>
      </c>
      <c r="AV101" s="259" t="str">
        <f ca="1">IFERROR(INDEX($AD$3:$AS$220,MATCH(ROWS(AV$3:AV101),AS$3:AS$220,0),1),"")</f>
        <v>RICAVI D'ESERCIZIO</v>
      </c>
      <c r="AW101" s="259" t="str">
        <f ca="1">IFERROR(INDEX($AP$3:$AS$220,MATCH(ROWS(AW$3:AW101),AQ$3:AQ$220,0),1),"")</f>
        <v/>
      </c>
      <c r="AX101" s="259" t="str">
        <f ca="1">IFERROR(INDEX($AP$3:$AS$220,MATCH(ROWS(AX$3:AX101),AR$3:AR$220,0),1),"")</f>
        <v>COSTI PER SERVIZI</v>
      </c>
      <c r="AY101" s="259" t="str">
        <f ca="1">IFERROR(INDEX($AP$3:$AS$220,MATCH(ROWS(AY$3:AY101),AS$3:AS$220,0),1),"")</f>
        <v>VALORE DELLA PRODUZIONE</v>
      </c>
      <c r="AZ101" s="276" t="str">
        <f t="shared" ca="1" si="236"/>
        <v/>
      </c>
      <c r="BA101" s="259">
        <f ca="1">IF(BB101&lt;&gt;0,INIZIO_AC,0)</f>
        <v>0</v>
      </c>
      <c r="BB101" s="259">
        <f ca="1">IFERROR(INDEX($FG$3:$FL$400,MATCH(ROWS($BB$3:BB101),$FL$3:$FL$400,0),1),0)</f>
        <v>0</v>
      </c>
      <c r="BC101" s="259" t="str">
        <f t="shared" ca="1" si="237"/>
        <v/>
      </c>
      <c r="BD101" s="259">
        <f ca="1">IFERROR(INDEX($FG$3:$FL$400,MATCH(ROWS($BD$3:BD101),$FL$3:$FL$400,0),4),0)</f>
        <v>0</v>
      </c>
      <c r="BE101" s="259">
        <f ca="1">IFERROR(INDEX($FG$3:$FL$400,MATCH(ROWS($BE$3:BE101),$FL$3:$FL$400,0),5),0)</f>
        <v>0</v>
      </c>
      <c r="BG101" s="259" t="str">
        <f t="shared" ca="1" si="185"/>
        <v/>
      </c>
      <c r="BH101" s="259">
        <f ca="1">IF(IFERROR(MATCH(BG101,DENOMINAZIONE_GIORNALE,0),0)&gt;0,MAX(BH$2:BH100)+1,0)</f>
        <v>0</v>
      </c>
      <c r="BI101" s="259" t="str">
        <f ca="1">IFERROR(INDEX($BG$3:$BH$220,MATCH(ROWS($BI$3:BI101),$BH$3:$BH$220,0),1),"")</f>
        <v/>
      </c>
      <c r="BJ101" s="259" t="str">
        <f t="shared" ca="1" si="186"/>
        <v/>
      </c>
      <c r="BK101" s="259" t="str">
        <f ca="1">IF(IF(BJ101&lt;&gt;"",MAX($BK$2:BK100)+1,0)=0,"",IF(BJ101&lt;&gt;"",MAX($BK$2:BK100)+1,0))</f>
        <v/>
      </c>
      <c r="BL101" s="259" t="str">
        <f ca="1">IFERROR(INDEX($T$3:$U$220, MATCH(ROWS(BL$3:BL101),$V$3:$V$220,0),1),"")</f>
        <v/>
      </c>
      <c r="BM101" s="259" t="str">
        <f ca="1">IFERROR(INDEX($T$3:$U$220, MATCH(ROWS(BM$3:BM101),$V$3:$V$220,0),2),"")</f>
        <v/>
      </c>
      <c r="BN101" s="259" t="str">
        <f ca="1">IF(IFERROR(INDEX($BI$3:$BJ$220,MATCH(ROWS(BN$3:BN101),$BK$3:$BK$220,0),1),"")="PATRIMONIO NETTO","",IFERROR(INDEX($BI$3:$BJ$220,MATCH(ROWS(BN$3:BN101),$BK$3:$BK$220,0),1),""))</f>
        <v/>
      </c>
      <c r="BO101" s="259" t="str">
        <f ca="1">IFERROR(INDEX($BI$3:$BJ$220,MATCH(ROWS(BO$3:BO101),$BK$3:$BK$220,0),2),"")</f>
        <v/>
      </c>
      <c r="BP101" s="259">
        <f ca="1">IF(BN101&lt;&gt;"",MAX(BP$2:$BP100)+1,0)</f>
        <v>0</v>
      </c>
      <c r="BQ101" s="259" t="str">
        <f ca="1">IFERROR(INDEX($BN$3:$BO$200,MATCH(ROWS(BQ$3:BQ101),$BP$3:$BP$220,0),1),"")</f>
        <v/>
      </c>
      <c r="BR101" s="259" t="str">
        <f ca="1">IFERROR(INDEX($BN$3:$BO$220,MATCH(ROWS(BR$3:BR101),$BP$3:$BP$220,0),2),"")</f>
        <v/>
      </c>
      <c r="BS101" s="259" t="str">
        <f ca="1">IFERROR(IF(OR(INDEX($T$3:$U$220,MATCH(ROWS(BL$3:BL101),$V$3:$V$220,0),1)="PRELEVAMENTI EXTRAGESTIONE",INDEX($T$3:$U$220,MATCH(ROWS(BL$3:BL101),$V$3:$V$220,0),1)="TITOLARE C/RITENUTE SUBITE"),"",INDEX($T$3:$U$220,MATCH(ROWS(BL$3:BL101),$V$3:$V$220,0),1)),"")</f>
        <v/>
      </c>
      <c r="BT101" s="259">
        <f t="shared" ca="1" si="238"/>
        <v>0</v>
      </c>
      <c r="BU101" s="259">
        <f ca="1">IF(BS101&lt;&gt;"",MAX(BU$2:BU100)+1,0)</f>
        <v>0</v>
      </c>
      <c r="BV101" s="259" t="str">
        <f ca="1">IFERROR(INDEX($BS$3:$BT$223,MATCH(ROWS(BV$3:BV101),$BU$3:$BU$223,0),1),"")</f>
        <v/>
      </c>
      <c r="BW101" s="259">
        <f t="shared" ca="1" si="239"/>
        <v>0</v>
      </c>
      <c r="CB101" s="259" t="str">
        <f ca="1">IFERROR(IF(OR($BB$1&lt;&gt;$BD$1,$BC$1&lt;&gt;$BE$1,$DS$231&lt;&gt;$DT$231,$DU$231&lt;&gt;$DV$231,$EO$25&lt;&gt;0,$EO$26&lt;&gt;0),INDEX($BI$3:$BK$220,MATCH(ROWS($CB$3:CB101),$BK$3:$BK$220,0),1),CONCATENATE(BQ101,BX101)),"")</f>
        <v/>
      </c>
      <c r="CC101" s="259" t="str">
        <f t="shared" ca="1" si="243"/>
        <v/>
      </c>
      <c r="CD101" s="259" t="str">
        <f t="shared" ca="1" si="187"/>
        <v/>
      </c>
      <c r="CE101" s="259">
        <f ca="1">IF(IFERROR(MATCH(CD101,DENOMINAZIONE_GIORNALE,0),0)&gt;0,MAX(CE$2:CE100)+1,0)</f>
        <v>0</v>
      </c>
      <c r="CF101" s="259" t="str">
        <f ca="1">IFERROR(INDEX($CD$3:$CE$220,MATCH(ROWS($CF$3:CF101),$CE$3:$CE$220,0),1),"")</f>
        <v/>
      </c>
      <c r="CG101" s="259">
        <f t="shared" ca="1" si="188"/>
        <v>0</v>
      </c>
      <c r="CH101" s="259" t="str">
        <f ca="1">IF(IF(CG101&lt;&gt;0,MAX($CH$2:CH100)+1,0)=0,"",IF(CG101&lt;&gt;"",MAX($CH$2:CH100)+1,0))</f>
        <v/>
      </c>
      <c r="CI101" s="259" t="str">
        <f ca="1">IFERROR(INDEX($CF$3:$CG$220,MATCH(ROWS($CI$3:CI101),$CH$3:$CH$220,0),1),"")</f>
        <v/>
      </c>
      <c r="CJ101" s="259" t="str">
        <f t="shared" ca="1" si="244"/>
        <v/>
      </c>
      <c r="CK101" s="259" t="str">
        <f t="shared" ca="1" si="189"/>
        <v/>
      </c>
      <c r="CL101" s="259">
        <f ca="1">IF(IFERROR(MATCH(CK101,DENOMINAZIONE_GIORNALE,0),0)&gt;0,MAX(CL$2:CL100)+1,0)</f>
        <v>0</v>
      </c>
      <c r="CM101" s="259" t="str">
        <f ca="1">IFERROR(INDEX($CK$3:$CL$220,MATCH(ROWS($CM$3:CM101),$CL$3:$CL$220,0),1),"")</f>
        <v/>
      </c>
      <c r="CN101" s="259" t="str">
        <f t="shared" ca="1" si="190"/>
        <v/>
      </c>
      <c r="CO101" s="259">
        <f ca="1">IF(IF(CN101&lt;&gt;0,MAX($CO$2:CO100)+1,0)=0,"",IF(CN101&lt;&gt;"",MAX($CO$2:CO100)+1,0))</f>
        <v>0</v>
      </c>
      <c r="CP101" s="259" t="str">
        <f ca="1">IFERROR(INDEX($CM$3:$CN$220,MATCH(ROWS(CP$3:CP101),$CO$3:$CO$220,0),1),"")</f>
        <v/>
      </c>
      <c r="CQ101" s="259" t="str">
        <f ca="1">IFERROR(INDEX($CM$3:$CN$220,MATCH(ROWS(CQ$3:CQ101),$CO$3:$CO$220,0),2),"")</f>
        <v/>
      </c>
      <c r="CS101" s="259">
        <f t="shared" ca="1" si="192"/>
        <v>0</v>
      </c>
      <c r="CT101" s="259">
        <f t="shared" ca="1" si="193"/>
        <v>0</v>
      </c>
      <c r="CU101" s="259">
        <f ca="1">IF(OR(CS101&gt;0,CT101&gt;0),MAX($CU$2:CU100)+1,0)</f>
        <v>0</v>
      </c>
      <c r="CV101" s="259" t="str">
        <f ca="1">IFERROR(INDEX(PIANO_DEI_CONTI,MATCH(ROWS($CV$3:CV101),$CU$3:$CU$200,0),2),"")</f>
        <v/>
      </c>
      <c r="CW101" s="259">
        <f ca="1">IFERROR(IF(CV101&lt;&gt;"",MAX($CW$2:CW100)+1,0),0)</f>
        <v>0</v>
      </c>
      <c r="CX101" s="259">
        <f t="shared" ca="1" si="326"/>
        <v>6</v>
      </c>
      <c r="CY101" s="259" t="s">
        <v>269</v>
      </c>
      <c r="CZ101" s="259" t="e">
        <f t="shared" ca="1" si="328"/>
        <v>#N/A</v>
      </c>
      <c r="DA101" s="259" t="str">
        <f t="shared" ca="1" si="333"/>
        <v/>
      </c>
      <c r="DB101" s="259" t="str">
        <f t="shared" ca="1" si="329"/>
        <v/>
      </c>
      <c r="DC101" s="259" t="str">
        <f t="shared" ca="1" si="330"/>
        <v/>
      </c>
      <c r="DD101" s="259" t="str">
        <f t="shared" ca="1" si="331"/>
        <v/>
      </c>
      <c r="DE101" s="259" t="str">
        <f t="shared" ca="1" si="332"/>
        <v/>
      </c>
      <c r="DF101" s="259">
        <f ca="1">IF(AND(CX101=$DE$2,$DF$2&lt;&gt;0),0,IF(AND(DB101&lt;&gt;"",OR(DB100&lt;&gt;"",DB102&lt;&gt;"")),MAX($DF$2:DF100)+1,0))</f>
        <v>0</v>
      </c>
      <c r="DG101" s="259" t="str">
        <f>IF(OR(VALORI_INIZIALI!E106="",AND(VALORI_INIZIALI!E106&lt;&gt;"",VALORI_INIZIALI!H106=0,VALORI_INIZIALI!I106=0)),"",IFERROR(INDEX(PIANO_DEI_CONTI,MATCH(BB101,DENOMINAZIONE,0),1),0))</f>
        <v/>
      </c>
      <c r="DH101" s="259">
        <f ca="1">IFERROR(IF($J$1=1,IF(INDEX(PIANO_DEI_CONTI,MATCH($K101,DENOMINAZIONE,0),5)=$DF$1,MAX($DH$2:DH100)+1,0),IF($J$1=2,IF(INDEX(PIANO_DEI_CONTI,MATCH($K101,DENOMINAZIONE,0),7)=$DF$1,MAX($DH$2:DH100)+1,0))),0)</f>
        <v>0</v>
      </c>
      <c r="DI101" s="259">
        <f ca="1">IFERROR(INDEX($K$3:$K$220,MATCH(ROWS($DI$3:DI101),$DH$3:$DH$220,0),1),0)</f>
        <v>0</v>
      </c>
      <c r="DJ101" s="259">
        <f t="shared" ca="1" si="194"/>
        <v>0</v>
      </c>
      <c r="DK101" s="259">
        <f ca="1">IF(DJ101=0,0,MAX(DK$2:DK100)+1)</f>
        <v>0</v>
      </c>
      <c r="DL101" s="259">
        <f ca="1">IFERROR(INDEX(PIANO_DEI_CONTI,MATCH(ROWS(DL$3:DL101),$DK$3:DK328,0),2),0)</f>
        <v>0</v>
      </c>
      <c r="DM101" s="259">
        <f t="shared" ca="1" si="195"/>
        <v>0</v>
      </c>
      <c r="DN101" s="259">
        <f t="shared" ca="1" si="196"/>
        <v>0</v>
      </c>
      <c r="DO101" s="259">
        <f t="shared" ca="1" si="245"/>
        <v>0</v>
      </c>
      <c r="DP101" s="259">
        <f t="shared" ca="1" si="246"/>
        <v>0</v>
      </c>
      <c r="DQ101" s="259">
        <f ca="1">IF(OR($DQ$1="TOTALI",$DQ$1="TOTALI ED ECCEDENZE"),IF(OR(DM101&gt;0,DN101&gt;0),MAX(DQ$2:DQ100)+1,0),IF($DQ$1="ECCEDENZE",IF(OR(DO101&gt;0,DP101&gt;0),MAX(DQ$2:DQ100)+1,0),""))</f>
        <v>0</v>
      </c>
      <c r="DR101" s="259" t="str">
        <f ca="1">IFERROR(INDEX($DL$3:$DQ$230,MATCH(ROWS(DR$3:DR101),$DQ$3:$DQ$230,0),1),"")</f>
        <v/>
      </c>
      <c r="DS101" s="259" t="str">
        <f t="shared" ca="1" si="247"/>
        <v/>
      </c>
      <c r="DT101" s="259" t="str">
        <f t="shared" ca="1" si="248"/>
        <v/>
      </c>
      <c r="DU101" s="259" t="str">
        <f t="shared" ca="1" si="249"/>
        <v/>
      </c>
      <c r="DV101" s="259" t="str">
        <f t="shared" ca="1" si="250"/>
        <v/>
      </c>
      <c r="DW101" s="259">
        <f t="shared" ca="1" si="251"/>
        <v>0</v>
      </c>
      <c r="DX101" s="259" t="str">
        <f t="shared" ca="1" si="252"/>
        <v/>
      </c>
      <c r="DY101" s="259" t="str">
        <f t="shared" ca="1" si="253"/>
        <v/>
      </c>
      <c r="DZ101" s="259" t="str">
        <f t="shared" ca="1" si="254"/>
        <v/>
      </c>
      <c r="EA101" s="259">
        <f t="shared" ca="1" si="255"/>
        <v>99</v>
      </c>
      <c r="ED101" s="259">
        <f t="shared" ca="1" si="197"/>
        <v>0</v>
      </c>
      <c r="EH101" s="259" t="str">
        <f t="shared" ca="1" si="256"/>
        <v/>
      </c>
      <c r="EI101" s="260" t="b">
        <f t="shared" ca="1" si="310"/>
        <v>0</v>
      </c>
      <c r="EJ101" s="260" t="b">
        <f t="shared" ca="1" si="311"/>
        <v>0</v>
      </c>
      <c r="EK101" s="260" t="b">
        <f t="shared" ca="1" si="312"/>
        <v>1</v>
      </c>
      <c r="EL101" s="259">
        <f t="shared" si="257"/>
        <v>99</v>
      </c>
      <c r="EM101" s="259">
        <f ca="1">IF(AND(BA101&gt;0,BA101&lt;=$EM$1),MAX($EM$2:EM100)+1,0)</f>
        <v>0</v>
      </c>
      <c r="EN101" s="259">
        <f t="shared" ca="1" si="258"/>
        <v>101</v>
      </c>
      <c r="EP101" s="259" t="str">
        <f t="shared" ca="1" si="200"/>
        <v/>
      </c>
      <c r="EQ101" s="259">
        <f t="shared" ca="1" si="201"/>
        <v>0</v>
      </c>
      <c r="ER101" s="259">
        <f ca="1">IF(ISNA(EQ101),MAX(ER$2:ER100)+1,0)</f>
        <v>0</v>
      </c>
      <c r="ES101" s="259" t="str">
        <f t="shared" ca="1" si="259"/>
        <v/>
      </c>
      <c r="ET101" s="259" t="str">
        <f ca="1">IFERROR(UPPER(INDEX($ER$3:$ES$500,MATCH(ROWS(ET$3:ET101),$ER$3:$ER$500,0),2)),"")</f>
        <v/>
      </c>
      <c r="EY101" s="259">
        <f t="shared" ca="1" si="260"/>
        <v>0</v>
      </c>
      <c r="EZ101" s="259">
        <f t="shared" ca="1" si="260"/>
        <v>0</v>
      </c>
      <c r="FA101" s="259" t="str">
        <f t="shared" ca="1" si="261"/>
        <v/>
      </c>
      <c r="FB101" s="259">
        <f t="shared" ca="1" si="262"/>
        <v>0</v>
      </c>
      <c r="FC101" s="259">
        <f t="shared" ca="1" si="263"/>
        <v>0</v>
      </c>
      <c r="FD101" s="259">
        <f t="shared" ca="1" si="202"/>
        <v>0</v>
      </c>
      <c r="FE101" s="259" t="str">
        <f t="shared" ca="1" si="203"/>
        <v/>
      </c>
      <c r="FF101" s="259" t="str">
        <f t="shared" ca="1" si="264"/>
        <v/>
      </c>
      <c r="FG101" s="259" t="str">
        <f t="shared" ref="FG101:FG120" si="335">IF(AND(MID(AE101,1,2)="SP",AA101&lt;&gt;"PATRIMONIO NETTO",AA101&lt;&gt;"TITOLARE C/RITENUTE SUBITE",AA101&lt;&gt;"PRELEVAMENTI EXTRAGESTIONE"),AA101,"")</f>
        <v/>
      </c>
      <c r="FH101" s="259">
        <f t="shared" ca="1" si="334"/>
        <v>0</v>
      </c>
      <c r="FI101" s="259">
        <f t="shared" ca="1" si="204"/>
        <v>0</v>
      </c>
      <c r="FJ101" s="259">
        <f t="shared" ref="FJ101:FJ120" ca="1" si="336">IF(AND(FG101&lt;&gt;"",$FH101&gt;$FI101,OR($FH101&gt;0,$FI101&gt;0)),$FH101-$FI101,0)</f>
        <v>0</v>
      </c>
      <c r="FK101" s="259">
        <f t="shared" ca="1" si="267"/>
        <v>0</v>
      </c>
      <c r="FL101" s="259">
        <f ca="1">IF(OR(FJ101&gt;0,FK101&gt;0),MAX($FL$2:FL100)+1,0)</f>
        <v>0</v>
      </c>
      <c r="FM101" s="259">
        <f t="shared" si="205"/>
        <v>0</v>
      </c>
      <c r="FN101" s="259">
        <f>IF(FM101&lt;0,MAX($FN$2:FN100)+1,0)</f>
        <v>0</v>
      </c>
      <c r="FO101" s="259" t="str">
        <f t="shared" si="268"/>
        <v/>
      </c>
      <c r="FP101" s="259" t="str">
        <f ca="1">IFERROR(INDEX($FN$3:$FO$400,MATCH(ROWS($FP$3:FP101),$FN$3:$FN$400,0),2),"")</f>
        <v/>
      </c>
      <c r="FQ101" s="259" t="str">
        <f>IF(AE101="SE AVERE",MAX($FQ$2:FQ100)+1,"")</f>
        <v/>
      </c>
      <c r="FR101" s="259" t="str">
        <f>IF(AE101="SE DARE",MAX($FR$2:FR100)+1,"")</f>
        <v/>
      </c>
      <c r="FS101" s="259" t="str">
        <f ca="1">IF(AND(AE101="SP DARE",AA101&lt;&gt;$FS$1,AA101&lt;&gt;$FT$1),MAX($FS$2:FS100)+1,IF(AND(GQ101="SP DARE",AA101&lt;&gt;$FS$1,AA101&lt;&gt;$FT$1),MAX($FS$2:FS100)+1,""))</f>
        <v/>
      </c>
      <c r="FT101" s="259" t="str">
        <f ca="1">IF(AND(AE101="SP AVERE",AA101&lt;&gt;$FU$1),MAX($FT$2:FT100)+1,IF(AND(GQ101="SP AVERE",AA101&lt;&gt;$FU$1),MAX($FT$2:FT100)+1,""))</f>
        <v/>
      </c>
      <c r="FU101" s="259">
        <f t="shared" ca="1" si="269"/>
        <v>0</v>
      </c>
      <c r="FV101" s="259" t="str">
        <f t="shared" si="270"/>
        <v>CREDITORI C/LEASING</v>
      </c>
      <c r="FW101" s="259" t="str">
        <f ca="1">IFERROR(INDEX($FU$3:$FV$500,MATCH(ROWS($FW$3:FW101),$FU$3:$FU$500,0),2),0)</f>
        <v>ARREDAMENTO</v>
      </c>
      <c r="FX101" s="259">
        <f t="shared" ca="1" si="271"/>
        <v>99</v>
      </c>
      <c r="FY101" s="259">
        <f t="shared" ca="1" si="272"/>
        <v>0</v>
      </c>
      <c r="FZ101" s="259">
        <f ca="1">IF(FY101&gt;0,MAX($FZ$2:FZ100)+1,0)</f>
        <v>0</v>
      </c>
      <c r="GA101" s="259">
        <f ca="1">IFERROR(INDEX($FY$3:$FZ$500,MATCH(ROWS($GA$3:GA101),$FZ$3:$FZ$500,0),1),0)</f>
        <v>0</v>
      </c>
      <c r="GC101" s="259">
        <f t="shared" ca="1" si="273"/>
        <v>99</v>
      </c>
      <c r="GD101" s="259" t="str">
        <f t="shared" ca="1" si="274"/>
        <v>ARREDAMENTO</v>
      </c>
      <c r="GG101" s="259">
        <f t="shared" ca="1" si="275"/>
        <v>0</v>
      </c>
      <c r="GH101" s="259">
        <f t="shared" ca="1" si="276"/>
        <v>0</v>
      </c>
      <c r="GI101" s="259">
        <f t="shared" ca="1" si="277"/>
        <v>0</v>
      </c>
      <c r="GJ101" s="259">
        <f t="shared" ca="1" si="278"/>
        <v>0</v>
      </c>
      <c r="GK101" s="259">
        <f t="shared" ca="1" si="279"/>
        <v>0</v>
      </c>
      <c r="GL101" s="259">
        <f t="shared" ca="1" si="280"/>
        <v>0</v>
      </c>
      <c r="GM101" s="259">
        <f ca="1">IF(OR(GK101&gt;0,GL101&gt;0),MAX($GM$2:GM100)+1,0)</f>
        <v>0</v>
      </c>
      <c r="GN101" s="259" t="str">
        <f ca="1">IFERROR(INDEX($GD$3:$GM$400,MATCH(ROWS($GN$3:GN101),$GM$3:$GM$400,0),1),"")</f>
        <v/>
      </c>
      <c r="GO101" s="259" t="str">
        <f ca="1">IFERROR(INDEX($GD$3:$GM$400,MATCH(ROWS($GO$3:GO101),$GM$3:$GM$400,0),8),"")</f>
        <v/>
      </c>
      <c r="GP101" s="259" t="str">
        <f ca="1">IFERROR(INDEX($GD$3:$GM$400,MATCH(ROWS($GP$3:GP101),$GM$3:$GM$400,0),9),"")</f>
        <v/>
      </c>
      <c r="GQ101" s="259">
        <f t="shared" ca="1" si="206"/>
        <v>0</v>
      </c>
      <c r="GR101" s="259">
        <f t="shared" ca="1" si="281"/>
        <v>0</v>
      </c>
      <c r="GS101" s="259" t="str">
        <f t="shared" ca="1" si="282"/>
        <v>chiusura del conto</v>
      </c>
      <c r="GT101" s="259" t="str">
        <f ca="1">IFERROR(INDEX($GD$3:$GS$400,MATCH(ROWS($GT$3:GT101),$GM$3:$GM$400,0),16),"")</f>
        <v/>
      </c>
      <c r="GU101" s="259">
        <f ca="1">IF(GQ101&lt;&gt;0,MAX($GU$2:$GU100)+1,0)</f>
        <v>0</v>
      </c>
      <c r="GV101" s="259">
        <f t="shared" ca="1" si="283"/>
        <v>0</v>
      </c>
      <c r="GW101" s="259" t="str">
        <f ca="1">IF(AND(IFERROR(INDEX($GU$3:$GV$400,MATCH(ROWS($GW$3:GW101),$GU$3:$GU$400,0),2),"")&lt;&gt;"",GW102&lt;&gt;""),CONCATENATE(IFERROR(INDEX($GU$3:$GV$400,MATCH(ROWS($GW$3:GW101),$GU$3:$GU$400,0),2),"")," - "),IFERROR(INDEX($GU$3:$GV$400,MATCH(ROWS($GW$3:GW101),$GU$3:$GU$400,0),2),""))</f>
        <v/>
      </c>
      <c r="GX101" s="259">
        <f ca="1">IF(OR(GN101="IVA NS/CREDITO",GN101="IVA NS/DEBITO",GN101="IVA C/ACCONTO",GN101="IMPOSTE C/ACCONTO"),MAX($GX$2:GX100)+1,0)</f>
        <v>0</v>
      </c>
      <c r="GY101" s="259" t="str">
        <f ca="1">IF(AND(IFERROR(INDEX($GN$3:$GX$200,MATCH(ROWS($GY$3:GY101),$GX$3:$GX$200,0),1),"")&lt;&gt;"",GY102&lt;&gt;""),CONCATENATE(IFERROR(INDEX($GN$3:$GX$200,MATCH(ROWS($GY$3:GY101),$GX$3:$GX$200,0),1),"")," - "),IFERROR(INDEX($GN$3:$GX$200,MATCH(ROWS($GY$3:GY101),$GX$3:$GX$200,0),1),""))</f>
        <v/>
      </c>
      <c r="GZ101" s="259" t="s">
        <v>536</v>
      </c>
      <c r="HA101" s="259" t="s">
        <v>647</v>
      </c>
      <c r="HB101" s="269" t="s">
        <v>257</v>
      </c>
      <c r="HC101" s="269" t="s">
        <v>211</v>
      </c>
      <c r="HD101" s="269" t="s">
        <v>5</v>
      </c>
      <c r="HE101" s="269" t="s">
        <v>212</v>
      </c>
      <c r="HL101" s="259" t="str">
        <f t="shared" ca="1" si="207"/>
        <v/>
      </c>
      <c r="HM101" s="259" t="str">
        <f t="shared" ca="1" si="208"/>
        <v/>
      </c>
      <c r="HN101" s="259" t="str">
        <f t="shared" ca="1" si="209"/>
        <v/>
      </c>
      <c r="HO101" s="259">
        <f ca="1">IF(HL101&lt;&gt;"",MAX($HO$2:HO100)+1,0)</f>
        <v>0</v>
      </c>
      <c r="HP101" s="259">
        <f ca="1">IF(HM101&lt;&gt;"",MAX($HP$2:HP100)+1,0)</f>
        <v>0</v>
      </c>
      <c r="HQ101" s="259">
        <f ca="1">IF(HN101&lt;&gt;"",MAX($HQ$2:HQ100)+1,0)</f>
        <v>0</v>
      </c>
      <c r="HR101" s="259" t="str">
        <f t="shared" ca="1" si="284"/>
        <v/>
      </c>
      <c r="HS101" s="259" t="str">
        <f t="shared" ca="1" si="285"/>
        <v/>
      </c>
      <c r="HT101" s="259">
        <f t="shared" ca="1" si="286"/>
        <v>0</v>
      </c>
      <c r="HU101" s="259">
        <f t="shared" ca="1" si="287"/>
        <v>0</v>
      </c>
      <c r="HV101" s="259" t="str">
        <f ca="1">CONCATENATE(IFERROR(INDEX($HS$3:$HT$102,MATCH(ROWS($HV$3:HV101),$HT$3:$HT$102,0),1),""),HR101)</f>
        <v/>
      </c>
      <c r="IC101" s="259">
        <f ca="1">IFERROR(INDEX(PIANO_DEI_CONTI,MATCH(ROWS(DL$3:DL101),$DK$3:DK328,0),2),0)</f>
        <v>0</v>
      </c>
      <c r="ID101" s="259">
        <f t="shared" ca="1" si="288"/>
        <v>0</v>
      </c>
      <c r="IE101" s="259">
        <f t="shared" ca="1" si="289"/>
        <v>0</v>
      </c>
      <c r="IF101" s="259">
        <f t="shared" ca="1" si="290"/>
        <v>0</v>
      </c>
      <c r="IG101" s="259">
        <f t="shared" ca="1" si="324"/>
        <v>0</v>
      </c>
      <c r="IH101" s="259">
        <f ca="1">IF(IG101&lt;&gt;0,MAX($IH$35:IH100)+1,0)</f>
        <v>0</v>
      </c>
      <c r="II101" s="259">
        <f>IF(AD101="costi pluriennali",MAX($II$2:II100)+1,0)</f>
        <v>0</v>
      </c>
      <c r="IJ101" s="259">
        <f>IF($AD101="rettifiche costi pluriennali",MAX($IJ$2:IJ100)+1,0)</f>
        <v>0</v>
      </c>
      <c r="IK101" s="259">
        <f t="shared" si="291"/>
        <v>0</v>
      </c>
      <c r="IL101" s="259" t="str">
        <f t="shared" si="292"/>
        <v/>
      </c>
      <c r="IM101" s="259">
        <f t="shared" ca="1" si="293"/>
        <v>0</v>
      </c>
      <c r="IN101" s="259">
        <f t="shared" ca="1" si="313"/>
        <v>0</v>
      </c>
      <c r="IO101" s="259">
        <f>SUMIFS($IM$3:$IM$200,$IK$3:$IK$200,ROWS($IO$3:IO101))-SUMIFS($IN$3:$IN$200,$IK$3:$IK$200,ROWS($IO$3:IO101))</f>
        <v>0</v>
      </c>
      <c r="IP101" s="259" t="str">
        <f>IF(IO101&lt;0,INDEX($IJ$3:$IL$200,MATCH(ROWS($IP$3:IP101),$IJ$3:$IJ$200,0),3),"")</f>
        <v/>
      </c>
      <c r="IQ101" s="259">
        <f>IF(IP101&lt;&gt;"",MAX($IQ$2:IQ100)+1,0)</f>
        <v>0</v>
      </c>
      <c r="IR101" s="259" t="str">
        <f ca="1">IFERROR(INDEX($IP$3:$IQ$200,MATCH(ROWS($IR$3:IR101),$IQ$3:$IQ$200,0),1),"")</f>
        <v/>
      </c>
      <c r="IS101" s="259" t="str">
        <f t="shared" ca="1" si="294"/>
        <v/>
      </c>
      <c r="IT101" s="259" t="str">
        <f t="shared" ca="1" si="295"/>
        <v/>
      </c>
      <c r="IU101" s="259" t="str">
        <f t="shared" ca="1" si="296"/>
        <v/>
      </c>
      <c r="IV101" s="259" t="str">
        <f t="shared" ca="1" si="297"/>
        <v/>
      </c>
      <c r="IW101" s="259" t="str">
        <f t="shared" ca="1" si="298"/>
        <v/>
      </c>
      <c r="IX101" s="259" t="str">
        <f t="shared" ca="1" si="299"/>
        <v/>
      </c>
      <c r="IY101" s="259" t="str">
        <f t="shared" ca="1" si="300"/>
        <v/>
      </c>
      <c r="IZ101" s="259" t="str">
        <f t="shared" ca="1" si="301"/>
        <v/>
      </c>
      <c r="JA101" s="259" t="str">
        <f t="shared" ca="1" si="302"/>
        <v/>
      </c>
      <c r="JB101" s="259">
        <f t="shared" ca="1" si="210"/>
        <v>0</v>
      </c>
      <c r="JC101" s="259">
        <f t="shared" ca="1" si="303"/>
        <v>0</v>
      </c>
      <c r="JE101" s="259">
        <f ca="1">IFERROR(INDEX(LIBRO_GIORNALE!$N$11:$O$408,MATCH(ROWS($JE$2:JE100),LIBRO_GIORNALE!$O$11:$O$408,0),1),0)</f>
        <v>0</v>
      </c>
      <c r="JF101" s="259" t="str">
        <f t="shared" ca="1" si="304"/>
        <v>0</v>
      </c>
      <c r="JG101" s="259">
        <f t="shared" ca="1" si="305"/>
        <v>0</v>
      </c>
      <c r="JH101" s="259">
        <f ca="1">IF(JJ101&gt;0,0,MAX($JH$2:JH100)+1)</f>
        <v>99</v>
      </c>
      <c r="JI101" s="259">
        <f ca="1">IF(JG101&gt;0,MAX($JI$2:JI100)+1,0)</f>
        <v>0</v>
      </c>
      <c r="JJ101" s="259">
        <f ca="1">IFERROR(INDEX($JG$3:$JI$124,MATCH(ROWS($JJ$3:JJ101),$JI$3:$JI$124,0),1),0)</f>
        <v>0</v>
      </c>
      <c r="JK101" s="259">
        <f t="shared" ca="1" si="306"/>
        <v>0</v>
      </c>
      <c r="JL101" s="259">
        <f t="shared" ca="1" si="307"/>
        <v>99</v>
      </c>
    </row>
    <row r="102" spans="1:273">
      <c r="A102" s="259" t="str">
        <f t="shared" si="211"/>
        <v>15.23</v>
      </c>
      <c r="B102" s="259" t="str">
        <f t="shared" ca="1" si="212"/>
        <v>CEDENTE C/CESSIONE</v>
      </c>
      <c r="C102" s="259" t="str">
        <f t="shared" si="213"/>
        <v>F</v>
      </c>
      <c r="D102" s="259" t="str">
        <f t="shared" si="214"/>
        <v>A</v>
      </c>
      <c r="E102" s="259" t="str">
        <f t="shared" si="215"/>
        <v>DEBITI</v>
      </c>
      <c r="F102" s="259" t="str">
        <f t="shared" si="216"/>
        <v>SP AVERE</v>
      </c>
      <c r="G102" s="259">
        <f t="shared" ca="1" si="217"/>
        <v>1</v>
      </c>
      <c r="H102" s="259">
        <f t="shared" ca="1" si="218"/>
        <v>1</v>
      </c>
      <c r="I102" s="259">
        <f t="shared" ca="1" si="219"/>
        <v>1</v>
      </c>
      <c r="K102" s="259" t="str">
        <f ca="1">IFERROR(IF($I$1=1,INDEX($AA$3:$AS$220,MATCH(ROWS($K$3:K102),$AQ$3:$AQ$220,0),1),IF($I$1=2,INDEX($AA$3:$AS$220,MATCH(ROWS($K$3:K102),$AR$3:$AR$220,0),1),IF($I$1=3,INDEX($AA$3:$AS$220,MATCH(ROWS($K$3:K102),$AS$3:$AS$220,0),1),""))),"")</f>
        <v>SERVIZI ON LINE</v>
      </c>
      <c r="L102" s="259">
        <f ca="1">IF(AND($L$1="VISUALIZZA TUTTI I CONTI",K102&lt;&gt;""),MAX(L101:L101)+1,IFERROR(IF($J$1=1,IF(INDEX(PIANO_DEI_CONTI,MATCH($K102,DENOMINAZIONE,0),5)=$L$1,MAX($L$2:L101)+1,0),IF($J$1=2,IF(INDEX(PIANO_DEI_CONTI,MATCH($K102,DENOMINAZIONE,0),7)=$L$1,MAX($L$2:L101)+1,0))),0))</f>
        <v>100</v>
      </c>
      <c r="M102" s="259" t="str">
        <f ca="1">IFERROR(INDEX($K$3:$K$220,MATCH(ROWS($M$3:M102),$L$3:$L$220,0),1),"")</f>
        <v>SERVIZI ON LINE</v>
      </c>
      <c r="Q102" s="259" t="str">
        <f ca="1">IF(IFERROR(INDEX($O$3:$P$220,MATCH(ROWS(Q$3:Q102),$P$3:$P$220,0),1),"")=0,"",IFERROR(INDEX($O$3:$P$220,MATCH(ROWS(Q$3:Q102),$P$3:$P$220,0),1),""))</f>
        <v/>
      </c>
      <c r="R102" s="259" t="str">
        <f t="shared" ca="1" si="182"/>
        <v/>
      </c>
      <c r="S102" s="259">
        <f ca="1">IF(IFERROR(MATCH(R102,DENOMINAZIONE_GIORNALE,0),0)&gt;0,MAX(S$2:S101)+1,0)</f>
        <v>0</v>
      </c>
      <c r="T102" s="259" t="str">
        <f ca="1">IFERROR(INDEX($R$3:$S$220,MATCH(ROWS($T$3:T102),$S$3:$S$220,0),1),"")</f>
        <v/>
      </c>
      <c r="U102" s="259">
        <f t="shared" ca="1" si="183"/>
        <v>0</v>
      </c>
      <c r="V102" s="259">
        <f ca="1">IF(IF(U102&lt;&gt;0,MAX($V$2:V101)+1,0)=0,0,IF(U102&lt;&gt;0,MAX($V$2:V101)+1,0))</f>
        <v>0</v>
      </c>
      <c r="W102" s="259" t="str">
        <f t="shared" si="220"/>
        <v>15.23</v>
      </c>
      <c r="X102" s="259" t="str">
        <f t="shared" ca="1" si="221"/>
        <v>CEDENTE C/CESSIONE</v>
      </c>
      <c r="Y102" s="259">
        <f>IF(W102="",0,MAX($Y$2:Y101)+1)</f>
        <v>86</v>
      </c>
      <c r="Z102" s="259" t="str">
        <f>IFERROR(INDEX($W$3:$Y$220,MATCH(ROWS($Z$2:Z101),$Y$3:$Y$220,0),1),"")</f>
        <v>19.21</v>
      </c>
      <c r="AA102" s="259" t="str">
        <f t="shared" si="222"/>
        <v>RISCHI PER FIDEIUSSIONI</v>
      </c>
      <c r="AB102" s="259">
        <f t="shared" si="223"/>
        <v>0</v>
      </c>
      <c r="AC102" s="259" t="str">
        <f t="shared" si="224"/>
        <v>D</v>
      </c>
      <c r="AD102" s="259" t="str">
        <f t="shared" si="225"/>
        <v>CONTI D'ORDINE</v>
      </c>
      <c r="AE102" s="259">
        <f t="shared" si="226"/>
        <v>0</v>
      </c>
      <c r="AF102" s="259" t="str">
        <f t="shared" si="227"/>
        <v>CONTI DEI SISTEMI MINORI</v>
      </c>
      <c r="AG102" s="259">
        <f t="shared" ca="1" si="228"/>
        <v>0</v>
      </c>
      <c r="AH102" s="259">
        <f t="shared" ca="1" si="229"/>
        <v>0</v>
      </c>
      <c r="AI102" s="259">
        <f t="shared" ca="1" si="230"/>
        <v>1</v>
      </c>
      <c r="AJ102" s="259" t="str">
        <f t="shared" si="231"/>
        <v>19</v>
      </c>
      <c r="AK102" s="259" t="str">
        <f t="shared" si="232"/>
        <v/>
      </c>
      <c r="AL102" s="259">
        <f>IF(AK102&lt;&gt;"",MAX($AL$2:AL101)+1,0)</f>
        <v>0</v>
      </c>
      <c r="AM102" s="259" t="str">
        <f>IFERROR(INDEX($AK$3:$AL$220,MATCH(ROWS($AM$3:AM102),$AL$3:$AL$220,0),1),"")</f>
        <v/>
      </c>
      <c r="AN102" s="259" t="str">
        <f t="shared" si="233"/>
        <v/>
      </c>
      <c r="AO102" s="259" t="str">
        <f t="shared" si="234"/>
        <v/>
      </c>
      <c r="AP102" s="259" t="str">
        <f t="shared" si="235"/>
        <v>CONTI DEI SISTEMI MINORI</v>
      </c>
      <c r="AQ102" s="259">
        <f ca="1">IF(OR(AG102=0,AG102=""),0,MAX(AQ$2:AQ101)+1)</f>
        <v>0</v>
      </c>
      <c r="AR102" s="259">
        <f ca="1">IF(OR(AH102=0,AH102=""),0,MAX(AR$2:AR101)+1)</f>
        <v>0</v>
      </c>
      <c r="AS102" s="259">
        <f ca="1">IF(OR(AI102=0,AI102=""),0,MAX(AS$2:AS101)+1)</f>
        <v>96</v>
      </c>
      <c r="AT102" s="259" t="str">
        <f ca="1">IFERROR(INDEX($AD$3:$AS$220,MATCH(ROWS(AT$3:AT102),AQ$3:AQ$220,0),1),"")</f>
        <v/>
      </c>
      <c r="AU102" s="259" t="str">
        <f ca="1">IFERROR(INDEX($AD$3:$AS$220,MATCH(ROWS(AU$3:AU102),AR$3:AR$220,0),1),"")</f>
        <v>COSTI D'ESERCIZIO</v>
      </c>
      <c r="AV102" s="259" t="str">
        <f ca="1">IFERROR(INDEX($AD$3:$AS$220,MATCH(ROWS(AV$3:AV102),AS$3:AS$220,0),1),"")</f>
        <v>RICAVI D'ESERCIZIO</v>
      </c>
      <c r="AW102" s="259" t="str">
        <f ca="1">IFERROR(INDEX($AP$3:$AS$220,MATCH(ROWS(AW$3:AW102),AQ$3:AQ$220,0),1),"")</f>
        <v/>
      </c>
      <c r="AX102" s="259" t="str">
        <f ca="1">IFERROR(INDEX($AP$3:$AS$220,MATCH(ROWS(AX$3:AX102),AR$3:AR$220,0),1),"")</f>
        <v>COSTI PER SERVIZI</v>
      </c>
      <c r="AY102" s="259" t="str">
        <f ca="1">IFERROR(INDEX($AP$3:$AS$220,MATCH(ROWS(AY$3:AY102),AS$3:AS$220,0),1),"")</f>
        <v>VALORE DELLA PRODUZIONE</v>
      </c>
      <c r="AZ102" s="276" t="str">
        <f t="shared" ca="1" si="236"/>
        <v/>
      </c>
      <c r="BA102" s="259">
        <f ca="1">IF(BB102&lt;&gt;0,INIZIO_AC,0)</f>
        <v>0</v>
      </c>
      <c r="BB102" s="259">
        <f ca="1">IFERROR(INDEX($FG$3:$FL$400,MATCH(ROWS($BB$3:BB102),$FL$3:$FL$400,0),1),0)</f>
        <v>0</v>
      </c>
      <c r="BC102" s="259" t="str">
        <f t="shared" ca="1" si="237"/>
        <v/>
      </c>
      <c r="BD102" s="259">
        <f ca="1">IFERROR(INDEX($FG$3:$FL$400,MATCH(ROWS($BD$3:BD102),$FL$3:$FL$400,0),4),0)</f>
        <v>0</v>
      </c>
      <c r="BE102" s="259">
        <f ca="1">IFERROR(INDEX($FG$3:$FL$400,MATCH(ROWS($BE$3:BE102),$FL$3:$FL$400,0),5),0)</f>
        <v>0</v>
      </c>
      <c r="BG102" s="259" t="str">
        <f t="shared" ca="1" si="185"/>
        <v/>
      </c>
      <c r="BH102" s="259">
        <f ca="1">IF(IFERROR(MATCH(BG102,DENOMINAZIONE_GIORNALE,0),0)&gt;0,MAX(BH$2:BH101)+1,0)</f>
        <v>0</v>
      </c>
      <c r="BI102" s="259" t="str">
        <f ca="1">IFERROR(INDEX($BG$3:$BH$220,MATCH(ROWS($BI$3:BI102),$BH$3:$BH$220,0),1),"")</f>
        <v/>
      </c>
      <c r="BJ102" s="259" t="str">
        <f t="shared" ca="1" si="186"/>
        <v/>
      </c>
      <c r="BK102" s="259" t="str">
        <f ca="1">IF(IF(BJ102&lt;&gt;"",MAX($BK$2:BK101)+1,0)=0,"",IF(BJ102&lt;&gt;"",MAX($BK$2:BK101)+1,0))</f>
        <v/>
      </c>
      <c r="BL102" s="259" t="str">
        <f ca="1">IFERROR(INDEX($T$3:$U$220, MATCH(ROWS(BL$3:BL102),$V$3:$V$220,0),1),"")</f>
        <v/>
      </c>
      <c r="BM102" s="259" t="str">
        <f ca="1">IFERROR(INDEX($T$3:$U$220, MATCH(ROWS(BM$3:BM102),$V$3:$V$220,0),2),"")</f>
        <v/>
      </c>
      <c r="BN102" s="259" t="str">
        <f ca="1">IF(IFERROR(INDEX($BI$3:$BJ$220,MATCH(ROWS(BN$3:BN102),$BK$3:$BK$220,0),1),"")="PATRIMONIO NETTO","",IFERROR(INDEX($BI$3:$BJ$220,MATCH(ROWS(BN$3:BN102),$BK$3:$BK$220,0),1),""))</f>
        <v/>
      </c>
      <c r="BO102" s="259" t="str">
        <f ca="1">IFERROR(INDEX($BI$3:$BJ$220,MATCH(ROWS(BO$3:BO102),$BK$3:$BK$220,0),2),"")</f>
        <v/>
      </c>
      <c r="BP102" s="259">
        <f ca="1">IF(BN102&lt;&gt;"",MAX(BP$2:$BP101)+1,0)</f>
        <v>0</v>
      </c>
      <c r="BQ102" s="259" t="str">
        <f ca="1">IFERROR(INDEX($BN$3:$BO$200,MATCH(ROWS(BQ$3:BQ102),$BP$3:$BP$220,0),1),"")</f>
        <v/>
      </c>
      <c r="BR102" s="259" t="str">
        <f ca="1">IFERROR(INDEX($BN$3:$BO$220,MATCH(ROWS(BR$3:BR102),$BP$3:$BP$220,0),2),"")</f>
        <v/>
      </c>
      <c r="BS102" s="259" t="str">
        <f ca="1">IFERROR(IF(OR(INDEX($T$3:$U$220,MATCH(ROWS(BL$3:BL102),$V$3:$V$220,0),1)="PRELEVAMENTI EXTRAGESTIONE",INDEX($T$3:$U$220,MATCH(ROWS(BL$3:BL102),$V$3:$V$220,0),1)="TITOLARE C/RITENUTE SUBITE"),"",INDEX($T$3:$U$220,MATCH(ROWS(BL$3:BL102),$V$3:$V$220,0),1)),"")</f>
        <v/>
      </c>
      <c r="BT102" s="259">
        <f t="shared" ca="1" si="238"/>
        <v>0</v>
      </c>
      <c r="BU102" s="259">
        <f ca="1">IF(BS102&lt;&gt;"",MAX(BU$2:BU101)+1,0)</f>
        <v>0</v>
      </c>
      <c r="BV102" s="259" t="str">
        <f ca="1">IFERROR(INDEX($BS$3:$BT$223,MATCH(ROWS(BV$3:BV102),$BU$3:$BU$223,0),1),"")</f>
        <v/>
      </c>
      <c r="BW102" s="259">
        <f t="shared" ca="1" si="239"/>
        <v>0</v>
      </c>
      <c r="CB102" s="259" t="str">
        <f ca="1">IFERROR(IF(OR($BB$1&lt;&gt;$BD$1,$BC$1&lt;&gt;$BE$1,$DS$231&lt;&gt;$DT$231,$DU$231&lt;&gt;$DV$231,$EO$25&lt;&gt;0,$EO$26&lt;&gt;0),INDEX($BI$3:$BK$220,MATCH(ROWS($CB$3:CB102),$BK$3:$BK$220,0),1),CONCATENATE(BQ102,BX102)),"")</f>
        <v/>
      </c>
      <c r="CC102" s="259" t="str">
        <f t="shared" ca="1" si="243"/>
        <v/>
      </c>
      <c r="CD102" s="259" t="str">
        <f t="shared" ca="1" si="187"/>
        <v/>
      </c>
      <c r="CE102" s="259">
        <f ca="1">IF(IFERROR(MATCH(CD102,DENOMINAZIONE_GIORNALE,0),0)&gt;0,MAX(CE$2:CE101)+1,0)</f>
        <v>0</v>
      </c>
      <c r="CF102" s="259" t="str">
        <f ca="1">IFERROR(INDEX($CD$3:$CE$220,MATCH(ROWS($CF$3:CF102),$CE$3:$CE$220,0),1),"")</f>
        <v/>
      </c>
      <c r="CG102" s="259">
        <f t="shared" ca="1" si="188"/>
        <v>0</v>
      </c>
      <c r="CH102" s="259" t="str">
        <f ca="1">IF(IF(CG102&lt;&gt;0,MAX($CH$2:CH101)+1,0)=0,"",IF(CG102&lt;&gt;"",MAX($CH$2:CH101)+1,0))</f>
        <v/>
      </c>
      <c r="CI102" s="259" t="str">
        <f ca="1">IFERROR(INDEX($CF$3:$CG$220,MATCH(ROWS($CI$3:CI102),$CH$3:$CH$220,0),1),"")</f>
        <v/>
      </c>
      <c r="CJ102" s="259" t="str">
        <f t="shared" ca="1" si="244"/>
        <v/>
      </c>
      <c r="CK102" s="259" t="str">
        <f t="shared" ca="1" si="189"/>
        <v/>
      </c>
      <c r="CL102" s="259">
        <f ca="1">IF(IFERROR(MATCH(CK102,DENOMINAZIONE_GIORNALE,0),0)&gt;0,MAX(CL$2:CL101)+1,0)</f>
        <v>0</v>
      </c>
      <c r="CM102" s="259" t="str">
        <f ca="1">IFERROR(INDEX($CK$3:$CL$220,MATCH(ROWS($CM$3:CM102),$CL$3:$CL$220,0),1),"")</f>
        <v/>
      </c>
      <c r="CN102" s="259" t="str">
        <f t="shared" ca="1" si="190"/>
        <v/>
      </c>
      <c r="CO102" s="259">
        <f ca="1">IF(IF(CN102&lt;&gt;0,MAX($CO$2:CO101)+1,0)=0,"",IF(CN102&lt;&gt;"",MAX($CO$2:CO101)+1,0))</f>
        <v>0</v>
      </c>
      <c r="CP102" s="259" t="str">
        <f ca="1">IFERROR(INDEX($CM$3:$CN$220,MATCH(ROWS(CP$3:CP102),$CO$3:$CO$220,0),1),"")</f>
        <v/>
      </c>
      <c r="CQ102" s="259" t="str">
        <f ca="1">IFERROR(INDEX($CM$3:$CN$220,MATCH(ROWS(CQ$3:CQ102),$CO$3:$CO$220,0),2),"")</f>
        <v/>
      </c>
      <c r="CS102" s="259">
        <f t="shared" ca="1" si="192"/>
        <v>0</v>
      </c>
      <c r="CT102" s="259">
        <f t="shared" ca="1" si="193"/>
        <v>0</v>
      </c>
      <c r="CU102" s="259">
        <f ca="1">IF(OR(CS102&gt;0,CT102&gt;0),MAX($CU$2:CU101)+1,0)</f>
        <v>0</v>
      </c>
      <c r="CV102" s="259" t="str">
        <f ca="1">IFERROR(INDEX(PIANO_DEI_CONTI,MATCH(ROWS($CV$3:CV102),$CU$3:$CU$200,0),2),"")</f>
        <v/>
      </c>
      <c r="CW102" s="259">
        <f ca="1">IFERROR(IF(CV102&lt;&gt;"",MAX($CW$2:CW101)+1,0),0)</f>
        <v>0</v>
      </c>
      <c r="CX102" s="259">
        <f t="shared" ca="1" si="326"/>
        <v>6</v>
      </c>
      <c r="CY102" s="259" t="str">
        <f t="shared" ref="CY102:CY134" ca="1" si="337">IF(ISERROR(INDEX($CV$3:$CX$2300,MATCH(CX102,$CW$3:$CW$2300,0),1)),"MASTRO",INDEX($CV$3:$CX$2300,MATCH(CX102,$CW$3:$CW$2300,0),1))</f>
        <v>MASTRO</v>
      </c>
      <c r="CZ102" s="259" t="e">
        <f t="shared" ca="1" si="328"/>
        <v>#N/A</v>
      </c>
      <c r="DA102" s="259" t="str">
        <f t="shared" ca="1" si="333"/>
        <v/>
      </c>
      <c r="DB102" s="259" t="str">
        <f t="shared" ca="1" si="329"/>
        <v/>
      </c>
      <c r="DC102" s="259" t="str">
        <f t="shared" ca="1" si="330"/>
        <v/>
      </c>
      <c r="DD102" s="259" t="str">
        <f t="shared" ca="1" si="331"/>
        <v/>
      </c>
      <c r="DE102" s="259" t="str">
        <f t="shared" ca="1" si="332"/>
        <v/>
      </c>
      <c r="DF102" s="259">
        <f ca="1">IF(AND(CX102=$DE$2,$DF$2&lt;&gt;0),0,IF(AND(DB102&lt;&gt;"",OR(DB101&lt;&gt;"",DB103&lt;&gt;"")),MAX($DF$2:DF101)+1,0))</f>
        <v>0</v>
      </c>
      <c r="DG102" s="259" t="str">
        <f>IF(OR(VALORI_INIZIALI!E107="",AND(VALORI_INIZIALI!E107&lt;&gt;"",VALORI_INIZIALI!H107=0,VALORI_INIZIALI!I107=0)),"",IFERROR(INDEX(PIANO_DEI_CONTI,MATCH(BB102,DENOMINAZIONE,0),1),0))</f>
        <v/>
      </c>
      <c r="DH102" s="259">
        <f ca="1">IFERROR(IF($J$1=1,IF(INDEX(PIANO_DEI_CONTI,MATCH($K102,DENOMINAZIONE,0),5)=$DF$1,MAX($DH$2:DH101)+1,0),IF($J$1=2,IF(INDEX(PIANO_DEI_CONTI,MATCH($K102,DENOMINAZIONE,0),7)=$DF$1,MAX($DH$2:DH101)+1,0))),0)</f>
        <v>0</v>
      </c>
      <c r="DI102" s="259">
        <f ca="1">IFERROR(INDEX($K$3:$K$220,MATCH(ROWS($DI$3:DI102),$DH$3:$DH$220,0),1),0)</f>
        <v>0</v>
      </c>
      <c r="DJ102" s="259">
        <f t="shared" ca="1" si="194"/>
        <v>0</v>
      </c>
      <c r="DK102" s="259">
        <f ca="1">IF(DJ102=0,0,MAX(DK$2:DK101)+1)</f>
        <v>0</v>
      </c>
      <c r="DL102" s="259">
        <f ca="1">IFERROR(INDEX(PIANO_DEI_CONTI,MATCH(ROWS(DL$3:DL102),$DK$3:DK329,0),2),0)</f>
        <v>0</v>
      </c>
      <c r="DM102" s="259">
        <f t="shared" ca="1" si="195"/>
        <v>0</v>
      </c>
      <c r="DN102" s="259">
        <f t="shared" ca="1" si="196"/>
        <v>0</v>
      </c>
      <c r="DO102" s="259">
        <f t="shared" ca="1" si="245"/>
        <v>0</v>
      </c>
      <c r="DP102" s="259">
        <f t="shared" ca="1" si="246"/>
        <v>0</v>
      </c>
      <c r="DQ102" s="259">
        <f ca="1">IF(OR($DQ$1="TOTALI",$DQ$1="TOTALI ED ECCEDENZE"),IF(OR(DM102&gt;0,DN102&gt;0),MAX(DQ$2:DQ101)+1,0),IF($DQ$1="ECCEDENZE",IF(OR(DO102&gt;0,DP102&gt;0),MAX(DQ$2:DQ101)+1,0),""))</f>
        <v>0</v>
      </c>
      <c r="DR102" s="259" t="str">
        <f ca="1">IFERROR(INDEX($DL$3:$DQ$230,MATCH(ROWS(DR$3:DR102),$DQ$3:$DQ$230,0),1),"")</f>
        <v/>
      </c>
      <c r="DS102" s="259" t="str">
        <f t="shared" ca="1" si="247"/>
        <v/>
      </c>
      <c r="DT102" s="259" t="str">
        <f t="shared" ca="1" si="248"/>
        <v/>
      </c>
      <c r="DU102" s="259" t="str">
        <f t="shared" ca="1" si="249"/>
        <v/>
      </c>
      <c r="DV102" s="259" t="str">
        <f t="shared" ca="1" si="250"/>
        <v/>
      </c>
      <c r="DW102" s="259">
        <f t="shared" ca="1" si="251"/>
        <v>0</v>
      </c>
      <c r="DX102" s="259" t="str">
        <f t="shared" ca="1" si="252"/>
        <v/>
      </c>
      <c r="DY102" s="259" t="str">
        <f t="shared" ca="1" si="253"/>
        <v/>
      </c>
      <c r="DZ102" s="259" t="str">
        <f t="shared" ca="1" si="254"/>
        <v/>
      </c>
      <c r="EA102" s="259">
        <f t="shared" ca="1" si="255"/>
        <v>100</v>
      </c>
      <c r="ED102" s="259">
        <f t="shared" ca="1" si="197"/>
        <v>0</v>
      </c>
      <c r="EH102" s="259" t="str">
        <f t="shared" ca="1" si="256"/>
        <v/>
      </c>
      <c r="EI102" s="260" t="b">
        <f t="shared" ca="1" si="310"/>
        <v>1</v>
      </c>
      <c r="EJ102" s="260" t="b">
        <f t="shared" ca="1" si="311"/>
        <v>1</v>
      </c>
      <c r="EK102" s="260" t="b">
        <f t="shared" ca="1" si="312"/>
        <v>1</v>
      </c>
      <c r="EL102" s="259">
        <f t="shared" si="257"/>
        <v>100</v>
      </c>
      <c r="EM102" s="259">
        <f ca="1">IF(AND(BA102&gt;0,BA102&lt;=$EM$1),MAX($EM$2:EM101)+1,0)</f>
        <v>0</v>
      </c>
      <c r="EN102" s="259">
        <f t="shared" ca="1" si="258"/>
        <v>102</v>
      </c>
      <c r="EP102" s="259" t="str">
        <f t="shared" ca="1" si="200"/>
        <v/>
      </c>
      <c r="EQ102" s="259">
        <f t="shared" ca="1" si="201"/>
        <v>0</v>
      </c>
      <c r="ER102" s="259">
        <f ca="1">IF(ISNA(EQ102),MAX(ER$2:ER101)+1,0)</f>
        <v>0</v>
      </c>
      <c r="ES102" s="259" t="str">
        <f t="shared" ca="1" si="259"/>
        <v/>
      </c>
      <c r="ET102" s="259" t="str">
        <f ca="1">IFERROR(UPPER(INDEX($ER$3:$ES$500,MATCH(ROWS(ET$3:ET102),$ER$3:$ER$500,0),2)),"")</f>
        <v/>
      </c>
      <c r="EX102" s="259" t="s">
        <v>270</v>
      </c>
      <c r="EY102" s="259">
        <f t="shared" ca="1" si="260"/>
        <v>0</v>
      </c>
      <c r="EZ102" s="259">
        <f t="shared" ca="1" si="260"/>
        <v>0</v>
      </c>
      <c r="FA102" s="259" t="str">
        <f t="shared" ca="1" si="261"/>
        <v/>
      </c>
      <c r="FB102" s="259">
        <f t="shared" ca="1" si="262"/>
        <v>0</v>
      </c>
      <c r="FC102" s="259">
        <f t="shared" ca="1" si="263"/>
        <v>0</v>
      </c>
      <c r="FD102" s="259">
        <f t="shared" ca="1" si="202"/>
        <v>0</v>
      </c>
      <c r="FE102" s="259" t="str">
        <f t="shared" ca="1" si="203"/>
        <v/>
      </c>
      <c r="FF102" s="259" t="str">
        <f t="shared" ca="1" si="264"/>
        <v/>
      </c>
      <c r="FG102" s="259" t="str">
        <f t="shared" si="335"/>
        <v/>
      </c>
      <c r="FH102" s="259">
        <f t="shared" ca="1" si="334"/>
        <v>0</v>
      </c>
      <c r="FI102" s="259">
        <f t="shared" ca="1" si="204"/>
        <v>0</v>
      </c>
      <c r="FJ102" s="259">
        <f t="shared" ca="1" si="336"/>
        <v>0</v>
      </c>
      <c r="FK102" s="259">
        <f t="shared" ca="1" si="267"/>
        <v>0</v>
      </c>
      <c r="FL102" s="259">
        <f ca="1">IF(OR(FJ102&gt;0,FK102&gt;0),MAX($FL$2:FL101)+1,0)</f>
        <v>0</v>
      </c>
      <c r="FM102" s="259">
        <f t="shared" si="205"/>
        <v>0</v>
      </c>
      <c r="FN102" s="259">
        <f>IF(FM102&lt;0,MAX($FN$2:FN101)+1,0)</f>
        <v>0</v>
      </c>
      <c r="FO102" s="259" t="str">
        <f t="shared" si="268"/>
        <v/>
      </c>
      <c r="FP102" s="259" t="str">
        <f ca="1">IFERROR(INDEX($FN$3:$FO$400,MATCH(ROWS($FP$3:FP102),$FN$3:$FN$400,0),2),"")</f>
        <v/>
      </c>
      <c r="FQ102" s="259" t="str">
        <f>IF(AE102="SE AVERE",MAX($FQ$2:FQ101)+1,"")</f>
        <v/>
      </c>
      <c r="FR102" s="259" t="str">
        <f>IF(AE102="SE DARE",MAX($FR$2:FR101)+1,"")</f>
        <v/>
      </c>
      <c r="FS102" s="259" t="str">
        <f ca="1">IF(AND(AE102="SP DARE",AA102&lt;&gt;$FS$1,AA102&lt;&gt;$FT$1),MAX($FS$2:FS101)+1,IF(AND(GQ102="SP DARE",AA102&lt;&gt;$FS$1,AA102&lt;&gt;$FT$1),MAX($FS$2:FS101)+1,""))</f>
        <v/>
      </c>
      <c r="FT102" s="259" t="str">
        <f ca="1">IF(AND(AE102="SP AVERE",AA102&lt;&gt;$FU$1),MAX($FT$2:FT101)+1,IF(AND(GQ102="SP AVERE",AA102&lt;&gt;$FU$1),MAX($FT$2:FT101)+1,""))</f>
        <v/>
      </c>
      <c r="FU102" s="259">
        <f t="shared" ca="1" si="269"/>
        <v>0</v>
      </c>
      <c r="FV102" s="259" t="str">
        <f t="shared" si="270"/>
        <v>RISCHI PER FIDEIUSSIONI</v>
      </c>
      <c r="FW102" s="259" t="str">
        <f ca="1">IFERROR(INDEX($FU$3:$FV$500,MATCH(ROWS($FW$3:FW102),$FU$3:$FU$500,0),2),0)</f>
        <v>AUTOMEZZI</v>
      </c>
      <c r="FX102" s="259">
        <f t="shared" ca="1" si="271"/>
        <v>100</v>
      </c>
      <c r="FY102" s="259">
        <f t="shared" ca="1" si="272"/>
        <v>0</v>
      </c>
      <c r="FZ102" s="259">
        <f ca="1">IF(FY102&gt;0,MAX($FZ$2:FZ101)+1,0)</f>
        <v>0</v>
      </c>
      <c r="GA102" s="259">
        <f ca="1">IFERROR(INDEX($FY$3:$FZ$500,MATCH(ROWS($GA$3:GA102),$FZ$3:$FZ$500,0),1),0)</f>
        <v>0</v>
      </c>
      <c r="GC102" s="259">
        <f t="shared" ca="1" si="273"/>
        <v>100</v>
      </c>
      <c r="GD102" s="259" t="str">
        <f t="shared" ca="1" si="274"/>
        <v>AUTOMEZZI</v>
      </c>
      <c r="GG102" s="259">
        <f t="shared" ca="1" si="275"/>
        <v>0</v>
      </c>
      <c r="GH102" s="259">
        <f t="shared" ca="1" si="276"/>
        <v>0</v>
      </c>
      <c r="GI102" s="259">
        <f t="shared" ca="1" si="277"/>
        <v>0</v>
      </c>
      <c r="GJ102" s="259">
        <f t="shared" ca="1" si="278"/>
        <v>0</v>
      </c>
      <c r="GK102" s="259">
        <f t="shared" ca="1" si="279"/>
        <v>0</v>
      </c>
      <c r="GL102" s="259">
        <f t="shared" ca="1" si="280"/>
        <v>0</v>
      </c>
      <c r="GM102" s="259">
        <f ca="1">IF(OR(GK102&gt;0,GL102&gt;0),MAX($GM$2:GM101)+1,0)</f>
        <v>0</v>
      </c>
      <c r="GN102" s="259" t="str">
        <f ca="1">IFERROR(INDEX($GD$3:$GM$400,MATCH(ROWS($GN$3:GN102),$GM$3:$GM$400,0),1),"")</f>
        <v/>
      </c>
      <c r="GO102" s="259" t="str">
        <f ca="1">IFERROR(INDEX($GD$3:$GM$400,MATCH(ROWS($GO$3:GO102),$GM$3:$GM$400,0),8),"")</f>
        <v/>
      </c>
      <c r="GP102" s="259" t="str">
        <f ca="1">IFERROR(INDEX($GD$3:$GM$400,MATCH(ROWS($GP$3:GP102),$GM$3:$GM$400,0),9),"")</f>
        <v/>
      </c>
      <c r="GQ102" s="259">
        <f t="shared" ca="1" si="206"/>
        <v>0</v>
      </c>
      <c r="GR102" s="259">
        <f t="shared" ca="1" si="281"/>
        <v>0</v>
      </c>
      <c r="GS102" s="259" t="str">
        <f t="shared" ca="1" si="282"/>
        <v>chiusura del conto</v>
      </c>
      <c r="GT102" s="259" t="str">
        <f ca="1">IFERROR(INDEX($GD$3:$GS$400,MATCH(ROWS($GT$3:GT102),$GM$3:$GM$400,0),16),"")</f>
        <v/>
      </c>
      <c r="GU102" s="259">
        <f ca="1">IF(GQ102&lt;&gt;0,MAX($GU$2:$GU101)+1,0)</f>
        <v>0</v>
      </c>
      <c r="GV102" s="259">
        <f t="shared" ca="1" si="283"/>
        <v>0</v>
      </c>
      <c r="GW102" s="259" t="str">
        <f ca="1">IF(AND(IFERROR(INDEX($GU$3:$GV$400,MATCH(ROWS($GW$3:GW102),$GU$3:$GU$400,0),2),"")&lt;&gt;"",GW103&lt;&gt;""),CONCATENATE(IFERROR(INDEX($GU$3:$GV$400,MATCH(ROWS($GW$3:GW102),$GU$3:$GU$400,0),2),"")," - "),IFERROR(INDEX($GU$3:$GV$400,MATCH(ROWS($GW$3:GW102),$GU$3:$GU$400,0),2),""))</f>
        <v/>
      </c>
      <c r="GX102" s="259">
        <f ca="1">IF(OR(GN102="IVA NS/CREDITO",GN102="IVA NS/DEBITO",GN102="IVA C/ACCONTO",GN102="IMPOSTE C/ACCONTO"),MAX($GX$2:GX101)+1,0)</f>
        <v>0</v>
      </c>
      <c r="GY102" s="259" t="str">
        <f ca="1">IF(AND(IFERROR(INDEX($GN$3:$GX$200,MATCH(ROWS($GY$3:GY102),$GX$3:$GX$200,0),1),"")&lt;&gt;"",GY103&lt;&gt;""),CONCATENATE(IFERROR(INDEX($GN$3:$GX$200,MATCH(ROWS($GY$3:GY102),$GX$3:$GX$200,0),1),"")," - "),IFERROR(INDEX($GN$3:$GX$200,MATCH(ROWS($GY$3:GY102),$GX$3:$GX$200,0),1),""))</f>
        <v/>
      </c>
      <c r="GZ102" s="259" t="s">
        <v>648</v>
      </c>
      <c r="HA102" s="259" t="str">
        <f ca="1">IF(INDIRECT(ADDRESS(9,14,,,"PIANO_DEI_CONTI"))="","CEDENTE C/CESSIONE",UPPER(INDIRECT(ADDRESS(9,14,,,"PIANO_DEI_CONTI"))))</f>
        <v>CEDENTE C/CESSIONE</v>
      </c>
      <c r="HB102" s="269" t="s">
        <v>257</v>
      </c>
      <c r="HC102" s="269" t="s">
        <v>211</v>
      </c>
      <c r="HD102" s="269" t="s">
        <v>5</v>
      </c>
      <c r="HE102" s="269" t="s">
        <v>212</v>
      </c>
      <c r="HG102" s="270"/>
      <c r="HL102" s="259" t="str">
        <f t="shared" ca="1" si="207"/>
        <v/>
      </c>
      <c r="HM102" s="259" t="str">
        <f t="shared" ca="1" si="208"/>
        <v/>
      </c>
      <c r="HN102" s="259" t="str">
        <f t="shared" ca="1" si="209"/>
        <v/>
      </c>
      <c r="HO102" s="259">
        <f ca="1">IF(HL102&lt;&gt;"",MAX($HO$2:HO101)+1,0)</f>
        <v>0</v>
      </c>
      <c r="HP102" s="259">
        <f ca="1">IF(HM102&lt;&gt;"",MAX($HP$2:HP101)+1,0)</f>
        <v>0</v>
      </c>
      <c r="HQ102" s="259">
        <f ca="1">IF(HN102&lt;&gt;"",MAX($HQ$2:HQ101)+1,0)</f>
        <v>0</v>
      </c>
      <c r="HR102" s="259" t="str">
        <f t="shared" ca="1" si="284"/>
        <v/>
      </c>
      <c r="HS102" s="259" t="str">
        <f t="shared" ca="1" si="285"/>
        <v/>
      </c>
      <c r="HT102" s="259">
        <f t="shared" ca="1" si="286"/>
        <v>0</v>
      </c>
      <c r="HU102" s="259">
        <f t="shared" ca="1" si="287"/>
        <v>0</v>
      </c>
      <c r="HV102" s="259" t="str">
        <f ca="1">CONCATENATE(IFERROR(INDEX($HS$3:$HT$102,MATCH(ROWS($HV$3:HV102),$HT$3:$HT$102,0),1),""),HR102)</f>
        <v/>
      </c>
      <c r="IC102" s="259">
        <f ca="1">IFERROR(INDEX(PIANO_DEI_CONTI,MATCH(ROWS(DL$3:DL102),$DK$3:DK329,0),2),0)</f>
        <v>0</v>
      </c>
      <c r="ID102" s="259">
        <f t="shared" ca="1" si="288"/>
        <v>0</v>
      </c>
      <c r="IE102" s="259">
        <f t="shared" ca="1" si="289"/>
        <v>0</v>
      </c>
      <c r="IF102" s="259">
        <f t="shared" ca="1" si="290"/>
        <v>0</v>
      </c>
      <c r="IG102" s="259">
        <f t="shared" ca="1" si="324"/>
        <v>0</v>
      </c>
      <c r="IH102" s="259">
        <f ca="1">IF(IG102&lt;&gt;0,MAX($IH$35:IH101)+1,0)</f>
        <v>0</v>
      </c>
      <c r="II102" s="259">
        <f>IF(AD102="costi pluriennali",MAX($II$2:II101)+1,0)</f>
        <v>0</v>
      </c>
      <c r="IJ102" s="259">
        <f>IF($AD102="rettifiche costi pluriennali",MAX($IJ$2:IJ101)+1,0)</f>
        <v>0</v>
      </c>
      <c r="IK102" s="259">
        <f t="shared" si="291"/>
        <v>0</v>
      </c>
      <c r="IL102" s="259" t="str">
        <f t="shared" si="292"/>
        <v/>
      </c>
      <c r="IM102" s="259">
        <f t="shared" ca="1" si="293"/>
        <v>0</v>
      </c>
      <c r="IN102" s="259">
        <f t="shared" ca="1" si="313"/>
        <v>0</v>
      </c>
      <c r="IO102" s="259">
        <f>SUMIFS($IM$3:$IM$200,$IK$3:$IK$200,ROWS($IO$3:IO102))-SUMIFS($IN$3:$IN$200,$IK$3:$IK$200,ROWS($IO$3:IO102))</f>
        <v>0</v>
      </c>
      <c r="IP102" s="259" t="str">
        <f>IF(IO102&lt;0,INDEX($IJ$3:$IL$200,MATCH(ROWS($IP$3:IP102),$IJ$3:$IJ$200,0),3),"")</f>
        <v/>
      </c>
      <c r="IQ102" s="259">
        <f>IF(IP102&lt;&gt;"",MAX($IQ$2:IQ101)+1,0)</f>
        <v>0</v>
      </c>
      <c r="IR102" s="259" t="str">
        <f ca="1">IFERROR(INDEX($IP$3:$IQ$200,MATCH(ROWS($IR$3:IR102),$IQ$3:$IQ$200,0),1),"")</f>
        <v/>
      </c>
      <c r="IS102" s="259" t="str">
        <f t="shared" ca="1" si="294"/>
        <v/>
      </c>
      <c r="IT102" s="259" t="str">
        <f t="shared" ca="1" si="295"/>
        <v/>
      </c>
      <c r="IU102" s="259" t="str">
        <f t="shared" ca="1" si="296"/>
        <v/>
      </c>
      <c r="IV102" s="259" t="str">
        <f t="shared" ca="1" si="297"/>
        <v/>
      </c>
      <c r="IW102" s="259" t="str">
        <f t="shared" ca="1" si="298"/>
        <v/>
      </c>
      <c r="IX102" s="259" t="str">
        <f t="shared" ca="1" si="299"/>
        <v/>
      </c>
      <c r="IY102" s="259" t="str">
        <f t="shared" ca="1" si="300"/>
        <v/>
      </c>
      <c r="IZ102" s="259" t="str">
        <f t="shared" ca="1" si="301"/>
        <v/>
      </c>
      <c r="JA102" s="259" t="str">
        <f t="shared" ca="1" si="302"/>
        <v/>
      </c>
      <c r="JB102" s="259">
        <f t="shared" ca="1" si="210"/>
        <v>0</v>
      </c>
      <c r="JC102" s="259">
        <f t="shared" ca="1" si="303"/>
        <v>0</v>
      </c>
      <c r="JE102" s="259">
        <f ca="1">IFERROR(INDEX(LIBRO_GIORNALE!$N$11:$O$408,MATCH(ROWS($JE$2:JE101),LIBRO_GIORNALE!$O$11:$O$408,0),1),0)</f>
        <v>0</v>
      </c>
      <c r="JF102" s="259" t="str">
        <f t="shared" ca="1" si="304"/>
        <v>0</v>
      </c>
      <c r="JG102" s="259">
        <f t="shared" ca="1" si="305"/>
        <v>0</v>
      </c>
      <c r="JH102" s="259">
        <f ca="1">IF(JJ102&gt;0,0,MAX($JH$2:JH101)+1)</f>
        <v>100</v>
      </c>
      <c r="JI102" s="259">
        <f ca="1">IF(JG102&gt;0,MAX($JI$2:JI101)+1,0)</f>
        <v>0</v>
      </c>
      <c r="JJ102" s="259">
        <f ca="1">IFERROR(INDEX($JG$3:$JI$124,MATCH(ROWS($JJ$3:JJ102),$JI$3:$JI$124,0),1),0)</f>
        <v>0</v>
      </c>
      <c r="JK102" s="259">
        <f t="shared" ca="1" si="306"/>
        <v>0</v>
      </c>
      <c r="JL102" s="259">
        <f t="shared" ca="1" si="307"/>
        <v>100</v>
      </c>
    </row>
    <row r="103" spans="1:273">
      <c r="A103" s="259" t="str">
        <f t="shared" si="211"/>
        <v>15.30</v>
      </c>
      <c r="B103" s="259" t="str">
        <f t="shared" si="212"/>
        <v>DEBITI DIVERSI</v>
      </c>
      <c r="C103" s="259" t="str">
        <f t="shared" si="213"/>
        <v>F</v>
      </c>
      <c r="D103" s="259" t="str">
        <f t="shared" si="214"/>
        <v>A</v>
      </c>
      <c r="E103" s="259" t="str">
        <f t="shared" si="215"/>
        <v>DEBITI</v>
      </c>
      <c r="F103" s="259" t="str">
        <f t="shared" si="216"/>
        <v>SP AVERE</v>
      </c>
      <c r="G103" s="259">
        <f t="shared" ca="1" si="217"/>
        <v>1</v>
      </c>
      <c r="H103" s="259">
        <f t="shared" ca="1" si="218"/>
        <v>1</v>
      </c>
      <c r="I103" s="259">
        <f t="shared" ca="1" si="219"/>
        <v>1</v>
      </c>
      <c r="K103" s="259" t="str">
        <f ca="1">IFERROR(IF($I$1=1,INDEX($AA$3:$AS$220,MATCH(ROWS($K$3:K103),$AQ$3:$AQ$220,0),1),IF($I$1=2,INDEX($AA$3:$AS$220,MATCH(ROWS($K$3:K103),$AR$3:$AR$220,0),1),IF($I$1=3,INDEX($AA$3:$AS$220,MATCH(ROWS($K$3:K103),$AS$3:$AS$220,0),1),""))),"")</f>
        <v>RESI SU VENDITE</v>
      </c>
      <c r="L103" s="259">
        <f ca="1">IF(AND($L$1="VISUALIZZA TUTTI I CONTI",K103&lt;&gt;""),MAX(L102:L102)+1,IFERROR(IF($J$1=1,IF(INDEX(PIANO_DEI_CONTI,MATCH($K103,DENOMINAZIONE,0),5)=$L$1,MAX($L$2:L102)+1,0),IF($J$1=2,IF(INDEX(PIANO_DEI_CONTI,MATCH($K103,DENOMINAZIONE,0),7)=$L$1,MAX($L$2:L102)+1,0))),0))</f>
        <v>101</v>
      </c>
      <c r="M103" s="259" t="str">
        <f ca="1">IFERROR(INDEX($K$3:$K$220,MATCH(ROWS($M$3:M103),$L$3:$L$220,0),1),"")</f>
        <v>RESI SU VENDITE</v>
      </c>
      <c r="Q103" s="259" t="str">
        <f ca="1">IF(IFERROR(INDEX($O$3:$P$220,MATCH(ROWS(Q$3:Q103),$P$3:$P$220,0),1),"")=0,"",IFERROR(INDEX($O$3:$P$220,MATCH(ROWS(Q$3:Q103),$P$3:$P$220,0),1),""))</f>
        <v/>
      </c>
      <c r="R103" s="259" t="str">
        <f t="shared" ca="1" si="182"/>
        <v/>
      </c>
      <c r="S103" s="259">
        <f ca="1">IF(IFERROR(MATCH(R103,DENOMINAZIONE_GIORNALE,0),0)&gt;0,MAX(S$2:S102)+1,0)</f>
        <v>0</v>
      </c>
      <c r="T103" s="259" t="str">
        <f ca="1">IFERROR(INDEX($R$3:$S$220,MATCH(ROWS($T$3:T103),$S$3:$S$220,0),1),"")</f>
        <v/>
      </c>
      <c r="U103" s="259">
        <f t="shared" ca="1" si="183"/>
        <v>0</v>
      </c>
      <c r="V103" s="259">
        <f ca="1">IF(IF(U103&lt;&gt;0,MAX($V$2:V102)+1,0)=0,0,IF(U103&lt;&gt;0,MAX($V$2:V102)+1,0))</f>
        <v>0</v>
      </c>
      <c r="W103" s="259" t="str">
        <f t="shared" si="220"/>
        <v>15.30</v>
      </c>
      <c r="X103" s="259" t="str">
        <f t="shared" si="221"/>
        <v>DEBITI DIVERSI</v>
      </c>
      <c r="Y103" s="259">
        <f>IF(W103="",0,MAX($Y$2:Y102)+1)</f>
        <v>87</v>
      </c>
      <c r="Z103" s="259" t="str">
        <f>IFERROR(INDEX($W$3:$Y$220,MATCH(ROWS($Z$2:Z102),$Y$3:$Y$220,0),1),"")</f>
        <v>19.22</v>
      </c>
      <c r="AA103" s="259" t="str">
        <f t="shared" si="222"/>
        <v>CREDITORI PER FIDEIUSSIONI</v>
      </c>
      <c r="AB103" s="259">
        <f t="shared" si="223"/>
        <v>0</v>
      </c>
      <c r="AC103" s="259" t="str">
        <f t="shared" si="224"/>
        <v>A</v>
      </c>
      <c r="AD103" s="259" t="str">
        <f t="shared" si="225"/>
        <v>CONTI D'ORDINE</v>
      </c>
      <c r="AE103" s="259">
        <f t="shared" si="226"/>
        <v>0</v>
      </c>
      <c r="AF103" s="259" t="str">
        <f t="shared" si="227"/>
        <v>CONTI DEI SISTEMI MINORI</v>
      </c>
      <c r="AG103" s="259">
        <f t="shared" ca="1" si="228"/>
        <v>0</v>
      </c>
      <c r="AH103" s="259">
        <f t="shared" ca="1" si="229"/>
        <v>0</v>
      </c>
      <c r="AI103" s="259">
        <f t="shared" ca="1" si="230"/>
        <v>1</v>
      </c>
      <c r="AJ103" s="259" t="str">
        <f t="shared" si="231"/>
        <v>19</v>
      </c>
      <c r="AK103" s="259" t="str">
        <f t="shared" si="232"/>
        <v/>
      </c>
      <c r="AL103" s="259">
        <f>IF(AK103&lt;&gt;"",MAX($AL$2:AL102)+1,0)</f>
        <v>0</v>
      </c>
      <c r="AM103" s="259" t="str">
        <f>IFERROR(INDEX($AK$3:$AL$220,MATCH(ROWS($AM$3:AM103),$AL$3:$AL$220,0),1),"")</f>
        <v/>
      </c>
      <c r="AN103" s="259" t="str">
        <f t="shared" si="233"/>
        <v/>
      </c>
      <c r="AO103" s="259" t="str">
        <f t="shared" si="234"/>
        <v/>
      </c>
      <c r="AP103" s="259" t="str">
        <f t="shared" si="235"/>
        <v>CONTI DEI SISTEMI MINORI</v>
      </c>
      <c r="AQ103" s="259">
        <f ca="1">IF(OR(AG103=0,AG103=""),0,MAX(AQ$2:AQ102)+1)</f>
        <v>0</v>
      </c>
      <c r="AR103" s="259">
        <f ca="1">IF(OR(AH103=0,AH103=""),0,MAX(AR$2:AR102)+1)</f>
        <v>0</v>
      </c>
      <c r="AS103" s="259">
        <f ca="1">IF(OR(AI103=0,AI103=""),0,MAX(AS$2:AS102)+1)</f>
        <v>97</v>
      </c>
      <c r="AT103" s="259" t="str">
        <f ca="1">IFERROR(INDEX($AD$3:$AS$220,MATCH(ROWS(AT$3:AT103),AQ$3:AQ$220,0),1),"")</f>
        <v/>
      </c>
      <c r="AU103" s="259" t="str">
        <f ca="1">IFERROR(INDEX($AD$3:$AS$220,MATCH(ROWS(AU$3:AU103),AR$3:AR$220,0),1),"")</f>
        <v>COSTI D'ESERCIZIO</v>
      </c>
      <c r="AV103" s="259" t="str">
        <f ca="1">IFERROR(INDEX($AD$3:$AS$220,MATCH(ROWS(AV$3:AV103),AS$3:AS$220,0),1),"")</f>
        <v>RETTIFICHE RICAVI D'ESERCIZIO</v>
      </c>
      <c r="AW103" s="259" t="str">
        <f ca="1">IFERROR(INDEX($AP$3:$AS$220,MATCH(ROWS(AW$3:AW103),AQ$3:AQ$220,0),1),"")</f>
        <v/>
      </c>
      <c r="AX103" s="259" t="str">
        <f ca="1">IFERROR(INDEX($AP$3:$AS$220,MATCH(ROWS(AX$3:AX103),AR$3:AR$220,0),1),"")</f>
        <v>COSTI PER SERVIZI</v>
      </c>
      <c r="AY103" s="259" t="str">
        <f ca="1">IFERROR(INDEX($AP$3:$AS$220,MATCH(ROWS(AY$3:AY103),AS$3:AS$220,0),1),"")</f>
        <v>VALORE DELLA PRODUZIONE</v>
      </c>
      <c r="AZ103" s="259" t="str">
        <f>CONCATENATE(ROW()-102," V.I.")</f>
        <v>1 V.I.</v>
      </c>
      <c r="BA103" s="259">
        <f t="shared" ref="BA103:BA166" ca="1" si="338">IF(AND(EY3&gt;=INIZIO_AC,EY3&gt;=INIZIO_A_PC,EY3&lt;=FINE_AC),EY3,0)</f>
        <v>0</v>
      </c>
      <c r="BB103" s="259">
        <f ca="1">IF($BA103=0,0,EZ3)</f>
        <v>0</v>
      </c>
      <c r="BC103" s="259">
        <f ca="1">IF($BA103=0,0,FA3)</f>
        <v>0</v>
      </c>
      <c r="BD103" s="259">
        <f ca="1">IF($BA103=0,0,FB3)</f>
        <v>0</v>
      </c>
      <c r="BE103" s="259">
        <f ca="1">IF($BA103=0,0,FC3)</f>
        <v>0</v>
      </c>
      <c r="BG103" s="259" t="str">
        <f t="shared" ca="1" si="185"/>
        <v/>
      </c>
      <c r="BH103" s="259">
        <f ca="1">IF(IFERROR(MATCH(BG103,DENOMINAZIONE_GIORNALE,0),0)&gt;0,MAX(BH$2:BH102)+1,0)</f>
        <v>0</v>
      </c>
      <c r="BI103" s="259" t="str">
        <f ca="1">IFERROR(INDEX($BG$3:$BH$220,MATCH(ROWS($BI$3:BI103),$BH$3:$BH$220,0),1),"")</f>
        <v/>
      </c>
      <c r="BJ103" s="259" t="str">
        <f t="shared" ca="1" si="186"/>
        <v/>
      </c>
      <c r="BK103" s="259" t="str">
        <f ca="1">IF(IF(BJ103&lt;&gt;"",MAX($BK$2:BK102)+1,0)=0,"",IF(BJ103&lt;&gt;"",MAX($BK$2:BK102)+1,0))</f>
        <v/>
      </c>
      <c r="BL103" s="259" t="str">
        <f ca="1">IFERROR(INDEX($T$3:$U$220, MATCH(ROWS(BL$3:BL103),$V$3:$V$220,0),1),"")</f>
        <v/>
      </c>
      <c r="BM103" s="259" t="str">
        <f ca="1">IFERROR(INDEX($T$3:$U$220, MATCH(ROWS(BM$3:BM103),$V$3:$V$220,0),2),"")</f>
        <v/>
      </c>
      <c r="BN103" s="259" t="str">
        <f ca="1">IF(IFERROR(INDEX($BI$3:$BJ$220,MATCH(ROWS(BN$3:BN103),$BK$3:$BK$220,0),1),"")="PATRIMONIO NETTO","",IFERROR(INDEX($BI$3:$BJ$220,MATCH(ROWS(BN$3:BN103),$BK$3:$BK$220,0),1),""))</f>
        <v/>
      </c>
      <c r="BO103" s="259" t="str">
        <f ca="1">IFERROR(INDEX($BI$3:$BJ$220,MATCH(ROWS(BO$3:BO103),$BK$3:$BK$220,0),2),"")</f>
        <v/>
      </c>
      <c r="BP103" s="259">
        <f ca="1">IF(BN103&lt;&gt;"",MAX(BP$2:$BP102)+1,0)</f>
        <v>0</v>
      </c>
      <c r="BQ103" s="259" t="str">
        <f ca="1">IFERROR(INDEX($BN$3:$BO$200,MATCH(ROWS(BQ$3:BQ103),$BP$3:$BP$220,0),1),"")</f>
        <v/>
      </c>
      <c r="BR103" s="259" t="str">
        <f ca="1">IFERROR(INDEX($BN$3:$BO$220,MATCH(ROWS(BR$3:BR103),$BP$3:$BP$220,0),2),"")</f>
        <v/>
      </c>
      <c r="BS103" s="259" t="str">
        <f ca="1">IFERROR(IF(OR(INDEX($T$3:$U$220,MATCH(ROWS(BL$3:BL103),$V$3:$V$220,0),1)="PRELEVAMENTI EXTRAGESTIONE",INDEX($T$3:$U$220,MATCH(ROWS(BL$3:BL103),$V$3:$V$220,0),1)="TITOLARE C/RITENUTE SUBITE"),"",INDEX($T$3:$U$220,MATCH(ROWS(BL$3:BL103),$V$3:$V$220,0),1)),"")</f>
        <v/>
      </c>
      <c r="BT103" s="259">
        <f t="shared" ca="1" si="238"/>
        <v>0</v>
      </c>
      <c r="BU103" s="259">
        <f ca="1">IF(BS103&lt;&gt;"",MAX(BU$2:BU102)+1,0)</f>
        <v>0</v>
      </c>
      <c r="BV103" s="259" t="str">
        <f ca="1">IFERROR(INDEX($BS$3:$BT$223,MATCH(ROWS(BV$3:BV103),$BU$3:$BU$223,0),1),"")</f>
        <v/>
      </c>
      <c r="BW103" s="259">
        <f t="shared" ca="1" si="239"/>
        <v>0</v>
      </c>
      <c r="CB103" s="259" t="str">
        <f ca="1">IFERROR(IF(OR($BB$1&lt;&gt;$BD$1,$BC$1&lt;&gt;$BE$1,$DS$231&lt;&gt;$DT$231,$DU$231&lt;&gt;$DV$231,$EO$25&lt;&gt;0,$EO$26&lt;&gt;0),INDEX($BI$3:$BK$220,MATCH(ROWS($CB$3:CB103),$BK$3:$BK$220,0),1),CONCATENATE(BQ103,BX103)),"")</f>
        <v/>
      </c>
      <c r="CC103" s="259" t="str">
        <f t="shared" ca="1" si="243"/>
        <v/>
      </c>
      <c r="CD103" s="259" t="str">
        <f t="shared" ca="1" si="187"/>
        <v/>
      </c>
      <c r="CE103" s="259">
        <f ca="1">IF(IFERROR(MATCH(CD103,DENOMINAZIONE_GIORNALE,0),0)&gt;0,MAX(CE$2:CE102)+1,0)</f>
        <v>0</v>
      </c>
      <c r="CF103" s="259" t="str">
        <f ca="1">IFERROR(INDEX($CD$3:$CE$220,MATCH(ROWS($CF$3:CF103),$CE$3:$CE$220,0),1),"")</f>
        <v/>
      </c>
      <c r="CG103" s="259">
        <f t="shared" ca="1" si="188"/>
        <v>0</v>
      </c>
      <c r="CH103" s="259" t="str">
        <f ca="1">IF(IF(CG103&lt;&gt;0,MAX($CH$2:CH102)+1,0)=0,"",IF(CG103&lt;&gt;"",MAX($CH$2:CH102)+1,0))</f>
        <v/>
      </c>
      <c r="CI103" s="259" t="str">
        <f ca="1">IFERROR(INDEX($CF$3:$CG$220,MATCH(ROWS($CI$3:CI103),$CH$3:$CH$220,0),1),"")</f>
        <v/>
      </c>
      <c r="CJ103" s="259" t="str">
        <f t="shared" ca="1" si="244"/>
        <v/>
      </c>
      <c r="CK103" s="259" t="str">
        <f t="shared" ca="1" si="189"/>
        <v/>
      </c>
      <c r="CL103" s="259">
        <f ca="1">IF(IFERROR(MATCH(CK103,DENOMINAZIONE_GIORNALE,0),0)&gt;0,MAX(CL$2:CL102)+1,0)</f>
        <v>0</v>
      </c>
      <c r="CM103" s="259" t="str">
        <f ca="1">IFERROR(INDEX($CK$3:$CL$220,MATCH(ROWS($CM$3:CM103),$CL$3:$CL$220,0),1),"")</f>
        <v/>
      </c>
      <c r="CN103" s="259" t="str">
        <f t="shared" ca="1" si="190"/>
        <v/>
      </c>
      <c r="CO103" s="259">
        <f ca="1">IF(IF(CN103&lt;&gt;0,MAX($CO$2:CO102)+1,0)=0,"",IF(CN103&lt;&gt;"",MAX($CO$2:CO102)+1,0))</f>
        <v>0</v>
      </c>
      <c r="CP103" s="259" t="str">
        <f ca="1">IFERROR(INDEX($CM$3:$CN$220,MATCH(ROWS(CP$3:CP103),$CO$3:$CO$220,0),1),"")</f>
        <v/>
      </c>
      <c r="CQ103" s="259" t="str">
        <f ca="1">IFERROR(INDEX($CM$3:$CN$220,MATCH(ROWS(CQ$3:CQ103),$CO$3:$CO$220,0),2),"")</f>
        <v/>
      </c>
      <c r="CS103" s="259">
        <f t="shared" ca="1" si="192"/>
        <v>0</v>
      </c>
      <c r="CT103" s="259">
        <f t="shared" ca="1" si="193"/>
        <v>0</v>
      </c>
      <c r="CU103" s="259">
        <f ca="1">IF(OR(CS103&gt;0,CT103&gt;0),MAX($CU$2:CU102)+1,0)</f>
        <v>0</v>
      </c>
      <c r="CV103" s="259" t="str">
        <f ca="1">IFERROR(INDEX(PIANO_DEI_CONTI,MATCH(ROWS($CV$3:CV103),$CU$3:$CU$200,0),2),"")</f>
        <v/>
      </c>
      <c r="CW103" s="259">
        <f ca="1">IFERROR(IF(CV103&lt;&gt;"",MAX($CW$2:CW102)+1,0),0)</f>
        <v>0</v>
      </c>
      <c r="CX103" s="259">
        <f t="shared" ca="1" si="326"/>
        <v>6</v>
      </c>
      <c r="CY103" s="259" t="str">
        <f t="shared" ca="1" si="337"/>
        <v>MASTRO</v>
      </c>
      <c r="CZ103" s="259" t="e">
        <f t="shared" ca="1" si="328"/>
        <v>#N/A</v>
      </c>
      <c r="DA103" s="259" t="str">
        <f t="shared" ca="1" si="333"/>
        <v/>
      </c>
      <c r="DB103" s="259" t="str">
        <f t="shared" ca="1" si="329"/>
        <v/>
      </c>
      <c r="DC103" s="259" t="str">
        <f t="shared" ca="1" si="330"/>
        <v/>
      </c>
      <c r="DD103" s="259" t="str">
        <f t="shared" ca="1" si="331"/>
        <v/>
      </c>
      <c r="DE103" s="259" t="str">
        <f t="shared" ca="1" si="332"/>
        <v/>
      </c>
      <c r="DF103" s="259">
        <f ca="1">IF(AND(CX103=$DE$2,$DF$2&lt;&gt;0),0,IF(AND(DB103&lt;&gt;"",OR(DB102&lt;&gt;"",DB104&lt;&gt;"")),MAX($DF$2:DF102)+1,0))</f>
        <v>0</v>
      </c>
      <c r="DG103" s="259" t="str">
        <f>IF(IF(LIBRO_GIORNALE!E11="","",IFERROR(INDEX(PIANO_DEI_CONTI,MATCH(BB103,DENOMINAZIONE,0),1),0))=0,"",IF(LIBRO_GIORNALE!E11="","",IFERROR(INDEX(PIANO_DEI_CONTI,MATCH(BB103,DENOMINAZIONE,0),1),0)))</f>
        <v/>
      </c>
      <c r="DH103" s="259">
        <f ca="1">IFERROR(IF($J$1=1,IF(INDEX(PIANO_DEI_CONTI,MATCH($K103,DENOMINAZIONE,0),5)=$DF$1,MAX($DH$2:DH102)+1,0),IF($J$1=2,IF(INDEX(PIANO_DEI_CONTI,MATCH($K103,DENOMINAZIONE,0),7)=$DF$1,MAX($DH$2:DH102)+1,0))),0)</f>
        <v>0</v>
      </c>
      <c r="DI103" s="259">
        <f ca="1">IFERROR(INDEX($K$3:$K$220,MATCH(ROWS($DI$3:DI103),$DH$3:$DH$220,0),1),0)</f>
        <v>0</v>
      </c>
      <c r="DJ103" s="259">
        <f t="shared" ca="1" si="194"/>
        <v>0</v>
      </c>
      <c r="DK103" s="259">
        <f ca="1">IF(DJ103=0,0,MAX(DK$2:DK102)+1)</f>
        <v>0</v>
      </c>
      <c r="DL103" s="259">
        <f ca="1">IFERROR(INDEX(PIANO_DEI_CONTI,MATCH(ROWS(DL$3:DL103),$DK$3:DK330,0),2),0)</f>
        <v>0</v>
      </c>
      <c r="DM103" s="259">
        <f t="shared" ca="1" si="195"/>
        <v>0</v>
      </c>
      <c r="DN103" s="259">
        <f t="shared" ca="1" si="196"/>
        <v>0</v>
      </c>
      <c r="DO103" s="259">
        <f t="shared" ca="1" si="245"/>
        <v>0</v>
      </c>
      <c r="DP103" s="259">
        <f t="shared" ca="1" si="246"/>
        <v>0</v>
      </c>
      <c r="DQ103" s="259">
        <f ca="1">IF(OR($DQ$1="TOTALI",$DQ$1="TOTALI ED ECCEDENZE"),IF(OR(DM103&gt;0,DN103&gt;0),MAX(DQ$2:DQ102)+1,0),IF($DQ$1="ECCEDENZE",IF(OR(DO103&gt;0,DP103&gt;0),MAX(DQ$2:DQ102)+1,0),""))</f>
        <v>0</v>
      </c>
      <c r="DR103" s="259" t="str">
        <f ca="1">IFERROR(INDEX($DL$3:$DQ$230,MATCH(ROWS(DR$3:DR103),$DQ$3:$DQ$230,0),1),"")</f>
        <v/>
      </c>
      <c r="DS103" s="259" t="str">
        <f t="shared" ca="1" si="247"/>
        <v/>
      </c>
      <c r="DT103" s="259" t="str">
        <f t="shared" ca="1" si="248"/>
        <v/>
      </c>
      <c r="DU103" s="259" t="str">
        <f t="shared" ca="1" si="249"/>
        <v/>
      </c>
      <c r="DV103" s="259" t="str">
        <f t="shared" ca="1" si="250"/>
        <v/>
      </c>
      <c r="DW103" s="259">
        <f t="shared" ca="1" si="251"/>
        <v>0</v>
      </c>
      <c r="DX103" s="259" t="str">
        <f t="shared" ca="1" si="252"/>
        <v/>
      </c>
      <c r="DY103" s="259" t="str">
        <f t="shared" ca="1" si="253"/>
        <v/>
      </c>
      <c r="DZ103" s="259" t="str">
        <f t="shared" ca="1" si="254"/>
        <v/>
      </c>
      <c r="EA103" s="259">
        <f t="shared" ca="1" si="255"/>
        <v>101</v>
      </c>
      <c r="ED103" s="259">
        <f t="shared" ca="1" si="197"/>
        <v>0</v>
      </c>
      <c r="EH103" s="259" t="str">
        <f t="shared" ca="1" si="256"/>
        <v/>
      </c>
      <c r="EI103" s="260" t="b">
        <f t="shared" ca="1" si="310"/>
        <v>1</v>
      </c>
      <c r="EJ103" s="260" t="b">
        <f t="shared" ca="1" si="311"/>
        <v>1</v>
      </c>
      <c r="EK103" s="260" t="b">
        <f t="shared" ca="1" si="312"/>
        <v>1</v>
      </c>
      <c r="EL103" s="259">
        <f t="shared" si="257"/>
        <v>101</v>
      </c>
      <c r="EM103" s="259">
        <f ca="1">IF(AND(BA103&gt;0,BA103&lt;=$EM$1),MAX($EM$2:EM102)+1,0)</f>
        <v>0</v>
      </c>
      <c r="EN103" s="259">
        <f t="shared" ca="1" si="258"/>
        <v>103</v>
      </c>
      <c r="EP103" s="259" t="str">
        <f t="shared" ca="1" si="200"/>
        <v/>
      </c>
      <c r="EQ103" s="259">
        <f t="shared" ca="1" si="201"/>
        <v>0</v>
      </c>
      <c r="ER103" s="259">
        <f ca="1">IF(ISNA(EQ103),MAX(ER$2:ER102)+1,0)</f>
        <v>0</v>
      </c>
      <c r="ES103" s="259" t="str">
        <f t="shared" ca="1" si="259"/>
        <v/>
      </c>
      <c r="ET103" s="259" t="str">
        <f ca="1">IFERROR(UPPER(INDEX($ER$3:$ES$500,MATCH(ROWS(ET$3:ET103),$ER$3:$ER$500,0),2)),"")</f>
        <v/>
      </c>
      <c r="EW103" s="259">
        <f ca="1">IF(AND($EX$3&lt;&gt;0,EX103&gt;=$EX$3),0,1)</f>
        <v>1</v>
      </c>
      <c r="EX103" s="259">
        <v>1</v>
      </c>
      <c r="EY103" s="259">
        <f ca="1">IF(EW103=0,0,INDIRECT(ADDRESS(ROW()-92,COLUMN()-151,,,"LIBRO_GIORNALE")))</f>
        <v>0</v>
      </c>
      <c r="EZ103" s="259">
        <f ca="1">IF(EW103=0,0,INDIRECT(ADDRESS(ROW()-92,COLUMN()-151,,,"LIBRO_GIORNALE")))</f>
        <v>0</v>
      </c>
      <c r="FA103" s="259">
        <f ca="1">IF(EW103=0,0,INDIRECT(ADDRESS(ROW()-92,COLUMN()-151,,,"LIBRO_GIORNALE")))</f>
        <v>0</v>
      </c>
      <c r="FB103" s="259">
        <f ca="1">IF(EZ103=0,0,ROUND(IF(EW103=0,0,INDIRECT(ADDRESS(ROW()-92,COLUMN()-151,,,"LIBRO_GIORNALE"))),2))</f>
        <v>0</v>
      </c>
      <c r="FC103" s="259">
        <f ca="1">IF(EZ103=0,0,ROUND(IF(EW103=0,0,INDIRECT(ADDRESS(ROW()-92,COLUMN()-151,,,"LIBRO_GIORNALE"))),2))</f>
        <v>0</v>
      </c>
      <c r="FD103" s="259">
        <f t="shared" ca="1" si="202"/>
        <v>0</v>
      </c>
      <c r="FE103" s="259" t="str">
        <f t="shared" ca="1" si="203"/>
        <v/>
      </c>
      <c r="FF103" s="259" t="str">
        <f ca="1">IF(EZ103&lt;&gt;0,ROW()-102,"")</f>
        <v/>
      </c>
      <c r="FG103" s="259" t="str">
        <f t="shared" si="335"/>
        <v/>
      </c>
      <c r="FH103" s="259">
        <f t="shared" ca="1" si="334"/>
        <v>0</v>
      </c>
      <c r="FI103" s="259">
        <f t="shared" ca="1" si="204"/>
        <v>0</v>
      </c>
      <c r="FJ103" s="259">
        <f t="shared" ca="1" si="336"/>
        <v>0</v>
      </c>
      <c r="FK103" s="259">
        <f t="shared" ca="1" si="267"/>
        <v>0</v>
      </c>
      <c r="FL103" s="259">
        <f ca="1">IF(OR(FJ103&gt;0,FK103&gt;0),MAX($FL$2:FL102)+1,0)</f>
        <v>0</v>
      </c>
      <c r="FM103" s="259">
        <f t="shared" si="205"/>
        <v>0</v>
      </c>
      <c r="FN103" s="259">
        <f>IF(FM103&lt;0,MAX($FN$2:FN102)+1,0)</f>
        <v>0</v>
      </c>
      <c r="FO103" s="259" t="str">
        <f t="shared" si="268"/>
        <v/>
      </c>
      <c r="FP103" s="259" t="str">
        <f ca="1">IFERROR(INDEX($FN$3:$FO$400,MATCH(ROWS($FP$3:FP103),$FN$3:$FN$400,0),2),"")</f>
        <v/>
      </c>
      <c r="FQ103" s="259" t="str">
        <f>IF(AE103="SE AVERE",MAX($FQ$2:FQ102)+1,"")</f>
        <v/>
      </c>
      <c r="FR103" s="259" t="str">
        <f>IF(AE103="SE DARE",MAX($FR$2:FR102)+1,"")</f>
        <v/>
      </c>
      <c r="FS103" s="259" t="str">
        <f ca="1">IF(AND(AE103="SP DARE",AA103&lt;&gt;$FS$1,AA103&lt;&gt;$FT$1),MAX($FS$2:FS102)+1,IF(AND(GQ103="SP DARE",AA103&lt;&gt;$FS$1,AA103&lt;&gt;$FT$1),MAX($FS$2:FS102)+1,""))</f>
        <v/>
      </c>
      <c r="FT103" s="259" t="str">
        <f ca="1">IF(AND(AE103="SP AVERE",AA103&lt;&gt;$FU$1),MAX($FT$2:FT102)+1,IF(AND(GQ103="SP AVERE",AA103&lt;&gt;$FU$1),MAX($FT$2:FT102)+1,""))</f>
        <v/>
      </c>
      <c r="FU103" s="259">
        <f t="shared" ca="1" si="269"/>
        <v>0</v>
      </c>
      <c r="FV103" s="259" t="str">
        <f t="shared" si="270"/>
        <v>CREDITORI PER FIDEIUSSIONI</v>
      </c>
      <c r="FW103" s="259" t="str">
        <f ca="1">IFERROR(INDEX($FU$3:$FV$500,MATCH(ROWS($FW$3:FW103),$FU$3:$FU$500,0),2),0)</f>
        <v>IMBALLAGGI DUREVOLI</v>
      </c>
      <c r="FX103" s="259">
        <f t="shared" ca="1" si="271"/>
        <v>101</v>
      </c>
      <c r="FY103" s="259">
        <f t="shared" ca="1" si="272"/>
        <v>0</v>
      </c>
      <c r="FZ103" s="259">
        <f ca="1">IF(FY103&gt;0,MAX($FZ$2:FZ102)+1,0)</f>
        <v>0</v>
      </c>
      <c r="GA103" s="259">
        <f ca="1">IFERROR(INDEX($FY$3:$FZ$500,MATCH(ROWS($GA$3:GA103),$FZ$3:$FZ$500,0),1),0)</f>
        <v>0</v>
      </c>
      <c r="GC103" s="259">
        <f t="shared" ca="1" si="273"/>
        <v>101</v>
      </c>
      <c r="GD103" s="259" t="str">
        <f t="shared" ca="1" si="274"/>
        <v>IMBALLAGGI DUREVOLI</v>
      </c>
      <c r="GG103" s="259">
        <f t="shared" ca="1" si="275"/>
        <v>0</v>
      </c>
      <c r="GH103" s="259">
        <f t="shared" ca="1" si="276"/>
        <v>0</v>
      </c>
      <c r="GI103" s="259">
        <f t="shared" ca="1" si="277"/>
        <v>0</v>
      </c>
      <c r="GJ103" s="259">
        <f t="shared" ca="1" si="278"/>
        <v>0</v>
      </c>
      <c r="GK103" s="259">
        <f t="shared" ca="1" si="279"/>
        <v>0</v>
      </c>
      <c r="GL103" s="259">
        <f t="shared" ca="1" si="280"/>
        <v>0</v>
      </c>
      <c r="GM103" s="259">
        <f ca="1">IF(OR(GK103&gt;0,GL103&gt;0),MAX($GM$2:GM102)+1,0)</f>
        <v>0</v>
      </c>
      <c r="GN103" s="259" t="str">
        <f ca="1">IFERROR(INDEX($GD$3:$GM$400,MATCH(ROWS($GN$3:GN103),$GM$3:$GM$400,0),1),"")</f>
        <v/>
      </c>
      <c r="GO103" s="259" t="str">
        <f ca="1">IFERROR(INDEX($GD$3:$GM$400,MATCH(ROWS($GO$3:GO103),$GM$3:$GM$400,0),8),"")</f>
        <v/>
      </c>
      <c r="GP103" s="259" t="str">
        <f ca="1">IFERROR(INDEX($GD$3:$GM$400,MATCH(ROWS($GP$3:GP103),$GM$3:$GM$400,0),9),"")</f>
        <v/>
      </c>
      <c r="GQ103" s="259">
        <f t="shared" ca="1" si="206"/>
        <v>0</v>
      </c>
      <c r="GR103" s="259">
        <f t="shared" ca="1" si="281"/>
        <v>0</v>
      </c>
      <c r="GS103" s="259" t="str">
        <f t="shared" ca="1" si="282"/>
        <v>chiusura del conto</v>
      </c>
      <c r="GT103" s="259" t="str">
        <f ca="1">IFERROR(INDEX($GD$3:$GS$400,MATCH(ROWS($GT$3:GT103),$GM$3:$GM$400,0),16),"")</f>
        <v/>
      </c>
      <c r="GU103" s="259">
        <f ca="1">IF(GQ103&lt;&gt;0,MAX($GU$2:$GU102)+1,0)</f>
        <v>0</v>
      </c>
      <c r="GV103" s="259">
        <f t="shared" ca="1" si="283"/>
        <v>0</v>
      </c>
      <c r="GW103" s="259" t="str">
        <f ca="1">IF(AND(IFERROR(INDEX($GU$3:$GV$400,MATCH(ROWS($GW$3:GW103),$GU$3:$GU$400,0),2),"")&lt;&gt;"",GW104&lt;&gt;""),CONCATENATE(IFERROR(INDEX($GU$3:$GV$400,MATCH(ROWS($GW$3:GW103),$GU$3:$GU$400,0),2),"")," - "),IFERROR(INDEX($GU$3:$GV$400,MATCH(ROWS($GW$3:GW103),$GU$3:$GU$400,0),2),""))</f>
        <v/>
      </c>
      <c r="GX103" s="259">
        <f ca="1">IF(OR(GN103="IVA NS/CREDITO",GN103="IVA NS/DEBITO",GN103="IVA C/ACCONTO",GN103="IMPOSTE C/ACCONTO"),MAX($GX$2:GX102)+1,0)</f>
        <v>0</v>
      </c>
      <c r="GY103" s="259" t="str">
        <f ca="1">IF(AND(IFERROR(INDEX($GN$3:$GX$200,MATCH(ROWS($GY$3:GY103),$GX$3:$GX$200,0),1),"")&lt;&gt;"",GY104&lt;&gt;""),CONCATENATE(IFERROR(INDEX($GN$3:$GX$200,MATCH(ROWS($GY$3:GY103),$GX$3:$GX$200,0),1),"")," - "),IFERROR(INDEX($GN$3:$GX$200,MATCH(ROWS($GY$3:GY103),$GX$3:$GX$200,0),1),""))</f>
        <v/>
      </c>
      <c r="GZ103" s="259" t="s">
        <v>537</v>
      </c>
      <c r="HA103" s="259" t="s">
        <v>115</v>
      </c>
      <c r="HB103" s="269" t="s">
        <v>257</v>
      </c>
      <c r="HC103" s="269" t="s">
        <v>211</v>
      </c>
      <c r="HD103" s="269" t="s">
        <v>5</v>
      </c>
      <c r="HE103" s="269" t="s">
        <v>212</v>
      </c>
      <c r="HV103" s="259" t="str">
        <f ca="1">CONCATENATE(IFERROR(INDEX($HS$3:$HT$102,MATCH(ROWS($HV$3:HV103),$HT$3:$HT$102,0),1),""),HR103)</f>
        <v/>
      </c>
      <c r="IC103" s="259">
        <f ca="1">IFERROR(INDEX(PIANO_DEI_CONTI,MATCH(ROWS(DL$3:DL103),$DK$3:DK330,0),2),0)</f>
        <v>0</v>
      </c>
      <c r="ID103" s="259">
        <f t="shared" ca="1" si="288"/>
        <v>0</v>
      </c>
      <c r="IE103" s="259">
        <f t="shared" ca="1" si="289"/>
        <v>0</v>
      </c>
      <c r="IF103" s="259">
        <f t="shared" ca="1" si="290"/>
        <v>0</v>
      </c>
      <c r="IG103" s="259">
        <f t="shared" ca="1" si="324"/>
        <v>0</v>
      </c>
      <c r="IH103" s="259">
        <f ca="1">IF(IG103&lt;&gt;0,MAX($IH$35:IH102)+1,0)</f>
        <v>0</v>
      </c>
      <c r="II103" s="259">
        <f>IF(AD103="costi pluriennali",MAX($II$2:II102)+1,0)</f>
        <v>0</v>
      </c>
      <c r="IJ103" s="259">
        <f>IF($AD103="rettifiche costi pluriennali",MAX($IJ$2:IJ102)+1,0)</f>
        <v>0</v>
      </c>
      <c r="IK103" s="259">
        <f t="shared" si="291"/>
        <v>0</v>
      </c>
      <c r="IL103" s="259" t="str">
        <f t="shared" si="292"/>
        <v/>
      </c>
      <c r="IM103" s="259">
        <f t="shared" ca="1" si="293"/>
        <v>0</v>
      </c>
      <c r="IN103" s="259">
        <f t="shared" ca="1" si="313"/>
        <v>0</v>
      </c>
      <c r="IO103" s="259">
        <f>SUMIFS($IM$3:$IM$200,$IK$3:$IK$200,ROWS($IO$3:IO103))-SUMIFS($IN$3:$IN$200,$IK$3:$IK$200,ROWS($IO$3:IO103))</f>
        <v>0</v>
      </c>
      <c r="IP103" s="259" t="str">
        <f>IF(IO103&lt;0,INDEX($IJ$3:$IL$200,MATCH(ROWS($IP$3:IP103),$IJ$3:$IJ$200,0),3),"")</f>
        <v/>
      </c>
      <c r="IQ103" s="259">
        <f>IF(IP103&lt;&gt;"",MAX($IQ$2:IQ102)+1,0)</f>
        <v>0</v>
      </c>
      <c r="IR103" s="259" t="str">
        <f ca="1">IFERROR(INDEX($IP$3:$IQ$200,MATCH(ROWS($IR$3:IR103),$IQ$3:$IQ$200,0),1),"")</f>
        <v/>
      </c>
      <c r="IS103" s="259" t="str">
        <f t="shared" ca="1" si="294"/>
        <v/>
      </c>
      <c r="IT103" s="259" t="str">
        <f t="shared" ca="1" si="295"/>
        <v/>
      </c>
      <c r="IU103" s="259" t="str">
        <f t="shared" ca="1" si="296"/>
        <v/>
      </c>
      <c r="IV103" s="259" t="str">
        <f t="shared" ca="1" si="297"/>
        <v/>
      </c>
      <c r="IW103" s="259" t="str">
        <f t="shared" ca="1" si="298"/>
        <v/>
      </c>
      <c r="IX103" s="259" t="str">
        <f t="shared" ca="1" si="299"/>
        <v/>
      </c>
      <c r="IY103" s="259" t="str">
        <f t="shared" ca="1" si="300"/>
        <v/>
      </c>
      <c r="IZ103" s="259" t="str">
        <f t="shared" ca="1" si="301"/>
        <v/>
      </c>
      <c r="JA103" s="259" t="str">
        <f t="shared" ca="1" si="302"/>
        <v/>
      </c>
      <c r="JB103" s="259">
        <f t="shared" ca="1" si="210"/>
        <v>0</v>
      </c>
      <c r="JC103" s="259">
        <f ca="1">IF(OR(FB103&lt;0,FC103&lt;0),1,0)</f>
        <v>0</v>
      </c>
      <c r="JD103" s="259">
        <f ca="1">IF(AND(FB103&lt;&gt;0,FC103&lt;&gt;0),1,0)</f>
        <v>0</v>
      </c>
      <c r="JE103" s="259">
        <f ca="1">IFERROR(INDEX(LIBRO_GIORNALE!$N$11:$O$408,MATCH(ROWS($JE$2:JE102),LIBRO_GIORNALE!$O$11:$O$408,0),1),0)</f>
        <v>0</v>
      </c>
      <c r="JF103" s="259" t="str">
        <f t="shared" ca="1" si="304"/>
        <v>0</v>
      </c>
      <c r="JG103" s="259">
        <f t="shared" ca="1" si="305"/>
        <v>0</v>
      </c>
      <c r="JH103" s="259">
        <f ca="1">IF(JJ103&gt;0,0,MAX($JH$2:JH102)+1)</f>
        <v>101</v>
      </c>
      <c r="JI103" s="259">
        <f ca="1">IF(JG103&gt;0,MAX($JI$2:JI102)+1,0)</f>
        <v>0</v>
      </c>
      <c r="JJ103" s="259">
        <f ca="1">IFERROR(INDEX($JG$3:$JI$124,MATCH(ROWS($JJ$3:JJ103),$JI$3:$JI$124,0),1),0)</f>
        <v>0</v>
      </c>
      <c r="JK103" s="259">
        <f t="shared" ca="1" si="306"/>
        <v>0</v>
      </c>
      <c r="JL103" s="259">
        <f t="shared" ca="1" si="307"/>
        <v>101</v>
      </c>
      <c r="JM103" s="259">
        <f ca="1">IF(AND(EY103&gt;0,EY103&gt;EY104,EY104&lt;&gt;0),1,0)</f>
        <v>0</v>
      </c>
    </row>
    <row r="104" spans="1:273">
      <c r="A104" s="259" t="str">
        <f t="shared" si="211"/>
        <v>16.00</v>
      </c>
      <c r="B104" s="259" t="str">
        <f t="shared" si="212"/>
        <v>RATEI E RISCONTI PASSIVI</v>
      </c>
      <c r="C104" s="259">
        <f t="shared" si="213"/>
        <v>0</v>
      </c>
      <c r="D104" s="259">
        <f t="shared" si="214"/>
        <v>0</v>
      </c>
      <c r="E104" s="259">
        <f t="shared" si="215"/>
        <v>0</v>
      </c>
      <c r="F104" s="259">
        <f t="shared" si="216"/>
        <v>0</v>
      </c>
      <c r="G104" s="259">
        <f t="shared" ca="1" si="217"/>
        <v>0</v>
      </c>
      <c r="H104" s="259">
        <f t="shared" ca="1" si="218"/>
        <v>0</v>
      </c>
      <c r="I104" s="259">
        <f t="shared" ca="1" si="219"/>
        <v>0</v>
      </c>
      <c r="K104" s="259" t="str">
        <f ca="1">IFERROR(IF($I$1=1,INDEX($AA$3:$AS$220,MATCH(ROWS($K$3:K104),$AQ$3:$AQ$220,0),1),IF($I$1=2,INDEX($AA$3:$AS$220,MATCH(ROWS($K$3:K104),$AR$3:$AR$220,0),1),IF($I$1=3,INDEX($AA$3:$AS$220,MATCH(ROWS($K$3:K104),$AS$3:$AS$220,0),1),""))),"")</f>
        <v>RIBASSI E ABBUONI PASSIVI</v>
      </c>
      <c r="L104" s="259">
        <f ca="1">IF(AND($L$1="VISUALIZZA TUTTI I CONTI",K104&lt;&gt;""),MAX(L103:L103)+1,IFERROR(IF($J$1=1,IF(INDEX(PIANO_DEI_CONTI,MATCH($K104,DENOMINAZIONE,0),5)=$L$1,MAX($L$2:L103)+1,0),IF($J$1=2,IF(INDEX(PIANO_DEI_CONTI,MATCH($K104,DENOMINAZIONE,0),7)=$L$1,MAX($L$2:L103)+1,0))),0))</f>
        <v>102</v>
      </c>
      <c r="M104" s="259" t="str">
        <f ca="1">IFERROR(INDEX($K$3:$K$220,MATCH(ROWS($M$3:M104),$L$3:$L$220,0),1),"")</f>
        <v>RIBASSI E ABBUONI PASSIVI</v>
      </c>
      <c r="Q104" s="259" t="str">
        <f ca="1">IF(IFERROR(INDEX($O$3:$P$220,MATCH(ROWS(Q$3:Q104),$P$3:$P$220,0),1),"")=0,"",IFERROR(INDEX($O$3:$P$220,MATCH(ROWS(Q$3:Q104),$P$3:$P$220,0),1),""))</f>
        <v/>
      </c>
      <c r="R104" s="259" t="str">
        <f t="shared" ca="1" si="182"/>
        <v/>
      </c>
      <c r="S104" s="259">
        <f ca="1">IF(IFERROR(MATCH(R104,DENOMINAZIONE_GIORNALE,0),0)&gt;0,MAX(S$2:S103)+1,0)</f>
        <v>0</v>
      </c>
      <c r="T104" s="259" t="str">
        <f ca="1">IFERROR(INDEX($R$3:$S$220,MATCH(ROWS($T$3:T104),$S$3:$S$220,0),1),"")</f>
        <v/>
      </c>
      <c r="U104" s="259">
        <f t="shared" ca="1" si="183"/>
        <v>0</v>
      </c>
      <c r="V104" s="259">
        <f ca="1">IF(IF(U104&lt;&gt;0,MAX($V$2:V103)+1,0)=0,0,IF(U104&lt;&gt;0,MAX($V$2:V103)+1,0))</f>
        <v>0</v>
      </c>
      <c r="W104" s="259" t="str">
        <f t="shared" si="220"/>
        <v/>
      </c>
      <c r="X104" s="259" t="str">
        <f t="shared" si="221"/>
        <v/>
      </c>
      <c r="Y104" s="259">
        <f>IF(W104="",0,MAX($Y$2:Y103)+1)</f>
        <v>0</v>
      </c>
      <c r="Z104" s="259" t="str">
        <f>IFERROR(INDEX($W$3:$Y$220,MATCH(ROWS($Z$2:Z103),$Y$3:$Y$220,0),1),"")</f>
        <v>20.01</v>
      </c>
      <c r="AA104" s="259" t="str">
        <f t="shared" si="222"/>
        <v>MERCI C/VENDITE</v>
      </c>
      <c r="AB104" s="259" t="str">
        <f t="shared" si="223"/>
        <v>E</v>
      </c>
      <c r="AC104" s="259" t="str">
        <f t="shared" si="224"/>
        <v>A</v>
      </c>
      <c r="AD104" s="259" t="str">
        <f t="shared" si="225"/>
        <v>RICAVI D'ESERCIZIO</v>
      </c>
      <c r="AE104" s="259" t="str">
        <f t="shared" si="226"/>
        <v>SE AVERE</v>
      </c>
      <c r="AF104" s="259" t="str">
        <f t="shared" si="227"/>
        <v>VALORE DELLA PRODUZIONE</v>
      </c>
      <c r="AG104" s="259">
        <f t="shared" ca="1" si="228"/>
        <v>1</v>
      </c>
      <c r="AH104" s="259">
        <f t="shared" ca="1" si="229"/>
        <v>1</v>
      </c>
      <c r="AI104" s="259">
        <f t="shared" ca="1" si="230"/>
        <v>1</v>
      </c>
      <c r="AJ104" s="259" t="str">
        <f t="shared" si="231"/>
        <v>20</v>
      </c>
      <c r="AK104" s="259" t="str">
        <f t="shared" si="232"/>
        <v>16</v>
      </c>
      <c r="AL104" s="259">
        <f>IF(AK104&lt;&gt;"",MAX($AL$2:AL103)+1,0)</f>
        <v>15</v>
      </c>
      <c r="AM104" s="259" t="str">
        <f>IFERROR(INDEX($AK$3:$AL$220,MATCH(ROWS($AM$3:AM104),$AL$3:$AL$220,0),1),"")</f>
        <v/>
      </c>
      <c r="AN104" s="259" t="str">
        <f t="shared" si="233"/>
        <v/>
      </c>
      <c r="AO104" s="259" t="str">
        <f t="shared" si="234"/>
        <v/>
      </c>
      <c r="AP104" s="259" t="str">
        <f t="shared" si="235"/>
        <v>VALORE DELLA PRODUZIONE</v>
      </c>
      <c r="AQ104" s="259">
        <f ca="1">IF(OR(AG104=0,AG104=""),0,MAX(AQ$2:AQ103)+1)</f>
        <v>46</v>
      </c>
      <c r="AR104" s="259">
        <f ca="1">IF(OR(AH104=0,AH104=""),0,MAX(AR$2:AR103)+1)</f>
        <v>68</v>
      </c>
      <c r="AS104" s="259">
        <f ca="1">IF(OR(AI104=0,AI104=""),0,MAX(AS$2:AS103)+1)</f>
        <v>98</v>
      </c>
      <c r="AT104" s="259" t="str">
        <f ca="1">IFERROR(INDEX($AD$3:$AS$220,MATCH(ROWS(AT$3:AT104),AQ$3:AQ$220,0),1),"")</f>
        <v/>
      </c>
      <c r="AU104" s="259" t="str">
        <f ca="1">IFERROR(INDEX($AD$3:$AS$220,MATCH(ROWS(AU$3:AU104),AR$3:AR$220,0),1),"")</f>
        <v>COSTI D'ESERCIZIO</v>
      </c>
      <c r="AV104" s="259" t="str">
        <f ca="1">IFERROR(INDEX($AD$3:$AS$220,MATCH(ROWS(AV$3:AV104),AS$3:AS$220,0),1),"")</f>
        <v>RETTIFICHE RICAVI D'ESERCIZIO</v>
      </c>
      <c r="AW104" s="259" t="str">
        <f ca="1">IFERROR(INDEX($AP$3:$AS$220,MATCH(ROWS(AW$3:AW104),AQ$3:AQ$220,0),1),"")</f>
        <v/>
      </c>
      <c r="AX104" s="259" t="str">
        <f ca="1">IFERROR(INDEX($AP$3:$AS$220,MATCH(ROWS(AX$3:AX104),AR$3:AR$220,0),1),"")</f>
        <v>COSTI PER SERVIZI</v>
      </c>
      <c r="AY104" s="259" t="str">
        <f ca="1">IFERROR(INDEX($AP$3:$AS$220,MATCH(ROWS(AY$3:AY104),AS$3:AS$220,0),1),"")</f>
        <v>VALORE DELLA PRODUZIONE</v>
      </c>
      <c r="AZ104" s="259" t="str">
        <f t="shared" ref="AZ104:AZ167" si="339">CONCATENATE(ROW()-102," V.I.")</f>
        <v>2 V.I.</v>
      </c>
      <c r="BA104" s="259">
        <f t="shared" ca="1" si="338"/>
        <v>0</v>
      </c>
      <c r="BB104" s="259">
        <f t="shared" ref="BB104:BB167" ca="1" si="340">IF($BA104=0,0,EZ4)</f>
        <v>0</v>
      </c>
      <c r="BC104" s="259">
        <f t="shared" ref="BC104:BC167" ca="1" si="341">IF($BA104=0,0,FA4)</f>
        <v>0</v>
      </c>
      <c r="BD104" s="259">
        <f t="shared" ref="BD104:BD167" ca="1" si="342">IF($BA104=0,0,FB4)</f>
        <v>0</v>
      </c>
      <c r="BE104" s="259">
        <f t="shared" ref="BE104:BE167" ca="1" si="343">IF($BA104=0,0,FC4)</f>
        <v>0</v>
      </c>
      <c r="BG104" s="259" t="str">
        <f t="shared" ca="1" si="185"/>
        <v/>
      </c>
      <c r="BH104" s="259">
        <f ca="1">IF(IFERROR(MATCH(BG104,DENOMINAZIONE_GIORNALE,0),0)&gt;0,MAX(BH$2:BH103)+1,0)</f>
        <v>0</v>
      </c>
      <c r="BI104" s="259" t="str">
        <f ca="1">IFERROR(INDEX($BG$3:$BH$220,MATCH(ROWS($BI$3:BI104),$BH$3:$BH$220,0),1),"")</f>
        <v/>
      </c>
      <c r="BJ104" s="259" t="str">
        <f t="shared" ca="1" si="186"/>
        <v/>
      </c>
      <c r="BK104" s="259" t="str">
        <f ca="1">IF(IF(BJ104&lt;&gt;"",MAX($BK$2:BK103)+1,0)=0,"",IF(BJ104&lt;&gt;"",MAX($BK$2:BK103)+1,0))</f>
        <v/>
      </c>
      <c r="BL104" s="259" t="str">
        <f ca="1">IFERROR(INDEX($T$3:$U$220, MATCH(ROWS(BL$3:BL104),$V$3:$V$220,0),1),"")</f>
        <v/>
      </c>
      <c r="BM104" s="259" t="str">
        <f ca="1">IFERROR(INDEX($T$3:$U$220, MATCH(ROWS(BM$3:BM104),$V$3:$V$220,0),2),"")</f>
        <v/>
      </c>
      <c r="BN104" s="259" t="str">
        <f ca="1">IF(IFERROR(INDEX($BI$3:$BJ$220,MATCH(ROWS(BN$3:BN104),$BK$3:$BK$220,0),1),"")="PATRIMONIO NETTO","",IFERROR(INDEX($BI$3:$BJ$220,MATCH(ROWS(BN$3:BN104),$BK$3:$BK$220,0),1),""))</f>
        <v/>
      </c>
      <c r="BO104" s="259" t="str">
        <f ca="1">IFERROR(INDEX($BI$3:$BJ$220,MATCH(ROWS(BO$3:BO104),$BK$3:$BK$220,0),2),"")</f>
        <v/>
      </c>
      <c r="BP104" s="259">
        <f ca="1">IF(BN104&lt;&gt;"",MAX(BP$2:$BP103)+1,0)</f>
        <v>0</v>
      </c>
      <c r="BQ104" s="259" t="str">
        <f ca="1">IFERROR(INDEX($BN$3:$BO$200,MATCH(ROWS(BQ$3:BQ104),$BP$3:$BP$220,0),1),"")</f>
        <v/>
      </c>
      <c r="BR104" s="259" t="str">
        <f ca="1">IFERROR(INDEX($BN$3:$BO$220,MATCH(ROWS(BR$3:BR104),$BP$3:$BP$220,0),2),"")</f>
        <v/>
      </c>
      <c r="BS104" s="259" t="str">
        <f ca="1">IFERROR(IF(OR(INDEX($T$3:$U$220,MATCH(ROWS(BL$3:BL104),$V$3:$V$220,0),1)="PRELEVAMENTI EXTRAGESTIONE",INDEX($T$3:$U$220,MATCH(ROWS(BL$3:BL104),$V$3:$V$220,0),1)="TITOLARE C/RITENUTE SUBITE"),"",INDEX($T$3:$U$220,MATCH(ROWS(BL$3:BL104),$V$3:$V$220,0),1)),"")</f>
        <v/>
      </c>
      <c r="BT104" s="259">
        <f t="shared" ca="1" si="238"/>
        <v>0</v>
      </c>
      <c r="BU104" s="259">
        <f ca="1">IF(BS104&lt;&gt;"",MAX(BU$2:BU103)+1,0)</f>
        <v>0</v>
      </c>
      <c r="BV104" s="259" t="str">
        <f ca="1">IFERROR(INDEX($BS$3:$BT$223,MATCH(ROWS(BV$3:BV104),$BU$3:$BU$223,0),1),"")</f>
        <v/>
      </c>
      <c r="BW104" s="259">
        <f t="shared" ca="1" si="239"/>
        <v>0</v>
      </c>
      <c r="CB104" s="259" t="str">
        <f ca="1">IFERROR(IF(OR($BB$1&lt;&gt;$BD$1,$BC$1&lt;&gt;$BE$1,$DS$231&lt;&gt;$DT$231,$DU$231&lt;&gt;$DV$231,$EO$25&lt;&gt;0,$EO$26&lt;&gt;0),INDEX($BI$3:$BK$220,MATCH(ROWS($CB$3:CB104),$BK$3:$BK$220,0),1),CONCATENATE(BQ104,BX104)),"")</f>
        <v/>
      </c>
      <c r="CC104" s="259" t="str">
        <f t="shared" ca="1" si="243"/>
        <v/>
      </c>
      <c r="CD104" s="259" t="str">
        <f t="shared" ca="1" si="187"/>
        <v/>
      </c>
      <c r="CE104" s="259">
        <f ca="1">IF(IFERROR(MATCH(CD104,DENOMINAZIONE_GIORNALE,0),0)&gt;0,MAX(CE$2:CE103)+1,0)</f>
        <v>0</v>
      </c>
      <c r="CF104" s="259" t="str">
        <f ca="1">IFERROR(INDEX($CD$3:$CE$220,MATCH(ROWS($CF$3:CF104),$CE$3:$CE$220,0),1),"")</f>
        <v/>
      </c>
      <c r="CG104" s="259">
        <f t="shared" ca="1" si="188"/>
        <v>0</v>
      </c>
      <c r="CH104" s="259" t="str">
        <f ca="1">IF(IF(CG104&lt;&gt;0,MAX($CH$2:CH103)+1,0)=0,"",IF(CG104&lt;&gt;"",MAX($CH$2:CH103)+1,0))</f>
        <v/>
      </c>
      <c r="CI104" s="259" t="str">
        <f ca="1">IFERROR(INDEX($CF$3:$CG$220,MATCH(ROWS($CI$3:CI104),$CH$3:$CH$220,0),1),"")</f>
        <v/>
      </c>
      <c r="CJ104" s="259" t="str">
        <f t="shared" ca="1" si="244"/>
        <v/>
      </c>
      <c r="CK104" s="259" t="str">
        <f t="shared" ca="1" si="189"/>
        <v>MERCI C/VENDITE</v>
      </c>
      <c r="CL104" s="259">
        <f ca="1">IF(IFERROR(MATCH(CK104,DENOMINAZIONE_GIORNALE,0),0)&gt;0,MAX(CL$2:CL103)+1,0)</f>
        <v>0</v>
      </c>
      <c r="CM104" s="259" t="str">
        <f ca="1">IFERROR(INDEX($CK$3:$CL$220,MATCH(ROWS($CM$3:CM104),$CL$3:$CL$220,0),1),"")</f>
        <v/>
      </c>
      <c r="CN104" s="259" t="str">
        <f t="shared" ca="1" si="190"/>
        <v/>
      </c>
      <c r="CO104" s="259">
        <f ca="1">IF(IF(CN104&lt;&gt;0,MAX($CO$2:CO103)+1,0)=0,"",IF(CN104&lt;&gt;"",MAX($CO$2:CO103)+1,0))</f>
        <v>0</v>
      </c>
      <c r="CP104" s="259" t="str">
        <f ca="1">IFERROR(INDEX($CM$3:$CN$220,MATCH(ROWS(CP$3:CP104),$CO$3:$CO$220,0),1),"")</f>
        <v/>
      </c>
      <c r="CQ104" s="259" t="str">
        <f ca="1">IFERROR(INDEX($CM$3:$CN$220,MATCH(ROWS(CQ$3:CQ104),$CO$3:$CO$220,0),2),"")</f>
        <v/>
      </c>
      <c r="CS104" s="259">
        <f t="shared" ca="1" si="192"/>
        <v>0</v>
      </c>
      <c r="CT104" s="259">
        <f t="shared" ca="1" si="193"/>
        <v>0</v>
      </c>
      <c r="CU104" s="259">
        <f ca="1">IF(OR(CS104&gt;0,CT104&gt;0),MAX($CU$2:CU103)+1,0)</f>
        <v>0</v>
      </c>
      <c r="CV104" s="259" t="str">
        <f ca="1">IFERROR(INDEX(PIANO_DEI_CONTI,MATCH(ROWS($CV$3:CV104),$CU$3:$CU$200,0),2),"")</f>
        <v/>
      </c>
      <c r="CW104" s="259">
        <f ca="1">IFERROR(IF(CV104&lt;&gt;"",MAX($CW$2:CW103)+1,0),0)</f>
        <v>0</v>
      </c>
      <c r="CX104" s="259">
        <f t="shared" ca="1" si="326"/>
        <v>6</v>
      </c>
      <c r="CY104" s="259" t="str">
        <f t="shared" ca="1" si="337"/>
        <v>MASTRO</v>
      </c>
      <c r="CZ104" s="259" t="e">
        <f t="shared" ca="1" si="328"/>
        <v>#N/A</v>
      </c>
      <c r="DA104" s="259" t="str">
        <f t="shared" ca="1" si="333"/>
        <v/>
      </c>
      <c r="DB104" s="259" t="str">
        <f t="shared" ca="1" si="329"/>
        <v/>
      </c>
      <c r="DC104" s="259" t="str">
        <f t="shared" ca="1" si="330"/>
        <v/>
      </c>
      <c r="DD104" s="259" t="str">
        <f t="shared" ca="1" si="331"/>
        <v/>
      </c>
      <c r="DE104" s="259" t="str">
        <f t="shared" ca="1" si="332"/>
        <v/>
      </c>
      <c r="DF104" s="259">
        <f ca="1">IF(AND(CX104=$DE$2,$DF$2&lt;&gt;0),0,IF(AND(DB104&lt;&gt;"",OR(DB103&lt;&gt;"",DB105&lt;&gt;"")),MAX($DF$2:DF103)+1,0))</f>
        <v>0</v>
      </c>
      <c r="DG104" s="259" t="str">
        <f>IF(IF(LIBRO_GIORNALE!E12="","",IFERROR(INDEX(PIANO_DEI_CONTI,MATCH(BB104,DENOMINAZIONE,0),1),0))=0,"",IF(LIBRO_GIORNALE!E12="","",IFERROR(INDEX(PIANO_DEI_CONTI,MATCH(BB104,DENOMINAZIONE,0),1),0)))</f>
        <v/>
      </c>
      <c r="DH104" s="259">
        <f ca="1">IFERROR(IF($J$1=1,IF(INDEX(PIANO_DEI_CONTI,MATCH($K104,DENOMINAZIONE,0),5)=$DF$1,MAX($DH$2:DH103)+1,0),IF($J$1=2,IF(INDEX(PIANO_DEI_CONTI,MATCH($K104,DENOMINAZIONE,0),7)=$DF$1,MAX($DH$2:DH103)+1,0))),0)</f>
        <v>0</v>
      </c>
      <c r="DI104" s="259">
        <f ca="1">IFERROR(INDEX($K$3:$K$220,MATCH(ROWS($DI$3:DI104),$DH$3:$DH$220,0),1),0)</f>
        <v>0</v>
      </c>
      <c r="DJ104" s="259">
        <f t="shared" ca="1" si="194"/>
        <v>0</v>
      </c>
      <c r="DK104" s="259">
        <f ca="1">IF(DJ104=0,0,MAX(DK$2:DK103)+1)</f>
        <v>0</v>
      </c>
      <c r="DL104" s="259">
        <f ca="1">IFERROR(INDEX(PIANO_DEI_CONTI,MATCH(ROWS(DL$3:DL104),$DK$3:DK331,0),2),0)</f>
        <v>0</v>
      </c>
      <c r="DM104" s="259">
        <f t="shared" ca="1" si="195"/>
        <v>0</v>
      </c>
      <c r="DN104" s="259">
        <f t="shared" ca="1" si="196"/>
        <v>0</v>
      </c>
      <c r="DO104" s="259">
        <f t="shared" ca="1" si="245"/>
        <v>0</v>
      </c>
      <c r="DP104" s="259">
        <f t="shared" ca="1" si="246"/>
        <v>0</v>
      </c>
      <c r="DQ104" s="259">
        <f ca="1">IF(OR($DQ$1="TOTALI",$DQ$1="TOTALI ED ECCEDENZE"),IF(OR(DM104&gt;0,DN104&gt;0),MAX(DQ$2:DQ103)+1,0),IF($DQ$1="ECCEDENZE",IF(OR(DO104&gt;0,DP104&gt;0),MAX(DQ$2:DQ103)+1,0),""))</f>
        <v>0</v>
      </c>
      <c r="DR104" s="259" t="str">
        <f ca="1">IFERROR(INDEX($DL$3:$DQ$230,MATCH(ROWS(DR$3:DR104),$DQ$3:$DQ$230,0),1),"")</f>
        <v/>
      </c>
      <c r="DS104" s="259" t="str">
        <f t="shared" ca="1" si="247"/>
        <v/>
      </c>
      <c r="DT104" s="259" t="str">
        <f t="shared" ca="1" si="248"/>
        <v/>
      </c>
      <c r="DU104" s="259" t="str">
        <f t="shared" ca="1" si="249"/>
        <v/>
      </c>
      <c r="DV104" s="259" t="str">
        <f t="shared" ca="1" si="250"/>
        <v/>
      </c>
      <c r="DW104" s="259">
        <f t="shared" ca="1" si="251"/>
        <v>0</v>
      </c>
      <c r="DX104" s="259" t="str">
        <f t="shared" ca="1" si="252"/>
        <v/>
      </c>
      <c r="DY104" s="259" t="str">
        <f t="shared" ca="1" si="253"/>
        <v/>
      </c>
      <c r="DZ104" s="259" t="str">
        <f t="shared" ca="1" si="254"/>
        <v/>
      </c>
      <c r="EA104" s="259">
        <f t="shared" ca="1" si="255"/>
        <v>102</v>
      </c>
      <c r="EB104" s="259" t="s">
        <v>363</v>
      </c>
      <c r="ED104" s="259">
        <f t="shared" ca="1" si="197"/>
        <v>0</v>
      </c>
      <c r="EH104" s="259" t="str">
        <f t="shared" ca="1" si="256"/>
        <v/>
      </c>
      <c r="EI104" s="260" t="b">
        <f t="shared" ca="1" si="310"/>
        <v>0</v>
      </c>
      <c r="EJ104" s="260" t="b">
        <f t="shared" ca="1" si="311"/>
        <v>0</v>
      </c>
      <c r="EK104" s="260" t="b">
        <f t="shared" ca="1" si="312"/>
        <v>0</v>
      </c>
      <c r="EL104" s="259">
        <f t="shared" si="257"/>
        <v>102</v>
      </c>
      <c r="EM104" s="259">
        <f ca="1">IF(AND(BA104&gt;0,BA104&lt;=$EM$1),MAX($EM$2:EM103)+1,0)</f>
        <v>0</v>
      </c>
      <c r="EN104" s="259">
        <f t="shared" ca="1" si="258"/>
        <v>104</v>
      </c>
      <c r="EP104" s="259" t="str">
        <f t="shared" ca="1" si="200"/>
        <v/>
      </c>
      <c r="EQ104" s="259">
        <f t="shared" ca="1" si="201"/>
        <v>0</v>
      </c>
      <c r="ER104" s="259">
        <f ca="1">IF(ISNA(EQ104),MAX(ER$2:ER103)+1,0)</f>
        <v>0</v>
      </c>
      <c r="ES104" s="259" t="str">
        <f t="shared" ca="1" si="259"/>
        <v/>
      </c>
      <c r="ET104" s="259" t="str">
        <f ca="1">IFERROR(UPPER(INDEX($ER$3:$ES$500,MATCH(ROWS(ET$3:ET104),$ER$3:$ER$500,0),2)),"")</f>
        <v/>
      </c>
      <c r="EW104" s="259">
        <f t="shared" ref="EW104:EW167" ca="1" si="344">IF(AND($EX$3&lt;&gt;0,EX104&gt;=$EX$3),0,1)</f>
        <v>1</v>
      </c>
      <c r="EX104" s="259">
        <v>2</v>
      </c>
      <c r="EY104" s="259">
        <f t="shared" ref="EY104:EY167" ca="1" si="345">IF(EW104=0,0,INDIRECT(ADDRESS(ROW()-92,COLUMN()-151,,,"LIBRO_GIORNALE")))</f>
        <v>0</v>
      </c>
      <c r="EZ104" s="259">
        <f t="shared" ref="EZ104:EZ167" ca="1" si="346">IF(EW104=0,0,INDIRECT(ADDRESS(ROW()-92,COLUMN()-151,,,"LIBRO_GIORNALE")))</f>
        <v>0</v>
      </c>
      <c r="FA104" s="259">
        <f t="shared" ref="FA104:FA167" ca="1" si="347">IF(EW104=0,0,INDIRECT(ADDRESS(ROW()-92,COLUMN()-151,,,"LIBRO_GIORNALE")))</f>
        <v>0</v>
      </c>
      <c r="FB104" s="259">
        <f t="shared" ref="FB104:FB167" ca="1" si="348">IF(EZ104=0,0,ROUND(IF(EW104=0,0,INDIRECT(ADDRESS(ROW()-92,COLUMN()-151,,,"LIBRO_GIORNALE"))),2))</f>
        <v>0</v>
      </c>
      <c r="FC104" s="259">
        <f t="shared" ref="FC104:FC167" ca="1" si="349">IF(EZ104=0,0,ROUND(IF(EW104=0,0,INDIRECT(ADDRESS(ROW()-92,COLUMN()-151,,,"LIBRO_GIORNALE"))),2))</f>
        <v>0</v>
      </c>
      <c r="FD104" s="259">
        <f t="shared" ca="1" si="202"/>
        <v>0</v>
      </c>
      <c r="FE104" s="259" t="str">
        <f t="shared" ca="1" si="203"/>
        <v/>
      </c>
      <c r="FF104" s="259" t="str">
        <f t="shared" ref="FF104:FF167" ca="1" si="350">IF(EZ104&lt;&gt;0,ROW()-102,"")</f>
        <v/>
      </c>
      <c r="FG104" s="259" t="str">
        <f t="shared" si="335"/>
        <v/>
      </c>
      <c r="FH104" s="259">
        <f t="shared" ca="1" si="334"/>
        <v>0</v>
      </c>
      <c r="FI104" s="259">
        <f t="shared" ca="1" si="204"/>
        <v>0</v>
      </c>
      <c r="FJ104" s="259">
        <f t="shared" ca="1" si="336"/>
        <v>0</v>
      </c>
      <c r="FK104" s="259">
        <f t="shared" ca="1" si="267"/>
        <v>0</v>
      </c>
      <c r="FL104" s="259">
        <f ca="1">IF(OR(FJ104&gt;0,FK104&gt;0),MAX($FL$2:FL103)+1,0)</f>
        <v>0</v>
      </c>
      <c r="FM104" s="259">
        <f t="shared" ca="1" si="205"/>
        <v>0</v>
      </c>
      <c r="FN104" s="259">
        <f ca="1">IF(FM104&lt;0,MAX($FN$2:FN103)+1,0)</f>
        <v>0</v>
      </c>
      <c r="FO104" s="259" t="str">
        <f t="shared" ca="1" si="268"/>
        <v/>
      </c>
      <c r="FP104" s="259" t="str">
        <f ca="1">IFERROR(INDEX($FN$3:$FO$400,MATCH(ROWS($FP$3:FP104),$FN$3:$FN$400,0),2),"")</f>
        <v/>
      </c>
      <c r="FQ104" s="259">
        <f>IF(AE104="SE AVERE",MAX($FQ$2:FQ103)+1,"")</f>
        <v>1</v>
      </c>
      <c r="FR104" s="259" t="str">
        <f>IF(AE104="SE DARE",MAX($FR$2:FR103)+1,"")</f>
        <v/>
      </c>
      <c r="FS104" s="259" t="str">
        <f ca="1">IF(AND(AE104="SP DARE",AA104&lt;&gt;$FS$1,AA104&lt;&gt;$FT$1),MAX($FS$2:FS103)+1,IF(AND(GQ104="SP DARE",AA104&lt;&gt;$FS$1,AA104&lt;&gt;$FT$1),MAX($FS$2:FS103)+1,""))</f>
        <v/>
      </c>
      <c r="FT104" s="259" t="str">
        <f ca="1">IF(AND(AE104="SP AVERE",AA104&lt;&gt;$FU$1),MAX($FT$2:FT103)+1,IF(AND(GQ104="SP AVERE",AA104&lt;&gt;$FU$1),MAX($FT$2:FT103)+1,""))</f>
        <v/>
      </c>
      <c r="FU104" s="259">
        <f t="shared" ca="1" si="269"/>
        <v>1</v>
      </c>
      <c r="FV104" s="259" t="str">
        <f t="shared" si="270"/>
        <v>MERCI C/VENDITE</v>
      </c>
      <c r="FW104" s="259" t="str">
        <f ca="1">IFERROR(INDEX($FU$3:$FV$500,MATCH(ROWS($FW$3:FW104),$FU$3:$FU$500,0),2),0)</f>
        <v>FORNITORI IMMOBILIZZ. MATERIALI C/ACCONTI</v>
      </c>
      <c r="FX104" s="259">
        <f t="shared" ca="1" si="271"/>
        <v>102</v>
      </c>
      <c r="FY104" s="259">
        <f t="shared" ca="1" si="272"/>
        <v>0</v>
      </c>
      <c r="FZ104" s="259">
        <f ca="1">IF(FY104&gt;0,MAX($FZ$2:FZ103)+1,0)</f>
        <v>0</v>
      </c>
      <c r="GA104" s="259">
        <f ca="1">IFERROR(INDEX($FY$3:$FZ$500,MATCH(ROWS($GA$3:GA104),$FZ$3:$FZ$500,0),1),0)</f>
        <v>0</v>
      </c>
      <c r="GC104" s="259">
        <f t="shared" ca="1" si="273"/>
        <v>102</v>
      </c>
      <c r="GD104" s="259" t="str">
        <f t="shared" ca="1" si="274"/>
        <v>FORNITORI IMMOBILIZZ. MATERIALI C/ACCONTI</v>
      </c>
      <c r="GG104" s="259">
        <f t="shared" ca="1" si="275"/>
        <v>0</v>
      </c>
      <c r="GH104" s="259">
        <f t="shared" ca="1" si="276"/>
        <v>0</v>
      </c>
      <c r="GI104" s="259">
        <f t="shared" ca="1" si="277"/>
        <v>0</v>
      </c>
      <c r="GJ104" s="259">
        <f t="shared" ca="1" si="278"/>
        <v>0</v>
      </c>
      <c r="GK104" s="259">
        <f t="shared" ca="1" si="279"/>
        <v>0</v>
      </c>
      <c r="GL104" s="259">
        <f t="shared" ca="1" si="280"/>
        <v>0</v>
      </c>
      <c r="GM104" s="259">
        <f ca="1">IF(OR(GK104&gt;0,GL104&gt;0),MAX($GM$2:GM103)+1,0)</f>
        <v>0</v>
      </c>
      <c r="GN104" s="259" t="str">
        <f ca="1">IFERROR(INDEX($GD$3:$GM$400,MATCH(ROWS($GN$3:GN104),$GM$3:$GM$400,0),1),"")</f>
        <v/>
      </c>
      <c r="GO104" s="259" t="str">
        <f ca="1">IFERROR(INDEX($GD$3:$GM$400,MATCH(ROWS($GO$3:GO104),$GM$3:$GM$400,0),8),"")</f>
        <v/>
      </c>
      <c r="GP104" s="259" t="str">
        <f ca="1">IFERROR(INDEX($GD$3:$GM$400,MATCH(ROWS($GP$3:GP104),$GM$3:$GM$400,0),9),"")</f>
        <v/>
      </c>
      <c r="GQ104" s="259">
        <f t="shared" ca="1" si="206"/>
        <v>0</v>
      </c>
      <c r="GR104" s="259">
        <f t="shared" ca="1" si="281"/>
        <v>0</v>
      </c>
      <c r="GS104" s="259" t="str">
        <f t="shared" ca="1" si="282"/>
        <v>chiusura del conto</v>
      </c>
      <c r="GT104" s="259" t="str">
        <f ca="1">IFERROR(INDEX($GD$3:$GS$400,MATCH(ROWS($GT$3:GT104),$GM$3:$GM$400,0),16),"")</f>
        <v/>
      </c>
      <c r="GU104" s="259">
        <f ca="1">IF(GQ104&lt;&gt;0,MAX($GU$2:$GU103)+1,0)</f>
        <v>0</v>
      </c>
      <c r="GV104" s="259">
        <f t="shared" ca="1" si="283"/>
        <v>0</v>
      </c>
      <c r="GW104" s="259" t="str">
        <f ca="1">IF(AND(IFERROR(INDEX($GU$3:$GV$400,MATCH(ROWS($GW$3:GW104),$GU$3:$GU$400,0),2),"")&lt;&gt;"",GW105&lt;&gt;""),CONCATENATE(IFERROR(INDEX($GU$3:$GV$400,MATCH(ROWS($GW$3:GW104),$GU$3:$GU$400,0),2),"")," - "),IFERROR(INDEX($GU$3:$GV$400,MATCH(ROWS($GW$3:GW104),$GU$3:$GU$400,0),2),""))</f>
        <v/>
      </c>
      <c r="GX104" s="259">
        <f ca="1">IF(OR(GN104="IVA NS/CREDITO",GN104="IVA NS/DEBITO",GN104="IVA C/ACCONTO",GN104="IMPOSTE C/ACCONTO"),MAX($GX$2:GX103)+1,0)</f>
        <v>0</v>
      </c>
      <c r="GY104" s="259" t="str">
        <f ca="1">IF(AND(IFERROR(INDEX($GN$3:$GX$200,MATCH(ROWS($GY$3:GY104),$GX$3:$GX$200,0),1),"")&lt;&gt;"",GY105&lt;&gt;""),CONCATENATE(IFERROR(INDEX($GN$3:$GX$200,MATCH(ROWS($GY$3:GY104),$GX$3:$GX$200,0),1),"")," - "),IFERROR(INDEX($GN$3:$GX$200,MATCH(ROWS($GY$3:GY104),$GX$3:$GX$200,0),1),""))</f>
        <v/>
      </c>
      <c r="GZ104" s="259" t="s">
        <v>124</v>
      </c>
      <c r="HA104" s="270" t="s">
        <v>123</v>
      </c>
      <c r="HV104" s="259" t="str">
        <f ca="1">CONCATENATE(IFERROR(INDEX($HS$3:$HT$102,MATCH(ROWS($HV$3:HV104),$HT$3:$HT$102,0),1),""),HR104)</f>
        <v/>
      </c>
      <c r="IC104" s="259">
        <f ca="1">IFERROR(INDEX(PIANO_DEI_CONTI,MATCH(ROWS(DL$3:DL104),$DK$3:DK331,0),2),0)</f>
        <v>0</v>
      </c>
      <c r="ID104" s="259">
        <f t="shared" ca="1" si="288"/>
        <v>0</v>
      </c>
      <c r="IE104" s="259">
        <f t="shared" ca="1" si="289"/>
        <v>0</v>
      </c>
      <c r="IF104" s="259">
        <f t="shared" ca="1" si="290"/>
        <v>0</v>
      </c>
      <c r="IG104" s="259">
        <f t="shared" ca="1" si="324"/>
        <v>0</v>
      </c>
      <c r="IH104" s="259">
        <f ca="1">IF(IG104&lt;&gt;0,MAX($IH$35:IH103)+1,0)</f>
        <v>0</v>
      </c>
      <c r="II104" s="259">
        <f>IF(AD104="costi pluriennali",MAX($II$2:II103)+1,0)</f>
        <v>0</v>
      </c>
      <c r="IJ104" s="259">
        <f>IF($AD104="rettifiche costi pluriennali",MAX($IJ$2:IJ103)+1,0)</f>
        <v>0</v>
      </c>
      <c r="IK104" s="259">
        <f t="shared" si="291"/>
        <v>0</v>
      </c>
      <c r="IL104" s="259" t="str">
        <f t="shared" si="292"/>
        <v/>
      </c>
      <c r="IM104" s="259">
        <f t="shared" ca="1" si="293"/>
        <v>0</v>
      </c>
      <c r="IN104" s="259">
        <f t="shared" ca="1" si="313"/>
        <v>0</v>
      </c>
      <c r="IO104" s="259">
        <f>SUMIFS($IM$3:$IM$200,$IK$3:$IK$200,ROWS($IO$3:IO104))-SUMIFS($IN$3:$IN$200,$IK$3:$IK$200,ROWS($IO$3:IO104))</f>
        <v>0</v>
      </c>
      <c r="IP104" s="259" t="str">
        <f>IF(IO104&lt;0,INDEX($IJ$3:$IL$200,MATCH(ROWS($IP$3:IP104),$IJ$3:$IJ$200,0),3),"")</f>
        <v/>
      </c>
      <c r="IQ104" s="259">
        <f>IF(IP104&lt;&gt;"",MAX($IQ$2:IQ103)+1,0)</f>
        <v>0</v>
      </c>
      <c r="IR104" s="259" t="str">
        <f ca="1">IFERROR(INDEX($IP$3:$IQ$200,MATCH(ROWS($IR$3:IR104),$IQ$3:$IQ$200,0),1),"")</f>
        <v/>
      </c>
      <c r="IS104" s="259" t="str">
        <f t="shared" ca="1" si="294"/>
        <v/>
      </c>
      <c r="IT104" s="259" t="str">
        <f t="shared" ca="1" si="295"/>
        <v/>
      </c>
      <c r="IU104" s="259" t="str">
        <f t="shared" ca="1" si="296"/>
        <v/>
      </c>
      <c r="IV104" s="259" t="str">
        <f t="shared" ca="1" si="297"/>
        <v/>
      </c>
      <c r="IW104" s="259" t="str">
        <f t="shared" ca="1" si="298"/>
        <v/>
      </c>
      <c r="IX104" s="259" t="str">
        <f t="shared" ca="1" si="299"/>
        <v/>
      </c>
      <c r="IY104" s="259" t="str">
        <f t="shared" ca="1" si="300"/>
        <v/>
      </c>
      <c r="IZ104" s="259" t="str">
        <f t="shared" ca="1" si="301"/>
        <v/>
      </c>
      <c r="JA104" s="259" t="str">
        <f t="shared" ca="1" si="302"/>
        <v/>
      </c>
      <c r="JB104" s="259">
        <f t="shared" ca="1" si="210"/>
        <v>0</v>
      </c>
      <c r="JC104" s="259">
        <f t="shared" ref="JC104:JC167" ca="1" si="351">IF(OR(FB104&lt;0,FC104&lt;0),1,0)</f>
        <v>0</v>
      </c>
      <c r="JD104" s="259">
        <f t="shared" ref="JD104:JD167" ca="1" si="352">IF(AND(FB104&lt;&gt;0,FC104&lt;&gt;0),1,0)</f>
        <v>0</v>
      </c>
      <c r="JE104" s="259">
        <f ca="1">IFERROR(INDEX(LIBRO_GIORNALE!$N$11:$O$408,MATCH(ROWS($JE$2:JE103),LIBRO_GIORNALE!$O$11:$O$408,0),1),0)</f>
        <v>0</v>
      </c>
      <c r="JF104" s="259" t="str">
        <f t="shared" ca="1" si="304"/>
        <v>0</v>
      </c>
      <c r="JG104" s="259">
        <f t="shared" ca="1" si="305"/>
        <v>0</v>
      </c>
      <c r="JH104" s="259">
        <f ca="1">IF(JJ104&gt;0,0,MAX($JH$2:JH103)+1)</f>
        <v>102</v>
      </c>
      <c r="JI104" s="259">
        <f ca="1">IF(JG104&gt;0,MAX($JI$2:JI103)+1,0)</f>
        <v>0</v>
      </c>
      <c r="JJ104" s="259">
        <f ca="1">IFERROR(INDEX($JG$3:$JI$124,MATCH(ROWS($JJ$3:JJ104),$JI$3:$JI$124,0),1),0)</f>
        <v>0</v>
      </c>
      <c r="JK104" s="259">
        <f t="shared" ca="1" si="306"/>
        <v>0</v>
      </c>
      <c r="JL104" s="259">
        <f t="shared" ca="1" si="307"/>
        <v>102</v>
      </c>
      <c r="JM104" s="259">
        <f t="shared" ref="JM104:JM167" ca="1" si="353">IF(AND(EY104&gt;0,EY104&gt;EY105,EY105&lt;&gt;0),1,0)</f>
        <v>0</v>
      </c>
    </row>
    <row r="105" spans="1:273">
      <c r="A105" s="259" t="str">
        <f t="shared" si="211"/>
        <v>16.01</v>
      </c>
      <c r="B105" s="259" t="str">
        <f t="shared" si="212"/>
        <v>RATEI PASSIVI</v>
      </c>
      <c r="C105" s="259" t="str">
        <f t="shared" si="213"/>
        <v>F</v>
      </c>
      <c r="D105" s="259" t="str">
        <f t="shared" si="214"/>
        <v>A</v>
      </c>
      <c r="E105" s="259" t="str">
        <f t="shared" si="215"/>
        <v>RATEI, FONDI RISCHI E ONERI</v>
      </c>
      <c r="F105" s="259" t="str">
        <f t="shared" si="216"/>
        <v>SP AVERE</v>
      </c>
      <c r="G105" s="259">
        <f t="shared" ca="1" si="217"/>
        <v>0</v>
      </c>
      <c r="H105" s="259">
        <f t="shared" ca="1" si="218"/>
        <v>0</v>
      </c>
      <c r="I105" s="259">
        <f t="shared" ca="1" si="219"/>
        <v>1</v>
      </c>
      <c r="K105" s="259" t="str">
        <f ca="1">IFERROR(IF($I$1=1,INDEX($AA$3:$AS$220,MATCH(ROWS($K$3:K105),$AQ$3:$AQ$220,0),1),IF($I$1=2,INDEX($AA$3:$AS$220,MATCH(ROWS($K$3:K105),$AR$3:$AR$220,0),1),IF($I$1=3,INDEX($AA$3:$AS$220,MATCH(ROWS($K$3:K105),$AS$3:$AS$220,0),1),""))),"")</f>
        <v>PREMI SU VENDITE</v>
      </c>
      <c r="L105" s="259">
        <f ca="1">IF(AND($L$1="VISUALIZZA TUTTI I CONTI",K105&lt;&gt;""),MAX(L104:L104)+1,IFERROR(IF($J$1=1,IF(INDEX(PIANO_DEI_CONTI,MATCH($K105,DENOMINAZIONE,0),5)=$L$1,MAX($L$2:L104)+1,0),IF($J$1=2,IF(INDEX(PIANO_DEI_CONTI,MATCH($K105,DENOMINAZIONE,0),7)=$L$1,MAX($L$2:L104)+1,0))),0))</f>
        <v>103</v>
      </c>
      <c r="M105" s="259" t="str">
        <f ca="1">IFERROR(INDEX($K$3:$K$220,MATCH(ROWS($M$3:M105),$L$3:$L$220,0),1),"")</f>
        <v>PREMI SU VENDITE</v>
      </c>
      <c r="Q105" s="259" t="str">
        <f ca="1">IF(IFERROR(INDEX($O$3:$P$220,MATCH(ROWS(Q$3:Q105),$P$3:$P$220,0),1),"")=0,"",IFERROR(INDEX($O$3:$P$220,MATCH(ROWS(Q$3:Q105),$P$3:$P$220,0),1),""))</f>
        <v/>
      </c>
      <c r="R105" s="259" t="str">
        <f t="shared" ca="1" si="182"/>
        <v/>
      </c>
      <c r="S105" s="259">
        <f ca="1">IF(IFERROR(MATCH(R105,DENOMINAZIONE_GIORNALE,0),0)&gt;0,MAX(S$2:S104)+1,0)</f>
        <v>0</v>
      </c>
      <c r="T105" s="259" t="str">
        <f ca="1">IFERROR(INDEX($R$3:$S$220,MATCH(ROWS($T$3:T105),$S$3:$S$220,0),1),"")</f>
        <v/>
      </c>
      <c r="U105" s="259">
        <f t="shared" ca="1" si="183"/>
        <v>0</v>
      </c>
      <c r="V105" s="259">
        <f ca="1">IF(IF(U105&lt;&gt;0,MAX($V$2:V104)+1,0)=0,0,IF(U105&lt;&gt;0,MAX($V$2:V104)+1,0))</f>
        <v>0</v>
      </c>
      <c r="W105" s="259" t="str">
        <f t="shared" si="220"/>
        <v>16.01</v>
      </c>
      <c r="X105" s="259" t="str">
        <f t="shared" si="221"/>
        <v>RATEI PASSIVI</v>
      </c>
      <c r="Y105" s="259">
        <f>IF(W105="",0,MAX($Y$2:Y104)+1)</f>
        <v>88</v>
      </c>
      <c r="Z105" s="259" t="str">
        <f>IFERROR(INDEX($W$3:$Y$220,MATCH(ROWS($Z$2:Z104),$Y$3:$Y$220,0),1),"")</f>
        <v>20.02</v>
      </c>
      <c r="AA105" s="259" t="str">
        <f t="shared" si="222"/>
        <v>MERCI C/VENDITE ON LINE</v>
      </c>
      <c r="AB105" s="259" t="str">
        <f t="shared" si="223"/>
        <v>E</v>
      </c>
      <c r="AC105" s="259" t="str">
        <f t="shared" si="224"/>
        <v>A</v>
      </c>
      <c r="AD105" s="259" t="str">
        <f t="shared" si="225"/>
        <v>RICAVI D'ESERCIZIO</v>
      </c>
      <c r="AE105" s="259" t="str">
        <f t="shared" si="226"/>
        <v>SE AVERE</v>
      </c>
      <c r="AF105" s="259" t="str">
        <f t="shared" si="227"/>
        <v>VALORE DELLA PRODUZIONE</v>
      </c>
      <c r="AG105" s="259">
        <f t="shared" ca="1" si="228"/>
        <v>1</v>
      </c>
      <c r="AH105" s="259">
        <f t="shared" ca="1" si="229"/>
        <v>1</v>
      </c>
      <c r="AI105" s="259">
        <f t="shared" ca="1" si="230"/>
        <v>1</v>
      </c>
      <c r="AJ105" s="259" t="str">
        <f t="shared" si="231"/>
        <v>20</v>
      </c>
      <c r="AK105" s="259" t="str">
        <f t="shared" si="232"/>
        <v/>
      </c>
      <c r="AL105" s="259">
        <f>IF(AK105&lt;&gt;"",MAX($AL$2:AL104)+1,0)</f>
        <v>0</v>
      </c>
      <c r="AM105" s="259" t="str">
        <f>IFERROR(INDEX($AK$3:$AL$220,MATCH(ROWS($AM$3:AM105),$AL$3:$AL$220,0),1),"")</f>
        <v/>
      </c>
      <c r="AN105" s="259" t="str">
        <f t="shared" si="233"/>
        <v/>
      </c>
      <c r="AO105" s="259" t="str">
        <f t="shared" si="234"/>
        <v/>
      </c>
      <c r="AP105" s="259" t="str">
        <f t="shared" si="235"/>
        <v>VALORE DELLA PRODUZIONE</v>
      </c>
      <c r="AQ105" s="259">
        <f ca="1">IF(OR(AG105=0,AG105=""),0,MAX(AQ$2:AQ104)+1)</f>
        <v>47</v>
      </c>
      <c r="AR105" s="259">
        <f ca="1">IF(OR(AH105=0,AH105=""),0,MAX(AR$2:AR104)+1)</f>
        <v>69</v>
      </c>
      <c r="AS105" s="259">
        <f ca="1">IF(OR(AI105=0,AI105=""),0,MAX(AS$2:AS104)+1)</f>
        <v>99</v>
      </c>
      <c r="AT105" s="259" t="str">
        <f ca="1">IFERROR(INDEX($AD$3:$AS$220,MATCH(ROWS(AT$3:AT105),AQ$3:AQ$220,0),1),"")</f>
        <v/>
      </c>
      <c r="AU105" s="259" t="str">
        <f ca="1">IFERROR(INDEX($AD$3:$AS$220,MATCH(ROWS(AU$3:AU105),AR$3:AR$220,0),1),"")</f>
        <v>COSTI D'ESERCIZIO</v>
      </c>
      <c r="AV105" s="259" t="str">
        <f ca="1">IFERROR(INDEX($AD$3:$AS$220,MATCH(ROWS(AV$3:AV105),AS$3:AS$220,0),1),"")</f>
        <v>RETTIFICHE RICAVI D'ESERCIZIO</v>
      </c>
      <c r="AW105" s="259" t="str">
        <f ca="1">IFERROR(INDEX($AP$3:$AS$220,MATCH(ROWS(AW$3:AW105),AQ$3:AQ$220,0),1),"")</f>
        <v/>
      </c>
      <c r="AX105" s="259" t="str">
        <f ca="1">IFERROR(INDEX($AP$3:$AS$220,MATCH(ROWS(AX$3:AX105),AR$3:AR$220,0),1),"")</f>
        <v>COSTI PER GODIMENTO BENI DI TERZI</v>
      </c>
      <c r="AY105" s="259" t="str">
        <f ca="1">IFERROR(INDEX($AP$3:$AS$220,MATCH(ROWS(AY$3:AY105),AS$3:AS$220,0),1),"")</f>
        <v>VALORE DELLA PRODUZIONE</v>
      </c>
      <c r="AZ105" s="259" t="str">
        <f t="shared" si="339"/>
        <v>3 V.I.</v>
      </c>
      <c r="BA105" s="259">
        <f t="shared" ca="1" si="338"/>
        <v>0</v>
      </c>
      <c r="BB105" s="259">
        <f t="shared" ca="1" si="340"/>
        <v>0</v>
      </c>
      <c r="BC105" s="259">
        <f t="shared" ca="1" si="341"/>
        <v>0</v>
      </c>
      <c r="BD105" s="259">
        <f t="shared" ca="1" si="342"/>
        <v>0</v>
      </c>
      <c r="BE105" s="259">
        <f t="shared" ca="1" si="343"/>
        <v>0</v>
      </c>
      <c r="BG105" s="259" t="str">
        <f t="shared" ca="1" si="185"/>
        <v/>
      </c>
      <c r="BH105" s="259">
        <f ca="1">IF(IFERROR(MATCH(BG105,DENOMINAZIONE_GIORNALE,0),0)&gt;0,MAX(BH$2:BH104)+1,0)</f>
        <v>0</v>
      </c>
      <c r="BI105" s="259" t="str">
        <f ca="1">IFERROR(INDEX($BG$3:$BH$220,MATCH(ROWS($BI$3:BI105),$BH$3:$BH$220,0),1),"")</f>
        <v/>
      </c>
      <c r="BJ105" s="259" t="str">
        <f t="shared" ca="1" si="186"/>
        <v/>
      </c>
      <c r="BK105" s="259" t="str">
        <f ca="1">IF(IF(BJ105&lt;&gt;"",MAX($BK$2:BK104)+1,0)=0,"",IF(BJ105&lt;&gt;"",MAX($BK$2:BK104)+1,0))</f>
        <v/>
      </c>
      <c r="BL105" s="259" t="str">
        <f ca="1">IFERROR(INDEX($T$3:$U$220, MATCH(ROWS(BL$3:BL105),$V$3:$V$220,0),1),"")</f>
        <v/>
      </c>
      <c r="BM105" s="259" t="str">
        <f ca="1">IFERROR(INDEX($T$3:$U$220, MATCH(ROWS(BM$3:BM105),$V$3:$V$220,0),2),"")</f>
        <v/>
      </c>
      <c r="BN105" s="259" t="str">
        <f ca="1">IF(IFERROR(INDEX($BI$3:$BJ$220,MATCH(ROWS(BN$3:BN105),$BK$3:$BK$220,0),1),"")="PATRIMONIO NETTO","",IFERROR(INDEX($BI$3:$BJ$220,MATCH(ROWS(BN$3:BN105),$BK$3:$BK$220,0),1),""))</f>
        <v/>
      </c>
      <c r="BO105" s="259" t="str">
        <f ca="1">IFERROR(INDEX($BI$3:$BJ$220,MATCH(ROWS(BO$3:BO105),$BK$3:$BK$220,0),2),"")</f>
        <v/>
      </c>
      <c r="BP105" s="259">
        <f ca="1">IF(BN105&lt;&gt;"",MAX(BP$2:$BP104)+1,0)</f>
        <v>0</v>
      </c>
      <c r="BQ105" s="259" t="str">
        <f ca="1">IFERROR(INDEX($BN$3:$BO$200,MATCH(ROWS(BQ$3:BQ105),$BP$3:$BP$220,0),1),"")</f>
        <v/>
      </c>
      <c r="BR105" s="259" t="str">
        <f ca="1">IFERROR(INDEX($BN$3:$BO$220,MATCH(ROWS(BR$3:BR105),$BP$3:$BP$220,0),2),"")</f>
        <v/>
      </c>
      <c r="BS105" s="259" t="str">
        <f ca="1">IFERROR(IF(OR(INDEX($T$3:$U$220,MATCH(ROWS(BL$3:BL105),$V$3:$V$220,0),1)="PRELEVAMENTI EXTRAGESTIONE",INDEX($T$3:$U$220,MATCH(ROWS(BL$3:BL105),$V$3:$V$220,0),1)="TITOLARE C/RITENUTE SUBITE"),"",INDEX($T$3:$U$220,MATCH(ROWS(BL$3:BL105),$V$3:$V$220,0),1)),"")</f>
        <v/>
      </c>
      <c r="BT105" s="259">
        <f t="shared" ca="1" si="238"/>
        <v>0</v>
      </c>
      <c r="BU105" s="259">
        <f ca="1">IF(BS105&lt;&gt;"",MAX(BU$2:BU104)+1,0)</f>
        <v>0</v>
      </c>
      <c r="BV105" s="259" t="str">
        <f ca="1">IFERROR(INDEX($BS$3:$BT$223,MATCH(ROWS(BV$3:BV105),$BU$3:$BU$223,0),1),"")</f>
        <v/>
      </c>
      <c r="BW105" s="259">
        <f t="shared" ca="1" si="239"/>
        <v>0</v>
      </c>
      <c r="CB105" s="259" t="str">
        <f ca="1">IFERROR(IF(OR($BB$1&lt;&gt;$BD$1,$BC$1&lt;&gt;$BE$1,$DS$231&lt;&gt;$DT$231,$DU$231&lt;&gt;$DV$231,$EO$25&lt;&gt;0,$EO$26&lt;&gt;0),INDEX($BI$3:$BK$220,MATCH(ROWS($CB$3:CB105),$BK$3:$BK$220,0),1),CONCATENATE(BQ105,BX105)),"")</f>
        <v/>
      </c>
      <c r="CC105" s="259" t="str">
        <f t="shared" ca="1" si="243"/>
        <v/>
      </c>
      <c r="CD105" s="259" t="str">
        <f t="shared" ca="1" si="187"/>
        <v/>
      </c>
      <c r="CE105" s="259">
        <f ca="1">IF(IFERROR(MATCH(CD105,DENOMINAZIONE_GIORNALE,0),0)&gt;0,MAX(CE$2:CE104)+1,0)</f>
        <v>0</v>
      </c>
      <c r="CF105" s="259" t="str">
        <f ca="1">IFERROR(INDEX($CD$3:$CE$220,MATCH(ROWS($CF$3:CF105),$CE$3:$CE$220,0),1),"")</f>
        <v/>
      </c>
      <c r="CG105" s="259">
        <f t="shared" ca="1" si="188"/>
        <v>0</v>
      </c>
      <c r="CH105" s="259" t="str">
        <f ca="1">IF(IF(CG105&lt;&gt;0,MAX($CH$2:CH104)+1,0)=0,"",IF(CG105&lt;&gt;"",MAX($CH$2:CH104)+1,0))</f>
        <v/>
      </c>
      <c r="CI105" s="259" t="str">
        <f ca="1">IFERROR(INDEX($CF$3:$CG$220,MATCH(ROWS($CI$3:CI105),$CH$3:$CH$220,0),1),"")</f>
        <v/>
      </c>
      <c r="CJ105" s="259" t="str">
        <f t="shared" ca="1" si="244"/>
        <v/>
      </c>
      <c r="CK105" s="259" t="str">
        <f t="shared" ca="1" si="189"/>
        <v>MERCI C/VENDITE ON LINE</v>
      </c>
      <c r="CL105" s="259">
        <f ca="1">IF(IFERROR(MATCH(CK105,DENOMINAZIONE_GIORNALE,0),0)&gt;0,MAX(CL$2:CL104)+1,0)</f>
        <v>0</v>
      </c>
      <c r="CM105" s="259" t="str">
        <f ca="1">IFERROR(INDEX($CK$3:$CL$220,MATCH(ROWS($CM$3:CM105),$CL$3:$CL$220,0),1),"")</f>
        <v/>
      </c>
      <c r="CN105" s="259" t="str">
        <f t="shared" ca="1" si="190"/>
        <v/>
      </c>
      <c r="CO105" s="259">
        <f ca="1">IF(IF(CN105&lt;&gt;0,MAX($CO$2:CO104)+1,0)=0,"",IF(CN105&lt;&gt;"",MAX($CO$2:CO104)+1,0))</f>
        <v>0</v>
      </c>
      <c r="CP105" s="259" t="str">
        <f ca="1">IFERROR(INDEX($CM$3:$CN$220,MATCH(ROWS(CP$3:CP105),$CO$3:$CO$220,0),1),"")</f>
        <v/>
      </c>
      <c r="CQ105" s="259" t="str">
        <f ca="1">IFERROR(INDEX($CM$3:$CN$220,MATCH(ROWS(CQ$3:CQ105),$CO$3:$CO$220,0),2),"")</f>
        <v/>
      </c>
      <c r="CS105" s="259">
        <f t="shared" ca="1" si="192"/>
        <v>0</v>
      </c>
      <c r="CT105" s="259">
        <f t="shared" ca="1" si="193"/>
        <v>0</v>
      </c>
      <c r="CU105" s="259">
        <f ca="1">IF(OR(CS105&gt;0,CT105&gt;0),MAX($CU$2:CU104)+1,0)</f>
        <v>0</v>
      </c>
      <c r="CV105" s="259" t="str">
        <f ca="1">IFERROR(INDEX(PIANO_DEI_CONTI,MATCH(ROWS($CV$3:CV105),$CU$3:$CU$200,0),2),"")</f>
        <v/>
      </c>
      <c r="CW105" s="259">
        <f ca="1">IFERROR(IF(CV105&lt;&gt;"",MAX($CW$2:CW104)+1,0),0)</f>
        <v>0</v>
      </c>
      <c r="CX105" s="259">
        <f t="shared" ca="1" si="326"/>
        <v>6</v>
      </c>
      <c r="CY105" s="259" t="str">
        <f t="shared" ca="1" si="337"/>
        <v>MASTRO</v>
      </c>
      <c r="CZ105" s="259" t="e">
        <f t="shared" ca="1" si="328"/>
        <v>#N/A</v>
      </c>
      <c r="DA105" s="259" t="str">
        <f t="shared" ca="1" si="333"/>
        <v/>
      </c>
      <c r="DB105" s="259" t="str">
        <f t="shared" ca="1" si="329"/>
        <v/>
      </c>
      <c r="DC105" s="259" t="str">
        <f t="shared" ca="1" si="330"/>
        <v/>
      </c>
      <c r="DD105" s="259" t="str">
        <f t="shared" ca="1" si="331"/>
        <v/>
      </c>
      <c r="DE105" s="259" t="str">
        <f t="shared" ca="1" si="332"/>
        <v/>
      </c>
      <c r="DF105" s="259">
        <f ca="1">IF(AND(CX105=$DE$2,$DF$2&lt;&gt;0),0,IF(AND(DB105&lt;&gt;"",OR(DB104&lt;&gt;"",DB106&lt;&gt;"")),MAX($DF$2:DF104)+1,0))</f>
        <v>0</v>
      </c>
      <c r="DG105" s="259" t="str">
        <f>IF(IF(LIBRO_GIORNALE!E13="","",IFERROR(INDEX(PIANO_DEI_CONTI,MATCH(BB105,DENOMINAZIONE,0),1),0))=0,"",IF(LIBRO_GIORNALE!E13="","",IFERROR(INDEX(PIANO_DEI_CONTI,MATCH(BB105,DENOMINAZIONE,0),1),0)))</f>
        <v/>
      </c>
      <c r="DH105" s="259">
        <f ca="1">IFERROR(IF($J$1=1,IF(INDEX(PIANO_DEI_CONTI,MATCH($K105,DENOMINAZIONE,0),5)=$DF$1,MAX($DH$2:DH104)+1,0),IF($J$1=2,IF(INDEX(PIANO_DEI_CONTI,MATCH($K105,DENOMINAZIONE,0),7)=$DF$1,MAX($DH$2:DH104)+1,0))),0)</f>
        <v>0</v>
      </c>
      <c r="DI105" s="259">
        <f ca="1">IFERROR(INDEX($K$3:$K$220,MATCH(ROWS($DI$3:DI105),$DH$3:$DH$220,0),1),0)</f>
        <v>0</v>
      </c>
      <c r="DJ105" s="259">
        <f t="shared" ca="1" si="194"/>
        <v>0</v>
      </c>
      <c r="DK105" s="259">
        <f ca="1">IF(DJ105=0,0,MAX(DK$2:DK104)+1)</f>
        <v>0</v>
      </c>
      <c r="DL105" s="259">
        <f ca="1">IFERROR(INDEX(PIANO_DEI_CONTI,MATCH(ROWS(DL$3:DL105),$DK$3:DK332,0),2),0)</f>
        <v>0</v>
      </c>
      <c r="DM105" s="259">
        <f t="shared" ca="1" si="195"/>
        <v>0</v>
      </c>
      <c r="DN105" s="259">
        <f t="shared" ca="1" si="196"/>
        <v>0</v>
      </c>
      <c r="DO105" s="259">
        <f t="shared" ca="1" si="245"/>
        <v>0</v>
      </c>
      <c r="DP105" s="259">
        <f t="shared" ca="1" si="246"/>
        <v>0</v>
      </c>
      <c r="DQ105" s="259">
        <f ca="1">IF(OR($DQ$1="TOTALI",$DQ$1="TOTALI ED ECCEDENZE"),IF(OR(DM105&gt;0,DN105&gt;0),MAX(DQ$2:DQ104)+1,0),IF($DQ$1="ECCEDENZE",IF(OR(DO105&gt;0,DP105&gt;0),MAX(DQ$2:DQ104)+1,0),""))</f>
        <v>0</v>
      </c>
      <c r="DR105" s="259" t="str">
        <f ca="1">IFERROR(INDEX($DL$3:$DQ$230,MATCH(ROWS(DR$3:DR105),$DQ$3:$DQ$230,0),1),"")</f>
        <v/>
      </c>
      <c r="DS105" s="259" t="str">
        <f t="shared" ca="1" si="247"/>
        <v/>
      </c>
      <c r="DT105" s="259" t="str">
        <f t="shared" ca="1" si="248"/>
        <v/>
      </c>
      <c r="DU105" s="259" t="str">
        <f t="shared" ca="1" si="249"/>
        <v/>
      </c>
      <c r="DV105" s="259" t="str">
        <f t="shared" ca="1" si="250"/>
        <v/>
      </c>
      <c r="DW105" s="259">
        <f t="shared" ca="1" si="251"/>
        <v>0</v>
      </c>
      <c r="DX105" s="259" t="str">
        <f t="shared" ca="1" si="252"/>
        <v/>
      </c>
      <c r="DY105" s="259" t="str">
        <f t="shared" ca="1" si="253"/>
        <v/>
      </c>
      <c r="DZ105" s="259" t="str">
        <f t="shared" ca="1" si="254"/>
        <v/>
      </c>
      <c r="EA105" s="259">
        <f t="shared" ca="1" si="255"/>
        <v>103</v>
      </c>
      <c r="EB105" s="259" t="s">
        <v>363</v>
      </c>
      <c r="ED105" s="259">
        <f t="shared" ca="1" si="197"/>
        <v>0</v>
      </c>
      <c r="EH105" s="259" t="str">
        <f t="shared" ca="1" si="256"/>
        <v/>
      </c>
      <c r="EI105" s="260" t="b">
        <f t="shared" ca="1" si="310"/>
        <v>0</v>
      </c>
      <c r="EJ105" s="260" t="b">
        <f t="shared" ca="1" si="311"/>
        <v>0</v>
      </c>
      <c r="EK105" s="260" t="b">
        <f t="shared" ca="1" si="312"/>
        <v>1</v>
      </c>
      <c r="EL105" s="259">
        <f t="shared" si="257"/>
        <v>103</v>
      </c>
      <c r="EM105" s="259">
        <f ca="1">IF(AND(BA105&gt;0,BA105&lt;=$EM$1),MAX($EM$2:EM104)+1,0)</f>
        <v>0</v>
      </c>
      <c r="EN105" s="259">
        <f t="shared" ca="1" si="258"/>
        <v>105</v>
      </c>
      <c r="EP105" s="259" t="str">
        <f t="shared" ca="1" si="200"/>
        <v/>
      </c>
      <c r="EQ105" s="259">
        <f t="shared" ca="1" si="201"/>
        <v>0</v>
      </c>
      <c r="ER105" s="259">
        <f ca="1">IF(ISNA(EQ105),MAX(ER$2:ER104)+1,0)</f>
        <v>0</v>
      </c>
      <c r="ES105" s="259" t="str">
        <f t="shared" ca="1" si="259"/>
        <v/>
      </c>
      <c r="ET105" s="259" t="str">
        <f ca="1">IFERROR(UPPER(INDEX($ER$3:$ES$500,MATCH(ROWS(ET$3:ET105),$ER$3:$ER$500,0),2)),"")</f>
        <v/>
      </c>
      <c r="EW105" s="259">
        <f t="shared" ca="1" si="344"/>
        <v>1</v>
      </c>
      <c r="EX105" s="259">
        <v>3</v>
      </c>
      <c r="EY105" s="259">
        <f t="shared" ca="1" si="345"/>
        <v>0</v>
      </c>
      <c r="EZ105" s="259">
        <f t="shared" ca="1" si="346"/>
        <v>0</v>
      </c>
      <c r="FA105" s="259">
        <f t="shared" ca="1" si="347"/>
        <v>0</v>
      </c>
      <c r="FB105" s="259">
        <f t="shared" ca="1" si="348"/>
        <v>0</v>
      </c>
      <c r="FC105" s="259">
        <f t="shared" ca="1" si="349"/>
        <v>0</v>
      </c>
      <c r="FD105" s="259">
        <f t="shared" ca="1" si="202"/>
        <v>0</v>
      </c>
      <c r="FE105" s="259" t="str">
        <f t="shared" ca="1" si="203"/>
        <v/>
      </c>
      <c r="FF105" s="259" t="str">
        <f t="shared" ca="1" si="350"/>
        <v/>
      </c>
      <c r="FG105" s="259" t="str">
        <f t="shared" si="335"/>
        <v/>
      </c>
      <c r="FH105" s="259">
        <f t="shared" ca="1" si="334"/>
        <v>0</v>
      </c>
      <c r="FI105" s="259">
        <f t="shared" ca="1" si="204"/>
        <v>0</v>
      </c>
      <c r="FJ105" s="259">
        <f t="shared" ca="1" si="336"/>
        <v>0</v>
      </c>
      <c r="FK105" s="259">
        <f t="shared" ca="1" si="267"/>
        <v>0</v>
      </c>
      <c r="FL105" s="259">
        <f ca="1">IF(OR(FJ105&gt;0,FK105&gt;0),MAX($FL$2:FL104)+1,0)</f>
        <v>0</v>
      </c>
      <c r="FM105" s="259">
        <f t="shared" ca="1" si="205"/>
        <v>0</v>
      </c>
      <c r="FN105" s="259">
        <f ca="1">IF(FM105&lt;0,MAX($FN$2:FN104)+1,0)</f>
        <v>0</v>
      </c>
      <c r="FO105" s="259" t="str">
        <f t="shared" ca="1" si="268"/>
        <v/>
      </c>
      <c r="FP105" s="259" t="str">
        <f ca="1">IFERROR(INDEX($FN$3:$FO$400,MATCH(ROWS($FP$3:FP105),$FN$3:$FN$400,0),2),"")</f>
        <v/>
      </c>
      <c r="FQ105" s="259">
        <f>IF(AE105="SE AVERE",MAX($FQ$2:FQ104)+1,"")</f>
        <v>2</v>
      </c>
      <c r="FR105" s="259" t="str">
        <f>IF(AE105="SE DARE",MAX($FR$2:FR104)+1,"")</f>
        <v/>
      </c>
      <c r="FS105" s="259" t="str">
        <f ca="1">IF(AND(AE105="SP DARE",AA105&lt;&gt;$FS$1,AA105&lt;&gt;$FT$1),MAX($FS$2:FS104)+1,IF(AND(GQ105="SP DARE",AA105&lt;&gt;$FS$1,AA105&lt;&gt;$FT$1),MAX($FS$2:FS104)+1,""))</f>
        <v/>
      </c>
      <c r="FT105" s="259" t="str">
        <f ca="1">IF(AND(AE105="SP AVERE",AA105&lt;&gt;$FU$1),MAX($FT$2:FT104)+1,IF(AND(GQ105="SP AVERE",AA105&lt;&gt;$FU$1),MAX($FT$2:FT104)+1,""))</f>
        <v/>
      </c>
      <c r="FU105" s="259">
        <f t="shared" ca="1" si="269"/>
        <v>2</v>
      </c>
      <c r="FV105" s="259" t="str">
        <f t="shared" si="270"/>
        <v>MERCI C/VENDITE ON LINE</v>
      </c>
      <c r="FW105" s="259" t="str">
        <f ca="1">IFERROR(INDEX($FU$3:$FV$500,MATCH(ROWS($FW$3:FW105),$FU$3:$FU$500,0),2),0)</f>
        <v>MUTUI ATTIVI</v>
      </c>
      <c r="FX105" s="259">
        <f t="shared" ca="1" si="271"/>
        <v>103</v>
      </c>
      <c r="FY105" s="259">
        <f t="shared" ca="1" si="272"/>
        <v>0</v>
      </c>
      <c r="FZ105" s="259">
        <f ca="1">IF(FY105&gt;0,MAX($FZ$2:FZ104)+1,0)</f>
        <v>0</v>
      </c>
      <c r="GA105" s="259">
        <f ca="1">IFERROR(INDEX($FY$3:$FZ$500,MATCH(ROWS($GA$3:GA105),$FZ$3:$FZ$500,0),1),0)</f>
        <v>0</v>
      </c>
      <c r="GC105" s="259">
        <f t="shared" ca="1" si="273"/>
        <v>103</v>
      </c>
      <c r="GD105" s="259" t="str">
        <f t="shared" ca="1" si="274"/>
        <v>MUTUI ATTIVI</v>
      </c>
      <c r="GG105" s="259">
        <f t="shared" ca="1" si="275"/>
        <v>0</v>
      </c>
      <c r="GH105" s="259">
        <f t="shared" ca="1" si="276"/>
        <v>0</v>
      </c>
      <c r="GI105" s="259">
        <f t="shared" ca="1" si="277"/>
        <v>0</v>
      </c>
      <c r="GJ105" s="259">
        <f t="shared" ca="1" si="278"/>
        <v>0</v>
      </c>
      <c r="GK105" s="259">
        <f t="shared" ca="1" si="279"/>
        <v>0</v>
      </c>
      <c r="GL105" s="259">
        <f t="shared" ca="1" si="280"/>
        <v>0</v>
      </c>
      <c r="GM105" s="259">
        <f ca="1">IF(OR(GK105&gt;0,GL105&gt;0),MAX($GM$2:GM104)+1,0)</f>
        <v>0</v>
      </c>
      <c r="GN105" s="259" t="str">
        <f ca="1">IFERROR(INDEX($GD$3:$GM$400,MATCH(ROWS($GN$3:GN105),$GM$3:$GM$400,0),1),"")</f>
        <v/>
      </c>
      <c r="GO105" s="259" t="str">
        <f ca="1">IFERROR(INDEX($GD$3:$GM$400,MATCH(ROWS($GO$3:GO105),$GM$3:$GM$400,0),8),"")</f>
        <v/>
      </c>
      <c r="GP105" s="259" t="str">
        <f ca="1">IFERROR(INDEX($GD$3:$GM$400,MATCH(ROWS($GP$3:GP105),$GM$3:$GM$400,0),9),"")</f>
        <v/>
      </c>
      <c r="GQ105" s="259">
        <f t="shared" ca="1" si="206"/>
        <v>0</v>
      </c>
      <c r="GR105" s="259">
        <f t="shared" ca="1" si="281"/>
        <v>0</v>
      </c>
      <c r="GS105" s="259" t="str">
        <f t="shared" ca="1" si="282"/>
        <v>chiusura del conto</v>
      </c>
      <c r="GT105" s="259" t="str">
        <f ca="1">IFERROR(INDEX($GD$3:$GS$400,MATCH(ROWS($GT$3:GT105),$GM$3:$GM$400,0),16),"")</f>
        <v/>
      </c>
      <c r="GU105" s="259">
        <f ca="1">IF(GQ105&lt;&gt;0,MAX($GU$2:$GU104)+1,0)</f>
        <v>0</v>
      </c>
      <c r="GV105" s="259">
        <f t="shared" ca="1" si="283"/>
        <v>0</v>
      </c>
      <c r="GW105" s="259" t="str">
        <f ca="1">IF(AND(IFERROR(INDEX($GU$3:$GV$400,MATCH(ROWS($GW$3:GW105),$GU$3:$GU$400,0),2),"")&lt;&gt;"",GW106&lt;&gt;""),CONCATENATE(IFERROR(INDEX($GU$3:$GV$400,MATCH(ROWS($GW$3:GW105),$GU$3:$GU$400,0),2),"")," - "),IFERROR(INDEX($GU$3:$GV$400,MATCH(ROWS($GW$3:GW105),$GU$3:$GU$400,0),2),""))</f>
        <v/>
      </c>
      <c r="GX105" s="259">
        <f ca="1">IF(OR(GN105="IVA NS/CREDITO",GN105="IVA NS/DEBITO",GN105="IVA C/ACCONTO",GN105="IMPOSTE C/ACCONTO"),MAX($GX$2:GX104)+1,0)</f>
        <v>0</v>
      </c>
      <c r="GY105" s="259" t="str">
        <f ca="1">IF(AND(IFERROR(INDEX($GN$3:$GX$200,MATCH(ROWS($GY$3:GY105),$GX$3:$GX$200,0),1),"")&lt;&gt;"",GY106&lt;&gt;""),CONCATENATE(IFERROR(INDEX($GN$3:$GX$200,MATCH(ROWS($GY$3:GY105),$GX$3:$GX$200,0),1),"")," - "),IFERROR(INDEX($GN$3:$GX$200,MATCH(ROWS($GY$3:GY105),$GX$3:$GX$200,0),1),""))</f>
        <v/>
      </c>
      <c r="GZ105" s="259" t="s">
        <v>127</v>
      </c>
      <c r="HA105" s="259" t="s">
        <v>125</v>
      </c>
      <c r="HB105" s="269" t="s">
        <v>257</v>
      </c>
      <c r="HC105" s="269" t="s">
        <v>211</v>
      </c>
      <c r="HD105" s="269" t="s">
        <v>207</v>
      </c>
      <c r="HE105" s="269" t="s">
        <v>212</v>
      </c>
      <c r="HV105" s="259" t="str">
        <f ca="1">CONCATENATE(IFERROR(INDEX($HS$3:$HT$102,MATCH(ROWS($HV$3:HV105),$HT$3:$HT$102,0),1),""),HR105)</f>
        <v/>
      </c>
      <c r="IC105" s="259">
        <f ca="1">IFERROR(INDEX(PIANO_DEI_CONTI,MATCH(ROWS(DL$3:DL105),$DK$3:DK332,0),2),0)</f>
        <v>0</v>
      </c>
      <c r="ID105" s="259">
        <f t="shared" ca="1" si="288"/>
        <v>0</v>
      </c>
      <c r="IE105" s="259">
        <f t="shared" ca="1" si="289"/>
        <v>0</v>
      </c>
      <c r="IF105" s="259">
        <f t="shared" ca="1" si="290"/>
        <v>0</v>
      </c>
      <c r="IG105" s="259">
        <f t="shared" ca="1" si="324"/>
        <v>0</v>
      </c>
      <c r="IH105" s="259">
        <f ca="1">IF(IG105&lt;&gt;0,MAX($IH$35:IH104)+1,0)</f>
        <v>0</v>
      </c>
      <c r="II105" s="259">
        <f>IF(AD105="costi pluriennali",MAX($II$2:II104)+1,0)</f>
        <v>0</v>
      </c>
      <c r="IJ105" s="259">
        <f>IF($AD105="rettifiche costi pluriennali",MAX($IJ$2:IJ104)+1,0)</f>
        <v>0</v>
      </c>
      <c r="IK105" s="259">
        <f t="shared" si="291"/>
        <v>0</v>
      </c>
      <c r="IL105" s="259" t="str">
        <f t="shared" si="292"/>
        <v/>
      </c>
      <c r="IM105" s="259">
        <f t="shared" ca="1" si="293"/>
        <v>0</v>
      </c>
      <c r="IN105" s="259">
        <f t="shared" ca="1" si="313"/>
        <v>0</v>
      </c>
      <c r="IO105" s="259">
        <f>SUMIFS($IM$3:$IM$200,$IK$3:$IK$200,ROWS($IO$3:IO105))-SUMIFS($IN$3:$IN$200,$IK$3:$IK$200,ROWS($IO$3:IO105))</f>
        <v>0</v>
      </c>
      <c r="IP105" s="259" t="str">
        <f>IF(IO105&lt;0,INDEX($IJ$3:$IL$200,MATCH(ROWS($IP$3:IP105),$IJ$3:$IJ$200,0),3),"")</f>
        <v/>
      </c>
      <c r="IQ105" s="259">
        <f>IF(IP105&lt;&gt;"",MAX($IQ$2:IQ104)+1,0)</f>
        <v>0</v>
      </c>
      <c r="IR105" s="259" t="str">
        <f ca="1">IFERROR(INDEX($IP$3:$IQ$200,MATCH(ROWS($IR$3:IR105),$IQ$3:$IQ$200,0),1),"")</f>
        <v/>
      </c>
      <c r="IS105" s="259" t="str">
        <f t="shared" ca="1" si="294"/>
        <v/>
      </c>
      <c r="IT105" s="259" t="str">
        <f t="shared" ca="1" si="295"/>
        <v/>
      </c>
      <c r="IU105" s="259" t="str">
        <f t="shared" ca="1" si="296"/>
        <v/>
      </c>
      <c r="IV105" s="259" t="str">
        <f t="shared" ca="1" si="297"/>
        <v/>
      </c>
      <c r="IW105" s="259" t="str">
        <f t="shared" ca="1" si="298"/>
        <v/>
      </c>
      <c r="IX105" s="259" t="str">
        <f t="shared" ca="1" si="299"/>
        <v/>
      </c>
      <c r="IY105" s="259" t="str">
        <f t="shared" ca="1" si="300"/>
        <v/>
      </c>
      <c r="IZ105" s="259" t="str">
        <f t="shared" ca="1" si="301"/>
        <v/>
      </c>
      <c r="JA105" s="259" t="str">
        <f t="shared" ca="1" si="302"/>
        <v/>
      </c>
      <c r="JB105" s="259">
        <f t="shared" ca="1" si="210"/>
        <v>0</v>
      </c>
      <c r="JC105" s="259">
        <f t="shared" ca="1" si="351"/>
        <v>0</v>
      </c>
      <c r="JD105" s="259">
        <f t="shared" ca="1" si="352"/>
        <v>0</v>
      </c>
      <c r="JE105" s="259">
        <f ca="1">IFERROR(INDEX(LIBRO_GIORNALE!$N$11:$O$408,MATCH(ROWS($JE$2:JE104),LIBRO_GIORNALE!$O$11:$O$408,0),1),0)</f>
        <v>0</v>
      </c>
      <c r="JF105" s="259" t="str">
        <f t="shared" ca="1" si="304"/>
        <v>0</v>
      </c>
      <c r="JG105" s="259">
        <f t="shared" ca="1" si="305"/>
        <v>0</v>
      </c>
      <c r="JH105" s="259">
        <f ca="1">IF(JJ105&gt;0,0,MAX($JH$2:JH104)+1)</f>
        <v>103</v>
      </c>
      <c r="JI105" s="259">
        <f ca="1">IF(JG105&gt;0,MAX($JI$2:JI104)+1,0)</f>
        <v>0</v>
      </c>
      <c r="JJ105" s="259">
        <f ca="1">IFERROR(INDEX($JG$3:$JI$124,MATCH(ROWS($JJ$3:JJ105),$JI$3:$JI$124,0),1),0)</f>
        <v>0</v>
      </c>
      <c r="JK105" s="259">
        <f t="shared" ca="1" si="306"/>
        <v>0</v>
      </c>
      <c r="JL105" s="259">
        <f t="shared" ca="1" si="307"/>
        <v>103</v>
      </c>
      <c r="JM105" s="259">
        <f t="shared" ca="1" si="353"/>
        <v>0</v>
      </c>
    </row>
    <row r="106" spans="1:273">
      <c r="A106" s="259" t="str">
        <f t="shared" si="211"/>
        <v>16.02</v>
      </c>
      <c r="B106" s="259" t="str">
        <f t="shared" si="212"/>
        <v>RISCONTI PASSIVI</v>
      </c>
      <c r="C106" s="259" t="str">
        <f t="shared" si="213"/>
        <v>E</v>
      </c>
      <c r="D106" s="259" t="str">
        <f t="shared" si="214"/>
        <v>A</v>
      </c>
      <c r="E106" s="259" t="str">
        <f t="shared" si="215"/>
        <v>RICAVI SOSPESI</v>
      </c>
      <c r="F106" s="259" t="str">
        <f t="shared" si="216"/>
        <v>SP AVERE</v>
      </c>
      <c r="G106" s="259">
        <f t="shared" ca="1" si="217"/>
        <v>0</v>
      </c>
      <c r="H106" s="259">
        <f t="shared" ca="1" si="218"/>
        <v>0</v>
      </c>
      <c r="I106" s="259">
        <f t="shared" ca="1" si="219"/>
        <v>1</v>
      </c>
      <c r="K106" s="259" t="str">
        <f ca="1">IFERROR(IF($I$1=1,INDEX($AA$3:$AS$220,MATCH(ROWS($K$3:K106),$AQ$3:$AQ$220,0),1),IF($I$1=2,INDEX($AA$3:$AS$220,MATCH(ROWS($K$3:K106),$AR$3:$AR$220,0),1),IF($I$1=3,INDEX($AA$3:$AS$220,MATCH(ROWS($K$3:K106),$AS$3:$AS$220,0),1),""))),"")</f>
        <v>FITTI ATTIVI</v>
      </c>
      <c r="L106" s="259">
        <f ca="1">IF(AND($L$1="VISUALIZZA TUTTI I CONTI",K106&lt;&gt;""),MAX(L105:L105)+1,IFERROR(IF($J$1=1,IF(INDEX(PIANO_DEI_CONTI,MATCH($K106,DENOMINAZIONE,0),5)=$L$1,MAX($L$2:L105)+1,0),IF($J$1=2,IF(INDEX(PIANO_DEI_CONTI,MATCH($K106,DENOMINAZIONE,0),7)=$L$1,MAX($L$2:L105)+1,0))),0))</f>
        <v>104</v>
      </c>
      <c r="M106" s="259" t="str">
        <f ca="1">IFERROR(INDEX($K$3:$K$220,MATCH(ROWS($M$3:M106),$L$3:$L$220,0),1),"")</f>
        <v>FITTI ATTIVI</v>
      </c>
      <c r="Q106" s="259" t="str">
        <f ca="1">IF(IFERROR(INDEX($O$3:$P$220,MATCH(ROWS(Q$3:Q106),$P$3:$P$220,0),1),"")=0,"",IFERROR(INDEX($O$3:$P$220,MATCH(ROWS(Q$3:Q106),$P$3:$P$220,0),1),""))</f>
        <v/>
      </c>
      <c r="R106" s="259" t="str">
        <f t="shared" ca="1" si="182"/>
        <v/>
      </c>
      <c r="S106" s="259">
        <f ca="1">IF(IFERROR(MATCH(R106,DENOMINAZIONE_GIORNALE,0),0)&gt;0,MAX(S$2:S105)+1,0)</f>
        <v>0</v>
      </c>
      <c r="T106" s="259" t="str">
        <f ca="1">IFERROR(INDEX($R$3:$S$220,MATCH(ROWS($T$3:T106),$S$3:$S$220,0),1),"")</f>
        <v/>
      </c>
      <c r="U106" s="259">
        <f t="shared" ca="1" si="183"/>
        <v>0</v>
      </c>
      <c r="V106" s="259">
        <f ca="1">IF(IF(U106&lt;&gt;0,MAX($V$2:V105)+1,0)=0,0,IF(U106&lt;&gt;0,MAX($V$2:V105)+1,0))</f>
        <v>0</v>
      </c>
      <c r="W106" s="259" t="str">
        <f t="shared" si="220"/>
        <v>16.02</v>
      </c>
      <c r="X106" s="259" t="str">
        <f t="shared" si="221"/>
        <v>RISCONTI PASSIVI</v>
      </c>
      <c r="Y106" s="259">
        <f>IF(W106="",0,MAX($Y$2:Y105)+1)</f>
        <v>89</v>
      </c>
      <c r="Z106" s="259" t="str">
        <f>IFERROR(INDEX($W$3:$Y$220,MATCH(ROWS($Z$2:Z105),$Y$3:$Y$220,0),1),"")</f>
        <v>20.03</v>
      </c>
      <c r="AA106" s="259" t="str">
        <f t="shared" si="222"/>
        <v>SERVIZI ON LINE</v>
      </c>
      <c r="AB106" s="259" t="str">
        <f t="shared" si="223"/>
        <v>E</v>
      </c>
      <c r="AC106" s="259" t="str">
        <f t="shared" si="224"/>
        <v>A</v>
      </c>
      <c r="AD106" s="259" t="str">
        <f t="shared" si="225"/>
        <v>RICAVI D'ESERCIZIO</v>
      </c>
      <c r="AE106" s="259" t="str">
        <f t="shared" si="226"/>
        <v>SE AVERE</v>
      </c>
      <c r="AF106" s="259" t="str">
        <f t="shared" si="227"/>
        <v>VALORE DELLA PRODUZIONE</v>
      </c>
      <c r="AG106" s="259">
        <f t="shared" ca="1" si="228"/>
        <v>1</v>
      </c>
      <c r="AH106" s="259">
        <f t="shared" ca="1" si="229"/>
        <v>1</v>
      </c>
      <c r="AI106" s="259">
        <f t="shared" ca="1" si="230"/>
        <v>1</v>
      </c>
      <c r="AJ106" s="259" t="str">
        <f t="shared" si="231"/>
        <v>20</v>
      </c>
      <c r="AK106" s="259" t="str">
        <f t="shared" si="232"/>
        <v/>
      </c>
      <c r="AL106" s="259">
        <f>IF(AK106&lt;&gt;"",MAX($AL$2:AL105)+1,0)</f>
        <v>0</v>
      </c>
      <c r="AM106" s="259" t="str">
        <f>IFERROR(INDEX($AK$3:$AL$220,MATCH(ROWS($AM$3:AM106),$AL$3:$AL$220,0),1),"")</f>
        <v/>
      </c>
      <c r="AN106" s="259" t="str">
        <f t="shared" si="233"/>
        <v/>
      </c>
      <c r="AO106" s="259" t="str">
        <f t="shared" si="234"/>
        <v/>
      </c>
      <c r="AP106" s="259" t="str">
        <f t="shared" si="235"/>
        <v>VALORE DELLA PRODUZIONE</v>
      </c>
      <c r="AQ106" s="259">
        <f ca="1">IF(OR(AG106=0,AG106=""),0,MAX(AQ$2:AQ105)+1)</f>
        <v>48</v>
      </c>
      <c r="AR106" s="259">
        <f ca="1">IF(OR(AH106=0,AH106=""),0,MAX(AR$2:AR105)+1)</f>
        <v>70</v>
      </c>
      <c r="AS106" s="259">
        <f ca="1">IF(OR(AI106=0,AI106=""),0,MAX(AS$2:AS105)+1)</f>
        <v>100</v>
      </c>
      <c r="AT106" s="259" t="str">
        <f ca="1">IFERROR(INDEX($AD$3:$AS$220,MATCH(ROWS(AT$3:AT106),AQ$3:AQ$220,0),1),"")</f>
        <v/>
      </c>
      <c r="AU106" s="259" t="str">
        <f ca="1">IFERROR(INDEX($AD$3:$AS$220,MATCH(ROWS(AU$3:AU106),AR$3:AR$220,0),1),"")</f>
        <v>COSTI D'ESERCIZIO</v>
      </c>
      <c r="AV106" s="259" t="str">
        <f ca="1">IFERROR(INDEX($AD$3:$AS$220,MATCH(ROWS(AV$3:AV106),AS$3:AS$220,0),1),"")</f>
        <v>RICAVI D'ESERCIZIO</v>
      </c>
      <c r="AW106" s="259" t="str">
        <f ca="1">IFERROR(INDEX($AP$3:$AS$220,MATCH(ROWS(AW$3:AW106),AQ$3:AQ$220,0),1),"")</f>
        <v/>
      </c>
      <c r="AX106" s="259" t="str">
        <f ca="1">IFERROR(INDEX($AP$3:$AS$220,MATCH(ROWS(AX$3:AX106),AR$3:AR$220,0),1),"")</f>
        <v>COSTI PER GODIMENTO BENI DI TERZI</v>
      </c>
      <c r="AY106" s="259" t="str">
        <f ca="1">IFERROR(INDEX($AP$3:$AS$220,MATCH(ROWS(AY$3:AY106),AS$3:AS$220,0),1),"")</f>
        <v>VALORE DELLA PRODUZIONE</v>
      </c>
      <c r="AZ106" s="259" t="str">
        <f t="shared" si="339"/>
        <v>4 V.I.</v>
      </c>
      <c r="BA106" s="259">
        <f t="shared" ca="1" si="338"/>
        <v>0</v>
      </c>
      <c r="BB106" s="259">
        <f t="shared" ca="1" si="340"/>
        <v>0</v>
      </c>
      <c r="BC106" s="259">
        <f t="shared" ca="1" si="341"/>
        <v>0</v>
      </c>
      <c r="BD106" s="259">
        <f t="shared" ca="1" si="342"/>
        <v>0</v>
      </c>
      <c r="BE106" s="259">
        <f t="shared" ca="1" si="343"/>
        <v>0</v>
      </c>
      <c r="BG106" s="259" t="str">
        <f t="shared" ca="1" si="185"/>
        <v/>
      </c>
      <c r="BH106" s="259">
        <f ca="1">IF(IFERROR(MATCH(BG106,DENOMINAZIONE_GIORNALE,0),0)&gt;0,MAX(BH$2:BH105)+1,0)</f>
        <v>0</v>
      </c>
      <c r="BI106" s="259" t="str">
        <f ca="1">IFERROR(INDEX($BG$3:$BH$220,MATCH(ROWS($BI$3:BI106),$BH$3:$BH$220,0),1),"")</f>
        <v/>
      </c>
      <c r="BJ106" s="259" t="str">
        <f t="shared" ca="1" si="186"/>
        <v/>
      </c>
      <c r="BK106" s="259" t="str">
        <f ca="1">IF(IF(BJ106&lt;&gt;"",MAX($BK$2:BK105)+1,0)=0,"",IF(BJ106&lt;&gt;"",MAX($BK$2:BK105)+1,0))</f>
        <v/>
      </c>
      <c r="BL106" s="259" t="str">
        <f ca="1">IFERROR(INDEX($T$3:$U$220, MATCH(ROWS(BL$3:BL106),$V$3:$V$220,0),1),"")</f>
        <v/>
      </c>
      <c r="BM106" s="259" t="str">
        <f ca="1">IFERROR(INDEX($T$3:$U$220, MATCH(ROWS(BM$3:BM106),$V$3:$V$220,0),2),"")</f>
        <v/>
      </c>
      <c r="BN106" s="259" t="str">
        <f ca="1">IF(IFERROR(INDEX($BI$3:$BJ$220,MATCH(ROWS(BN$3:BN106),$BK$3:$BK$220,0),1),"")="PATRIMONIO NETTO","",IFERROR(INDEX($BI$3:$BJ$220,MATCH(ROWS(BN$3:BN106),$BK$3:$BK$220,0),1),""))</f>
        <v/>
      </c>
      <c r="BO106" s="259" t="str">
        <f ca="1">IFERROR(INDEX($BI$3:$BJ$220,MATCH(ROWS(BO$3:BO106),$BK$3:$BK$220,0),2),"")</f>
        <v/>
      </c>
      <c r="BP106" s="259">
        <f ca="1">IF(BN106&lt;&gt;"",MAX(BP$2:$BP105)+1,0)</f>
        <v>0</v>
      </c>
      <c r="BQ106" s="259" t="str">
        <f ca="1">IFERROR(INDEX($BN$3:$BO$200,MATCH(ROWS(BQ$3:BQ106),$BP$3:$BP$220,0),1),"")</f>
        <v/>
      </c>
      <c r="BR106" s="259" t="str">
        <f ca="1">IFERROR(INDEX($BN$3:$BO$220,MATCH(ROWS(BR$3:BR106),$BP$3:$BP$220,0),2),"")</f>
        <v/>
      </c>
      <c r="BS106" s="259" t="str">
        <f ca="1">IFERROR(IF(OR(INDEX($T$3:$U$220,MATCH(ROWS(BL$3:BL106),$V$3:$V$220,0),1)="PRELEVAMENTI EXTRAGESTIONE",INDEX($T$3:$U$220,MATCH(ROWS(BL$3:BL106),$V$3:$V$220,0),1)="TITOLARE C/RITENUTE SUBITE"),"",INDEX($T$3:$U$220,MATCH(ROWS(BL$3:BL106),$V$3:$V$220,0),1)),"")</f>
        <v/>
      </c>
      <c r="BT106" s="259">
        <f t="shared" ca="1" si="238"/>
        <v>0</v>
      </c>
      <c r="BU106" s="259">
        <f ca="1">IF(BS106&lt;&gt;"",MAX(BU$2:BU105)+1,0)</f>
        <v>0</v>
      </c>
      <c r="BV106" s="259" t="str">
        <f ca="1">IFERROR(INDEX($BS$3:$BT$223,MATCH(ROWS(BV$3:BV106),$BU$3:$BU$223,0),1),"")</f>
        <v/>
      </c>
      <c r="BW106" s="259">
        <f t="shared" ca="1" si="239"/>
        <v>0</v>
      </c>
      <c r="CB106" s="259" t="str">
        <f ca="1">IFERROR(IF(OR($BB$1&lt;&gt;$BD$1,$BC$1&lt;&gt;$BE$1,$DS$231&lt;&gt;$DT$231,$DU$231&lt;&gt;$DV$231,$EO$25&lt;&gt;0,$EO$26&lt;&gt;0),INDEX($BI$3:$BK$220,MATCH(ROWS($CB$3:CB106),$BK$3:$BK$220,0),1),CONCATENATE(BQ106,BX106)),"")</f>
        <v/>
      </c>
      <c r="CC106" s="259" t="str">
        <f t="shared" ca="1" si="243"/>
        <v/>
      </c>
      <c r="CD106" s="259" t="str">
        <f t="shared" ca="1" si="187"/>
        <v/>
      </c>
      <c r="CE106" s="259">
        <f ca="1">IF(IFERROR(MATCH(CD106,DENOMINAZIONE_GIORNALE,0),0)&gt;0,MAX(CE$2:CE105)+1,0)</f>
        <v>0</v>
      </c>
      <c r="CF106" s="259" t="str">
        <f ca="1">IFERROR(INDEX($CD$3:$CE$220,MATCH(ROWS($CF$3:CF106),$CE$3:$CE$220,0),1),"")</f>
        <v/>
      </c>
      <c r="CG106" s="259">
        <f t="shared" ca="1" si="188"/>
        <v>0</v>
      </c>
      <c r="CH106" s="259" t="str">
        <f ca="1">IF(IF(CG106&lt;&gt;0,MAX($CH$2:CH105)+1,0)=0,"",IF(CG106&lt;&gt;"",MAX($CH$2:CH105)+1,0))</f>
        <v/>
      </c>
      <c r="CI106" s="259" t="str">
        <f ca="1">IFERROR(INDEX($CF$3:$CG$220,MATCH(ROWS($CI$3:CI106),$CH$3:$CH$220,0),1),"")</f>
        <v/>
      </c>
      <c r="CJ106" s="259" t="str">
        <f t="shared" ca="1" si="244"/>
        <v/>
      </c>
      <c r="CK106" s="259" t="str">
        <f t="shared" ca="1" si="189"/>
        <v>SERVIZI ON LINE</v>
      </c>
      <c r="CL106" s="259">
        <f ca="1">IF(IFERROR(MATCH(CK106,DENOMINAZIONE_GIORNALE,0),0)&gt;0,MAX(CL$2:CL105)+1,0)</f>
        <v>0</v>
      </c>
      <c r="CM106" s="259" t="str">
        <f ca="1">IFERROR(INDEX($CK$3:$CL$220,MATCH(ROWS($CM$3:CM106),$CL$3:$CL$220,0),1),"")</f>
        <v/>
      </c>
      <c r="CN106" s="259" t="str">
        <f t="shared" ca="1" si="190"/>
        <v/>
      </c>
      <c r="CO106" s="259">
        <f ca="1">IF(IF(CN106&lt;&gt;0,MAX($CO$2:CO105)+1,0)=0,"",IF(CN106&lt;&gt;"",MAX($CO$2:CO105)+1,0))</f>
        <v>0</v>
      </c>
      <c r="CP106" s="259" t="str">
        <f ca="1">IFERROR(INDEX($CM$3:$CN$220,MATCH(ROWS(CP$3:CP106),$CO$3:$CO$220,0),1),"")</f>
        <v/>
      </c>
      <c r="CQ106" s="259" t="str">
        <f ca="1">IFERROR(INDEX($CM$3:$CN$220,MATCH(ROWS(CQ$3:CQ106),$CO$3:$CO$220,0),2),"")</f>
        <v/>
      </c>
      <c r="CS106" s="259">
        <f t="shared" ca="1" si="192"/>
        <v>0</v>
      </c>
      <c r="CT106" s="259">
        <f t="shared" ca="1" si="193"/>
        <v>0</v>
      </c>
      <c r="CU106" s="259">
        <f ca="1">IF(OR(CS106&gt;0,CT106&gt;0),MAX($CU$2:CU105)+1,0)</f>
        <v>0</v>
      </c>
      <c r="CV106" s="259" t="str">
        <f ca="1">IFERROR(INDEX(PIANO_DEI_CONTI,MATCH(ROWS($CV$3:CV106),$CU$3:$CU$200,0),2),"")</f>
        <v/>
      </c>
      <c r="CW106" s="259">
        <f ca="1">IFERROR(IF(CV106&lt;&gt;"",MAX($CW$2:CW105)+1,0),0)</f>
        <v>0</v>
      </c>
      <c r="CX106" s="259">
        <f t="shared" ca="1" si="326"/>
        <v>6</v>
      </c>
      <c r="CY106" s="259" t="str">
        <f t="shared" ca="1" si="337"/>
        <v>MASTRO</v>
      </c>
      <c r="CZ106" s="259" t="e">
        <f t="shared" ca="1" si="328"/>
        <v>#N/A</v>
      </c>
      <c r="DA106" s="259" t="str">
        <f t="shared" ca="1" si="333"/>
        <v/>
      </c>
      <c r="DB106" s="259" t="str">
        <f t="shared" ca="1" si="329"/>
        <v/>
      </c>
      <c r="DC106" s="259" t="str">
        <f t="shared" ca="1" si="330"/>
        <v/>
      </c>
      <c r="DD106" s="259" t="str">
        <f t="shared" ca="1" si="331"/>
        <v/>
      </c>
      <c r="DE106" s="259" t="str">
        <f t="shared" ca="1" si="332"/>
        <v/>
      </c>
      <c r="DF106" s="259">
        <f ca="1">IF(AND(CX106=$DE$2,$DF$2&lt;&gt;0),0,IF(AND(DB106&lt;&gt;"",OR(DB105&lt;&gt;"",DB107&lt;&gt;"")),MAX($DF$2:DF105)+1,0))</f>
        <v>0</v>
      </c>
      <c r="DG106" s="259" t="str">
        <f>IF(IF(LIBRO_GIORNALE!E14="","",IFERROR(INDEX(PIANO_DEI_CONTI,MATCH(BB106,DENOMINAZIONE,0),1),0))=0,"",IF(LIBRO_GIORNALE!E14="","",IFERROR(INDEX(PIANO_DEI_CONTI,MATCH(BB106,DENOMINAZIONE,0),1),0)))</f>
        <v/>
      </c>
      <c r="DH106" s="259">
        <f ca="1">IFERROR(IF($J$1=1,IF(INDEX(PIANO_DEI_CONTI,MATCH($K106,DENOMINAZIONE,0),5)=$DF$1,MAX($DH$2:DH105)+1,0),IF($J$1=2,IF(INDEX(PIANO_DEI_CONTI,MATCH($K106,DENOMINAZIONE,0),7)=$DF$1,MAX($DH$2:DH105)+1,0))),0)</f>
        <v>0</v>
      </c>
      <c r="DI106" s="259">
        <f ca="1">IFERROR(INDEX($K$3:$K$220,MATCH(ROWS($DI$3:DI106),$DH$3:$DH$220,0),1),0)</f>
        <v>0</v>
      </c>
      <c r="DJ106" s="259">
        <f t="shared" ca="1" si="194"/>
        <v>0</v>
      </c>
      <c r="DK106" s="259">
        <f ca="1">IF(DJ106=0,0,MAX(DK$2:DK105)+1)</f>
        <v>0</v>
      </c>
      <c r="DL106" s="259">
        <f ca="1">IFERROR(INDEX(PIANO_DEI_CONTI,MATCH(ROWS(DL$3:DL106),$DK$3:DK333,0),2),0)</f>
        <v>0</v>
      </c>
      <c r="DM106" s="259">
        <f t="shared" ca="1" si="195"/>
        <v>0</v>
      </c>
      <c r="DN106" s="259">
        <f t="shared" ca="1" si="196"/>
        <v>0</v>
      </c>
      <c r="DO106" s="259">
        <f t="shared" ca="1" si="245"/>
        <v>0</v>
      </c>
      <c r="DP106" s="259">
        <f t="shared" ca="1" si="246"/>
        <v>0</v>
      </c>
      <c r="DQ106" s="259">
        <f ca="1">IF(OR($DQ$1="TOTALI",$DQ$1="TOTALI ED ECCEDENZE"),IF(OR(DM106&gt;0,DN106&gt;0),MAX(DQ$2:DQ105)+1,0),IF($DQ$1="ECCEDENZE",IF(OR(DO106&gt;0,DP106&gt;0),MAX(DQ$2:DQ105)+1,0),""))</f>
        <v>0</v>
      </c>
      <c r="DR106" s="259" t="str">
        <f ca="1">IFERROR(INDEX($DL$3:$DQ$230,MATCH(ROWS(DR$3:DR106),$DQ$3:$DQ$230,0),1),"")</f>
        <v/>
      </c>
      <c r="DS106" s="259" t="str">
        <f t="shared" ca="1" si="247"/>
        <v/>
      </c>
      <c r="DT106" s="259" t="str">
        <f t="shared" ca="1" si="248"/>
        <v/>
      </c>
      <c r="DU106" s="259" t="str">
        <f t="shared" ca="1" si="249"/>
        <v/>
      </c>
      <c r="DV106" s="259" t="str">
        <f t="shared" ca="1" si="250"/>
        <v/>
      </c>
      <c r="DW106" s="259">
        <f t="shared" ca="1" si="251"/>
        <v>0</v>
      </c>
      <c r="DX106" s="259" t="str">
        <f t="shared" ca="1" si="252"/>
        <v/>
      </c>
      <c r="DY106" s="259" t="str">
        <f t="shared" ca="1" si="253"/>
        <v/>
      </c>
      <c r="DZ106" s="259" t="str">
        <f t="shared" ca="1" si="254"/>
        <v/>
      </c>
      <c r="EA106" s="259">
        <f t="shared" ca="1" si="255"/>
        <v>104</v>
      </c>
      <c r="EB106" s="259" t="s">
        <v>363</v>
      </c>
      <c r="ED106" s="259">
        <f t="shared" ca="1" si="197"/>
        <v>0</v>
      </c>
      <c r="EH106" s="259" t="str">
        <f t="shared" ca="1" si="256"/>
        <v/>
      </c>
      <c r="EI106" s="260" t="b">
        <f t="shared" ca="1" si="310"/>
        <v>0</v>
      </c>
      <c r="EJ106" s="260" t="b">
        <f t="shared" ca="1" si="311"/>
        <v>0</v>
      </c>
      <c r="EK106" s="260" t="b">
        <f t="shared" ca="1" si="312"/>
        <v>1</v>
      </c>
      <c r="EL106" s="259">
        <f t="shared" si="257"/>
        <v>104</v>
      </c>
      <c r="EM106" s="259">
        <f ca="1">IF(AND(BA106&gt;0,BA106&lt;=$EM$1),MAX($EM$2:EM105)+1,0)</f>
        <v>0</v>
      </c>
      <c r="EN106" s="259">
        <f t="shared" ca="1" si="258"/>
        <v>106</v>
      </c>
      <c r="EP106" s="259" t="str">
        <f t="shared" ca="1" si="200"/>
        <v/>
      </c>
      <c r="EQ106" s="259">
        <f t="shared" ca="1" si="201"/>
        <v>0</v>
      </c>
      <c r="ER106" s="259">
        <f ca="1">IF(ISNA(EQ106),MAX(ER$2:ER105)+1,0)</f>
        <v>0</v>
      </c>
      <c r="ES106" s="259" t="str">
        <f t="shared" ca="1" si="259"/>
        <v/>
      </c>
      <c r="ET106" s="259" t="str">
        <f ca="1">IFERROR(UPPER(INDEX($ER$3:$ES$500,MATCH(ROWS(ET$3:ET106),$ER$3:$ER$500,0),2)),"")</f>
        <v/>
      </c>
      <c r="EW106" s="259">
        <f t="shared" ca="1" si="344"/>
        <v>1</v>
      </c>
      <c r="EX106" s="259">
        <v>4</v>
      </c>
      <c r="EY106" s="259">
        <f t="shared" ca="1" si="345"/>
        <v>0</v>
      </c>
      <c r="EZ106" s="259">
        <f t="shared" ca="1" si="346"/>
        <v>0</v>
      </c>
      <c r="FA106" s="259">
        <f t="shared" ca="1" si="347"/>
        <v>0</v>
      </c>
      <c r="FB106" s="259">
        <f t="shared" ca="1" si="348"/>
        <v>0</v>
      </c>
      <c r="FC106" s="259">
        <f t="shared" ca="1" si="349"/>
        <v>0</v>
      </c>
      <c r="FD106" s="259">
        <f t="shared" ca="1" si="202"/>
        <v>0</v>
      </c>
      <c r="FE106" s="259" t="str">
        <f t="shared" ca="1" si="203"/>
        <v/>
      </c>
      <c r="FF106" s="259" t="str">
        <f t="shared" ca="1" si="350"/>
        <v/>
      </c>
      <c r="FG106" s="259" t="str">
        <f t="shared" si="335"/>
        <v/>
      </c>
      <c r="FH106" s="259">
        <f t="shared" ca="1" si="334"/>
        <v>0</v>
      </c>
      <c r="FI106" s="259">
        <f t="shared" ca="1" si="204"/>
        <v>0</v>
      </c>
      <c r="FJ106" s="259">
        <f t="shared" ca="1" si="336"/>
        <v>0</v>
      </c>
      <c r="FK106" s="259">
        <f t="shared" ca="1" si="267"/>
        <v>0</v>
      </c>
      <c r="FL106" s="259">
        <f ca="1">IF(OR(FJ106&gt;0,FK106&gt;0),MAX($FL$2:FL105)+1,0)</f>
        <v>0</v>
      </c>
      <c r="FM106" s="259">
        <f t="shared" ca="1" si="205"/>
        <v>0</v>
      </c>
      <c r="FN106" s="259">
        <f ca="1">IF(FM106&lt;0,MAX($FN$2:FN105)+1,0)</f>
        <v>0</v>
      </c>
      <c r="FO106" s="259" t="str">
        <f t="shared" ca="1" si="268"/>
        <v/>
      </c>
      <c r="FP106" s="259" t="str">
        <f ca="1">IFERROR(INDEX($FN$3:$FO$400,MATCH(ROWS($FP$3:FP106),$FN$3:$FN$400,0),2),"")</f>
        <v/>
      </c>
      <c r="FQ106" s="259">
        <f>IF(AE106="SE AVERE",MAX($FQ$2:FQ105)+1,"")</f>
        <v>3</v>
      </c>
      <c r="FR106" s="259" t="str">
        <f>IF(AE106="SE DARE",MAX($FR$2:FR105)+1,"")</f>
        <v/>
      </c>
      <c r="FS106" s="259" t="str">
        <f ca="1">IF(AND(AE106="SP DARE",AA106&lt;&gt;$FS$1,AA106&lt;&gt;$FT$1),MAX($FS$2:FS105)+1,IF(AND(GQ106="SP DARE",AA106&lt;&gt;$FS$1,AA106&lt;&gt;$FT$1),MAX($FS$2:FS105)+1,""))</f>
        <v/>
      </c>
      <c r="FT106" s="259" t="str">
        <f ca="1">IF(AND(AE106="SP AVERE",AA106&lt;&gt;$FU$1),MAX($FT$2:FT105)+1,IF(AND(GQ106="SP AVERE",AA106&lt;&gt;$FU$1),MAX($FT$2:FT105)+1,""))</f>
        <v/>
      </c>
      <c r="FU106" s="259">
        <f t="shared" ca="1" si="269"/>
        <v>3</v>
      </c>
      <c r="FV106" s="259" t="str">
        <f t="shared" si="270"/>
        <v>SERVIZI ON LINE</v>
      </c>
      <c r="FW106" s="259" t="str">
        <f ca="1">IFERROR(INDEX($FU$3:$FV$500,MATCH(ROWS($FW$3:FW106),$FU$3:$FU$500,0),2),0)</f>
        <v>MATERIE DI CONSUMO</v>
      </c>
      <c r="FX106" s="259">
        <f t="shared" ca="1" si="271"/>
        <v>104</v>
      </c>
      <c r="FY106" s="259">
        <f t="shared" ca="1" si="272"/>
        <v>0</v>
      </c>
      <c r="FZ106" s="259">
        <f ca="1">IF(FY106&gt;0,MAX($FZ$2:FZ105)+1,0)</f>
        <v>0</v>
      </c>
      <c r="GA106" s="259">
        <f ca="1">IFERROR(INDEX($FY$3:$FZ$500,MATCH(ROWS($GA$3:GA106),$FZ$3:$FZ$500,0),1),0)</f>
        <v>0</v>
      </c>
      <c r="GC106" s="259">
        <f t="shared" ca="1" si="273"/>
        <v>104</v>
      </c>
      <c r="GD106" s="259" t="str">
        <f t="shared" ca="1" si="274"/>
        <v>MATERIE DI CONSUMO</v>
      </c>
      <c r="GG106" s="259">
        <f t="shared" ca="1" si="275"/>
        <v>0</v>
      </c>
      <c r="GH106" s="259">
        <f t="shared" ca="1" si="276"/>
        <v>0</v>
      </c>
      <c r="GI106" s="259">
        <f t="shared" ca="1" si="277"/>
        <v>0</v>
      </c>
      <c r="GJ106" s="259">
        <f t="shared" ca="1" si="278"/>
        <v>0</v>
      </c>
      <c r="GK106" s="259">
        <f t="shared" ca="1" si="279"/>
        <v>0</v>
      </c>
      <c r="GL106" s="259">
        <f t="shared" ca="1" si="280"/>
        <v>0</v>
      </c>
      <c r="GM106" s="259">
        <f ca="1">IF(OR(GK106&gt;0,GL106&gt;0),MAX($GM$2:GM105)+1,0)</f>
        <v>0</v>
      </c>
      <c r="GN106" s="259" t="str">
        <f ca="1">IFERROR(INDEX($GD$3:$GM$400,MATCH(ROWS($GN$3:GN106),$GM$3:$GM$400,0),1),"")</f>
        <v/>
      </c>
      <c r="GO106" s="259" t="str">
        <f ca="1">IFERROR(INDEX($GD$3:$GM$400,MATCH(ROWS($GO$3:GO106),$GM$3:$GM$400,0),8),"")</f>
        <v/>
      </c>
      <c r="GP106" s="259" t="str">
        <f ca="1">IFERROR(INDEX($GD$3:$GM$400,MATCH(ROWS($GP$3:GP106),$GM$3:$GM$400,0),9),"")</f>
        <v/>
      </c>
      <c r="GQ106" s="259">
        <f t="shared" ca="1" si="206"/>
        <v>0</v>
      </c>
      <c r="GR106" s="259">
        <f t="shared" ca="1" si="281"/>
        <v>0</v>
      </c>
      <c r="GS106" s="259" t="str">
        <f t="shared" ca="1" si="282"/>
        <v>chiusura del conto</v>
      </c>
      <c r="GT106" s="259" t="str">
        <f ca="1">IFERROR(INDEX($GD$3:$GS$400,MATCH(ROWS($GT$3:GT106),$GM$3:$GM$400,0),16),"")</f>
        <v/>
      </c>
      <c r="GU106" s="259">
        <f ca="1">IF(GQ106&lt;&gt;0,MAX($GU$2:$GU105)+1,0)</f>
        <v>0</v>
      </c>
      <c r="GV106" s="259">
        <f t="shared" ca="1" si="283"/>
        <v>0</v>
      </c>
      <c r="GW106" s="259" t="str">
        <f ca="1">IF(AND(IFERROR(INDEX($GU$3:$GV$400,MATCH(ROWS($GW$3:GW106),$GU$3:$GU$400,0),2),"")&lt;&gt;"",GW107&lt;&gt;""),CONCATENATE(IFERROR(INDEX($GU$3:$GV$400,MATCH(ROWS($GW$3:GW106),$GU$3:$GU$400,0),2),"")," - "),IFERROR(INDEX($GU$3:$GV$400,MATCH(ROWS($GW$3:GW106),$GU$3:$GU$400,0),2),""))</f>
        <v/>
      </c>
      <c r="GX106" s="259">
        <f ca="1">IF(OR(GN106="IVA NS/CREDITO",GN106="IVA NS/DEBITO",GN106="IVA C/ACCONTO",GN106="IMPOSTE C/ACCONTO"),MAX($GX$2:GX105)+1,0)</f>
        <v>0</v>
      </c>
      <c r="GY106" s="259" t="str">
        <f ca="1">IF(AND(IFERROR(INDEX($GN$3:$GX$200,MATCH(ROWS($GY$3:GY106),$GX$3:$GX$200,0),1),"")&lt;&gt;"",GY107&lt;&gt;""),CONCATENATE(IFERROR(INDEX($GN$3:$GX$200,MATCH(ROWS($GY$3:GY106),$GX$3:$GX$200,0),1),"")," - "),IFERROR(INDEX($GN$3:$GX$200,MATCH(ROWS($GY$3:GY106),$GX$3:$GX$200,0),1),""))</f>
        <v/>
      </c>
      <c r="GZ106" s="259" t="s">
        <v>128</v>
      </c>
      <c r="HA106" s="259" t="s">
        <v>126</v>
      </c>
      <c r="HB106" s="269" t="s">
        <v>256</v>
      </c>
      <c r="HC106" s="269" t="s">
        <v>211</v>
      </c>
      <c r="HD106" s="269" t="s">
        <v>208</v>
      </c>
      <c r="HE106" s="269" t="s">
        <v>212</v>
      </c>
      <c r="HV106" s="259" t="str">
        <f ca="1">CONCATENATE(IFERROR(INDEX($HS$3:$HT$102,MATCH(ROWS($HV$3:HV106),$HT$3:$HT$102,0),1),""),HR106)</f>
        <v/>
      </c>
      <c r="IC106" s="259">
        <f ca="1">IFERROR(INDEX(PIANO_DEI_CONTI,MATCH(ROWS(DL$3:DL106),$DK$3:DK333,0),2),0)</f>
        <v>0</v>
      </c>
      <c r="ID106" s="259">
        <f t="shared" ca="1" si="288"/>
        <v>0</v>
      </c>
      <c r="IE106" s="259">
        <f t="shared" ca="1" si="289"/>
        <v>0</v>
      </c>
      <c r="IF106" s="259">
        <f t="shared" ca="1" si="290"/>
        <v>0</v>
      </c>
      <c r="IG106" s="259">
        <f t="shared" ca="1" si="324"/>
        <v>0</v>
      </c>
      <c r="IH106" s="259">
        <f ca="1">IF(IG106&lt;&gt;0,MAX($IH$35:IH105)+1,0)</f>
        <v>0</v>
      </c>
      <c r="II106" s="259">
        <f>IF(AD106="costi pluriennali",MAX($II$2:II105)+1,0)</f>
        <v>0</v>
      </c>
      <c r="IJ106" s="259">
        <f>IF($AD106="rettifiche costi pluriennali",MAX($IJ$2:IJ105)+1,0)</f>
        <v>0</v>
      </c>
      <c r="IK106" s="259">
        <f t="shared" si="291"/>
        <v>0</v>
      </c>
      <c r="IL106" s="259" t="str">
        <f t="shared" si="292"/>
        <v/>
      </c>
      <c r="IM106" s="259">
        <f t="shared" ca="1" si="293"/>
        <v>0</v>
      </c>
      <c r="IN106" s="259">
        <f t="shared" ca="1" si="313"/>
        <v>0</v>
      </c>
      <c r="IO106" s="259">
        <f>SUMIFS($IM$3:$IM$200,$IK$3:$IK$200,ROWS($IO$3:IO106))-SUMIFS($IN$3:$IN$200,$IK$3:$IK$200,ROWS($IO$3:IO106))</f>
        <v>0</v>
      </c>
      <c r="IP106" s="259" t="str">
        <f>IF(IO106&lt;0,INDEX($IJ$3:$IL$200,MATCH(ROWS($IP$3:IP106),$IJ$3:$IJ$200,0),3),"")</f>
        <v/>
      </c>
      <c r="IQ106" s="259">
        <f>IF(IP106&lt;&gt;"",MAX($IQ$2:IQ105)+1,0)</f>
        <v>0</v>
      </c>
      <c r="IR106" s="259" t="str">
        <f ca="1">IFERROR(INDEX($IP$3:$IQ$200,MATCH(ROWS($IR$3:IR106),$IQ$3:$IQ$200,0),1),"")</f>
        <v/>
      </c>
      <c r="IS106" s="259" t="str">
        <f t="shared" ca="1" si="294"/>
        <v/>
      </c>
      <c r="IT106" s="259" t="str">
        <f t="shared" ca="1" si="295"/>
        <v/>
      </c>
      <c r="IU106" s="259" t="str">
        <f t="shared" ca="1" si="296"/>
        <v/>
      </c>
      <c r="IV106" s="259" t="str">
        <f t="shared" ca="1" si="297"/>
        <v/>
      </c>
      <c r="IW106" s="259" t="str">
        <f t="shared" ca="1" si="298"/>
        <v/>
      </c>
      <c r="IX106" s="259" t="str">
        <f t="shared" ca="1" si="299"/>
        <v/>
      </c>
      <c r="IY106" s="259" t="str">
        <f t="shared" ca="1" si="300"/>
        <v/>
      </c>
      <c r="IZ106" s="259" t="str">
        <f t="shared" ca="1" si="301"/>
        <v/>
      </c>
      <c r="JA106" s="259" t="str">
        <f t="shared" ca="1" si="302"/>
        <v/>
      </c>
      <c r="JB106" s="259">
        <f t="shared" ca="1" si="210"/>
        <v>0</v>
      </c>
      <c r="JC106" s="259">
        <f t="shared" ca="1" si="351"/>
        <v>0</v>
      </c>
      <c r="JD106" s="259">
        <f t="shared" ca="1" si="352"/>
        <v>0</v>
      </c>
      <c r="JE106" s="259">
        <f ca="1">IFERROR(INDEX(LIBRO_GIORNALE!$N$11:$O$408,MATCH(ROWS($JE$2:JE105),LIBRO_GIORNALE!$O$11:$O$408,0),1),0)</f>
        <v>0</v>
      </c>
      <c r="JF106" s="259" t="str">
        <f t="shared" ca="1" si="304"/>
        <v>0</v>
      </c>
      <c r="JG106" s="259">
        <f t="shared" ca="1" si="305"/>
        <v>0</v>
      </c>
      <c r="JH106" s="259">
        <f ca="1">IF(JJ106&gt;0,0,MAX($JH$2:JH105)+1)</f>
        <v>104</v>
      </c>
      <c r="JI106" s="259">
        <f ca="1">IF(JG106&gt;0,MAX($JI$2:JI105)+1,0)</f>
        <v>0</v>
      </c>
      <c r="JJ106" s="259">
        <f ca="1">IFERROR(INDEX($JG$3:$JI$124,MATCH(ROWS($JJ$3:JJ106),$JI$3:$JI$124,0),1),0)</f>
        <v>0</v>
      </c>
      <c r="JK106" s="259">
        <f t="shared" ca="1" si="306"/>
        <v>0</v>
      </c>
      <c r="JL106" s="259">
        <f t="shared" ca="1" si="307"/>
        <v>104</v>
      </c>
      <c r="JM106" s="259">
        <f t="shared" ca="1" si="353"/>
        <v>0</v>
      </c>
    </row>
    <row r="107" spans="1:273">
      <c r="A107" s="259" t="str">
        <f t="shared" si="211"/>
        <v>18.00</v>
      </c>
      <c r="B107" s="259" t="str">
        <f t="shared" si="212"/>
        <v>CONTI TRANSITORI E DIVERSI</v>
      </c>
      <c r="C107" s="259">
        <f t="shared" si="213"/>
        <v>0</v>
      </c>
      <c r="D107" s="259">
        <f t="shared" si="214"/>
        <v>0</v>
      </c>
      <c r="E107" s="259">
        <f t="shared" si="215"/>
        <v>0</v>
      </c>
      <c r="F107" s="259">
        <f t="shared" si="216"/>
        <v>0</v>
      </c>
      <c r="G107" s="259">
        <f t="shared" ca="1" si="217"/>
        <v>0</v>
      </c>
      <c r="H107" s="259">
        <f t="shared" ca="1" si="218"/>
        <v>0</v>
      </c>
      <c r="I107" s="259">
        <f t="shared" ca="1" si="219"/>
        <v>0</v>
      </c>
      <c r="K107" s="259" t="str">
        <f ca="1">IFERROR(IF($I$1=1,INDEX($AA$3:$AS$220,MATCH(ROWS($K$3:K107),$AQ$3:$AQ$220,0),1),IF($I$1=2,INDEX($AA$3:$AS$220,MATCH(ROWS($K$3:K107),$AR$3:$AR$220,0),1),IF($I$1=3,INDEX($AA$3:$AS$220,MATCH(ROWS($K$3:K107),$AS$3:$AS$220,0),1),""))),"")</f>
        <v>PROVENTI VARI</v>
      </c>
      <c r="L107" s="259">
        <f ca="1">IF(AND($L$1="VISUALIZZA TUTTI I CONTI",K107&lt;&gt;""),MAX(L106:L106)+1,IFERROR(IF($J$1=1,IF(INDEX(PIANO_DEI_CONTI,MATCH($K107,DENOMINAZIONE,0),5)=$L$1,MAX($L$2:L106)+1,0),IF($J$1=2,IF(INDEX(PIANO_DEI_CONTI,MATCH($K107,DENOMINAZIONE,0),7)=$L$1,MAX($L$2:L106)+1,0))),0))</f>
        <v>105</v>
      </c>
      <c r="M107" s="259" t="str">
        <f ca="1">IFERROR(INDEX($K$3:$K$220,MATCH(ROWS($M$3:M107),$L$3:$L$220,0),1),"")</f>
        <v>PROVENTI VARI</v>
      </c>
      <c r="Q107" s="259" t="str">
        <f ca="1">IF(IFERROR(INDEX($O$3:$P$220,MATCH(ROWS(Q$3:Q107),$P$3:$P$220,0),1),"")=0,"",IFERROR(INDEX($O$3:$P$220,MATCH(ROWS(Q$3:Q107),$P$3:$P$220,0),1),""))</f>
        <v/>
      </c>
      <c r="R107" s="259" t="str">
        <f t="shared" ca="1" si="182"/>
        <v/>
      </c>
      <c r="S107" s="259">
        <f ca="1">IF(IFERROR(MATCH(R107,DENOMINAZIONE_GIORNALE,0),0)&gt;0,MAX(S$2:S106)+1,0)</f>
        <v>0</v>
      </c>
      <c r="T107" s="259" t="str">
        <f ca="1">IFERROR(INDEX($R$3:$S$220,MATCH(ROWS($T$3:T107),$S$3:$S$220,0),1),"")</f>
        <v/>
      </c>
      <c r="U107" s="259">
        <f t="shared" ca="1" si="183"/>
        <v>0</v>
      </c>
      <c r="V107" s="259">
        <f ca="1">IF(IF(U107&lt;&gt;0,MAX($V$2:V106)+1,0)=0,0,IF(U107&lt;&gt;0,MAX($V$2:V106)+1,0))</f>
        <v>0</v>
      </c>
      <c r="W107" s="259" t="str">
        <f t="shared" si="220"/>
        <v/>
      </c>
      <c r="X107" s="259" t="str">
        <f t="shared" si="221"/>
        <v/>
      </c>
      <c r="Y107" s="259">
        <f>IF(W107="",0,MAX($Y$2:Y106)+1)</f>
        <v>0</v>
      </c>
      <c r="Z107" s="259" t="str">
        <f>IFERROR(INDEX($W$3:$Y$220,MATCH(ROWS($Z$2:Z106),$Y$3:$Y$220,0),1),"")</f>
        <v>20.10</v>
      </c>
      <c r="AA107" s="259" t="str">
        <f t="shared" si="222"/>
        <v>RESI SU VENDITE</v>
      </c>
      <c r="AB107" s="259" t="str">
        <f t="shared" si="223"/>
        <v>E</v>
      </c>
      <c r="AC107" s="259" t="str">
        <f t="shared" si="224"/>
        <v>D</v>
      </c>
      <c r="AD107" s="259" t="str">
        <f t="shared" si="225"/>
        <v>RETTIFICHE RICAVI D'ESERCIZIO</v>
      </c>
      <c r="AE107" s="259" t="str">
        <f t="shared" si="226"/>
        <v>SE DARE</v>
      </c>
      <c r="AF107" s="259" t="str">
        <f t="shared" si="227"/>
        <v>VALORE DELLA PRODUZIONE</v>
      </c>
      <c r="AG107" s="259">
        <f t="shared" ca="1" si="228"/>
        <v>1</v>
      </c>
      <c r="AH107" s="259">
        <f t="shared" ca="1" si="229"/>
        <v>1</v>
      </c>
      <c r="AI107" s="259">
        <f t="shared" ca="1" si="230"/>
        <v>1</v>
      </c>
      <c r="AJ107" s="259" t="str">
        <f t="shared" si="231"/>
        <v>20</v>
      </c>
      <c r="AK107" s="259" t="str">
        <f t="shared" si="232"/>
        <v>18</v>
      </c>
      <c r="AL107" s="259">
        <f>IF(AK107&lt;&gt;"",MAX($AL$2:AL106)+1,0)</f>
        <v>16</v>
      </c>
      <c r="AM107" s="259" t="str">
        <f>IFERROR(INDEX($AK$3:$AL$220,MATCH(ROWS($AM$3:AM107),$AL$3:$AL$220,0),1),"")</f>
        <v/>
      </c>
      <c r="AN107" s="259" t="str">
        <f t="shared" si="233"/>
        <v/>
      </c>
      <c r="AO107" s="259" t="str">
        <f t="shared" si="234"/>
        <v/>
      </c>
      <c r="AP107" s="259" t="str">
        <f t="shared" si="235"/>
        <v>VALORE DELLA PRODUZIONE</v>
      </c>
      <c r="AQ107" s="259">
        <f ca="1">IF(OR(AG107=0,AG107=""),0,MAX(AQ$2:AQ106)+1)</f>
        <v>49</v>
      </c>
      <c r="AR107" s="259">
        <f ca="1">IF(OR(AH107=0,AH107=""),0,MAX(AR$2:AR106)+1)</f>
        <v>71</v>
      </c>
      <c r="AS107" s="259">
        <f ca="1">IF(OR(AI107=0,AI107=""),0,MAX(AS$2:AS106)+1)</f>
        <v>101</v>
      </c>
      <c r="AT107" s="259" t="str">
        <f ca="1">IFERROR(INDEX($AD$3:$AS$220,MATCH(ROWS(AT$3:AT107),AQ$3:AQ$220,0),1),"")</f>
        <v/>
      </c>
      <c r="AU107" s="259" t="str">
        <f ca="1">IFERROR(INDEX($AD$3:$AS$220,MATCH(ROWS(AU$3:AU107),AR$3:AR$220,0),1),"")</f>
        <v>COSTI D'ESERCIZIO</v>
      </c>
      <c r="AV107" s="259" t="str">
        <f ca="1">IFERROR(INDEX($AD$3:$AS$220,MATCH(ROWS(AV$3:AV107),AS$3:AS$220,0),1),"")</f>
        <v>RICAVI D'ESERCIZIO</v>
      </c>
      <c r="AW107" s="259" t="str">
        <f ca="1">IFERROR(INDEX($AP$3:$AS$220,MATCH(ROWS(AW$3:AW107),AQ$3:AQ$220,0),1),"")</f>
        <v/>
      </c>
      <c r="AX107" s="259" t="str">
        <f ca="1">IFERROR(INDEX($AP$3:$AS$220,MATCH(ROWS(AX$3:AX107),AR$3:AR$220,0),1),"")</f>
        <v>COSTI PER IL PERSONALE</v>
      </c>
      <c r="AY107" s="259" t="str">
        <f ca="1">IFERROR(INDEX($AP$3:$AS$220,MATCH(ROWS(AY$3:AY107),AS$3:AS$220,0),1),"")</f>
        <v>VALORE DELLA PRODUZIONE</v>
      </c>
      <c r="AZ107" s="259" t="str">
        <f t="shared" si="339"/>
        <v>5 V.I.</v>
      </c>
      <c r="BA107" s="259">
        <f t="shared" ca="1" si="338"/>
        <v>0</v>
      </c>
      <c r="BB107" s="259">
        <f t="shared" ca="1" si="340"/>
        <v>0</v>
      </c>
      <c r="BC107" s="259">
        <f t="shared" ca="1" si="341"/>
        <v>0</v>
      </c>
      <c r="BD107" s="259">
        <f t="shared" ca="1" si="342"/>
        <v>0</v>
      </c>
      <c r="BE107" s="259">
        <f t="shared" ca="1" si="343"/>
        <v>0</v>
      </c>
      <c r="BG107" s="259" t="str">
        <f t="shared" ca="1" si="185"/>
        <v/>
      </c>
      <c r="BH107" s="259">
        <f ca="1">IF(IFERROR(MATCH(BG107,DENOMINAZIONE_GIORNALE,0),0)&gt;0,MAX(BH$2:BH106)+1,0)</f>
        <v>0</v>
      </c>
      <c r="BI107" s="259" t="str">
        <f ca="1">IFERROR(INDEX($BG$3:$BH$220,MATCH(ROWS($BI$3:BI107),$BH$3:$BH$220,0),1),"")</f>
        <v/>
      </c>
      <c r="BJ107" s="259" t="str">
        <f t="shared" ca="1" si="186"/>
        <v/>
      </c>
      <c r="BK107" s="259" t="str">
        <f ca="1">IF(IF(BJ107&lt;&gt;"",MAX($BK$2:BK106)+1,0)=0,"",IF(BJ107&lt;&gt;"",MAX($BK$2:BK106)+1,0))</f>
        <v/>
      </c>
      <c r="BL107" s="259" t="str">
        <f ca="1">IFERROR(INDEX($T$3:$U$220, MATCH(ROWS(BL$3:BL107),$V$3:$V$220,0),1),"")</f>
        <v/>
      </c>
      <c r="BM107" s="259" t="str">
        <f ca="1">IFERROR(INDEX($T$3:$U$220, MATCH(ROWS(BM$3:BM107),$V$3:$V$220,0),2),"")</f>
        <v/>
      </c>
      <c r="BN107" s="259" t="str">
        <f ca="1">IF(IFERROR(INDEX($BI$3:$BJ$220,MATCH(ROWS(BN$3:BN107),$BK$3:$BK$220,0),1),"")="PATRIMONIO NETTO","",IFERROR(INDEX($BI$3:$BJ$220,MATCH(ROWS(BN$3:BN107),$BK$3:$BK$220,0),1),""))</f>
        <v/>
      </c>
      <c r="BO107" s="259" t="str">
        <f ca="1">IFERROR(INDEX($BI$3:$BJ$220,MATCH(ROWS(BO$3:BO107),$BK$3:$BK$220,0),2),"")</f>
        <v/>
      </c>
      <c r="BP107" s="259">
        <f ca="1">IF(BN107&lt;&gt;"",MAX(BP$2:$BP106)+1,0)</f>
        <v>0</v>
      </c>
      <c r="BQ107" s="259" t="str">
        <f ca="1">IFERROR(INDEX($BN$3:$BO$200,MATCH(ROWS(BQ$3:BQ107),$BP$3:$BP$220,0),1),"")</f>
        <v/>
      </c>
      <c r="BR107" s="259" t="str">
        <f ca="1">IFERROR(INDEX($BN$3:$BO$220,MATCH(ROWS(BR$3:BR107),$BP$3:$BP$220,0),2),"")</f>
        <v/>
      </c>
      <c r="BS107" s="259" t="str">
        <f ca="1">IFERROR(IF(OR(INDEX($T$3:$U$220,MATCH(ROWS(BL$3:BL107),$V$3:$V$220,0),1)="PRELEVAMENTI EXTRAGESTIONE",INDEX($T$3:$U$220,MATCH(ROWS(BL$3:BL107),$V$3:$V$220,0),1)="TITOLARE C/RITENUTE SUBITE"),"",INDEX($T$3:$U$220,MATCH(ROWS(BL$3:BL107),$V$3:$V$220,0),1)),"")</f>
        <v/>
      </c>
      <c r="BT107" s="259">
        <f t="shared" ca="1" si="238"/>
        <v>0</v>
      </c>
      <c r="BU107" s="259">
        <f ca="1">IF(BS107&lt;&gt;"",MAX(BU$2:BU106)+1,0)</f>
        <v>0</v>
      </c>
      <c r="BV107" s="259" t="str">
        <f ca="1">IFERROR(INDEX($BS$3:$BT$223,MATCH(ROWS(BV$3:BV107),$BU$3:$BU$223,0),1),"")</f>
        <v/>
      </c>
      <c r="BW107" s="259">
        <f t="shared" ca="1" si="239"/>
        <v>0</v>
      </c>
      <c r="CB107" s="259" t="str">
        <f ca="1">IFERROR(IF(OR($BB$1&lt;&gt;$BD$1,$BC$1&lt;&gt;$BE$1,$DS$231&lt;&gt;$DT$231,$DU$231&lt;&gt;$DV$231,$EO$25&lt;&gt;0,$EO$26&lt;&gt;0),INDEX($BI$3:$BK$220,MATCH(ROWS($CB$3:CB107),$BK$3:$BK$220,0),1),CONCATENATE(BQ107,BX107)),"")</f>
        <v/>
      </c>
      <c r="CC107" s="259" t="str">
        <f t="shared" ca="1" si="243"/>
        <v/>
      </c>
      <c r="CD107" s="259" t="str">
        <f t="shared" ca="1" si="187"/>
        <v>RESI SU VENDITE</v>
      </c>
      <c r="CE107" s="259">
        <f ca="1">IF(IFERROR(MATCH(CD107,DENOMINAZIONE_GIORNALE,0),0)&gt;0,MAX(CE$2:CE106)+1,0)</f>
        <v>0</v>
      </c>
      <c r="CF107" s="259" t="str">
        <f ca="1">IFERROR(INDEX($CD$3:$CE$220,MATCH(ROWS($CF$3:CF107),$CE$3:$CE$220,0),1),"")</f>
        <v/>
      </c>
      <c r="CG107" s="259">
        <f t="shared" ca="1" si="188"/>
        <v>0</v>
      </c>
      <c r="CH107" s="259" t="str">
        <f ca="1">IF(IF(CG107&lt;&gt;0,MAX($CH$2:CH106)+1,0)=0,"",IF(CG107&lt;&gt;"",MAX($CH$2:CH106)+1,0))</f>
        <v/>
      </c>
      <c r="CI107" s="259" t="str">
        <f ca="1">IFERROR(INDEX($CF$3:$CG$220,MATCH(ROWS($CI$3:CI107),$CH$3:$CH$220,0),1),"")</f>
        <v/>
      </c>
      <c r="CJ107" s="259" t="str">
        <f t="shared" ca="1" si="244"/>
        <v/>
      </c>
      <c r="CK107" s="259" t="str">
        <f t="shared" ca="1" si="189"/>
        <v/>
      </c>
      <c r="CL107" s="259">
        <f ca="1">IF(IFERROR(MATCH(CK107,DENOMINAZIONE_GIORNALE,0),0)&gt;0,MAX(CL$2:CL106)+1,0)</f>
        <v>0</v>
      </c>
      <c r="CM107" s="259" t="str">
        <f ca="1">IFERROR(INDEX($CK$3:$CL$220,MATCH(ROWS($CM$3:CM107),$CL$3:$CL$220,0),1),"")</f>
        <v/>
      </c>
      <c r="CN107" s="259" t="str">
        <f t="shared" ca="1" si="190"/>
        <v/>
      </c>
      <c r="CO107" s="259">
        <f ca="1">IF(IF(CN107&lt;&gt;0,MAX($CO$2:CO106)+1,0)=0,"",IF(CN107&lt;&gt;"",MAX($CO$2:CO106)+1,0))</f>
        <v>0</v>
      </c>
      <c r="CP107" s="259" t="str">
        <f ca="1">IFERROR(INDEX($CM$3:$CN$220,MATCH(ROWS(CP$3:CP107),$CO$3:$CO$220,0),1),"")</f>
        <v/>
      </c>
      <c r="CQ107" s="259" t="str">
        <f ca="1">IFERROR(INDEX($CM$3:$CN$220,MATCH(ROWS(CQ$3:CQ107),$CO$3:$CO$220,0),2),"")</f>
        <v/>
      </c>
      <c r="CS107" s="259">
        <f t="shared" ca="1" si="192"/>
        <v>0</v>
      </c>
      <c r="CT107" s="259">
        <f t="shared" ca="1" si="193"/>
        <v>0</v>
      </c>
      <c r="CU107" s="259">
        <f ca="1">IF(OR(CS107&gt;0,CT107&gt;0),MAX($CU$2:CU106)+1,0)</f>
        <v>0</v>
      </c>
      <c r="CV107" s="259" t="str">
        <f ca="1">IFERROR(INDEX(PIANO_DEI_CONTI,MATCH(ROWS($CV$3:CV107),$CU$3:$CU$200,0),2),"")</f>
        <v/>
      </c>
      <c r="CW107" s="259">
        <f ca="1">IFERROR(IF(CV107&lt;&gt;"",MAX($CW$2:CW106)+1,0),0)</f>
        <v>0</v>
      </c>
      <c r="CX107" s="259">
        <f t="shared" ca="1" si="326"/>
        <v>6</v>
      </c>
      <c r="CY107" s="259" t="str">
        <f t="shared" ca="1" si="337"/>
        <v>MASTRO</v>
      </c>
      <c r="CZ107" s="259" t="e">
        <f t="shared" ca="1" si="328"/>
        <v>#N/A</v>
      </c>
      <c r="DA107" s="259" t="str">
        <f t="shared" ca="1" si="333"/>
        <v/>
      </c>
      <c r="DB107" s="259" t="str">
        <f t="shared" ca="1" si="329"/>
        <v/>
      </c>
      <c r="DC107" s="259" t="str">
        <f t="shared" ca="1" si="330"/>
        <v/>
      </c>
      <c r="DD107" s="259" t="str">
        <f t="shared" ca="1" si="331"/>
        <v/>
      </c>
      <c r="DE107" s="259" t="str">
        <f t="shared" ca="1" si="332"/>
        <v/>
      </c>
      <c r="DF107" s="259">
        <f ca="1">IF(AND(CX107=$DE$2,$DF$2&lt;&gt;0),0,IF(AND(DB107&lt;&gt;"",OR(DB106&lt;&gt;"",DB108&lt;&gt;"")),MAX($DF$2:DF106)+1,0))</f>
        <v>0</v>
      </c>
      <c r="DG107" s="259" t="str">
        <f>IF(IF(LIBRO_GIORNALE!E15="","",IFERROR(INDEX(PIANO_DEI_CONTI,MATCH(BB107,DENOMINAZIONE,0),1),0))=0,"",IF(LIBRO_GIORNALE!E15="","",IFERROR(INDEX(PIANO_DEI_CONTI,MATCH(BB107,DENOMINAZIONE,0),1),0)))</f>
        <v/>
      </c>
      <c r="DH107" s="259">
        <f ca="1">IFERROR(IF($J$1=1,IF(INDEX(PIANO_DEI_CONTI,MATCH($K107,DENOMINAZIONE,0),5)=$DF$1,MAX($DH$2:DH106)+1,0),IF($J$1=2,IF(INDEX(PIANO_DEI_CONTI,MATCH($K107,DENOMINAZIONE,0),7)=$DF$1,MAX($DH$2:DH106)+1,0))),0)</f>
        <v>0</v>
      </c>
      <c r="DI107" s="259">
        <f ca="1">IFERROR(INDEX($K$3:$K$220,MATCH(ROWS($DI$3:DI107),$DH$3:$DH$220,0),1),0)</f>
        <v>0</v>
      </c>
      <c r="DJ107" s="259">
        <f t="shared" ca="1" si="194"/>
        <v>0</v>
      </c>
      <c r="DK107" s="259">
        <f ca="1">IF(DJ107=0,0,MAX(DK$2:DK106)+1)</f>
        <v>0</v>
      </c>
      <c r="DL107" s="259">
        <f ca="1">IFERROR(INDEX(PIANO_DEI_CONTI,MATCH(ROWS(DL$3:DL107),$DK$3:DK334,0),2),0)</f>
        <v>0</v>
      </c>
      <c r="DM107" s="259">
        <f t="shared" ca="1" si="195"/>
        <v>0</v>
      </c>
      <c r="DN107" s="259">
        <f t="shared" ca="1" si="196"/>
        <v>0</v>
      </c>
      <c r="DO107" s="259">
        <f t="shared" ca="1" si="245"/>
        <v>0</v>
      </c>
      <c r="DP107" s="259">
        <f t="shared" ca="1" si="246"/>
        <v>0</v>
      </c>
      <c r="DQ107" s="259">
        <f ca="1">IF(OR($DQ$1="TOTALI",$DQ$1="TOTALI ED ECCEDENZE"),IF(OR(DM107&gt;0,DN107&gt;0),MAX(DQ$2:DQ106)+1,0),IF($DQ$1="ECCEDENZE",IF(OR(DO107&gt;0,DP107&gt;0),MAX(DQ$2:DQ106)+1,0),""))</f>
        <v>0</v>
      </c>
      <c r="DR107" s="259" t="str">
        <f ca="1">IFERROR(INDEX($DL$3:$DQ$230,MATCH(ROWS(DR$3:DR107),$DQ$3:$DQ$230,0),1),"")</f>
        <v/>
      </c>
      <c r="DS107" s="259" t="str">
        <f t="shared" ca="1" si="247"/>
        <v/>
      </c>
      <c r="DT107" s="259" t="str">
        <f t="shared" ca="1" si="248"/>
        <v/>
      </c>
      <c r="DU107" s="259" t="str">
        <f t="shared" ca="1" si="249"/>
        <v/>
      </c>
      <c r="DV107" s="259" t="str">
        <f t="shared" ca="1" si="250"/>
        <v/>
      </c>
      <c r="DW107" s="259">
        <f t="shared" ca="1" si="251"/>
        <v>0</v>
      </c>
      <c r="DX107" s="259" t="str">
        <f t="shared" ca="1" si="252"/>
        <v/>
      </c>
      <c r="DY107" s="259" t="str">
        <f t="shared" ca="1" si="253"/>
        <v/>
      </c>
      <c r="DZ107" s="259" t="str">
        <f t="shared" ca="1" si="254"/>
        <v/>
      </c>
      <c r="EA107" s="259">
        <f t="shared" ca="1" si="255"/>
        <v>105</v>
      </c>
      <c r="EB107" s="259" t="s">
        <v>363</v>
      </c>
      <c r="ED107" s="259">
        <f t="shared" ca="1" si="197"/>
        <v>0</v>
      </c>
      <c r="EH107" s="259" t="str">
        <f t="shared" ca="1" si="256"/>
        <v/>
      </c>
      <c r="EI107" s="260" t="b">
        <f t="shared" ca="1" si="310"/>
        <v>0</v>
      </c>
      <c r="EJ107" s="260" t="b">
        <f t="shared" ca="1" si="311"/>
        <v>0</v>
      </c>
      <c r="EK107" s="260" t="b">
        <f t="shared" ca="1" si="312"/>
        <v>0</v>
      </c>
      <c r="EL107" s="259">
        <f t="shared" si="257"/>
        <v>105</v>
      </c>
      <c r="EM107" s="259">
        <f ca="1">IF(AND(BA107&gt;0,BA107&lt;=$EM$1),MAX($EM$2:EM106)+1,0)</f>
        <v>0</v>
      </c>
      <c r="EN107" s="259">
        <f t="shared" ca="1" si="258"/>
        <v>107</v>
      </c>
      <c r="EP107" s="259" t="str">
        <f t="shared" ca="1" si="200"/>
        <v/>
      </c>
      <c r="EQ107" s="259">
        <f t="shared" ca="1" si="201"/>
        <v>0</v>
      </c>
      <c r="ER107" s="259">
        <f ca="1">IF(ISNA(EQ107),MAX(ER$2:ER106)+1,0)</f>
        <v>0</v>
      </c>
      <c r="ES107" s="259" t="str">
        <f t="shared" ca="1" si="259"/>
        <v/>
      </c>
      <c r="ET107" s="259" t="str">
        <f ca="1">IFERROR(UPPER(INDEX($ER$3:$ES$500,MATCH(ROWS(ET$3:ET107),$ER$3:$ER$500,0),2)),"")</f>
        <v/>
      </c>
      <c r="EW107" s="259">
        <f t="shared" ca="1" si="344"/>
        <v>1</v>
      </c>
      <c r="EX107" s="259">
        <v>5</v>
      </c>
      <c r="EY107" s="259">
        <f t="shared" ca="1" si="345"/>
        <v>0</v>
      </c>
      <c r="EZ107" s="259">
        <f t="shared" ca="1" si="346"/>
        <v>0</v>
      </c>
      <c r="FA107" s="259">
        <f t="shared" ca="1" si="347"/>
        <v>0</v>
      </c>
      <c r="FB107" s="259">
        <f t="shared" ca="1" si="348"/>
        <v>0</v>
      </c>
      <c r="FC107" s="259">
        <f t="shared" ca="1" si="349"/>
        <v>0</v>
      </c>
      <c r="FD107" s="259">
        <f t="shared" ca="1" si="202"/>
        <v>0</v>
      </c>
      <c r="FE107" s="259" t="str">
        <f t="shared" ca="1" si="203"/>
        <v/>
      </c>
      <c r="FF107" s="259" t="str">
        <f t="shared" ca="1" si="350"/>
        <v/>
      </c>
      <c r="FG107" s="259" t="str">
        <f t="shared" si="335"/>
        <v/>
      </c>
      <c r="FH107" s="259">
        <f t="shared" ca="1" si="334"/>
        <v>0</v>
      </c>
      <c r="FI107" s="259">
        <f t="shared" ca="1" si="204"/>
        <v>0</v>
      </c>
      <c r="FJ107" s="259">
        <f t="shared" ca="1" si="336"/>
        <v>0</v>
      </c>
      <c r="FK107" s="259">
        <f t="shared" ca="1" si="267"/>
        <v>0</v>
      </c>
      <c r="FL107" s="259">
        <f ca="1">IF(OR(FJ107&gt;0,FK107&gt;0),MAX($FL$2:FL106)+1,0)</f>
        <v>0</v>
      </c>
      <c r="FM107" s="259">
        <f t="shared" ca="1" si="205"/>
        <v>0</v>
      </c>
      <c r="FN107" s="259">
        <f ca="1">IF(FM107&lt;0,MAX($FN$2:FN106)+1,0)</f>
        <v>0</v>
      </c>
      <c r="FO107" s="259" t="str">
        <f t="shared" ca="1" si="268"/>
        <v/>
      </c>
      <c r="FP107" s="259" t="str">
        <f ca="1">IFERROR(INDEX($FN$3:$FO$400,MATCH(ROWS($FP$3:FP107),$FN$3:$FN$400,0),2),"")</f>
        <v/>
      </c>
      <c r="FQ107" s="259" t="str">
        <f>IF(AE107="SE AVERE",MAX($FQ$2:FQ106)+1,"")</f>
        <v/>
      </c>
      <c r="FR107" s="259">
        <f>IF(AE107="SE DARE",MAX($FR$2:FR106)+1,"")</f>
        <v>22</v>
      </c>
      <c r="FS107" s="259" t="str">
        <f ca="1">IF(AND(AE107="SP DARE",AA107&lt;&gt;$FS$1,AA107&lt;&gt;$FT$1),MAX($FS$2:FS106)+1,IF(AND(GQ107="SP DARE",AA107&lt;&gt;$FS$1,AA107&lt;&gt;$FT$1),MAX($FS$2:FS106)+1,""))</f>
        <v/>
      </c>
      <c r="FT107" s="259" t="str">
        <f ca="1">IF(AND(AE107="SP AVERE",AA107&lt;&gt;$FU$1),MAX($FT$2:FT106)+1,IF(AND(GQ107="SP AVERE",AA107&lt;&gt;$FU$1),MAX($FT$2:FT106)+1,""))</f>
        <v/>
      </c>
      <c r="FU107" s="259">
        <f t="shared" ca="1" si="269"/>
        <v>22</v>
      </c>
      <c r="FV107" s="259" t="str">
        <f t="shared" si="270"/>
        <v>RESI SU VENDITE</v>
      </c>
      <c r="FW107" s="259" t="str">
        <f ca="1">IFERROR(INDEX($FU$3:$FV$500,MATCH(ROWS($FW$3:FW107),$FU$3:$FU$500,0),2),0)</f>
        <v>MERCI</v>
      </c>
      <c r="FX107" s="259">
        <f t="shared" ca="1" si="271"/>
        <v>105</v>
      </c>
      <c r="FY107" s="259">
        <f t="shared" ca="1" si="272"/>
        <v>0</v>
      </c>
      <c r="FZ107" s="259">
        <f ca="1">IF(FY107&gt;0,MAX($FZ$2:FZ106)+1,0)</f>
        <v>0</v>
      </c>
      <c r="GA107" s="259">
        <f ca="1">IFERROR(INDEX($FY$3:$FZ$500,MATCH(ROWS($GA$3:GA107),$FZ$3:$FZ$500,0),1),0)</f>
        <v>0</v>
      </c>
      <c r="GC107" s="259">
        <f t="shared" ca="1" si="273"/>
        <v>105</v>
      </c>
      <c r="GD107" s="259" t="str">
        <f t="shared" ca="1" si="274"/>
        <v>MERCI</v>
      </c>
      <c r="GG107" s="259">
        <f t="shared" ca="1" si="275"/>
        <v>0</v>
      </c>
      <c r="GH107" s="259">
        <f t="shared" ca="1" si="276"/>
        <v>0</v>
      </c>
      <c r="GI107" s="259">
        <f t="shared" ca="1" si="277"/>
        <v>0</v>
      </c>
      <c r="GJ107" s="259">
        <f t="shared" ca="1" si="278"/>
        <v>0</v>
      </c>
      <c r="GK107" s="259">
        <f t="shared" ca="1" si="279"/>
        <v>0</v>
      </c>
      <c r="GL107" s="259">
        <f t="shared" ca="1" si="280"/>
        <v>0</v>
      </c>
      <c r="GM107" s="259">
        <f ca="1">IF(OR(GK107&gt;0,GL107&gt;0),MAX($GM$2:GM106)+1,0)</f>
        <v>0</v>
      </c>
      <c r="GN107" s="259" t="str">
        <f ca="1">IFERROR(INDEX($GD$3:$GM$400,MATCH(ROWS($GN$3:GN107),$GM$3:$GM$400,0),1),"")</f>
        <v/>
      </c>
      <c r="GO107" s="259" t="str">
        <f ca="1">IFERROR(INDEX($GD$3:$GM$400,MATCH(ROWS($GO$3:GO107),$GM$3:$GM$400,0),8),"")</f>
        <v/>
      </c>
      <c r="GP107" s="259" t="str">
        <f ca="1">IFERROR(INDEX($GD$3:$GM$400,MATCH(ROWS($GP$3:GP107),$GM$3:$GM$400,0),9),"")</f>
        <v/>
      </c>
      <c r="GQ107" s="259">
        <f t="shared" ca="1" si="206"/>
        <v>0</v>
      </c>
      <c r="GR107" s="259">
        <f t="shared" ca="1" si="281"/>
        <v>0</v>
      </c>
      <c r="GS107" s="259" t="str">
        <f t="shared" ca="1" si="282"/>
        <v>chiusura del conto</v>
      </c>
      <c r="GT107" s="259" t="str">
        <f ca="1">IFERROR(INDEX($GD$3:$GS$400,MATCH(ROWS($GT$3:GT107),$GM$3:$GM$400,0),16),"")</f>
        <v/>
      </c>
      <c r="GU107" s="259">
        <f ca="1">IF(GQ107&lt;&gt;0,MAX($GU$2:$GU106)+1,0)</f>
        <v>0</v>
      </c>
      <c r="GV107" s="259">
        <f t="shared" ca="1" si="283"/>
        <v>0</v>
      </c>
      <c r="GW107" s="259" t="str">
        <f ca="1">IF(AND(IFERROR(INDEX($GU$3:$GV$400,MATCH(ROWS($GW$3:GW107),$GU$3:$GU$400,0),2),"")&lt;&gt;"",GW108&lt;&gt;""),CONCATENATE(IFERROR(INDEX($GU$3:$GV$400,MATCH(ROWS($GW$3:GW107),$GU$3:$GU$400,0),2),"")," - "),IFERROR(INDEX($GU$3:$GV$400,MATCH(ROWS($GW$3:GW107),$GU$3:$GU$400,0),2),""))</f>
        <v/>
      </c>
      <c r="GX107" s="259">
        <f ca="1">IF(OR(GN107="IVA NS/CREDITO",GN107="IVA NS/DEBITO",GN107="IVA C/ACCONTO",GN107="IMPOSTE C/ACCONTO"),MAX($GX$2:GX106)+1,0)</f>
        <v>0</v>
      </c>
      <c r="GY107" s="259" t="str">
        <f ca="1">IF(AND(IFERROR(INDEX($GN$3:$GX$200,MATCH(ROWS($GY$3:GY107),$GX$3:$GX$200,0),1),"")&lt;&gt;"",GY108&lt;&gt;""),CONCATENATE(IFERROR(INDEX($GN$3:$GX$200,MATCH(ROWS($GY$3:GY107),$GX$3:$GX$200,0),1),"")," - "),IFERROR(INDEX($GN$3:$GX$200,MATCH(ROWS($GY$3:GY107),$GX$3:$GX$200,0),1),""))</f>
        <v/>
      </c>
      <c r="GZ107" s="259" t="s">
        <v>129</v>
      </c>
      <c r="HA107" s="270" t="s">
        <v>538</v>
      </c>
      <c r="HV107" s="259" t="str">
        <f ca="1">CONCATENATE(IFERROR(INDEX($HS$3:$HT$102,MATCH(ROWS($HV$3:HV107),$HT$3:$HT$102,0),1),""),HR107)</f>
        <v/>
      </c>
      <c r="IC107" s="259">
        <f ca="1">IFERROR(INDEX(PIANO_DEI_CONTI,MATCH(ROWS(DL$3:DL107),$DK$3:DK334,0),2),0)</f>
        <v>0</v>
      </c>
      <c r="ID107" s="259">
        <f t="shared" ca="1" si="288"/>
        <v>0</v>
      </c>
      <c r="IE107" s="259">
        <f t="shared" ca="1" si="289"/>
        <v>0</v>
      </c>
      <c r="IF107" s="259">
        <f t="shared" ca="1" si="290"/>
        <v>0</v>
      </c>
      <c r="IG107" s="259">
        <f t="shared" ca="1" si="324"/>
        <v>0</v>
      </c>
      <c r="IH107" s="259">
        <f ca="1">IF(IG107&lt;&gt;0,MAX($IH$35:IH106)+1,0)</f>
        <v>0</v>
      </c>
      <c r="II107" s="259">
        <f>IF(AD107="costi pluriennali",MAX($II$2:II106)+1,0)</f>
        <v>0</v>
      </c>
      <c r="IJ107" s="259">
        <f>IF($AD107="rettifiche costi pluriennali",MAX($IJ$2:IJ106)+1,0)</f>
        <v>0</v>
      </c>
      <c r="IK107" s="259">
        <f t="shared" si="291"/>
        <v>0</v>
      </c>
      <c r="IL107" s="259" t="str">
        <f t="shared" si="292"/>
        <v/>
      </c>
      <c r="IM107" s="259">
        <f t="shared" ca="1" si="293"/>
        <v>0</v>
      </c>
      <c r="IN107" s="259">
        <f t="shared" ca="1" si="313"/>
        <v>0</v>
      </c>
      <c r="IO107" s="259">
        <f>SUMIFS($IM$3:$IM$200,$IK$3:$IK$200,ROWS($IO$3:IO107))-SUMIFS($IN$3:$IN$200,$IK$3:$IK$200,ROWS($IO$3:IO107))</f>
        <v>0</v>
      </c>
      <c r="IP107" s="259" t="str">
        <f>IF(IO107&lt;0,INDEX($IJ$3:$IL$200,MATCH(ROWS($IP$3:IP107),$IJ$3:$IJ$200,0),3),"")</f>
        <v/>
      </c>
      <c r="IQ107" s="259">
        <f>IF(IP107&lt;&gt;"",MAX($IQ$2:IQ106)+1,0)</f>
        <v>0</v>
      </c>
      <c r="IR107" s="259" t="str">
        <f ca="1">IFERROR(INDEX($IP$3:$IQ$200,MATCH(ROWS($IR$3:IR107),$IQ$3:$IQ$200,0),1),"")</f>
        <v/>
      </c>
      <c r="IS107" s="259" t="str">
        <f t="shared" ca="1" si="294"/>
        <v/>
      </c>
      <c r="IT107" s="259" t="str">
        <f t="shared" ca="1" si="295"/>
        <v/>
      </c>
      <c r="IU107" s="259" t="str">
        <f t="shared" ca="1" si="296"/>
        <v/>
      </c>
      <c r="IV107" s="259" t="str">
        <f t="shared" ca="1" si="297"/>
        <v/>
      </c>
      <c r="IW107" s="259" t="str">
        <f t="shared" ca="1" si="298"/>
        <v/>
      </c>
      <c r="IX107" s="259" t="str">
        <f t="shared" ca="1" si="299"/>
        <v/>
      </c>
      <c r="IY107" s="259" t="str">
        <f t="shared" ca="1" si="300"/>
        <v/>
      </c>
      <c r="IZ107" s="259" t="str">
        <f t="shared" ca="1" si="301"/>
        <v/>
      </c>
      <c r="JA107" s="259" t="str">
        <f t="shared" ca="1" si="302"/>
        <v/>
      </c>
      <c r="JB107" s="259">
        <f t="shared" ca="1" si="210"/>
        <v>0</v>
      </c>
      <c r="JC107" s="259">
        <f t="shared" ca="1" si="351"/>
        <v>0</v>
      </c>
      <c r="JD107" s="259">
        <f t="shared" ca="1" si="352"/>
        <v>0</v>
      </c>
      <c r="JE107" s="259">
        <f ca="1">IFERROR(INDEX(LIBRO_GIORNALE!$N$11:$O$408,MATCH(ROWS($JE$2:JE106),LIBRO_GIORNALE!$O$11:$O$408,0),1),0)</f>
        <v>0</v>
      </c>
      <c r="JF107" s="259" t="str">
        <f t="shared" ca="1" si="304"/>
        <v>0</v>
      </c>
      <c r="JG107" s="259">
        <f t="shared" ca="1" si="305"/>
        <v>0</v>
      </c>
      <c r="JH107" s="259">
        <f ca="1">IF(JJ107&gt;0,0,MAX($JH$2:JH106)+1)</f>
        <v>105</v>
      </c>
      <c r="JI107" s="259">
        <f ca="1">IF(JG107&gt;0,MAX($JI$2:JI106)+1,0)</f>
        <v>0</v>
      </c>
      <c r="JJ107" s="259">
        <f ca="1">IFERROR(INDEX($JG$3:$JI$124,MATCH(ROWS($JJ$3:JJ107),$JI$3:$JI$124,0),1),0)</f>
        <v>0</v>
      </c>
      <c r="JK107" s="259">
        <f t="shared" ca="1" si="306"/>
        <v>0</v>
      </c>
      <c r="JL107" s="259">
        <f t="shared" ca="1" si="307"/>
        <v>105</v>
      </c>
      <c r="JM107" s="259">
        <f t="shared" ca="1" si="353"/>
        <v>0</v>
      </c>
    </row>
    <row r="108" spans="1:273">
      <c r="A108" s="259" t="str">
        <f t="shared" si="211"/>
        <v>18.01</v>
      </c>
      <c r="B108" s="259" t="str">
        <f t="shared" si="212"/>
        <v>BILANCIO DI APERTURA</v>
      </c>
      <c r="C108" s="259">
        <f t="shared" si="213"/>
        <v>0</v>
      </c>
      <c r="D108" s="259" t="str">
        <f t="shared" si="214"/>
        <v>D/A</v>
      </c>
      <c r="E108" s="259" t="str">
        <f t="shared" si="215"/>
        <v>TRANSITORIO DI CONTROPARTITA</v>
      </c>
      <c r="F108" s="259">
        <f t="shared" si="216"/>
        <v>0</v>
      </c>
      <c r="G108" s="259">
        <f t="shared" ca="1" si="217"/>
        <v>0</v>
      </c>
      <c r="H108" s="259">
        <f t="shared" ca="1" si="218"/>
        <v>0</v>
      </c>
      <c r="I108" s="259">
        <f t="shared" ca="1" si="219"/>
        <v>0</v>
      </c>
      <c r="K108" s="259" t="str">
        <f ca="1">IFERROR(IF($I$1=1,INDEX($AA$3:$AS$220,MATCH(ROWS($K$3:K108),$AQ$3:$AQ$220,0),1),IF($I$1=2,INDEX($AA$3:$AS$220,MATCH(ROWS($K$3:K108),$AR$3:$AR$220,0),1),IF($I$1=3,INDEX($AA$3:$AS$220,MATCH(ROWS($K$3:K108),$AS$3:$AS$220,0),1),""))),"")</f>
        <v>ARROTONDAMENTI ATTIVI</v>
      </c>
      <c r="L108" s="259">
        <f ca="1">IF(AND($L$1="VISUALIZZA TUTTI I CONTI",K108&lt;&gt;""),MAX(L107:L107)+1,IFERROR(IF($J$1=1,IF(INDEX(PIANO_DEI_CONTI,MATCH($K108,DENOMINAZIONE,0),5)=$L$1,MAX($L$2:L107)+1,0),IF($J$1=2,IF(INDEX(PIANO_DEI_CONTI,MATCH($K108,DENOMINAZIONE,0),7)=$L$1,MAX($L$2:L107)+1,0))),0))</f>
        <v>106</v>
      </c>
      <c r="M108" s="259" t="str">
        <f ca="1">IFERROR(INDEX($K$3:$K$220,MATCH(ROWS($M$3:M108),$L$3:$L$220,0),1),"")</f>
        <v>ARROTONDAMENTI ATTIVI</v>
      </c>
      <c r="Q108" s="259" t="str">
        <f ca="1">IF(IFERROR(INDEX($O$3:$P$220,MATCH(ROWS(Q$3:Q108),$P$3:$P$220,0),1),"")=0,"",IFERROR(INDEX($O$3:$P$220,MATCH(ROWS(Q$3:Q108),$P$3:$P$220,0),1),""))</f>
        <v/>
      </c>
      <c r="R108" s="259" t="str">
        <f t="shared" ca="1" si="182"/>
        <v/>
      </c>
      <c r="S108" s="259">
        <f ca="1">IF(IFERROR(MATCH(R108,DENOMINAZIONE_GIORNALE,0),0)&gt;0,MAX(S$2:S107)+1,0)</f>
        <v>0</v>
      </c>
      <c r="T108" s="259" t="str">
        <f ca="1">IFERROR(INDEX($R$3:$S$220,MATCH(ROWS($T$3:T108),$S$3:$S$220,0),1),"")</f>
        <v/>
      </c>
      <c r="U108" s="259">
        <f t="shared" ca="1" si="183"/>
        <v>0</v>
      </c>
      <c r="V108" s="259">
        <f ca="1">IF(IF(U108&lt;&gt;0,MAX($V$2:V107)+1,0)=0,0,IF(U108&lt;&gt;0,MAX($V$2:V107)+1,0))</f>
        <v>0</v>
      </c>
      <c r="W108" s="259" t="str">
        <f t="shared" si="220"/>
        <v>18.01</v>
      </c>
      <c r="X108" s="259" t="str">
        <f t="shared" si="221"/>
        <v>BILANCIO DI APERTURA</v>
      </c>
      <c r="Y108" s="259">
        <f>IF(W108="",0,MAX($Y$2:Y107)+1)</f>
        <v>90</v>
      </c>
      <c r="Z108" s="259" t="str">
        <f>IFERROR(INDEX($W$3:$Y$220,MATCH(ROWS($Z$2:Z107),$Y$3:$Y$220,0),1),"")</f>
        <v>20.11</v>
      </c>
      <c r="AA108" s="259" t="str">
        <f t="shared" si="222"/>
        <v>RIBASSI E ABBUONI PASSIVI</v>
      </c>
      <c r="AB108" s="259" t="str">
        <f t="shared" si="223"/>
        <v>E</v>
      </c>
      <c r="AC108" s="259" t="str">
        <f t="shared" si="224"/>
        <v>D</v>
      </c>
      <c r="AD108" s="259" t="str">
        <f t="shared" si="225"/>
        <v>RETTIFICHE RICAVI D'ESERCIZIO</v>
      </c>
      <c r="AE108" s="259" t="str">
        <f t="shared" si="226"/>
        <v>SE DARE</v>
      </c>
      <c r="AF108" s="259" t="str">
        <f t="shared" si="227"/>
        <v>VALORE DELLA PRODUZIONE</v>
      </c>
      <c r="AG108" s="259">
        <f t="shared" ca="1" si="228"/>
        <v>1</v>
      </c>
      <c r="AH108" s="259">
        <f t="shared" ca="1" si="229"/>
        <v>1</v>
      </c>
      <c r="AI108" s="259">
        <f t="shared" ca="1" si="230"/>
        <v>1</v>
      </c>
      <c r="AJ108" s="259" t="str">
        <f t="shared" si="231"/>
        <v>20</v>
      </c>
      <c r="AK108" s="259" t="str">
        <f t="shared" si="232"/>
        <v/>
      </c>
      <c r="AL108" s="259">
        <f>IF(AK108&lt;&gt;"",MAX($AL$2:AL107)+1,0)</f>
        <v>0</v>
      </c>
      <c r="AM108" s="259" t="str">
        <f>IFERROR(INDEX($AK$3:$AL$220,MATCH(ROWS($AM$3:AM108),$AL$3:$AL$220,0),1),"")</f>
        <v/>
      </c>
      <c r="AN108" s="259" t="str">
        <f t="shared" si="233"/>
        <v/>
      </c>
      <c r="AO108" s="259" t="str">
        <f t="shared" si="234"/>
        <v/>
      </c>
      <c r="AP108" s="259" t="str">
        <f t="shared" si="235"/>
        <v>VALORE DELLA PRODUZIONE</v>
      </c>
      <c r="AQ108" s="259">
        <f ca="1">IF(OR(AG108=0,AG108=""),0,MAX(AQ$2:AQ107)+1)</f>
        <v>50</v>
      </c>
      <c r="AR108" s="259">
        <f ca="1">IF(OR(AH108=0,AH108=""),0,MAX(AR$2:AR107)+1)</f>
        <v>72</v>
      </c>
      <c r="AS108" s="259">
        <f ca="1">IF(OR(AI108=0,AI108=""),0,MAX(AS$2:AS107)+1)</f>
        <v>102</v>
      </c>
      <c r="AT108" s="259" t="str">
        <f ca="1">IFERROR(INDEX($AD$3:$AS$220,MATCH(ROWS(AT$3:AT108),AQ$3:AQ$220,0),1),"")</f>
        <v/>
      </c>
      <c r="AU108" s="259" t="str">
        <f ca="1">IFERROR(INDEX($AD$3:$AS$220,MATCH(ROWS(AU$3:AU108),AR$3:AR$220,0),1),"")</f>
        <v>COSTI D'ESERCIZIO</v>
      </c>
      <c r="AV108" s="259" t="str">
        <f ca="1">IFERROR(INDEX($AD$3:$AS$220,MATCH(ROWS(AV$3:AV108),AS$3:AS$220,0),1),"")</f>
        <v>RICAVI D'ESERCIZIO</v>
      </c>
      <c r="AW108" s="259" t="str">
        <f ca="1">IFERROR(INDEX($AP$3:$AS$220,MATCH(ROWS(AW$3:AW108),AQ$3:AQ$220,0),1),"")</f>
        <v/>
      </c>
      <c r="AX108" s="259" t="str">
        <f ca="1">IFERROR(INDEX($AP$3:$AS$220,MATCH(ROWS(AX$3:AX108),AR$3:AR$220,0),1),"")</f>
        <v>COSTI PER IL PERSONALE</v>
      </c>
      <c r="AY108" s="259" t="str">
        <f ca="1">IFERROR(INDEX($AP$3:$AS$220,MATCH(ROWS(AY$3:AY108),AS$3:AS$220,0),1),"")</f>
        <v>VALORE DELLA PRODUZIONE</v>
      </c>
      <c r="AZ108" s="259" t="str">
        <f t="shared" si="339"/>
        <v>6 V.I.</v>
      </c>
      <c r="BA108" s="259">
        <f t="shared" ca="1" si="338"/>
        <v>0</v>
      </c>
      <c r="BB108" s="259">
        <f t="shared" ca="1" si="340"/>
        <v>0</v>
      </c>
      <c r="BC108" s="259">
        <f t="shared" ca="1" si="341"/>
        <v>0</v>
      </c>
      <c r="BD108" s="259">
        <f t="shared" ca="1" si="342"/>
        <v>0</v>
      </c>
      <c r="BE108" s="259">
        <f t="shared" ca="1" si="343"/>
        <v>0</v>
      </c>
      <c r="BG108" s="259" t="str">
        <f t="shared" ca="1" si="185"/>
        <v/>
      </c>
      <c r="BH108" s="259">
        <f ca="1">IF(IFERROR(MATCH(BG108,DENOMINAZIONE_GIORNALE,0),0)&gt;0,MAX(BH$2:BH107)+1,0)</f>
        <v>0</v>
      </c>
      <c r="BI108" s="259" t="str">
        <f ca="1">IFERROR(INDEX($BG$3:$BH$220,MATCH(ROWS($BI$3:BI108),$BH$3:$BH$220,0),1),"")</f>
        <v/>
      </c>
      <c r="BJ108" s="259" t="str">
        <f t="shared" ca="1" si="186"/>
        <v/>
      </c>
      <c r="BK108" s="259" t="str">
        <f ca="1">IF(IF(BJ108&lt;&gt;"",MAX($BK$2:BK107)+1,0)=0,"",IF(BJ108&lt;&gt;"",MAX($BK$2:BK107)+1,0))</f>
        <v/>
      </c>
      <c r="BL108" s="259" t="str">
        <f ca="1">IFERROR(INDEX($T$3:$U$220, MATCH(ROWS(BL$3:BL108),$V$3:$V$220,0),1),"")</f>
        <v/>
      </c>
      <c r="BM108" s="259" t="str">
        <f ca="1">IFERROR(INDEX($T$3:$U$220, MATCH(ROWS(BM$3:BM108),$V$3:$V$220,0),2),"")</f>
        <v/>
      </c>
      <c r="BN108" s="259" t="str">
        <f ca="1">IF(IFERROR(INDEX($BI$3:$BJ$220,MATCH(ROWS(BN$3:BN108),$BK$3:$BK$220,0),1),"")="PATRIMONIO NETTO","",IFERROR(INDEX($BI$3:$BJ$220,MATCH(ROWS(BN$3:BN108),$BK$3:$BK$220,0),1),""))</f>
        <v/>
      </c>
      <c r="BO108" s="259" t="str">
        <f ca="1">IFERROR(INDEX($BI$3:$BJ$220,MATCH(ROWS(BO$3:BO108),$BK$3:$BK$220,0),2),"")</f>
        <v/>
      </c>
      <c r="BP108" s="259">
        <f ca="1">IF(BN108&lt;&gt;"",MAX(BP$2:$BP107)+1,0)</f>
        <v>0</v>
      </c>
      <c r="BQ108" s="259" t="str">
        <f ca="1">IFERROR(INDEX($BN$3:$BO$200,MATCH(ROWS(BQ$3:BQ108),$BP$3:$BP$220,0),1),"")</f>
        <v/>
      </c>
      <c r="BR108" s="259" t="str">
        <f ca="1">IFERROR(INDEX($BN$3:$BO$220,MATCH(ROWS(BR$3:BR108),$BP$3:$BP$220,0),2),"")</f>
        <v/>
      </c>
      <c r="BS108" s="259" t="str">
        <f ca="1">IFERROR(IF(OR(INDEX($T$3:$U$220,MATCH(ROWS(BL$3:BL108),$V$3:$V$220,0),1)="PRELEVAMENTI EXTRAGESTIONE",INDEX($T$3:$U$220,MATCH(ROWS(BL$3:BL108),$V$3:$V$220,0),1)="TITOLARE C/RITENUTE SUBITE"),"",INDEX($T$3:$U$220,MATCH(ROWS(BL$3:BL108),$V$3:$V$220,0),1)),"")</f>
        <v/>
      </c>
      <c r="BT108" s="259">
        <f t="shared" ca="1" si="238"/>
        <v>0</v>
      </c>
      <c r="BU108" s="259">
        <f ca="1">IF(BS108&lt;&gt;"",MAX(BU$2:BU107)+1,0)</f>
        <v>0</v>
      </c>
      <c r="BV108" s="259" t="str">
        <f ca="1">IFERROR(INDEX($BS$3:$BT$223,MATCH(ROWS(BV$3:BV108),$BU$3:$BU$223,0),1),"")</f>
        <v/>
      </c>
      <c r="BW108" s="259">
        <f t="shared" ca="1" si="239"/>
        <v>0</v>
      </c>
      <c r="CB108" s="259" t="str">
        <f ca="1">IFERROR(IF(OR($BB$1&lt;&gt;$BD$1,$BC$1&lt;&gt;$BE$1,$DS$231&lt;&gt;$DT$231,$DU$231&lt;&gt;$DV$231,$EO$25&lt;&gt;0,$EO$26&lt;&gt;0),INDEX($BI$3:$BK$220,MATCH(ROWS($CB$3:CB108),$BK$3:$BK$220,0),1),CONCATENATE(BQ108,BX108)),"")</f>
        <v/>
      </c>
      <c r="CC108" s="259" t="str">
        <f t="shared" ca="1" si="243"/>
        <v/>
      </c>
      <c r="CD108" s="259" t="str">
        <f t="shared" ca="1" si="187"/>
        <v>RIBASSI E ABBUONI PASSIVI</v>
      </c>
      <c r="CE108" s="259">
        <f ca="1">IF(IFERROR(MATCH(CD108,DENOMINAZIONE_GIORNALE,0),0)&gt;0,MAX(CE$2:CE107)+1,0)</f>
        <v>0</v>
      </c>
      <c r="CF108" s="259" t="str">
        <f ca="1">IFERROR(INDEX($CD$3:$CE$220,MATCH(ROWS($CF$3:CF108),$CE$3:$CE$220,0),1),"")</f>
        <v/>
      </c>
      <c r="CG108" s="259">
        <f t="shared" ca="1" si="188"/>
        <v>0</v>
      </c>
      <c r="CH108" s="259" t="str">
        <f ca="1">IF(IF(CG108&lt;&gt;0,MAX($CH$2:CH107)+1,0)=0,"",IF(CG108&lt;&gt;"",MAX($CH$2:CH107)+1,0))</f>
        <v/>
      </c>
      <c r="CI108" s="259" t="str">
        <f ca="1">IFERROR(INDEX($CF$3:$CG$220,MATCH(ROWS($CI$3:CI108),$CH$3:$CH$220,0),1),"")</f>
        <v/>
      </c>
      <c r="CJ108" s="259" t="str">
        <f t="shared" ca="1" si="244"/>
        <v/>
      </c>
      <c r="CK108" s="259" t="str">
        <f t="shared" ca="1" si="189"/>
        <v/>
      </c>
      <c r="CL108" s="259">
        <f ca="1">IF(IFERROR(MATCH(CK108,DENOMINAZIONE_GIORNALE,0),0)&gt;0,MAX(CL$2:CL107)+1,0)</f>
        <v>0</v>
      </c>
      <c r="CM108" s="259" t="str">
        <f ca="1">IFERROR(INDEX($CK$3:$CL$220,MATCH(ROWS($CM$3:CM108),$CL$3:$CL$220,0),1),"")</f>
        <v/>
      </c>
      <c r="CN108" s="259" t="str">
        <f t="shared" ca="1" si="190"/>
        <v/>
      </c>
      <c r="CO108" s="259">
        <f ca="1">IF(IF(CN108&lt;&gt;0,MAX($CO$2:CO107)+1,0)=0,"",IF(CN108&lt;&gt;"",MAX($CO$2:CO107)+1,0))</f>
        <v>0</v>
      </c>
      <c r="CP108" s="259" t="str">
        <f ca="1">IFERROR(INDEX($CM$3:$CN$220,MATCH(ROWS(CP$3:CP108),$CO$3:$CO$220,0),1),"")</f>
        <v/>
      </c>
      <c r="CQ108" s="259" t="str">
        <f ca="1">IFERROR(INDEX($CM$3:$CN$220,MATCH(ROWS(CQ$3:CQ108),$CO$3:$CO$220,0),2),"")</f>
        <v/>
      </c>
      <c r="CS108" s="259">
        <f t="shared" ca="1" si="192"/>
        <v>0</v>
      </c>
      <c r="CT108" s="259">
        <f t="shared" ca="1" si="193"/>
        <v>0</v>
      </c>
      <c r="CU108" s="259">
        <f ca="1">IF(OR(CS108&gt;0,CT108&gt;0),MAX($CU$2:CU107)+1,0)</f>
        <v>0</v>
      </c>
      <c r="CV108" s="259" t="str">
        <f ca="1">IFERROR(INDEX(PIANO_DEI_CONTI,MATCH(ROWS($CV$3:CV108),$CU$3:$CU$200,0),2),"")</f>
        <v/>
      </c>
      <c r="CW108" s="259">
        <f ca="1">IFERROR(IF(CV108&lt;&gt;"",MAX($CW$2:CW107)+1,0),0)</f>
        <v>0</v>
      </c>
      <c r="CX108" s="259">
        <f t="shared" ca="1" si="326"/>
        <v>6</v>
      </c>
      <c r="CY108" s="259" t="str">
        <f t="shared" ca="1" si="337"/>
        <v>MASTRO</v>
      </c>
      <c r="CZ108" s="259" t="e">
        <f t="shared" ca="1" si="328"/>
        <v>#N/A</v>
      </c>
      <c r="DA108" s="259" t="str">
        <f t="shared" ca="1" si="333"/>
        <v/>
      </c>
      <c r="DB108" s="259" t="str">
        <f t="shared" ca="1" si="329"/>
        <v/>
      </c>
      <c r="DC108" s="259" t="str">
        <f t="shared" ca="1" si="330"/>
        <v/>
      </c>
      <c r="DD108" s="259" t="str">
        <f t="shared" ca="1" si="331"/>
        <v/>
      </c>
      <c r="DE108" s="259" t="str">
        <f t="shared" ca="1" si="332"/>
        <v/>
      </c>
      <c r="DF108" s="259">
        <f ca="1">IF(AND(CX108=$DE$2,$DF$2&lt;&gt;0),0,IF(AND(DB108&lt;&gt;"",OR(DB107&lt;&gt;"",DB109&lt;&gt;"")),MAX($DF$2:DF107)+1,0))</f>
        <v>0</v>
      </c>
      <c r="DG108" s="259" t="str">
        <f>IF(IF(LIBRO_GIORNALE!E16="","",IFERROR(INDEX(PIANO_DEI_CONTI,MATCH(BB108,DENOMINAZIONE,0),1),0))=0,"",IF(LIBRO_GIORNALE!E16="","",IFERROR(INDEX(PIANO_DEI_CONTI,MATCH(BB108,DENOMINAZIONE,0),1),0)))</f>
        <v/>
      </c>
      <c r="DH108" s="259">
        <f ca="1">IFERROR(IF($J$1=1,IF(INDEX(PIANO_DEI_CONTI,MATCH($K108,DENOMINAZIONE,0),5)=$DF$1,MAX($DH$2:DH107)+1,0),IF($J$1=2,IF(INDEX(PIANO_DEI_CONTI,MATCH($K108,DENOMINAZIONE,0),7)=$DF$1,MAX($DH$2:DH107)+1,0))),0)</f>
        <v>0</v>
      </c>
      <c r="DI108" s="259">
        <f ca="1">IFERROR(INDEX($K$3:$K$220,MATCH(ROWS($DI$3:DI108),$DH$3:$DH$220,0),1),0)</f>
        <v>0</v>
      </c>
      <c r="DJ108" s="259">
        <f t="shared" ca="1" si="194"/>
        <v>0</v>
      </c>
      <c r="DK108" s="259">
        <f ca="1">IF(DJ108=0,0,MAX(DK$2:DK107)+1)</f>
        <v>0</v>
      </c>
      <c r="DL108" s="259">
        <f ca="1">IFERROR(INDEX(PIANO_DEI_CONTI,MATCH(ROWS(DL$3:DL108),$DK$3:DK335,0),2),0)</f>
        <v>0</v>
      </c>
      <c r="DM108" s="259">
        <f t="shared" ca="1" si="195"/>
        <v>0</v>
      </c>
      <c r="DN108" s="259">
        <f t="shared" ca="1" si="196"/>
        <v>0</v>
      </c>
      <c r="DO108" s="259">
        <f t="shared" ca="1" si="245"/>
        <v>0</v>
      </c>
      <c r="DP108" s="259">
        <f t="shared" ca="1" si="246"/>
        <v>0</v>
      </c>
      <c r="DQ108" s="259">
        <f ca="1">IF(OR($DQ$1="TOTALI",$DQ$1="TOTALI ED ECCEDENZE"),IF(OR(DM108&gt;0,DN108&gt;0),MAX(DQ$2:DQ107)+1,0),IF($DQ$1="ECCEDENZE",IF(OR(DO108&gt;0,DP108&gt;0),MAX(DQ$2:DQ107)+1,0),""))</f>
        <v>0</v>
      </c>
      <c r="DR108" s="259" t="str">
        <f ca="1">IFERROR(INDEX($DL$3:$DQ$230,MATCH(ROWS(DR$3:DR108),$DQ$3:$DQ$230,0),1),"")</f>
        <v/>
      </c>
      <c r="DS108" s="259" t="str">
        <f t="shared" ca="1" si="247"/>
        <v/>
      </c>
      <c r="DT108" s="259" t="str">
        <f t="shared" ca="1" si="248"/>
        <v/>
      </c>
      <c r="DU108" s="259" t="str">
        <f t="shared" ca="1" si="249"/>
        <v/>
      </c>
      <c r="DV108" s="259" t="str">
        <f t="shared" ca="1" si="250"/>
        <v/>
      </c>
      <c r="DW108" s="259">
        <f t="shared" ca="1" si="251"/>
        <v>0</v>
      </c>
      <c r="DX108" s="259" t="str">
        <f t="shared" ca="1" si="252"/>
        <v/>
      </c>
      <c r="DY108" s="259" t="str">
        <f t="shared" ca="1" si="253"/>
        <v/>
      </c>
      <c r="DZ108" s="259" t="str">
        <f t="shared" ca="1" si="254"/>
        <v/>
      </c>
      <c r="EA108" s="259">
        <f t="shared" ca="1" si="255"/>
        <v>106</v>
      </c>
      <c r="EB108" s="259" t="s">
        <v>363</v>
      </c>
      <c r="ED108" s="259">
        <f t="shared" ca="1" si="197"/>
        <v>0</v>
      </c>
      <c r="EH108" s="259" t="str">
        <f t="shared" ca="1" si="256"/>
        <v/>
      </c>
      <c r="EI108" s="260" t="b">
        <f t="shared" ca="1" si="310"/>
        <v>0</v>
      </c>
      <c r="EJ108" s="260" t="b">
        <f t="shared" ca="1" si="311"/>
        <v>0</v>
      </c>
      <c r="EK108" s="260" t="b">
        <f t="shared" ca="1" si="312"/>
        <v>0</v>
      </c>
      <c r="EL108" s="259">
        <f t="shared" si="257"/>
        <v>106</v>
      </c>
      <c r="EM108" s="259">
        <f ca="1">IF(AND(BA108&gt;0,BA108&lt;=$EM$1),MAX($EM$2:EM107)+1,0)</f>
        <v>0</v>
      </c>
      <c r="EN108" s="259">
        <f t="shared" ca="1" si="258"/>
        <v>108</v>
      </c>
      <c r="EP108" s="259" t="str">
        <f t="shared" ca="1" si="200"/>
        <v/>
      </c>
      <c r="EQ108" s="259">
        <f t="shared" ca="1" si="201"/>
        <v>0</v>
      </c>
      <c r="ER108" s="259">
        <f ca="1">IF(ISNA(EQ108),MAX(ER$2:ER107)+1,0)</f>
        <v>0</v>
      </c>
      <c r="ES108" s="259" t="str">
        <f t="shared" ca="1" si="259"/>
        <v/>
      </c>
      <c r="ET108" s="259" t="str">
        <f ca="1">IFERROR(UPPER(INDEX($ER$3:$ES$500,MATCH(ROWS(ET$3:ET108),$ER$3:$ER$500,0),2)),"")</f>
        <v/>
      </c>
      <c r="EW108" s="259">
        <f t="shared" ca="1" si="344"/>
        <v>1</v>
      </c>
      <c r="EX108" s="259">
        <v>6</v>
      </c>
      <c r="EY108" s="259">
        <f t="shared" ca="1" si="345"/>
        <v>0</v>
      </c>
      <c r="EZ108" s="259">
        <f t="shared" ca="1" si="346"/>
        <v>0</v>
      </c>
      <c r="FA108" s="259">
        <f t="shared" ca="1" si="347"/>
        <v>0</v>
      </c>
      <c r="FB108" s="259">
        <f t="shared" ca="1" si="348"/>
        <v>0</v>
      </c>
      <c r="FC108" s="259">
        <f t="shared" ca="1" si="349"/>
        <v>0</v>
      </c>
      <c r="FD108" s="259">
        <f t="shared" ca="1" si="202"/>
        <v>0</v>
      </c>
      <c r="FE108" s="259" t="str">
        <f t="shared" ca="1" si="203"/>
        <v/>
      </c>
      <c r="FF108" s="259" t="str">
        <f t="shared" ca="1" si="350"/>
        <v/>
      </c>
      <c r="FG108" s="259" t="str">
        <f t="shared" si="335"/>
        <v/>
      </c>
      <c r="FH108" s="259">
        <f t="shared" ca="1" si="334"/>
        <v>0</v>
      </c>
      <c r="FI108" s="259">
        <f t="shared" ca="1" si="204"/>
        <v>0</v>
      </c>
      <c r="FJ108" s="259">
        <f t="shared" ca="1" si="336"/>
        <v>0</v>
      </c>
      <c r="FK108" s="259">
        <f t="shared" ca="1" si="267"/>
        <v>0</v>
      </c>
      <c r="FL108" s="259">
        <f ca="1">IF(OR(FJ108&gt;0,FK108&gt;0),MAX($FL$2:FL107)+1,0)</f>
        <v>0</v>
      </c>
      <c r="FM108" s="259">
        <f t="shared" ca="1" si="205"/>
        <v>0</v>
      </c>
      <c r="FN108" s="259">
        <f ca="1">IF(FM108&lt;0,MAX($FN$2:FN107)+1,0)</f>
        <v>0</v>
      </c>
      <c r="FO108" s="259" t="str">
        <f t="shared" ca="1" si="268"/>
        <v/>
      </c>
      <c r="FP108" s="259" t="str">
        <f ca="1">IFERROR(INDEX($FN$3:$FO$400,MATCH(ROWS($FP$3:FP108),$FN$3:$FN$400,0),2),"")</f>
        <v/>
      </c>
      <c r="FQ108" s="259" t="str">
        <f>IF(AE108="SE AVERE",MAX($FQ$2:FQ107)+1,"")</f>
        <v/>
      </c>
      <c r="FR108" s="259">
        <f>IF(AE108="SE DARE",MAX($FR$2:FR107)+1,"")</f>
        <v>23</v>
      </c>
      <c r="FS108" s="259" t="str">
        <f ca="1">IF(AND(AE108="SP DARE",AA108&lt;&gt;$FS$1,AA108&lt;&gt;$FT$1),MAX($FS$2:FS107)+1,IF(AND(GQ108="SP DARE",AA108&lt;&gt;$FS$1,AA108&lt;&gt;$FT$1),MAX($FS$2:FS107)+1,""))</f>
        <v/>
      </c>
      <c r="FT108" s="259" t="str">
        <f ca="1">IF(AND(AE108="SP AVERE",AA108&lt;&gt;$FU$1),MAX($FT$2:FT107)+1,IF(AND(GQ108="SP AVERE",AA108&lt;&gt;$FU$1),MAX($FT$2:FT107)+1,""))</f>
        <v/>
      </c>
      <c r="FU108" s="259">
        <f t="shared" ca="1" si="269"/>
        <v>23</v>
      </c>
      <c r="FV108" s="259" t="str">
        <f t="shared" si="270"/>
        <v>RIBASSI E ABBUONI PASSIVI</v>
      </c>
      <c r="FW108" s="259" t="str">
        <f ca="1">IFERROR(INDEX($FU$3:$FV$500,MATCH(ROWS($FW$3:FW108),$FU$3:$FU$500,0),2),0)</f>
        <v>FORNITORI C/ACCONTI</v>
      </c>
      <c r="FX108" s="259">
        <f t="shared" ca="1" si="271"/>
        <v>106</v>
      </c>
      <c r="FY108" s="259">
        <f t="shared" ca="1" si="272"/>
        <v>0</v>
      </c>
      <c r="FZ108" s="259">
        <f ca="1">IF(FY108&gt;0,MAX($FZ$2:FZ107)+1,0)</f>
        <v>0</v>
      </c>
      <c r="GA108" s="259">
        <f ca="1">IFERROR(INDEX($FY$3:$FZ$500,MATCH(ROWS($GA$3:GA108),$FZ$3:$FZ$500,0),1),0)</f>
        <v>0</v>
      </c>
      <c r="GC108" s="259">
        <f t="shared" ca="1" si="273"/>
        <v>106</v>
      </c>
      <c r="GD108" s="259" t="str">
        <f t="shared" ca="1" si="274"/>
        <v>FORNITORI C/ACCONTI</v>
      </c>
      <c r="GG108" s="259">
        <f t="shared" ca="1" si="275"/>
        <v>0</v>
      </c>
      <c r="GH108" s="259">
        <f t="shared" ca="1" si="276"/>
        <v>0</v>
      </c>
      <c r="GI108" s="259">
        <f t="shared" ca="1" si="277"/>
        <v>0</v>
      </c>
      <c r="GJ108" s="259">
        <f t="shared" ca="1" si="278"/>
        <v>0</v>
      </c>
      <c r="GK108" s="259">
        <f t="shared" ca="1" si="279"/>
        <v>0</v>
      </c>
      <c r="GL108" s="259">
        <f t="shared" ca="1" si="280"/>
        <v>0</v>
      </c>
      <c r="GM108" s="259">
        <f ca="1">IF(OR(GK108&gt;0,GL108&gt;0),MAX($GM$2:GM107)+1,0)</f>
        <v>0</v>
      </c>
      <c r="GN108" s="259" t="str">
        <f ca="1">IFERROR(INDEX($GD$3:$GM$400,MATCH(ROWS($GN$3:GN108),$GM$3:$GM$400,0),1),"")</f>
        <v/>
      </c>
      <c r="GO108" s="259" t="str">
        <f ca="1">IFERROR(INDEX($GD$3:$GM$400,MATCH(ROWS($GO$3:GO108),$GM$3:$GM$400,0),8),"")</f>
        <v/>
      </c>
      <c r="GP108" s="259" t="str">
        <f ca="1">IFERROR(INDEX($GD$3:$GM$400,MATCH(ROWS($GP$3:GP108),$GM$3:$GM$400,0),9),"")</f>
        <v/>
      </c>
      <c r="GQ108" s="259">
        <f t="shared" ca="1" si="206"/>
        <v>0</v>
      </c>
      <c r="GR108" s="259">
        <f t="shared" ca="1" si="281"/>
        <v>0</v>
      </c>
      <c r="GS108" s="259" t="str">
        <f t="shared" ca="1" si="282"/>
        <v>chiusura del conto</v>
      </c>
      <c r="GT108" s="259" t="str">
        <f ca="1">IFERROR(INDEX($GD$3:$GS$400,MATCH(ROWS($GT$3:GT108),$GM$3:$GM$400,0),16),"")</f>
        <v/>
      </c>
      <c r="GU108" s="259">
        <f ca="1">IF(GQ108&lt;&gt;0,MAX($GU$2:$GU107)+1,0)</f>
        <v>0</v>
      </c>
      <c r="GV108" s="259">
        <f t="shared" ca="1" si="283"/>
        <v>0</v>
      </c>
      <c r="GW108" s="259" t="str">
        <f ca="1">IF(AND(IFERROR(INDEX($GU$3:$GV$400,MATCH(ROWS($GW$3:GW108),$GU$3:$GU$400,0),2),"")&lt;&gt;"",GW109&lt;&gt;""),CONCATENATE(IFERROR(INDEX($GU$3:$GV$400,MATCH(ROWS($GW$3:GW108),$GU$3:$GU$400,0),2),"")," - "),IFERROR(INDEX($GU$3:$GV$400,MATCH(ROWS($GW$3:GW108),$GU$3:$GU$400,0),2),""))</f>
        <v/>
      </c>
      <c r="GX108" s="259">
        <f ca="1">IF(OR(GN108="IVA NS/CREDITO",GN108="IVA NS/DEBITO",GN108="IVA C/ACCONTO",GN108="IMPOSTE C/ACCONTO"),MAX($GX$2:GX107)+1,0)</f>
        <v>0</v>
      </c>
      <c r="GY108" s="259" t="str">
        <f ca="1">IF(AND(IFERROR(INDEX($GN$3:$GX$200,MATCH(ROWS($GY$3:GY108),$GX$3:$GX$200,0),1),"")&lt;&gt;"",GY109&lt;&gt;""),CONCATENATE(IFERROR(INDEX($GN$3:$GX$200,MATCH(ROWS($GY$3:GY108),$GX$3:$GX$200,0),1),"")," - "),IFERROR(INDEX($GN$3:$GX$200,MATCH(ROWS($GY$3:GY108),$GX$3:$GX$200,0),1),""))</f>
        <v/>
      </c>
      <c r="GZ108" s="259" t="s">
        <v>133</v>
      </c>
      <c r="HA108" s="259" t="s">
        <v>446</v>
      </c>
      <c r="HC108" s="269" t="s">
        <v>277</v>
      </c>
      <c r="HD108" s="269" t="s">
        <v>539</v>
      </c>
      <c r="HV108" s="259" t="str">
        <f ca="1">CONCATENATE(IFERROR(INDEX($HS$3:$HT$102,MATCH(ROWS($HV$3:HV108),$HT$3:$HT$102,0),1),""),HR108)</f>
        <v/>
      </c>
      <c r="IC108" s="259">
        <f ca="1">IFERROR(INDEX(PIANO_DEI_CONTI,MATCH(ROWS(DL$3:DL108),$DK$3:DK335,0),2),0)</f>
        <v>0</v>
      </c>
      <c r="ID108" s="259">
        <f t="shared" ca="1" si="288"/>
        <v>0</v>
      </c>
      <c r="IE108" s="259">
        <f t="shared" ca="1" si="289"/>
        <v>0</v>
      </c>
      <c r="IF108" s="259">
        <f t="shared" ca="1" si="290"/>
        <v>0</v>
      </c>
      <c r="IG108" s="259">
        <f t="shared" ca="1" si="324"/>
        <v>0</v>
      </c>
      <c r="IH108" s="259">
        <f ca="1">IF(IG108&lt;&gt;0,MAX($IH$35:IH107)+1,0)</f>
        <v>0</v>
      </c>
      <c r="II108" s="259">
        <f>IF(AD108="costi pluriennali",MAX($II$2:II107)+1,0)</f>
        <v>0</v>
      </c>
      <c r="IJ108" s="259">
        <f>IF($AD108="rettifiche costi pluriennali",MAX($IJ$2:IJ107)+1,0)</f>
        <v>0</v>
      </c>
      <c r="IK108" s="259">
        <f t="shared" si="291"/>
        <v>0</v>
      </c>
      <c r="IL108" s="259" t="str">
        <f t="shared" si="292"/>
        <v/>
      </c>
      <c r="IM108" s="259">
        <f t="shared" ca="1" si="293"/>
        <v>0</v>
      </c>
      <c r="IN108" s="259">
        <f t="shared" ca="1" si="313"/>
        <v>0</v>
      </c>
      <c r="IO108" s="259">
        <f>SUMIFS($IM$3:$IM$200,$IK$3:$IK$200,ROWS($IO$3:IO108))-SUMIFS($IN$3:$IN$200,$IK$3:$IK$200,ROWS($IO$3:IO108))</f>
        <v>0</v>
      </c>
      <c r="IP108" s="259" t="str">
        <f>IF(IO108&lt;0,INDEX($IJ$3:$IL$200,MATCH(ROWS($IP$3:IP108),$IJ$3:$IJ$200,0),3),"")</f>
        <v/>
      </c>
      <c r="IQ108" s="259">
        <f>IF(IP108&lt;&gt;"",MAX($IQ$2:IQ107)+1,0)</f>
        <v>0</v>
      </c>
      <c r="IR108" s="259" t="str">
        <f ca="1">IFERROR(INDEX($IP$3:$IQ$200,MATCH(ROWS($IR$3:IR108),$IQ$3:$IQ$200,0),1),"")</f>
        <v/>
      </c>
      <c r="IS108" s="259" t="str">
        <f t="shared" ca="1" si="294"/>
        <v/>
      </c>
      <c r="IT108" s="259" t="str">
        <f t="shared" ca="1" si="295"/>
        <v/>
      </c>
      <c r="IU108" s="259" t="str">
        <f t="shared" ca="1" si="296"/>
        <v/>
      </c>
      <c r="IV108" s="259" t="str">
        <f t="shared" ca="1" si="297"/>
        <v/>
      </c>
      <c r="IW108" s="259" t="str">
        <f t="shared" ca="1" si="298"/>
        <v/>
      </c>
      <c r="IX108" s="259" t="str">
        <f t="shared" ca="1" si="299"/>
        <v/>
      </c>
      <c r="IY108" s="259" t="str">
        <f t="shared" ca="1" si="300"/>
        <v/>
      </c>
      <c r="IZ108" s="259" t="str">
        <f t="shared" ca="1" si="301"/>
        <v/>
      </c>
      <c r="JA108" s="259" t="str">
        <f t="shared" ca="1" si="302"/>
        <v/>
      </c>
      <c r="JB108" s="259">
        <f t="shared" ca="1" si="210"/>
        <v>0</v>
      </c>
      <c r="JC108" s="259">
        <f t="shared" ca="1" si="351"/>
        <v>0</v>
      </c>
      <c r="JD108" s="259">
        <f t="shared" ca="1" si="352"/>
        <v>0</v>
      </c>
      <c r="JE108" s="259">
        <f ca="1">IFERROR(INDEX(LIBRO_GIORNALE!$N$11:$O$408,MATCH(ROWS($JE$2:JE107),LIBRO_GIORNALE!$O$11:$O$408,0),1),0)</f>
        <v>0</v>
      </c>
      <c r="JF108" s="259" t="str">
        <f t="shared" ca="1" si="304"/>
        <v>0</v>
      </c>
      <c r="JG108" s="259">
        <f t="shared" ca="1" si="305"/>
        <v>0</v>
      </c>
      <c r="JH108" s="259">
        <f ca="1">IF(JJ108&gt;0,0,MAX($JH$2:JH107)+1)</f>
        <v>106</v>
      </c>
      <c r="JI108" s="259">
        <f ca="1">IF(JG108&gt;0,MAX($JI$2:JI107)+1,0)</f>
        <v>0</v>
      </c>
      <c r="JJ108" s="259">
        <f ca="1">IFERROR(INDEX($JG$3:$JI$124,MATCH(ROWS($JJ$3:JJ108),$JI$3:$JI$124,0),1),0)</f>
        <v>0</v>
      </c>
      <c r="JK108" s="259">
        <f t="shared" ca="1" si="306"/>
        <v>0</v>
      </c>
      <c r="JL108" s="259">
        <f t="shared" ca="1" si="307"/>
        <v>106</v>
      </c>
      <c r="JM108" s="259">
        <f t="shared" ca="1" si="353"/>
        <v>0</v>
      </c>
    </row>
    <row r="109" spans="1:273">
      <c r="A109" s="259" t="str">
        <f t="shared" si="211"/>
        <v>18.02</v>
      </c>
      <c r="B109" s="259" t="str">
        <f t="shared" si="212"/>
        <v>BILANCIO DI CHIUSURA</v>
      </c>
      <c r="C109" s="259">
        <f t="shared" si="213"/>
        <v>0</v>
      </c>
      <c r="D109" s="259" t="str">
        <f t="shared" si="214"/>
        <v>D/A</v>
      </c>
      <c r="E109" s="259" t="str">
        <f t="shared" si="215"/>
        <v>TRANSITORIO DI CONTROPARTITA</v>
      </c>
      <c r="F109" s="259">
        <f t="shared" si="216"/>
        <v>0</v>
      </c>
      <c r="G109" s="259">
        <f t="shared" ca="1" si="217"/>
        <v>0</v>
      </c>
      <c r="H109" s="259">
        <f t="shared" ca="1" si="218"/>
        <v>0</v>
      </c>
      <c r="I109" s="259">
        <f t="shared" ca="1" si="219"/>
        <v>0</v>
      </c>
      <c r="K109" s="259" t="str">
        <f ca="1">IFERROR(IF($I$1=1,INDEX($AA$3:$AS$220,MATCH(ROWS($K$3:K109),$AQ$3:$AQ$220,0),1),IF($I$1=2,INDEX($AA$3:$AS$220,MATCH(ROWS($K$3:K109),$AR$3:$AR$220,0),1),IF($I$1=3,INDEX($AA$3:$AS$220,MATCH(ROWS($K$3:K109),$AS$3:$AS$220,0),1),""))),"")</f>
        <v>PLUSVALENZE</v>
      </c>
      <c r="L109" s="259">
        <f ca="1">IF(AND($L$1="VISUALIZZA TUTTI I CONTI",K109&lt;&gt;""),MAX(L108:L108)+1,IFERROR(IF($J$1=1,IF(INDEX(PIANO_DEI_CONTI,MATCH($K109,DENOMINAZIONE,0),5)=$L$1,MAX($L$2:L108)+1,0),IF($J$1=2,IF(INDEX(PIANO_DEI_CONTI,MATCH($K109,DENOMINAZIONE,0),7)=$L$1,MAX($L$2:L108)+1,0))),0))</f>
        <v>107</v>
      </c>
      <c r="M109" s="259" t="str">
        <f ca="1">IFERROR(INDEX($K$3:$K$220,MATCH(ROWS($M$3:M109),$L$3:$L$220,0),1),"")</f>
        <v>PLUSVALENZE</v>
      </c>
      <c r="Q109" s="259" t="str">
        <f ca="1">IF(IFERROR(INDEX($O$3:$P$220,MATCH(ROWS(Q$3:Q109),$P$3:$P$220,0),1),"")=0,"",IFERROR(INDEX($O$3:$P$220,MATCH(ROWS(Q$3:Q109),$P$3:$P$220,0),1),""))</f>
        <v/>
      </c>
      <c r="R109" s="259" t="str">
        <f t="shared" ca="1" si="182"/>
        <v/>
      </c>
      <c r="S109" s="259">
        <f ca="1">IF(IFERROR(MATCH(R109,DENOMINAZIONE_GIORNALE,0),0)&gt;0,MAX(S$2:S108)+1,0)</f>
        <v>0</v>
      </c>
      <c r="T109" s="259" t="str">
        <f ca="1">IFERROR(INDEX($R$3:$S$220,MATCH(ROWS($T$3:T109),$S$3:$S$220,0),1),"")</f>
        <v/>
      </c>
      <c r="U109" s="259">
        <f t="shared" ca="1" si="183"/>
        <v>0</v>
      </c>
      <c r="V109" s="259">
        <f ca="1">IF(IF(U109&lt;&gt;0,MAX($V$2:V108)+1,0)=0,0,IF(U109&lt;&gt;0,MAX($V$2:V108)+1,0))</f>
        <v>0</v>
      </c>
      <c r="W109" s="259" t="str">
        <f t="shared" si="220"/>
        <v>18.02</v>
      </c>
      <c r="X109" s="259" t="str">
        <f t="shared" si="221"/>
        <v>BILANCIO DI CHIUSURA</v>
      </c>
      <c r="Y109" s="259">
        <f>IF(W109="",0,MAX($Y$2:Y108)+1)</f>
        <v>91</v>
      </c>
      <c r="Z109" s="259" t="str">
        <f>IFERROR(INDEX($W$3:$Y$220,MATCH(ROWS($Z$2:Z108),$Y$3:$Y$220,0),1),"")</f>
        <v>20.12</v>
      </c>
      <c r="AA109" s="259" t="str">
        <f t="shared" si="222"/>
        <v>PREMI SU VENDITE</v>
      </c>
      <c r="AB109" s="259" t="str">
        <f t="shared" si="223"/>
        <v>E</v>
      </c>
      <c r="AC109" s="259" t="str">
        <f t="shared" si="224"/>
        <v>D</v>
      </c>
      <c r="AD109" s="259" t="str">
        <f t="shared" si="225"/>
        <v>RETTIFICHE RICAVI D'ESERCIZIO</v>
      </c>
      <c r="AE109" s="259" t="str">
        <f t="shared" si="226"/>
        <v>SE DARE</v>
      </c>
      <c r="AF109" s="259" t="str">
        <f t="shared" si="227"/>
        <v>VALORE DELLA PRODUZIONE</v>
      </c>
      <c r="AG109" s="259">
        <f t="shared" ca="1" si="228"/>
        <v>1</v>
      </c>
      <c r="AH109" s="259">
        <f t="shared" ca="1" si="229"/>
        <v>1</v>
      </c>
      <c r="AI109" s="259">
        <f t="shared" ca="1" si="230"/>
        <v>1</v>
      </c>
      <c r="AJ109" s="259" t="str">
        <f t="shared" si="231"/>
        <v>20</v>
      </c>
      <c r="AK109" s="259" t="str">
        <f t="shared" si="232"/>
        <v/>
      </c>
      <c r="AL109" s="259">
        <f>IF(AK109&lt;&gt;"",MAX($AL$2:AL108)+1,0)</f>
        <v>0</v>
      </c>
      <c r="AM109" s="259" t="str">
        <f>IFERROR(INDEX($AK$3:$AL$220,MATCH(ROWS($AM$3:AM109),$AL$3:$AL$220,0),1),"")</f>
        <v/>
      </c>
      <c r="AN109" s="259" t="str">
        <f t="shared" si="233"/>
        <v/>
      </c>
      <c r="AO109" s="259" t="str">
        <f t="shared" si="234"/>
        <v/>
      </c>
      <c r="AP109" s="259" t="str">
        <f t="shared" si="235"/>
        <v>VALORE DELLA PRODUZIONE</v>
      </c>
      <c r="AQ109" s="259">
        <f ca="1">IF(OR(AG109=0,AG109=""),0,MAX(AQ$2:AQ108)+1)</f>
        <v>51</v>
      </c>
      <c r="AR109" s="259">
        <f ca="1">IF(OR(AH109=0,AH109=""),0,MAX(AR$2:AR108)+1)</f>
        <v>73</v>
      </c>
      <c r="AS109" s="259">
        <f ca="1">IF(OR(AI109=0,AI109=""),0,MAX(AS$2:AS108)+1)</f>
        <v>103</v>
      </c>
      <c r="AT109" s="259" t="str">
        <f ca="1">IFERROR(INDEX($AD$3:$AS$220,MATCH(ROWS(AT$3:AT109),AQ$3:AQ$220,0),1),"")</f>
        <v/>
      </c>
      <c r="AU109" s="259" t="str">
        <f ca="1">IFERROR(INDEX($AD$3:$AS$220,MATCH(ROWS(AU$3:AU109),AR$3:AR$220,0),1),"")</f>
        <v>COSTI D'ESERCIZIO</v>
      </c>
      <c r="AV109" s="259" t="str">
        <f ca="1">IFERROR(INDEX($AD$3:$AS$220,MATCH(ROWS(AV$3:AV109),AS$3:AS$220,0),1),"")</f>
        <v>RICAVI D'ESERCIZIO</v>
      </c>
      <c r="AW109" s="259" t="str">
        <f ca="1">IFERROR(INDEX($AP$3:$AS$220,MATCH(ROWS(AW$3:AW109),AQ$3:AQ$220,0),1),"")</f>
        <v/>
      </c>
      <c r="AX109" s="259" t="str">
        <f ca="1">IFERROR(INDEX($AP$3:$AS$220,MATCH(ROWS(AX$3:AX109),AR$3:AR$220,0),1),"")</f>
        <v>ONERI DIVERSI</v>
      </c>
      <c r="AY109" s="259" t="str">
        <f ca="1">IFERROR(INDEX($AP$3:$AS$220,MATCH(ROWS(AY$3:AY109),AS$3:AS$220,0),1),"")</f>
        <v>VALORE DELLA PRODUZIONE</v>
      </c>
      <c r="AZ109" s="259" t="str">
        <f t="shared" si="339"/>
        <v>7 V.I.</v>
      </c>
      <c r="BA109" s="259">
        <f t="shared" ca="1" si="338"/>
        <v>0</v>
      </c>
      <c r="BB109" s="259">
        <f t="shared" ca="1" si="340"/>
        <v>0</v>
      </c>
      <c r="BC109" s="259">
        <f t="shared" ca="1" si="341"/>
        <v>0</v>
      </c>
      <c r="BD109" s="259">
        <f t="shared" ca="1" si="342"/>
        <v>0</v>
      </c>
      <c r="BE109" s="259">
        <f t="shared" ca="1" si="343"/>
        <v>0</v>
      </c>
      <c r="BG109" s="259" t="str">
        <f t="shared" ca="1" si="185"/>
        <v/>
      </c>
      <c r="BH109" s="259">
        <f ca="1">IF(IFERROR(MATCH(BG109,DENOMINAZIONE_GIORNALE,0),0)&gt;0,MAX(BH$2:BH108)+1,0)</f>
        <v>0</v>
      </c>
      <c r="BI109" s="259" t="str">
        <f ca="1">IFERROR(INDEX($BG$3:$BH$220,MATCH(ROWS($BI$3:BI109),$BH$3:$BH$220,0),1),"")</f>
        <v/>
      </c>
      <c r="BJ109" s="259" t="str">
        <f t="shared" ca="1" si="186"/>
        <v/>
      </c>
      <c r="BK109" s="259" t="str">
        <f ca="1">IF(IF(BJ109&lt;&gt;"",MAX($BK$2:BK108)+1,0)=0,"",IF(BJ109&lt;&gt;"",MAX($BK$2:BK108)+1,0))</f>
        <v/>
      </c>
      <c r="BL109" s="259" t="str">
        <f ca="1">IFERROR(INDEX($T$3:$U$220, MATCH(ROWS(BL$3:BL109),$V$3:$V$220,0),1),"")</f>
        <v/>
      </c>
      <c r="BM109" s="259" t="str">
        <f ca="1">IFERROR(INDEX($T$3:$U$220, MATCH(ROWS(BM$3:BM109),$V$3:$V$220,0),2),"")</f>
        <v/>
      </c>
      <c r="BN109" s="259" t="str">
        <f ca="1">IF(IFERROR(INDEX($BI$3:$BJ$220,MATCH(ROWS(BN$3:BN109),$BK$3:$BK$220,0),1),"")="PATRIMONIO NETTO","",IFERROR(INDEX($BI$3:$BJ$220,MATCH(ROWS(BN$3:BN109),$BK$3:$BK$220,0),1),""))</f>
        <v/>
      </c>
      <c r="BO109" s="259" t="str">
        <f ca="1">IFERROR(INDEX($BI$3:$BJ$220,MATCH(ROWS(BO$3:BO109),$BK$3:$BK$220,0),2),"")</f>
        <v/>
      </c>
      <c r="BP109" s="259">
        <f ca="1">IF(BN109&lt;&gt;"",MAX(BP$2:$BP108)+1,0)</f>
        <v>0</v>
      </c>
      <c r="BQ109" s="259" t="str">
        <f ca="1">IFERROR(INDEX($BN$3:$BO$200,MATCH(ROWS(BQ$3:BQ109),$BP$3:$BP$220,0),1),"")</f>
        <v/>
      </c>
      <c r="BR109" s="259" t="str">
        <f ca="1">IFERROR(INDEX($BN$3:$BO$220,MATCH(ROWS(BR$3:BR109),$BP$3:$BP$220,0),2),"")</f>
        <v/>
      </c>
      <c r="BS109" s="259" t="str">
        <f ca="1">IFERROR(IF(OR(INDEX($T$3:$U$220,MATCH(ROWS(BL$3:BL109),$V$3:$V$220,0),1)="PRELEVAMENTI EXTRAGESTIONE",INDEX($T$3:$U$220,MATCH(ROWS(BL$3:BL109),$V$3:$V$220,0),1)="TITOLARE C/RITENUTE SUBITE"),"",INDEX($T$3:$U$220,MATCH(ROWS(BL$3:BL109),$V$3:$V$220,0),1)),"")</f>
        <v/>
      </c>
      <c r="BT109" s="259">
        <f t="shared" ca="1" si="238"/>
        <v>0</v>
      </c>
      <c r="BU109" s="259">
        <f ca="1">IF(BS109&lt;&gt;"",MAX(BU$2:BU108)+1,0)</f>
        <v>0</v>
      </c>
      <c r="BV109" s="259" t="str">
        <f ca="1">IFERROR(INDEX($BS$3:$BT$223,MATCH(ROWS(BV$3:BV109),$BU$3:$BU$223,0),1),"")</f>
        <v/>
      </c>
      <c r="BW109" s="259">
        <f t="shared" ca="1" si="239"/>
        <v>0</v>
      </c>
      <c r="CB109" s="259" t="str">
        <f ca="1">IFERROR(IF(OR($BB$1&lt;&gt;$BD$1,$BC$1&lt;&gt;$BE$1,$DS$231&lt;&gt;$DT$231,$DU$231&lt;&gt;$DV$231,$EO$25&lt;&gt;0,$EO$26&lt;&gt;0),INDEX($BI$3:$BK$220,MATCH(ROWS($CB$3:CB109),$BK$3:$BK$220,0),1),CONCATENATE(BQ109,BX109)),"")</f>
        <v/>
      </c>
      <c r="CC109" s="259" t="str">
        <f t="shared" ca="1" si="243"/>
        <v/>
      </c>
      <c r="CD109" s="259" t="str">
        <f t="shared" ca="1" si="187"/>
        <v>PREMI SU VENDITE</v>
      </c>
      <c r="CE109" s="259">
        <f ca="1">IF(IFERROR(MATCH(CD109,DENOMINAZIONE_GIORNALE,0),0)&gt;0,MAX(CE$2:CE108)+1,0)</f>
        <v>0</v>
      </c>
      <c r="CF109" s="259" t="str">
        <f ca="1">IFERROR(INDEX($CD$3:$CE$220,MATCH(ROWS($CF$3:CF109),$CE$3:$CE$220,0),1),"")</f>
        <v/>
      </c>
      <c r="CG109" s="259">
        <f t="shared" ca="1" si="188"/>
        <v>0</v>
      </c>
      <c r="CH109" s="259" t="str">
        <f ca="1">IF(IF(CG109&lt;&gt;0,MAX($CH$2:CH108)+1,0)=0,"",IF(CG109&lt;&gt;"",MAX($CH$2:CH108)+1,0))</f>
        <v/>
      </c>
      <c r="CI109" s="259" t="str">
        <f ca="1">IFERROR(INDEX($CF$3:$CG$220,MATCH(ROWS($CI$3:CI109),$CH$3:$CH$220,0),1),"")</f>
        <v/>
      </c>
      <c r="CJ109" s="259" t="str">
        <f t="shared" ca="1" si="244"/>
        <v/>
      </c>
      <c r="CK109" s="259" t="str">
        <f t="shared" ca="1" si="189"/>
        <v/>
      </c>
      <c r="CL109" s="259">
        <f ca="1">IF(IFERROR(MATCH(CK109,DENOMINAZIONE_GIORNALE,0),0)&gt;0,MAX(CL$2:CL108)+1,0)</f>
        <v>0</v>
      </c>
      <c r="CM109" s="259" t="str">
        <f ca="1">IFERROR(INDEX($CK$3:$CL$220,MATCH(ROWS($CM$3:CM109),$CL$3:$CL$220,0),1),"")</f>
        <v/>
      </c>
      <c r="CN109" s="259" t="str">
        <f t="shared" ca="1" si="190"/>
        <v/>
      </c>
      <c r="CO109" s="259">
        <f ca="1">IF(IF(CN109&lt;&gt;0,MAX($CO$2:CO108)+1,0)=0,"",IF(CN109&lt;&gt;"",MAX($CO$2:CO108)+1,0))</f>
        <v>0</v>
      </c>
      <c r="CP109" s="259" t="str">
        <f ca="1">IFERROR(INDEX($CM$3:$CN$220,MATCH(ROWS(CP$3:CP109),$CO$3:$CO$220,0),1),"")</f>
        <v/>
      </c>
      <c r="CQ109" s="259" t="str">
        <f ca="1">IFERROR(INDEX($CM$3:$CN$220,MATCH(ROWS(CQ$3:CQ109),$CO$3:$CO$220,0),2),"")</f>
        <v/>
      </c>
      <c r="CS109" s="259">
        <f t="shared" ca="1" si="192"/>
        <v>0</v>
      </c>
      <c r="CT109" s="259">
        <f t="shared" ca="1" si="193"/>
        <v>0</v>
      </c>
      <c r="CU109" s="259">
        <f ca="1">IF(OR(CS109&gt;0,CT109&gt;0),MAX($CU$2:CU108)+1,0)</f>
        <v>0</v>
      </c>
      <c r="CV109" s="259" t="str">
        <f ca="1">IFERROR(INDEX(PIANO_DEI_CONTI,MATCH(ROWS($CV$3:CV109),$CU$3:$CU$200,0),2),"")</f>
        <v/>
      </c>
      <c r="CW109" s="259">
        <f ca="1">IFERROR(IF(CV109&lt;&gt;"",MAX($CW$2:CW108)+1,0),0)</f>
        <v>0</v>
      </c>
      <c r="CX109" s="259">
        <f t="shared" ca="1" si="326"/>
        <v>6</v>
      </c>
      <c r="CY109" s="259" t="str">
        <f t="shared" ca="1" si="337"/>
        <v>MASTRO</v>
      </c>
      <c r="CZ109" s="259" t="e">
        <f t="shared" ca="1" si="328"/>
        <v>#N/A</v>
      </c>
      <c r="DA109" s="259" t="str">
        <f t="shared" ca="1" si="333"/>
        <v/>
      </c>
      <c r="DB109" s="259" t="str">
        <f t="shared" ca="1" si="329"/>
        <v/>
      </c>
      <c r="DC109" s="259" t="str">
        <f t="shared" ca="1" si="330"/>
        <v/>
      </c>
      <c r="DD109" s="259" t="str">
        <f t="shared" ca="1" si="331"/>
        <v/>
      </c>
      <c r="DE109" s="259" t="str">
        <f t="shared" ca="1" si="332"/>
        <v/>
      </c>
      <c r="DF109" s="259">
        <f ca="1">IF(AND(CX109=$DE$2,$DF$2&lt;&gt;0),0,IF(AND(DB109&lt;&gt;"",OR(DB108&lt;&gt;"",DB110&lt;&gt;"")),MAX($DF$2:DF108)+1,0))</f>
        <v>0</v>
      </c>
      <c r="DG109" s="259" t="str">
        <f>IF(IF(LIBRO_GIORNALE!E17="","",IFERROR(INDEX(PIANO_DEI_CONTI,MATCH(BB109,DENOMINAZIONE,0),1),0))=0,"",IF(LIBRO_GIORNALE!E17="","",IFERROR(INDEX(PIANO_DEI_CONTI,MATCH(BB109,DENOMINAZIONE,0),1),0)))</f>
        <v/>
      </c>
      <c r="DH109" s="259">
        <f ca="1">IFERROR(IF($J$1=1,IF(INDEX(PIANO_DEI_CONTI,MATCH($K109,DENOMINAZIONE,0),5)=$DF$1,MAX($DH$2:DH108)+1,0),IF($J$1=2,IF(INDEX(PIANO_DEI_CONTI,MATCH($K109,DENOMINAZIONE,0),7)=$DF$1,MAX($DH$2:DH108)+1,0))),0)</f>
        <v>0</v>
      </c>
      <c r="DI109" s="259">
        <f ca="1">IFERROR(INDEX($K$3:$K$220,MATCH(ROWS($DI$3:DI109),$DH$3:$DH$220,0),1),0)</f>
        <v>0</v>
      </c>
      <c r="DJ109" s="259">
        <f t="shared" ca="1" si="194"/>
        <v>0</v>
      </c>
      <c r="DK109" s="259">
        <f ca="1">IF(DJ109=0,0,MAX(DK$2:DK108)+1)</f>
        <v>0</v>
      </c>
      <c r="DL109" s="259">
        <f ca="1">IFERROR(INDEX(PIANO_DEI_CONTI,MATCH(ROWS(DL$3:DL109),$DK$3:DK336,0),2),0)</f>
        <v>0</v>
      </c>
      <c r="DM109" s="259">
        <f t="shared" ca="1" si="195"/>
        <v>0</v>
      </c>
      <c r="DN109" s="259">
        <f t="shared" ca="1" si="196"/>
        <v>0</v>
      </c>
      <c r="DO109" s="259">
        <f t="shared" ca="1" si="245"/>
        <v>0</v>
      </c>
      <c r="DP109" s="259">
        <f t="shared" ca="1" si="246"/>
        <v>0</v>
      </c>
      <c r="DQ109" s="259">
        <f ca="1">IF(OR($DQ$1="TOTALI",$DQ$1="TOTALI ED ECCEDENZE"),IF(OR(DM109&gt;0,DN109&gt;0),MAX(DQ$2:DQ108)+1,0),IF($DQ$1="ECCEDENZE",IF(OR(DO109&gt;0,DP109&gt;0),MAX(DQ$2:DQ108)+1,0),""))</f>
        <v>0</v>
      </c>
      <c r="DR109" s="259" t="str">
        <f ca="1">IFERROR(INDEX($DL$3:$DQ$230,MATCH(ROWS(DR$3:DR109),$DQ$3:$DQ$230,0),1),"")</f>
        <v/>
      </c>
      <c r="DS109" s="259" t="str">
        <f t="shared" ca="1" si="247"/>
        <v/>
      </c>
      <c r="DT109" s="259" t="str">
        <f t="shared" ca="1" si="248"/>
        <v/>
      </c>
      <c r="DU109" s="259" t="str">
        <f t="shared" ca="1" si="249"/>
        <v/>
      </c>
      <c r="DV109" s="259" t="str">
        <f t="shared" ca="1" si="250"/>
        <v/>
      </c>
      <c r="DW109" s="259">
        <f t="shared" ca="1" si="251"/>
        <v>0</v>
      </c>
      <c r="DX109" s="259" t="str">
        <f t="shared" ca="1" si="252"/>
        <v/>
      </c>
      <c r="DY109" s="259" t="str">
        <f t="shared" ca="1" si="253"/>
        <v/>
      </c>
      <c r="DZ109" s="259" t="str">
        <f t="shared" ca="1" si="254"/>
        <v/>
      </c>
      <c r="EA109" s="259">
        <f t="shared" ca="1" si="255"/>
        <v>107</v>
      </c>
      <c r="EB109" s="259" t="s">
        <v>363</v>
      </c>
      <c r="ED109" s="259">
        <f t="shared" ca="1" si="197"/>
        <v>0</v>
      </c>
      <c r="EH109" s="259" t="str">
        <f t="shared" ca="1" si="256"/>
        <v/>
      </c>
      <c r="EI109" s="260" t="b">
        <f t="shared" ca="1" si="310"/>
        <v>0</v>
      </c>
      <c r="EJ109" s="260" t="b">
        <f t="shared" ca="1" si="311"/>
        <v>0</v>
      </c>
      <c r="EK109" s="260" t="b">
        <f t="shared" ca="1" si="312"/>
        <v>0</v>
      </c>
      <c r="EL109" s="259">
        <f t="shared" si="257"/>
        <v>107</v>
      </c>
      <c r="EM109" s="259">
        <f ca="1">IF(AND(BA109&gt;0,BA109&lt;=$EM$1),MAX($EM$2:EM108)+1,0)</f>
        <v>0</v>
      </c>
      <c r="EN109" s="259">
        <f t="shared" ca="1" si="258"/>
        <v>109</v>
      </c>
      <c r="EP109" s="259" t="str">
        <f t="shared" ca="1" si="200"/>
        <v/>
      </c>
      <c r="EQ109" s="259">
        <f t="shared" ca="1" si="201"/>
        <v>0</v>
      </c>
      <c r="ER109" s="259">
        <f ca="1">IF(ISNA(EQ109),MAX(ER$2:ER108)+1,0)</f>
        <v>0</v>
      </c>
      <c r="ES109" s="259" t="str">
        <f t="shared" ca="1" si="259"/>
        <v/>
      </c>
      <c r="ET109" s="259" t="str">
        <f ca="1">IFERROR(UPPER(INDEX($ER$3:$ES$500,MATCH(ROWS(ET$3:ET109),$ER$3:$ER$500,0),2)),"")</f>
        <v/>
      </c>
      <c r="EW109" s="259">
        <f t="shared" ca="1" si="344"/>
        <v>1</v>
      </c>
      <c r="EX109" s="259">
        <v>7</v>
      </c>
      <c r="EY109" s="259">
        <f t="shared" ca="1" si="345"/>
        <v>0</v>
      </c>
      <c r="EZ109" s="259">
        <f t="shared" ca="1" si="346"/>
        <v>0</v>
      </c>
      <c r="FA109" s="259">
        <f t="shared" ca="1" si="347"/>
        <v>0</v>
      </c>
      <c r="FB109" s="259">
        <f t="shared" ca="1" si="348"/>
        <v>0</v>
      </c>
      <c r="FC109" s="259">
        <f t="shared" ca="1" si="349"/>
        <v>0</v>
      </c>
      <c r="FD109" s="259">
        <f t="shared" ca="1" si="202"/>
        <v>0</v>
      </c>
      <c r="FE109" s="259" t="str">
        <f t="shared" ca="1" si="203"/>
        <v/>
      </c>
      <c r="FF109" s="259" t="str">
        <f t="shared" ca="1" si="350"/>
        <v/>
      </c>
      <c r="FG109" s="259" t="str">
        <f t="shared" si="335"/>
        <v/>
      </c>
      <c r="FH109" s="259">
        <f t="shared" ca="1" si="334"/>
        <v>0</v>
      </c>
      <c r="FI109" s="259">
        <f t="shared" ca="1" si="204"/>
        <v>0</v>
      </c>
      <c r="FJ109" s="259">
        <f t="shared" ca="1" si="336"/>
        <v>0</v>
      </c>
      <c r="FK109" s="259">
        <f t="shared" ca="1" si="267"/>
        <v>0</v>
      </c>
      <c r="FL109" s="259">
        <f ca="1">IF(OR(FJ109&gt;0,FK109&gt;0),MAX($FL$2:FL108)+1,0)</f>
        <v>0</v>
      </c>
      <c r="FM109" s="259">
        <f t="shared" ca="1" si="205"/>
        <v>0</v>
      </c>
      <c r="FN109" s="259">
        <f ca="1">IF(FM109&lt;0,MAX($FN$2:FN108)+1,0)</f>
        <v>0</v>
      </c>
      <c r="FO109" s="259" t="str">
        <f t="shared" ca="1" si="268"/>
        <v/>
      </c>
      <c r="FP109" s="259" t="str">
        <f ca="1">IFERROR(INDEX($FN$3:$FO$400,MATCH(ROWS($FP$3:FP109),$FN$3:$FN$400,0),2),"")</f>
        <v/>
      </c>
      <c r="FQ109" s="259" t="str">
        <f>IF(AE109="SE AVERE",MAX($FQ$2:FQ108)+1,"")</f>
        <v/>
      </c>
      <c r="FR109" s="259">
        <f>IF(AE109="SE DARE",MAX($FR$2:FR108)+1,"")</f>
        <v>24</v>
      </c>
      <c r="FS109" s="259" t="str">
        <f ca="1">IF(AND(AE109="SP DARE",AA109&lt;&gt;$FS$1,AA109&lt;&gt;$FT$1),MAX($FS$2:FS108)+1,IF(AND(GQ109="SP DARE",AA109&lt;&gt;$FS$1,AA109&lt;&gt;$FT$1),MAX($FS$2:FS108)+1,""))</f>
        <v/>
      </c>
      <c r="FT109" s="259" t="str">
        <f ca="1">IF(AND(AE109="SP AVERE",AA109&lt;&gt;$FU$1),MAX($FT$2:FT108)+1,IF(AND(GQ109="SP AVERE",AA109&lt;&gt;$FU$1),MAX($FT$2:FT108)+1,""))</f>
        <v/>
      </c>
      <c r="FU109" s="259">
        <f t="shared" ca="1" si="269"/>
        <v>24</v>
      </c>
      <c r="FV109" s="259" t="str">
        <f t="shared" si="270"/>
        <v>PREMI SU VENDITE</v>
      </c>
      <c r="FW109" s="259" t="str">
        <f ca="1">IFERROR(INDEX($FU$3:$FV$500,MATCH(ROWS($FW$3:FW109),$FU$3:$FU$500,0),2),0)</f>
        <v>CREDITI V/CLIENTI</v>
      </c>
      <c r="FX109" s="259">
        <f t="shared" ca="1" si="271"/>
        <v>107</v>
      </c>
      <c r="FY109" s="259">
        <f t="shared" ca="1" si="272"/>
        <v>0</v>
      </c>
      <c r="FZ109" s="259">
        <f ca="1">IF(FY109&gt;0,MAX($FZ$2:FZ108)+1,0)</f>
        <v>0</v>
      </c>
      <c r="GA109" s="259">
        <f ca="1">IFERROR(INDEX($FY$3:$FZ$500,MATCH(ROWS($GA$3:GA109),$FZ$3:$FZ$500,0),1),0)</f>
        <v>0</v>
      </c>
      <c r="GC109" s="259">
        <f t="shared" ca="1" si="273"/>
        <v>107</v>
      </c>
      <c r="GD109" s="259" t="str">
        <f t="shared" ca="1" si="274"/>
        <v>CREDITI V/CLIENTI</v>
      </c>
      <c r="GG109" s="259">
        <f t="shared" ca="1" si="275"/>
        <v>0</v>
      </c>
      <c r="GH109" s="259">
        <f t="shared" ca="1" si="276"/>
        <v>0</v>
      </c>
      <c r="GI109" s="259">
        <f t="shared" ca="1" si="277"/>
        <v>0</v>
      </c>
      <c r="GJ109" s="259">
        <f t="shared" ca="1" si="278"/>
        <v>0</v>
      </c>
      <c r="GK109" s="259">
        <f t="shared" ca="1" si="279"/>
        <v>0</v>
      </c>
      <c r="GL109" s="259">
        <f t="shared" ca="1" si="280"/>
        <v>0</v>
      </c>
      <c r="GM109" s="259">
        <f ca="1">IF(OR(GK109&gt;0,GL109&gt;0),MAX($GM$2:GM108)+1,0)</f>
        <v>0</v>
      </c>
      <c r="GN109" s="259" t="str">
        <f ca="1">IFERROR(INDEX($GD$3:$GM$400,MATCH(ROWS($GN$3:GN109),$GM$3:$GM$400,0),1),"")</f>
        <v/>
      </c>
      <c r="GO109" s="259" t="str">
        <f ca="1">IFERROR(INDEX($GD$3:$GM$400,MATCH(ROWS($GO$3:GO109),$GM$3:$GM$400,0),8),"")</f>
        <v/>
      </c>
      <c r="GP109" s="259" t="str">
        <f ca="1">IFERROR(INDEX($GD$3:$GM$400,MATCH(ROWS($GP$3:GP109),$GM$3:$GM$400,0),9),"")</f>
        <v/>
      </c>
      <c r="GQ109" s="259">
        <f t="shared" ca="1" si="206"/>
        <v>0</v>
      </c>
      <c r="GR109" s="259">
        <f t="shared" ca="1" si="281"/>
        <v>0</v>
      </c>
      <c r="GS109" s="259" t="str">
        <f t="shared" ca="1" si="282"/>
        <v>chiusura del conto</v>
      </c>
      <c r="GT109" s="259" t="str">
        <f ca="1">IFERROR(INDEX($GD$3:$GS$400,MATCH(ROWS($GT$3:GT109),$GM$3:$GM$400,0),16),"")</f>
        <v/>
      </c>
      <c r="GU109" s="259">
        <f ca="1">IF(GQ109&lt;&gt;0,MAX($GU$2:$GU108)+1,0)</f>
        <v>0</v>
      </c>
      <c r="GV109" s="259">
        <f t="shared" ca="1" si="283"/>
        <v>0</v>
      </c>
      <c r="GW109" s="259" t="str">
        <f ca="1">IF(AND(IFERROR(INDEX($GU$3:$GV$400,MATCH(ROWS($GW$3:GW109),$GU$3:$GU$400,0),2),"")&lt;&gt;"",GW110&lt;&gt;""),CONCATENATE(IFERROR(INDEX($GU$3:$GV$400,MATCH(ROWS($GW$3:GW109),$GU$3:$GU$400,0),2),"")," - "),IFERROR(INDEX($GU$3:$GV$400,MATCH(ROWS($GW$3:GW109),$GU$3:$GU$400,0),2),""))</f>
        <v/>
      </c>
      <c r="GX109" s="259">
        <f ca="1">IF(OR(GN109="IVA NS/CREDITO",GN109="IVA NS/DEBITO",GN109="IVA C/ACCONTO",GN109="IMPOSTE C/ACCONTO"),MAX($GX$2:GX108)+1,0)</f>
        <v>0</v>
      </c>
      <c r="GY109" s="259" t="str">
        <f ca="1">IF(AND(IFERROR(INDEX($GN$3:$GX$200,MATCH(ROWS($GY$3:GY109),$GX$3:$GX$200,0),1),"")&lt;&gt;"",GY110&lt;&gt;""),CONCATENATE(IFERROR(INDEX($GN$3:$GX$200,MATCH(ROWS($GY$3:GY109),$GX$3:$GX$200,0),1),"")," - "),IFERROR(INDEX($GN$3:$GX$200,MATCH(ROWS($GY$3:GY109),$GX$3:$GX$200,0),1),""))</f>
        <v/>
      </c>
      <c r="GZ109" s="259" t="s">
        <v>134</v>
      </c>
      <c r="HA109" s="259" t="s">
        <v>130</v>
      </c>
      <c r="HC109" s="269" t="s">
        <v>277</v>
      </c>
      <c r="HD109" s="269" t="s">
        <v>539</v>
      </c>
      <c r="HV109" s="259" t="str">
        <f ca="1">CONCATENATE(IFERROR(INDEX($HS$3:$HT$102,MATCH(ROWS($HV$3:HV109),$HT$3:$HT$102,0),1),""),HR109)</f>
        <v/>
      </c>
      <c r="IC109" s="259">
        <f ca="1">IFERROR(INDEX(PIANO_DEI_CONTI,MATCH(ROWS(DL$3:DL109),$DK$3:DK336,0),2),0)</f>
        <v>0</v>
      </c>
      <c r="ID109" s="259">
        <f t="shared" ca="1" si="288"/>
        <v>0</v>
      </c>
      <c r="IE109" s="259">
        <f t="shared" ca="1" si="289"/>
        <v>0</v>
      </c>
      <c r="IF109" s="259">
        <f t="shared" ca="1" si="290"/>
        <v>0</v>
      </c>
      <c r="IG109" s="259">
        <f t="shared" ca="1" si="324"/>
        <v>0</v>
      </c>
      <c r="IH109" s="259">
        <f ca="1">IF(IG109&lt;&gt;0,MAX($IH$35:IH108)+1,0)</f>
        <v>0</v>
      </c>
      <c r="II109" s="259">
        <f>IF(AD109="costi pluriennali",MAX($II$2:II108)+1,0)</f>
        <v>0</v>
      </c>
      <c r="IJ109" s="259">
        <f>IF($AD109="rettifiche costi pluriennali",MAX($IJ$2:IJ108)+1,0)</f>
        <v>0</v>
      </c>
      <c r="IK109" s="259">
        <f t="shared" si="291"/>
        <v>0</v>
      </c>
      <c r="IL109" s="259" t="str">
        <f t="shared" si="292"/>
        <v/>
      </c>
      <c r="IM109" s="259">
        <f t="shared" ca="1" si="293"/>
        <v>0</v>
      </c>
      <c r="IN109" s="259">
        <f t="shared" ca="1" si="313"/>
        <v>0</v>
      </c>
      <c r="IO109" s="259">
        <f>SUMIFS($IM$3:$IM$200,$IK$3:$IK$200,ROWS($IO$3:IO109))-SUMIFS($IN$3:$IN$200,$IK$3:$IK$200,ROWS($IO$3:IO109))</f>
        <v>0</v>
      </c>
      <c r="IP109" s="259" t="str">
        <f>IF(IO109&lt;0,INDEX($IJ$3:$IL$200,MATCH(ROWS($IP$3:IP109),$IJ$3:$IJ$200,0),3),"")</f>
        <v/>
      </c>
      <c r="IQ109" s="259">
        <f>IF(IP109&lt;&gt;"",MAX($IQ$2:IQ108)+1,0)</f>
        <v>0</v>
      </c>
      <c r="IR109" s="259" t="str">
        <f ca="1">IFERROR(INDEX($IP$3:$IQ$200,MATCH(ROWS($IR$3:IR109),$IQ$3:$IQ$200,0),1),"")</f>
        <v/>
      </c>
      <c r="IS109" s="259" t="str">
        <f t="shared" ca="1" si="294"/>
        <v/>
      </c>
      <c r="IT109" s="259" t="str">
        <f t="shared" ca="1" si="295"/>
        <v/>
      </c>
      <c r="IU109" s="259" t="str">
        <f t="shared" ca="1" si="296"/>
        <v/>
      </c>
      <c r="IV109" s="259" t="str">
        <f t="shared" ca="1" si="297"/>
        <v/>
      </c>
      <c r="IW109" s="259" t="str">
        <f t="shared" ca="1" si="298"/>
        <v/>
      </c>
      <c r="IX109" s="259" t="str">
        <f t="shared" ca="1" si="299"/>
        <v/>
      </c>
      <c r="IY109" s="259" t="str">
        <f t="shared" ca="1" si="300"/>
        <v/>
      </c>
      <c r="IZ109" s="259" t="str">
        <f t="shared" ca="1" si="301"/>
        <v/>
      </c>
      <c r="JA109" s="259" t="str">
        <f t="shared" ca="1" si="302"/>
        <v/>
      </c>
      <c r="JB109" s="259">
        <f t="shared" ca="1" si="210"/>
        <v>0</v>
      </c>
      <c r="JC109" s="259">
        <f t="shared" ca="1" si="351"/>
        <v>0</v>
      </c>
      <c r="JD109" s="259">
        <f t="shared" ca="1" si="352"/>
        <v>0</v>
      </c>
      <c r="JE109" s="259">
        <f ca="1">IFERROR(INDEX(LIBRO_GIORNALE!$N$11:$O$408,MATCH(ROWS($JE$2:JE108),LIBRO_GIORNALE!$O$11:$O$408,0),1),0)</f>
        <v>0</v>
      </c>
      <c r="JF109" s="259" t="str">
        <f t="shared" ca="1" si="304"/>
        <v>0</v>
      </c>
      <c r="JG109" s="259">
        <f t="shared" ca="1" si="305"/>
        <v>0</v>
      </c>
      <c r="JH109" s="259">
        <f ca="1">IF(JJ109&gt;0,0,MAX($JH$2:JH108)+1)</f>
        <v>107</v>
      </c>
      <c r="JI109" s="259">
        <f ca="1">IF(JG109&gt;0,MAX($JI$2:JI108)+1,0)</f>
        <v>0</v>
      </c>
      <c r="JJ109" s="259">
        <f ca="1">IFERROR(INDEX($JG$3:$JI$124,MATCH(ROWS($JJ$3:JJ109),$JI$3:$JI$124,0),1),0)</f>
        <v>0</v>
      </c>
      <c r="JK109" s="259">
        <f t="shared" ca="1" si="306"/>
        <v>0</v>
      </c>
      <c r="JL109" s="259">
        <f t="shared" ca="1" si="307"/>
        <v>107</v>
      </c>
      <c r="JM109" s="259">
        <f t="shared" ca="1" si="353"/>
        <v>0</v>
      </c>
    </row>
    <row r="110" spans="1:273">
      <c r="A110" s="259" t="str">
        <f t="shared" si="211"/>
        <v>18.10</v>
      </c>
      <c r="B110" s="259" t="str">
        <f t="shared" si="212"/>
        <v>IVA C/LIQUIDAZIONE</v>
      </c>
      <c r="C110" s="259" t="str">
        <f t="shared" si="213"/>
        <v>F</v>
      </c>
      <c r="D110" s="259" t="str">
        <f t="shared" si="214"/>
        <v>D/A</v>
      </c>
      <c r="E110" s="259" t="str">
        <f t="shared" si="215"/>
        <v>CONTI CON ALTERNANZA DI SALDI</v>
      </c>
      <c r="F110" s="259" t="str">
        <f t="shared" si="216"/>
        <v>SP DARE/AVERE</v>
      </c>
      <c r="G110" s="259">
        <f t="shared" ca="1" si="217"/>
        <v>0</v>
      </c>
      <c r="H110" s="259">
        <f t="shared" ca="1" si="218"/>
        <v>1</v>
      </c>
      <c r="I110" s="259">
        <f t="shared" ca="1" si="219"/>
        <v>1</v>
      </c>
      <c r="K110" s="259" t="str">
        <f ca="1">IFERROR(IF($I$1=1,INDEX($AA$3:$AS$220,MATCH(ROWS($K$3:K110),$AQ$3:$AQ$220,0),1),IF($I$1=2,INDEX($AA$3:$AS$220,MATCH(ROWS($K$3:K110),$AR$3:$AR$220,0),1),IF($I$1=3,INDEX($AA$3:$AS$220,MATCH(ROWS($K$3:K110),$AS$3:$AS$220,0),1),""))),"")</f>
        <v>SOPRAVVENIENZE ATTIVE</v>
      </c>
      <c r="L110" s="259">
        <f ca="1">IF(AND($L$1="VISUALIZZA TUTTI I CONTI",K110&lt;&gt;""),MAX(L109:L109)+1,IFERROR(IF($J$1=1,IF(INDEX(PIANO_DEI_CONTI,MATCH($K110,DENOMINAZIONE,0),5)=$L$1,MAX($L$2:L109)+1,0),IF($J$1=2,IF(INDEX(PIANO_DEI_CONTI,MATCH($K110,DENOMINAZIONE,0),7)=$L$1,MAX($L$2:L109)+1,0))),0))</f>
        <v>108</v>
      </c>
      <c r="M110" s="259" t="str">
        <f ca="1">IFERROR(INDEX($K$3:$K$220,MATCH(ROWS($M$3:M110),$L$3:$L$220,0),1),"")</f>
        <v>SOPRAVVENIENZE ATTIVE</v>
      </c>
      <c r="Q110" s="259" t="str">
        <f ca="1">IF(IFERROR(INDEX($O$3:$P$220,MATCH(ROWS(Q$3:Q110),$P$3:$P$220,0),1),"")=0,"",IFERROR(INDEX($O$3:$P$220,MATCH(ROWS(Q$3:Q110),$P$3:$P$220,0),1),""))</f>
        <v/>
      </c>
      <c r="R110" s="259" t="str">
        <f t="shared" ca="1" si="182"/>
        <v/>
      </c>
      <c r="S110" s="259">
        <f ca="1">IF(IFERROR(MATCH(R110,DENOMINAZIONE_GIORNALE,0),0)&gt;0,MAX(S$2:S109)+1,0)</f>
        <v>0</v>
      </c>
      <c r="T110" s="259" t="str">
        <f ca="1">IFERROR(INDEX($R$3:$S$220,MATCH(ROWS($T$3:T110),$S$3:$S$220,0),1),"")</f>
        <v/>
      </c>
      <c r="U110" s="259">
        <f t="shared" ca="1" si="183"/>
        <v>0</v>
      </c>
      <c r="V110" s="259">
        <f ca="1">IF(IF(U110&lt;&gt;0,MAX($V$2:V109)+1,0)=0,0,IF(U110&lt;&gt;0,MAX($V$2:V109)+1,0))</f>
        <v>0</v>
      </c>
      <c r="W110" s="259" t="str">
        <f t="shared" si="220"/>
        <v>18.10</v>
      </c>
      <c r="X110" s="259" t="str">
        <f t="shared" si="221"/>
        <v>IVA C/LIQUIDAZIONE</v>
      </c>
      <c r="Y110" s="259">
        <f>IF(W110="",0,MAX($Y$2:Y109)+1)</f>
        <v>92</v>
      </c>
      <c r="Z110" s="259" t="str">
        <f>IFERROR(INDEX($W$3:$Y$220,MATCH(ROWS($Z$2:Z109),$Y$3:$Y$220,0),1),"")</f>
        <v>20.15</v>
      </c>
      <c r="AA110" s="259" t="str">
        <f t="shared" si="222"/>
        <v>FITTI ATTIVI</v>
      </c>
      <c r="AB110" s="259" t="str">
        <f t="shared" si="223"/>
        <v>E</v>
      </c>
      <c r="AC110" s="259" t="str">
        <f t="shared" si="224"/>
        <v>A</v>
      </c>
      <c r="AD110" s="259" t="str">
        <f t="shared" si="225"/>
        <v>RICAVI D'ESERCIZIO</v>
      </c>
      <c r="AE110" s="259" t="str">
        <f t="shared" si="226"/>
        <v>SE AVERE</v>
      </c>
      <c r="AF110" s="259" t="str">
        <f t="shared" si="227"/>
        <v>VALORE DELLA PRODUZIONE</v>
      </c>
      <c r="AG110" s="259">
        <f t="shared" ca="1" si="228"/>
        <v>1</v>
      </c>
      <c r="AH110" s="259">
        <f t="shared" ca="1" si="229"/>
        <v>1</v>
      </c>
      <c r="AI110" s="259">
        <f t="shared" ca="1" si="230"/>
        <v>1</v>
      </c>
      <c r="AJ110" s="259" t="str">
        <f t="shared" si="231"/>
        <v>20</v>
      </c>
      <c r="AK110" s="259" t="str">
        <f t="shared" si="232"/>
        <v/>
      </c>
      <c r="AL110" s="259">
        <f>IF(AK110&lt;&gt;"",MAX($AL$2:AL109)+1,0)</f>
        <v>0</v>
      </c>
      <c r="AM110" s="259" t="str">
        <f>IFERROR(INDEX($AK$3:$AL$220,MATCH(ROWS($AM$3:AM110),$AL$3:$AL$220,0),1),"")</f>
        <v/>
      </c>
      <c r="AN110" s="259" t="str">
        <f t="shared" si="233"/>
        <v/>
      </c>
      <c r="AO110" s="259" t="str">
        <f t="shared" si="234"/>
        <v/>
      </c>
      <c r="AP110" s="259" t="str">
        <f t="shared" si="235"/>
        <v>VALORE DELLA PRODUZIONE</v>
      </c>
      <c r="AQ110" s="259">
        <f ca="1">IF(OR(AG110=0,AG110=""),0,MAX(AQ$2:AQ109)+1)</f>
        <v>52</v>
      </c>
      <c r="AR110" s="259">
        <f ca="1">IF(OR(AH110=0,AH110=""),0,MAX(AR$2:AR109)+1)</f>
        <v>74</v>
      </c>
      <c r="AS110" s="259">
        <f ca="1">IF(OR(AI110=0,AI110=""),0,MAX(AS$2:AS109)+1)</f>
        <v>104</v>
      </c>
      <c r="AT110" s="259" t="str">
        <f ca="1">IFERROR(INDEX($AD$3:$AS$220,MATCH(ROWS(AT$3:AT110),AQ$3:AQ$220,0),1),"")</f>
        <v/>
      </c>
      <c r="AU110" s="259" t="str">
        <f ca="1">IFERROR(INDEX($AD$3:$AS$220,MATCH(ROWS(AU$3:AU110),AR$3:AR$220,0),1),"")</f>
        <v>COSTI D'ESERCIZIO</v>
      </c>
      <c r="AV110" s="259" t="str">
        <f ca="1">IFERROR(INDEX($AD$3:$AS$220,MATCH(ROWS(AV$3:AV110),AS$3:AS$220,0),1),"")</f>
        <v>RICAVI D'ESERCIZIO</v>
      </c>
      <c r="AW110" s="259" t="str">
        <f ca="1">IFERROR(INDEX($AP$3:$AS$220,MATCH(ROWS(AW$3:AW110),AQ$3:AQ$220,0),1),"")</f>
        <v/>
      </c>
      <c r="AX110" s="259" t="str">
        <f ca="1">IFERROR(INDEX($AP$3:$AS$220,MATCH(ROWS(AX$3:AX110),AR$3:AR$220,0),1),"")</f>
        <v>ONERI DIVERSI</v>
      </c>
      <c r="AY110" s="259" t="str">
        <f ca="1">IFERROR(INDEX($AP$3:$AS$220,MATCH(ROWS(AY$3:AY110),AS$3:AS$220,0),1),"")</f>
        <v>VALORE DELLA PRODUZIONE</v>
      </c>
      <c r="AZ110" s="259" t="str">
        <f t="shared" si="339"/>
        <v>8 V.I.</v>
      </c>
      <c r="BA110" s="259">
        <f t="shared" ca="1" si="338"/>
        <v>0</v>
      </c>
      <c r="BB110" s="259">
        <f t="shared" ca="1" si="340"/>
        <v>0</v>
      </c>
      <c r="BC110" s="259">
        <f t="shared" ca="1" si="341"/>
        <v>0</v>
      </c>
      <c r="BD110" s="259">
        <f t="shared" ca="1" si="342"/>
        <v>0</v>
      </c>
      <c r="BE110" s="259">
        <f t="shared" ca="1" si="343"/>
        <v>0</v>
      </c>
      <c r="BG110" s="259" t="str">
        <f t="shared" ca="1" si="185"/>
        <v/>
      </c>
      <c r="BH110" s="259">
        <f ca="1">IF(IFERROR(MATCH(BG110,DENOMINAZIONE_GIORNALE,0),0)&gt;0,MAX(BH$2:BH109)+1,0)</f>
        <v>0</v>
      </c>
      <c r="BI110" s="259" t="str">
        <f ca="1">IFERROR(INDEX($BG$3:$BH$220,MATCH(ROWS($BI$3:BI110),$BH$3:$BH$220,0),1),"")</f>
        <v/>
      </c>
      <c r="BJ110" s="259" t="str">
        <f t="shared" ca="1" si="186"/>
        <v/>
      </c>
      <c r="BK110" s="259" t="str">
        <f ca="1">IF(IF(BJ110&lt;&gt;"",MAX($BK$2:BK109)+1,0)=0,"",IF(BJ110&lt;&gt;"",MAX($BK$2:BK109)+1,0))</f>
        <v/>
      </c>
      <c r="BL110" s="259" t="str">
        <f ca="1">IFERROR(INDEX($T$3:$U$220, MATCH(ROWS(BL$3:BL110),$V$3:$V$220,0),1),"")</f>
        <v/>
      </c>
      <c r="BM110" s="259" t="str">
        <f ca="1">IFERROR(INDEX($T$3:$U$220, MATCH(ROWS(BM$3:BM110),$V$3:$V$220,0),2),"")</f>
        <v/>
      </c>
      <c r="BN110" s="259" t="str">
        <f ca="1">IF(IFERROR(INDEX($BI$3:$BJ$220,MATCH(ROWS(BN$3:BN110),$BK$3:$BK$220,0),1),"")="PATRIMONIO NETTO","",IFERROR(INDEX($BI$3:$BJ$220,MATCH(ROWS(BN$3:BN110),$BK$3:$BK$220,0),1),""))</f>
        <v/>
      </c>
      <c r="BO110" s="259" t="str">
        <f ca="1">IFERROR(INDEX($BI$3:$BJ$220,MATCH(ROWS(BO$3:BO110),$BK$3:$BK$220,0),2),"")</f>
        <v/>
      </c>
      <c r="BP110" s="259">
        <f ca="1">IF(BN110&lt;&gt;"",MAX(BP$2:$BP109)+1,0)</f>
        <v>0</v>
      </c>
      <c r="BQ110" s="259" t="str">
        <f ca="1">IFERROR(INDEX($BN$3:$BO$200,MATCH(ROWS(BQ$3:BQ110),$BP$3:$BP$220,0),1),"")</f>
        <v/>
      </c>
      <c r="BR110" s="259" t="str">
        <f ca="1">IFERROR(INDEX($BN$3:$BO$220,MATCH(ROWS(BR$3:BR110),$BP$3:$BP$220,0),2),"")</f>
        <v/>
      </c>
      <c r="BS110" s="259" t="str">
        <f ca="1">IFERROR(IF(OR(INDEX($T$3:$U$220,MATCH(ROWS(BL$3:BL110),$V$3:$V$220,0),1)="PRELEVAMENTI EXTRAGESTIONE",INDEX($T$3:$U$220,MATCH(ROWS(BL$3:BL110),$V$3:$V$220,0),1)="TITOLARE C/RITENUTE SUBITE"),"",INDEX($T$3:$U$220,MATCH(ROWS(BL$3:BL110),$V$3:$V$220,0),1)),"")</f>
        <v/>
      </c>
      <c r="BT110" s="259">
        <f t="shared" ca="1" si="238"/>
        <v>0</v>
      </c>
      <c r="BU110" s="259">
        <f ca="1">IF(BS110&lt;&gt;"",MAX(BU$2:BU109)+1,0)</f>
        <v>0</v>
      </c>
      <c r="BV110" s="259" t="str">
        <f ca="1">IFERROR(INDEX($BS$3:$BT$223,MATCH(ROWS(BV$3:BV110),$BU$3:$BU$223,0),1),"")</f>
        <v/>
      </c>
      <c r="BW110" s="259">
        <f t="shared" ca="1" si="239"/>
        <v>0</v>
      </c>
      <c r="CB110" s="259" t="str">
        <f ca="1">IFERROR(IF(OR($BB$1&lt;&gt;$BD$1,$BC$1&lt;&gt;$BE$1,$DS$231&lt;&gt;$DT$231,$DU$231&lt;&gt;$DV$231,$EO$25&lt;&gt;0,$EO$26&lt;&gt;0),INDEX($BI$3:$BK$220,MATCH(ROWS($CB$3:CB110),$BK$3:$BK$220,0),1),CONCATENATE(BQ110,BX110)),"")</f>
        <v/>
      </c>
      <c r="CC110" s="259" t="str">
        <f t="shared" ca="1" si="243"/>
        <v/>
      </c>
      <c r="CD110" s="259" t="str">
        <f t="shared" ca="1" si="187"/>
        <v/>
      </c>
      <c r="CE110" s="259">
        <f ca="1">IF(IFERROR(MATCH(CD110,DENOMINAZIONE_GIORNALE,0),0)&gt;0,MAX(CE$2:CE109)+1,0)</f>
        <v>0</v>
      </c>
      <c r="CF110" s="259" t="str">
        <f ca="1">IFERROR(INDEX($CD$3:$CE$220,MATCH(ROWS($CF$3:CF110),$CE$3:$CE$220,0),1),"")</f>
        <v/>
      </c>
      <c r="CG110" s="259">
        <f t="shared" ca="1" si="188"/>
        <v>0</v>
      </c>
      <c r="CH110" s="259" t="str">
        <f ca="1">IF(IF(CG110&lt;&gt;0,MAX($CH$2:CH109)+1,0)=0,"",IF(CG110&lt;&gt;"",MAX($CH$2:CH109)+1,0))</f>
        <v/>
      </c>
      <c r="CI110" s="259" t="str">
        <f ca="1">IFERROR(INDEX($CF$3:$CG$220,MATCH(ROWS($CI$3:CI110),$CH$3:$CH$220,0),1),"")</f>
        <v/>
      </c>
      <c r="CJ110" s="259" t="str">
        <f t="shared" ca="1" si="244"/>
        <v/>
      </c>
      <c r="CK110" s="259" t="str">
        <f t="shared" ca="1" si="189"/>
        <v>FITTI ATTIVI</v>
      </c>
      <c r="CL110" s="259">
        <f ca="1">IF(IFERROR(MATCH(CK110,DENOMINAZIONE_GIORNALE,0),0)&gt;0,MAX(CL$2:CL109)+1,0)</f>
        <v>0</v>
      </c>
      <c r="CM110" s="259" t="str">
        <f ca="1">IFERROR(INDEX($CK$3:$CL$220,MATCH(ROWS($CM$3:CM110),$CL$3:$CL$220,0),1),"")</f>
        <v/>
      </c>
      <c r="CN110" s="259" t="str">
        <f t="shared" ca="1" si="190"/>
        <v/>
      </c>
      <c r="CO110" s="259">
        <f ca="1">IF(IF(CN110&lt;&gt;0,MAX($CO$2:CO109)+1,0)=0,"",IF(CN110&lt;&gt;"",MAX($CO$2:CO109)+1,0))</f>
        <v>0</v>
      </c>
      <c r="CP110" s="259" t="str">
        <f ca="1">IFERROR(INDEX($CM$3:$CN$220,MATCH(ROWS(CP$3:CP110),$CO$3:$CO$220,0),1),"")</f>
        <v/>
      </c>
      <c r="CQ110" s="259" t="str">
        <f ca="1">IFERROR(INDEX($CM$3:$CN$220,MATCH(ROWS(CQ$3:CQ110),$CO$3:$CO$220,0),2),"")</f>
        <v/>
      </c>
      <c r="CS110" s="259">
        <f t="shared" ca="1" si="192"/>
        <v>0</v>
      </c>
      <c r="CT110" s="259">
        <f t="shared" ca="1" si="193"/>
        <v>0</v>
      </c>
      <c r="CU110" s="259">
        <f ca="1">IF(OR(CS110&gt;0,CT110&gt;0),MAX($CU$2:CU109)+1,0)</f>
        <v>0</v>
      </c>
      <c r="CV110" s="259" t="str">
        <f ca="1">IFERROR(INDEX(PIANO_DEI_CONTI,MATCH(ROWS($CV$3:CV110),$CU$3:$CU$200,0),2),"")</f>
        <v/>
      </c>
      <c r="CW110" s="259">
        <f ca="1">IFERROR(IF(CV110&lt;&gt;"",MAX($CW$2:CW109)+1,0),0)</f>
        <v>0</v>
      </c>
      <c r="CX110" s="259" t="str">
        <f>IFERROR(IF(CX92+1=1,"",(CX92+1)),"")</f>
        <v/>
      </c>
      <c r="CY110" s="259" t="str">
        <f t="shared" ca="1" si="337"/>
        <v>MASTRO</v>
      </c>
      <c r="DB110" s="259" t="str">
        <f t="shared" ref="DB110" ca="1" si="354">CY110</f>
        <v>MASTRO</v>
      </c>
      <c r="DF110" s="259">
        <f ca="1">IF(AND(CX110=$DE$2,$DF$2&lt;&gt;0),0,IF(AND(DB110&lt;&gt;"",OR(DB109&lt;&gt;"",DB111&lt;&gt;"")),MAX($DF$2:DF109)+1,0))</f>
        <v>0</v>
      </c>
      <c r="DG110" s="259" t="str">
        <f>IF(IF(LIBRO_GIORNALE!E18="","",IFERROR(INDEX(PIANO_DEI_CONTI,MATCH(BB110,DENOMINAZIONE,0),1),0))=0,"",IF(LIBRO_GIORNALE!E18="","",IFERROR(INDEX(PIANO_DEI_CONTI,MATCH(BB110,DENOMINAZIONE,0),1),0)))</f>
        <v/>
      </c>
      <c r="DH110" s="259">
        <f ca="1">IFERROR(IF($J$1=1,IF(INDEX(PIANO_DEI_CONTI,MATCH($K110,DENOMINAZIONE,0),5)=$DF$1,MAX($DH$2:DH109)+1,0),IF($J$1=2,IF(INDEX(PIANO_DEI_CONTI,MATCH($K110,DENOMINAZIONE,0),7)=$DF$1,MAX($DH$2:DH109)+1,0))),0)</f>
        <v>0</v>
      </c>
      <c r="DI110" s="259">
        <f ca="1">IFERROR(INDEX($K$3:$K$220,MATCH(ROWS($DI$3:DI110),$DH$3:$DH$220,0),1),0)</f>
        <v>0</v>
      </c>
      <c r="DJ110" s="259">
        <f t="shared" ca="1" si="194"/>
        <v>0</v>
      </c>
      <c r="DK110" s="259">
        <f ca="1">IF(DJ110=0,0,MAX(DK$2:DK109)+1)</f>
        <v>0</v>
      </c>
      <c r="DL110" s="259">
        <f ca="1">IFERROR(INDEX(PIANO_DEI_CONTI,MATCH(ROWS(DL$3:DL110),$DK$3:DK337,0),2),0)</f>
        <v>0</v>
      </c>
      <c r="DM110" s="259">
        <f t="shared" ca="1" si="195"/>
        <v>0</v>
      </c>
      <c r="DN110" s="259">
        <f t="shared" ca="1" si="196"/>
        <v>0</v>
      </c>
      <c r="DO110" s="259">
        <f t="shared" ca="1" si="245"/>
        <v>0</v>
      </c>
      <c r="DP110" s="259">
        <f t="shared" ca="1" si="246"/>
        <v>0</v>
      </c>
      <c r="DQ110" s="259">
        <f ca="1">IF(OR($DQ$1="TOTALI",$DQ$1="TOTALI ED ECCEDENZE"),IF(OR(DM110&gt;0,DN110&gt;0),MAX(DQ$2:DQ109)+1,0),IF($DQ$1="ECCEDENZE",IF(OR(DO110&gt;0,DP110&gt;0),MAX(DQ$2:DQ109)+1,0),""))</f>
        <v>0</v>
      </c>
      <c r="DR110" s="259" t="str">
        <f ca="1">IFERROR(INDEX($DL$3:$DQ$230,MATCH(ROWS(DR$3:DR110),$DQ$3:$DQ$230,0),1),"")</f>
        <v/>
      </c>
      <c r="DS110" s="259" t="str">
        <f t="shared" ca="1" si="247"/>
        <v/>
      </c>
      <c r="DT110" s="259" t="str">
        <f t="shared" ca="1" si="248"/>
        <v/>
      </c>
      <c r="DU110" s="259" t="str">
        <f t="shared" ca="1" si="249"/>
        <v/>
      </c>
      <c r="DV110" s="259" t="str">
        <f t="shared" ca="1" si="250"/>
        <v/>
      </c>
      <c r="DW110" s="259">
        <f t="shared" ca="1" si="251"/>
        <v>0</v>
      </c>
      <c r="DX110" s="259" t="str">
        <f t="shared" ca="1" si="252"/>
        <v/>
      </c>
      <c r="DY110" s="259" t="str">
        <f t="shared" ca="1" si="253"/>
        <v/>
      </c>
      <c r="DZ110" s="259" t="str">
        <f t="shared" ca="1" si="254"/>
        <v/>
      </c>
      <c r="EA110" s="259">
        <f t="shared" ca="1" si="255"/>
        <v>108</v>
      </c>
      <c r="EB110" s="259" t="s">
        <v>367</v>
      </c>
      <c r="ED110" s="259">
        <f t="shared" ca="1" si="197"/>
        <v>0</v>
      </c>
      <c r="EH110" s="259" t="str">
        <f t="shared" ca="1" si="256"/>
        <v/>
      </c>
      <c r="EI110" s="260" t="b">
        <f t="shared" ca="1" si="310"/>
        <v>0</v>
      </c>
      <c r="EJ110" s="260" t="b">
        <f t="shared" ca="1" si="311"/>
        <v>1</v>
      </c>
      <c r="EK110" s="260" t="b">
        <f t="shared" ca="1" si="312"/>
        <v>1</v>
      </c>
      <c r="EL110" s="259">
        <f t="shared" si="257"/>
        <v>108</v>
      </c>
      <c r="EM110" s="259">
        <f ca="1">IF(AND(BA110&gt;0,BA110&lt;=$EM$1),MAX($EM$2:EM109)+1,0)</f>
        <v>0</v>
      </c>
      <c r="EN110" s="259">
        <f t="shared" ca="1" si="258"/>
        <v>110</v>
      </c>
      <c r="EP110" s="259" t="str">
        <f t="shared" ca="1" si="200"/>
        <v/>
      </c>
      <c r="EQ110" s="259">
        <f t="shared" ca="1" si="201"/>
        <v>0</v>
      </c>
      <c r="ER110" s="259">
        <f ca="1">IF(ISNA(EQ110),MAX(ER$2:ER109)+1,0)</f>
        <v>0</v>
      </c>
      <c r="ES110" s="259" t="str">
        <f t="shared" ca="1" si="259"/>
        <v/>
      </c>
      <c r="ET110" s="259" t="str">
        <f ca="1">IFERROR(UPPER(INDEX($ER$3:$ES$500,MATCH(ROWS(ET$3:ET110),$ER$3:$ER$500,0),2)),"")</f>
        <v/>
      </c>
      <c r="EW110" s="259">
        <f t="shared" ca="1" si="344"/>
        <v>1</v>
      </c>
      <c r="EX110" s="259">
        <v>8</v>
      </c>
      <c r="EY110" s="259">
        <f t="shared" ca="1" si="345"/>
        <v>0</v>
      </c>
      <c r="EZ110" s="259">
        <f t="shared" ca="1" si="346"/>
        <v>0</v>
      </c>
      <c r="FA110" s="259">
        <f t="shared" ca="1" si="347"/>
        <v>0</v>
      </c>
      <c r="FB110" s="259">
        <f t="shared" ca="1" si="348"/>
        <v>0</v>
      </c>
      <c r="FC110" s="259">
        <f t="shared" ca="1" si="349"/>
        <v>0</v>
      </c>
      <c r="FD110" s="259">
        <f t="shared" ca="1" si="202"/>
        <v>0</v>
      </c>
      <c r="FE110" s="259" t="str">
        <f t="shared" ca="1" si="203"/>
        <v/>
      </c>
      <c r="FF110" s="259" t="str">
        <f t="shared" ca="1" si="350"/>
        <v/>
      </c>
      <c r="FG110" s="259" t="str">
        <f t="shared" si="335"/>
        <v/>
      </c>
      <c r="FH110" s="259">
        <f t="shared" ca="1" si="334"/>
        <v>0</v>
      </c>
      <c r="FI110" s="259">
        <f t="shared" ca="1" si="204"/>
        <v>0</v>
      </c>
      <c r="FJ110" s="259">
        <f t="shared" ca="1" si="336"/>
        <v>0</v>
      </c>
      <c r="FK110" s="259">
        <f t="shared" ca="1" si="267"/>
        <v>0</v>
      </c>
      <c r="FL110" s="259">
        <f ca="1">IF(OR(FJ110&gt;0,FK110&gt;0),MAX($FL$2:FL109)+1,0)</f>
        <v>0</v>
      </c>
      <c r="FM110" s="259">
        <f t="shared" ca="1" si="205"/>
        <v>0</v>
      </c>
      <c r="FN110" s="259">
        <f ca="1">IF(FM110&lt;0,MAX($FN$2:FN109)+1,0)</f>
        <v>0</v>
      </c>
      <c r="FO110" s="259" t="str">
        <f t="shared" ca="1" si="268"/>
        <v/>
      </c>
      <c r="FP110" s="259" t="str">
        <f ca="1">IFERROR(INDEX($FN$3:$FO$400,MATCH(ROWS($FP$3:FP110),$FN$3:$FN$400,0),2),"")</f>
        <v/>
      </c>
      <c r="FQ110" s="259">
        <f>IF(AE110="SE AVERE",MAX($FQ$2:FQ109)+1,"")</f>
        <v>4</v>
      </c>
      <c r="FR110" s="259" t="str">
        <f>IF(AE110="SE DARE",MAX($FR$2:FR109)+1,"")</f>
        <v/>
      </c>
      <c r="FS110" s="259" t="str">
        <f ca="1">IF(AND(AE110="SP DARE",AA110&lt;&gt;$FS$1,AA110&lt;&gt;$FT$1),MAX($FS$2:FS109)+1,IF(AND(GQ110="SP DARE",AA110&lt;&gt;$FS$1,AA110&lt;&gt;$FT$1),MAX($FS$2:FS109)+1,""))</f>
        <v/>
      </c>
      <c r="FT110" s="259" t="str">
        <f ca="1">IF(AND(AE110="SP AVERE",AA110&lt;&gt;$FU$1),MAX($FT$2:FT109)+1,IF(AND(GQ110="SP AVERE",AA110&lt;&gt;$FU$1),MAX($FT$2:FT109)+1,""))</f>
        <v/>
      </c>
      <c r="FU110" s="259">
        <f t="shared" ca="1" si="269"/>
        <v>4</v>
      </c>
      <c r="FV110" s="259" t="str">
        <f t="shared" si="270"/>
        <v>FITTI ATTIVI</v>
      </c>
      <c r="FW110" s="259" t="str">
        <f ca="1">IFERROR(INDEX($FU$3:$FV$500,MATCH(ROWS($FW$3:FW110),$FU$3:$FU$500,0),2),0)</f>
        <v>FATTURE DA EMETTERE</v>
      </c>
      <c r="FX110" s="259">
        <f t="shared" ca="1" si="271"/>
        <v>108</v>
      </c>
      <c r="FY110" s="259">
        <f t="shared" ca="1" si="272"/>
        <v>0</v>
      </c>
      <c r="FZ110" s="259">
        <f ca="1">IF(FY110&gt;0,MAX($FZ$2:FZ109)+1,0)</f>
        <v>0</v>
      </c>
      <c r="GA110" s="259">
        <f ca="1">IFERROR(INDEX($FY$3:$FZ$500,MATCH(ROWS($GA$3:GA110),$FZ$3:$FZ$500,0),1),0)</f>
        <v>0</v>
      </c>
      <c r="GC110" s="259">
        <f t="shared" ca="1" si="273"/>
        <v>108</v>
      </c>
      <c r="GD110" s="259" t="str">
        <f t="shared" ca="1" si="274"/>
        <v>FATTURE DA EMETTERE</v>
      </c>
      <c r="GG110" s="259">
        <f t="shared" ca="1" si="275"/>
        <v>0</v>
      </c>
      <c r="GH110" s="259">
        <f t="shared" ca="1" si="276"/>
        <v>0</v>
      </c>
      <c r="GI110" s="259">
        <f t="shared" ca="1" si="277"/>
        <v>0</v>
      </c>
      <c r="GJ110" s="259">
        <f t="shared" ca="1" si="278"/>
        <v>0</v>
      </c>
      <c r="GK110" s="259">
        <f t="shared" ca="1" si="279"/>
        <v>0</v>
      </c>
      <c r="GL110" s="259">
        <f t="shared" ca="1" si="280"/>
        <v>0</v>
      </c>
      <c r="GM110" s="259">
        <f ca="1">IF(OR(GK110&gt;0,GL110&gt;0),MAX($GM$2:GM109)+1,0)</f>
        <v>0</v>
      </c>
      <c r="GN110" s="259" t="str">
        <f ca="1">IFERROR(INDEX($GD$3:$GM$400,MATCH(ROWS($GN$3:GN110),$GM$3:$GM$400,0),1),"")</f>
        <v/>
      </c>
      <c r="GO110" s="259" t="str">
        <f ca="1">IFERROR(INDEX($GD$3:$GM$400,MATCH(ROWS($GO$3:GO110),$GM$3:$GM$400,0),8),"")</f>
        <v/>
      </c>
      <c r="GP110" s="259" t="str">
        <f ca="1">IFERROR(INDEX($GD$3:$GM$400,MATCH(ROWS($GP$3:GP110),$GM$3:$GM$400,0),9),"")</f>
        <v/>
      </c>
      <c r="GQ110" s="259">
        <f t="shared" ca="1" si="206"/>
        <v>0</v>
      </c>
      <c r="GR110" s="259">
        <f t="shared" ca="1" si="281"/>
        <v>0</v>
      </c>
      <c r="GS110" s="259" t="str">
        <f t="shared" ca="1" si="282"/>
        <v>chiusura del conto</v>
      </c>
      <c r="GT110" s="259" t="str">
        <f ca="1">IFERROR(INDEX($GD$3:$GS$400,MATCH(ROWS($GT$3:GT110),$GM$3:$GM$400,0),16),"")</f>
        <v/>
      </c>
      <c r="GU110" s="259">
        <f ca="1">IF(GQ110&lt;&gt;0,MAX($GU$2:$GU109)+1,0)</f>
        <v>0</v>
      </c>
      <c r="GV110" s="259">
        <f t="shared" ca="1" si="283"/>
        <v>0</v>
      </c>
      <c r="GW110" s="259" t="str">
        <f ca="1">IF(AND(IFERROR(INDEX($GU$3:$GV$400,MATCH(ROWS($GW$3:GW110),$GU$3:$GU$400,0),2),"")&lt;&gt;"",GW111&lt;&gt;""),CONCATENATE(IFERROR(INDEX($GU$3:$GV$400,MATCH(ROWS($GW$3:GW110),$GU$3:$GU$400,0),2),"")," - "),IFERROR(INDEX($GU$3:$GV$400,MATCH(ROWS($GW$3:GW110),$GU$3:$GU$400,0),2),""))</f>
        <v/>
      </c>
      <c r="GX110" s="259">
        <f ca="1">IF(OR(GN110="IVA NS/CREDITO",GN110="IVA NS/DEBITO",GN110="IVA C/ACCONTO",GN110="IMPOSTE C/ACCONTO"),MAX($GX$2:GX109)+1,0)</f>
        <v>0</v>
      </c>
      <c r="GY110" s="259" t="str">
        <f ca="1">IF(AND(IFERROR(INDEX($GN$3:$GX$200,MATCH(ROWS($GY$3:GY110),$GX$3:$GX$200,0),1),"")&lt;&gt;"",GY111&lt;&gt;""),CONCATENATE(IFERROR(INDEX($GN$3:$GX$200,MATCH(ROWS($GY$3:GY110),$GX$3:$GX$200,0),1),"")," - "),IFERROR(INDEX($GN$3:$GX$200,MATCH(ROWS($GY$3:GY110),$GX$3:$GX$200,0),1),""))</f>
        <v/>
      </c>
      <c r="GZ110" s="259" t="s">
        <v>540</v>
      </c>
      <c r="HA110" s="259" t="s">
        <v>131</v>
      </c>
      <c r="HB110" s="269" t="s">
        <v>257</v>
      </c>
      <c r="HC110" s="269" t="s">
        <v>277</v>
      </c>
      <c r="HD110" s="269" t="s">
        <v>613</v>
      </c>
      <c r="HE110" s="269" t="s">
        <v>219</v>
      </c>
      <c r="HV110" s="259" t="str">
        <f ca="1">CONCATENATE(IFERROR(INDEX($HS$3:$HT$102,MATCH(ROWS($HV$3:HV110),$HT$3:$HT$102,0),1),""),HR110)</f>
        <v/>
      </c>
      <c r="IC110" s="259">
        <f ca="1">IFERROR(INDEX(PIANO_DEI_CONTI,MATCH(ROWS(DL$3:DL110),$DK$3:DK337,0),2),0)</f>
        <v>0</v>
      </c>
      <c r="ID110" s="259">
        <f t="shared" ca="1" si="288"/>
        <v>0</v>
      </c>
      <c r="IE110" s="259">
        <f t="shared" ca="1" si="289"/>
        <v>0</v>
      </c>
      <c r="IF110" s="259">
        <f t="shared" ca="1" si="290"/>
        <v>0</v>
      </c>
      <c r="IG110" s="259">
        <f t="shared" ca="1" si="324"/>
        <v>0</v>
      </c>
      <c r="IH110" s="259">
        <f ca="1">IF(IG110&lt;&gt;0,MAX($IH$35:IH109)+1,0)</f>
        <v>0</v>
      </c>
      <c r="II110" s="259">
        <f>IF(AD110="costi pluriennali",MAX($II$2:II109)+1,0)</f>
        <v>0</v>
      </c>
      <c r="IJ110" s="259">
        <f>IF($AD110="rettifiche costi pluriennali",MAX($IJ$2:IJ109)+1,0)</f>
        <v>0</v>
      </c>
      <c r="IK110" s="259">
        <f t="shared" si="291"/>
        <v>0</v>
      </c>
      <c r="IL110" s="259" t="str">
        <f t="shared" si="292"/>
        <v/>
      </c>
      <c r="IM110" s="259">
        <f t="shared" ca="1" si="293"/>
        <v>0</v>
      </c>
      <c r="IN110" s="259">
        <f t="shared" ca="1" si="313"/>
        <v>0</v>
      </c>
      <c r="IO110" s="259">
        <f>SUMIFS($IM$3:$IM$200,$IK$3:$IK$200,ROWS($IO$3:IO110))-SUMIFS($IN$3:$IN$200,$IK$3:$IK$200,ROWS($IO$3:IO110))</f>
        <v>0</v>
      </c>
      <c r="IP110" s="259" t="str">
        <f>IF(IO110&lt;0,INDEX($IJ$3:$IL$200,MATCH(ROWS($IP$3:IP110),$IJ$3:$IJ$200,0),3),"")</f>
        <v/>
      </c>
      <c r="IQ110" s="259">
        <f>IF(IP110&lt;&gt;"",MAX($IQ$2:IQ109)+1,0)</f>
        <v>0</v>
      </c>
      <c r="IR110" s="259" t="str">
        <f ca="1">IFERROR(INDEX($IP$3:$IQ$200,MATCH(ROWS($IR$3:IR110),$IQ$3:$IQ$200,0),1),"")</f>
        <v/>
      </c>
      <c r="IS110" s="259" t="str">
        <f t="shared" ca="1" si="294"/>
        <v/>
      </c>
      <c r="IT110" s="259" t="str">
        <f t="shared" ca="1" si="295"/>
        <v/>
      </c>
      <c r="IU110" s="259" t="str">
        <f t="shared" ca="1" si="296"/>
        <v/>
      </c>
      <c r="IV110" s="259" t="str">
        <f t="shared" ca="1" si="297"/>
        <v/>
      </c>
      <c r="IW110" s="259" t="str">
        <f t="shared" ca="1" si="298"/>
        <v/>
      </c>
      <c r="IX110" s="259" t="str">
        <f t="shared" ca="1" si="299"/>
        <v/>
      </c>
      <c r="IY110" s="259" t="str">
        <f t="shared" ca="1" si="300"/>
        <v/>
      </c>
      <c r="IZ110" s="259" t="str">
        <f t="shared" ca="1" si="301"/>
        <v/>
      </c>
      <c r="JA110" s="259" t="str">
        <f t="shared" ca="1" si="302"/>
        <v/>
      </c>
      <c r="JB110" s="259">
        <f t="shared" ca="1" si="210"/>
        <v>0</v>
      </c>
      <c r="JC110" s="259">
        <f t="shared" ca="1" si="351"/>
        <v>0</v>
      </c>
      <c r="JD110" s="259">
        <f t="shared" ca="1" si="352"/>
        <v>0</v>
      </c>
      <c r="JE110" s="259">
        <f ca="1">IFERROR(INDEX(LIBRO_GIORNALE!$N$11:$O$408,MATCH(ROWS($JE$2:JE109),LIBRO_GIORNALE!$O$11:$O$408,0),1),0)</f>
        <v>0</v>
      </c>
      <c r="JF110" s="259" t="str">
        <f t="shared" ca="1" si="304"/>
        <v>0</v>
      </c>
      <c r="JG110" s="259">
        <f t="shared" ca="1" si="305"/>
        <v>0</v>
      </c>
      <c r="JH110" s="259">
        <f ca="1">IF(JJ110&gt;0,0,MAX($JH$2:JH109)+1)</f>
        <v>108</v>
      </c>
      <c r="JI110" s="259">
        <f ca="1">IF(JG110&gt;0,MAX($JI$2:JI109)+1,0)</f>
        <v>0</v>
      </c>
      <c r="JJ110" s="259">
        <f ca="1">IFERROR(INDEX($JG$3:$JI$124,MATCH(ROWS($JJ$3:JJ110),$JI$3:$JI$124,0),1),0)</f>
        <v>0</v>
      </c>
      <c r="JK110" s="259">
        <f t="shared" ca="1" si="306"/>
        <v>0</v>
      </c>
      <c r="JL110" s="259">
        <f t="shared" ca="1" si="307"/>
        <v>108</v>
      </c>
      <c r="JM110" s="259">
        <f t="shared" ca="1" si="353"/>
        <v>0</v>
      </c>
    </row>
    <row r="111" spans="1:273">
      <c r="A111" s="259" t="str">
        <f t="shared" si="211"/>
        <v>18.11</v>
      </c>
      <c r="B111" s="259" t="str">
        <f t="shared" si="212"/>
        <v>ISTITUTI PREVIDENZIALI</v>
      </c>
      <c r="C111" s="259" t="str">
        <f t="shared" si="213"/>
        <v>F</v>
      </c>
      <c r="D111" s="259" t="str">
        <f t="shared" si="214"/>
        <v>D/A</v>
      </c>
      <c r="E111" s="259" t="str">
        <f t="shared" si="215"/>
        <v>CONTI CON ALTERNANZA DI SALDI</v>
      </c>
      <c r="F111" s="259" t="str">
        <f t="shared" si="216"/>
        <v>SP DARE/AVERE</v>
      </c>
      <c r="G111" s="259">
        <f t="shared" ca="1" si="217"/>
        <v>0</v>
      </c>
      <c r="H111" s="259">
        <f t="shared" ca="1" si="218"/>
        <v>1</v>
      </c>
      <c r="I111" s="259">
        <f t="shared" ca="1" si="219"/>
        <v>1</v>
      </c>
      <c r="K111" s="259" t="str">
        <f ca="1">IFERROR(IF($I$1=1,INDEX($AA$3:$AS$220,MATCH(ROWS($K$3:K111),$AQ$3:$AQ$220,0),1),IF($I$1=2,INDEX($AA$3:$AS$220,MATCH(ROWS($K$3:K111),$AR$3:$AR$220,0),1),IF($I$1=3,INDEX($AA$3:$AS$220,MATCH(ROWS($K$3:K111),$AS$3:$AS$220,0),1),""))),"")</f>
        <v>INSUSSISTENZE ATTIVE</v>
      </c>
      <c r="L111" s="259">
        <f ca="1">IF(AND($L$1="VISUALIZZA TUTTI I CONTI",K111&lt;&gt;""),MAX(L110:L110)+1,IFERROR(IF($J$1=1,IF(INDEX(PIANO_DEI_CONTI,MATCH($K111,DENOMINAZIONE,0),5)=$L$1,MAX($L$2:L110)+1,0),IF($J$1=2,IF(INDEX(PIANO_DEI_CONTI,MATCH($K111,DENOMINAZIONE,0),7)=$L$1,MAX($L$2:L110)+1,0))),0))</f>
        <v>109</v>
      </c>
      <c r="M111" s="259" t="str">
        <f ca="1">IFERROR(INDEX($K$3:$K$220,MATCH(ROWS($M$3:M111),$L$3:$L$220,0),1),"")</f>
        <v>INSUSSISTENZE ATTIVE</v>
      </c>
      <c r="Q111" s="259" t="str">
        <f ca="1">IF(IFERROR(INDEX($O$3:$P$220,MATCH(ROWS(Q$3:Q111),$P$3:$P$220,0),1),"")=0,"",IFERROR(INDEX($O$3:$P$220,MATCH(ROWS(Q$3:Q111),$P$3:$P$220,0),1),""))</f>
        <v/>
      </c>
      <c r="R111" s="259" t="str">
        <f t="shared" ca="1" si="182"/>
        <v/>
      </c>
      <c r="S111" s="259">
        <f ca="1">IF(IFERROR(MATCH(R111,DENOMINAZIONE_GIORNALE,0),0)&gt;0,MAX(S$2:S110)+1,0)</f>
        <v>0</v>
      </c>
      <c r="T111" s="259" t="str">
        <f ca="1">IFERROR(INDEX($R$3:$S$220,MATCH(ROWS($T$3:T111),$S$3:$S$220,0),1),"")</f>
        <v/>
      </c>
      <c r="U111" s="259">
        <f t="shared" ca="1" si="183"/>
        <v>0</v>
      </c>
      <c r="V111" s="259">
        <f ca="1">IF(IF(U111&lt;&gt;0,MAX($V$2:V110)+1,0)=0,0,IF(U111&lt;&gt;0,MAX($V$2:V110)+1,0))</f>
        <v>0</v>
      </c>
      <c r="W111" s="259" t="str">
        <f t="shared" si="220"/>
        <v>18.11</v>
      </c>
      <c r="X111" s="259" t="str">
        <f t="shared" si="221"/>
        <v>ISTITUTI PREVIDENZIALI</v>
      </c>
      <c r="Y111" s="259">
        <f>IF(W111="",0,MAX($Y$2:Y110)+1)</f>
        <v>93</v>
      </c>
      <c r="Z111" s="259" t="str">
        <f>IFERROR(INDEX($W$3:$Y$220,MATCH(ROWS($Z$2:Z110),$Y$3:$Y$220,0),1),"")</f>
        <v>20.16</v>
      </c>
      <c r="AA111" s="259" t="str">
        <f t="shared" si="222"/>
        <v>PROVENTI VARI</v>
      </c>
      <c r="AB111" s="259" t="str">
        <f t="shared" si="223"/>
        <v>E</v>
      </c>
      <c r="AC111" s="259" t="str">
        <f t="shared" si="224"/>
        <v>A</v>
      </c>
      <c r="AD111" s="259" t="str">
        <f t="shared" si="225"/>
        <v>RICAVI D'ESERCIZIO</v>
      </c>
      <c r="AE111" s="259" t="str">
        <f t="shared" si="226"/>
        <v>SE AVERE</v>
      </c>
      <c r="AF111" s="259" t="str">
        <f t="shared" si="227"/>
        <v>VALORE DELLA PRODUZIONE</v>
      </c>
      <c r="AG111" s="259">
        <f t="shared" ca="1" si="228"/>
        <v>1</v>
      </c>
      <c r="AH111" s="259">
        <f t="shared" ca="1" si="229"/>
        <v>1</v>
      </c>
      <c r="AI111" s="259">
        <f t="shared" ca="1" si="230"/>
        <v>1</v>
      </c>
      <c r="AJ111" s="259" t="str">
        <f t="shared" si="231"/>
        <v>20</v>
      </c>
      <c r="AK111" s="259" t="str">
        <f t="shared" si="232"/>
        <v/>
      </c>
      <c r="AL111" s="259">
        <f>IF(AK111&lt;&gt;"",MAX($AL$2:AL110)+1,0)</f>
        <v>0</v>
      </c>
      <c r="AM111" s="259" t="str">
        <f>IFERROR(INDEX($AK$3:$AL$220,MATCH(ROWS($AM$3:AM111),$AL$3:$AL$220,0),1),"")</f>
        <v/>
      </c>
      <c r="AN111" s="259" t="str">
        <f t="shared" si="233"/>
        <v/>
      </c>
      <c r="AO111" s="259" t="str">
        <f t="shared" si="234"/>
        <v/>
      </c>
      <c r="AP111" s="259" t="str">
        <f t="shared" si="235"/>
        <v>VALORE DELLA PRODUZIONE</v>
      </c>
      <c r="AQ111" s="259">
        <f ca="1">IF(OR(AG111=0,AG111=""),0,MAX(AQ$2:AQ110)+1)</f>
        <v>53</v>
      </c>
      <c r="AR111" s="259">
        <f ca="1">IF(OR(AH111=0,AH111=""),0,MAX(AR$2:AR110)+1)</f>
        <v>75</v>
      </c>
      <c r="AS111" s="259">
        <f ca="1">IF(OR(AI111=0,AI111=""),0,MAX(AS$2:AS110)+1)</f>
        <v>105</v>
      </c>
      <c r="AT111" s="259" t="str">
        <f ca="1">IFERROR(INDEX($AD$3:$AS$220,MATCH(ROWS(AT$3:AT111),AQ$3:AQ$220,0),1),"")</f>
        <v/>
      </c>
      <c r="AU111" s="259" t="str">
        <f ca="1">IFERROR(INDEX($AD$3:$AS$220,MATCH(ROWS(AU$3:AU111),AR$3:AR$220,0),1),"")</f>
        <v>COSTI D'ESERCIZIO</v>
      </c>
      <c r="AV111" s="259" t="str">
        <f ca="1">IFERROR(INDEX($AD$3:$AS$220,MATCH(ROWS(AV$3:AV111),AS$3:AS$220,0),1),"")</f>
        <v>RICAVI D'ESERCIZIO</v>
      </c>
      <c r="AW111" s="259" t="str">
        <f ca="1">IFERROR(INDEX($AP$3:$AS$220,MATCH(ROWS(AW$3:AW111),AQ$3:AQ$220,0),1),"")</f>
        <v/>
      </c>
      <c r="AX111" s="259" t="str">
        <f ca="1">IFERROR(INDEX($AP$3:$AS$220,MATCH(ROWS(AX$3:AX111),AR$3:AR$220,0),1),"")</f>
        <v>ONERI DIVERSI</v>
      </c>
      <c r="AY111" s="259" t="str">
        <f ca="1">IFERROR(INDEX($AP$3:$AS$220,MATCH(ROWS(AY$3:AY111),AS$3:AS$220,0),1),"")</f>
        <v>VALORE DELLA PRODUZIONE</v>
      </c>
      <c r="AZ111" s="259" t="str">
        <f t="shared" si="339"/>
        <v>9 V.I.</v>
      </c>
      <c r="BA111" s="259">
        <f t="shared" ca="1" si="338"/>
        <v>0</v>
      </c>
      <c r="BB111" s="259">
        <f t="shared" ca="1" si="340"/>
        <v>0</v>
      </c>
      <c r="BC111" s="259">
        <f t="shared" ca="1" si="341"/>
        <v>0</v>
      </c>
      <c r="BD111" s="259">
        <f t="shared" ca="1" si="342"/>
        <v>0</v>
      </c>
      <c r="BE111" s="259">
        <f t="shared" ca="1" si="343"/>
        <v>0</v>
      </c>
      <c r="BG111" s="259" t="str">
        <f t="shared" ca="1" si="185"/>
        <v/>
      </c>
      <c r="BH111" s="259">
        <f ca="1">IF(IFERROR(MATCH(BG111,DENOMINAZIONE_GIORNALE,0),0)&gt;0,MAX(BH$2:BH110)+1,0)</f>
        <v>0</v>
      </c>
      <c r="BI111" s="259" t="str">
        <f ca="1">IFERROR(INDEX($BG$3:$BH$220,MATCH(ROWS($BI$3:BI111),$BH$3:$BH$220,0),1),"")</f>
        <v/>
      </c>
      <c r="BJ111" s="259" t="str">
        <f t="shared" ca="1" si="186"/>
        <v/>
      </c>
      <c r="BK111" s="259" t="str">
        <f ca="1">IF(IF(BJ111&lt;&gt;"",MAX($BK$2:BK110)+1,0)=0,"",IF(BJ111&lt;&gt;"",MAX($BK$2:BK110)+1,0))</f>
        <v/>
      </c>
      <c r="BL111" s="259" t="str">
        <f ca="1">IFERROR(INDEX($T$3:$U$220, MATCH(ROWS(BL$3:BL111),$V$3:$V$220,0),1),"")</f>
        <v/>
      </c>
      <c r="BM111" s="259" t="str">
        <f ca="1">IFERROR(INDEX($T$3:$U$220, MATCH(ROWS(BM$3:BM111),$V$3:$V$220,0),2),"")</f>
        <v/>
      </c>
      <c r="BN111" s="259" t="str">
        <f ca="1">IF(IFERROR(INDEX($BI$3:$BJ$220,MATCH(ROWS(BN$3:BN111),$BK$3:$BK$220,0),1),"")="PATRIMONIO NETTO","",IFERROR(INDEX($BI$3:$BJ$220,MATCH(ROWS(BN$3:BN111),$BK$3:$BK$220,0),1),""))</f>
        <v/>
      </c>
      <c r="BO111" s="259" t="str">
        <f ca="1">IFERROR(INDEX($BI$3:$BJ$220,MATCH(ROWS(BO$3:BO111),$BK$3:$BK$220,0),2),"")</f>
        <v/>
      </c>
      <c r="BP111" s="259">
        <f ca="1">IF(BN111&lt;&gt;"",MAX(BP$2:$BP110)+1,0)</f>
        <v>0</v>
      </c>
      <c r="BQ111" s="259" t="str">
        <f ca="1">IFERROR(INDEX($BN$3:$BO$200,MATCH(ROWS(BQ$3:BQ111),$BP$3:$BP$220,0),1),"")</f>
        <v/>
      </c>
      <c r="BR111" s="259" t="str">
        <f ca="1">IFERROR(INDEX($BN$3:$BO$220,MATCH(ROWS(BR$3:BR111),$BP$3:$BP$220,0),2),"")</f>
        <v/>
      </c>
      <c r="BS111" s="259" t="str">
        <f ca="1">IFERROR(IF(OR(INDEX($T$3:$U$220,MATCH(ROWS(BL$3:BL111),$V$3:$V$220,0),1)="PRELEVAMENTI EXTRAGESTIONE",INDEX($T$3:$U$220,MATCH(ROWS(BL$3:BL111),$V$3:$V$220,0),1)="TITOLARE C/RITENUTE SUBITE"),"",INDEX($T$3:$U$220,MATCH(ROWS(BL$3:BL111),$V$3:$V$220,0),1)),"")</f>
        <v/>
      </c>
      <c r="BT111" s="259">
        <f t="shared" ca="1" si="238"/>
        <v>0</v>
      </c>
      <c r="BU111" s="259">
        <f ca="1">IF(BS111&lt;&gt;"",MAX(BU$2:BU110)+1,0)</f>
        <v>0</v>
      </c>
      <c r="BV111" s="259" t="str">
        <f ca="1">IFERROR(INDEX($BS$3:$BT$223,MATCH(ROWS(BV$3:BV111),$BU$3:$BU$223,0),1),"")</f>
        <v/>
      </c>
      <c r="BW111" s="259">
        <f t="shared" ca="1" si="239"/>
        <v>0</v>
      </c>
      <c r="CB111" s="259" t="str">
        <f ca="1">IFERROR(IF(OR($BB$1&lt;&gt;$BD$1,$BC$1&lt;&gt;$BE$1,$DS$231&lt;&gt;$DT$231,$DU$231&lt;&gt;$DV$231,$EO$25&lt;&gt;0,$EO$26&lt;&gt;0),INDEX($BI$3:$BK$220,MATCH(ROWS($CB$3:CB111),$BK$3:$BK$220,0),1),CONCATENATE(BQ111,BX111)),"")</f>
        <v/>
      </c>
      <c r="CC111" s="259" t="str">
        <f t="shared" ca="1" si="243"/>
        <v/>
      </c>
      <c r="CD111" s="259" t="str">
        <f t="shared" ca="1" si="187"/>
        <v/>
      </c>
      <c r="CE111" s="259">
        <f ca="1">IF(IFERROR(MATCH(CD111,DENOMINAZIONE_GIORNALE,0),0)&gt;0,MAX(CE$2:CE110)+1,0)</f>
        <v>0</v>
      </c>
      <c r="CF111" s="259" t="str">
        <f ca="1">IFERROR(INDEX($CD$3:$CE$220,MATCH(ROWS($CF$3:CF111),$CE$3:$CE$220,0),1),"")</f>
        <v/>
      </c>
      <c r="CG111" s="259">
        <f t="shared" ca="1" si="188"/>
        <v>0</v>
      </c>
      <c r="CH111" s="259" t="str">
        <f ca="1">IF(IF(CG111&lt;&gt;0,MAX($CH$2:CH110)+1,0)=0,"",IF(CG111&lt;&gt;"",MAX($CH$2:CH110)+1,0))</f>
        <v/>
      </c>
      <c r="CI111" s="259" t="str">
        <f ca="1">IFERROR(INDEX($CF$3:$CG$220,MATCH(ROWS($CI$3:CI111),$CH$3:$CH$220,0),1),"")</f>
        <v/>
      </c>
      <c r="CJ111" s="259" t="str">
        <f t="shared" ca="1" si="244"/>
        <v/>
      </c>
      <c r="CK111" s="259" t="str">
        <f t="shared" ca="1" si="189"/>
        <v>PROVENTI VARI</v>
      </c>
      <c r="CL111" s="259">
        <f ca="1">IF(IFERROR(MATCH(CK111,DENOMINAZIONE_GIORNALE,0),0)&gt;0,MAX(CL$2:CL110)+1,0)</f>
        <v>0</v>
      </c>
      <c r="CM111" s="259" t="str">
        <f ca="1">IFERROR(INDEX($CK$3:$CL$220,MATCH(ROWS($CM$3:CM111),$CL$3:$CL$220,0),1),"")</f>
        <v/>
      </c>
      <c r="CN111" s="259" t="str">
        <f t="shared" ca="1" si="190"/>
        <v/>
      </c>
      <c r="CO111" s="259">
        <f ca="1">IF(IF(CN111&lt;&gt;0,MAX($CO$2:CO110)+1,0)=0,"",IF(CN111&lt;&gt;"",MAX($CO$2:CO110)+1,0))</f>
        <v>0</v>
      </c>
      <c r="CP111" s="259" t="str">
        <f ca="1">IFERROR(INDEX($CM$3:$CN$220,MATCH(ROWS(CP$3:CP111),$CO$3:$CO$220,0),1),"")</f>
        <v/>
      </c>
      <c r="CQ111" s="259" t="str">
        <f ca="1">IFERROR(INDEX($CM$3:$CN$220,MATCH(ROWS(CQ$3:CQ111),$CO$3:$CO$220,0),2),"")</f>
        <v/>
      </c>
      <c r="CS111" s="259">
        <f t="shared" ca="1" si="192"/>
        <v>0</v>
      </c>
      <c r="CT111" s="259">
        <f t="shared" ca="1" si="193"/>
        <v>0</v>
      </c>
      <c r="CU111" s="259">
        <f ca="1">IF(OR(CS111&gt;0,CT111&gt;0),MAX($CU$2:CU110)+1,0)</f>
        <v>0</v>
      </c>
      <c r="CV111" s="259" t="str">
        <f ca="1">IFERROR(INDEX(PIANO_DEI_CONTI,MATCH(ROWS($CV$3:CV111),$CU$3:$CU$200,0),2),"")</f>
        <v/>
      </c>
      <c r="CW111" s="259">
        <f ca="1">IFERROR(IF(CV111&lt;&gt;"",MAX($CW$2:CW110)+1,0),0)</f>
        <v>0</v>
      </c>
      <c r="CX111" s="259">
        <f ca="1">$EA$9</f>
        <v>7</v>
      </c>
      <c r="CY111" s="259" t="str">
        <f t="shared" ca="1" si="337"/>
        <v>MASTRO</v>
      </c>
      <c r="DA111" s="259" t="str">
        <f ca="1">IF(CY110="MASTRO","Conto n.","")</f>
        <v>Conto n.</v>
      </c>
      <c r="DB111" s="259" t="str">
        <f ca="1">IF(CY111=0,"",INDEX(PIANO_DEI_CONTI,MATCH(DC111,DENOMINAZIONE,0),1))</f>
        <v/>
      </c>
      <c r="DC111" s="259" t="str">
        <f ca="1">IF(OR(CY111=0,CY111="mastro"),"",CY111)</f>
        <v/>
      </c>
      <c r="DD111" s="259" t="str">
        <f ca="1">IF(AND($DA$2=TRUE,OR(INDEX(PIANO_DEI_CONTI,MATCH($DC111,DENOMINAZIONE,0),4)="A",INDEX(PIANO_DEI_CONTI,MATCH($DC111,DENOMINAZIONE,0),4)="D/A"),SUMIFS(AVERE,DENOMINAZIONE_GIORNALE,"="&amp;$DC111)&gt;SUMIFS(DARE,DENOMINAZIONE_GIORNALE,"="&amp;$DC111)),CONCATENATE("s ",FIXED(ABS(SUMIFS(AVERE,DENOMINAZIONE_GIORNALE,"="&amp;$DC111)-SUMIFS(DARE,DENOMINAZIONE_GIORNALE,"="&amp;$DC111)),2)),"")</f>
        <v/>
      </c>
      <c r="DE111" s="259" t="str">
        <f ca="1">IF(AND($DA$2=TRUE,OR(INDEX(PIANO_DEI_CONTI,MATCH($DC111,DENOMINAZIONE,0),4)="D",INDEX(PIANO_DEI_CONTI,MATCH($DC111,DENOMINAZIONE,0),4)="D/A"),SUMIFS(DARE,DENOMINAZIONE_GIORNALE,"="&amp;$DC111)&gt;SUMIFS(AVERE,DENOMINAZIONE_GIORNALE,"="&amp;$DC111)),CONCATENATE("s ",FIXED(ABS(SUMIFS(DARE,DENOMINAZIONE_GIORNALE,"="&amp;$DC111)-SUMIFS(AVERE,DENOMINAZIONE_GIORNALE,"="&amp;$DC111)),2)),"")</f>
        <v/>
      </c>
      <c r="DF111" s="259">
        <f ca="1">IF(AND(CX111=$DE$2,$DF$2&lt;&gt;0),0,IF(AND(DB111&lt;&gt;"",OR(DB110&lt;&gt;"",DB112&lt;&gt;"")),MAX($DF$2:DF110)+1,0))</f>
        <v>0</v>
      </c>
      <c r="DG111" s="259" t="str">
        <f>IF(IF(LIBRO_GIORNALE!E19="","",IFERROR(INDEX(PIANO_DEI_CONTI,MATCH(BB111,DENOMINAZIONE,0),1),0))=0,"",IF(LIBRO_GIORNALE!E19="","",IFERROR(INDEX(PIANO_DEI_CONTI,MATCH(BB111,DENOMINAZIONE,0),1),0)))</f>
        <v/>
      </c>
      <c r="DH111" s="259">
        <f ca="1">IFERROR(IF($J$1=1,IF(INDEX(PIANO_DEI_CONTI,MATCH($K111,DENOMINAZIONE,0),5)=$DF$1,MAX($DH$2:DH110)+1,0),IF($J$1=2,IF(INDEX(PIANO_DEI_CONTI,MATCH($K111,DENOMINAZIONE,0),7)=$DF$1,MAX($DH$2:DH110)+1,0))),0)</f>
        <v>0</v>
      </c>
      <c r="DI111" s="259">
        <f ca="1">IFERROR(INDEX($K$3:$K$220,MATCH(ROWS($DI$3:DI111),$DH$3:$DH$220,0),1),0)</f>
        <v>0</v>
      </c>
      <c r="DJ111" s="259">
        <f t="shared" ca="1" si="194"/>
        <v>0</v>
      </c>
      <c r="DK111" s="259">
        <f ca="1">IF(DJ111=0,0,MAX(DK$2:DK110)+1)</f>
        <v>0</v>
      </c>
      <c r="DL111" s="259">
        <f ca="1">IFERROR(INDEX(PIANO_DEI_CONTI,MATCH(ROWS(DL$3:DL111),$DK$3:DK338,0),2),0)</f>
        <v>0</v>
      </c>
      <c r="DM111" s="259">
        <f t="shared" ca="1" si="195"/>
        <v>0</v>
      </c>
      <c r="DN111" s="259">
        <f t="shared" ca="1" si="196"/>
        <v>0</v>
      </c>
      <c r="DO111" s="259">
        <f t="shared" ca="1" si="245"/>
        <v>0</v>
      </c>
      <c r="DP111" s="259">
        <f t="shared" ca="1" si="246"/>
        <v>0</v>
      </c>
      <c r="DQ111" s="259">
        <f ca="1">IF(OR($DQ$1="TOTALI",$DQ$1="TOTALI ED ECCEDENZE"),IF(OR(DM111&gt;0,DN111&gt;0),MAX(DQ$2:DQ110)+1,0),IF($DQ$1="ECCEDENZE",IF(OR(DO111&gt;0,DP111&gt;0),MAX(DQ$2:DQ110)+1,0),""))</f>
        <v>0</v>
      </c>
      <c r="DR111" s="259" t="str">
        <f ca="1">IFERROR(INDEX($DL$3:$DQ$230,MATCH(ROWS(DR$3:DR111),$DQ$3:$DQ$230,0),1),"")</f>
        <v/>
      </c>
      <c r="DS111" s="259" t="str">
        <f t="shared" ca="1" si="247"/>
        <v/>
      </c>
      <c r="DT111" s="259" t="str">
        <f t="shared" ca="1" si="248"/>
        <v/>
      </c>
      <c r="DU111" s="259" t="str">
        <f t="shared" ca="1" si="249"/>
        <v/>
      </c>
      <c r="DV111" s="259" t="str">
        <f t="shared" ca="1" si="250"/>
        <v/>
      </c>
      <c r="DW111" s="259">
        <f t="shared" ca="1" si="251"/>
        <v>0</v>
      </c>
      <c r="DX111" s="259" t="str">
        <f t="shared" ca="1" si="252"/>
        <v/>
      </c>
      <c r="DY111" s="259" t="str">
        <f t="shared" ca="1" si="253"/>
        <v/>
      </c>
      <c r="DZ111" s="259" t="str">
        <f t="shared" ca="1" si="254"/>
        <v/>
      </c>
      <c r="EA111" s="259">
        <f t="shared" ca="1" si="255"/>
        <v>109</v>
      </c>
      <c r="EB111" s="259" t="s">
        <v>367</v>
      </c>
      <c r="ED111" s="259">
        <f t="shared" ca="1" si="197"/>
        <v>0</v>
      </c>
      <c r="EH111" s="259" t="str">
        <f t="shared" ca="1" si="256"/>
        <v/>
      </c>
      <c r="EI111" s="260" t="b">
        <f t="shared" ca="1" si="310"/>
        <v>0</v>
      </c>
      <c r="EJ111" s="260" t="b">
        <f t="shared" ca="1" si="311"/>
        <v>1</v>
      </c>
      <c r="EK111" s="260" t="b">
        <f t="shared" ca="1" si="312"/>
        <v>1</v>
      </c>
      <c r="EL111" s="259">
        <f t="shared" si="257"/>
        <v>109</v>
      </c>
      <c r="EM111" s="259">
        <f ca="1">IF(AND(BA111&gt;0,BA111&lt;=$EM$1),MAX($EM$2:EM110)+1,0)</f>
        <v>0</v>
      </c>
      <c r="EN111" s="259">
        <f t="shared" ca="1" si="258"/>
        <v>111</v>
      </c>
      <c r="EP111" s="259" t="str">
        <f t="shared" ca="1" si="200"/>
        <v/>
      </c>
      <c r="EQ111" s="259">
        <f t="shared" ca="1" si="201"/>
        <v>0</v>
      </c>
      <c r="ER111" s="259">
        <f ca="1">IF(ISNA(EQ111),MAX(ER$2:ER110)+1,0)</f>
        <v>0</v>
      </c>
      <c r="ES111" s="259" t="str">
        <f t="shared" ca="1" si="259"/>
        <v/>
      </c>
      <c r="ET111" s="259" t="str">
        <f ca="1">IFERROR(UPPER(INDEX($ER$3:$ES$500,MATCH(ROWS(ET$3:ET111),$ER$3:$ER$500,0),2)),"")</f>
        <v/>
      </c>
      <c r="EW111" s="259">
        <f t="shared" ca="1" si="344"/>
        <v>1</v>
      </c>
      <c r="EX111" s="259">
        <v>9</v>
      </c>
      <c r="EY111" s="259">
        <f t="shared" ca="1" si="345"/>
        <v>0</v>
      </c>
      <c r="EZ111" s="259">
        <f t="shared" ca="1" si="346"/>
        <v>0</v>
      </c>
      <c r="FA111" s="259">
        <f t="shared" ca="1" si="347"/>
        <v>0</v>
      </c>
      <c r="FB111" s="259">
        <f t="shared" ca="1" si="348"/>
        <v>0</v>
      </c>
      <c r="FC111" s="259">
        <f t="shared" ca="1" si="349"/>
        <v>0</v>
      </c>
      <c r="FD111" s="259">
        <f t="shared" ca="1" si="202"/>
        <v>0</v>
      </c>
      <c r="FE111" s="259" t="str">
        <f t="shared" ca="1" si="203"/>
        <v/>
      </c>
      <c r="FF111" s="259" t="str">
        <f t="shared" ca="1" si="350"/>
        <v/>
      </c>
      <c r="FG111" s="259" t="str">
        <f t="shared" si="335"/>
        <v/>
      </c>
      <c r="FH111" s="259">
        <f t="shared" ca="1" si="334"/>
        <v>0</v>
      </c>
      <c r="FI111" s="259">
        <f t="shared" ca="1" si="204"/>
        <v>0</v>
      </c>
      <c r="FJ111" s="259">
        <f t="shared" ca="1" si="336"/>
        <v>0</v>
      </c>
      <c r="FK111" s="259">
        <f t="shared" ca="1" si="267"/>
        <v>0</v>
      </c>
      <c r="FL111" s="259">
        <f ca="1">IF(OR(FJ111&gt;0,FK111&gt;0),MAX($FL$2:FL110)+1,0)</f>
        <v>0</v>
      </c>
      <c r="FM111" s="259">
        <f t="shared" ca="1" si="205"/>
        <v>0</v>
      </c>
      <c r="FN111" s="259">
        <f ca="1">IF(FM111&lt;0,MAX($FN$2:FN110)+1,0)</f>
        <v>0</v>
      </c>
      <c r="FO111" s="259" t="str">
        <f t="shared" ca="1" si="268"/>
        <v/>
      </c>
      <c r="FP111" s="259" t="str">
        <f ca="1">IFERROR(INDEX($FN$3:$FO$400,MATCH(ROWS($FP$3:FP111),$FN$3:$FN$400,0),2),"")</f>
        <v/>
      </c>
      <c r="FQ111" s="259">
        <f>IF(AE111="SE AVERE",MAX($FQ$2:FQ110)+1,"")</f>
        <v>5</v>
      </c>
      <c r="FR111" s="259" t="str">
        <f>IF(AE111="SE DARE",MAX($FR$2:FR110)+1,"")</f>
        <v/>
      </c>
      <c r="FS111" s="259" t="str">
        <f ca="1">IF(AND(AE111="SP DARE",AA111&lt;&gt;$FS$1,AA111&lt;&gt;$FT$1),MAX($FS$2:FS110)+1,IF(AND(GQ111="SP DARE",AA111&lt;&gt;$FS$1,AA111&lt;&gt;$FT$1),MAX($FS$2:FS110)+1,""))</f>
        <v/>
      </c>
      <c r="FT111" s="259" t="str">
        <f ca="1">IF(AND(AE111="SP AVERE",AA111&lt;&gt;$FU$1),MAX($FT$2:FT110)+1,IF(AND(GQ111="SP AVERE",AA111&lt;&gt;$FU$1),MAX($FT$2:FT110)+1,""))</f>
        <v/>
      </c>
      <c r="FU111" s="259">
        <f t="shared" ca="1" si="269"/>
        <v>5</v>
      </c>
      <c r="FV111" s="259" t="str">
        <f t="shared" si="270"/>
        <v>PROVENTI VARI</v>
      </c>
      <c r="FW111" s="259" t="str">
        <f ca="1">IFERROR(INDEX($FU$3:$FV$500,MATCH(ROWS($FW$3:FW111),$FU$3:$FU$500,0),2),0)</f>
        <v>CREDITI COMMERCIALI DIVERSI</v>
      </c>
      <c r="FX111" s="259">
        <f t="shared" ca="1" si="271"/>
        <v>109</v>
      </c>
      <c r="FY111" s="259">
        <f t="shared" ca="1" si="272"/>
        <v>0</v>
      </c>
      <c r="FZ111" s="259">
        <f ca="1">IF(FY111&gt;0,MAX($FZ$2:FZ110)+1,0)</f>
        <v>0</v>
      </c>
      <c r="GA111" s="259">
        <f ca="1">IFERROR(INDEX($FY$3:$FZ$500,MATCH(ROWS($GA$3:GA111),$FZ$3:$FZ$500,0),1),0)</f>
        <v>0</v>
      </c>
      <c r="GC111" s="259">
        <f t="shared" ca="1" si="273"/>
        <v>109</v>
      </c>
      <c r="GD111" s="259" t="str">
        <f t="shared" ca="1" si="274"/>
        <v>CREDITI COMMERCIALI DIVERSI</v>
      </c>
      <c r="GG111" s="259">
        <f t="shared" ca="1" si="275"/>
        <v>0</v>
      </c>
      <c r="GH111" s="259">
        <f t="shared" ca="1" si="276"/>
        <v>0</v>
      </c>
      <c r="GI111" s="259">
        <f t="shared" ca="1" si="277"/>
        <v>0</v>
      </c>
      <c r="GJ111" s="259">
        <f t="shared" ca="1" si="278"/>
        <v>0</v>
      </c>
      <c r="GK111" s="259">
        <f t="shared" ca="1" si="279"/>
        <v>0</v>
      </c>
      <c r="GL111" s="259">
        <f t="shared" ca="1" si="280"/>
        <v>0</v>
      </c>
      <c r="GM111" s="259">
        <f ca="1">IF(OR(GK111&gt;0,GL111&gt;0),MAX($GM$2:GM110)+1,0)</f>
        <v>0</v>
      </c>
      <c r="GN111" s="259" t="str">
        <f ca="1">IFERROR(INDEX($GD$3:$GM$400,MATCH(ROWS($GN$3:GN111),$GM$3:$GM$400,0),1),"")</f>
        <v/>
      </c>
      <c r="GO111" s="259" t="str">
        <f ca="1">IFERROR(INDEX($GD$3:$GM$400,MATCH(ROWS($GO$3:GO111),$GM$3:$GM$400,0),8),"")</f>
        <v/>
      </c>
      <c r="GP111" s="259" t="str">
        <f ca="1">IFERROR(INDEX($GD$3:$GM$400,MATCH(ROWS($GP$3:GP111),$GM$3:$GM$400,0),9),"")</f>
        <v/>
      </c>
      <c r="GQ111" s="259">
        <f t="shared" ca="1" si="206"/>
        <v>0</v>
      </c>
      <c r="GR111" s="259">
        <f t="shared" ca="1" si="281"/>
        <v>0</v>
      </c>
      <c r="GS111" s="259" t="str">
        <f t="shared" ca="1" si="282"/>
        <v>chiusura del conto</v>
      </c>
      <c r="GT111" s="259" t="str">
        <f ca="1">IFERROR(INDEX($GD$3:$GS$400,MATCH(ROWS($GT$3:GT111),$GM$3:$GM$400,0),16),"")</f>
        <v/>
      </c>
      <c r="GU111" s="259">
        <f ca="1">IF(GQ111&lt;&gt;0,MAX($GU$2:$GU110)+1,0)</f>
        <v>0</v>
      </c>
      <c r="GV111" s="259">
        <f t="shared" ca="1" si="283"/>
        <v>0</v>
      </c>
      <c r="GW111" s="259" t="str">
        <f ca="1">IF(AND(IFERROR(INDEX($GU$3:$GV$400,MATCH(ROWS($GW$3:GW111),$GU$3:$GU$400,0),2),"")&lt;&gt;"",GW112&lt;&gt;""),CONCATENATE(IFERROR(INDEX($GU$3:$GV$400,MATCH(ROWS($GW$3:GW111),$GU$3:$GU$400,0),2),"")," - "),IFERROR(INDEX($GU$3:$GV$400,MATCH(ROWS($GW$3:GW111),$GU$3:$GU$400,0),2),""))</f>
        <v/>
      </c>
      <c r="GX111" s="259">
        <f ca="1">IF(OR(GN111="IVA NS/CREDITO",GN111="IVA NS/DEBITO",GN111="IVA C/ACCONTO",GN111="IMPOSTE C/ACCONTO"),MAX($GX$2:GX110)+1,0)</f>
        <v>0</v>
      </c>
      <c r="GY111" s="259" t="str">
        <f ca="1">IF(AND(IFERROR(INDEX($GN$3:$GX$200,MATCH(ROWS($GY$3:GY111),$GX$3:$GX$200,0),1),"")&lt;&gt;"",GY112&lt;&gt;""),CONCATENATE(IFERROR(INDEX($GN$3:$GX$200,MATCH(ROWS($GY$3:GY111),$GX$3:$GX$200,0),1),"")," - "),IFERROR(INDEX($GN$3:$GX$200,MATCH(ROWS($GY$3:GY111),$GX$3:$GX$200,0),1),""))</f>
        <v/>
      </c>
      <c r="GZ111" s="259" t="s">
        <v>541</v>
      </c>
      <c r="HA111" s="259" t="s">
        <v>132</v>
      </c>
      <c r="HB111" s="269" t="s">
        <v>257</v>
      </c>
      <c r="HC111" s="269" t="s">
        <v>277</v>
      </c>
      <c r="HD111" s="269" t="s">
        <v>613</v>
      </c>
      <c r="HE111" s="269" t="s">
        <v>219</v>
      </c>
      <c r="HV111" s="259" t="str">
        <f ca="1">CONCATENATE(IFERROR(INDEX($HS$3:$HT$102,MATCH(ROWS($HV$3:HV111),$HT$3:$HT$102,0),1),""),HR111)</f>
        <v/>
      </c>
      <c r="IC111" s="259">
        <f ca="1">IFERROR(INDEX(PIANO_DEI_CONTI,MATCH(ROWS(DL$3:DL111),$DK$3:DK338,0),2),0)</f>
        <v>0</v>
      </c>
      <c r="ID111" s="259">
        <f t="shared" ca="1" si="288"/>
        <v>0</v>
      </c>
      <c r="IE111" s="259">
        <f t="shared" ca="1" si="289"/>
        <v>0</v>
      </c>
      <c r="IF111" s="259">
        <f t="shared" ca="1" si="290"/>
        <v>0</v>
      </c>
      <c r="IG111" s="259">
        <f t="shared" ca="1" si="324"/>
        <v>0</v>
      </c>
      <c r="IH111" s="259">
        <f ca="1">IF(IG111&lt;&gt;0,MAX($IH$35:IH110)+1,0)</f>
        <v>0</v>
      </c>
      <c r="II111" s="259">
        <f>IF(AD111="costi pluriennali",MAX($II$2:II110)+1,0)</f>
        <v>0</v>
      </c>
      <c r="IJ111" s="259">
        <f>IF($AD111="rettifiche costi pluriennali",MAX($IJ$2:IJ110)+1,0)</f>
        <v>0</v>
      </c>
      <c r="IK111" s="259">
        <f t="shared" si="291"/>
        <v>0</v>
      </c>
      <c r="IL111" s="259" t="str">
        <f t="shared" si="292"/>
        <v/>
      </c>
      <c r="IM111" s="259">
        <f t="shared" ca="1" si="293"/>
        <v>0</v>
      </c>
      <c r="IN111" s="259">
        <f t="shared" ca="1" si="313"/>
        <v>0</v>
      </c>
      <c r="IO111" s="259">
        <f>SUMIFS($IM$3:$IM$200,$IK$3:$IK$200,ROWS($IO$3:IO111))-SUMIFS($IN$3:$IN$200,$IK$3:$IK$200,ROWS($IO$3:IO111))</f>
        <v>0</v>
      </c>
      <c r="IP111" s="259" t="str">
        <f>IF(IO111&lt;0,INDEX($IJ$3:$IL$200,MATCH(ROWS($IP$3:IP111),$IJ$3:$IJ$200,0),3),"")</f>
        <v/>
      </c>
      <c r="IQ111" s="259">
        <f>IF(IP111&lt;&gt;"",MAX($IQ$2:IQ110)+1,0)</f>
        <v>0</v>
      </c>
      <c r="IR111" s="259" t="str">
        <f ca="1">IFERROR(INDEX($IP$3:$IQ$200,MATCH(ROWS($IR$3:IR111),$IQ$3:$IQ$200,0),1),"")</f>
        <v/>
      </c>
      <c r="IS111" s="259" t="str">
        <f t="shared" ca="1" si="294"/>
        <v/>
      </c>
      <c r="IT111" s="259" t="str">
        <f t="shared" ca="1" si="295"/>
        <v/>
      </c>
      <c r="IU111" s="259" t="str">
        <f t="shared" ca="1" si="296"/>
        <v/>
      </c>
      <c r="IV111" s="259" t="str">
        <f t="shared" ca="1" si="297"/>
        <v/>
      </c>
      <c r="IW111" s="259" t="str">
        <f t="shared" ca="1" si="298"/>
        <v/>
      </c>
      <c r="IX111" s="259" t="str">
        <f t="shared" ca="1" si="299"/>
        <v/>
      </c>
      <c r="IY111" s="259" t="str">
        <f t="shared" ca="1" si="300"/>
        <v/>
      </c>
      <c r="IZ111" s="259" t="str">
        <f t="shared" ca="1" si="301"/>
        <v/>
      </c>
      <c r="JA111" s="259" t="str">
        <f t="shared" ca="1" si="302"/>
        <v/>
      </c>
      <c r="JB111" s="259">
        <f t="shared" ca="1" si="210"/>
        <v>0</v>
      </c>
      <c r="JC111" s="259">
        <f t="shared" ca="1" si="351"/>
        <v>0</v>
      </c>
      <c r="JD111" s="259">
        <f t="shared" ca="1" si="352"/>
        <v>0</v>
      </c>
      <c r="JE111" s="259">
        <f ca="1">IFERROR(INDEX(LIBRO_GIORNALE!$N$11:$O$408,MATCH(ROWS($JE$2:JE110),LIBRO_GIORNALE!$O$11:$O$408,0),1),0)</f>
        <v>0</v>
      </c>
      <c r="JF111" s="259" t="str">
        <f t="shared" ca="1" si="304"/>
        <v>0</v>
      </c>
      <c r="JG111" s="259">
        <f t="shared" ca="1" si="305"/>
        <v>0</v>
      </c>
      <c r="JH111" s="259">
        <f ca="1">IF(JJ111&gt;0,0,MAX($JH$2:JH110)+1)</f>
        <v>109</v>
      </c>
      <c r="JI111" s="259">
        <f ca="1">IF(JG111&gt;0,MAX($JI$2:JI110)+1,0)</f>
        <v>0</v>
      </c>
      <c r="JJ111" s="259">
        <f ca="1">IFERROR(INDEX($JG$3:$JI$124,MATCH(ROWS($JJ$3:JJ111),$JI$3:$JI$124,0),1),0)</f>
        <v>0</v>
      </c>
      <c r="JK111" s="259">
        <f t="shared" ca="1" si="306"/>
        <v>0</v>
      </c>
      <c r="JL111" s="259">
        <f t="shared" ca="1" si="307"/>
        <v>109</v>
      </c>
      <c r="JM111" s="259">
        <f t="shared" ca="1" si="353"/>
        <v>0</v>
      </c>
    </row>
    <row r="112" spans="1:273">
      <c r="A112" s="259" t="str">
        <f t="shared" si="211"/>
        <v>18.20</v>
      </c>
      <c r="B112" s="259" t="str">
        <f t="shared" ca="1" si="212"/>
        <v>BANCA X C/C</v>
      </c>
      <c r="C112" s="259" t="str">
        <f t="shared" si="213"/>
        <v>F</v>
      </c>
      <c r="D112" s="259" t="str">
        <f t="shared" si="214"/>
        <v>D/A</v>
      </c>
      <c r="E112" s="259" t="str">
        <f t="shared" si="215"/>
        <v>CONTI CON ALTERNANZA DI SALDI</v>
      </c>
      <c r="F112" s="259" t="str">
        <f t="shared" si="216"/>
        <v>SP DARE/AVERE</v>
      </c>
      <c r="G112" s="259">
        <f t="shared" ca="1" si="217"/>
        <v>1</v>
      </c>
      <c r="H112" s="259">
        <f t="shared" ca="1" si="218"/>
        <v>1</v>
      </c>
      <c r="I112" s="259">
        <f t="shared" ca="1" si="219"/>
        <v>1</v>
      </c>
      <c r="K112" s="259" t="str">
        <f ca="1">IFERROR(IF($I$1=1,INDEX($AA$3:$AS$220,MATCH(ROWS($K$3:K112),$AQ$3:$AQ$220,0),1),IF($I$1=2,INDEX($AA$3:$AS$220,MATCH(ROWS($K$3:K112),$AR$3:$AR$220,0),1),IF($I$1=3,INDEX($AA$3:$AS$220,MATCH(ROWS($K$3:K112),$AS$3:$AS$220,0),1),""))),"")</f>
        <v>RIMBORSI COSTI DI VENDITA</v>
      </c>
      <c r="L112" s="259">
        <f ca="1">IF(AND($L$1="VISUALIZZA TUTTI I CONTI",K112&lt;&gt;""),MAX(L111:L111)+1,IFERROR(IF($J$1=1,IF(INDEX(PIANO_DEI_CONTI,MATCH($K112,DENOMINAZIONE,0),5)=$L$1,MAX($L$2:L111)+1,0),IF($J$1=2,IF(INDEX(PIANO_DEI_CONTI,MATCH($K112,DENOMINAZIONE,0),7)=$L$1,MAX($L$2:L111)+1,0))),0))</f>
        <v>110</v>
      </c>
      <c r="M112" s="259" t="str">
        <f ca="1">IFERROR(INDEX($K$3:$K$220,MATCH(ROWS($M$3:M112),$L$3:$L$220,0),1),"")</f>
        <v>RIMBORSI COSTI DI VENDITA</v>
      </c>
      <c r="Q112" s="259" t="str">
        <f ca="1">IF(IFERROR(INDEX($O$3:$P$220,MATCH(ROWS(Q$3:Q112),$P$3:$P$220,0),1),"")=0,"",IFERROR(INDEX($O$3:$P$220,MATCH(ROWS(Q$3:Q112),$P$3:$P$220,0),1),""))</f>
        <v/>
      </c>
      <c r="R112" s="259" t="str">
        <f t="shared" ca="1" si="182"/>
        <v/>
      </c>
      <c r="S112" s="259">
        <f ca="1">IF(IFERROR(MATCH(R112,DENOMINAZIONE_GIORNALE,0),0)&gt;0,MAX(S$2:S111)+1,0)</f>
        <v>0</v>
      </c>
      <c r="T112" s="259" t="str">
        <f ca="1">IFERROR(INDEX($R$3:$S$220,MATCH(ROWS($T$3:T112),$S$3:$S$220,0),1),"")</f>
        <v/>
      </c>
      <c r="U112" s="259">
        <f t="shared" ca="1" si="183"/>
        <v>0</v>
      </c>
      <c r="V112" s="259">
        <f ca="1">IF(IF(U112&lt;&gt;0,MAX($V$2:V111)+1,0)=0,0,IF(U112&lt;&gt;0,MAX($V$2:V111)+1,0))</f>
        <v>0</v>
      </c>
      <c r="W112" s="259" t="str">
        <f t="shared" si="220"/>
        <v>18.20</v>
      </c>
      <c r="X112" s="259" t="str">
        <f t="shared" ca="1" si="221"/>
        <v>BANCA X C/C</v>
      </c>
      <c r="Y112" s="259">
        <f>IF(W112="",0,MAX($Y$2:Y111)+1)</f>
        <v>94</v>
      </c>
      <c r="Z112" s="259" t="str">
        <f>IFERROR(INDEX($W$3:$Y$220,MATCH(ROWS($Z$2:Z111),$Y$3:$Y$220,0),1),"")</f>
        <v>20.17</v>
      </c>
      <c r="AA112" s="259" t="str">
        <f t="shared" si="222"/>
        <v>ARROTONDAMENTI ATTIVI</v>
      </c>
      <c r="AB112" s="259" t="str">
        <f t="shared" si="223"/>
        <v>E</v>
      </c>
      <c r="AC112" s="259" t="str">
        <f t="shared" si="224"/>
        <v>A</v>
      </c>
      <c r="AD112" s="259" t="str">
        <f t="shared" si="225"/>
        <v>RICAVI D'ESERCIZIO</v>
      </c>
      <c r="AE112" s="259" t="str">
        <f t="shared" si="226"/>
        <v>SE AVERE</v>
      </c>
      <c r="AF112" s="259" t="str">
        <f t="shared" si="227"/>
        <v>VALORE DELLA PRODUZIONE</v>
      </c>
      <c r="AG112" s="259">
        <f t="shared" ca="1" si="228"/>
        <v>1</v>
      </c>
      <c r="AH112" s="259">
        <f t="shared" ca="1" si="229"/>
        <v>1</v>
      </c>
      <c r="AI112" s="259">
        <f t="shared" ca="1" si="230"/>
        <v>1</v>
      </c>
      <c r="AJ112" s="259" t="str">
        <f t="shared" si="231"/>
        <v>20</v>
      </c>
      <c r="AK112" s="259" t="str">
        <f t="shared" si="232"/>
        <v/>
      </c>
      <c r="AL112" s="259">
        <f>IF(AK112&lt;&gt;"",MAX($AL$2:AL111)+1,0)</f>
        <v>0</v>
      </c>
      <c r="AM112" s="259" t="str">
        <f>IFERROR(INDEX($AK$3:$AL$220,MATCH(ROWS($AM$3:AM112),$AL$3:$AL$220,0),1),"")</f>
        <v/>
      </c>
      <c r="AN112" s="259" t="str">
        <f t="shared" si="233"/>
        <v/>
      </c>
      <c r="AO112" s="259" t="str">
        <f t="shared" si="234"/>
        <v/>
      </c>
      <c r="AP112" s="259" t="str">
        <f t="shared" si="235"/>
        <v>VALORE DELLA PRODUZIONE</v>
      </c>
      <c r="AQ112" s="259">
        <f ca="1">IF(OR(AG112=0,AG112=""),0,MAX(AQ$2:AQ111)+1)</f>
        <v>54</v>
      </c>
      <c r="AR112" s="259">
        <f ca="1">IF(OR(AH112=0,AH112=""),0,MAX(AR$2:AR111)+1)</f>
        <v>76</v>
      </c>
      <c r="AS112" s="259">
        <f ca="1">IF(OR(AI112=0,AI112=""),0,MAX(AS$2:AS111)+1)</f>
        <v>106</v>
      </c>
      <c r="AT112" s="259" t="str">
        <f ca="1">IFERROR(INDEX($AD$3:$AS$220,MATCH(ROWS(AT$3:AT112),AQ$3:AQ$220,0),1),"")</f>
        <v/>
      </c>
      <c r="AU112" s="259" t="str">
        <f ca="1">IFERROR(INDEX($AD$3:$AS$220,MATCH(ROWS(AU$3:AU112),AR$3:AR$220,0),1),"")</f>
        <v>COSTI D'ESERCIZIO</v>
      </c>
      <c r="AV112" s="259" t="str">
        <f ca="1">IFERROR(INDEX($AD$3:$AS$220,MATCH(ROWS(AV$3:AV112),AS$3:AS$220,0),1),"")</f>
        <v>RICAVI D'ESERCIZIO</v>
      </c>
      <c r="AW112" s="259" t="str">
        <f ca="1">IFERROR(INDEX($AP$3:$AS$220,MATCH(ROWS(AW$3:AW112),AQ$3:AQ$220,0),1),"")</f>
        <v/>
      </c>
      <c r="AX112" s="259" t="str">
        <f ca="1">IFERROR(INDEX($AP$3:$AS$220,MATCH(ROWS(AX$3:AX112),AR$3:AR$220,0),1),"")</f>
        <v>ONERI DIVERSI</v>
      </c>
      <c r="AY112" s="259" t="str">
        <f ca="1">IFERROR(INDEX($AP$3:$AS$220,MATCH(ROWS(AY$3:AY112),AS$3:AS$220,0),1),"")</f>
        <v>VALORE DELLA PRODUZIONE</v>
      </c>
      <c r="AZ112" s="259" t="str">
        <f t="shared" si="339"/>
        <v>10 V.I.</v>
      </c>
      <c r="BA112" s="259">
        <f t="shared" ca="1" si="338"/>
        <v>0</v>
      </c>
      <c r="BB112" s="259">
        <f t="shared" ca="1" si="340"/>
        <v>0</v>
      </c>
      <c r="BC112" s="259">
        <f t="shared" ca="1" si="341"/>
        <v>0</v>
      </c>
      <c r="BD112" s="259">
        <f t="shared" ca="1" si="342"/>
        <v>0</v>
      </c>
      <c r="BE112" s="259">
        <f t="shared" ca="1" si="343"/>
        <v>0</v>
      </c>
      <c r="BG112" s="259" t="str">
        <f t="shared" ca="1" si="185"/>
        <v/>
      </c>
      <c r="BH112" s="259">
        <f ca="1">IF(IFERROR(MATCH(BG112,DENOMINAZIONE_GIORNALE,0),0)&gt;0,MAX(BH$2:BH111)+1,0)</f>
        <v>0</v>
      </c>
      <c r="BI112" s="259" t="str">
        <f ca="1">IFERROR(INDEX($BG$3:$BH$220,MATCH(ROWS($BI$3:BI112),$BH$3:$BH$220,0),1),"")</f>
        <v/>
      </c>
      <c r="BJ112" s="259" t="str">
        <f t="shared" ca="1" si="186"/>
        <v/>
      </c>
      <c r="BK112" s="259" t="str">
        <f ca="1">IF(IF(BJ112&lt;&gt;"",MAX($BK$2:BK111)+1,0)=0,"",IF(BJ112&lt;&gt;"",MAX($BK$2:BK111)+1,0))</f>
        <v/>
      </c>
      <c r="BL112" s="259" t="str">
        <f ca="1">IFERROR(INDEX($T$3:$U$220, MATCH(ROWS(BL$3:BL112),$V$3:$V$220,0),1),"")</f>
        <v/>
      </c>
      <c r="BM112" s="259" t="str">
        <f ca="1">IFERROR(INDEX($T$3:$U$220, MATCH(ROWS(BM$3:BM112),$V$3:$V$220,0),2),"")</f>
        <v/>
      </c>
      <c r="BN112" s="259" t="str">
        <f ca="1">IF(IFERROR(INDEX($BI$3:$BJ$220,MATCH(ROWS(BN$3:BN112),$BK$3:$BK$220,0),1),"")="PATRIMONIO NETTO","",IFERROR(INDEX($BI$3:$BJ$220,MATCH(ROWS(BN$3:BN112),$BK$3:$BK$220,0),1),""))</f>
        <v/>
      </c>
      <c r="BO112" s="259" t="str">
        <f ca="1">IFERROR(INDEX($BI$3:$BJ$220,MATCH(ROWS(BO$3:BO112),$BK$3:$BK$220,0),2),"")</f>
        <v/>
      </c>
      <c r="BP112" s="259">
        <f ca="1">IF(BN112&lt;&gt;"",MAX(BP$2:$BP111)+1,0)</f>
        <v>0</v>
      </c>
      <c r="BQ112" s="259" t="str">
        <f ca="1">IFERROR(INDEX($BN$3:$BO$200,MATCH(ROWS(BQ$3:BQ112),$BP$3:$BP$220,0),1),"")</f>
        <v/>
      </c>
      <c r="BR112" s="259" t="str">
        <f ca="1">IFERROR(INDEX($BN$3:$BO$220,MATCH(ROWS(BR$3:BR112),$BP$3:$BP$220,0),2),"")</f>
        <v/>
      </c>
      <c r="BS112" s="259" t="str">
        <f ca="1">IFERROR(IF(OR(INDEX($T$3:$U$220,MATCH(ROWS(BL$3:BL112),$V$3:$V$220,0),1)="PRELEVAMENTI EXTRAGESTIONE",INDEX($T$3:$U$220,MATCH(ROWS(BL$3:BL112),$V$3:$V$220,0),1)="TITOLARE C/RITENUTE SUBITE"),"",INDEX($T$3:$U$220,MATCH(ROWS(BL$3:BL112),$V$3:$V$220,0),1)),"")</f>
        <v/>
      </c>
      <c r="BT112" s="259">
        <f t="shared" ca="1" si="238"/>
        <v>0</v>
      </c>
      <c r="BU112" s="259">
        <f ca="1">IF(BS112&lt;&gt;"",MAX(BU$2:BU111)+1,0)</f>
        <v>0</v>
      </c>
      <c r="BV112" s="259" t="str">
        <f ca="1">IFERROR(INDEX($BS$3:$BT$223,MATCH(ROWS(BV$3:BV112),$BU$3:$BU$223,0),1),"")</f>
        <v/>
      </c>
      <c r="BW112" s="259">
        <f t="shared" ca="1" si="239"/>
        <v>0</v>
      </c>
      <c r="CB112" s="259" t="str">
        <f ca="1">IFERROR(IF(OR($BB$1&lt;&gt;$BD$1,$BC$1&lt;&gt;$BE$1,$DS$231&lt;&gt;$DT$231,$DU$231&lt;&gt;$DV$231,$EO$25&lt;&gt;0,$EO$26&lt;&gt;0),INDEX($BI$3:$BK$220,MATCH(ROWS($CB$3:CB112),$BK$3:$BK$220,0),1),CONCATENATE(BQ112,BX112)),"")</f>
        <v/>
      </c>
      <c r="CC112" s="259" t="str">
        <f t="shared" ca="1" si="243"/>
        <v/>
      </c>
      <c r="CD112" s="259" t="str">
        <f t="shared" ca="1" si="187"/>
        <v/>
      </c>
      <c r="CE112" s="259">
        <f ca="1">IF(IFERROR(MATCH(CD112,DENOMINAZIONE_GIORNALE,0),0)&gt;0,MAX(CE$2:CE111)+1,0)</f>
        <v>0</v>
      </c>
      <c r="CF112" s="259" t="str">
        <f ca="1">IFERROR(INDEX($CD$3:$CE$220,MATCH(ROWS($CF$3:CF112),$CE$3:$CE$220,0),1),"")</f>
        <v/>
      </c>
      <c r="CG112" s="259">
        <f t="shared" ca="1" si="188"/>
        <v>0</v>
      </c>
      <c r="CH112" s="259" t="str">
        <f ca="1">IF(IF(CG112&lt;&gt;0,MAX($CH$2:CH111)+1,0)=0,"",IF(CG112&lt;&gt;"",MAX($CH$2:CH111)+1,0))</f>
        <v/>
      </c>
      <c r="CI112" s="259" t="str">
        <f ca="1">IFERROR(INDEX($CF$3:$CG$220,MATCH(ROWS($CI$3:CI112),$CH$3:$CH$220,0),1),"")</f>
        <v/>
      </c>
      <c r="CJ112" s="259" t="str">
        <f t="shared" ca="1" si="244"/>
        <v/>
      </c>
      <c r="CK112" s="259" t="str">
        <f t="shared" ca="1" si="189"/>
        <v>ARROTONDAMENTI ATTIVI</v>
      </c>
      <c r="CL112" s="259">
        <f ca="1">IF(IFERROR(MATCH(CK112,DENOMINAZIONE_GIORNALE,0),0)&gt;0,MAX(CL$2:CL111)+1,0)</f>
        <v>0</v>
      </c>
      <c r="CM112" s="259" t="str">
        <f ca="1">IFERROR(INDEX($CK$3:$CL$220,MATCH(ROWS($CM$3:CM112),$CL$3:$CL$220,0),1),"")</f>
        <v/>
      </c>
      <c r="CN112" s="259" t="str">
        <f t="shared" ca="1" si="190"/>
        <v/>
      </c>
      <c r="CO112" s="259">
        <f ca="1">IF(IF(CN112&lt;&gt;0,MAX($CO$2:CO111)+1,0)=0,"",IF(CN112&lt;&gt;"",MAX($CO$2:CO111)+1,0))</f>
        <v>0</v>
      </c>
      <c r="CP112" s="259" t="str">
        <f ca="1">IFERROR(INDEX($CM$3:$CN$220,MATCH(ROWS(CP$3:CP112),$CO$3:$CO$220,0),1),"")</f>
        <v/>
      </c>
      <c r="CQ112" s="259" t="str">
        <f ca="1">IFERROR(INDEX($CM$3:$CN$220,MATCH(ROWS(CQ$3:CQ112),$CO$3:$CO$220,0),2),"")</f>
        <v/>
      </c>
      <c r="CS112" s="259">
        <f t="shared" ca="1" si="192"/>
        <v>0</v>
      </c>
      <c r="CT112" s="259">
        <f t="shared" ca="1" si="193"/>
        <v>0</v>
      </c>
      <c r="CU112" s="259">
        <f ca="1">IF(OR(CS112&gt;0,CT112&gt;0),MAX($CU$2:CU111)+1,0)</f>
        <v>0</v>
      </c>
      <c r="CV112" s="259" t="str">
        <f ca="1">IFERROR(INDEX(PIANO_DEI_CONTI,MATCH(ROWS($CV$3:CV112),$CU$3:$CU$200,0),2),"")</f>
        <v/>
      </c>
      <c r="CW112" s="259">
        <f ca="1">IFERROR(IF(CV112&lt;&gt;"",MAX($CW$2:CW111)+1,0),0)</f>
        <v>0</v>
      </c>
      <c r="CX112" s="259">
        <f t="shared" ref="CX112:CX127" ca="1" si="355">$EA$9</f>
        <v>7</v>
      </c>
      <c r="CY112" s="259" t="str">
        <f t="shared" ca="1" si="337"/>
        <v>MASTRO</v>
      </c>
      <c r="DA112" s="259" t="str">
        <f ca="1">IF(DB111="","","Num. riga")</f>
        <v/>
      </c>
      <c r="DB112" s="259" t="str">
        <f t="shared" ref="DB112" ca="1" si="356">IF(DB111="","","Data")</f>
        <v/>
      </c>
      <c r="DC112" s="259" t="str">
        <f ca="1">IF(DB111="","","Operazioni")</f>
        <v/>
      </c>
      <c r="DD112" s="259" t="str">
        <f ca="1">IF(DB111="","","Dare        ")</f>
        <v/>
      </c>
      <c r="DE112" s="259" t="str">
        <f ca="1">IF(DB111="","","Avere        ")</f>
        <v/>
      </c>
      <c r="DF112" s="259">
        <f ca="1">IF(AND(CX112=$DE$2,$DF$2&lt;&gt;0),0,IF(AND(DB112&lt;&gt;"",OR(DB111&lt;&gt;"",DB113&lt;&gt;"")),MAX($DF$2:DF111)+1,0))</f>
        <v>0</v>
      </c>
      <c r="DG112" s="259" t="str">
        <f>IF(IF(LIBRO_GIORNALE!E20="","",IFERROR(INDEX(PIANO_DEI_CONTI,MATCH(BB112,DENOMINAZIONE,0),1),0))=0,"",IF(LIBRO_GIORNALE!E20="","",IFERROR(INDEX(PIANO_DEI_CONTI,MATCH(BB112,DENOMINAZIONE,0),1),0)))</f>
        <v/>
      </c>
      <c r="DH112" s="259">
        <f ca="1">IFERROR(IF($J$1=1,IF(INDEX(PIANO_DEI_CONTI,MATCH($K112,DENOMINAZIONE,0),5)=$DF$1,MAX($DH$2:DH111)+1,0),IF($J$1=2,IF(INDEX(PIANO_DEI_CONTI,MATCH($K112,DENOMINAZIONE,0),7)=$DF$1,MAX($DH$2:DH111)+1,0))),0)</f>
        <v>0</v>
      </c>
      <c r="DI112" s="259">
        <f ca="1">IFERROR(INDEX($K$3:$K$220,MATCH(ROWS($DI$3:DI112),$DH$3:$DH$220,0),1),0)</f>
        <v>0</v>
      </c>
      <c r="DJ112" s="259">
        <f t="shared" ca="1" si="194"/>
        <v>0</v>
      </c>
      <c r="DK112" s="259">
        <f ca="1">IF(DJ112=0,0,MAX(DK$2:DK111)+1)</f>
        <v>0</v>
      </c>
      <c r="DL112" s="259">
        <f ca="1">IFERROR(INDEX(PIANO_DEI_CONTI,MATCH(ROWS(DL$3:DL112),$DK$3:DK339,0),2),0)</f>
        <v>0</v>
      </c>
      <c r="DM112" s="259">
        <f t="shared" ca="1" si="195"/>
        <v>0</v>
      </c>
      <c r="DN112" s="259">
        <f t="shared" ca="1" si="196"/>
        <v>0</v>
      </c>
      <c r="DO112" s="259">
        <f t="shared" ca="1" si="245"/>
        <v>0</v>
      </c>
      <c r="DP112" s="259">
        <f t="shared" ca="1" si="246"/>
        <v>0</v>
      </c>
      <c r="DQ112" s="259">
        <f ca="1">IF(OR($DQ$1="TOTALI",$DQ$1="TOTALI ED ECCEDENZE"),IF(OR(DM112&gt;0,DN112&gt;0),MAX(DQ$2:DQ111)+1,0),IF($DQ$1="ECCEDENZE",IF(OR(DO112&gt;0,DP112&gt;0),MAX(DQ$2:DQ111)+1,0),""))</f>
        <v>0</v>
      </c>
      <c r="DR112" s="259" t="str">
        <f ca="1">IFERROR(INDEX($DL$3:$DQ$230,MATCH(ROWS(DR$3:DR112),$DQ$3:$DQ$230,0),1),"")</f>
        <v/>
      </c>
      <c r="DS112" s="259" t="str">
        <f t="shared" ca="1" si="247"/>
        <v/>
      </c>
      <c r="DT112" s="259" t="str">
        <f t="shared" ca="1" si="248"/>
        <v/>
      </c>
      <c r="DU112" s="259" t="str">
        <f t="shared" ca="1" si="249"/>
        <v/>
      </c>
      <c r="DV112" s="259" t="str">
        <f t="shared" ca="1" si="250"/>
        <v/>
      </c>
      <c r="DW112" s="259">
        <f t="shared" ca="1" si="251"/>
        <v>0</v>
      </c>
      <c r="DX112" s="259" t="str">
        <f t="shared" ca="1" si="252"/>
        <v/>
      </c>
      <c r="DY112" s="259" t="str">
        <f t="shared" ca="1" si="253"/>
        <v/>
      </c>
      <c r="DZ112" s="259" t="str">
        <f t="shared" ca="1" si="254"/>
        <v/>
      </c>
      <c r="EA112" s="259">
        <f t="shared" ca="1" si="255"/>
        <v>110</v>
      </c>
      <c r="EB112" s="259" t="s">
        <v>367</v>
      </c>
      <c r="ED112" s="259">
        <f t="shared" ca="1" si="197"/>
        <v>0</v>
      </c>
      <c r="EH112" s="259" t="str">
        <f t="shared" ca="1" si="256"/>
        <v/>
      </c>
      <c r="EI112" s="260" t="b">
        <f t="shared" ca="1" si="310"/>
        <v>1</v>
      </c>
      <c r="EJ112" s="260" t="b">
        <f t="shared" ca="1" si="311"/>
        <v>1</v>
      </c>
      <c r="EK112" s="260" t="b">
        <f t="shared" ca="1" si="312"/>
        <v>1</v>
      </c>
      <c r="EL112" s="259">
        <f t="shared" si="257"/>
        <v>110</v>
      </c>
      <c r="EM112" s="259">
        <f ca="1">IF(AND(BA112&gt;0,BA112&lt;=$EM$1),MAX($EM$2:EM111)+1,0)</f>
        <v>0</v>
      </c>
      <c r="EN112" s="259">
        <f t="shared" ca="1" si="258"/>
        <v>112</v>
      </c>
      <c r="EP112" s="259" t="str">
        <f t="shared" ca="1" si="200"/>
        <v/>
      </c>
      <c r="EQ112" s="259">
        <f t="shared" ca="1" si="201"/>
        <v>0</v>
      </c>
      <c r="ER112" s="259">
        <f ca="1">IF(ISNA(EQ112),MAX(ER$2:ER111)+1,0)</f>
        <v>0</v>
      </c>
      <c r="ES112" s="259" t="str">
        <f t="shared" ca="1" si="259"/>
        <v/>
      </c>
      <c r="ET112" s="259" t="str">
        <f ca="1">IFERROR(UPPER(INDEX($ER$3:$ES$500,MATCH(ROWS(ET$3:ET112),$ER$3:$ER$500,0),2)),"")</f>
        <v/>
      </c>
      <c r="EW112" s="259">
        <f t="shared" ca="1" si="344"/>
        <v>1</v>
      </c>
      <c r="EX112" s="259">
        <v>10</v>
      </c>
      <c r="EY112" s="259">
        <f t="shared" ca="1" si="345"/>
        <v>0</v>
      </c>
      <c r="EZ112" s="259">
        <f t="shared" ca="1" si="346"/>
        <v>0</v>
      </c>
      <c r="FA112" s="259">
        <f t="shared" ca="1" si="347"/>
        <v>0</v>
      </c>
      <c r="FB112" s="259">
        <f t="shared" ca="1" si="348"/>
        <v>0</v>
      </c>
      <c r="FC112" s="259">
        <f t="shared" ca="1" si="349"/>
        <v>0</v>
      </c>
      <c r="FD112" s="259">
        <f t="shared" ca="1" si="202"/>
        <v>0</v>
      </c>
      <c r="FE112" s="259" t="str">
        <f t="shared" ca="1" si="203"/>
        <v/>
      </c>
      <c r="FF112" s="259" t="str">
        <f t="shared" ca="1" si="350"/>
        <v/>
      </c>
      <c r="FG112" s="259" t="str">
        <f t="shared" si="335"/>
        <v/>
      </c>
      <c r="FH112" s="259">
        <f t="shared" ca="1" si="334"/>
        <v>0</v>
      </c>
      <c r="FI112" s="259">
        <f t="shared" ca="1" si="204"/>
        <v>0</v>
      </c>
      <c r="FJ112" s="259">
        <f t="shared" ca="1" si="336"/>
        <v>0</v>
      </c>
      <c r="FK112" s="259">
        <f t="shared" ca="1" si="267"/>
        <v>0</v>
      </c>
      <c r="FL112" s="259">
        <f ca="1">IF(OR(FJ112&gt;0,FK112&gt;0),MAX($FL$2:FL111)+1,0)</f>
        <v>0</v>
      </c>
      <c r="FM112" s="259">
        <f t="shared" ca="1" si="205"/>
        <v>0</v>
      </c>
      <c r="FN112" s="259">
        <f ca="1">IF(FM112&lt;0,MAX($FN$2:FN111)+1,0)</f>
        <v>0</v>
      </c>
      <c r="FO112" s="259" t="str">
        <f t="shared" ca="1" si="268"/>
        <v/>
      </c>
      <c r="FP112" s="259" t="str">
        <f ca="1">IFERROR(INDEX($FN$3:$FO$400,MATCH(ROWS($FP$3:FP112),$FN$3:$FN$400,0),2),"")</f>
        <v/>
      </c>
      <c r="FQ112" s="259">
        <f>IF(AE112="SE AVERE",MAX($FQ$2:FQ111)+1,"")</f>
        <v>6</v>
      </c>
      <c r="FR112" s="259" t="str">
        <f>IF(AE112="SE DARE",MAX($FR$2:FR111)+1,"")</f>
        <v/>
      </c>
      <c r="FS112" s="259" t="str">
        <f ca="1">IF(AND(AE112="SP DARE",AA112&lt;&gt;$FS$1,AA112&lt;&gt;$FT$1),MAX($FS$2:FS111)+1,IF(AND(GQ112="SP DARE",AA112&lt;&gt;$FS$1,AA112&lt;&gt;$FT$1),MAX($FS$2:FS111)+1,""))</f>
        <v/>
      </c>
      <c r="FT112" s="259" t="str">
        <f ca="1">IF(AND(AE112="SP AVERE",AA112&lt;&gt;$FU$1),MAX($FT$2:FT111)+1,IF(AND(GQ112="SP AVERE",AA112&lt;&gt;$FU$1),MAX($FT$2:FT111)+1,""))</f>
        <v/>
      </c>
      <c r="FU112" s="259">
        <f t="shared" ca="1" si="269"/>
        <v>6</v>
      </c>
      <c r="FV112" s="259" t="str">
        <f t="shared" si="270"/>
        <v>ARROTONDAMENTI ATTIVI</v>
      </c>
      <c r="FW112" s="259" t="str">
        <f ca="1">IFERROR(INDEX($FU$3:$FV$500,MATCH(ROWS($FW$3:FW112),$FU$3:$FU$500,0),2),0)</f>
        <v>CLIENTI C/COSTI ANTICIPATI</v>
      </c>
      <c r="FX112" s="259">
        <f t="shared" ca="1" si="271"/>
        <v>110</v>
      </c>
      <c r="FY112" s="259">
        <f t="shared" ca="1" si="272"/>
        <v>0</v>
      </c>
      <c r="FZ112" s="259">
        <f ca="1">IF(FY112&gt;0,MAX($FZ$2:FZ111)+1,0)</f>
        <v>0</v>
      </c>
      <c r="GA112" s="259">
        <f ca="1">IFERROR(INDEX($FY$3:$FZ$500,MATCH(ROWS($GA$3:GA112),$FZ$3:$FZ$500,0),1),0)</f>
        <v>0</v>
      </c>
      <c r="GC112" s="259">
        <f t="shared" ca="1" si="273"/>
        <v>110</v>
      </c>
      <c r="GD112" s="259" t="str">
        <f t="shared" ca="1" si="274"/>
        <v>CLIENTI C/COSTI ANTICIPATI</v>
      </c>
      <c r="GG112" s="259">
        <f t="shared" ca="1" si="275"/>
        <v>0</v>
      </c>
      <c r="GH112" s="259">
        <f t="shared" ca="1" si="276"/>
        <v>0</v>
      </c>
      <c r="GI112" s="259">
        <f t="shared" ca="1" si="277"/>
        <v>0</v>
      </c>
      <c r="GJ112" s="259">
        <f t="shared" ca="1" si="278"/>
        <v>0</v>
      </c>
      <c r="GK112" s="259">
        <f t="shared" ca="1" si="279"/>
        <v>0</v>
      </c>
      <c r="GL112" s="259">
        <f t="shared" ca="1" si="280"/>
        <v>0</v>
      </c>
      <c r="GM112" s="259">
        <f ca="1">IF(OR(GK112&gt;0,GL112&gt;0),MAX($GM$2:GM111)+1,0)</f>
        <v>0</v>
      </c>
      <c r="GN112" s="259" t="str">
        <f ca="1">IFERROR(INDEX($GD$3:$GM$400,MATCH(ROWS($GN$3:GN112),$GM$3:$GM$400,0),1),"")</f>
        <v/>
      </c>
      <c r="GO112" s="259" t="str">
        <f ca="1">IFERROR(INDEX($GD$3:$GM$400,MATCH(ROWS($GO$3:GO112),$GM$3:$GM$400,0),8),"")</f>
        <v/>
      </c>
      <c r="GP112" s="259" t="str">
        <f ca="1">IFERROR(INDEX($GD$3:$GM$400,MATCH(ROWS($GP$3:GP112),$GM$3:$GM$400,0),9),"")</f>
        <v/>
      </c>
      <c r="GQ112" s="259">
        <f t="shared" ca="1" si="206"/>
        <v>0</v>
      </c>
      <c r="GR112" s="259">
        <f t="shared" ca="1" si="281"/>
        <v>0</v>
      </c>
      <c r="GS112" s="259" t="str">
        <f t="shared" ca="1" si="282"/>
        <v>chiusura del conto</v>
      </c>
      <c r="GT112" s="259" t="str">
        <f ca="1">IFERROR(INDEX($GD$3:$GS$400,MATCH(ROWS($GT$3:GT112),$GM$3:$GM$400,0),16),"")</f>
        <v/>
      </c>
      <c r="GU112" s="259">
        <f ca="1">IF(GQ112&lt;&gt;0,MAX($GU$2:$GU111)+1,0)</f>
        <v>0</v>
      </c>
      <c r="GV112" s="259">
        <f t="shared" ca="1" si="283"/>
        <v>0</v>
      </c>
      <c r="GW112" s="259" t="str">
        <f ca="1">IF(AND(IFERROR(INDEX($GU$3:$GV$400,MATCH(ROWS($GW$3:GW112),$GU$3:$GU$400,0),2),"")&lt;&gt;"",GW113&lt;&gt;""),CONCATENATE(IFERROR(INDEX($GU$3:$GV$400,MATCH(ROWS($GW$3:GW112),$GU$3:$GU$400,0),2),"")," - "),IFERROR(INDEX($GU$3:$GV$400,MATCH(ROWS($GW$3:GW112),$GU$3:$GU$400,0),2),""))</f>
        <v/>
      </c>
      <c r="GX112" s="259">
        <f ca="1">IF(OR(GN112="IVA NS/CREDITO",GN112="IVA NS/DEBITO",GN112="IVA C/ACCONTO",GN112="IMPOSTE C/ACCONTO"),MAX($GX$2:GX111)+1,0)</f>
        <v>0</v>
      </c>
      <c r="GY112" s="259" t="str">
        <f ca="1">IF(AND(IFERROR(INDEX($GN$3:$GX$200,MATCH(ROWS($GY$3:GY112),$GX$3:$GX$200,0),1),"")&lt;&gt;"",GY113&lt;&gt;""),CONCATENATE(IFERROR(INDEX($GN$3:$GX$200,MATCH(ROWS($GY$3:GY112),$GX$3:$GX$200,0),1),"")," - "),IFERROR(INDEX($GN$3:$GX$200,MATCH(ROWS($GY$3:GY112),$GX$3:$GX$200,0),1),""))</f>
        <v/>
      </c>
      <c r="GZ112" s="259" t="s">
        <v>542</v>
      </c>
      <c r="HA112" s="259" t="str">
        <f ca="1">IF(INDIRECT(ADDRESS(7,14,,,"PIANO_DEI_CONTI"))="","BANCA X C/C",UPPER(INDIRECT(ADDRESS(7,14,,,"PIANO_DEI_CONTI"))))</f>
        <v>BANCA X C/C</v>
      </c>
      <c r="HB112" s="269" t="s">
        <v>257</v>
      </c>
      <c r="HC112" s="269" t="s">
        <v>277</v>
      </c>
      <c r="HD112" s="269" t="s">
        <v>613</v>
      </c>
      <c r="HE112" s="269" t="s">
        <v>219</v>
      </c>
      <c r="HV112" s="259" t="str">
        <f ca="1">CONCATENATE(IFERROR(INDEX($HS$3:$HT$102,MATCH(ROWS($HV$3:HV112),$HT$3:$HT$102,0),1),""),HR112)</f>
        <v/>
      </c>
      <c r="IC112" s="259">
        <f ca="1">IFERROR(INDEX(PIANO_DEI_CONTI,MATCH(ROWS(DL$3:DL112),$DK$3:DK339,0),2),0)</f>
        <v>0</v>
      </c>
      <c r="ID112" s="259">
        <f t="shared" ca="1" si="288"/>
        <v>0</v>
      </c>
      <c r="IE112" s="259">
        <f t="shared" ca="1" si="289"/>
        <v>0</v>
      </c>
      <c r="IF112" s="259">
        <f t="shared" ca="1" si="290"/>
        <v>0</v>
      </c>
      <c r="IG112" s="259">
        <f t="shared" ca="1" si="324"/>
        <v>0</v>
      </c>
      <c r="IH112" s="259">
        <f ca="1">IF(IG112&lt;&gt;0,MAX($IH$35:IH111)+1,0)</f>
        <v>0</v>
      </c>
      <c r="II112" s="259">
        <f>IF(AD112="costi pluriennali",MAX($II$2:II111)+1,0)</f>
        <v>0</v>
      </c>
      <c r="IJ112" s="259">
        <f>IF($AD112="rettifiche costi pluriennali",MAX($IJ$2:IJ111)+1,0)</f>
        <v>0</v>
      </c>
      <c r="IK112" s="259">
        <f t="shared" si="291"/>
        <v>0</v>
      </c>
      <c r="IL112" s="259" t="str">
        <f t="shared" si="292"/>
        <v/>
      </c>
      <c r="IM112" s="259">
        <f t="shared" ca="1" si="293"/>
        <v>0</v>
      </c>
      <c r="IN112" s="259">
        <f t="shared" ca="1" si="313"/>
        <v>0</v>
      </c>
      <c r="IO112" s="259">
        <f>SUMIFS($IM$3:$IM$200,$IK$3:$IK$200,ROWS($IO$3:IO112))-SUMIFS($IN$3:$IN$200,$IK$3:$IK$200,ROWS($IO$3:IO112))</f>
        <v>0</v>
      </c>
      <c r="IP112" s="259" t="str">
        <f>IF(IO112&lt;0,INDEX($IJ$3:$IL$200,MATCH(ROWS($IP$3:IP112),$IJ$3:$IJ$200,0),3),"")</f>
        <v/>
      </c>
      <c r="IQ112" s="259">
        <f>IF(IP112&lt;&gt;"",MAX($IQ$2:IQ111)+1,0)</f>
        <v>0</v>
      </c>
      <c r="IR112" s="259" t="str">
        <f ca="1">IFERROR(INDEX($IP$3:$IQ$200,MATCH(ROWS($IR$3:IR112),$IQ$3:$IQ$200,0),1),"")</f>
        <v/>
      </c>
      <c r="IS112" s="259" t="str">
        <f t="shared" ca="1" si="294"/>
        <v/>
      </c>
      <c r="IT112" s="259" t="str">
        <f t="shared" ca="1" si="295"/>
        <v/>
      </c>
      <c r="IU112" s="259" t="str">
        <f t="shared" ca="1" si="296"/>
        <v/>
      </c>
      <c r="IV112" s="259" t="str">
        <f t="shared" ca="1" si="297"/>
        <v/>
      </c>
      <c r="IW112" s="259" t="str">
        <f t="shared" ca="1" si="298"/>
        <v/>
      </c>
      <c r="IX112" s="259" t="str">
        <f t="shared" ca="1" si="299"/>
        <v/>
      </c>
      <c r="IY112" s="259" t="str">
        <f t="shared" ca="1" si="300"/>
        <v/>
      </c>
      <c r="IZ112" s="259" t="str">
        <f t="shared" ca="1" si="301"/>
        <v/>
      </c>
      <c r="JA112" s="259" t="str">
        <f t="shared" ca="1" si="302"/>
        <v/>
      </c>
      <c r="JB112" s="259">
        <f t="shared" ca="1" si="210"/>
        <v>0</v>
      </c>
      <c r="JC112" s="259">
        <f t="shared" ca="1" si="351"/>
        <v>0</v>
      </c>
      <c r="JD112" s="259">
        <f t="shared" ca="1" si="352"/>
        <v>0</v>
      </c>
      <c r="JE112" s="259">
        <f ca="1">IFERROR(INDEX(LIBRO_GIORNALE!$N$11:$O$408,MATCH(ROWS($JE$2:JE111),LIBRO_GIORNALE!$O$11:$O$408,0),1),0)</f>
        <v>0</v>
      </c>
      <c r="JF112" s="259" t="str">
        <f t="shared" ca="1" si="304"/>
        <v>0</v>
      </c>
      <c r="JG112" s="259">
        <f t="shared" ca="1" si="305"/>
        <v>0</v>
      </c>
      <c r="JH112" s="259">
        <f ca="1">IF(JJ112&gt;0,0,MAX($JH$2:JH111)+1)</f>
        <v>110</v>
      </c>
      <c r="JI112" s="259">
        <f ca="1">IF(JG112&gt;0,MAX($JI$2:JI111)+1,0)</f>
        <v>0</v>
      </c>
      <c r="JJ112" s="259">
        <f ca="1">IFERROR(INDEX($JG$3:$JI$124,MATCH(ROWS($JJ$3:JJ112),$JI$3:$JI$124,0),1),0)</f>
        <v>0</v>
      </c>
      <c r="JK112" s="259">
        <f t="shared" ca="1" si="306"/>
        <v>0</v>
      </c>
      <c r="JL112" s="259">
        <f t="shared" ca="1" si="307"/>
        <v>110</v>
      </c>
      <c r="JM112" s="259">
        <f t="shared" ca="1" si="353"/>
        <v>0</v>
      </c>
    </row>
    <row r="113" spans="1:273">
      <c r="A113" s="259" t="str">
        <f t="shared" si="211"/>
        <v>18.21</v>
      </c>
      <c r="B113" s="259" t="str">
        <f t="shared" ca="1" si="212"/>
        <v>BANCA Y C/C</v>
      </c>
      <c r="C113" s="259" t="str">
        <f t="shared" si="213"/>
        <v>F</v>
      </c>
      <c r="D113" s="259" t="str">
        <f t="shared" si="214"/>
        <v>D/A</v>
      </c>
      <c r="E113" s="259" t="str">
        <f t="shared" si="215"/>
        <v>CONTI CON ALTERNANZA DI SALDI</v>
      </c>
      <c r="F113" s="259" t="str">
        <f t="shared" si="216"/>
        <v>SP DARE/AVERE</v>
      </c>
      <c r="G113" s="259">
        <f t="shared" ca="1" si="217"/>
        <v>1</v>
      </c>
      <c r="H113" s="259">
        <f t="shared" ca="1" si="218"/>
        <v>1</v>
      </c>
      <c r="I113" s="259">
        <f t="shared" ca="1" si="219"/>
        <v>1</v>
      </c>
      <c r="K113" s="259" t="str">
        <f ca="1">IFERROR(IF($I$1=1,INDEX($AA$3:$AS$220,MATCH(ROWS($K$3:K113),$AQ$3:$AQ$220,0),1),IF($I$1=2,INDEX($AA$3:$AS$220,MATCH(ROWS($K$3:K113),$AR$3:$AR$220,0),1),IF($I$1=3,INDEX($AA$3:$AS$220,MATCH(ROWS($K$3:K113),$AS$3:$AS$220,0),1),""))),"")</f>
        <v>MERCI C/ACQUISTI</v>
      </c>
      <c r="L113" s="259">
        <f ca="1">IF(AND($L$1="VISUALIZZA TUTTI I CONTI",K113&lt;&gt;""),MAX(L112:L112)+1,IFERROR(IF($J$1=1,IF(INDEX(PIANO_DEI_CONTI,MATCH($K113,DENOMINAZIONE,0),5)=$L$1,MAX($L$2:L112)+1,0),IF($J$1=2,IF(INDEX(PIANO_DEI_CONTI,MATCH($K113,DENOMINAZIONE,0),7)=$L$1,MAX($L$2:L112)+1,0))),0))</f>
        <v>111</v>
      </c>
      <c r="M113" s="259" t="str">
        <f ca="1">IFERROR(INDEX($K$3:$K$220,MATCH(ROWS($M$3:M113),$L$3:$L$220,0),1),"")</f>
        <v>MERCI C/ACQUISTI</v>
      </c>
      <c r="Q113" s="259" t="str">
        <f ca="1">IF(IFERROR(INDEX($O$3:$P$220,MATCH(ROWS(Q$3:Q113),$P$3:$P$220,0),1),"")=0,"",IFERROR(INDEX($O$3:$P$220,MATCH(ROWS(Q$3:Q113),$P$3:$P$220,0),1),""))</f>
        <v/>
      </c>
      <c r="R113" s="259" t="str">
        <f t="shared" ca="1" si="182"/>
        <v/>
      </c>
      <c r="S113" s="259">
        <f ca="1">IF(IFERROR(MATCH(R113,DENOMINAZIONE_GIORNALE,0),0)&gt;0,MAX(S$2:S112)+1,0)</f>
        <v>0</v>
      </c>
      <c r="T113" s="259" t="str">
        <f ca="1">IFERROR(INDEX($R$3:$S$220,MATCH(ROWS($T$3:T113),$S$3:$S$220,0),1),"")</f>
        <v/>
      </c>
      <c r="U113" s="259">
        <f t="shared" ca="1" si="183"/>
        <v>0</v>
      </c>
      <c r="V113" s="259">
        <f ca="1">IF(IF(U113&lt;&gt;0,MAX($V$2:V112)+1,0)=0,0,IF(U113&lt;&gt;0,MAX($V$2:V112)+1,0))</f>
        <v>0</v>
      </c>
      <c r="W113" s="259" t="str">
        <f t="shared" si="220"/>
        <v>18.21</v>
      </c>
      <c r="X113" s="259" t="str">
        <f t="shared" ca="1" si="221"/>
        <v>BANCA Y C/C</v>
      </c>
      <c r="Y113" s="259">
        <f>IF(W113="",0,MAX($Y$2:Y112)+1)</f>
        <v>95</v>
      </c>
      <c r="Z113" s="259" t="str">
        <f>IFERROR(INDEX($W$3:$Y$220,MATCH(ROWS($Z$2:Z112),$Y$3:$Y$220,0),1),"")</f>
        <v>20.20</v>
      </c>
      <c r="AA113" s="259" t="str">
        <f t="shared" si="222"/>
        <v>PLUSVALENZE</v>
      </c>
      <c r="AB113" s="259" t="str">
        <f t="shared" si="223"/>
        <v>E</v>
      </c>
      <c r="AC113" s="259" t="str">
        <f t="shared" si="224"/>
        <v>A</v>
      </c>
      <c r="AD113" s="259" t="str">
        <f t="shared" si="225"/>
        <v>RICAVI D'ESERCIZIO</v>
      </c>
      <c r="AE113" s="259" t="str">
        <f t="shared" si="226"/>
        <v>SE AVERE</v>
      </c>
      <c r="AF113" s="259" t="str">
        <f t="shared" si="227"/>
        <v>VALORE DELLA PRODUZIONE</v>
      </c>
      <c r="AG113" s="259">
        <f t="shared" ca="1" si="228"/>
        <v>0</v>
      </c>
      <c r="AH113" s="259">
        <f t="shared" ca="1" si="229"/>
        <v>1</v>
      </c>
      <c r="AI113" s="259">
        <f t="shared" ca="1" si="230"/>
        <v>1</v>
      </c>
      <c r="AJ113" s="259" t="str">
        <f t="shared" si="231"/>
        <v>20</v>
      </c>
      <c r="AK113" s="259" t="str">
        <f t="shared" si="232"/>
        <v/>
      </c>
      <c r="AL113" s="259">
        <f>IF(AK113&lt;&gt;"",MAX($AL$2:AL112)+1,0)</f>
        <v>0</v>
      </c>
      <c r="AM113" s="259" t="str">
        <f>IFERROR(INDEX($AK$3:$AL$220,MATCH(ROWS($AM$3:AM113),$AL$3:$AL$220,0),1),"")</f>
        <v/>
      </c>
      <c r="AN113" s="259" t="str">
        <f t="shared" si="233"/>
        <v/>
      </c>
      <c r="AO113" s="259" t="str">
        <f t="shared" si="234"/>
        <v/>
      </c>
      <c r="AP113" s="259" t="str">
        <f t="shared" si="235"/>
        <v>VALORE DELLA PRODUZIONE</v>
      </c>
      <c r="AQ113" s="259">
        <f ca="1">IF(OR(AG113=0,AG113=""),0,MAX(AQ$2:AQ112)+1)</f>
        <v>0</v>
      </c>
      <c r="AR113" s="259">
        <f ca="1">IF(OR(AH113=0,AH113=""),0,MAX(AR$2:AR112)+1)</f>
        <v>77</v>
      </c>
      <c r="AS113" s="259">
        <f ca="1">IF(OR(AI113=0,AI113=""),0,MAX(AS$2:AS112)+1)</f>
        <v>107</v>
      </c>
      <c r="AT113" s="259" t="str">
        <f ca="1">IFERROR(INDEX($AD$3:$AS$220,MATCH(ROWS(AT$3:AT113),AQ$3:AQ$220,0),1),"")</f>
        <v/>
      </c>
      <c r="AU113" s="259" t="str">
        <f ca="1">IFERROR(INDEX($AD$3:$AS$220,MATCH(ROWS(AU$3:AU113),AR$3:AR$220,0),1),"")</f>
        <v>COSTI D'ESERCIZIO</v>
      </c>
      <c r="AV113" s="259" t="str">
        <f ca="1">IFERROR(INDEX($AD$3:$AS$220,MATCH(ROWS(AV$3:AV113),AS$3:AS$220,0),1),"")</f>
        <v>COSTI D'ESERCIZIO</v>
      </c>
      <c r="AW113" s="259" t="str">
        <f ca="1">IFERROR(INDEX($AP$3:$AS$220,MATCH(ROWS(AW$3:AW113),AQ$3:AQ$220,0),1),"")</f>
        <v/>
      </c>
      <c r="AX113" s="259" t="str">
        <f ca="1">IFERROR(INDEX($AP$3:$AS$220,MATCH(ROWS(AX$3:AX113),AR$3:AR$220,0),1),"")</f>
        <v>ONERI DIVERSI</v>
      </c>
      <c r="AY113" s="259" t="str">
        <f ca="1">IFERROR(INDEX($AP$3:$AS$220,MATCH(ROWS(AY$3:AY113),AS$3:AS$220,0),1),"")</f>
        <v>COSTI PER MERCI E MATERIE DI CONSUMO</v>
      </c>
      <c r="AZ113" s="259" t="str">
        <f t="shared" si="339"/>
        <v>11 V.I.</v>
      </c>
      <c r="BA113" s="259">
        <f t="shared" ca="1" si="338"/>
        <v>0</v>
      </c>
      <c r="BB113" s="259">
        <f t="shared" ca="1" si="340"/>
        <v>0</v>
      </c>
      <c r="BC113" s="259">
        <f t="shared" ca="1" si="341"/>
        <v>0</v>
      </c>
      <c r="BD113" s="259">
        <f t="shared" ca="1" si="342"/>
        <v>0</v>
      </c>
      <c r="BE113" s="259">
        <f t="shared" ca="1" si="343"/>
        <v>0</v>
      </c>
      <c r="BG113" s="259" t="str">
        <f t="shared" ca="1" si="185"/>
        <v/>
      </c>
      <c r="BH113" s="259">
        <f ca="1">IF(IFERROR(MATCH(BG113,DENOMINAZIONE_GIORNALE,0),0)&gt;0,MAX(BH$2:BH112)+1,0)</f>
        <v>0</v>
      </c>
      <c r="BI113" s="259" t="str">
        <f ca="1">IFERROR(INDEX($BG$3:$BH$220,MATCH(ROWS($BI$3:BI113),$BH$3:$BH$220,0),1),"")</f>
        <v/>
      </c>
      <c r="BJ113" s="259" t="str">
        <f t="shared" ca="1" si="186"/>
        <v/>
      </c>
      <c r="BK113" s="259" t="str">
        <f ca="1">IF(IF(BJ113&lt;&gt;"",MAX($BK$2:BK112)+1,0)=0,"",IF(BJ113&lt;&gt;"",MAX($BK$2:BK112)+1,0))</f>
        <v/>
      </c>
      <c r="BL113" s="259" t="str">
        <f ca="1">IFERROR(INDEX($T$3:$U$220, MATCH(ROWS(BL$3:BL113),$V$3:$V$220,0),1),"")</f>
        <v/>
      </c>
      <c r="BM113" s="259" t="str">
        <f ca="1">IFERROR(INDEX($T$3:$U$220, MATCH(ROWS(BM$3:BM113),$V$3:$V$220,0),2),"")</f>
        <v/>
      </c>
      <c r="BN113" s="259" t="str">
        <f ca="1">IF(IFERROR(INDEX($BI$3:$BJ$220,MATCH(ROWS(BN$3:BN113),$BK$3:$BK$220,0),1),"")="PATRIMONIO NETTO","",IFERROR(INDEX($BI$3:$BJ$220,MATCH(ROWS(BN$3:BN113),$BK$3:$BK$220,0),1),""))</f>
        <v/>
      </c>
      <c r="BO113" s="259" t="str">
        <f ca="1">IFERROR(INDEX($BI$3:$BJ$220,MATCH(ROWS(BO$3:BO113),$BK$3:$BK$220,0),2),"")</f>
        <v/>
      </c>
      <c r="BP113" s="259">
        <f ca="1">IF(BN113&lt;&gt;"",MAX(BP$2:$BP112)+1,0)</f>
        <v>0</v>
      </c>
      <c r="BQ113" s="259" t="str">
        <f ca="1">IFERROR(INDEX($BN$3:$BO$200,MATCH(ROWS(BQ$3:BQ113),$BP$3:$BP$220,0),1),"")</f>
        <v/>
      </c>
      <c r="BR113" s="259" t="str">
        <f ca="1">IFERROR(INDEX($BN$3:$BO$220,MATCH(ROWS(BR$3:BR113),$BP$3:$BP$220,0),2),"")</f>
        <v/>
      </c>
      <c r="BS113" s="259" t="str">
        <f ca="1">IFERROR(IF(OR(INDEX($T$3:$U$220,MATCH(ROWS(BL$3:BL113),$V$3:$V$220,0),1)="PRELEVAMENTI EXTRAGESTIONE",INDEX($T$3:$U$220,MATCH(ROWS(BL$3:BL113),$V$3:$V$220,0),1)="TITOLARE C/RITENUTE SUBITE"),"",INDEX($T$3:$U$220,MATCH(ROWS(BL$3:BL113),$V$3:$V$220,0),1)),"")</f>
        <v/>
      </c>
      <c r="BT113" s="259">
        <f t="shared" ca="1" si="238"/>
        <v>0</v>
      </c>
      <c r="BU113" s="259">
        <f ca="1">IF(BS113&lt;&gt;"",MAX(BU$2:BU112)+1,0)</f>
        <v>0</v>
      </c>
      <c r="BV113" s="259" t="str">
        <f ca="1">IFERROR(INDEX($BS$3:$BT$223,MATCH(ROWS(BV$3:BV113),$BU$3:$BU$223,0),1),"")</f>
        <v/>
      </c>
      <c r="BW113" s="259">
        <f t="shared" ca="1" si="239"/>
        <v>0</v>
      </c>
      <c r="CB113" s="259" t="str">
        <f ca="1">IFERROR(IF(OR($BB$1&lt;&gt;$BD$1,$BC$1&lt;&gt;$BE$1,$DS$231&lt;&gt;$DT$231,$DU$231&lt;&gt;$DV$231,$EO$25&lt;&gt;0,$EO$26&lt;&gt;0),INDEX($BI$3:$BK$220,MATCH(ROWS($CB$3:CB113),$BK$3:$BK$220,0),1),CONCATENATE(BQ113,BX113)),"")</f>
        <v/>
      </c>
      <c r="CC113" s="259" t="str">
        <f t="shared" ca="1" si="243"/>
        <v/>
      </c>
      <c r="CD113" s="259" t="str">
        <f t="shared" ca="1" si="187"/>
        <v/>
      </c>
      <c r="CE113" s="259">
        <f ca="1">IF(IFERROR(MATCH(CD113,DENOMINAZIONE_GIORNALE,0),0)&gt;0,MAX(CE$2:CE112)+1,0)</f>
        <v>0</v>
      </c>
      <c r="CF113" s="259" t="str">
        <f ca="1">IFERROR(INDEX($CD$3:$CE$220,MATCH(ROWS($CF$3:CF113),$CE$3:$CE$220,0),1),"")</f>
        <v/>
      </c>
      <c r="CG113" s="259">
        <f t="shared" ca="1" si="188"/>
        <v>0</v>
      </c>
      <c r="CH113" s="259" t="str">
        <f ca="1">IF(IF(CG113&lt;&gt;0,MAX($CH$2:CH112)+1,0)=0,"",IF(CG113&lt;&gt;"",MAX($CH$2:CH112)+1,0))</f>
        <v/>
      </c>
      <c r="CI113" s="259" t="str">
        <f ca="1">IFERROR(INDEX($CF$3:$CG$220,MATCH(ROWS($CI$3:CI113),$CH$3:$CH$220,0),1),"")</f>
        <v/>
      </c>
      <c r="CJ113" s="259" t="str">
        <f t="shared" ca="1" si="244"/>
        <v/>
      </c>
      <c r="CK113" s="259" t="str">
        <f t="shared" ca="1" si="189"/>
        <v>PLUSVALENZE</v>
      </c>
      <c r="CL113" s="259">
        <f ca="1">IF(IFERROR(MATCH(CK113,DENOMINAZIONE_GIORNALE,0),0)&gt;0,MAX(CL$2:CL112)+1,0)</f>
        <v>0</v>
      </c>
      <c r="CM113" s="259" t="str">
        <f ca="1">IFERROR(INDEX($CK$3:$CL$220,MATCH(ROWS($CM$3:CM113),$CL$3:$CL$220,0),1),"")</f>
        <v/>
      </c>
      <c r="CN113" s="259" t="str">
        <f t="shared" ca="1" si="190"/>
        <v/>
      </c>
      <c r="CO113" s="259">
        <f ca="1">IF(IF(CN113&lt;&gt;0,MAX($CO$2:CO112)+1,0)=0,"",IF(CN113&lt;&gt;"",MAX($CO$2:CO112)+1,0))</f>
        <v>0</v>
      </c>
      <c r="CP113" s="259" t="str">
        <f ca="1">IFERROR(INDEX($CM$3:$CN$220,MATCH(ROWS(CP$3:CP113),$CO$3:$CO$220,0),1),"")</f>
        <v/>
      </c>
      <c r="CQ113" s="259" t="str">
        <f ca="1">IFERROR(INDEX($CM$3:$CN$220,MATCH(ROWS(CQ$3:CQ113),$CO$3:$CO$220,0),2),"")</f>
        <v/>
      </c>
      <c r="CS113" s="259">
        <f t="shared" ca="1" si="192"/>
        <v>0</v>
      </c>
      <c r="CT113" s="259">
        <f t="shared" ca="1" si="193"/>
        <v>0</v>
      </c>
      <c r="CU113" s="259">
        <f ca="1">IF(OR(CS113&gt;0,CT113&gt;0),MAX($CU$2:CU112)+1,0)</f>
        <v>0</v>
      </c>
      <c r="CV113" s="259" t="str">
        <f ca="1">IFERROR(INDEX(PIANO_DEI_CONTI,MATCH(ROWS($CV$3:CV113),$CU$3:$CU$200,0),2),"")</f>
        <v/>
      </c>
      <c r="CW113" s="259">
        <f ca="1">IFERROR(IF(CV113&lt;&gt;"",MAX($CW$2:CW112)+1,0),0)</f>
        <v>0</v>
      </c>
      <c r="CX113" s="259">
        <f t="shared" ca="1" si="355"/>
        <v>7</v>
      </c>
      <c r="CY113" s="259" t="str">
        <f t="shared" ca="1" si="337"/>
        <v>MASTRO</v>
      </c>
      <c r="CZ113" s="259" t="e">
        <f t="shared" ref="CZ113:CZ127" ca="1" si="357">SUM(MATCH($CY113,INDIRECT(ADDRESS(SUM(CZ112)+3,54)&amp;":"&amp;ADDRESS(400,54)),0),CZ112)</f>
        <v>#N/A</v>
      </c>
      <c r="DA113" s="259" t="str">
        <f ca="1">IFERROR(INDEX(LIBRO_GIORNALE,CZ113,1),"")</f>
        <v/>
      </c>
      <c r="DB113" s="259" t="str">
        <f t="shared" ref="DB113:DB127" ca="1" si="358">IF(RIGHT(TEXT(IFERROR(INDEX(LIBRO_GIORNALE,CZ113,2),""),"gg/mm/aa"),1)="a",TEXT(IFERROR(INDEX(LIBRO_GIORNALE,CZ113,2),""),"dd/mm/yy"),TEXT(IFERROR(INDEX(LIBRO_GIORNALE,CZ113,2),""),"gg/mm/aa"))</f>
        <v/>
      </c>
      <c r="DC113" s="259" t="str">
        <f t="shared" ref="DC113:DC127" ca="1" si="359">IF(IFERROR(INDEX(LIBRO_GIORNALE,CZ113,4),"")=0,"manca la descrizione dell'operazione",IFERROR(INDEX(LIBRO_GIORNALE,CZ113,4),""))</f>
        <v/>
      </c>
      <c r="DD113" s="259" t="str">
        <f t="shared" ref="DD113:DD127" ca="1" si="360">IFERROR(IF(INDEX(LIBRO_GIORNALE,CZ113,5)&gt;0,INDEX(LIBRO_GIORNALE,CZ113,5),""),"")</f>
        <v/>
      </c>
      <c r="DE113" s="259" t="str">
        <f t="shared" ref="DE113:DE127" ca="1" si="361">IFERROR(IF(INDEX(LIBRO_GIORNALE,CZ113,6)&gt;0,INDEX(LIBRO_GIORNALE,CZ113,6),""),"")</f>
        <v/>
      </c>
      <c r="DF113" s="259">
        <f ca="1">IF(AND(CX113=$DE$2,$DF$2&lt;&gt;0),0,IF(AND(DB113&lt;&gt;"",OR(DB112&lt;&gt;"",DB114&lt;&gt;"")),MAX($DF$2:DF112)+1,0))</f>
        <v>0</v>
      </c>
      <c r="DG113" s="259" t="str">
        <f>IF(IF(LIBRO_GIORNALE!E21="","",IFERROR(INDEX(PIANO_DEI_CONTI,MATCH(BB113,DENOMINAZIONE,0),1),0))=0,"",IF(LIBRO_GIORNALE!E21="","",IFERROR(INDEX(PIANO_DEI_CONTI,MATCH(BB113,DENOMINAZIONE,0),1),0)))</f>
        <v/>
      </c>
      <c r="DH113" s="259">
        <f ca="1">IFERROR(IF($J$1=1,IF(INDEX(PIANO_DEI_CONTI,MATCH($K113,DENOMINAZIONE,0),5)=$DF$1,MAX($DH$2:DH112)+1,0),IF($J$1=2,IF(INDEX(PIANO_DEI_CONTI,MATCH($K113,DENOMINAZIONE,0),7)=$DF$1,MAX($DH$2:DH112)+1,0))),0)</f>
        <v>0</v>
      </c>
      <c r="DI113" s="259">
        <f ca="1">IFERROR(INDEX($K$3:$K$220,MATCH(ROWS($DI$3:DI113),$DH$3:$DH$220,0),1),0)</f>
        <v>0</v>
      </c>
      <c r="DJ113" s="259">
        <f t="shared" ca="1" si="194"/>
        <v>0</v>
      </c>
      <c r="DK113" s="259">
        <f ca="1">IF(DJ113=0,0,MAX(DK$2:DK112)+1)</f>
        <v>0</v>
      </c>
      <c r="DL113" s="259">
        <f ca="1">IFERROR(INDEX(PIANO_DEI_CONTI,MATCH(ROWS(DL$3:DL113),$DK$3:DK340,0),2),0)</f>
        <v>0</v>
      </c>
      <c r="DM113" s="259">
        <f t="shared" ca="1" si="195"/>
        <v>0</v>
      </c>
      <c r="DN113" s="259">
        <f t="shared" ca="1" si="196"/>
        <v>0</v>
      </c>
      <c r="DO113" s="259">
        <f t="shared" ca="1" si="245"/>
        <v>0</v>
      </c>
      <c r="DP113" s="259">
        <f t="shared" ca="1" si="246"/>
        <v>0</v>
      </c>
      <c r="DQ113" s="259">
        <f ca="1">IF(OR($DQ$1="TOTALI",$DQ$1="TOTALI ED ECCEDENZE"),IF(OR(DM113&gt;0,DN113&gt;0),MAX(DQ$2:DQ112)+1,0),IF($DQ$1="ECCEDENZE",IF(OR(DO113&gt;0,DP113&gt;0),MAX(DQ$2:DQ112)+1,0),""))</f>
        <v>0</v>
      </c>
      <c r="DR113" s="259" t="str">
        <f ca="1">IFERROR(INDEX($DL$3:$DQ$230,MATCH(ROWS(DR$3:DR113),$DQ$3:$DQ$230,0),1),"")</f>
        <v/>
      </c>
      <c r="DS113" s="259" t="str">
        <f t="shared" ca="1" si="247"/>
        <v/>
      </c>
      <c r="DT113" s="259" t="str">
        <f t="shared" ca="1" si="248"/>
        <v/>
      </c>
      <c r="DU113" s="259" t="str">
        <f t="shared" ca="1" si="249"/>
        <v/>
      </c>
      <c r="DV113" s="259" t="str">
        <f t="shared" ca="1" si="250"/>
        <v/>
      </c>
      <c r="DW113" s="259">
        <f t="shared" ca="1" si="251"/>
        <v>0</v>
      </c>
      <c r="DX113" s="259" t="str">
        <f t="shared" ca="1" si="252"/>
        <v/>
      </c>
      <c r="DY113" s="259" t="str">
        <f t="shared" ca="1" si="253"/>
        <v/>
      </c>
      <c r="DZ113" s="259" t="str">
        <f t="shared" ca="1" si="254"/>
        <v/>
      </c>
      <c r="EA113" s="259">
        <f t="shared" ca="1" si="255"/>
        <v>111</v>
      </c>
      <c r="EB113" s="259" t="s">
        <v>367</v>
      </c>
      <c r="ED113" s="259">
        <f t="shared" ca="1" si="197"/>
        <v>0</v>
      </c>
      <c r="EH113" s="259" t="str">
        <f t="shared" ca="1" si="256"/>
        <v/>
      </c>
      <c r="EI113" s="260" t="b">
        <f t="shared" ca="1" si="310"/>
        <v>1</v>
      </c>
      <c r="EJ113" s="260" t="b">
        <f t="shared" ca="1" si="311"/>
        <v>1</v>
      </c>
      <c r="EK113" s="260" t="b">
        <f t="shared" ca="1" si="312"/>
        <v>1</v>
      </c>
      <c r="EL113" s="259">
        <f t="shared" si="257"/>
        <v>111</v>
      </c>
      <c r="EM113" s="259">
        <f ca="1">IF(AND(BA113&gt;0,BA113&lt;=$EM$1),MAX($EM$2:EM112)+1,0)</f>
        <v>0</v>
      </c>
      <c r="EN113" s="259">
        <f t="shared" ca="1" si="258"/>
        <v>113</v>
      </c>
      <c r="EP113" s="259" t="str">
        <f t="shared" ca="1" si="200"/>
        <v/>
      </c>
      <c r="EQ113" s="259">
        <f t="shared" ca="1" si="201"/>
        <v>0</v>
      </c>
      <c r="ER113" s="259">
        <f ca="1">IF(ISNA(EQ113),MAX(ER$2:ER112)+1,0)</f>
        <v>0</v>
      </c>
      <c r="ES113" s="259" t="str">
        <f t="shared" ca="1" si="259"/>
        <v/>
      </c>
      <c r="ET113" s="259" t="str">
        <f ca="1">IFERROR(UPPER(INDEX($ER$3:$ES$500,MATCH(ROWS(ET$3:ET113),$ER$3:$ER$500,0),2)),"")</f>
        <v/>
      </c>
      <c r="EW113" s="259">
        <f t="shared" ca="1" si="344"/>
        <v>1</v>
      </c>
      <c r="EX113" s="259">
        <v>11</v>
      </c>
      <c r="EY113" s="259">
        <f t="shared" ca="1" si="345"/>
        <v>0</v>
      </c>
      <c r="EZ113" s="259">
        <f t="shared" ca="1" si="346"/>
        <v>0</v>
      </c>
      <c r="FA113" s="259">
        <f t="shared" ca="1" si="347"/>
        <v>0</v>
      </c>
      <c r="FB113" s="259">
        <f t="shared" ca="1" si="348"/>
        <v>0</v>
      </c>
      <c r="FC113" s="259">
        <f t="shared" ca="1" si="349"/>
        <v>0</v>
      </c>
      <c r="FD113" s="259">
        <f t="shared" ca="1" si="202"/>
        <v>0</v>
      </c>
      <c r="FE113" s="259" t="str">
        <f t="shared" ca="1" si="203"/>
        <v/>
      </c>
      <c r="FF113" s="259" t="str">
        <f t="shared" ca="1" si="350"/>
        <v/>
      </c>
      <c r="FG113" s="259" t="str">
        <f t="shared" si="335"/>
        <v/>
      </c>
      <c r="FH113" s="259">
        <f t="shared" ca="1" si="334"/>
        <v>0</v>
      </c>
      <c r="FI113" s="259">
        <f t="shared" ca="1" si="204"/>
        <v>0</v>
      </c>
      <c r="FJ113" s="259">
        <f t="shared" ca="1" si="336"/>
        <v>0</v>
      </c>
      <c r="FK113" s="259">
        <f t="shared" ca="1" si="267"/>
        <v>0</v>
      </c>
      <c r="FL113" s="259">
        <f ca="1">IF(OR(FJ113&gt;0,FK113&gt;0),MAX($FL$2:FL112)+1,0)</f>
        <v>0</v>
      </c>
      <c r="FM113" s="259">
        <f t="shared" ca="1" si="205"/>
        <v>0</v>
      </c>
      <c r="FN113" s="259">
        <f ca="1">IF(FM113&lt;0,MAX($FN$2:FN112)+1,0)</f>
        <v>0</v>
      </c>
      <c r="FO113" s="259" t="str">
        <f t="shared" ca="1" si="268"/>
        <v/>
      </c>
      <c r="FP113" s="259" t="str">
        <f ca="1">IFERROR(INDEX($FN$3:$FO$400,MATCH(ROWS($FP$3:FP113),$FN$3:$FN$400,0),2),"")</f>
        <v/>
      </c>
      <c r="FQ113" s="259">
        <f>IF(AE113="SE AVERE",MAX($FQ$2:FQ112)+1,"")</f>
        <v>7</v>
      </c>
      <c r="FR113" s="259" t="str">
        <f>IF(AE113="SE DARE",MAX($FR$2:FR112)+1,"")</f>
        <v/>
      </c>
      <c r="FS113" s="259" t="str">
        <f ca="1">IF(AND(AE113="SP DARE",AA113&lt;&gt;$FS$1,AA113&lt;&gt;$FT$1),MAX($FS$2:FS112)+1,IF(AND(GQ113="SP DARE",AA113&lt;&gt;$FS$1,AA113&lt;&gt;$FT$1),MAX($FS$2:FS112)+1,""))</f>
        <v/>
      </c>
      <c r="FT113" s="259" t="str">
        <f ca="1">IF(AND(AE113="SP AVERE",AA113&lt;&gt;$FU$1),MAX($FT$2:FT112)+1,IF(AND(GQ113="SP AVERE",AA113&lt;&gt;$FU$1),MAX($FT$2:FT112)+1,""))</f>
        <v/>
      </c>
      <c r="FU113" s="259">
        <f t="shared" ca="1" si="269"/>
        <v>7</v>
      </c>
      <c r="FV113" s="259" t="str">
        <f t="shared" si="270"/>
        <v>PLUSVALENZE</v>
      </c>
      <c r="FW113" s="259" t="str">
        <f ca="1">IFERROR(INDEX($FU$3:$FV$500,MATCH(ROWS($FW$3:FW113),$FU$3:$FU$500,0),2),0)</f>
        <v>CAMBIALI ATTIVE</v>
      </c>
      <c r="FX113" s="259">
        <f t="shared" ca="1" si="271"/>
        <v>111</v>
      </c>
      <c r="FY113" s="259">
        <f t="shared" ca="1" si="272"/>
        <v>0</v>
      </c>
      <c r="FZ113" s="259">
        <f ca="1">IF(FY113&gt;0,MAX($FZ$2:FZ112)+1,0)</f>
        <v>0</v>
      </c>
      <c r="GA113" s="259">
        <f ca="1">IFERROR(INDEX($FY$3:$FZ$500,MATCH(ROWS($GA$3:GA113),$FZ$3:$FZ$500,0),1),0)</f>
        <v>0</v>
      </c>
      <c r="GC113" s="259">
        <f t="shared" ca="1" si="273"/>
        <v>111</v>
      </c>
      <c r="GD113" s="259" t="str">
        <f t="shared" ca="1" si="274"/>
        <v>CAMBIALI ATTIVE</v>
      </c>
      <c r="GG113" s="259">
        <f t="shared" ca="1" si="275"/>
        <v>0</v>
      </c>
      <c r="GH113" s="259">
        <f t="shared" ca="1" si="276"/>
        <v>0</v>
      </c>
      <c r="GI113" s="259">
        <f t="shared" ca="1" si="277"/>
        <v>0</v>
      </c>
      <c r="GJ113" s="259">
        <f t="shared" ca="1" si="278"/>
        <v>0</v>
      </c>
      <c r="GK113" s="259">
        <f t="shared" ca="1" si="279"/>
        <v>0</v>
      </c>
      <c r="GL113" s="259">
        <f t="shared" ca="1" si="280"/>
        <v>0</v>
      </c>
      <c r="GM113" s="259">
        <f ca="1">IF(OR(GK113&gt;0,GL113&gt;0),MAX($GM$2:GM112)+1,0)</f>
        <v>0</v>
      </c>
      <c r="GN113" s="259" t="str">
        <f ca="1">IFERROR(INDEX($GD$3:$GM$400,MATCH(ROWS($GN$3:GN113),$GM$3:$GM$400,0),1),"")</f>
        <v/>
      </c>
      <c r="GO113" s="259" t="str">
        <f ca="1">IFERROR(INDEX($GD$3:$GM$400,MATCH(ROWS($GO$3:GO113),$GM$3:$GM$400,0),8),"")</f>
        <v/>
      </c>
      <c r="GP113" s="259" t="str">
        <f ca="1">IFERROR(INDEX($GD$3:$GM$400,MATCH(ROWS($GP$3:GP113),$GM$3:$GM$400,0),9),"")</f>
        <v/>
      </c>
      <c r="GQ113" s="259">
        <f t="shared" ca="1" si="206"/>
        <v>0</v>
      </c>
      <c r="GR113" s="259">
        <f t="shared" ca="1" si="281"/>
        <v>0</v>
      </c>
      <c r="GS113" s="259" t="str">
        <f t="shared" ca="1" si="282"/>
        <v>chiusura del conto</v>
      </c>
      <c r="GT113" s="259" t="str">
        <f ca="1">IFERROR(INDEX($GD$3:$GS$400,MATCH(ROWS($GT$3:GT113),$GM$3:$GM$400,0),16),"")</f>
        <v/>
      </c>
      <c r="GU113" s="259">
        <f ca="1">IF(GQ113&lt;&gt;0,MAX($GU$2:$GU112)+1,0)</f>
        <v>0</v>
      </c>
      <c r="GV113" s="259">
        <f t="shared" ca="1" si="283"/>
        <v>0</v>
      </c>
      <c r="GW113" s="259" t="str">
        <f ca="1">IF(AND(IFERROR(INDEX($GU$3:$GV$400,MATCH(ROWS($GW$3:GW113),$GU$3:$GU$400,0),2),"")&lt;&gt;"",GW114&lt;&gt;""),CONCATENATE(IFERROR(INDEX($GU$3:$GV$400,MATCH(ROWS($GW$3:GW113),$GU$3:$GU$400,0),2),"")," - "),IFERROR(INDEX($GU$3:$GV$400,MATCH(ROWS($GW$3:GW113),$GU$3:$GU$400,0),2),""))</f>
        <v/>
      </c>
      <c r="GX113" s="259">
        <f ca="1">IF(OR(GN113="IVA NS/CREDITO",GN113="IVA NS/DEBITO",GN113="IVA C/ACCONTO",GN113="IMPOSTE C/ACCONTO"),MAX($GX$2:GX112)+1,0)</f>
        <v>0</v>
      </c>
      <c r="GY113" s="259" t="str">
        <f ca="1">IF(AND(IFERROR(INDEX($GN$3:$GX$200,MATCH(ROWS($GY$3:GY113),$GX$3:$GX$200,0),1),"")&lt;&gt;"",GY114&lt;&gt;""),CONCATENATE(IFERROR(INDEX($GN$3:$GX$200,MATCH(ROWS($GY$3:GY113),$GX$3:$GX$200,0),1),"")," - "),IFERROR(INDEX($GN$3:$GX$200,MATCH(ROWS($GY$3:GY113),$GX$3:$GX$200,0),1),""))</f>
        <v/>
      </c>
      <c r="GZ113" s="259" t="s">
        <v>543</v>
      </c>
      <c r="HA113" s="259" t="str">
        <f ca="1">IF(INDIRECT(ADDRESS(8,14,,,"PIANO_DEI_CONTI"))="","BANCA Y C/C",UPPER(INDIRECT(ADDRESS(8,14,,,"PIANO_DEI_CONTI"))))</f>
        <v>BANCA Y C/C</v>
      </c>
      <c r="HB113" s="269" t="s">
        <v>257</v>
      </c>
      <c r="HC113" s="269" t="s">
        <v>277</v>
      </c>
      <c r="HD113" s="269" t="s">
        <v>613</v>
      </c>
      <c r="HE113" s="269" t="s">
        <v>219</v>
      </c>
      <c r="HV113" s="259" t="str">
        <f ca="1">CONCATENATE(IFERROR(INDEX($HS$3:$HT$102,MATCH(ROWS($HV$3:HV113),$HT$3:$HT$102,0),1),""),HR113)</f>
        <v/>
      </c>
      <c r="IC113" s="259">
        <f ca="1">IFERROR(INDEX(PIANO_DEI_CONTI,MATCH(ROWS(DL$3:DL113),$DK$3:DK340,0),2),0)</f>
        <v>0</v>
      </c>
      <c r="ID113" s="259">
        <f t="shared" ca="1" si="288"/>
        <v>0</v>
      </c>
      <c r="IE113" s="259">
        <f t="shared" ca="1" si="289"/>
        <v>0</v>
      </c>
      <c r="IF113" s="259">
        <f t="shared" ca="1" si="290"/>
        <v>0</v>
      </c>
      <c r="IG113" s="259">
        <f t="shared" ca="1" si="324"/>
        <v>0</v>
      </c>
      <c r="IH113" s="259">
        <f ca="1">IF(IG113&lt;&gt;0,MAX($IH$35:IH112)+1,0)</f>
        <v>0</v>
      </c>
      <c r="II113" s="259">
        <f>IF(AD113="costi pluriennali",MAX($II$2:II112)+1,0)</f>
        <v>0</v>
      </c>
      <c r="IJ113" s="259">
        <f>IF($AD113="rettifiche costi pluriennali",MAX($IJ$2:IJ112)+1,0)</f>
        <v>0</v>
      </c>
      <c r="IK113" s="259">
        <f t="shared" si="291"/>
        <v>0</v>
      </c>
      <c r="IL113" s="259" t="str">
        <f t="shared" si="292"/>
        <v/>
      </c>
      <c r="IM113" s="259">
        <f t="shared" ca="1" si="293"/>
        <v>0</v>
      </c>
      <c r="IN113" s="259">
        <f t="shared" ca="1" si="313"/>
        <v>0</v>
      </c>
      <c r="IO113" s="259">
        <f>SUMIFS($IM$3:$IM$200,$IK$3:$IK$200,ROWS($IO$3:IO113))-SUMIFS($IN$3:$IN$200,$IK$3:$IK$200,ROWS($IO$3:IO113))</f>
        <v>0</v>
      </c>
      <c r="IP113" s="259" t="str">
        <f>IF(IO113&lt;0,INDEX($IJ$3:$IL$200,MATCH(ROWS($IP$3:IP113),$IJ$3:$IJ$200,0),3),"")</f>
        <v/>
      </c>
      <c r="IQ113" s="259">
        <f>IF(IP113&lt;&gt;"",MAX($IQ$2:IQ112)+1,0)</f>
        <v>0</v>
      </c>
      <c r="IR113" s="259" t="str">
        <f ca="1">IFERROR(INDEX($IP$3:$IQ$200,MATCH(ROWS($IR$3:IR113),$IQ$3:$IQ$200,0),1),"")</f>
        <v/>
      </c>
      <c r="IS113" s="259" t="str">
        <f t="shared" ca="1" si="294"/>
        <v/>
      </c>
      <c r="IT113" s="259" t="str">
        <f t="shared" ca="1" si="295"/>
        <v/>
      </c>
      <c r="IU113" s="259" t="str">
        <f t="shared" ca="1" si="296"/>
        <v/>
      </c>
      <c r="IV113" s="259" t="str">
        <f t="shared" ca="1" si="297"/>
        <v/>
      </c>
      <c r="IW113" s="259" t="str">
        <f t="shared" ca="1" si="298"/>
        <v/>
      </c>
      <c r="IX113" s="259" t="str">
        <f t="shared" ca="1" si="299"/>
        <v/>
      </c>
      <c r="IY113" s="259" t="str">
        <f t="shared" ca="1" si="300"/>
        <v/>
      </c>
      <c r="IZ113" s="259" t="str">
        <f t="shared" ca="1" si="301"/>
        <v/>
      </c>
      <c r="JA113" s="259" t="str">
        <f t="shared" ca="1" si="302"/>
        <v/>
      </c>
      <c r="JB113" s="259">
        <f t="shared" ca="1" si="210"/>
        <v>0</v>
      </c>
      <c r="JC113" s="259">
        <f t="shared" ca="1" si="351"/>
        <v>0</v>
      </c>
      <c r="JD113" s="259">
        <f t="shared" ca="1" si="352"/>
        <v>0</v>
      </c>
      <c r="JE113" s="259">
        <f ca="1">IFERROR(INDEX(LIBRO_GIORNALE!$N$11:$O$408,MATCH(ROWS($JE$2:JE112),LIBRO_GIORNALE!$O$11:$O$408,0),1),0)</f>
        <v>0</v>
      </c>
      <c r="JF113" s="259" t="str">
        <f t="shared" ca="1" si="304"/>
        <v>0</v>
      </c>
      <c r="JG113" s="259">
        <f t="shared" ca="1" si="305"/>
        <v>0</v>
      </c>
      <c r="JH113" s="259">
        <f ca="1">IF(JJ113&gt;0,0,MAX($JH$2:JH112)+1)</f>
        <v>111</v>
      </c>
      <c r="JI113" s="259">
        <f ca="1">IF(JG113&gt;0,MAX($JI$2:JI112)+1,0)</f>
        <v>0</v>
      </c>
      <c r="JJ113" s="259">
        <f ca="1">IFERROR(INDEX($JG$3:$JI$124,MATCH(ROWS($JJ$3:JJ113),$JI$3:$JI$124,0),1),0)</f>
        <v>0</v>
      </c>
      <c r="JK113" s="259">
        <f t="shared" ca="1" si="306"/>
        <v>0</v>
      </c>
      <c r="JL113" s="259">
        <f t="shared" ca="1" si="307"/>
        <v>111</v>
      </c>
      <c r="JM113" s="259">
        <f t="shared" ca="1" si="353"/>
        <v>0</v>
      </c>
    </row>
    <row r="114" spans="1:273">
      <c r="A114" s="259" t="str">
        <f t="shared" si="211"/>
        <v>19.00</v>
      </c>
      <c r="B114" s="259" t="str">
        <f t="shared" si="212"/>
        <v>CONTI DEI SISTEMI MINORI</v>
      </c>
      <c r="C114" s="259">
        <f t="shared" si="213"/>
        <v>0</v>
      </c>
      <c r="D114" s="259">
        <f t="shared" si="214"/>
        <v>0</v>
      </c>
      <c r="E114" s="259">
        <f t="shared" si="215"/>
        <v>0</v>
      </c>
      <c r="F114" s="259">
        <f t="shared" si="216"/>
        <v>0</v>
      </c>
      <c r="G114" s="259">
        <f t="shared" ca="1" si="217"/>
        <v>0</v>
      </c>
      <c r="H114" s="259">
        <f t="shared" ca="1" si="218"/>
        <v>0</v>
      </c>
      <c r="I114" s="259">
        <f t="shared" ca="1" si="219"/>
        <v>0</v>
      </c>
      <c r="K114" s="259" t="str">
        <f ca="1">IFERROR(IF($I$1=1,INDEX($AA$3:$AS$220,MATCH(ROWS($K$3:K114),$AQ$3:$AQ$220,0),1),IF($I$1=2,INDEX($AA$3:$AS$220,MATCH(ROWS($K$3:K114),$AR$3:$AR$220,0),1),IF($I$1=3,INDEX($AA$3:$AS$220,MATCH(ROWS($K$3:K114),$AS$3:$AS$220,0),1),""))),"")</f>
        <v>MATERIE DI CONSUMO C/ACQUISTI</v>
      </c>
      <c r="L114" s="259">
        <f ca="1">IF(AND($L$1="VISUALIZZA TUTTI I CONTI",K114&lt;&gt;""),MAX(L113:L113)+1,IFERROR(IF($J$1=1,IF(INDEX(PIANO_DEI_CONTI,MATCH($K114,DENOMINAZIONE,0),5)=$L$1,MAX($L$2:L113)+1,0),IF($J$1=2,IF(INDEX(PIANO_DEI_CONTI,MATCH($K114,DENOMINAZIONE,0),7)=$L$1,MAX($L$2:L113)+1,0))),0))</f>
        <v>112</v>
      </c>
      <c r="M114" s="259" t="str">
        <f ca="1">IFERROR(INDEX($K$3:$K$220,MATCH(ROWS($M$3:M114),$L$3:$L$220,0),1),"")</f>
        <v>MATERIE DI CONSUMO C/ACQUISTI</v>
      </c>
      <c r="Q114" s="259" t="str">
        <f ca="1">IF(IFERROR(INDEX($O$3:$P$220,MATCH(ROWS(Q$3:Q114),$P$3:$P$220,0),1),"")=0,"",IFERROR(INDEX($O$3:$P$220,MATCH(ROWS(Q$3:Q114),$P$3:$P$220,0),1),""))</f>
        <v/>
      </c>
      <c r="R114" s="259" t="str">
        <f t="shared" ca="1" si="182"/>
        <v/>
      </c>
      <c r="S114" s="259">
        <f ca="1">IF(IFERROR(MATCH(R114,DENOMINAZIONE_GIORNALE,0),0)&gt;0,MAX(S$2:S113)+1,0)</f>
        <v>0</v>
      </c>
      <c r="T114" s="259" t="str">
        <f ca="1">IFERROR(INDEX($R$3:$S$220,MATCH(ROWS($T$3:T114),$S$3:$S$220,0),1),"")</f>
        <v/>
      </c>
      <c r="U114" s="259">
        <f t="shared" ca="1" si="183"/>
        <v>0</v>
      </c>
      <c r="V114" s="259">
        <f ca="1">IF(IF(U114&lt;&gt;0,MAX($V$2:V113)+1,0)=0,0,IF(U114&lt;&gt;0,MAX($V$2:V113)+1,0))</f>
        <v>0</v>
      </c>
      <c r="W114" s="259" t="str">
        <f t="shared" si="220"/>
        <v/>
      </c>
      <c r="X114" s="259" t="str">
        <f t="shared" si="221"/>
        <v/>
      </c>
      <c r="Y114" s="259">
        <f>IF(W114="",0,MAX($Y$2:Y113)+1)</f>
        <v>0</v>
      </c>
      <c r="Z114" s="259" t="str">
        <f>IFERROR(INDEX($W$3:$Y$220,MATCH(ROWS($Z$2:Z113),$Y$3:$Y$220,0),1),"")</f>
        <v>20.21</v>
      </c>
      <c r="AA114" s="259" t="str">
        <f t="shared" si="222"/>
        <v>SOPRAVVENIENZE ATTIVE</v>
      </c>
      <c r="AB114" s="259" t="str">
        <f t="shared" si="223"/>
        <v>E</v>
      </c>
      <c r="AC114" s="259" t="str">
        <f t="shared" si="224"/>
        <v>A</v>
      </c>
      <c r="AD114" s="259" t="str">
        <f t="shared" si="225"/>
        <v>RICAVI D'ESERCIZIO</v>
      </c>
      <c r="AE114" s="259" t="str">
        <f t="shared" si="226"/>
        <v>SE AVERE</v>
      </c>
      <c r="AF114" s="259" t="str">
        <f t="shared" si="227"/>
        <v>VALORE DELLA PRODUZIONE</v>
      </c>
      <c r="AG114" s="259">
        <f t="shared" ca="1" si="228"/>
        <v>0</v>
      </c>
      <c r="AH114" s="259">
        <f t="shared" ca="1" si="229"/>
        <v>1</v>
      </c>
      <c r="AI114" s="259">
        <f t="shared" ca="1" si="230"/>
        <v>1</v>
      </c>
      <c r="AJ114" s="259" t="str">
        <f t="shared" si="231"/>
        <v>20</v>
      </c>
      <c r="AK114" s="259" t="str">
        <f t="shared" si="232"/>
        <v>19</v>
      </c>
      <c r="AL114" s="259">
        <f>IF(AK114&lt;&gt;"",MAX($AL$2:AL113)+1,0)</f>
        <v>17</v>
      </c>
      <c r="AM114" s="259" t="str">
        <f>IFERROR(INDEX($AK$3:$AL$220,MATCH(ROWS($AM$3:AM114),$AL$3:$AL$220,0),1),"")</f>
        <v/>
      </c>
      <c r="AN114" s="259" t="str">
        <f t="shared" si="233"/>
        <v/>
      </c>
      <c r="AO114" s="259" t="str">
        <f t="shared" si="234"/>
        <v/>
      </c>
      <c r="AP114" s="259" t="str">
        <f t="shared" si="235"/>
        <v>VALORE DELLA PRODUZIONE</v>
      </c>
      <c r="AQ114" s="259">
        <f ca="1">IF(OR(AG114=0,AG114=""),0,MAX(AQ$2:AQ113)+1)</f>
        <v>0</v>
      </c>
      <c r="AR114" s="259">
        <f ca="1">IF(OR(AH114=0,AH114=""),0,MAX(AR$2:AR113)+1)</f>
        <v>78</v>
      </c>
      <c r="AS114" s="259">
        <f ca="1">IF(OR(AI114=0,AI114=""),0,MAX(AS$2:AS113)+1)</f>
        <v>108</v>
      </c>
      <c r="AT114" s="259" t="str">
        <f ca="1">IFERROR(INDEX($AD$3:$AS$220,MATCH(ROWS(AT$3:AT114),AQ$3:AQ$220,0),1),"")</f>
        <v/>
      </c>
      <c r="AU114" s="259" t="str">
        <f ca="1">IFERROR(INDEX($AD$3:$AS$220,MATCH(ROWS(AU$3:AU114),AR$3:AR$220,0),1),"")</f>
        <v>COSTI D'ESERCIZIO</v>
      </c>
      <c r="AV114" s="259" t="str">
        <f ca="1">IFERROR(INDEX($AD$3:$AS$220,MATCH(ROWS(AV$3:AV114),AS$3:AS$220,0),1),"")</f>
        <v>COSTI D'ESERCIZIO</v>
      </c>
      <c r="AW114" s="259" t="str">
        <f ca="1">IFERROR(INDEX($AP$3:$AS$220,MATCH(ROWS(AW$3:AW114),AQ$3:AQ$220,0),1),"")</f>
        <v/>
      </c>
      <c r="AX114" s="259" t="str">
        <f ca="1">IFERROR(INDEX($AP$3:$AS$220,MATCH(ROWS(AX$3:AX114),AR$3:AR$220,0),1),"")</f>
        <v>ONERI DIVERSI</v>
      </c>
      <c r="AY114" s="259" t="str">
        <f ca="1">IFERROR(INDEX($AP$3:$AS$220,MATCH(ROWS(AY$3:AY114),AS$3:AS$220,0),1),"")</f>
        <v>COSTI PER MERCI E MATERIE DI CONSUMO</v>
      </c>
      <c r="AZ114" s="259" t="str">
        <f t="shared" si="339"/>
        <v>12 V.I.</v>
      </c>
      <c r="BA114" s="259">
        <f t="shared" ca="1" si="338"/>
        <v>0</v>
      </c>
      <c r="BB114" s="259">
        <f t="shared" ca="1" si="340"/>
        <v>0</v>
      </c>
      <c r="BC114" s="259">
        <f t="shared" ca="1" si="341"/>
        <v>0</v>
      </c>
      <c r="BD114" s="259">
        <f t="shared" ca="1" si="342"/>
        <v>0</v>
      </c>
      <c r="BE114" s="259">
        <f t="shared" ca="1" si="343"/>
        <v>0</v>
      </c>
      <c r="BG114" s="259" t="str">
        <f t="shared" ca="1" si="185"/>
        <v/>
      </c>
      <c r="BH114" s="259">
        <f ca="1">IF(IFERROR(MATCH(BG114,DENOMINAZIONE_GIORNALE,0),0)&gt;0,MAX(BH$2:BH113)+1,0)</f>
        <v>0</v>
      </c>
      <c r="BI114" s="259" t="str">
        <f ca="1">IFERROR(INDEX($BG$3:$BH$220,MATCH(ROWS($BI$3:BI114),$BH$3:$BH$220,0),1),"")</f>
        <v/>
      </c>
      <c r="BJ114" s="259" t="str">
        <f t="shared" ca="1" si="186"/>
        <v/>
      </c>
      <c r="BK114" s="259" t="str">
        <f ca="1">IF(IF(BJ114&lt;&gt;"",MAX($BK$2:BK113)+1,0)=0,"",IF(BJ114&lt;&gt;"",MAX($BK$2:BK113)+1,0))</f>
        <v/>
      </c>
      <c r="BL114" s="259" t="str">
        <f ca="1">IFERROR(INDEX($T$3:$U$220, MATCH(ROWS(BL$3:BL114),$V$3:$V$220,0),1),"")</f>
        <v/>
      </c>
      <c r="BM114" s="259" t="str">
        <f ca="1">IFERROR(INDEX($T$3:$U$220, MATCH(ROWS(BM$3:BM114),$V$3:$V$220,0),2),"")</f>
        <v/>
      </c>
      <c r="BN114" s="259" t="str">
        <f ca="1">IF(IFERROR(INDEX($BI$3:$BJ$220,MATCH(ROWS(BN$3:BN114),$BK$3:$BK$220,0),1),"")="PATRIMONIO NETTO","",IFERROR(INDEX($BI$3:$BJ$220,MATCH(ROWS(BN$3:BN114),$BK$3:$BK$220,0),1),""))</f>
        <v/>
      </c>
      <c r="BO114" s="259" t="str">
        <f ca="1">IFERROR(INDEX($BI$3:$BJ$220,MATCH(ROWS(BO$3:BO114),$BK$3:$BK$220,0),2),"")</f>
        <v/>
      </c>
      <c r="BP114" s="259">
        <f ca="1">IF(BN114&lt;&gt;"",MAX(BP$2:$BP113)+1,0)</f>
        <v>0</v>
      </c>
      <c r="BQ114" s="259" t="str">
        <f ca="1">IFERROR(INDEX($BN$3:$BO$200,MATCH(ROWS(BQ$3:BQ114),$BP$3:$BP$220,0),1),"")</f>
        <v/>
      </c>
      <c r="BR114" s="259" t="str">
        <f ca="1">IFERROR(INDEX($BN$3:$BO$220,MATCH(ROWS(BR$3:BR114),$BP$3:$BP$220,0),2),"")</f>
        <v/>
      </c>
      <c r="BS114" s="259" t="str">
        <f ca="1">IFERROR(IF(OR(INDEX($T$3:$U$220,MATCH(ROWS(BL$3:BL114),$V$3:$V$220,0),1)="PRELEVAMENTI EXTRAGESTIONE",INDEX($T$3:$U$220,MATCH(ROWS(BL$3:BL114),$V$3:$V$220,0),1)="TITOLARE C/RITENUTE SUBITE"),"",INDEX($T$3:$U$220,MATCH(ROWS(BL$3:BL114),$V$3:$V$220,0),1)),"")</f>
        <v/>
      </c>
      <c r="BT114" s="259">
        <f t="shared" ca="1" si="238"/>
        <v>0</v>
      </c>
      <c r="BU114" s="259">
        <f ca="1">IF(BS114&lt;&gt;"",MAX(BU$2:BU113)+1,0)</f>
        <v>0</v>
      </c>
      <c r="BV114" s="259" t="str">
        <f ca="1">IFERROR(INDEX($BS$3:$BT$223,MATCH(ROWS(BV$3:BV114),$BU$3:$BU$223,0),1),"")</f>
        <v/>
      </c>
      <c r="BW114" s="259">
        <f t="shared" ca="1" si="239"/>
        <v>0</v>
      </c>
      <c r="CB114" s="259" t="str">
        <f ca="1">IFERROR(IF(OR($BB$1&lt;&gt;$BD$1,$BC$1&lt;&gt;$BE$1,$DS$231&lt;&gt;$DT$231,$DU$231&lt;&gt;$DV$231,$EO$25&lt;&gt;0,$EO$26&lt;&gt;0),INDEX($BI$3:$BK$220,MATCH(ROWS($CB$3:CB114),$BK$3:$BK$220,0),1),CONCATENATE(BQ114,BX114)),"")</f>
        <v/>
      </c>
      <c r="CC114" s="259" t="str">
        <f t="shared" ca="1" si="243"/>
        <v/>
      </c>
      <c r="CD114" s="259" t="str">
        <f t="shared" ca="1" si="187"/>
        <v/>
      </c>
      <c r="CE114" s="259">
        <f ca="1">IF(IFERROR(MATCH(CD114,DENOMINAZIONE_GIORNALE,0),0)&gt;0,MAX(CE$2:CE113)+1,0)</f>
        <v>0</v>
      </c>
      <c r="CF114" s="259" t="str">
        <f ca="1">IFERROR(INDEX($CD$3:$CE$220,MATCH(ROWS($CF$3:CF114),$CE$3:$CE$220,0),1),"")</f>
        <v/>
      </c>
      <c r="CG114" s="259">
        <f t="shared" ca="1" si="188"/>
        <v>0</v>
      </c>
      <c r="CH114" s="259" t="str">
        <f ca="1">IF(IF(CG114&lt;&gt;0,MAX($CH$2:CH113)+1,0)=0,"",IF(CG114&lt;&gt;"",MAX($CH$2:CH113)+1,0))</f>
        <v/>
      </c>
      <c r="CI114" s="259" t="str">
        <f ca="1">IFERROR(INDEX($CF$3:$CG$220,MATCH(ROWS($CI$3:CI114),$CH$3:$CH$220,0),1),"")</f>
        <v/>
      </c>
      <c r="CJ114" s="259" t="str">
        <f t="shared" ca="1" si="244"/>
        <v/>
      </c>
      <c r="CK114" s="259" t="str">
        <f t="shared" ca="1" si="189"/>
        <v>SOPRAVVENIENZE ATTIVE</v>
      </c>
      <c r="CL114" s="259">
        <f ca="1">IF(IFERROR(MATCH(CK114,DENOMINAZIONE_GIORNALE,0),0)&gt;0,MAX(CL$2:CL113)+1,0)</f>
        <v>0</v>
      </c>
      <c r="CM114" s="259" t="str">
        <f ca="1">IFERROR(INDEX($CK$3:$CL$220,MATCH(ROWS($CM$3:CM114),$CL$3:$CL$220,0),1),"")</f>
        <v/>
      </c>
      <c r="CN114" s="259" t="str">
        <f t="shared" ca="1" si="190"/>
        <v/>
      </c>
      <c r="CO114" s="259">
        <f ca="1">IF(IF(CN114&lt;&gt;0,MAX($CO$2:CO113)+1,0)=0,"",IF(CN114&lt;&gt;"",MAX($CO$2:CO113)+1,0))</f>
        <v>0</v>
      </c>
      <c r="CP114" s="259" t="str">
        <f ca="1">IFERROR(INDEX($CM$3:$CN$220,MATCH(ROWS(CP$3:CP114),$CO$3:$CO$220,0),1),"")</f>
        <v/>
      </c>
      <c r="CQ114" s="259" t="str">
        <f ca="1">IFERROR(INDEX($CM$3:$CN$220,MATCH(ROWS(CQ$3:CQ114),$CO$3:$CO$220,0),2),"")</f>
        <v/>
      </c>
      <c r="CS114" s="259">
        <f t="shared" ca="1" si="192"/>
        <v>0</v>
      </c>
      <c r="CT114" s="259">
        <f t="shared" ca="1" si="193"/>
        <v>0</v>
      </c>
      <c r="CU114" s="259">
        <f ca="1">IF(OR(CS114&gt;0,CT114&gt;0),MAX($CU$2:CU113)+1,0)</f>
        <v>0</v>
      </c>
      <c r="CV114" s="259" t="str">
        <f ca="1">IFERROR(INDEX(PIANO_DEI_CONTI,MATCH(ROWS($CV$3:CV114),$CU$3:$CU$200,0),2),"")</f>
        <v/>
      </c>
      <c r="CW114" s="259">
        <f ca="1">IFERROR(IF(CV114&lt;&gt;"",MAX($CW$2:CW113)+1,0),0)</f>
        <v>0</v>
      </c>
      <c r="CX114" s="259">
        <f t="shared" ca="1" si="355"/>
        <v>7</v>
      </c>
      <c r="CY114" s="259" t="str">
        <f t="shared" ca="1" si="337"/>
        <v>MASTRO</v>
      </c>
      <c r="CZ114" s="259" t="e">
        <f t="shared" ca="1" si="357"/>
        <v>#N/A</v>
      </c>
      <c r="DA114" s="259" t="str">
        <f t="shared" ref="DA114:DA127" ca="1" si="362">IFERROR(INDEX(LIBRO_GIORNALE,CZ114,1),"")</f>
        <v/>
      </c>
      <c r="DB114" s="259" t="str">
        <f t="shared" ca="1" si="358"/>
        <v/>
      </c>
      <c r="DC114" s="259" t="str">
        <f t="shared" ca="1" si="359"/>
        <v/>
      </c>
      <c r="DD114" s="259" t="str">
        <f t="shared" ca="1" si="360"/>
        <v/>
      </c>
      <c r="DE114" s="259" t="str">
        <f t="shared" ca="1" si="361"/>
        <v/>
      </c>
      <c r="DF114" s="259">
        <f ca="1">IF(AND(CX114=$DE$2,$DF$2&lt;&gt;0),0,IF(AND(DB114&lt;&gt;"",OR(DB113&lt;&gt;"",DB115&lt;&gt;"")),MAX($DF$2:DF113)+1,0))</f>
        <v>0</v>
      </c>
      <c r="DG114" s="259" t="str">
        <f>IF(IF(LIBRO_GIORNALE!E22="","",IFERROR(INDEX(PIANO_DEI_CONTI,MATCH(BB114,DENOMINAZIONE,0),1),0))=0,"",IF(LIBRO_GIORNALE!E22="","",IFERROR(INDEX(PIANO_DEI_CONTI,MATCH(BB114,DENOMINAZIONE,0),1),0)))</f>
        <v/>
      </c>
      <c r="DH114" s="259">
        <f ca="1">IFERROR(IF($J$1=1,IF(INDEX(PIANO_DEI_CONTI,MATCH($K114,DENOMINAZIONE,0),5)=$DF$1,MAX($DH$2:DH113)+1,0),IF($J$1=2,IF(INDEX(PIANO_DEI_CONTI,MATCH($K114,DENOMINAZIONE,0),7)=$DF$1,MAX($DH$2:DH113)+1,0))),0)</f>
        <v>0</v>
      </c>
      <c r="DI114" s="259">
        <f ca="1">IFERROR(INDEX($K$3:$K$220,MATCH(ROWS($DI$3:DI114),$DH$3:$DH$220,0),1),0)</f>
        <v>0</v>
      </c>
      <c r="DJ114" s="259">
        <f t="shared" ca="1" si="194"/>
        <v>0</v>
      </c>
      <c r="DK114" s="259">
        <f ca="1">IF(DJ114=0,0,MAX(DK$2:DK113)+1)</f>
        <v>0</v>
      </c>
      <c r="DL114" s="259">
        <f ca="1">IFERROR(INDEX(PIANO_DEI_CONTI,MATCH(ROWS(DL$3:DL114),$DK$3:DK341,0),2),0)</f>
        <v>0</v>
      </c>
      <c r="DM114" s="259">
        <f t="shared" ca="1" si="195"/>
        <v>0</v>
      </c>
      <c r="DN114" s="259">
        <f t="shared" ca="1" si="196"/>
        <v>0</v>
      </c>
      <c r="DO114" s="259">
        <f t="shared" ca="1" si="245"/>
        <v>0</v>
      </c>
      <c r="DP114" s="259">
        <f t="shared" ca="1" si="246"/>
        <v>0</v>
      </c>
      <c r="DQ114" s="259">
        <f ca="1">IF(OR($DQ$1="TOTALI",$DQ$1="TOTALI ED ECCEDENZE"),IF(OR(DM114&gt;0,DN114&gt;0),MAX(DQ$2:DQ113)+1,0),IF($DQ$1="ECCEDENZE",IF(OR(DO114&gt;0,DP114&gt;0),MAX(DQ$2:DQ113)+1,0),""))</f>
        <v>0</v>
      </c>
      <c r="DR114" s="259" t="str">
        <f ca="1">IFERROR(INDEX($DL$3:$DQ$230,MATCH(ROWS(DR$3:DR114),$DQ$3:$DQ$230,0),1),"")</f>
        <v/>
      </c>
      <c r="DS114" s="259" t="str">
        <f t="shared" ca="1" si="247"/>
        <v/>
      </c>
      <c r="DT114" s="259" t="str">
        <f t="shared" ca="1" si="248"/>
        <v/>
      </c>
      <c r="DU114" s="259" t="str">
        <f t="shared" ca="1" si="249"/>
        <v/>
      </c>
      <c r="DV114" s="259" t="str">
        <f t="shared" ca="1" si="250"/>
        <v/>
      </c>
      <c r="DW114" s="259">
        <f t="shared" ca="1" si="251"/>
        <v>0</v>
      </c>
      <c r="DX114" s="259" t="str">
        <f t="shared" ca="1" si="252"/>
        <v/>
      </c>
      <c r="DY114" s="259" t="str">
        <f t="shared" ca="1" si="253"/>
        <v/>
      </c>
      <c r="DZ114" s="259" t="str">
        <f t="shared" ca="1" si="254"/>
        <v/>
      </c>
      <c r="EA114" s="259">
        <f t="shared" ca="1" si="255"/>
        <v>112</v>
      </c>
      <c r="EB114" s="259" t="s">
        <v>367</v>
      </c>
      <c r="ED114" s="259">
        <f t="shared" ca="1" si="197"/>
        <v>0</v>
      </c>
      <c r="EH114" s="259" t="str">
        <f t="shared" ca="1" si="256"/>
        <v/>
      </c>
      <c r="EI114" s="260" t="b">
        <f t="shared" ca="1" si="310"/>
        <v>0</v>
      </c>
      <c r="EJ114" s="260" t="b">
        <f t="shared" ca="1" si="311"/>
        <v>0</v>
      </c>
      <c r="EK114" s="260" t="b">
        <f t="shared" ca="1" si="312"/>
        <v>0</v>
      </c>
      <c r="EL114" s="259">
        <f t="shared" si="257"/>
        <v>112</v>
      </c>
      <c r="EM114" s="259">
        <f ca="1">IF(AND(BA114&gt;0,BA114&lt;=$EM$1),MAX($EM$2:EM113)+1,0)</f>
        <v>0</v>
      </c>
      <c r="EN114" s="259">
        <f t="shared" ca="1" si="258"/>
        <v>114</v>
      </c>
      <c r="EP114" s="259" t="str">
        <f t="shared" ca="1" si="200"/>
        <v/>
      </c>
      <c r="EQ114" s="259">
        <f t="shared" ca="1" si="201"/>
        <v>0</v>
      </c>
      <c r="ER114" s="259">
        <f ca="1">IF(ISNA(EQ114),MAX(ER$2:ER113)+1,0)</f>
        <v>0</v>
      </c>
      <c r="ES114" s="259" t="str">
        <f t="shared" ca="1" si="259"/>
        <v/>
      </c>
      <c r="ET114" s="259" t="str">
        <f ca="1">IFERROR(UPPER(INDEX($ER$3:$ES$500,MATCH(ROWS(ET$3:ET114),$ER$3:$ER$500,0),2)),"")</f>
        <v/>
      </c>
      <c r="EW114" s="259">
        <f t="shared" ca="1" si="344"/>
        <v>1</v>
      </c>
      <c r="EX114" s="259">
        <v>12</v>
      </c>
      <c r="EY114" s="259">
        <f t="shared" ca="1" si="345"/>
        <v>0</v>
      </c>
      <c r="EZ114" s="259">
        <f t="shared" ca="1" si="346"/>
        <v>0</v>
      </c>
      <c r="FA114" s="259">
        <f t="shared" ca="1" si="347"/>
        <v>0</v>
      </c>
      <c r="FB114" s="259">
        <f t="shared" ca="1" si="348"/>
        <v>0</v>
      </c>
      <c r="FC114" s="259">
        <f t="shared" ca="1" si="349"/>
        <v>0</v>
      </c>
      <c r="FD114" s="259">
        <f t="shared" ca="1" si="202"/>
        <v>0</v>
      </c>
      <c r="FE114" s="259" t="str">
        <f t="shared" ca="1" si="203"/>
        <v/>
      </c>
      <c r="FF114" s="259" t="str">
        <f t="shared" ca="1" si="350"/>
        <v/>
      </c>
      <c r="FG114" s="259" t="str">
        <f t="shared" si="335"/>
        <v/>
      </c>
      <c r="FH114" s="259">
        <f t="shared" ca="1" si="334"/>
        <v>0</v>
      </c>
      <c r="FI114" s="259">
        <f t="shared" ca="1" si="204"/>
        <v>0</v>
      </c>
      <c r="FJ114" s="259">
        <f t="shared" ca="1" si="336"/>
        <v>0</v>
      </c>
      <c r="FK114" s="259">
        <f t="shared" ca="1" si="267"/>
        <v>0</v>
      </c>
      <c r="FL114" s="259">
        <f ca="1">IF(OR(FJ114&gt;0,FK114&gt;0),MAX($FL$2:FL113)+1,0)</f>
        <v>0</v>
      </c>
      <c r="FM114" s="259">
        <f t="shared" ca="1" si="205"/>
        <v>0</v>
      </c>
      <c r="FN114" s="259">
        <f ca="1">IF(FM114&lt;0,MAX($FN$2:FN113)+1,0)</f>
        <v>0</v>
      </c>
      <c r="FO114" s="259" t="str">
        <f t="shared" ca="1" si="268"/>
        <v/>
      </c>
      <c r="FP114" s="259" t="str">
        <f ca="1">IFERROR(INDEX($FN$3:$FO$400,MATCH(ROWS($FP$3:FP114),$FN$3:$FN$400,0),2),"")</f>
        <v/>
      </c>
      <c r="FQ114" s="259">
        <f>IF(AE114="SE AVERE",MAX($FQ$2:FQ113)+1,"")</f>
        <v>8</v>
      </c>
      <c r="FR114" s="259" t="str">
        <f>IF(AE114="SE DARE",MAX($FR$2:FR113)+1,"")</f>
        <v/>
      </c>
      <c r="FS114" s="259" t="str">
        <f ca="1">IF(AND(AE114="SP DARE",AA114&lt;&gt;$FS$1,AA114&lt;&gt;$FT$1),MAX($FS$2:FS113)+1,IF(AND(GQ114="SP DARE",AA114&lt;&gt;$FS$1,AA114&lt;&gt;$FT$1),MAX($FS$2:FS113)+1,""))</f>
        <v/>
      </c>
      <c r="FT114" s="259" t="str">
        <f ca="1">IF(AND(AE114="SP AVERE",AA114&lt;&gt;$FU$1),MAX($FT$2:FT113)+1,IF(AND(GQ114="SP AVERE",AA114&lt;&gt;$FU$1),MAX($FT$2:FT113)+1,""))</f>
        <v/>
      </c>
      <c r="FU114" s="259">
        <f t="shared" ca="1" si="269"/>
        <v>8</v>
      </c>
      <c r="FV114" s="259" t="str">
        <f t="shared" si="270"/>
        <v>SOPRAVVENIENZE ATTIVE</v>
      </c>
      <c r="FW114" s="259" t="str">
        <f ca="1">IFERROR(INDEX($FU$3:$FV$500,MATCH(ROWS($FW$3:FW114),$FU$3:$FU$500,0),2),0)</f>
        <v>CAMBIALI ALLO SCONTO</v>
      </c>
      <c r="FX114" s="259">
        <f t="shared" ca="1" si="271"/>
        <v>112</v>
      </c>
      <c r="FY114" s="259">
        <f t="shared" ca="1" si="272"/>
        <v>0</v>
      </c>
      <c r="FZ114" s="259">
        <f ca="1">IF(FY114&gt;0,MAX($FZ$2:FZ113)+1,0)</f>
        <v>0</v>
      </c>
      <c r="GA114" s="259">
        <f ca="1">IFERROR(INDEX($FY$3:$FZ$500,MATCH(ROWS($GA$3:GA114),$FZ$3:$FZ$500,0),1),0)</f>
        <v>0</v>
      </c>
      <c r="GC114" s="259">
        <f t="shared" ca="1" si="273"/>
        <v>112</v>
      </c>
      <c r="GD114" s="259" t="str">
        <f t="shared" ca="1" si="274"/>
        <v>CAMBIALI ALLO SCONTO</v>
      </c>
      <c r="GG114" s="259">
        <f t="shared" ca="1" si="275"/>
        <v>0</v>
      </c>
      <c r="GH114" s="259">
        <f t="shared" ca="1" si="276"/>
        <v>0</v>
      </c>
      <c r="GI114" s="259">
        <f t="shared" ca="1" si="277"/>
        <v>0</v>
      </c>
      <c r="GJ114" s="259">
        <f t="shared" ca="1" si="278"/>
        <v>0</v>
      </c>
      <c r="GK114" s="259">
        <f t="shared" ca="1" si="279"/>
        <v>0</v>
      </c>
      <c r="GL114" s="259">
        <f t="shared" ca="1" si="280"/>
        <v>0</v>
      </c>
      <c r="GM114" s="259">
        <f ca="1">IF(OR(GK114&gt;0,GL114&gt;0),MAX($GM$2:GM113)+1,0)</f>
        <v>0</v>
      </c>
      <c r="GN114" s="259" t="str">
        <f ca="1">IFERROR(INDEX($GD$3:$GM$400,MATCH(ROWS($GN$3:GN114),$GM$3:$GM$400,0),1),"")</f>
        <v/>
      </c>
      <c r="GO114" s="259" t="str">
        <f ca="1">IFERROR(INDEX($GD$3:$GM$400,MATCH(ROWS($GO$3:GO114),$GM$3:$GM$400,0),8),"")</f>
        <v/>
      </c>
      <c r="GP114" s="259" t="str">
        <f ca="1">IFERROR(INDEX($GD$3:$GM$400,MATCH(ROWS($GP$3:GP114),$GM$3:$GM$400,0),9),"")</f>
        <v/>
      </c>
      <c r="GQ114" s="259">
        <f t="shared" ca="1" si="206"/>
        <v>0</v>
      </c>
      <c r="GR114" s="259">
        <f t="shared" ca="1" si="281"/>
        <v>0</v>
      </c>
      <c r="GS114" s="259" t="str">
        <f t="shared" ca="1" si="282"/>
        <v>chiusura del conto</v>
      </c>
      <c r="GT114" s="259" t="str">
        <f ca="1">IFERROR(INDEX($GD$3:$GS$400,MATCH(ROWS($GT$3:GT114),$GM$3:$GM$400,0),16),"")</f>
        <v/>
      </c>
      <c r="GU114" s="259">
        <f ca="1">IF(GQ114&lt;&gt;0,MAX($GU$2:$GU113)+1,0)</f>
        <v>0</v>
      </c>
      <c r="GV114" s="259">
        <f t="shared" ca="1" si="283"/>
        <v>0</v>
      </c>
      <c r="GW114" s="259" t="str">
        <f ca="1">IF(AND(IFERROR(INDEX($GU$3:$GV$400,MATCH(ROWS($GW$3:GW114),$GU$3:$GU$400,0),2),"")&lt;&gt;"",GW115&lt;&gt;""),CONCATENATE(IFERROR(INDEX($GU$3:$GV$400,MATCH(ROWS($GW$3:GW114),$GU$3:$GU$400,0),2),"")," - "),IFERROR(INDEX($GU$3:$GV$400,MATCH(ROWS($GW$3:GW114),$GU$3:$GU$400,0),2),""))</f>
        <v/>
      </c>
      <c r="GX114" s="259">
        <f ca="1">IF(OR(GN114="IVA NS/CREDITO",GN114="IVA NS/DEBITO",GN114="IVA C/ACCONTO",GN114="IMPOSTE C/ACCONTO"),MAX($GX$2:GX113)+1,0)</f>
        <v>0</v>
      </c>
      <c r="GY114" s="259" t="str">
        <f ca="1">IF(AND(IFERROR(INDEX($GN$3:$GX$200,MATCH(ROWS($GY$3:GY114),$GX$3:$GX$200,0),1),"")&lt;&gt;"",GY115&lt;&gt;""),CONCATENATE(IFERROR(INDEX($GN$3:$GX$200,MATCH(ROWS($GY$3:GY114),$GX$3:$GX$200,0),1),"")," - "),IFERROR(INDEX($GN$3:$GX$200,MATCH(ROWS($GY$3:GY114),$GX$3:$GX$200,0),1),""))</f>
        <v/>
      </c>
      <c r="GZ114" s="259" t="s">
        <v>544</v>
      </c>
      <c r="HA114" s="270" t="s">
        <v>545</v>
      </c>
      <c r="HV114" s="259" t="str">
        <f ca="1">CONCATENATE(IFERROR(INDEX($HS$3:$HT$102,MATCH(ROWS($HV$3:HV114),$HT$3:$HT$102,0),1),""),HR114)</f>
        <v/>
      </c>
      <c r="IC114" s="259">
        <f ca="1">IFERROR(INDEX(PIANO_DEI_CONTI,MATCH(ROWS(DL$3:DL114),$DK$3:DK341,0),2),0)</f>
        <v>0</v>
      </c>
      <c r="ID114" s="259">
        <f t="shared" ca="1" si="288"/>
        <v>0</v>
      </c>
      <c r="IE114" s="259">
        <f t="shared" ca="1" si="289"/>
        <v>0</v>
      </c>
      <c r="IF114" s="259">
        <f t="shared" ca="1" si="290"/>
        <v>0</v>
      </c>
      <c r="IG114" s="259">
        <f t="shared" ca="1" si="324"/>
        <v>0</v>
      </c>
      <c r="IH114" s="259">
        <f ca="1">IF(IG114&lt;&gt;0,MAX($IH$35:IH113)+1,0)</f>
        <v>0</v>
      </c>
      <c r="II114" s="259">
        <f>IF(AD114="costi pluriennali",MAX($II$2:II113)+1,0)</f>
        <v>0</v>
      </c>
      <c r="IJ114" s="259">
        <f>IF($AD114="rettifiche costi pluriennali",MAX($IJ$2:IJ113)+1,0)</f>
        <v>0</v>
      </c>
      <c r="IK114" s="259">
        <f t="shared" si="291"/>
        <v>0</v>
      </c>
      <c r="IL114" s="259" t="str">
        <f t="shared" si="292"/>
        <v/>
      </c>
      <c r="IM114" s="259">
        <f t="shared" ca="1" si="293"/>
        <v>0</v>
      </c>
      <c r="IN114" s="259">
        <f t="shared" ca="1" si="313"/>
        <v>0</v>
      </c>
      <c r="IO114" s="259">
        <f>SUMIFS($IM$3:$IM$200,$IK$3:$IK$200,ROWS($IO$3:IO114))-SUMIFS($IN$3:$IN$200,$IK$3:$IK$200,ROWS($IO$3:IO114))</f>
        <v>0</v>
      </c>
      <c r="IP114" s="259" t="str">
        <f>IF(IO114&lt;0,INDEX($IJ$3:$IL$200,MATCH(ROWS($IP$3:IP114),$IJ$3:$IJ$200,0),3),"")</f>
        <v/>
      </c>
      <c r="IQ114" s="259">
        <f>IF(IP114&lt;&gt;"",MAX($IQ$2:IQ113)+1,0)</f>
        <v>0</v>
      </c>
      <c r="IR114" s="259" t="str">
        <f ca="1">IFERROR(INDEX($IP$3:$IQ$200,MATCH(ROWS($IR$3:IR114),$IQ$3:$IQ$200,0),1),"")</f>
        <v/>
      </c>
      <c r="IS114" s="259" t="str">
        <f t="shared" ca="1" si="294"/>
        <v/>
      </c>
      <c r="IT114" s="259" t="str">
        <f t="shared" ca="1" si="295"/>
        <v/>
      </c>
      <c r="IU114" s="259" t="str">
        <f t="shared" ca="1" si="296"/>
        <v/>
      </c>
      <c r="IV114" s="259" t="str">
        <f t="shared" ca="1" si="297"/>
        <v/>
      </c>
      <c r="IW114" s="259" t="str">
        <f t="shared" ca="1" si="298"/>
        <v/>
      </c>
      <c r="IX114" s="259" t="str">
        <f t="shared" ca="1" si="299"/>
        <v/>
      </c>
      <c r="IY114" s="259" t="str">
        <f t="shared" ca="1" si="300"/>
        <v/>
      </c>
      <c r="IZ114" s="259" t="str">
        <f t="shared" ca="1" si="301"/>
        <v/>
      </c>
      <c r="JA114" s="259" t="str">
        <f t="shared" ca="1" si="302"/>
        <v/>
      </c>
      <c r="JB114" s="259">
        <f t="shared" ca="1" si="210"/>
        <v>0</v>
      </c>
      <c r="JC114" s="259">
        <f t="shared" ca="1" si="351"/>
        <v>0</v>
      </c>
      <c r="JD114" s="259">
        <f t="shared" ca="1" si="352"/>
        <v>0</v>
      </c>
      <c r="JE114" s="259">
        <f ca="1">IFERROR(INDEX(LIBRO_GIORNALE!$N$11:$O$408,MATCH(ROWS($JE$2:JE113),LIBRO_GIORNALE!$O$11:$O$408,0),1),0)</f>
        <v>0</v>
      </c>
      <c r="JF114" s="259" t="str">
        <f t="shared" ca="1" si="304"/>
        <v>0</v>
      </c>
      <c r="JG114" s="259">
        <f t="shared" ca="1" si="305"/>
        <v>0</v>
      </c>
      <c r="JH114" s="259">
        <f ca="1">IF(JJ114&gt;0,0,MAX($JH$2:JH113)+1)</f>
        <v>112</v>
      </c>
      <c r="JI114" s="259">
        <f ca="1">IF(JG114&gt;0,MAX($JI$2:JI113)+1,0)</f>
        <v>0</v>
      </c>
      <c r="JJ114" s="259">
        <f ca="1">IFERROR(INDEX($JG$3:$JI$124,MATCH(ROWS($JJ$3:JJ114),$JI$3:$JI$124,0),1),0)</f>
        <v>0</v>
      </c>
      <c r="JK114" s="259">
        <f t="shared" ca="1" si="306"/>
        <v>0</v>
      </c>
      <c r="JL114" s="259">
        <f t="shared" ca="1" si="307"/>
        <v>112</v>
      </c>
      <c r="JM114" s="259">
        <f t="shared" ca="1" si="353"/>
        <v>0</v>
      </c>
    </row>
    <row r="115" spans="1:273">
      <c r="A115" s="259" t="str">
        <f t="shared" si="211"/>
        <v>19.01</v>
      </c>
      <c r="B115" s="259" t="str">
        <f t="shared" si="212"/>
        <v>BENI DI TERZI</v>
      </c>
      <c r="C115" s="259">
        <f t="shared" si="213"/>
        <v>0</v>
      </c>
      <c r="D115" s="259" t="str">
        <f t="shared" si="214"/>
        <v>D</v>
      </c>
      <c r="E115" s="259" t="str">
        <f t="shared" si="215"/>
        <v>CONTI D'ORDINE</v>
      </c>
      <c r="F115" s="259">
        <f t="shared" si="216"/>
        <v>0</v>
      </c>
      <c r="G115" s="259">
        <f t="shared" ca="1" si="217"/>
        <v>0</v>
      </c>
      <c r="H115" s="259">
        <f t="shared" ca="1" si="218"/>
        <v>0</v>
      </c>
      <c r="I115" s="259">
        <f t="shared" ca="1" si="219"/>
        <v>1</v>
      </c>
      <c r="K115" s="259" t="str">
        <f ca="1">IFERROR(IF($I$1=1,INDEX($AA$3:$AS$220,MATCH(ROWS($K$3:K115),$AQ$3:$AQ$220,0),1),IF($I$1=2,INDEX($AA$3:$AS$220,MATCH(ROWS($K$3:K115),$AR$3:$AR$220,0),1),IF($I$1=3,INDEX($AA$3:$AS$220,MATCH(ROWS($K$3:K115),$AS$3:$AS$220,0),1),""))),"")</f>
        <v>MERCI C/APPORTI</v>
      </c>
      <c r="L115" s="259">
        <f ca="1">IF(AND($L$1="VISUALIZZA TUTTI I CONTI",K115&lt;&gt;""),MAX(L114:L114)+1,IFERROR(IF($J$1=1,IF(INDEX(PIANO_DEI_CONTI,MATCH($K115,DENOMINAZIONE,0),5)=$L$1,MAX($L$2:L114)+1,0),IF($J$1=2,IF(INDEX(PIANO_DEI_CONTI,MATCH($K115,DENOMINAZIONE,0),7)=$L$1,MAX($L$2:L114)+1,0))),0))</f>
        <v>113</v>
      </c>
      <c r="M115" s="259" t="str">
        <f ca="1">IFERROR(INDEX($K$3:$K$220,MATCH(ROWS($M$3:M115),$L$3:$L$220,0),1),"")</f>
        <v>MERCI C/APPORTI</v>
      </c>
      <c r="Q115" s="259" t="str">
        <f ca="1">IF(IFERROR(INDEX($O$3:$P$220,MATCH(ROWS(Q$3:Q115),$P$3:$P$220,0),1),"")=0,"",IFERROR(INDEX($O$3:$P$220,MATCH(ROWS(Q$3:Q115),$P$3:$P$220,0),1),""))</f>
        <v/>
      </c>
      <c r="R115" s="259" t="str">
        <f t="shared" ca="1" si="182"/>
        <v/>
      </c>
      <c r="S115" s="259">
        <f ca="1">IF(IFERROR(MATCH(R115,DENOMINAZIONE_GIORNALE,0),0)&gt;0,MAX(S$2:S114)+1,0)</f>
        <v>0</v>
      </c>
      <c r="T115" s="259" t="str">
        <f ca="1">IFERROR(INDEX($R$3:$S$220,MATCH(ROWS($T$3:T115),$S$3:$S$220,0),1),"")</f>
        <v/>
      </c>
      <c r="U115" s="259">
        <f t="shared" ca="1" si="183"/>
        <v>0</v>
      </c>
      <c r="V115" s="259">
        <f ca="1">IF(IF(U115&lt;&gt;0,MAX($V$2:V114)+1,0)=0,0,IF(U115&lt;&gt;0,MAX($V$2:V114)+1,0))</f>
        <v>0</v>
      </c>
      <c r="W115" s="259" t="str">
        <f t="shared" si="220"/>
        <v>19.01</v>
      </c>
      <c r="X115" s="259" t="str">
        <f t="shared" si="221"/>
        <v>BENI DI TERZI</v>
      </c>
      <c r="Y115" s="259">
        <f>IF(W115="",0,MAX($Y$2:Y114)+1)</f>
        <v>96</v>
      </c>
      <c r="Z115" s="259" t="str">
        <f>IFERROR(INDEX($W$3:$Y$220,MATCH(ROWS($Z$2:Z114),$Y$3:$Y$220,0),1),"")</f>
        <v>20.22</v>
      </c>
      <c r="AA115" s="259" t="str">
        <f t="shared" si="222"/>
        <v>INSUSSISTENZE ATTIVE</v>
      </c>
      <c r="AB115" s="259" t="str">
        <f t="shared" si="223"/>
        <v>E</v>
      </c>
      <c r="AC115" s="259" t="str">
        <f t="shared" si="224"/>
        <v>A</v>
      </c>
      <c r="AD115" s="259" t="str">
        <f t="shared" si="225"/>
        <v>RICAVI D'ESERCIZIO</v>
      </c>
      <c r="AE115" s="259" t="str">
        <f t="shared" si="226"/>
        <v>SE AVERE</v>
      </c>
      <c r="AF115" s="259" t="str">
        <f t="shared" si="227"/>
        <v>VALORE DELLA PRODUZIONE</v>
      </c>
      <c r="AG115" s="259">
        <f t="shared" ca="1" si="228"/>
        <v>0</v>
      </c>
      <c r="AH115" s="259">
        <f t="shared" ca="1" si="229"/>
        <v>1</v>
      </c>
      <c r="AI115" s="259">
        <f t="shared" ca="1" si="230"/>
        <v>1</v>
      </c>
      <c r="AJ115" s="259" t="str">
        <f t="shared" si="231"/>
        <v>20</v>
      </c>
      <c r="AK115" s="259" t="str">
        <f t="shared" si="232"/>
        <v/>
      </c>
      <c r="AL115" s="259">
        <f>IF(AK115&lt;&gt;"",MAX($AL$2:AL114)+1,0)</f>
        <v>0</v>
      </c>
      <c r="AM115" s="259" t="str">
        <f>IFERROR(INDEX($AK$3:$AL$220,MATCH(ROWS($AM$3:AM115),$AL$3:$AL$220,0),1),"")</f>
        <v/>
      </c>
      <c r="AN115" s="259" t="str">
        <f t="shared" si="233"/>
        <v/>
      </c>
      <c r="AO115" s="259" t="str">
        <f t="shared" si="234"/>
        <v/>
      </c>
      <c r="AP115" s="259" t="str">
        <f t="shared" si="235"/>
        <v>VALORE DELLA PRODUZIONE</v>
      </c>
      <c r="AQ115" s="259">
        <f ca="1">IF(OR(AG115=0,AG115=""),0,MAX(AQ$2:AQ114)+1)</f>
        <v>0</v>
      </c>
      <c r="AR115" s="259">
        <f ca="1">IF(OR(AH115=0,AH115=""),0,MAX(AR$2:AR114)+1)</f>
        <v>79</v>
      </c>
      <c r="AS115" s="259">
        <f ca="1">IF(OR(AI115=0,AI115=""),0,MAX(AS$2:AS114)+1)</f>
        <v>109</v>
      </c>
      <c r="AT115" s="259" t="str">
        <f ca="1">IFERROR(INDEX($AD$3:$AS$220,MATCH(ROWS(AT$3:AT115),AQ$3:AQ$220,0),1),"")</f>
        <v/>
      </c>
      <c r="AU115" s="259" t="str">
        <f ca="1">IFERROR(INDEX($AD$3:$AS$220,MATCH(ROWS(AU$3:AU115),AR$3:AR$220,0),1),"")</f>
        <v>RICAVI D'ESERCIZIO</v>
      </c>
      <c r="AV115" s="259" t="str">
        <f ca="1">IFERROR(INDEX($AD$3:$AS$220,MATCH(ROWS(AV$3:AV115),AS$3:AS$220,0),1),"")</f>
        <v>COSTI D'ESERCIZIO</v>
      </c>
      <c r="AW115" s="259" t="str">
        <f ca="1">IFERROR(INDEX($AP$3:$AS$220,MATCH(ROWS(AW$3:AW115),AQ$3:AQ$220,0),1),"")</f>
        <v/>
      </c>
      <c r="AX115" s="259" t="str">
        <f ca="1">IFERROR(INDEX($AP$3:$AS$220,MATCH(ROWS(AX$3:AX115),AR$3:AR$220,0),1),"")</f>
        <v>PROVENTI FINANZIARI</v>
      </c>
      <c r="AY115" s="259" t="str">
        <f ca="1">IFERROR(INDEX($AP$3:$AS$220,MATCH(ROWS(AY$3:AY115),AS$3:AS$220,0),1),"")</f>
        <v>COSTI PER MERCI E MATERIE DI CONSUMO</v>
      </c>
      <c r="AZ115" s="259" t="str">
        <f t="shared" si="339"/>
        <v>13 V.I.</v>
      </c>
      <c r="BA115" s="259">
        <f t="shared" ca="1" si="338"/>
        <v>0</v>
      </c>
      <c r="BB115" s="259">
        <f t="shared" ca="1" si="340"/>
        <v>0</v>
      </c>
      <c r="BC115" s="259">
        <f t="shared" ca="1" si="341"/>
        <v>0</v>
      </c>
      <c r="BD115" s="259">
        <f t="shared" ca="1" si="342"/>
        <v>0</v>
      </c>
      <c r="BE115" s="259">
        <f t="shared" ca="1" si="343"/>
        <v>0</v>
      </c>
      <c r="BG115" s="259" t="str">
        <f t="shared" ca="1" si="185"/>
        <v/>
      </c>
      <c r="BH115" s="259">
        <f ca="1">IF(IFERROR(MATCH(BG115,DENOMINAZIONE_GIORNALE,0),0)&gt;0,MAX(BH$2:BH114)+1,0)</f>
        <v>0</v>
      </c>
      <c r="BI115" s="259" t="str">
        <f ca="1">IFERROR(INDEX($BG$3:$BH$220,MATCH(ROWS($BI$3:BI115),$BH$3:$BH$220,0),1),"")</f>
        <v/>
      </c>
      <c r="BJ115" s="259" t="str">
        <f t="shared" ca="1" si="186"/>
        <v/>
      </c>
      <c r="BK115" s="259" t="str">
        <f ca="1">IF(IF(BJ115&lt;&gt;"",MAX($BK$2:BK114)+1,0)=0,"",IF(BJ115&lt;&gt;"",MAX($BK$2:BK114)+1,0))</f>
        <v/>
      </c>
      <c r="BL115" s="259" t="str">
        <f ca="1">IFERROR(INDEX($T$3:$U$220, MATCH(ROWS(BL$3:BL115),$V$3:$V$220,0),1),"")</f>
        <v/>
      </c>
      <c r="BM115" s="259" t="str">
        <f ca="1">IFERROR(INDEX($T$3:$U$220, MATCH(ROWS(BM$3:BM115),$V$3:$V$220,0),2),"")</f>
        <v/>
      </c>
      <c r="BN115" s="259" t="str">
        <f ca="1">IF(IFERROR(INDEX($BI$3:$BJ$220,MATCH(ROWS(BN$3:BN115),$BK$3:$BK$220,0),1),"")="PATRIMONIO NETTO","",IFERROR(INDEX($BI$3:$BJ$220,MATCH(ROWS(BN$3:BN115),$BK$3:$BK$220,0),1),""))</f>
        <v/>
      </c>
      <c r="BO115" s="259" t="str">
        <f ca="1">IFERROR(INDEX($BI$3:$BJ$220,MATCH(ROWS(BO$3:BO115),$BK$3:$BK$220,0),2),"")</f>
        <v/>
      </c>
      <c r="BP115" s="259">
        <f ca="1">IF(BN115&lt;&gt;"",MAX(BP$2:$BP114)+1,0)</f>
        <v>0</v>
      </c>
      <c r="BQ115" s="259" t="str">
        <f ca="1">IFERROR(INDEX($BN$3:$BO$200,MATCH(ROWS(BQ$3:BQ115),$BP$3:$BP$220,0),1),"")</f>
        <v/>
      </c>
      <c r="BR115" s="259" t="str">
        <f ca="1">IFERROR(INDEX($BN$3:$BO$220,MATCH(ROWS(BR$3:BR115),$BP$3:$BP$220,0),2),"")</f>
        <v/>
      </c>
      <c r="BS115" s="259" t="str">
        <f ca="1">IFERROR(IF(OR(INDEX($T$3:$U$220,MATCH(ROWS(BL$3:BL115),$V$3:$V$220,0),1)="PRELEVAMENTI EXTRAGESTIONE",INDEX($T$3:$U$220,MATCH(ROWS(BL$3:BL115),$V$3:$V$220,0),1)="TITOLARE C/RITENUTE SUBITE"),"",INDEX($T$3:$U$220,MATCH(ROWS(BL$3:BL115),$V$3:$V$220,0),1)),"")</f>
        <v/>
      </c>
      <c r="BT115" s="259">
        <f t="shared" ca="1" si="238"/>
        <v>0</v>
      </c>
      <c r="BU115" s="259">
        <f ca="1">IF(BS115&lt;&gt;"",MAX(BU$2:BU114)+1,0)</f>
        <v>0</v>
      </c>
      <c r="BV115" s="259" t="str">
        <f ca="1">IFERROR(INDEX($BS$3:$BT$223,MATCH(ROWS(BV$3:BV115),$BU$3:$BU$223,0),1),"")</f>
        <v/>
      </c>
      <c r="BW115" s="259">
        <f t="shared" ca="1" si="239"/>
        <v>0</v>
      </c>
      <c r="CB115" s="259" t="str">
        <f ca="1">IFERROR(IF(OR($BB$1&lt;&gt;$BD$1,$BC$1&lt;&gt;$BE$1,$DS$231&lt;&gt;$DT$231,$DU$231&lt;&gt;$DV$231,$EO$25&lt;&gt;0,$EO$26&lt;&gt;0),INDEX($BI$3:$BK$220,MATCH(ROWS($CB$3:CB115),$BK$3:$BK$220,0),1),CONCATENATE(BQ115,BX115)),"")</f>
        <v/>
      </c>
      <c r="CC115" s="259" t="str">
        <f t="shared" ca="1" si="243"/>
        <v/>
      </c>
      <c r="CD115" s="259" t="str">
        <f t="shared" ca="1" si="187"/>
        <v/>
      </c>
      <c r="CE115" s="259">
        <f ca="1">IF(IFERROR(MATCH(CD115,DENOMINAZIONE_GIORNALE,0),0)&gt;0,MAX(CE$2:CE114)+1,0)</f>
        <v>0</v>
      </c>
      <c r="CF115" s="259" t="str">
        <f ca="1">IFERROR(INDEX($CD$3:$CE$220,MATCH(ROWS($CF$3:CF115),$CE$3:$CE$220,0),1),"")</f>
        <v/>
      </c>
      <c r="CG115" s="259">
        <f t="shared" ca="1" si="188"/>
        <v>0</v>
      </c>
      <c r="CH115" s="259" t="str">
        <f ca="1">IF(IF(CG115&lt;&gt;0,MAX($CH$2:CH114)+1,0)=0,"",IF(CG115&lt;&gt;"",MAX($CH$2:CH114)+1,0))</f>
        <v/>
      </c>
      <c r="CI115" s="259" t="str">
        <f ca="1">IFERROR(INDEX($CF$3:$CG$220,MATCH(ROWS($CI$3:CI115),$CH$3:$CH$220,0),1),"")</f>
        <v/>
      </c>
      <c r="CJ115" s="259" t="str">
        <f t="shared" ca="1" si="244"/>
        <v/>
      </c>
      <c r="CK115" s="259" t="str">
        <f t="shared" ca="1" si="189"/>
        <v>INSUSSISTENZE ATTIVE</v>
      </c>
      <c r="CL115" s="259">
        <f ca="1">IF(IFERROR(MATCH(CK115,DENOMINAZIONE_GIORNALE,0),0)&gt;0,MAX(CL$2:CL114)+1,0)</f>
        <v>0</v>
      </c>
      <c r="CM115" s="259" t="str">
        <f ca="1">IFERROR(INDEX($CK$3:$CL$220,MATCH(ROWS($CM$3:CM115),$CL$3:$CL$220,0),1),"")</f>
        <v/>
      </c>
      <c r="CN115" s="259" t="str">
        <f t="shared" ca="1" si="190"/>
        <v/>
      </c>
      <c r="CO115" s="259">
        <f ca="1">IF(IF(CN115&lt;&gt;0,MAX($CO$2:CO114)+1,0)=0,"",IF(CN115&lt;&gt;"",MAX($CO$2:CO114)+1,0))</f>
        <v>0</v>
      </c>
      <c r="CP115" s="259" t="str">
        <f ca="1">IFERROR(INDEX($CM$3:$CN$220,MATCH(ROWS(CP$3:CP115),$CO$3:$CO$220,0),1),"")</f>
        <v/>
      </c>
      <c r="CQ115" s="259" t="str">
        <f ca="1">IFERROR(INDEX($CM$3:$CN$220,MATCH(ROWS(CQ$3:CQ115),$CO$3:$CO$220,0),2),"")</f>
        <v/>
      </c>
      <c r="CS115" s="259">
        <f t="shared" ca="1" si="192"/>
        <v>0</v>
      </c>
      <c r="CT115" s="259">
        <f t="shared" ca="1" si="193"/>
        <v>0</v>
      </c>
      <c r="CU115" s="259">
        <f ca="1">IF(OR(CS115&gt;0,CT115&gt;0),MAX($CU$2:CU114)+1,0)</f>
        <v>0</v>
      </c>
      <c r="CV115" s="259" t="str">
        <f ca="1">IFERROR(INDEX(PIANO_DEI_CONTI,MATCH(ROWS($CV$3:CV115),$CU$3:$CU$200,0),2),"")</f>
        <v/>
      </c>
      <c r="CW115" s="259">
        <f ca="1">IFERROR(IF(CV115&lt;&gt;"",MAX($CW$2:CW114)+1,0),0)</f>
        <v>0</v>
      </c>
      <c r="CX115" s="259">
        <f t="shared" ca="1" si="355"/>
        <v>7</v>
      </c>
      <c r="CY115" s="259" t="str">
        <f t="shared" ca="1" si="337"/>
        <v>MASTRO</v>
      </c>
      <c r="CZ115" s="259" t="e">
        <f t="shared" ca="1" si="357"/>
        <v>#N/A</v>
      </c>
      <c r="DA115" s="259" t="str">
        <f t="shared" ca="1" si="362"/>
        <v/>
      </c>
      <c r="DB115" s="259" t="str">
        <f t="shared" ca="1" si="358"/>
        <v/>
      </c>
      <c r="DC115" s="259" t="str">
        <f t="shared" ca="1" si="359"/>
        <v/>
      </c>
      <c r="DD115" s="259" t="str">
        <f t="shared" ca="1" si="360"/>
        <v/>
      </c>
      <c r="DE115" s="259" t="str">
        <f t="shared" ca="1" si="361"/>
        <v/>
      </c>
      <c r="DF115" s="259">
        <f ca="1">IF(AND(CX115=$DE$2,$DF$2&lt;&gt;0),0,IF(AND(DB115&lt;&gt;"",OR(DB114&lt;&gt;"",DB116&lt;&gt;"")),MAX($DF$2:DF114)+1,0))</f>
        <v>0</v>
      </c>
      <c r="DG115" s="259" t="str">
        <f>IF(IF(LIBRO_GIORNALE!E23="","",IFERROR(INDEX(PIANO_DEI_CONTI,MATCH(BB115,DENOMINAZIONE,0),1),0))=0,"",IF(LIBRO_GIORNALE!E23="","",IFERROR(INDEX(PIANO_DEI_CONTI,MATCH(BB115,DENOMINAZIONE,0),1),0)))</f>
        <v/>
      </c>
      <c r="DH115" s="259">
        <f ca="1">IFERROR(IF($J$1=1,IF(INDEX(PIANO_DEI_CONTI,MATCH($K115,DENOMINAZIONE,0),5)=$DF$1,MAX($DH$2:DH114)+1,0),IF($J$1=2,IF(INDEX(PIANO_DEI_CONTI,MATCH($K115,DENOMINAZIONE,0),7)=$DF$1,MAX($DH$2:DH114)+1,0))),0)</f>
        <v>0</v>
      </c>
      <c r="DI115" s="259">
        <f ca="1">IFERROR(INDEX($K$3:$K$220,MATCH(ROWS($DI$3:DI115),$DH$3:$DH$220,0),1),0)</f>
        <v>0</v>
      </c>
      <c r="DJ115" s="259">
        <f t="shared" ca="1" si="194"/>
        <v>0</v>
      </c>
      <c r="DK115" s="259">
        <f ca="1">IF(DJ115=0,0,MAX(DK$2:DK114)+1)</f>
        <v>0</v>
      </c>
      <c r="DL115" s="259">
        <f ca="1">IFERROR(INDEX(PIANO_DEI_CONTI,MATCH(ROWS(DL$3:DL115),$DK$3:DK342,0),2),0)</f>
        <v>0</v>
      </c>
      <c r="DM115" s="259">
        <f t="shared" ca="1" si="195"/>
        <v>0</v>
      </c>
      <c r="DN115" s="259">
        <f t="shared" ca="1" si="196"/>
        <v>0</v>
      </c>
      <c r="DO115" s="259">
        <f t="shared" ca="1" si="245"/>
        <v>0</v>
      </c>
      <c r="DP115" s="259">
        <f t="shared" ca="1" si="246"/>
        <v>0</v>
      </c>
      <c r="DQ115" s="259">
        <f ca="1">IF(OR($DQ$1="TOTALI",$DQ$1="TOTALI ED ECCEDENZE"),IF(OR(DM115&gt;0,DN115&gt;0),MAX(DQ$2:DQ114)+1,0),IF($DQ$1="ECCEDENZE",IF(OR(DO115&gt;0,DP115&gt;0),MAX(DQ$2:DQ114)+1,0),""))</f>
        <v>0</v>
      </c>
      <c r="DR115" s="259" t="str">
        <f ca="1">IFERROR(INDEX($DL$3:$DQ$230,MATCH(ROWS(DR$3:DR115),$DQ$3:$DQ$230,0),1),"")</f>
        <v/>
      </c>
      <c r="DS115" s="259" t="str">
        <f t="shared" ca="1" si="247"/>
        <v/>
      </c>
      <c r="DT115" s="259" t="str">
        <f t="shared" ca="1" si="248"/>
        <v/>
      </c>
      <c r="DU115" s="259" t="str">
        <f t="shared" ca="1" si="249"/>
        <v/>
      </c>
      <c r="DV115" s="259" t="str">
        <f t="shared" ca="1" si="250"/>
        <v/>
      </c>
      <c r="DW115" s="259">
        <f t="shared" ca="1" si="251"/>
        <v>0</v>
      </c>
      <c r="DX115" s="259" t="str">
        <f t="shared" ca="1" si="252"/>
        <v/>
      </c>
      <c r="DY115" s="259" t="str">
        <f t="shared" ca="1" si="253"/>
        <v/>
      </c>
      <c r="DZ115" s="259" t="str">
        <f t="shared" ca="1" si="254"/>
        <v/>
      </c>
      <c r="EA115" s="259">
        <f t="shared" ca="1" si="255"/>
        <v>113</v>
      </c>
      <c r="EB115" s="259" t="s">
        <v>367</v>
      </c>
      <c r="ED115" s="259">
        <f t="shared" ca="1" si="197"/>
        <v>0</v>
      </c>
      <c r="EH115" s="259" t="str">
        <f t="shared" ca="1" si="256"/>
        <v/>
      </c>
      <c r="EI115" s="260" t="b">
        <f t="shared" ca="1" si="310"/>
        <v>0</v>
      </c>
      <c r="EJ115" s="260" t="b">
        <f t="shared" ca="1" si="311"/>
        <v>0</v>
      </c>
      <c r="EK115" s="260" t="b">
        <f t="shared" ca="1" si="312"/>
        <v>1</v>
      </c>
      <c r="EL115" s="259">
        <f t="shared" si="257"/>
        <v>113</v>
      </c>
      <c r="EM115" s="259">
        <f ca="1">IF(AND(BA115&gt;0,BA115&lt;=$EM$1),MAX($EM$2:EM114)+1,0)</f>
        <v>0</v>
      </c>
      <c r="EN115" s="259">
        <f t="shared" ca="1" si="258"/>
        <v>115</v>
      </c>
      <c r="EP115" s="259" t="str">
        <f t="shared" ca="1" si="200"/>
        <v/>
      </c>
      <c r="EQ115" s="259">
        <f t="shared" ca="1" si="201"/>
        <v>0</v>
      </c>
      <c r="ER115" s="259">
        <f ca="1">IF(ISNA(EQ115),MAX(ER$2:ER114)+1,0)</f>
        <v>0</v>
      </c>
      <c r="ES115" s="259" t="str">
        <f t="shared" ca="1" si="259"/>
        <v/>
      </c>
      <c r="ET115" s="259" t="str">
        <f ca="1">IFERROR(UPPER(INDEX($ER$3:$ES$500,MATCH(ROWS(ET$3:ET115),$ER$3:$ER$500,0),2)),"")</f>
        <v/>
      </c>
      <c r="EW115" s="259">
        <f t="shared" ca="1" si="344"/>
        <v>1</v>
      </c>
      <c r="EX115" s="259">
        <v>13</v>
      </c>
      <c r="EY115" s="259">
        <f t="shared" ca="1" si="345"/>
        <v>0</v>
      </c>
      <c r="EZ115" s="259">
        <f t="shared" ca="1" si="346"/>
        <v>0</v>
      </c>
      <c r="FA115" s="259">
        <f t="shared" ca="1" si="347"/>
        <v>0</v>
      </c>
      <c r="FB115" s="259">
        <f t="shared" ca="1" si="348"/>
        <v>0</v>
      </c>
      <c r="FC115" s="259">
        <f t="shared" ca="1" si="349"/>
        <v>0</v>
      </c>
      <c r="FD115" s="259">
        <f t="shared" ca="1" si="202"/>
        <v>0</v>
      </c>
      <c r="FE115" s="259" t="str">
        <f t="shared" ca="1" si="203"/>
        <v/>
      </c>
      <c r="FF115" s="259" t="str">
        <f t="shared" ca="1" si="350"/>
        <v/>
      </c>
      <c r="FG115" s="259" t="str">
        <f t="shared" si="335"/>
        <v/>
      </c>
      <c r="FH115" s="259">
        <f t="shared" ca="1" si="334"/>
        <v>0</v>
      </c>
      <c r="FI115" s="259">
        <f t="shared" ca="1" si="204"/>
        <v>0</v>
      </c>
      <c r="FJ115" s="259">
        <f t="shared" ca="1" si="336"/>
        <v>0</v>
      </c>
      <c r="FK115" s="259">
        <f t="shared" ca="1" si="267"/>
        <v>0</v>
      </c>
      <c r="FL115" s="259">
        <f ca="1">IF(OR(FJ115&gt;0,FK115&gt;0),MAX($FL$2:FL114)+1,0)</f>
        <v>0</v>
      </c>
      <c r="FM115" s="259">
        <f t="shared" ca="1" si="205"/>
        <v>0</v>
      </c>
      <c r="FN115" s="259">
        <f ca="1">IF(FM115&lt;0,MAX($FN$2:FN114)+1,0)</f>
        <v>0</v>
      </c>
      <c r="FO115" s="259" t="str">
        <f t="shared" ca="1" si="268"/>
        <v/>
      </c>
      <c r="FP115" s="259" t="str">
        <f ca="1">IFERROR(INDEX($FN$3:$FO$400,MATCH(ROWS($FP$3:FP115),$FN$3:$FN$400,0),2),"")</f>
        <v/>
      </c>
      <c r="FQ115" s="259">
        <f>IF(AE115="SE AVERE",MAX($FQ$2:FQ114)+1,"")</f>
        <v>9</v>
      </c>
      <c r="FR115" s="259" t="str">
        <f>IF(AE115="SE DARE",MAX($FR$2:FR114)+1,"")</f>
        <v/>
      </c>
      <c r="FS115" s="259" t="str">
        <f ca="1">IF(AND(AE115="SP DARE",AA115&lt;&gt;$FS$1,AA115&lt;&gt;$FT$1),MAX($FS$2:FS114)+1,IF(AND(GQ115="SP DARE",AA115&lt;&gt;$FS$1,AA115&lt;&gt;$FT$1),MAX($FS$2:FS114)+1,""))</f>
        <v/>
      </c>
      <c r="FT115" s="259" t="str">
        <f ca="1">IF(AND(AE115="SP AVERE",AA115&lt;&gt;$FU$1),MAX($FT$2:FT114)+1,IF(AND(GQ115="SP AVERE",AA115&lt;&gt;$FU$1),MAX($FT$2:FT114)+1,""))</f>
        <v/>
      </c>
      <c r="FU115" s="259">
        <f t="shared" ca="1" si="269"/>
        <v>9</v>
      </c>
      <c r="FV115" s="259" t="str">
        <f t="shared" si="270"/>
        <v>INSUSSISTENZE ATTIVE</v>
      </c>
      <c r="FW115" s="259" t="str">
        <f ca="1">IFERROR(INDEX($FU$3:$FV$500,MATCH(ROWS($FW$3:FW115),$FU$3:$FU$500,0),2),0)</f>
        <v>CAMBIALI ALL'INCASSO</v>
      </c>
      <c r="FX115" s="259">
        <f t="shared" ca="1" si="271"/>
        <v>113</v>
      </c>
      <c r="FY115" s="259">
        <f t="shared" ca="1" si="272"/>
        <v>0</v>
      </c>
      <c r="FZ115" s="259">
        <f ca="1">IF(FY115&gt;0,MAX($FZ$2:FZ114)+1,0)</f>
        <v>0</v>
      </c>
      <c r="GA115" s="259">
        <f ca="1">IFERROR(INDEX($FY$3:$FZ$500,MATCH(ROWS($GA$3:GA115),$FZ$3:$FZ$500,0),1),0)</f>
        <v>0</v>
      </c>
      <c r="GC115" s="259">
        <f t="shared" ca="1" si="273"/>
        <v>113</v>
      </c>
      <c r="GD115" s="259" t="str">
        <f t="shared" ca="1" si="274"/>
        <v>CAMBIALI ALL'INCASSO</v>
      </c>
      <c r="GG115" s="259">
        <f t="shared" ca="1" si="275"/>
        <v>0</v>
      </c>
      <c r="GH115" s="259">
        <f t="shared" ca="1" si="276"/>
        <v>0</v>
      </c>
      <c r="GI115" s="259">
        <f t="shared" ca="1" si="277"/>
        <v>0</v>
      </c>
      <c r="GJ115" s="259">
        <f t="shared" ca="1" si="278"/>
        <v>0</v>
      </c>
      <c r="GK115" s="259">
        <f t="shared" ca="1" si="279"/>
        <v>0</v>
      </c>
      <c r="GL115" s="259">
        <f t="shared" ca="1" si="280"/>
        <v>0</v>
      </c>
      <c r="GM115" s="259">
        <f ca="1">IF(OR(GK115&gt;0,GL115&gt;0),MAX($GM$2:GM114)+1,0)</f>
        <v>0</v>
      </c>
      <c r="GN115" s="259" t="str">
        <f ca="1">IFERROR(INDEX($GD$3:$GM$400,MATCH(ROWS($GN$3:GN115),$GM$3:$GM$400,0),1),"")</f>
        <v/>
      </c>
      <c r="GO115" s="259" t="str">
        <f ca="1">IFERROR(INDEX($GD$3:$GM$400,MATCH(ROWS($GO$3:GO115),$GM$3:$GM$400,0),8),"")</f>
        <v/>
      </c>
      <c r="GP115" s="259" t="str">
        <f ca="1">IFERROR(INDEX($GD$3:$GM$400,MATCH(ROWS($GP$3:GP115),$GM$3:$GM$400,0),9),"")</f>
        <v/>
      </c>
      <c r="GQ115" s="259">
        <f t="shared" ca="1" si="206"/>
        <v>0</v>
      </c>
      <c r="GR115" s="259">
        <f t="shared" ca="1" si="281"/>
        <v>0</v>
      </c>
      <c r="GS115" s="259" t="str">
        <f t="shared" ca="1" si="282"/>
        <v>chiusura del conto</v>
      </c>
      <c r="GT115" s="259" t="str">
        <f ca="1">IFERROR(INDEX($GD$3:$GS$400,MATCH(ROWS($GT$3:GT115),$GM$3:$GM$400,0),16),"")</f>
        <v/>
      </c>
      <c r="GU115" s="259">
        <f ca="1">IF(GQ115&lt;&gt;0,MAX($GU$2:$GU114)+1,0)</f>
        <v>0</v>
      </c>
      <c r="GV115" s="259">
        <f t="shared" ca="1" si="283"/>
        <v>0</v>
      </c>
      <c r="GW115" s="259" t="str">
        <f ca="1">IF(AND(IFERROR(INDEX($GU$3:$GV$400,MATCH(ROWS($GW$3:GW115),$GU$3:$GU$400,0),2),"")&lt;&gt;"",GW116&lt;&gt;""),CONCATENATE(IFERROR(INDEX($GU$3:$GV$400,MATCH(ROWS($GW$3:GW115),$GU$3:$GU$400,0),2),"")," - "),IFERROR(INDEX($GU$3:$GV$400,MATCH(ROWS($GW$3:GW115),$GU$3:$GU$400,0),2),""))</f>
        <v/>
      </c>
      <c r="GX115" s="259">
        <f ca="1">IF(OR(GN115="IVA NS/CREDITO",GN115="IVA NS/DEBITO",GN115="IVA C/ACCONTO",GN115="IMPOSTE C/ACCONTO"),MAX($GX$2:GX114)+1,0)</f>
        <v>0</v>
      </c>
      <c r="GY115" s="259" t="str">
        <f ca="1">IF(AND(IFERROR(INDEX($GN$3:$GX$200,MATCH(ROWS($GY$3:GY115),$GX$3:$GX$200,0),1),"")&lt;&gt;"",GY116&lt;&gt;""),CONCATENATE(IFERROR(INDEX($GN$3:$GX$200,MATCH(ROWS($GY$3:GY115),$GX$3:$GX$200,0),1),"")," - "),IFERROR(INDEX($GN$3:$GX$200,MATCH(ROWS($GY$3:GY115),$GX$3:$GX$200,0),1),""))</f>
        <v/>
      </c>
      <c r="GZ115" s="259" t="s">
        <v>546</v>
      </c>
      <c r="HA115" s="259" t="s">
        <v>547</v>
      </c>
      <c r="HC115" s="269" t="s">
        <v>276</v>
      </c>
      <c r="HD115" s="269" t="s">
        <v>439</v>
      </c>
      <c r="HV115" s="259" t="str">
        <f ca="1">CONCATENATE(IFERROR(INDEX($HS$3:$HT$102,MATCH(ROWS($HV$3:HV115),$HT$3:$HT$102,0),1),""),HR115)</f>
        <v/>
      </c>
      <c r="IC115" s="259">
        <f ca="1">IFERROR(INDEX(PIANO_DEI_CONTI,MATCH(ROWS(DL$3:DL115),$DK$3:DK342,0),2),0)</f>
        <v>0</v>
      </c>
      <c r="ID115" s="259">
        <f t="shared" ca="1" si="288"/>
        <v>0</v>
      </c>
      <c r="IE115" s="259">
        <f t="shared" ca="1" si="289"/>
        <v>0</v>
      </c>
      <c r="IF115" s="259">
        <f t="shared" ca="1" si="290"/>
        <v>0</v>
      </c>
      <c r="IG115" s="259">
        <f t="shared" ca="1" si="324"/>
        <v>0</v>
      </c>
      <c r="IH115" s="259">
        <f ca="1">IF(IG115&lt;&gt;0,MAX($IH$35:IH114)+1,0)</f>
        <v>0</v>
      </c>
      <c r="II115" s="259">
        <f>IF(AD115="costi pluriennali",MAX($II$2:II114)+1,0)</f>
        <v>0</v>
      </c>
      <c r="IJ115" s="259">
        <f>IF($AD115="rettifiche costi pluriennali",MAX($IJ$2:IJ114)+1,0)</f>
        <v>0</v>
      </c>
      <c r="IK115" s="259">
        <f t="shared" si="291"/>
        <v>0</v>
      </c>
      <c r="IL115" s="259" t="str">
        <f t="shared" si="292"/>
        <v/>
      </c>
      <c r="IM115" s="259">
        <f t="shared" ca="1" si="293"/>
        <v>0</v>
      </c>
      <c r="IN115" s="259">
        <f t="shared" ca="1" si="313"/>
        <v>0</v>
      </c>
      <c r="IO115" s="259">
        <f>SUMIFS($IM$3:$IM$200,$IK$3:$IK$200,ROWS($IO$3:IO115))-SUMIFS($IN$3:$IN$200,$IK$3:$IK$200,ROWS($IO$3:IO115))</f>
        <v>0</v>
      </c>
      <c r="IP115" s="259" t="str">
        <f>IF(IO115&lt;0,INDEX($IJ$3:$IL$200,MATCH(ROWS($IP$3:IP115),$IJ$3:$IJ$200,0),3),"")</f>
        <v/>
      </c>
      <c r="IQ115" s="259">
        <f>IF(IP115&lt;&gt;"",MAX($IQ$2:IQ114)+1,0)</f>
        <v>0</v>
      </c>
      <c r="IR115" s="259" t="str">
        <f ca="1">IFERROR(INDEX($IP$3:$IQ$200,MATCH(ROWS($IR$3:IR115),$IQ$3:$IQ$200,0),1),"")</f>
        <v/>
      </c>
      <c r="IS115" s="259" t="str">
        <f t="shared" ca="1" si="294"/>
        <v/>
      </c>
      <c r="IT115" s="259" t="str">
        <f t="shared" ca="1" si="295"/>
        <v/>
      </c>
      <c r="IU115" s="259" t="str">
        <f t="shared" ca="1" si="296"/>
        <v/>
      </c>
      <c r="IV115" s="259" t="str">
        <f t="shared" ca="1" si="297"/>
        <v/>
      </c>
      <c r="IW115" s="259" t="str">
        <f t="shared" ca="1" si="298"/>
        <v/>
      </c>
      <c r="IX115" s="259" t="str">
        <f t="shared" ca="1" si="299"/>
        <v/>
      </c>
      <c r="IY115" s="259" t="str">
        <f t="shared" ca="1" si="300"/>
        <v/>
      </c>
      <c r="IZ115" s="259" t="str">
        <f t="shared" ca="1" si="301"/>
        <v/>
      </c>
      <c r="JA115" s="259" t="str">
        <f t="shared" ca="1" si="302"/>
        <v/>
      </c>
      <c r="JB115" s="259">
        <f t="shared" ca="1" si="210"/>
        <v>0</v>
      </c>
      <c r="JC115" s="259">
        <f t="shared" ca="1" si="351"/>
        <v>0</v>
      </c>
      <c r="JD115" s="259">
        <f t="shared" ca="1" si="352"/>
        <v>0</v>
      </c>
      <c r="JE115" s="259">
        <f ca="1">IFERROR(INDEX(LIBRO_GIORNALE!$N$11:$O$408,MATCH(ROWS($JE$2:JE114),LIBRO_GIORNALE!$O$11:$O$408,0),1),0)</f>
        <v>0</v>
      </c>
      <c r="JF115" s="259" t="str">
        <f t="shared" ca="1" si="304"/>
        <v>0</v>
      </c>
      <c r="JG115" s="259">
        <f t="shared" ca="1" si="305"/>
        <v>0</v>
      </c>
      <c r="JH115" s="259">
        <f ca="1">IF(JJ115&gt;0,0,MAX($JH$2:JH114)+1)</f>
        <v>113</v>
      </c>
      <c r="JI115" s="259">
        <f ca="1">IF(JG115&gt;0,MAX($JI$2:JI114)+1,0)</f>
        <v>0</v>
      </c>
      <c r="JJ115" s="259">
        <f ca="1">IFERROR(INDEX($JG$3:$JI$124,MATCH(ROWS($JJ$3:JJ115),$JI$3:$JI$124,0),1),0)</f>
        <v>0</v>
      </c>
      <c r="JK115" s="259">
        <f t="shared" ca="1" si="306"/>
        <v>0</v>
      </c>
      <c r="JL115" s="259">
        <f t="shared" ca="1" si="307"/>
        <v>113</v>
      </c>
      <c r="JM115" s="259">
        <f t="shared" ca="1" si="353"/>
        <v>0</v>
      </c>
    </row>
    <row r="116" spans="1:273">
      <c r="A116" s="259" t="str">
        <f t="shared" si="211"/>
        <v>19.02</v>
      </c>
      <c r="B116" s="259" t="str">
        <f t="shared" si="212"/>
        <v>DEPOSITANTI BENI</v>
      </c>
      <c r="C116" s="259">
        <f t="shared" si="213"/>
        <v>0</v>
      </c>
      <c r="D116" s="259" t="str">
        <f t="shared" si="214"/>
        <v>A</v>
      </c>
      <c r="E116" s="259" t="str">
        <f t="shared" si="215"/>
        <v>CONTI D'ORDINE</v>
      </c>
      <c r="F116" s="259">
        <f t="shared" si="216"/>
        <v>0</v>
      </c>
      <c r="G116" s="259">
        <f t="shared" ca="1" si="217"/>
        <v>0</v>
      </c>
      <c r="H116" s="259">
        <f t="shared" ca="1" si="218"/>
        <v>0</v>
      </c>
      <c r="I116" s="259">
        <f t="shared" ca="1" si="219"/>
        <v>1</v>
      </c>
      <c r="K116" s="259" t="str">
        <f ca="1">IFERROR(IF($I$1=1,INDEX($AA$3:$AS$220,MATCH(ROWS($K$3:K116),$AQ$3:$AQ$220,0),1),IF($I$1=2,INDEX($AA$3:$AS$220,MATCH(ROWS($K$3:K116),$AR$3:$AR$220,0),1),IF($I$1=3,INDEX($AA$3:$AS$220,MATCH(ROWS($K$3:K116),$AS$3:$AS$220,0),1),""))),"")</f>
        <v>RESI SU ACQUISTI</v>
      </c>
      <c r="L116" s="259">
        <f ca="1">IF(AND($L$1="VISUALIZZA TUTTI I CONTI",K116&lt;&gt;""),MAX(L115:L115)+1,IFERROR(IF($J$1=1,IF(INDEX(PIANO_DEI_CONTI,MATCH($K116,DENOMINAZIONE,0),5)=$L$1,MAX($L$2:L115)+1,0),IF($J$1=2,IF(INDEX(PIANO_DEI_CONTI,MATCH($K116,DENOMINAZIONE,0),7)=$L$1,MAX($L$2:L115)+1,0))),0))</f>
        <v>114</v>
      </c>
      <c r="M116" s="259" t="str">
        <f ca="1">IFERROR(INDEX($K$3:$K$220,MATCH(ROWS($M$3:M116),$L$3:$L$220,0),1),"")</f>
        <v>RESI SU ACQUISTI</v>
      </c>
      <c r="Q116" s="259" t="str">
        <f ca="1">IF(IFERROR(INDEX($O$3:$P$220,MATCH(ROWS(Q$3:Q116),$P$3:$P$220,0),1),"")=0,"",IFERROR(INDEX($O$3:$P$220,MATCH(ROWS(Q$3:Q116),$P$3:$P$220,0),1),""))</f>
        <v/>
      </c>
      <c r="R116" s="259" t="str">
        <f t="shared" ca="1" si="182"/>
        <v/>
      </c>
      <c r="S116" s="259">
        <f ca="1">IF(IFERROR(MATCH(R116,DENOMINAZIONE_GIORNALE,0),0)&gt;0,MAX(S$2:S115)+1,0)</f>
        <v>0</v>
      </c>
      <c r="T116" s="259" t="str">
        <f ca="1">IFERROR(INDEX($R$3:$S$220,MATCH(ROWS($T$3:T116),$S$3:$S$220,0),1),"")</f>
        <v/>
      </c>
      <c r="U116" s="259">
        <f t="shared" ca="1" si="183"/>
        <v>0</v>
      </c>
      <c r="V116" s="259">
        <f ca="1">IF(IF(U116&lt;&gt;0,MAX($V$2:V115)+1,0)=0,0,IF(U116&lt;&gt;0,MAX($V$2:V115)+1,0))</f>
        <v>0</v>
      </c>
      <c r="W116" s="259" t="str">
        <f t="shared" si="220"/>
        <v>19.02</v>
      </c>
      <c r="X116" s="259" t="str">
        <f t="shared" si="221"/>
        <v>DEPOSITANTI BENI</v>
      </c>
      <c r="Y116" s="259">
        <f>IF(W116="",0,MAX($Y$2:Y115)+1)</f>
        <v>97</v>
      </c>
      <c r="Z116" s="259" t="str">
        <f>IFERROR(INDEX($W$3:$Y$220,MATCH(ROWS($Z$2:Z115),$Y$3:$Y$220,0),1),"")</f>
        <v>20.30</v>
      </c>
      <c r="AA116" s="259" t="str">
        <f t="shared" si="222"/>
        <v>RIMBORSI COSTI DI VENDITA</v>
      </c>
      <c r="AB116" s="259" t="str">
        <f t="shared" si="223"/>
        <v>E</v>
      </c>
      <c r="AC116" s="259" t="str">
        <f t="shared" si="224"/>
        <v>A</v>
      </c>
      <c r="AD116" s="259" t="str">
        <f t="shared" si="225"/>
        <v>RICAVI D'ESERCIZIO</v>
      </c>
      <c r="AE116" s="259" t="str">
        <f t="shared" si="226"/>
        <v>SE AVERE</v>
      </c>
      <c r="AF116" s="259" t="str">
        <f t="shared" si="227"/>
        <v>VALORE DELLA PRODUZIONE</v>
      </c>
      <c r="AG116" s="259">
        <f t="shared" ca="1" si="228"/>
        <v>1</v>
      </c>
      <c r="AH116" s="259">
        <f t="shared" ca="1" si="229"/>
        <v>1</v>
      </c>
      <c r="AI116" s="259">
        <f t="shared" ca="1" si="230"/>
        <v>1</v>
      </c>
      <c r="AJ116" s="259" t="str">
        <f t="shared" si="231"/>
        <v>20</v>
      </c>
      <c r="AK116" s="259" t="str">
        <f t="shared" si="232"/>
        <v/>
      </c>
      <c r="AL116" s="259">
        <f>IF(AK116&lt;&gt;"",MAX($AL$2:AL115)+1,0)</f>
        <v>0</v>
      </c>
      <c r="AM116" s="259" t="str">
        <f>IFERROR(INDEX($AK$3:$AL$220,MATCH(ROWS($AM$3:AM116),$AL$3:$AL$220,0),1),"")</f>
        <v/>
      </c>
      <c r="AN116" s="259" t="str">
        <f t="shared" si="233"/>
        <v/>
      </c>
      <c r="AO116" s="259" t="str">
        <f t="shared" si="234"/>
        <v/>
      </c>
      <c r="AP116" s="259" t="str">
        <f t="shared" si="235"/>
        <v>VALORE DELLA PRODUZIONE</v>
      </c>
      <c r="AQ116" s="259">
        <f ca="1">IF(OR(AG116=0,AG116=""),0,MAX(AQ$2:AQ115)+1)</f>
        <v>55</v>
      </c>
      <c r="AR116" s="259">
        <f ca="1">IF(OR(AH116=0,AH116=""),0,MAX(AR$2:AR115)+1)</f>
        <v>80</v>
      </c>
      <c r="AS116" s="259">
        <f ca="1">IF(OR(AI116=0,AI116=""),0,MAX(AS$2:AS115)+1)</f>
        <v>110</v>
      </c>
      <c r="AT116" s="259" t="str">
        <f ca="1">IFERROR(INDEX($AD$3:$AS$220,MATCH(ROWS(AT$3:AT116),AQ$3:AQ$220,0),1),"")</f>
        <v/>
      </c>
      <c r="AU116" s="259" t="str">
        <f ca="1">IFERROR(INDEX($AD$3:$AS$220,MATCH(ROWS(AU$3:AU116),AR$3:AR$220,0),1),"")</f>
        <v>RICAVI D'ESERCIZIO</v>
      </c>
      <c r="AV116" s="259" t="str">
        <f ca="1">IFERROR(INDEX($AD$3:$AS$220,MATCH(ROWS(AV$3:AV116),AS$3:AS$220,0),1),"")</f>
        <v>RETTIFICHE COSTI D'ESERCIZIO</v>
      </c>
      <c r="AW116" s="259" t="str">
        <f ca="1">IFERROR(INDEX($AP$3:$AS$220,MATCH(ROWS(AW$3:AW116),AQ$3:AQ$220,0),1),"")</f>
        <v/>
      </c>
      <c r="AX116" s="259" t="str">
        <f ca="1">IFERROR(INDEX($AP$3:$AS$220,MATCH(ROWS(AX$3:AX116),AR$3:AR$220,0),1),"")</f>
        <v>PROVENTI FINANZIARI</v>
      </c>
      <c r="AY116" s="259" t="str">
        <f ca="1">IFERROR(INDEX($AP$3:$AS$220,MATCH(ROWS(AY$3:AY116),AS$3:AS$220,0),1),"")</f>
        <v>COSTI PER MERCI E MATERIE DI CONSUMO</v>
      </c>
      <c r="AZ116" s="259" t="str">
        <f t="shared" si="339"/>
        <v>14 V.I.</v>
      </c>
      <c r="BA116" s="259">
        <f t="shared" ca="1" si="338"/>
        <v>0</v>
      </c>
      <c r="BB116" s="259">
        <f t="shared" ca="1" si="340"/>
        <v>0</v>
      </c>
      <c r="BC116" s="259">
        <f t="shared" ca="1" si="341"/>
        <v>0</v>
      </c>
      <c r="BD116" s="259">
        <f t="shared" ca="1" si="342"/>
        <v>0</v>
      </c>
      <c r="BE116" s="259">
        <f t="shared" ca="1" si="343"/>
        <v>0</v>
      </c>
      <c r="BG116" s="259" t="str">
        <f t="shared" ca="1" si="185"/>
        <v/>
      </c>
      <c r="BH116" s="259">
        <f ca="1">IF(IFERROR(MATCH(BG116,DENOMINAZIONE_GIORNALE,0),0)&gt;0,MAX(BH$2:BH115)+1,0)</f>
        <v>0</v>
      </c>
      <c r="BI116" s="259" t="str">
        <f ca="1">IFERROR(INDEX($BG$3:$BH$220,MATCH(ROWS($BI$3:BI116),$BH$3:$BH$220,0),1),"")</f>
        <v/>
      </c>
      <c r="BJ116" s="259" t="str">
        <f t="shared" ca="1" si="186"/>
        <v/>
      </c>
      <c r="BK116" s="259" t="str">
        <f ca="1">IF(IF(BJ116&lt;&gt;"",MAX($BK$2:BK115)+1,0)=0,"",IF(BJ116&lt;&gt;"",MAX($BK$2:BK115)+1,0))</f>
        <v/>
      </c>
      <c r="BL116" s="259" t="str">
        <f ca="1">IFERROR(INDEX($T$3:$U$220, MATCH(ROWS(BL$3:BL116),$V$3:$V$220,0),1),"")</f>
        <v/>
      </c>
      <c r="BM116" s="259" t="str">
        <f ca="1">IFERROR(INDEX($T$3:$U$220, MATCH(ROWS(BM$3:BM116),$V$3:$V$220,0),2),"")</f>
        <v/>
      </c>
      <c r="BN116" s="259" t="str">
        <f ca="1">IF(IFERROR(INDEX($BI$3:$BJ$220,MATCH(ROWS(BN$3:BN116),$BK$3:$BK$220,0),1),"")="PATRIMONIO NETTO","",IFERROR(INDEX($BI$3:$BJ$220,MATCH(ROWS(BN$3:BN116),$BK$3:$BK$220,0),1),""))</f>
        <v/>
      </c>
      <c r="BO116" s="259" t="str">
        <f ca="1">IFERROR(INDEX($BI$3:$BJ$220,MATCH(ROWS(BO$3:BO116),$BK$3:$BK$220,0),2),"")</f>
        <v/>
      </c>
      <c r="BP116" s="259">
        <f ca="1">IF(BN116&lt;&gt;"",MAX(BP$2:$BP115)+1,0)</f>
        <v>0</v>
      </c>
      <c r="BQ116" s="259" t="str">
        <f ca="1">IFERROR(INDEX($BN$3:$BO$200,MATCH(ROWS(BQ$3:BQ116),$BP$3:$BP$220,0),1),"")</f>
        <v/>
      </c>
      <c r="BR116" s="259" t="str">
        <f ca="1">IFERROR(INDEX($BN$3:$BO$220,MATCH(ROWS(BR$3:BR116),$BP$3:$BP$220,0),2),"")</f>
        <v/>
      </c>
      <c r="BS116" s="259" t="str">
        <f ca="1">IFERROR(IF(OR(INDEX($T$3:$U$220,MATCH(ROWS(BL$3:BL116),$V$3:$V$220,0),1)="PRELEVAMENTI EXTRAGESTIONE",INDEX($T$3:$U$220,MATCH(ROWS(BL$3:BL116),$V$3:$V$220,0),1)="TITOLARE C/RITENUTE SUBITE"),"",INDEX($T$3:$U$220,MATCH(ROWS(BL$3:BL116),$V$3:$V$220,0),1)),"")</f>
        <v/>
      </c>
      <c r="BT116" s="259">
        <f t="shared" ca="1" si="238"/>
        <v>0</v>
      </c>
      <c r="BU116" s="259">
        <f ca="1">IF(BS116&lt;&gt;"",MAX(BU$2:BU115)+1,0)</f>
        <v>0</v>
      </c>
      <c r="BV116" s="259" t="str">
        <f ca="1">IFERROR(INDEX($BS$3:$BT$223,MATCH(ROWS(BV$3:BV116),$BU$3:$BU$223,0),1),"")</f>
        <v/>
      </c>
      <c r="BW116" s="259">
        <f t="shared" ca="1" si="239"/>
        <v>0</v>
      </c>
      <c r="CB116" s="259" t="str">
        <f ca="1">IFERROR(IF(OR($BB$1&lt;&gt;$BD$1,$BC$1&lt;&gt;$BE$1,$DS$231&lt;&gt;$DT$231,$DU$231&lt;&gt;$DV$231,$EO$25&lt;&gt;0,$EO$26&lt;&gt;0),INDEX($BI$3:$BK$220,MATCH(ROWS($CB$3:CB116),$BK$3:$BK$220,0),1),CONCATENATE(BQ116,BX116)),"")</f>
        <v/>
      </c>
      <c r="CC116" s="259" t="str">
        <f t="shared" ca="1" si="243"/>
        <v/>
      </c>
      <c r="CD116" s="259" t="str">
        <f t="shared" ca="1" si="187"/>
        <v/>
      </c>
      <c r="CE116" s="259">
        <f ca="1">IF(IFERROR(MATCH(CD116,DENOMINAZIONE_GIORNALE,0),0)&gt;0,MAX(CE$2:CE115)+1,0)</f>
        <v>0</v>
      </c>
      <c r="CF116" s="259" t="str">
        <f ca="1">IFERROR(INDEX($CD$3:$CE$220,MATCH(ROWS($CF$3:CF116),$CE$3:$CE$220,0),1),"")</f>
        <v/>
      </c>
      <c r="CG116" s="259">
        <f t="shared" ca="1" si="188"/>
        <v>0</v>
      </c>
      <c r="CH116" s="259" t="str">
        <f ca="1">IF(IF(CG116&lt;&gt;0,MAX($CH$2:CH115)+1,0)=0,"",IF(CG116&lt;&gt;"",MAX($CH$2:CH115)+1,0))</f>
        <v/>
      </c>
      <c r="CI116" s="259" t="str">
        <f ca="1">IFERROR(INDEX($CF$3:$CG$220,MATCH(ROWS($CI$3:CI116),$CH$3:$CH$220,0),1),"")</f>
        <v/>
      </c>
      <c r="CJ116" s="259" t="str">
        <f t="shared" ca="1" si="244"/>
        <v/>
      </c>
      <c r="CK116" s="259" t="str">
        <f t="shared" ca="1" si="189"/>
        <v>RIMBORSI COSTI DI VENDITA</v>
      </c>
      <c r="CL116" s="259">
        <f ca="1">IF(IFERROR(MATCH(CK116,DENOMINAZIONE_GIORNALE,0),0)&gt;0,MAX(CL$2:CL115)+1,0)</f>
        <v>0</v>
      </c>
      <c r="CM116" s="259" t="str">
        <f ca="1">IFERROR(INDEX($CK$3:$CL$220,MATCH(ROWS($CM$3:CM116),$CL$3:$CL$220,0),1),"")</f>
        <v/>
      </c>
      <c r="CN116" s="259" t="str">
        <f t="shared" ca="1" si="190"/>
        <v/>
      </c>
      <c r="CO116" s="259">
        <f ca="1">IF(IF(CN116&lt;&gt;0,MAX($CO$2:CO115)+1,0)=0,"",IF(CN116&lt;&gt;"",MAX($CO$2:CO115)+1,0))</f>
        <v>0</v>
      </c>
      <c r="CP116" s="259" t="str">
        <f ca="1">IFERROR(INDEX($CM$3:$CN$220,MATCH(ROWS(CP$3:CP116),$CO$3:$CO$220,0),1),"")</f>
        <v/>
      </c>
      <c r="CQ116" s="259" t="str">
        <f ca="1">IFERROR(INDEX($CM$3:$CN$220,MATCH(ROWS(CQ$3:CQ116),$CO$3:$CO$220,0),2),"")</f>
        <v/>
      </c>
      <c r="CS116" s="259">
        <f t="shared" ca="1" si="192"/>
        <v>0</v>
      </c>
      <c r="CT116" s="259">
        <f t="shared" ca="1" si="193"/>
        <v>0</v>
      </c>
      <c r="CU116" s="259">
        <f ca="1">IF(OR(CS116&gt;0,CT116&gt;0),MAX($CU$2:CU115)+1,0)</f>
        <v>0</v>
      </c>
      <c r="CV116" s="259" t="str">
        <f ca="1">IFERROR(INDEX(PIANO_DEI_CONTI,MATCH(ROWS($CV$3:CV116),$CU$3:$CU$200,0),2),"")</f>
        <v/>
      </c>
      <c r="CW116" s="259">
        <f ca="1">IFERROR(IF(CV116&lt;&gt;"",MAX($CW$2:CW115)+1,0),0)</f>
        <v>0</v>
      </c>
      <c r="CX116" s="259">
        <f t="shared" ca="1" si="355"/>
        <v>7</v>
      </c>
      <c r="CY116" s="259" t="str">
        <f t="shared" ca="1" si="337"/>
        <v>MASTRO</v>
      </c>
      <c r="CZ116" s="259" t="e">
        <f t="shared" ca="1" si="357"/>
        <v>#N/A</v>
      </c>
      <c r="DA116" s="259" t="str">
        <f t="shared" ca="1" si="362"/>
        <v/>
      </c>
      <c r="DB116" s="259" t="str">
        <f t="shared" ca="1" si="358"/>
        <v/>
      </c>
      <c r="DC116" s="259" t="str">
        <f t="shared" ca="1" si="359"/>
        <v/>
      </c>
      <c r="DD116" s="259" t="str">
        <f t="shared" ca="1" si="360"/>
        <v/>
      </c>
      <c r="DE116" s="259" t="str">
        <f t="shared" ca="1" si="361"/>
        <v/>
      </c>
      <c r="DF116" s="259">
        <f ca="1">IF(AND(CX116=$DE$2,$DF$2&lt;&gt;0),0,IF(AND(DB116&lt;&gt;"",OR(DB115&lt;&gt;"",DB117&lt;&gt;"")),MAX($DF$2:DF115)+1,0))</f>
        <v>0</v>
      </c>
      <c r="DG116" s="259" t="str">
        <f>IF(IF(LIBRO_GIORNALE!E24="","",IFERROR(INDEX(PIANO_DEI_CONTI,MATCH(BB116,DENOMINAZIONE,0),1),0))=0,"",IF(LIBRO_GIORNALE!E24="","",IFERROR(INDEX(PIANO_DEI_CONTI,MATCH(BB116,DENOMINAZIONE,0),1),0)))</f>
        <v/>
      </c>
      <c r="DH116" s="259">
        <f ca="1">IFERROR(IF($J$1=1,IF(INDEX(PIANO_DEI_CONTI,MATCH($K116,DENOMINAZIONE,0),5)=$DF$1,MAX($DH$2:DH115)+1,0),IF($J$1=2,IF(INDEX(PIANO_DEI_CONTI,MATCH($K116,DENOMINAZIONE,0),7)=$DF$1,MAX($DH$2:DH115)+1,0))),0)</f>
        <v>0</v>
      </c>
      <c r="DI116" s="259">
        <f ca="1">IFERROR(INDEX($K$3:$K$220,MATCH(ROWS($DI$3:DI116),$DH$3:$DH$220,0),1),0)</f>
        <v>0</v>
      </c>
      <c r="DJ116" s="259">
        <f t="shared" ca="1" si="194"/>
        <v>0</v>
      </c>
      <c r="DK116" s="259">
        <f ca="1">IF(DJ116=0,0,MAX(DK$2:DK115)+1)</f>
        <v>0</v>
      </c>
      <c r="DL116" s="259">
        <f ca="1">IFERROR(INDEX(PIANO_DEI_CONTI,MATCH(ROWS(DL$3:DL116),$DK$3:DK343,0),2),0)</f>
        <v>0</v>
      </c>
      <c r="DM116" s="259">
        <f t="shared" ca="1" si="195"/>
        <v>0</v>
      </c>
      <c r="DN116" s="259">
        <f t="shared" ca="1" si="196"/>
        <v>0</v>
      </c>
      <c r="DO116" s="259">
        <f t="shared" ca="1" si="245"/>
        <v>0</v>
      </c>
      <c r="DP116" s="259">
        <f t="shared" ca="1" si="246"/>
        <v>0</v>
      </c>
      <c r="DQ116" s="259">
        <f ca="1">IF(OR($DQ$1="TOTALI",$DQ$1="TOTALI ED ECCEDENZE"),IF(OR(DM116&gt;0,DN116&gt;0),MAX(DQ$2:DQ115)+1,0),IF($DQ$1="ECCEDENZE",IF(OR(DO116&gt;0,DP116&gt;0),MAX(DQ$2:DQ115)+1,0),""))</f>
        <v>0</v>
      </c>
      <c r="DR116" s="259" t="str">
        <f ca="1">IFERROR(INDEX($DL$3:$DQ$230,MATCH(ROWS(DR$3:DR116),$DQ$3:$DQ$230,0),1),"")</f>
        <v/>
      </c>
      <c r="DS116" s="259" t="str">
        <f t="shared" ca="1" si="247"/>
        <v/>
      </c>
      <c r="DT116" s="259" t="str">
        <f t="shared" ca="1" si="248"/>
        <v/>
      </c>
      <c r="DU116" s="259" t="str">
        <f t="shared" ca="1" si="249"/>
        <v/>
      </c>
      <c r="DV116" s="259" t="str">
        <f t="shared" ca="1" si="250"/>
        <v/>
      </c>
      <c r="DW116" s="259">
        <f t="shared" ca="1" si="251"/>
        <v>0</v>
      </c>
      <c r="DX116" s="259" t="str">
        <f t="shared" ca="1" si="252"/>
        <v/>
      </c>
      <c r="DY116" s="259" t="str">
        <f t="shared" ca="1" si="253"/>
        <v/>
      </c>
      <c r="DZ116" s="259" t="str">
        <f t="shared" ca="1" si="254"/>
        <v/>
      </c>
      <c r="EA116" s="259">
        <f t="shared" ca="1" si="255"/>
        <v>114</v>
      </c>
      <c r="EB116" s="259" t="s">
        <v>367</v>
      </c>
      <c r="ED116" s="259">
        <f t="shared" ca="1" si="197"/>
        <v>0</v>
      </c>
      <c r="EH116" s="259" t="str">
        <f t="shared" ca="1" si="256"/>
        <v/>
      </c>
      <c r="EI116" s="260" t="b">
        <f t="shared" ca="1" si="310"/>
        <v>0</v>
      </c>
      <c r="EJ116" s="260" t="b">
        <f t="shared" ca="1" si="311"/>
        <v>0</v>
      </c>
      <c r="EK116" s="260" t="b">
        <f t="shared" ca="1" si="312"/>
        <v>1</v>
      </c>
      <c r="EL116" s="259">
        <f t="shared" si="257"/>
        <v>114</v>
      </c>
      <c r="EM116" s="259">
        <f ca="1">IF(AND(BA116&gt;0,BA116&lt;=$EM$1),MAX($EM$2:EM115)+1,0)</f>
        <v>0</v>
      </c>
      <c r="EN116" s="259">
        <f t="shared" ca="1" si="258"/>
        <v>116</v>
      </c>
      <c r="EP116" s="259" t="str">
        <f t="shared" ca="1" si="200"/>
        <v/>
      </c>
      <c r="EQ116" s="259">
        <f t="shared" ca="1" si="201"/>
        <v>0</v>
      </c>
      <c r="ER116" s="259">
        <f ca="1">IF(ISNA(EQ116),MAX(ER$2:ER115)+1,0)</f>
        <v>0</v>
      </c>
      <c r="ES116" s="259" t="str">
        <f t="shared" ca="1" si="259"/>
        <v/>
      </c>
      <c r="ET116" s="259" t="str">
        <f ca="1">IFERROR(UPPER(INDEX($ER$3:$ES$500,MATCH(ROWS(ET$3:ET116),$ER$3:$ER$500,0),2)),"")</f>
        <v/>
      </c>
      <c r="EW116" s="259">
        <f t="shared" ca="1" si="344"/>
        <v>1</v>
      </c>
      <c r="EX116" s="259">
        <v>14</v>
      </c>
      <c r="EY116" s="259">
        <f t="shared" ca="1" si="345"/>
        <v>0</v>
      </c>
      <c r="EZ116" s="259">
        <f t="shared" ca="1" si="346"/>
        <v>0</v>
      </c>
      <c r="FA116" s="259">
        <f t="shared" ca="1" si="347"/>
        <v>0</v>
      </c>
      <c r="FB116" s="259">
        <f t="shared" ca="1" si="348"/>
        <v>0</v>
      </c>
      <c r="FC116" s="259">
        <f t="shared" ca="1" si="349"/>
        <v>0</v>
      </c>
      <c r="FD116" s="259">
        <f t="shared" ca="1" si="202"/>
        <v>0</v>
      </c>
      <c r="FE116" s="259" t="str">
        <f t="shared" ca="1" si="203"/>
        <v/>
      </c>
      <c r="FF116" s="259" t="str">
        <f t="shared" ca="1" si="350"/>
        <v/>
      </c>
      <c r="FG116" s="259" t="str">
        <f t="shared" si="335"/>
        <v/>
      </c>
      <c r="FH116" s="259">
        <f t="shared" ca="1" si="334"/>
        <v>0</v>
      </c>
      <c r="FI116" s="259">
        <f t="shared" ca="1" si="204"/>
        <v>0</v>
      </c>
      <c r="FJ116" s="259">
        <f t="shared" ca="1" si="336"/>
        <v>0</v>
      </c>
      <c r="FK116" s="259">
        <f t="shared" ca="1" si="267"/>
        <v>0</v>
      </c>
      <c r="FL116" s="259">
        <f ca="1">IF(OR(FJ116&gt;0,FK116&gt;0),MAX($FL$2:FL115)+1,0)</f>
        <v>0</v>
      </c>
      <c r="FM116" s="259">
        <f t="shared" ca="1" si="205"/>
        <v>0</v>
      </c>
      <c r="FN116" s="259">
        <f ca="1">IF(FM116&lt;0,MAX($FN$2:FN115)+1,0)</f>
        <v>0</v>
      </c>
      <c r="FO116" s="259" t="str">
        <f t="shared" ca="1" si="268"/>
        <v/>
      </c>
      <c r="FP116" s="259" t="str">
        <f ca="1">IFERROR(INDEX($FN$3:$FO$400,MATCH(ROWS($FP$3:FP116),$FN$3:$FN$400,0),2),"")</f>
        <v/>
      </c>
      <c r="FQ116" s="259">
        <f>IF(AE116="SE AVERE",MAX($FQ$2:FQ115)+1,"")</f>
        <v>10</v>
      </c>
      <c r="FR116" s="259" t="str">
        <f>IF(AE116="SE DARE",MAX($FR$2:FR115)+1,"")</f>
        <v/>
      </c>
      <c r="FS116" s="259" t="str">
        <f ca="1">IF(AND(AE116="SP DARE",AA116&lt;&gt;$FS$1,AA116&lt;&gt;$FT$1),MAX($FS$2:FS115)+1,IF(AND(GQ116="SP DARE",AA116&lt;&gt;$FS$1,AA116&lt;&gt;$FT$1),MAX($FS$2:FS115)+1,""))</f>
        <v/>
      </c>
      <c r="FT116" s="259" t="str">
        <f ca="1">IF(AND(AE116="SP AVERE",AA116&lt;&gt;$FU$1),MAX($FT$2:FT115)+1,IF(AND(GQ116="SP AVERE",AA116&lt;&gt;$FU$1),MAX($FT$2:FT115)+1,""))</f>
        <v/>
      </c>
      <c r="FU116" s="259">
        <f t="shared" ca="1" si="269"/>
        <v>10</v>
      </c>
      <c r="FV116" s="259" t="str">
        <f t="shared" si="270"/>
        <v>RIMBORSI COSTI DI VENDITA</v>
      </c>
      <c r="FW116" s="259" t="str">
        <f ca="1">IFERROR(INDEX($FU$3:$FV$500,MATCH(ROWS($FW$3:FW116),$FU$3:$FU$500,0),2),0)</f>
        <v>CREDITI DA LIQUIDARE</v>
      </c>
      <c r="FX116" s="259">
        <f t="shared" ca="1" si="271"/>
        <v>114</v>
      </c>
      <c r="FY116" s="259">
        <f t="shared" ca="1" si="272"/>
        <v>0</v>
      </c>
      <c r="FZ116" s="259">
        <f ca="1">IF(FY116&gt;0,MAX($FZ$2:FZ115)+1,0)</f>
        <v>0</v>
      </c>
      <c r="GA116" s="259">
        <f ca="1">IFERROR(INDEX($FY$3:$FZ$500,MATCH(ROWS($GA$3:GA116),$FZ$3:$FZ$500,0),1),0)</f>
        <v>0</v>
      </c>
      <c r="GC116" s="259">
        <f t="shared" ca="1" si="273"/>
        <v>114</v>
      </c>
      <c r="GD116" s="259" t="str">
        <f t="shared" ca="1" si="274"/>
        <v>CREDITI DA LIQUIDARE</v>
      </c>
      <c r="GG116" s="259">
        <f t="shared" ca="1" si="275"/>
        <v>0</v>
      </c>
      <c r="GH116" s="259">
        <f t="shared" ca="1" si="276"/>
        <v>0</v>
      </c>
      <c r="GI116" s="259">
        <f t="shared" ca="1" si="277"/>
        <v>0</v>
      </c>
      <c r="GJ116" s="259">
        <f t="shared" ca="1" si="278"/>
        <v>0</v>
      </c>
      <c r="GK116" s="259">
        <f t="shared" ca="1" si="279"/>
        <v>0</v>
      </c>
      <c r="GL116" s="259">
        <f t="shared" ca="1" si="280"/>
        <v>0</v>
      </c>
      <c r="GM116" s="259">
        <f ca="1">IF(OR(GK116&gt;0,GL116&gt;0),MAX($GM$2:GM115)+1,0)</f>
        <v>0</v>
      </c>
      <c r="GN116" s="259" t="str">
        <f ca="1">IFERROR(INDEX($GD$3:$GM$400,MATCH(ROWS($GN$3:GN116),$GM$3:$GM$400,0),1),"")</f>
        <v/>
      </c>
      <c r="GO116" s="259" t="str">
        <f ca="1">IFERROR(INDEX($GD$3:$GM$400,MATCH(ROWS($GO$3:GO116),$GM$3:$GM$400,0),8),"")</f>
        <v/>
      </c>
      <c r="GP116" s="259" t="str">
        <f ca="1">IFERROR(INDEX($GD$3:$GM$400,MATCH(ROWS($GP$3:GP116),$GM$3:$GM$400,0),9),"")</f>
        <v/>
      </c>
      <c r="GQ116" s="259">
        <f t="shared" ca="1" si="206"/>
        <v>0</v>
      </c>
      <c r="GR116" s="259">
        <f t="shared" ca="1" si="281"/>
        <v>0</v>
      </c>
      <c r="GS116" s="259" t="str">
        <f t="shared" ca="1" si="282"/>
        <v>chiusura del conto</v>
      </c>
      <c r="GT116" s="259" t="str">
        <f ca="1">IFERROR(INDEX($GD$3:$GS$400,MATCH(ROWS($GT$3:GT116),$GM$3:$GM$400,0),16),"")</f>
        <v/>
      </c>
      <c r="GU116" s="259">
        <f ca="1">IF(GQ116&lt;&gt;0,MAX($GU$2:$GU115)+1,0)</f>
        <v>0</v>
      </c>
      <c r="GV116" s="259">
        <f t="shared" ca="1" si="283"/>
        <v>0</v>
      </c>
      <c r="GW116" s="259" t="str">
        <f ca="1">IF(AND(IFERROR(INDEX($GU$3:$GV$400,MATCH(ROWS($GW$3:GW116),$GU$3:$GU$400,0),2),"")&lt;&gt;"",GW117&lt;&gt;""),CONCATENATE(IFERROR(INDEX($GU$3:$GV$400,MATCH(ROWS($GW$3:GW116),$GU$3:$GU$400,0),2),"")," - "),IFERROR(INDEX($GU$3:$GV$400,MATCH(ROWS($GW$3:GW116),$GU$3:$GU$400,0),2),""))</f>
        <v/>
      </c>
      <c r="GX116" s="259">
        <f ca="1">IF(OR(GN116="IVA NS/CREDITO",GN116="IVA NS/DEBITO",GN116="IVA C/ACCONTO",GN116="IMPOSTE C/ACCONTO"),MAX($GX$2:GX115)+1,0)</f>
        <v>0</v>
      </c>
      <c r="GY116" s="259" t="str">
        <f ca="1">IF(AND(IFERROR(INDEX($GN$3:$GX$200,MATCH(ROWS($GY$3:GY116),$GX$3:$GX$200,0),1),"")&lt;&gt;"",GY117&lt;&gt;""),CONCATENATE(IFERROR(INDEX($GN$3:$GX$200,MATCH(ROWS($GY$3:GY116),$GX$3:$GX$200,0),1),"")," - "),IFERROR(INDEX($GN$3:$GX$200,MATCH(ROWS($GY$3:GY116),$GX$3:$GX$200,0),1),""))</f>
        <v/>
      </c>
      <c r="GZ116" s="259" t="s">
        <v>548</v>
      </c>
      <c r="HA116" s="259" t="s">
        <v>549</v>
      </c>
      <c r="HC116" s="269" t="s">
        <v>211</v>
      </c>
      <c r="HD116" s="269" t="s">
        <v>439</v>
      </c>
      <c r="HV116" s="259" t="str">
        <f ca="1">CONCATENATE(IFERROR(INDEX($HS$3:$HT$102,MATCH(ROWS($HV$3:HV116),$HT$3:$HT$102,0),1),""),HR116)</f>
        <v/>
      </c>
      <c r="IC116" s="259">
        <f ca="1">IFERROR(INDEX(PIANO_DEI_CONTI,MATCH(ROWS(DL$3:DL116),$DK$3:DK343,0),2),0)</f>
        <v>0</v>
      </c>
      <c r="ID116" s="259">
        <f t="shared" ca="1" si="288"/>
        <v>0</v>
      </c>
      <c r="IE116" s="259">
        <f t="shared" ca="1" si="289"/>
        <v>0</v>
      </c>
      <c r="IF116" s="259">
        <f t="shared" ca="1" si="290"/>
        <v>0</v>
      </c>
      <c r="IG116" s="259">
        <f t="shared" ca="1" si="324"/>
        <v>0</v>
      </c>
      <c r="IH116" s="259">
        <f ca="1">IF(IG116&lt;&gt;0,MAX($IH$35:IH115)+1,0)</f>
        <v>0</v>
      </c>
      <c r="II116" s="259">
        <f>IF(AD116="costi pluriennali",MAX($II$2:II115)+1,0)</f>
        <v>0</v>
      </c>
      <c r="IJ116" s="259">
        <f>IF($AD116="rettifiche costi pluriennali",MAX($IJ$2:IJ115)+1,0)</f>
        <v>0</v>
      </c>
      <c r="IK116" s="259">
        <f t="shared" si="291"/>
        <v>0</v>
      </c>
      <c r="IL116" s="259" t="str">
        <f t="shared" si="292"/>
        <v/>
      </c>
      <c r="IM116" s="259">
        <f t="shared" ca="1" si="293"/>
        <v>0</v>
      </c>
      <c r="IN116" s="259">
        <f t="shared" ca="1" si="313"/>
        <v>0</v>
      </c>
      <c r="IO116" s="259">
        <f>SUMIFS($IM$3:$IM$200,$IK$3:$IK$200,ROWS($IO$3:IO116))-SUMIFS($IN$3:$IN$200,$IK$3:$IK$200,ROWS($IO$3:IO116))</f>
        <v>0</v>
      </c>
      <c r="IP116" s="259" t="str">
        <f>IF(IO116&lt;0,INDEX($IJ$3:$IL$200,MATCH(ROWS($IP$3:IP116),$IJ$3:$IJ$200,0),3),"")</f>
        <v/>
      </c>
      <c r="IQ116" s="259">
        <f>IF(IP116&lt;&gt;"",MAX($IQ$2:IQ115)+1,0)</f>
        <v>0</v>
      </c>
      <c r="IR116" s="259" t="str">
        <f ca="1">IFERROR(INDEX($IP$3:$IQ$200,MATCH(ROWS($IR$3:IR116),$IQ$3:$IQ$200,0),1),"")</f>
        <v/>
      </c>
      <c r="IS116" s="259" t="str">
        <f t="shared" ca="1" si="294"/>
        <v/>
      </c>
      <c r="IT116" s="259" t="str">
        <f t="shared" ca="1" si="295"/>
        <v/>
      </c>
      <c r="IU116" s="259" t="str">
        <f t="shared" ca="1" si="296"/>
        <v/>
      </c>
      <c r="IV116" s="259" t="str">
        <f t="shared" ca="1" si="297"/>
        <v/>
      </c>
      <c r="IW116" s="259" t="str">
        <f t="shared" ca="1" si="298"/>
        <v/>
      </c>
      <c r="IX116" s="259" t="str">
        <f t="shared" ca="1" si="299"/>
        <v/>
      </c>
      <c r="IY116" s="259" t="str">
        <f t="shared" ca="1" si="300"/>
        <v/>
      </c>
      <c r="IZ116" s="259" t="str">
        <f t="shared" ca="1" si="301"/>
        <v/>
      </c>
      <c r="JA116" s="259" t="str">
        <f t="shared" ca="1" si="302"/>
        <v/>
      </c>
      <c r="JB116" s="259">
        <f t="shared" ca="1" si="210"/>
        <v>0</v>
      </c>
      <c r="JC116" s="259">
        <f t="shared" ca="1" si="351"/>
        <v>0</v>
      </c>
      <c r="JD116" s="259">
        <f t="shared" ca="1" si="352"/>
        <v>0</v>
      </c>
      <c r="JE116" s="259">
        <f ca="1">IFERROR(INDEX(LIBRO_GIORNALE!$N$11:$O$408,MATCH(ROWS($JE$2:JE115),LIBRO_GIORNALE!$O$11:$O$408,0),1),0)</f>
        <v>0</v>
      </c>
      <c r="JF116" s="259" t="str">
        <f t="shared" ca="1" si="304"/>
        <v>0</v>
      </c>
      <c r="JG116" s="259">
        <f t="shared" ca="1" si="305"/>
        <v>0</v>
      </c>
      <c r="JH116" s="259">
        <f ca="1">IF(JJ116&gt;0,0,MAX($JH$2:JH115)+1)</f>
        <v>114</v>
      </c>
      <c r="JI116" s="259">
        <f ca="1">IF(JG116&gt;0,MAX($JI$2:JI115)+1,0)</f>
        <v>0</v>
      </c>
      <c r="JJ116" s="259">
        <f ca="1">IFERROR(INDEX($JG$3:$JI$124,MATCH(ROWS($JJ$3:JJ116),$JI$3:$JI$124,0),1),0)</f>
        <v>0</v>
      </c>
      <c r="JK116" s="259">
        <f t="shared" ca="1" si="306"/>
        <v>0</v>
      </c>
      <c r="JL116" s="259">
        <f t="shared" ca="1" si="307"/>
        <v>114</v>
      </c>
      <c r="JM116" s="259">
        <f t="shared" ca="1" si="353"/>
        <v>0</v>
      </c>
    </row>
    <row r="117" spans="1:273">
      <c r="A117" s="259" t="str">
        <f t="shared" si="211"/>
        <v>19.11</v>
      </c>
      <c r="B117" s="259" t="str">
        <f t="shared" si="212"/>
        <v>IMPEGNI PER BENI IN LEASING</v>
      </c>
      <c r="C117" s="259">
        <f t="shared" si="213"/>
        <v>0</v>
      </c>
      <c r="D117" s="259" t="str">
        <f t="shared" si="214"/>
        <v>D</v>
      </c>
      <c r="E117" s="259" t="str">
        <f t="shared" si="215"/>
        <v>CONTI D'ORDINE</v>
      </c>
      <c r="F117" s="259">
        <f t="shared" si="216"/>
        <v>0</v>
      </c>
      <c r="G117" s="259">
        <f t="shared" ca="1" si="217"/>
        <v>0</v>
      </c>
      <c r="H117" s="259">
        <f t="shared" ca="1" si="218"/>
        <v>0</v>
      </c>
      <c r="I117" s="259">
        <f t="shared" ca="1" si="219"/>
        <v>1</v>
      </c>
      <c r="K117" s="259" t="str">
        <f ca="1">IFERROR(IF($I$1=1,INDEX($AA$3:$AS$220,MATCH(ROWS($K$3:K117),$AQ$3:$AQ$220,0),1),IF($I$1=2,INDEX($AA$3:$AS$220,MATCH(ROWS($K$3:K117),$AR$3:$AR$220,0),1),IF($I$1=3,INDEX($AA$3:$AS$220,MATCH(ROWS($K$3:K117),$AS$3:$AS$220,0),1),""))),"")</f>
        <v>RIBASSI E ABBUONI ATTIVI</v>
      </c>
      <c r="L117" s="259">
        <f ca="1">IF(AND($L$1="VISUALIZZA TUTTI I CONTI",K117&lt;&gt;""),MAX(L116:L116)+1,IFERROR(IF($J$1=1,IF(INDEX(PIANO_DEI_CONTI,MATCH($K117,DENOMINAZIONE,0),5)=$L$1,MAX($L$2:L116)+1,0),IF($J$1=2,IF(INDEX(PIANO_DEI_CONTI,MATCH($K117,DENOMINAZIONE,0),7)=$L$1,MAX($L$2:L116)+1,0))),0))</f>
        <v>115</v>
      </c>
      <c r="M117" s="259" t="str">
        <f ca="1">IFERROR(INDEX($K$3:$K$220,MATCH(ROWS($M$3:M117),$L$3:$L$220,0),1),"")</f>
        <v>RIBASSI E ABBUONI ATTIVI</v>
      </c>
      <c r="Q117" s="259" t="str">
        <f ca="1">IF(IFERROR(INDEX($O$3:$P$220,MATCH(ROWS(Q$3:Q117),$P$3:$P$220,0),1),"")=0,"",IFERROR(INDEX($O$3:$P$220,MATCH(ROWS(Q$3:Q117),$P$3:$P$220,0),1),""))</f>
        <v/>
      </c>
      <c r="R117" s="259" t="str">
        <f t="shared" ca="1" si="182"/>
        <v/>
      </c>
      <c r="S117" s="259">
        <f ca="1">IF(IFERROR(MATCH(R117,DENOMINAZIONE_GIORNALE,0),0)&gt;0,MAX(S$2:S116)+1,0)</f>
        <v>0</v>
      </c>
      <c r="T117" s="259" t="str">
        <f ca="1">IFERROR(INDEX($R$3:$S$220,MATCH(ROWS($T$3:T117),$S$3:$S$220,0),1),"")</f>
        <v/>
      </c>
      <c r="U117" s="259">
        <f t="shared" ca="1" si="183"/>
        <v>0</v>
      </c>
      <c r="V117" s="259">
        <f ca="1">IF(IF(U117&lt;&gt;0,MAX($V$2:V116)+1,0)=0,0,IF(U117&lt;&gt;0,MAX($V$2:V116)+1,0))</f>
        <v>0</v>
      </c>
      <c r="W117" s="259" t="str">
        <f t="shared" si="220"/>
        <v>19.11</v>
      </c>
      <c r="X117" s="259" t="str">
        <f t="shared" si="221"/>
        <v>IMPEGNI PER BENI IN LEASING</v>
      </c>
      <c r="Y117" s="259">
        <f>IF(W117="",0,MAX($Y$2:Y116)+1)</f>
        <v>98</v>
      </c>
      <c r="Z117" s="259" t="str">
        <f>IFERROR(INDEX($W$3:$Y$220,MATCH(ROWS($Z$2:Z116),$Y$3:$Y$220,0),1),"")</f>
        <v>30.01</v>
      </c>
      <c r="AA117" s="259" t="str">
        <f t="shared" si="222"/>
        <v>MERCI C/ACQUISTI</v>
      </c>
      <c r="AB117" s="259" t="str">
        <f t="shared" si="223"/>
        <v>E</v>
      </c>
      <c r="AC117" s="259" t="str">
        <f t="shared" si="224"/>
        <v>D</v>
      </c>
      <c r="AD117" s="259" t="str">
        <f t="shared" si="225"/>
        <v>COSTI D'ESERCIZIO</v>
      </c>
      <c r="AE117" s="259" t="str">
        <f t="shared" si="226"/>
        <v>SE DARE</v>
      </c>
      <c r="AF117" s="259" t="str">
        <f t="shared" si="227"/>
        <v>COSTI PER MERCI E MATERIE DI CONSUMO</v>
      </c>
      <c r="AG117" s="259">
        <f t="shared" ca="1" si="228"/>
        <v>1</v>
      </c>
      <c r="AH117" s="259">
        <f t="shared" ca="1" si="229"/>
        <v>1</v>
      </c>
      <c r="AI117" s="259">
        <f t="shared" ca="1" si="230"/>
        <v>1</v>
      </c>
      <c r="AJ117" s="259" t="str">
        <f t="shared" si="231"/>
        <v>30</v>
      </c>
      <c r="AK117" s="259" t="str">
        <f t="shared" si="232"/>
        <v/>
      </c>
      <c r="AL117" s="259">
        <f>IF(AK117&lt;&gt;"",MAX($AL$2:AL116)+1,0)</f>
        <v>0</v>
      </c>
      <c r="AM117" s="259" t="str">
        <f>IFERROR(INDEX($AK$3:$AL$220,MATCH(ROWS($AM$3:AM117),$AL$3:$AL$220,0),1),"")</f>
        <v/>
      </c>
      <c r="AN117" s="259" t="str">
        <f t="shared" si="233"/>
        <v/>
      </c>
      <c r="AO117" s="259" t="str">
        <f t="shared" si="234"/>
        <v/>
      </c>
      <c r="AP117" s="259" t="str">
        <f t="shared" si="235"/>
        <v>COSTI PER MERCI E MATERIE DI CONSUMO</v>
      </c>
      <c r="AQ117" s="259">
        <f ca="1">IF(OR(AG117=0,AG117=""),0,MAX(AQ$2:AQ116)+1)</f>
        <v>56</v>
      </c>
      <c r="AR117" s="259">
        <f ca="1">IF(OR(AH117=0,AH117=""),0,MAX(AR$2:AR116)+1)</f>
        <v>81</v>
      </c>
      <c r="AS117" s="259">
        <f ca="1">IF(OR(AI117=0,AI117=""),0,MAX(AS$2:AS116)+1)</f>
        <v>111</v>
      </c>
      <c r="AT117" s="259" t="str">
        <f ca="1">IFERROR(INDEX($AD$3:$AS$220,MATCH(ROWS(AT$3:AT117),AQ$3:AQ$220,0),1),"")</f>
        <v/>
      </c>
      <c r="AU117" s="259" t="str">
        <f ca="1">IFERROR(INDEX($AD$3:$AS$220,MATCH(ROWS(AU$3:AU117),AR$3:AR$220,0),1),"")</f>
        <v>RICAVI D'ESERCIZIO</v>
      </c>
      <c r="AV117" s="259" t="str">
        <f ca="1">IFERROR(INDEX($AD$3:$AS$220,MATCH(ROWS(AV$3:AV117),AS$3:AS$220,0),1),"")</f>
        <v>RETTIFICHE COSTI D'ESERCIZIO</v>
      </c>
      <c r="AW117" s="259" t="str">
        <f ca="1">IFERROR(INDEX($AP$3:$AS$220,MATCH(ROWS(AW$3:AW117),AQ$3:AQ$220,0),1),"")</f>
        <v/>
      </c>
      <c r="AX117" s="259" t="str">
        <f ca="1">IFERROR(INDEX($AP$3:$AS$220,MATCH(ROWS(AX$3:AX117),AR$3:AR$220,0),1),"")</f>
        <v>PROVENTI FINANZIARI</v>
      </c>
      <c r="AY117" s="259" t="str">
        <f ca="1">IFERROR(INDEX($AP$3:$AS$220,MATCH(ROWS(AY$3:AY117),AS$3:AS$220,0),1),"")</f>
        <v>COSTI PER MERCI E MATERIE DI CONSUMO</v>
      </c>
      <c r="AZ117" s="259" t="str">
        <f t="shared" si="339"/>
        <v>15 V.I.</v>
      </c>
      <c r="BA117" s="259">
        <f t="shared" ca="1" si="338"/>
        <v>0</v>
      </c>
      <c r="BB117" s="259">
        <f t="shared" ca="1" si="340"/>
        <v>0</v>
      </c>
      <c r="BC117" s="259">
        <f t="shared" ca="1" si="341"/>
        <v>0</v>
      </c>
      <c r="BD117" s="259">
        <f t="shared" ca="1" si="342"/>
        <v>0</v>
      </c>
      <c r="BE117" s="259">
        <f t="shared" ca="1" si="343"/>
        <v>0</v>
      </c>
      <c r="BG117" s="259" t="str">
        <f t="shared" ca="1" si="185"/>
        <v/>
      </c>
      <c r="BH117" s="259">
        <f ca="1">IF(IFERROR(MATCH(BG117,DENOMINAZIONE_GIORNALE,0),0)&gt;0,MAX(BH$2:BH116)+1,0)</f>
        <v>0</v>
      </c>
      <c r="BI117" s="259" t="str">
        <f ca="1">IFERROR(INDEX($BG$3:$BH$220,MATCH(ROWS($BI$3:BI117),$BH$3:$BH$220,0),1),"")</f>
        <v/>
      </c>
      <c r="BJ117" s="259" t="str">
        <f t="shared" ca="1" si="186"/>
        <v/>
      </c>
      <c r="BK117" s="259" t="str">
        <f ca="1">IF(IF(BJ117&lt;&gt;"",MAX($BK$2:BK116)+1,0)=0,"",IF(BJ117&lt;&gt;"",MAX($BK$2:BK116)+1,0))</f>
        <v/>
      </c>
      <c r="BL117" s="259" t="str">
        <f ca="1">IFERROR(INDEX($T$3:$U$220, MATCH(ROWS(BL$3:BL117),$V$3:$V$220,0),1),"")</f>
        <v/>
      </c>
      <c r="BM117" s="259" t="str">
        <f ca="1">IFERROR(INDEX($T$3:$U$220, MATCH(ROWS(BM$3:BM117),$V$3:$V$220,0),2),"")</f>
        <v/>
      </c>
      <c r="BN117" s="259" t="str">
        <f ca="1">IF(IFERROR(INDEX($BI$3:$BJ$220,MATCH(ROWS(BN$3:BN117),$BK$3:$BK$220,0),1),"")="PATRIMONIO NETTO","",IFERROR(INDEX($BI$3:$BJ$220,MATCH(ROWS(BN$3:BN117),$BK$3:$BK$220,0),1),""))</f>
        <v/>
      </c>
      <c r="BO117" s="259" t="str">
        <f ca="1">IFERROR(INDEX($BI$3:$BJ$220,MATCH(ROWS(BO$3:BO117),$BK$3:$BK$220,0),2),"")</f>
        <v/>
      </c>
      <c r="BP117" s="259">
        <f ca="1">IF(BN117&lt;&gt;"",MAX(BP$2:$BP116)+1,0)</f>
        <v>0</v>
      </c>
      <c r="BQ117" s="259" t="str">
        <f ca="1">IFERROR(INDEX($BN$3:$BO$200,MATCH(ROWS(BQ$3:BQ117),$BP$3:$BP$220,0),1),"")</f>
        <v/>
      </c>
      <c r="BR117" s="259" t="str">
        <f ca="1">IFERROR(INDEX($BN$3:$BO$220,MATCH(ROWS(BR$3:BR117),$BP$3:$BP$220,0),2),"")</f>
        <v/>
      </c>
      <c r="BS117" s="259" t="str">
        <f ca="1">IFERROR(IF(OR(INDEX($T$3:$U$220,MATCH(ROWS(BL$3:BL117),$V$3:$V$220,0),1)="PRELEVAMENTI EXTRAGESTIONE",INDEX($T$3:$U$220,MATCH(ROWS(BL$3:BL117),$V$3:$V$220,0),1)="TITOLARE C/RITENUTE SUBITE"),"",INDEX($T$3:$U$220,MATCH(ROWS(BL$3:BL117),$V$3:$V$220,0),1)),"")</f>
        <v/>
      </c>
      <c r="BT117" s="259">
        <f t="shared" ca="1" si="238"/>
        <v>0</v>
      </c>
      <c r="BU117" s="259">
        <f ca="1">IF(BS117&lt;&gt;"",MAX(BU$2:BU116)+1,0)</f>
        <v>0</v>
      </c>
      <c r="BV117" s="259" t="str">
        <f ca="1">IFERROR(INDEX($BS$3:$BT$223,MATCH(ROWS(BV$3:BV117),$BU$3:$BU$223,0),1),"")</f>
        <v/>
      </c>
      <c r="BW117" s="259">
        <f t="shared" ca="1" si="239"/>
        <v>0</v>
      </c>
      <c r="CB117" s="259" t="str">
        <f ca="1">IFERROR(IF(OR($BB$1&lt;&gt;$BD$1,$BC$1&lt;&gt;$BE$1,$DS$231&lt;&gt;$DT$231,$DU$231&lt;&gt;$DV$231,$EO$25&lt;&gt;0,$EO$26&lt;&gt;0),INDEX($BI$3:$BK$220,MATCH(ROWS($CB$3:CB117),$BK$3:$BK$220,0),1),CONCATENATE(BQ117,BX117)),"")</f>
        <v/>
      </c>
      <c r="CC117" s="259" t="str">
        <f t="shared" ca="1" si="243"/>
        <v/>
      </c>
      <c r="CD117" s="259" t="str">
        <f t="shared" ca="1" si="187"/>
        <v>MERCI C/ACQUISTI</v>
      </c>
      <c r="CE117" s="259">
        <f ca="1">IF(IFERROR(MATCH(CD117,DENOMINAZIONE_GIORNALE,0),0)&gt;0,MAX(CE$2:CE116)+1,0)</f>
        <v>0</v>
      </c>
      <c r="CF117" s="259" t="str">
        <f ca="1">IFERROR(INDEX($CD$3:$CE$220,MATCH(ROWS($CF$3:CF117),$CE$3:$CE$220,0),1),"")</f>
        <v/>
      </c>
      <c r="CG117" s="259">
        <f t="shared" ca="1" si="188"/>
        <v>0</v>
      </c>
      <c r="CH117" s="259" t="str">
        <f ca="1">IF(IF(CG117&lt;&gt;0,MAX($CH$2:CH116)+1,0)=0,"",IF(CG117&lt;&gt;"",MAX($CH$2:CH116)+1,0))</f>
        <v/>
      </c>
      <c r="CI117" s="259" t="str">
        <f ca="1">IFERROR(INDEX($CF$3:$CG$220,MATCH(ROWS($CI$3:CI117),$CH$3:$CH$220,0),1),"")</f>
        <v/>
      </c>
      <c r="CJ117" s="259" t="str">
        <f t="shared" ca="1" si="244"/>
        <v/>
      </c>
      <c r="CK117" s="259" t="str">
        <f t="shared" ca="1" si="189"/>
        <v/>
      </c>
      <c r="CL117" s="259">
        <f ca="1">IF(IFERROR(MATCH(CK117,DENOMINAZIONE_GIORNALE,0),0)&gt;0,MAX(CL$2:CL116)+1,0)</f>
        <v>0</v>
      </c>
      <c r="CM117" s="259" t="str">
        <f ca="1">IFERROR(INDEX($CK$3:$CL$220,MATCH(ROWS($CM$3:CM117),$CL$3:$CL$220,0),1),"")</f>
        <v/>
      </c>
      <c r="CN117" s="259" t="str">
        <f t="shared" ca="1" si="190"/>
        <v/>
      </c>
      <c r="CO117" s="259">
        <f ca="1">IF(IF(CN117&lt;&gt;0,MAX($CO$2:CO116)+1,0)=0,"",IF(CN117&lt;&gt;"",MAX($CO$2:CO116)+1,0))</f>
        <v>0</v>
      </c>
      <c r="CP117" s="259" t="str">
        <f ca="1">IFERROR(INDEX($CM$3:$CN$220,MATCH(ROWS(CP$3:CP117),$CO$3:$CO$220,0),1),"")</f>
        <v/>
      </c>
      <c r="CQ117" s="259" t="str">
        <f ca="1">IFERROR(INDEX($CM$3:$CN$220,MATCH(ROWS(CQ$3:CQ117),$CO$3:$CO$220,0),2),"")</f>
        <v/>
      </c>
      <c r="CS117" s="259">
        <f t="shared" ca="1" si="192"/>
        <v>0</v>
      </c>
      <c r="CT117" s="259">
        <f t="shared" ca="1" si="193"/>
        <v>0</v>
      </c>
      <c r="CU117" s="259">
        <f ca="1">IF(OR(CS117&gt;0,CT117&gt;0),MAX($CU$2:CU116)+1,0)</f>
        <v>0</v>
      </c>
      <c r="CV117" s="259" t="str">
        <f ca="1">IFERROR(INDEX(PIANO_DEI_CONTI,MATCH(ROWS($CV$3:CV117),$CU$3:$CU$200,0),2),"")</f>
        <v/>
      </c>
      <c r="CW117" s="259">
        <f ca="1">IFERROR(IF(CV117&lt;&gt;"",MAX($CW$2:CW116)+1,0),0)</f>
        <v>0</v>
      </c>
      <c r="CX117" s="259">
        <f t="shared" ca="1" si="355"/>
        <v>7</v>
      </c>
      <c r="CY117" s="259" t="str">
        <f t="shared" ca="1" si="337"/>
        <v>MASTRO</v>
      </c>
      <c r="CZ117" s="259" t="e">
        <f t="shared" ca="1" si="357"/>
        <v>#N/A</v>
      </c>
      <c r="DA117" s="259" t="str">
        <f t="shared" ca="1" si="362"/>
        <v/>
      </c>
      <c r="DB117" s="259" t="str">
        <f t="shared" ca="1" si="358"/>
        <v/>
      </c>
      <c r="DC117" s="259" t="str">
        <f t="shared" ca="1" si="359"/>
        <v/>
      </c>
      <c r="DD117" s="259" t="str">
        <f t="shared" ca="1" si="360"/>
        <v/>
      </c>
      <c r="DE117" s="259" t="str">
        <f t="shared" ca="1" si="361"/>
        <v/>
      </c>
      <c r="DF117" s="259">
        <f ca="1">IF(AND(CX117=$DE$2,$DF$2&lt;&gt;0),0,IF(AND(DB117&lt;&gt;"",OR(DB116&lt;&gt;"",DB118&lt;&gt;"")),MAX($DF$2:DF116)+1,0))</f>
        <v>0</v>
      </c>
      <c r="DG117" s="259" t="str">
        <f>IF(IF(LIBRO_GIORNALE!E25="","",IFERROR(INDEX(PIANO_DEI_CONTI,MATCH(BB117,DENOMINAZIONE,0),1),0))=0,"",IF(LIBRO_GIORNALE!E25="","",IFERROR(INDEX(PIANO_DEI_CONTI,MATCH(BB117,DENOMINAZIONE,0),1),0)))</f>
        <v/>
      </c>
      <c r="DH117" s="259">
        <f ca="1">IFERROR(IF($J$1=1,IF(INDEX(PIANO_DEI_CONTI,MATCH($K117,DENOMINAZIONE,0),5)=$DF$1,MAX($DH$2:DH116)+1,0),IF($J$1=2,IF(INDEX(PIANO_DEI_CONTI,MATCH($K117,DENOMINAZIONE,0),7)=$DF$1,MAX($DH$2:DH116)+1,0))),0)</f>
        <v>0</v>
      </c>
      <c r="DI117" s="259">
        <f ca="1">IFERROR(INDEX($K$3:$K$220,MATCH(ROWS($DI$3:DI117),$DH$3:$DH$220,0),1),0)</f>
        <v>0</v>
      </c>
      <c r="DJ117" s="259">
        <f t="shared" ca="1" si="194"/>
        <v>0</v>
      </c>
      <c r="DK117" s="259">
        <f ca="1">IF(DJ117=0,0,MAX(DK$2:DK116)+1)</f>
        <v>0</v>
      </c>
      <c r="DL117" s="259">
        <f ca="1">IFERROR(INDEX(PIANO_DEI_CONTI,MATCH(ROWS(DL$3:DL117),$DK$3:DK344,0),2),0)</f>
        <v>0</v>
      </c>
      <c r="DM117" s="259">
        <f t="shared" ca="1" si="195"/>
        <v>0</v>
      </c>
      <c r="DN117" s="259">
        <f t="shared" ca="1" si="196"/>
        <v>0</v>
      </c>
      <c r="DO117" s="259">
        <f t="shared" ca="1" si="245"/>
        <v>0</v>
      </c>
      <c r="DP117" s="259">
        <f t="shared" ca="1" si="246"/>
        <v>0</v>
      </c>
      <c r="DQ117" s="259">
        <f ca="1">IF(OR($DQ$1="TOTALI",$DQ$1="TOTALI ED ECCEDENZE"),IF(OR(DM117&gt;0,DN117&gt;0),MAX(DQ$2:DQ116)+1,0),IF($DQ$1="ECCEDENZE",IF(OR(DO117&gt;0,DP117&gt;0),MAX(DQ$2:DQ116)+1,0),""))</f>
        <v>0</v>
      </c>
      <c r="DR117" s="259" t="str">
        <f ca="1">IFERROR(INDEX($DL$3:$DQ$230,MATCH(ROWS(DR$3:DR117),$DQ$3:$DQ$230,0),1),"")</f>
        <v/>
      </c>
      <c r="DS117" s="259" t="str">
        <f t="shared" ca="1" si="247"/>
        <v/>
      </c>
      <c r="DT117" s="259" t="str">
        <f t="shared" ca="1" si="248"/>
        <v/>
      </c>
      <c r="DU117" s="259" t="str">
        <f t="shared" ca="1" si="249"/>
        <v/>
      </c>
      <c r="DV117" s="259" t="str">
        <f t="shared" ca="1" si="250"/>
        <v/>
      </c>
      <c r="DW117" s="259">
        <f t="shared" ca="1" si="251"/>
        <v>0</v>
      </c>
      <c r="DX117" s="259" t="str">
        <f t="shared" ca="1" si="252"/>
        <v/>
      </c>
      <c r="DY117" s="259" t="str">
        <f t="shared" ca="1" si="253"/>
        <v/>
      </c>
      <c r="DZ117" s="259" t="str">
        <f t="shared" ca="1" si="254"/>
        <v/>
      </c>
      <c r="EA117" s="259">
        <f t="shared" ca="1" si="255"/>
        <v>115</v>
      </c>
      <c r="EB117" s="259" t="s">
        <v>368</v>
      </c>
      <c r="ED117" s="259">
        <f t="shared" ca="1" si="197"/>
        <v>0</v>
      </c>
      <c r="EH117" s="259" t="str">
        <f t="shared" ca="1" si="256"/>
        <v/>
      </c>
      <c r="EI117" s="260" t="b">
        <f t="shared" ca="1" si="310"/>
        <v>0</v>
      </c>
      <c r="EJ117" s="260" t="b">
        <f t="shared" ca="1" si="311"/>
        <v>0</v>
      </c>
      <c r="EK117" s="260" t="b">
        <f t="shared" ca="1" si="312"/>
        <v>1</v>
      </c>
      <c r="EL117" s="259">
        <f t="shared" si="257"/>
        <v>115</v>
      </c>
      <c r="EM117" s="259">
        <f ca="1">IF(AND(BA117&gt;0,BA117&lt;=$EM$1),MAX($EM$2:EM116)+1,0)</f>
        <v>0</v>
      </c>
      <c r="EN117" s="259">
        <f t="shared" ca="1" si="258"/>
        <v>117</v>
      </c>
      <c r="EP117" s="259" t="str">
        <f t="shared" ca="1" si="200"/>
        <v/>
      </c>
      <c r="EQ117" s="259">
        <f t="shared" ca="1" si="201"/>
        <v>0</v>
      </c>
      <c r="ER117" s="259">
        <f ca="1">IF(ISNA(EQ117),MAX(ER$2:ER116)+1,0)</f>
        <v>0</v>
      </c>
      <c r="ES117" s="259" t="str">
        <f t="shared" ca="1" si="259"/>
        <v/>
      </c>
      <c r="ET117" s="259" t="str">
        <f ca="1">IFERROR(UPPER(INDEX($ER$3:$ES$500,MATCH(ROWS(ET$3:ET117),$ER$3:$ER$500,0),2)),"")</f>
        <v/>
      </c>
      <c r="EW117" s="259">
        <f t="shared" ca="1" si="344"/>
        <v>1</v>
      </c>
      <c r="EX117" s="259">
        <v>15</v>
      </c>
      <c r="EY117" s="259">
        <f t="shared" ca="1" si="345"/>
        <v>0</v>
      </c>
      <c r="EZ117" s="259">
        <f t="shared" ca="1" si="346"/>
        <v>0</v>
      </c>
      <c r="FA117" s="259">
        <f t="shared" ca="1" si="347"/>
        <v>0</v>
      </c>
      <c r="FB117" s="259">
        <f t="shared" ca="1" si="348"/>
        <v>0</v>
      </c>
      <c r="FC117" s="259">
        <f t="shared" ca="1" si="349"/>
        <v>0</v>
      </c>
      <c r="FD117" s="259">
        <f t="shared" ca="1" si="202"/>
        <v>0</v>
      </c>
      <c r="FE117" s="259" t="str">
        <f t="shared" ca="1" si="203"/>
        <v/>
      </c>
      <c r="FF117" s="259" t="str">
        <f t="shared" ca="1" si="350"/>
        <v/>
      </c>
      <c r="FG117" s="259" t="str">
        <f t="shared" si="335"/>
        <v/>
      </c>
      <c r="FH117" s="259">
        <f t="shared" ca="1" si="334"/>
        <v>0</v>
      </c>
      <c r="FI117" s="259">
        <f t="shared" ca="1" si="204"/>
        <v>0</v>
      </c>
      <c r="FJ117" s="259">
        <f t="shared" ca="1" si="336"/>
        <v>0</v>
      </c>
      <c r="FK117" s="259">
        <f t="shared" ca="1" si="267"/>
        <v>0</v>
      </c>
      <c r="FL117" s="259">
        <f ca="1">IF(OR(FJ117&gt;0,FK117&gt;0),MAX($FL$2:FL116)+1,0)</f>
        <v>0</v>
      </c>
      <c r="FM117" s="259">
        <f t="shared" ca="1" si="205"/>
        <v>0</v>
      </c>
      <c r="FN117" s="259">
        <f ca="1">IF(FM117&lt;0,MAX($FN$2:FN116)+1,0)</f>
        <v>0</v>
      </c>
      <c r="FO117" s="259" t="str">
        <f t="shared" ca="1" si="268"/>
        <v/>
      </c>
      <c r="FP117" s="259" t="str">
        <f ca="1">IFERROR(INDEX($FN$3:$FO$400,MATCH(ROWS($FP$3:FP117),$FN$3:$FN$400,0),2),"")</f>
        <v/>
      </c>
      <c r="FQ117" s="259" t="str">
        <f>IF(AE117="SE AVERE",MAX($FQ$2:FQ116)+1,"")</f>
        <v/>
      </c>
      <c r="FR117" s="259">
        <f>IF(AE117="SE DARE",MAX($FR$2:FR116)+1,"")</f>
        <v>25</v>
      </c>
      <c r="FS117" s="259" t="str">
        <f ca="1">IF(AND(AE117="SP DARE",AA117&lt;&gt;$FS$1,AA117&lt;&gt;$FT$1),MAX($FS$2:FS116)+1,IF(AND(GQ117="SP DARE",AA117&lt;&gt;$FS$1,AA117&lt;&gt;$FT$1),MAX($FS$2:FS116)+1,""))</f>
        <v/>
      </c>
      <c r="FT117" s="259" t="str">
        <f ca="1">IF(AND(AE117="SP AVERE",AA117&lt;&gt;$FU$1),MAX($FT$2:FT116)+1,IF(AND(GQ117="SP AVERE",AA117&lt;&gt;$FU$1),MAX($FT$2:FT116)+1,""))</f>
        <v/>
      </c>
      <c r="FU117" s="259">
        <f t="shared" ca="1" si="269"/>
        <v>25</v>
      </c>
      <c r="FV117" s="259" t="str">
        <f t="shared" si="270"/>
        <v>MERCI C/ACQUISTI</v>
      </c>
      <c r="FW117" s="259" t="str">
        <f ca="1">IFERROR(INDEX($FU$3:$FV$500,MATCH(ROWS($FW$3:FW117),$FU$3:$FU$500,0),2),0)</f>
        <v>CREDITI INSOLUTI</v>
      </c>
      <c r="FX117" s="259">
        <f t="shared" ca="1" si="271"/>
        <v>115</v>
      </c>
      <c r="FY117" s="259">
        <f t="shared" ca="1" si="272"/>
        <v>0</v>
      </c>
      <c r="FZ117" s="259">
        <f ca="1">IF(FY117&gt;0,MAX($FZ$2:FZ116)+1,0)</f>
        <v>0</v>
      </c>
      <c r="GA117" s="259">
        <f ca="1">IFERROR(INDEX($FY$3:$FZ$500,MATCH(ROWS($GA$3:GA117),$FZ$3:$FZ$500,0),1),0)</f>
        <v>0</v>
      </c>
      <c r="GC117" s="259">
        <f t="shared" ca="1" si="273"/>
        <v>115</v>
      </c>
      <c r="GD117" s="259" t="str">
        <f t="shared" ca="1" si="274"/>
        <v>CREDITI INSOLUTI</v>
      </c>
      <c r="GG117" s="259">
        <f t="shared" ca="1" si="275"/>
        <v>0</v>
      </c>
      <c r="GH117" s="259">
        <f t="shared" ca="1" si="276"/>
        <v>0</v>
      </c>
      <c r="GI117" s="259">
        <f t="shared" ca="1" si="277"/>
        <v>0</v>
      </c>
      <c r="GJ117" s="259">
        <f t="shared" ca="1" si="278"/>
        <v>0</v>
      </c>
      <c r="GK117" s="259">
        <f t="shared" ca="1" si="279"/>
        <v>0</v>
      </c>
      <c r="GL117" s="259">
        <f t="shared" ca="1" si="280"/>
        <v>0</v>
      </c>
      <c r="GM117" s="259">
        <f ca="1">IF(OR(GK117&gt;0,GL117&gt;0),MAX($GM$2:GM116)+1,0)</f>
        <v>0</v>
      </c>
      <c r="GN117" s="259" t="str">
        <f ca="1">IFERROR(INDEX($GD$3:$GM$400,MATCH(ROWS($GN$3:GN117),$GM$3:$GM$400,0),1),"")</f>
        <v/>
      </c>
      <c r="GO117" s="259" t="str">
        <f ca="1">IFERROR(INDEX($GD$3:$GM$400,MATCH(ROWS($GO$3:GO117),$GM$3:$GM$400,0),8),"")</f>
        <v/>
      </c>
      <c r="GP117" s="259" t="str">
        <f ca="1">IFERROR(INDEX($GD$3:$GM$400,MATCH(ROWS($GP$3:GP117),$GM$3:$GM$400,0),9),"")</f>
        <v/>
      </c>
      <c r="GQ117" s="259">
        <f t="shared" ca="1" si="206"/>
        <v>0</v>
      </c>
      <c r="GR117" s="259">
        <f t="shared" ca="1" si="281"/>
        <v>0</v>
      </c>
      <c r="GS117" s="259" t="str">
        <f t="shared" ca="1" si="282"/>
        <v>chiusura del conto</v>
      </c>
      <c r="GT117" s="259" t="str">
        <f ca="1">IFERROR(INDEX($GD$3:$GS$400,MATCH(ROWS($GT$3:GT117),$GM$3:$GM$400,0),16),"")</f>
        <v/>
      </c>
      <c r="GU117" s="259">
        <f ca="1">IF(GQ117&lt;&gt;0,MAX($GU$2:$GU116)+1,0)</f>
        <v>0</v>
      </c>
      <c r="GV117" s="259">
        <f t="shared" ca="1" si="283"/>
        <v>0</v>
      </c>
      <c r="GW117" s="259" t="str">
        <f ca="1">IF(AND(IFERROR(INDEX($GU$3:$GV$400,MATCH(ROWS($GW$3:GW117),$GU$3:$GU$400,0),2),"")&lt;&gt;"",GW118&lt;&gt;""),CONCATENATE(IFERROR(INDEX($GU$3:$GV$400,MATCH(ROWS($GW$3:GW117),$GU$3:$GU$400,0),2),"")," - "),IFERROR(INDEX($GU$3:$GV$400,MATCH(ROWS($GW$3:GW117),$GU$3:$GU$400,0),2),""))</f>
        <v/>
      </c>
      <c r="GX117" s="259">
        <f ca="1">IF(OR(GN117="IVA NS/CREDITO",GN117="IVA NS/DEBITO",GN117="IVA C/ACCONTO",GN117="IMPOSTE C/ACCONTO"),MAX($GX$2:GX116)+1,0)</f>
        <v>0</v>
      </c>
      <c r="GY117" s="259" t="str">
        <f ca="1">IF(AND(IFERROR(INDEX($GN$3:$GX$200,MATCH(ROWS($GY$3:GY117),$GX$3:$GX$200,0),1),"")&lt;&gt;"",GY118&lt;&gt;""),CONCATENATE(IFERROR(INDEX($GN$3:$GX$200,MATCH(ROWS($GY$3:GY117),$GX$3:$GX$200,0),1),"")," - "),IFERROR(INDEX($GN$3:$GX$200,MATCH(ROWS($GY$3:GY117),$GX$3:$GX$200,0),1),""))</f>
        <v/>
      </c>
      <c r="GZ117" s="259" t="s">
        <v>550</v>
      </c>
      <c r="HA117" s="259" t="s">
        <v>552</v>
      </c>
      <c r="HC117" s="269" t="s">
        <v>276</v>
      </c>
      <c r="HD117" s="269" t="s">
        <v>439</v>
      </c>
      <c r="HV117" s="259" t="str">
        <f ca="1">CONCATENATE(IFERROR(INDEX($HS$3:$HT$102,MATCH(ROWS($HV$3:HV117),$HT$3:$HT$102,0),1),""),HR117)</f>
        <v/>
      </c>
      <c r="IC117" s="259">
        <f ca="1">IFERROR(INDEX(PIANO_DEI_CONTI,MATCH(ROWS(DL$3:DL117),$DK$3:DK344,0),2),0)</f>
        <v>0</v>
      </c>
      <c r="ID117" s="259">
        <f t="shared" ca="1" si="288"/>
        <v>0</v>
      </c>
      <c r="IE117" s="259">
        <f t="shared" ca="1" si="289"/>
        <v>0</v>
      </c>
      <c r="IF117" s="259">
        <f t="shared" ca="1" si="290"/>
        <v>0</v>
      </c>
      <c r="IG117" s="259">
        <f t="shared" ca="1" si="324"/>
        <v>0</v>
      </c>
      <c r="IH117" s="259">
        <f ca="1">IF(IG117&lt;&gt;0,MAX($IH$35:IH116)+1,0)</f>
        <v>0</v>
      </c>
      <c r="II117" s="259">
        <f>IF(AD117="costi pluriennali",MAX($II$2:II116)+1,0)</f>
        <v>0</v>
      </c>
      <c r="IJ117" s="259">
        <f>IF($AD117="rettifiche costi pluriennali",MAX($IJ$2:IJ116)+1,0)</f>
        <v>0</v>
      </c>
      <c r="IK117" s="259">
        <f t="shared" si="291"/>
        <v>0</v>
      </c>
      <c r="IL117" s="259" t="str">
        <f t="shared" si="292"/>
        <v/>
      </c>
      <c r="IM117" s="259">
        <f t="shared" ca="1" si="293"/>
        <v>0</v>
      </c>
      <c r="IN117" s="259">
        <f t="shared" ca="1" si="313"/>
        <v>0</v>
      </c>
      <c r="IO117" s="259">
        <f>SUMIFS($IM$3:$IM$200,$IK$3:$IK$200,ROWS($IO$3:IO117))-SUMIFS($IN$3:$IN$200,$IK$3:$IK$200,ROWS($IO$3:IO117))</f>
        <v>0</v>
      </c>
      <c r="IP117" s="259" t="str">
        <f>IF(IO117&lt;0,INDEX($IJ$3:$IL$200,MATCH(ROWS($IP$3:IP117),$IJ$3:$IJ$200,0),3),"")</f>
        <v/>
      </c>
      <c r="IQ117" s="259">
        <f>IF(IP117&lt;&gt;"",MAX($IQ$2:IQ116)+1,0)</f>
        <v>0</v>
      </c>
      <c r="IR117" s="259" t="str">
        <f ca="1">IFERROR(INDEX($IP$3:$IQ$200,MATCH(ROWS($IR$3:IR117),$IQ$3:$IQ$200,0),1),"")</f>
        <v/>
      </c>
      <c r="IS117" s="259" t="str">
        <f t="shared" ca="1" si="294"/>
        <v/>
      </c>
      <c r="IT117" s="259" t="str">
        <f t="shared" ca="1" si="295"/>
        <v/>
      </c>
      <c r="IU117" s="259" t="str">
        <f t="shared" ca="1" si="296"/>
        <v/>
      </c>
      <c r="IV117" s="259" t="str">
        <f t="shared" ca="1" si="297"/>
        <v/>
      </c>
      <c r="IW117" s="259" t="str">
        <f t="shared" ca="1" si="298"/>
        <v/>
      </c>
      <c r="IX117" s="259" t="str">
        <f t="shared" ca="1" si="299"/>
        <v/>
      </c>
      <c r="IY117" s="259" t="str">
        <f t="shared" ca="1" si="300"/>
        <v/>
      </c>
      <c r="IZ117" s="259" t="str">
        <f t="shared" ca="1" si="301"/>
        <v/>
      </c>
      <c r="JA117" s="259" t="str">
        <f t="shared" ca="1" si="302"/>
        <v/>
      </c>
      <c r="JB117" s="259">
        <f t="shared" ca="1" si="210"/>
        <v>0</v>
      </c>
      <c r="JC117" s="259">
        <f t="shared" ca="1" si="351"/>
        <v>0</v>
      </c>
      <c r="JD117" s="259">
        <f t="shared" ca="1" si="352"/>
        <v>0</v>
      </c>
      <c r="JE117" s="259">
        <f ca="1">IFERROR(INDEX(LIBRO_GIORNALE!$N$11:$O$408,MATCH(ROWS($JE$2:JE116),LIBRO_GIORNALE!$O$11:$O$408,0),1),0)</f>
        <v>0</v>
      </c>
      <c r="JF117" s="259" t="str">
        <f t="shared" ca="1" si="304"/>
        <v>0</v>
      </c>
      <c r="JG117" s="259">
        <f t="shared" ca="1" si="305"/>
        <v>0</v>
      </c>
      <c r="JH117" s="259">
        <f ca="1">IF(JJ117&gt;0,0,MAX($JH$2:JH116)+1)</f>
        <v>115</v>
      </c>
      <c r="JI117" s="259">
        <f ca="1">IF(JG117&gt;0,MAX($JI$2:JI116)+1,0)</f>
        <v>0</v>
      </c>
      <c r="JJ117" s="259">
        <f ca="1">IFERROR(INDEX($JG$3:$JI$124,MATCH(ROWS($JJ$3:JJ117),$JI$3:$JI$124,0),1),0)</f>
        <v>0</v>
      </c>
      <c r="JK117" s="259">
        <f t="shared" ca="1" si="306"/>
        <v>0</v>
      </c>
      <c r="JL117" s="259">
        <f t="shared" ca="1" si="307"/>
        <v>115</v>
      </c>
      <c r="JM117" s="259">
        <f t="shared" ca="1" si="353"/>
        <v>0</v>
      </c>
    </row>
    <row r="118" spans="1:273">
      <c r="A118" s="259" t="str">
        <f t="shared" si="211"/>
        <v>19.12</v>
      </c>
      <c r="B118" s="259" t="str">
        <f t="shared" si="212"/>
        <v>CREDITORI C/LEASING</v>
      </c>
      <c r="C118" s="259">
        <f t="shared" si="213"/>
        <v>0</v>
      </c>
      <c r="D118" s="259" t="str">
        <f t="shared" si="214"/>
        <v>A</v>
      </c>
      <c r="E118" s="259" t="str">
        <f t="shared" si="215"/>
        <v>CONTI D'ORDINE</v>
      </c>
      <c r="F118" s="259">
        <f t="shared" si="216"/>
        <v>0</v>
      </c>
      <c r="G118" s="259">
        <f t="shared" ca="1" si="217"/>
        <v>0</v>
      </c>
      <c r="H118" s="259">
        <f t="shared" ca="1" si="218"/>
        <v>0</v>
      </c>
      <c r="I118" s="259">
        <f t="shared" ca="1" si="219"/>
        <v>1</v>
      </c>
      <c r="K118" s="259" t="str">
        <f ca="1">IFERROR(IF($I$1=1,INDEX($AA$3:$AS$220,MATCH(ROWS($K$3:K118),$AQ$3:$AQ$220,0),1),IF($I$1=2,INDEX($AA$3:$AS$220,MATCH(ROWS($K$3:K118),$AR$3:$AR$220,0),1),IF($I$1=3,INDEX($AA$3:$AS$220,MATCH(ROWS($K$3:K118),$AS$3:$AS$220,0),1),""))),"")</f>
        <v>PREMI SU ACQUISTI</v>
      </c>
      <c r="L118" s="259">
        <f ca="1">IF(AND($L$1="VISUALIZZA TUTTI I CONTI",K118&lt;&gt;""),MAX(L117:L117)+1,IFERROR(IF($J$1=1,IF(INDEX(PIANO_DEI_CONTI,MATCH($K118,DENOMINAZIONE,0),5)=$L$1,MAX($L$2:L117)+1,0),IF($J$1=2,IF(INDEX(PIANO_DEI_CONTI,MATCH($K118,DENOMINAZIONE,0),7)=$L$1,MAX($L$2:L117)+1,0))),0))</f>
        <v>116</v>
      </c>
      <c r="M118" s="259" t="str">
        <f ca="1">IFERROR(INDEX($K$3:$K$220,MATCH(ROWS($M$3:M118),$L$3:$L$220,0),1),"")</f>
        <v>PREMI SU ACQUISTI</v>
      </c>
      <c r="Q118" s="259" t="str">
        <f ca="1">IF(IFERROR(INDEX($O$3:$P$220,MATCH(ROWS(Q$3:Q118),$P$3:$P$220,0),1),"")=0,"",IFERROR(INDEX($O$3:$P$220,MATCH(ROWS(Q$3:Q118),$P$3:$P$220,0),1),""))</f>
        <v/>
      </c>
      <c r="R118" s="259" t="str">
        <f t="shared" ca="1" si="182"/>
        <v/>
      </c>
      <c r="S118" s="259">
        <f ca="1">IF(IFERROR(MATCH(R118,DENOMINAZIONE_GIORNALE,0),0)&gt;0,MAX(S$2:S117)+1,0)</f>
        <v>0</v>
      </c>
      <c r="T118" s="259" t="str">
        <f ca="1">IFERROR(INDEX($R$3:$S$220,MATCH(ROWS($T$3:T118),$S$3:$S$220,0),1),"")</f>
        <v/>
      </c>
      <c r="U118" s="259">
        <f t="shared" ca="1" si="183"/>
        <v>0</v>
      </c>
      <c r="V118" s="259">
        <f ca="1">IF(IF(U118&lt;&gt;0,MAX($V$2:V117)+1,0)=0,0,IF(U118&lt;&gt;0,MAX($V$2:V117)+1,0))</f>
        <v>0</v>
      </c>
      <c r="W118" s="259" t="str">
        <f t="shared" si="220"/>
        <v>19.12</v>
      </c>
      <c r="X118" s="259" t="str">
        <f t="shared" si="221"/>
        <v>CREDITORI C/LEASING</v>
      </c>
      <c r="Y118" s="259">
        <f>IF(W118="",0,MAX($Y$2:Y117)+1)</f>
        <v>99</v>
      </c>
      <c r="Z118" s="259" t="str">
        <f>IFERROR(INDEX($W$3:$Y$220,MATCH(ROWS($Z$2:Z117),$Y$3:$Y$220,0),1),"")</f>
        <v>30.02</v>
      </c>
      <c r="AA118" s="259" t="str">
        <f t="shared" si="222"/>
        <v>MATERIE DI CONSUMO C/ACQUISTI</v>
      </c>
      <c r="AB118" s="259" t="str">
        <f t="shared" si="223"/>
        <v>E</v>
      </c>
      <c r="AC118" s="259" t="str">
        <f t="shared" si="224"/>
        <v>D</v>
      </c>
      <c r="AD118" s="259" t="str">
        <f t="shared" si="225"/>
        <v>COSTI D'ESERCIZIO</v>
      </c>
      <c r="AE118" s="259" t="str">
        <f t="shared" si="226"/>
        <v>SE DARE</v>
      </c>
      <c r="AF118" s="259" t="str">
        <f t="shared" si="227"/>
        <v>COSTI PER MERCI E MATERIE DI CONSUMO</v>
      </c>
      <c r="AG118" s="259">
        <f t="shared" ca="1" si="228"/>
        <v>1</v>
      </c>
      <c r="AH118" s="259">
        <f t="shared" ca="1" si="229"/>
        <v>1</v>
      </c>
      <c r="AI118" s="259">
        <f t="shared" ca="1" si="230"/>
        <v>1</v>
      </c>
      <c r="AJ118" s="259" t="str">
        <f t="shared" si="231"/>
        <v>30</v>
      </c>
      <c r="AK118" s="259" t="str">
        <f t="shared" si="232"/>
        <v/>
      </c>
      <c r="AL118" s="259">
        <f>IF(AK118&lt;&gt;"",MAX($AL$2:AL117)+1,0)</f>
        <v>0</v>
      </c>
      <c r="AM118" s="259" t="str">
        <f>IFERROR(INDEX($AK$3:$AL$220,MATCH(ROWS($AM$3:AM118),$AL$3:$AL$220,0),1),"")</f>
        <v/>
      </c>
      <c r="AN118" s="259" t="str">
        <f t="shared" si="233"/>
        <v/>
      </c>
      <c r="AO118" s="259" t="str">
        <f t="shared" si="234"/>
        <v/>
      </c>
      <c r="AP118" s="259" t="str">
        <f t="shared" si="235"/>
        <v>COSTI PER MERCI E MATERIE DI CONSUMO</v>
      </c>
      <c r="AQ118" s="259">
        <f ca="1">IF(OR(AG118=0,AG118=""),0,MAX(AQ$2:AQ117)+1)</f>
        <v>57</v>
      </c>
      <c r="AR118" s="259">
        <f ca="1">IF(OR(AH118=0,AH118=""),0,MAX(AR$2:AR117)+1)</f>
        <v>82</v>
      </c>
      <c r="AS118" s="259">
        <f ca="1">IF(OR(AI118=0,AI118=""),0,MAX(AS$2:AS117)+1)</f>
        <v>112</v>
      </c>
      <c r="AT118" s="259" t="str">
        <f ca="1">IFERROR(INDEX($AD$3:$AS$220,MATCH(ROWS(AT$3:AT118),AQ$3:AQ$220,0),1),"")</f>
        <v/>
      </c>
      <c r="AU118" s="259" t="str">
        <f ca="1">IFERROR(INDEX($AD$3:$AS$220,MATCH(ROWS(AU$3:AU118),AR$3:AR$220,0),1),"")</f>
        <v>RICAVI D'ESERCIZIO</v>
      </c>
      <c r="AV118" s="259" t="str">
        <f ca="1">IFERROR(INDEX($AD$3:$AS$220,MATCH(ROWS(AV$3:AV118),AS$3:AS$220,0),1),"")</f>
        <v>RETTIFICHE COSTI D'ESERCIZIO</v>
      </c>
      <c r="AW118" s="259" t="str">
        <f ca="1">IFERROR(INDEX($AP$3:$AS$220,MATCH(ROWS(AW$3:AW118),AQ$3:AQ$220,0),1),"")</f>
        <v/>
      </c>
      <c r="AX118" s="259" t="str">
        <f ca="1">IFERROR(INDEX($AP$3:$AS$220,MATCH(ROWS(AX$3:AX118),AR$3:AR$220,0),1),"")</f>
        <v>PROVENTI FINANZIARI</v>
      </c>
      <c r="AY118" s="259" t="str">
        <f ca="1">IFERROR(INDEX($AP$3:$AS$220,MATCH(ROWS(AY$3:AY118),AS$3:AS$220,0),1),"")</f>
        <v>COSTI PER MERCI E MATERIE DI CONSUMO</v>
      </c>
      <c r="AZ118" s="259" t="str">
        <f t="shared" si="339"/>
        <v>16 V.I.</v>
      </c>
      <c r="BA118" s="259">
        <f t="shared" ca="1" si="338"/>
        <v>0</v>
      </c>
      <c r="BB118" s="259">
        <f t="shared" ca="1" si="340"/>
        <v>0</v>
      </c>
      <c r="BC118" s="259">
        <f t="shared" ca="1" si="341"/>
        <v>0</v>
      </c>
      <c r="BD118" s="259">
        <f t="shared" ca="1" si="342"/>
        <v>0</v>
      </c>
      <c r="BE118" s="259">
        <f t="shared" ca="1" si="343"/>
        <v>0</v>
      </c>
      <c r="BG118" s="259" t="str">
        <f t="shared" ca="1" si="185"/>
        <v/>
      </c>
      <c r="BH118" s="259">
        <f ca="1">IF(IFERROR(MATCH(BG118,DENOMINAZIONE_GIORNALE,0),0)&gt;0,MAX(BH$2:BH117)+1,0)</f>
        <v>0</v>
      </c>
      <c r="BI118" s="259" t="str">
        <f ca="1">IFERROR(INDEX($BG$3:$BH$220,MATCH(ROWS($BI$3:BI118),$BH$3:$BH$220,0),1),"")</f>
        <v/>
      </c>
      <c r="BJ118" s="259" t="str">
        <f t="shared" ca="1" si="186"/>
        <v/>
      </c>
      <c r="BK118" s="259" t="str">
        <f ca="1">IF(IF(BJ118&lt;&gt;"",MAX($BK$2:BK117)+1,0)=0,"",IF(BJ118&lt;&gt;"",MAX($BK$2:BK117)+1,0))</f>
        <v/>
      </c>
      <c r="BL118" s="259" t="str">
        <f ca="1">IFERROR(INDEX($T$3:$U$220, MATCH(ROWS(BL$3:BL118),$V$3:$V$220,0),1),"")</f>
        <v/>
      </c>
      <c r="BM118" s="259" t="str">
        <f ca="1">IFERROR(INDEX($T$3:$U$220, MATCH(ROWS(BM$3:BM118),$V$3:$V$220,0),2),"")</f>
        <v/>
      </c>
      <c r="BN118" s="259" t="str">
        <f ca="1">IF(IFERROR(INDEX($BI$3:$BJ$220,MATCH(ROWS(BN$3:BN118),$BK$3:$BK$220,0),1),"")="PATRIMONIO NETTO","",IFERROR(INDEX($BI$3:$BJ$220,MATCH(ROWS(BN$3:BN118),$BK$3:$BK$220,0),1),""))</f>
        <v/>
      </c>
      <c r="BO118" s="259" t="str">
        <f ca="1">IFERROR(INDEX($BI$3:$BJ$220,MATCH(ROWS(BO$3:BO118),$BK$3:$BK$220,0),2),"")</f>
        <v/>
      </c>
      <c r="BP118" s="259">
        <f ca="1">IF(BN118&lt;&gt;"",MAX(BP$2:$BP117)+1,0)</f>
        <v>0</v>
      </c>
      <c r="BQ118" s="259" t="str">
        <f ca="1">IFERROR(INDEX($BN$3:$BO$200,MATCH(ROWS(BQ$3:BQ118),$BP$3:$BP$220,0),1),"")</f>
        <v/>
      </c>
      <c r="BR118" s="259" t="str">
        <f ca="1">IFERROR(INDEX($BN$3:$BO$220,MATCH(ROWS(BR$3:BR118),$BP$3:$BP$220,0),2),"")</f>
        <v/>
      </c>
      <c r="BS118" s="259" t="str">
        <f ca="1">IFERROR(IF(OR(INDEX($T$3:$U$220,MATCH(ROWS(BL$3:BL118),$V$3:$V$220,0),1)="PRELEVAMENTI EXTRAGESTIONE",INDEX($T$3:$U$220,MATCH(ROWS(BL$3:BL118),$V$3:$V$220,0),1)="TITOLARE C/RITENUTE SUBITE"),"",INDEX($T$3:$U$220,MATCH(ROWS(BL$3:BL118),$V$3:$V$220,0),1)),"")</f>
        <v/>
      </c>
      <c r="BT118" s="259">
        <f t="shared" ca="1" si="238"/>
        <v>0</v>
      </c>
      <c r="BU118" s="259">
        <f ca="1">IF(BS118&lt;&gt;"",MAX(BU$2:BU117)+1,0)</f>
        <v>0</v>
      </c>
      <c r="BV118" s="259" t="str">
        <f ca="1">IFERROR(INDEX($BS$3:$BT$223,MATCH(ROWS(BV$3:BV118),$BU$3:$BU$223,0),1),"")</f>
        <v/>
      </c>
      <c r="BW118" s="259">
        <f t="shared" ca="1" si="239"/>
        <v>0</v>
      </c>
      <c r="CB118" s="259" t="str">
        <f ca="1">IFERROR(IF(OR($BB$1&lt;&gt;$BD$1,$BC$1&lt;&gt;$BE$1,$DS$231&lt;&gt;$DT$231,$DU$231&lt;&gt;$DV$231,$EO$25&lt;&gt;0,$EO$26&lt;&gt;0),INDEX($BI$3:$BK$220,MATCH(ROWS($CB$3:CB118),$BK$3:$BK$220,0),1),CONCATENATE(BQ118,BX118)),"")</f>
        <v/>
      </c>
      <c r="CC118" s="259" t="str">
        <f t="shared" ca="1" si="243"/>
        <v/>
      </c>
      <c r="CD118" s="259" t="str">
        <f t="shared" ca="1" si="187"/>
        <v>MATERIE DI CONSUMO C/ACQUISTI</v>
      </c>
      <c r="CE118" s="259">
        <f ca="1">IF(IFERROR(MATCH(CD118,DENOMINAZIONE_GIORNALE,0),0)&gt;0,MAX(CE$2:CE117)+1,0)</f>
        <v>0</v>
      </c>
      <c r="CF118" s="259" t="str">
        <f ca="1">IFERROR(INDEX($CD$3:$CE$220,MATCH(ROWS($CF$3:CF118),$CE$3:$CE$220,0),1),"")</f>
        <v/>
      </c>
      <c r="CG118" s="259">
        <f t="shared" ca="1" si="188"/>
        <v>0</v>
      </c>
      <c r="CH118" s="259" t="str">
        <f ca="1">IF(IF(CG118&lt;&gt;0,MAX($CH$2:CH117)+1,0)=0,"",IF(CG118&lt;&gt;"",MAX($CH$2:CH117)+1,0))</f>
        <v/>
      </c>
      <c r="CI118" s="259" t="str">
        <f ca="1">IFERROR(INDEX($CF$3:$CG$220,MATCH(ROWS($CI$3:CI118),$CH$3:$CH$220,0),1),"")</f>
        <v/>
      </c>
      <c r="CJ118" s="259" t="str">
        <f t="shared" ca="1" si="244"/>
        <v/>
      </c>
      <c r="CK118" s="259" t="str">
        <f t="shared" ca="1" si="189"/>
        <v/>
      </c>
      <c r="CL118" s="259">
        <f ca="1">IF(IFERROR(MATCH(CK118,DENOMINAZIONE_GIORNALE,0),0)&gt;0,MAX(CL$2:CL117)+1,0)</f>
        <v>0</v>
      </c>
      <c r="CM118" s="259" t="str">
        <f ca="1">IFERROR(INDEX($CK$3:$CL$220,MATCH(ROWS($CM$3:CM118),$CL$3:$CL$220,0),1),"")</f>
        <v/>
      </c>
      <c r="CN118" s="259" t="str">
        <f t="shared" ca="1" si="190"/>
        <v/>
      </c>
      <c r="CO118" s="259">
        <f ca="1">IF(IF(CN118&lt;&gt;0,MAX($CO$2:CO117)+1,0)=0,"",IF(CN118&lt;&gt;"",MAX($CO$2:CO117)+1,0))</f>
        <v>0</v>
      </c>
      <c r="CP118" s="259" t="str">
        <f ca="1">IFERROR(INDEX($CM$3:$CN$220,MATCH(ROWS(CP$3:CP118),$CO$3:$CO$220,0),1),"")</f>
        <v/>
      </c>
      <c r="CQ118" s="259" t="str">
        <f ca="1">IFERROR(INDEX($CM$3:$CN$220,MATCH(ROWS(CQ$3:CQ118),$CO$3:$CO$220,0),2),"")</f>
        <v/>
      </c>
      <c r="CS118" s="259">
        <f t="shared" ca="1" si="192"/>
        <v>0</v>
      </c>
      <c r="CT118" s="259">
        <f t="shared" ca="1" si="193"/>
        <v>0</v>
      </c>
      <c r="CU118" s="259">
        <f ca="1">IF(OR(CS118&gt;0,CT118&gt;0),MAX($CU$2:CU117)+1,0)</f>
        <v>0</v>
      </c>
      <c r="CV118" s="259" t="str">
        <f ca="1">IFERROR(INDEX(PIANO_DEI_CONTI,MATCH(ROWS($CV$3:CV118),$CU$3:$CU$200,0),2),"")</f>
        <v/>
      </c>
      <c r="CW118" s="259">
        <f ca="1">IFERROR(IF(CV118&lt;&gt;"",MAX($CW$2:CW117)+1,0),0)</f>
        <v>0</v>
      </c>
      <c r="CX118" s="259">
        <f t="shared" ca="1" si="355"/>
        <v>7</v>
      </c>
      <c r="CY118" s="259" t="str">
        <f t="shared" ca="1" si="337"/>
        <v>MASTRO</v>
      </c>
      <c r="CZ118" s="259" t="e">
        <f t="shared" ca="1" si="357"/>
        <v>#N/A</v>
      </c>
      <c r="DA118" s="259" t="str">
        <f t="shared" ca="1" si="362"/>
        <v/>
      </c>
      <c r="DB118" s="259" t="str">
        <f t="shared" ca="1" si="358"/>
        <v/>
      </c>
      <c r="DC118" s="259" t="str">
        <f t="shared" ca="1" si="359"/>
        <v/>
      </c>
      <c r="DD118" s="259" t="str">
        <f t="shared" ca="1" si="360"/>
        <v/>
      </c>
      <c r="DE118" s="259" t="str">
        <f t="shared" ca="1" si="361"/>
        <v/>
      </c>
      <c r="DF118" s="259">
        <f ca="1">IF(AND(CX118=$DE$2,$DF$2&lt;&gt;0),0,IF(AND(DB118&lt;&gt;"",OR(DB117&lt;&gt;"",DB119&lt;&gt;"")),MAX($DF$2:DF117)+1,0))</f>
        <v>0</v>
      </c>
      <c r="DG118" s="259" t="str">
        <f>IF(IF(LIBRO_GIORNALE!E26="","",IFERROR(INDEX(PIANO_DEI_CONTI,MATCH(BB118,DENOMINAZIONE,0),1),0))=0,"",IF(LIBRO_GIORNALE!E26="","",IFERROR(INDEX(PIANO_DEI_CONTI,MATCH(BB118,DENOMINAZIONE,0),1),0)))</f>
        <v/>
      </c>
      <c r="DH118" s="259">
        <f ca="1">IFERROR(IF($J$1=1,IF(INDEX(PIANO_DEI_CONTI,MATCH($K118,DENOMINAZIONE,0),5)=$DF$1,MAX($DH$2:DH117)+1,0),IF($J$1=2,IF(INDEX(PIANO_DEI_CONTI,MATCH($K118,DENOMINAZIONE,0),7)=$DF$1,MAX($DH$2:DH117)+1,0))),0)</f>
        <v>0</v>
      </c>
      <c r="DI118" s="259">
        <f ca="1">IFERROR(INDEX($K$3:$K$220,MATCH(ROWS($DI$3:DI118),$DH$3:$DH$220,0),1),0)</f>
        <v>0</v>
      </c>
      <c r="DJ118" s="259">
        <f t="shared" ca="1" si="194"/>
        <v>0</v>
      </c>
      <c r="DK118" s="259">
        <f ca="1">IF(DJ118=0,0,MAX(DK$2:DK117)+1)</f>
        <v>0</v>
      </c>
      <c r="DL118" s="259">
        <f ca="1">IFERROR(INDEX(PIANO_DEI_CONTI,MATCH(ROWS(DL$3:DL118),$DK$3:DK345,0),2),0)</f>
        <v>0</v>
      </c>
      <c r="DM118" s="259">
        <f t="shared" ca="1" si="195"/>
        <v>0</v>
      </c>
      <c r="DN118" s="259">
        <f t="shared" ca="1" si="196"/>
        <v>0</v>
      </c>
      <c r="DO118" s="259">
        <f t="shared" ca="1" si="245"/>
        <v>0</v>
      </c>
      <c r="DP118" s="259">
        <f t="shared" ca="1" si="246"/>
        <v>0</v>
      </c>
      <c r="DQ118" s="259">
        <f ca="1">IF(OR($DQ$1="TOTALI",$DQ$1="TOTALI ED ECCEDENZE"),IF(OR(DM118&gt;0,DN118&gt;0),MAX(DQ$2:DQ117)+1,0),IF($DQ$1="ECCEDENZE",IF(OR(DO118&gt;0,DP118&gt;0),MAX(DQ$2:DQ117)+1,0),""))</f>
        <v>0</v>
      </c>
      <c r="DR118" s="259" t="str">
        <f ca="1">IFERROR(INDEX($DL$3:$DQ$230,MATCH(ROWS(DR$3:DR118),$DQ$3:$DQ$230,0),1),"")</f>
        <v/>
      </c>
      <c r="DS118" s="259" t="str">
        <f t="shared" ca="1" si="247"/>
        <v/>
      </c>
      <c r="DT118" s="259" t="str">
        <f t="shared" ca="1" si="248"/>
        <v/>
      </c>
      <c r="DU118" s="259" t="str">
        <f t="shared" ca="1" si="249"/>
        <v/>
      </c>
      <c r="DV118" s="259" t="str">
        <f t="shared" ca="1" si="250"/>
        <v/>
      </c>
      <c r="DW118" s="259">
        <f t="shared" ca="1" si="251"/>
        <v>0</v>
      </c>
      <c r="DX118" s="259" t="str">
        <f t="shared" ca="1" si="252"/>
        <v/>
      </c>
      <c r="DY118" s="259" t="str">
        <f t="shared" ca="1" si="253"/>
        <v/>
      </c>
      <c r="DZ118" s="259" t="str">
        <f t="shared" ca="1" si="254"/>
        <v/>
      </c>
      <c r="EA118" s="259">
        <f t="shared" ca="1" si="255"/>
        <v>116</v>
      </c>
      <c r="EB118" s="259" t="s">
        <v>368</v>
      </c>
      <c r="ED118" s="259">
        <f t="shared" ca="1" si="197"/>
        <v>0</v>
      </c>
      <c r="EH118" s="259" t="str">
        <f t="shared" ca="1" si="256"/>
        <v/>
      </c>
      <c r="EI118" s="260" t="b">
        <f t="shared" ca="1" si="310"/>
        <v>0</v>
      </c>
      <c r="EJ118" s="260" t="b">
        <f t="shared" ca="1" si="311"/>
        <v>0</v>
      </c>
      <c r="EK118" s="260" t="b">
        <f t="shared" ca="1" si="312"/>
        <v>1</v>
      </c>
      <c r="EL118" s="259">
        <f t="shared" si="257"/>
        <v>116</v>
      </c>
      <c r="EM118" s="259">
        <f ca="1">IF(AND(BA118&gt;0,BA118&lt;=$EM$1),MAX($EM$2:EM117)+1,0)</f>
        <v>0</v>
      </c>
      <c r="EN118" s="259">
        <f t="shared" ca="1" si="258"/>
        <v>118</v>
      </c>
      <c r="EP118" s="259" t="str">
        <f t="shared" ca="1" si="200"/>
        <v/>
      </c>
      <c r="EQ118" s="259">
        <f t="shared" ca="1" si="201"/>
        <v>0</v>
      </c>
      <c r="ER118" s="259">
        <f ca="1">IF(ISNA(EQ118),MAX(ER$2:ER117)+1,0)</f>
        <v>0</v>
      </c>
      <c r="ES118" s="259" t="str">
        <f t="shared" ca="1" si="259"/>
        <v/>
      </c>
      <c r="ET118" s="259" t="str">
        <f ca="1">IFERROR(UPPER(INDEX($ER$3:$ES$500,MATCH(ROWS(ET$3:ET118),$ER$3:$ER$500,0),2)),"")</f>
        <v/>
      </c>
      <c r="EW118" s="259">
        <f t="shared" ca="1" si="344"/>
        <v>1</v>
      </c>
      <c r="EX118" s="259">
        <v>16</v>
      </c>
      <c r="EY118" s="259">
        <f t="shared" ca="1" si="345"/>
        <v>0</v>
      </c>
      <c r="EZ118" s="259">
        <f t="shared" ca="1" si="346"/>
        <v>0</v>
      </c>
      <c r="FA118" s="259">
        <f t="shared" ca="1" si="347"/>
        <v>0</v>
      </c>
      <c r="FB118" s="259">
        <f t="shared" ca="1" si="348"/>
        <v>0</v>
      </c>
      <c r="FC118" s="259">
        <f t="shared" ca="1" si="349"/>
        <v>0</v>
      </c>
      <c r="FD118" s="259">
        <f t="shared" ca="1" si="202"/>
        <v>0</v>
      </c>
      <c r="FE118" s="259" t="str">
        <f t="shared" ca="1" si="203"/>
        <v/>
      </c>
      <c r="FF118" s="259" t="str">
        <f t="shared" ca="1" si="350"/>
        <v/>
      </c>
      <c r="FG118" s="259" t="str">
        <f t="shared" si="335"/>
        <v/>
      </c>
      <c r="FH118" s="259">
        <f t="shared" ca="1" si="334"/>
        <v>0</v>
      </c>
      <c r="FI118" s="259">
        <f t="shared" ca="1" si="204"/>
        <v>0</v>
      </c>
      <c r="FJ118" s="259">
        <f t="shared" ca="1" si="336"/>
        <v>0</v>
      </c>
      <c r="FK118" s="259">
        <f t="shared" ca="1" si="267"/>
        <v>0</v>
      </c>
      <c r="FL118" s="259">
        <f ca="1">IF(OR(FJ118&gt;0,FK118&gt;0),MAX($FL$2:FL117)+1,0)</f>
        <v>0</v>
      </c>
      <c r="FM118" s="259">
        <f t="shared" ca="1" si="205"/>
        <v>0</v>
      </c>
      <c r="FN118" s="259">
        <f ca="1">IF(FM118&lt;0,MAX($FN$2:FN117)+1,0)</f>
        <v>0</v>
      </c>
      <c r="FO118" s="259" t="str">
        <f t="shared" ca="1" si="268"/>
        <v/>
      </c>
      <c r="FP118" s="259" t="str">
        <f ca="1">IFERROR(INDEX($FN$3:$FO$400,MATCH(ROWS($FP$3:FP118),$FN$3:$FN$400,0),2),"")</f>
        <v/>
      </c>
      <c r="FQ118" s="259" t="str">
        <f>IF(AE118="SE AVERE",MAX($FQ$2:FQ117)+1,"")</f>
        <v/>
      </c>
      <c r="FR118" s="259">
        <f>IF(AE118="SE DARE",MAX($FR$2:FR117)+1,"")</f>
        <v>26</v>
      </c>
      <c r="FS118" s="259" t="str">
        <f ca="1">IF(AND(AE118="SP DARE",AA118&lt;&gt;$FS$1,AA118&lt;&gt;$FT$1),MAX($FS$2:FS117)+1,IF(AND(GQ118="SP DARE",AA118&lt;&gt;$FS$1,AA118&lt;&gt;$FT$1),MAX($FS$2:FS117)+1,""))</f>
        <v/>
      </c>
      <c r="FT118" s="259" t="str">
        <f ca="1">IF(AND(AE118="SP AVERE",AA118&lt;&gt;$FU$1),MAX($FT$2:FT117)+1,IF(AND(GQ118="SP AVERE",AA118&lt;&gt;$FU$1),MAX($FT$2:FT117)+1,""))</f>
        <v/>
      </c>
      <c r="FU118" s="259">
        <f t="shared" ca="1" si="269"/>
        <v>26</v>
      </c>
      <c r="FV118" s="259" t="str">
        <f t="shared" si="270"/>
        <v>MATERIE DI CONSUMO C/ACQUISTI</v>
      </c>
      <c r="FW118" s="259" t="str">
        <f ca="1">IFERROR(INDEX($FU$3:$FV$500,MATCH(ROWS($FW$3:FW118),$FU$3:$FU$500,0),2),0)</f>
        <v>CAMBIALI INSOLUTE</v>
      </c>
      <c r="FX118" s="259">
        <f t="shared" ca="1" si="271"/>
        <v>116</v>
      </c>
      <c r="FY118" s="259">
        <f t="shared" ca="1" si="272"/>
        <v>0</v>
      </c>
      <c r="FZ118" s="259">
        <f ca="1">IF(FY118&gt;0,MAX($FZ$2:FZ117)+1,0)</f>
        <v>0</v>
      </c>
      <c r="GA118" s="259">
        <f ca="1">IFERROR(INDEX($FY$3:$FZ$500,MATCH(ROWS($GA$3:GA118),$FZ$3:$FZ$500,0),1),0)</f>
        <v>0</v>
      </c>
      <c r="GC118" s="259">
        <f t="shared" ca="1" si="273"/>
        <v>116</v>
      </c>
      <c r="GD118" s="259" t="str">
        <f t="shared" ca="1" si="274"/>
        <v>CAMBIALI INSOLUTE</v>
      </c>
      <c r="GG118" s="259">
        <f t="shared" ca="1" si="275"/>
        <v>0</v>
      </c>
      <c r="GH118" s="259">
        <f t="shared" ca="1" si="276"/>
        <v>0</v>
      </c>
      <c r="GI118" s="259">
        <f t="shared" ca="1" si="277"/>
        <v>0</v>
      </c>
      <c r="GJ118" s="259">
        <f t="shared" ca="1" si="278"/>
        <v>0</v>
      </c>
      <c r="GK118" s="259">
        <f t="shared" ca="1" si="279"/>
        <v>0</v>
      </c>
      <c r="GL118" s="259">
        <f t="shared" ca="1" si="280"/>
        <v>0</v>
      </c>
      <c r="GM118" s="259">
        <f ca="1">IF(OR(GK118&gt;0,GL118&gt;0),MAX($GM$2:GM117)+1,0)</f>
        <v>0</v>
      </c>
      <c r="GN118" s="259" t="str">
        <f ca="1">IFERROR(INDEX($GD$3:$GM$400,MATCH(ROWS($GN$3:GN118),$GM$3:$GM$400,0),1),"")</f>
        <v/>
      </c>
      <c r="GO118" s="259" t="str">
        <f ca="1">IFERROR(INDEX($GD$3:$GM$400,MATCH(ROWS($GO$3:GO118),$GM$3:$GM$400,0),8),"")</f>
        <v/>
      </c>
      <c r="GP118" s="259" t="str">
        <f ca="1">IFERROR(INDEX($GD$3:$GM$400,MATCH(ROWS($GP$3:GP118),$GM$3:$GM$400,0),9),"")</f>
        <v/>
      </c>
      <c r="GQ118" s="259">
        <f t="shared" ca="1" si="206"/>
        <v>0</v>
      </c>
      <c r="GR118" s="259">
        <f t="shared" ca="1" si="281"/>
        <v>0</v>
      </c>
      <c r="GS118" s="259" t="str">
        <f t="shared" ca="1" si="282"/>
        <v>chiusura del conto</v>
      </c>
      <c r="GT118" s="259" t="str">
        <f ca="1">IFERROR(INDEX($GD$3:$GS$400,MATCH(ROWS($GT$3:GT118),$GM$3:$GM$400,0),16),"")</f>
        <v/>
      </c>
      <c r="GU118" s="259">
        <f ca="1">IF(GQ118&lt;&gt;0,MAX($GU$2:$GU117)+1,0)</f>
        <v>0</v>
      </c>
      <c r="GV118" s="259">
        <f t="shared" ca="1" si="283"/>
        <v>0</v>
      </c>
      <c r="GW118" s="259" t="str">
        <f ca="1">IF(AND(IFERROR(INDEX($GU$3:$GV$400,MATCH(ROWS($GW$3:GW118),$GU$3:$GU$400,0),2),"")&lt;&gt;"",GW119&lt;&gt;""),CONCATENATE(IFERROR(INDEX($GU$3:$GV$400,MATCH(ROWS($GW$3:GW118),$GU$3:$GU$400,0),2),"")," - "),IFERROR(INDEX($GU$3:$GV$400,MATCH(ROWS($GW$3:GW118),$GU$3:$GU$400,0),2),""))</f>
        <v/>
      </c>
      <c r="GX118" s="259">
        <f ca="1">IF(OR(GN118="IVA NS/CREDITO",GN118="IVA NS/DEBITO",GN118="IVA C/ACCONTO",GN118="IMPOSTE C/ACCONTO"),MAX($GX$2:GX117)+1,0)</f>
        <v>0</v>
      </c>
      <c r="GY118" s="259" t="str">
        <f ca="1">IF(AND(IFERROR(INDEX($GN$3:$GX$200,MATCH(ROWS($GY$3:GY118),$GX$3:$GX$200,0),1),"")&lt;&gt;"",GY119&lt;&gt;""),CONCATENATE(IFERROR(INDEX($GN$3:$GX$200,MATCH(ROWS($GY$3:GY118),$GX$3:$GX$200,0),1),"")," - "),IFERROR(INDEX($GN$3:$GX$200,MATCH(ROWS($GY$3:GY118),$GX$3:$GX$200,0),1),""))</f>
        <v/>
      </c>
      <c r="GZ118" s="259" t="s">
        <v>551</v>
      </c>
      <c r="HA118" s="259" t="s">
        <v>553</v>
      </c>
      <c r="HC118" s="269" t="s">
        <v>211</v>
      </c>
      <c r="HD118" s="269" t="s">
        <v>439</v>
      </c>
      <c r="HV118" s="259" t="str">
        <f ca="1">CONCATENATE(IFERROR(INDEX($HS$3:$HT$102,MATCH(ROWS($HV$3:HV118),$HT$3:$HT$102,0),1),""),HR118)</f>
        <v/>
      </c>
      <c r="IC118" s="259">
        <f ca="1">IFERROR(INDEX(PIANO_DEI_CONTI,MATCH(ROWS(DL$3:DL118),$DK$3:DK345,0),2),0)</f>
        <v>0</v>
      </c>
      <c r="ID118" s="259">
        <f t="shared" ca="1" si="288"/>
        <v>0</v>
      </c>
      <c r="IE118" s="259">
        <f t="shared" ca="1" si="289"/>
        <v>0</v>
      </c>
      <c r="IF118" s="259">
        <f t="shared" ca="1" si="290"/>
        <v>0</v>
      </c>
      <c r="IG118" s="259">
        <f t="shared" ca="1" si="324"/>
        <v>0</v>
      </c>
      <c r="IH118" s="259">
        <f ca="1">IF(IG118&lt;&gt;0,MAX($IH$35:IH117)+1,0)</f>
        <v>0</v>
      </c>
      <c r="II118" s="259">
        <f>IF(AD118="costi pluriennali",MAX($II$2:II117)+1,0)</f>
        <v>0</v>
      </c>
      <c r="IJ118" s="259">
        <f>IF($AD118="rettifiche costi pluriennali",MAX($IJ$2:IJ117)+1,0)</f>
        <v>0</v>
      </c>
      <c r="IK118" s="259">
        <f t="shared" si="291"/>
        <v>0</v>
      </c>
      <c r="IL118" s="259" t="str">
        <f t="shared" si="292"/>
        <v/>
      </c>
      <c r="IM118" s="259">
        <f t="shared" ca="1" si="293"/>
        <v>0</v>
      </c>
      <c r="IN118" s="259">
        <f t="shared" ca="1" si="313"/>
        <v>0</v>
      </c>
      <c r="IO118" s="259">
        <f>SUMIFS($IM$3:$IM$200,$IK$3:$IK$200,ROWS($IO$3:IO118))-SUMIFS($IN$3:$IN$200,$IK$3:$IK$200,ROWS($IO$3:IO118))</f>
        <v>0</v>
      </c>
      <c r="IP118" s="259" t="str">
        <f>IF(IO118&lt;0,INDEX($IJ$3:$IL$200,MATCH(ROWS($IP$3:IP118),$IJ$3:$IJ$200,0),3),"")</f>
        <v/>
      </c>
      <c r="IQ118" s="259">
        <f>IF(IP118&lt;&gt;"",MAX($IQ$2:IQ117)+1,0)</f>
        <v>0</v>
      </c>
      <c r="IR118" s="259" t="str">
        <f ca="1">IFERROR(INDEX($IP$3:$IQ$200,MATCH(ROWS($IR$3:IR118),$IQ$3:$IQ$200,0),1),"")</f>
        <v/>
      </c>
      <c r="IS118" s="259" t="str">
        <f t="shared" ca="1" si="294"/>
        <v/>
      </c>
      <c r="IT118" s="259" t="str">
        <f t="shared" ca="1" si="295"/>
        <v/>
      </c>
      <c r="IU118" s="259" t="str">
        <f t="shared" ca="1" si="296"/>
        <v/>
      </c>
      <c r="IV118" s="259" t="str">
        <f t="shared" ca="1" si="297"/>
        <v/>
      </c>
      <c r="IW118" s="259" t="str">
        <f t="shared" ca="1" si="298"/>
        <v/>
      </c>
      <c r="IX118" s="259" t="str">
        <f t="shared" ca="1" si="299"/>
        <v/>
      </c>
      <c r="IY118" s="259" t="str">
        <f t="shared" ca="1" si="300"/>
        <v/>
      </c>
      <c r="IZ118" s="259" t="str">
        <f t="shared" ca="1" si="301"/>
        <v/>
      </c>
      <c r="JA118" s="259" t="str">
        <f t="shared" ca="1" si="302"/>
        <v/>
      </c>
      <c r="JB118" s="259">
        <f t="shared" ca="1" si="210"/>
        <v>0</v>
      </c>
      <c r="JC118" s="259">
        <f t="shared" ca="1" si="351"/>
        <v>0</v>
      </c>
      <c r="JD118" s="259">
        <f t="shared" ca="1" si="352"/>
        <v>0</v>
      </c>
      <c r="JE118" s="259">
        <f ca="1">IFERROR(INDEX(LIBRO_GIORNALE!$N$11:$O$408,MATCH(ROWS($JE$2:JE117),LIBRO_GIORNALE!$O$11:$O$408,0),1),0)</f>
        <v>0</v>
      </c>
      <c r="JF118" s="259" t="str">
        <f t="shared" ca="1" si="304"/>
        <v>0</v>
      </c>
      <c r="JG118" s="259">
        <f t="shared" ca="1" si="305"/>
        <v>0</v>
      </c>
      <c r="JH118" s="259">
        <f ca="1">IF(JJ118&gt;0,0,MAX($JH$2:JH117)+1)</f>
        <v>116</v>
      </c>
      <c r="JI118" s="259">
        <f ca="1">IF(JG118&gt;0,MAX($JI$2:JI117)+1,0)</f>
        <v>0</v>
      </c>
      <c r="JJ118" s="259">
        <f ca="1">IFERROR(INDEX($JG$3:$JI$124,MATCH(ROWS($JJ$3:JJ118),$JI$3:$JI$124,0),1),0)</f>
        <v>0</v>
      </c>
      <c r="JK118" s="259">
        <f t="shared" ca="1" si="306"/>
        <v>0</v>
      </c>
      <c r="JL118" s="259">
        <f t="shared" ca="1" si="307"/>
        <v>116</v>
      </c>
      <c r="JM118" s="259">
        <f t="shared" ca="1" si="353"/>
        <v>0</v>
      </c>
    </row>
    <row r="119" spans="1:273">
      <c r="A119" s="259" t="str">
        <f t="shared" si="211"/>
        <v>19.21</v>
      </c>
      <c r="B119" s="259" t="str">
        <f t="shared" si="212"/>
        <v>RISCHI PER FIDEIUSSIONI</v>
      </c>
      <c r="C119" s="259">
        <f t="shared" si="213"/>
        <v>0</v>
      </c>
      <c r="D119" s="259" t="str">
        <f t="shared" si="214"/>
        <v>D</v>
      </c>
      <c r="E119" s="259" t="str">
        <f t="shared" si="215"/>
        <v>CONTI D'ORDINE</v>
      </c>
      <c r="F119" s="259">
        <f t="shared" si="216"/>
        <v>0</v>
      </c>
      <c r="G119" s="259">
        <f t="shared" ca="1" si="217"/>
        <v>0</v>
      </c>
      <c r="H119" s="259">
        <f t="shared" ca="1" si="218"/>
        <v>0</v>
      </c>
      <c r="I119" s="259">
        <f t="shared" ca="1" si="219"/>
        <v>1</v>
      </c>
      <c r="K119" s="259" t="str">
        <f ca="1">IFERROR(IF($I$1=1,INDEX($AA$3:$AS$220,MATCH(ROWS($K$3:K119),$AQ$3:$AQ$220,0),1),IF($I$1=2,INDEX($AA$3:$AS$220,MATCH(ROWS($K$3:K119),$AR$3:$AR$220,0),1),IF($I$1=3,INDEX($AA$3:$AS$220,MATCH(ROWS($K$3:K119),$AS$3:$AS$220,0),1),""))),"")</f>
        <v>COSTI DI TRASPORTO</v>
      </c>
      <c r="L119" s="259">
        <f ca="1">IF(AND($L$1="VISUALIZZA TUTTI I CONTI",K119&lt;&gt;""),MAX(L118:L118)+1,IFERROR(IF($J$1=1,IF(INDEX(PIANO_DEI_CONTI,MATCH($K119,DENOMINAZIONE,0),5)=$L$1,MAX($L$2:L118)+1,0),IF($J$1=2,IF(INDEX(PIANO_DEI_CONTI,MATCH($K119,DENOMINAZIONE,0),7)=$L$1,MAX($L$2:L118)+1,0))),0))</f>
        <v>117</v>
      </c>
      <c r="M119" s="259" t="str">
        <f ca="1">IFERROR(INDEX($K$3:$K$220,MATCH(ROWS($M$3:M119),$L$3:$L$220,0),1),"")</f>
        <v>COSTI DI TRASPORTO</v>
      </c>
      <c r="Q119" s="259" t="str">
        <f ca="1">IF(IFERROR(INDEX($O$3:$P$220,MATCH(ROWS(Q$3:Q119),$P$3:$P$220,0),1),"")=0,"",IFERROR(INDEX($O$3:$P$220,MATCH(ROWS(Q$3:Q119),$P$3:$P$220,0),1),""))</f>
        <v/>
      </c>
      <c r="R119" s="259" t="str">
        <f t="shared" ca="1" si="182"/>
        <v/>
      </c>
      <c r="S119" s="259">
        <f ca="1">IF(IFERROR(MATCH(R119,DENOMINAZIONE_GIORNALE,0),0)&gt;0,MAX(S$2:S118)+1,0)</f>
        <v>0</v>
      </c>
      <c r="T119" s="259" t="str">
        <f ca="1">IFERROR(INDEX($R$3:$S$220,MATCH(ROWS($T$3:T119),$S$3:$S$220,0),1),"")</f>
        <v/>
      </c>
      <c r="U119" s="259">
        <f t="shared" ca="1" si="183"/>
        <v>0</v>
      </c>
      <c r="V119" s="259">
        <f ca="1">IF(IF(U119&lt;&gt;0,MAX($V$2:V118)+1,0)=0,0,IF(U119&lt;&gt;0,MAX($V$2:V118)+1,0))</f>
        <v>0</v>
      </c>
      <c r="W119" s="259" t="str">
        <f t="shared" si="220"/>
        <v>19.21</v>
      </c>
      <c r="X119" s="259" t="str">
        <f t="shared" si="221"/>
        <v>RISCHI PER FIDEIUSSIONI</v>
      </c>
      <c r="Y119" s="259">
        <f>IF(W119="",0,MAX($Y$2:Y118)+1)</f>
        <v>100</v>
      </c>
      <c r="Z119" s="259" t="str">
        <f>IFERROR(INDEX($W$3:$Y$220,MATCH(ROWS($Z$2:Z118),$Y$3:$Y$220,0),1),"")</f>
        <v>30.05</v>
      </c>
      <c r="AA119" s="259" t="str">
        <f t="shared" si="222"/>
        <v>MERCI C/APPORTI</v>
      </c>
      <c r="AB119" s="259" t="str">
        <f t="shared" si="223"/>
        <v>E</v>
      </c>
      <c r="AC119" s="259" t="str">
        <f t="shared" si="224"/>
        <v>D</v>
      </c>
      <c r="AD119" s="259" t="str">
        <f t="shared" si="225"/>
        <v>COSTI D'ESERCIZIO</v>
      </c>
      <c r="AE119" s="259" t="str">
        <f t="shared" si="226"/>
        <v>SE DARE</v>
      </c>
      <c r="AF119" s="259" t="str">
        <f t="shared" si="227"/>
        <v>COSTI PER MERCI E MATERIE DI CONSUMO</v>
      </c>
      <c r="AG119" s="259">
        <f t="shared" ca="1" si="228"/>
        <v>1</v>
      </c>
      <c r="AH119" s="259">
        <f t="shared" ca="1" si="229"/>
        <v>1</v>
      </c>
      <c r="AI119" s="259">
        <f t="shared" ca="1" si="230"/>
        <v>1</v>
      </c>
      <c r="AJ119" s="259" t="str">
        <f t="shared" si="231"/>
        <v>30</v>
      </c>
      <c r="AK119" s="259" t="str">
        <f t="shared" si="232"/>
        <v/>
      </c>
      <c r="AL119" s="259">
        <f>IF(AK119&lt;&gt;"",MAX($AL$2:AL118)+1,0)</f>
        <v>0</v>
      </c>
      <c r="AM119" s="259" t="str">
        <f>IFERROR(INDEX($AK$3:$AL$220,MATCH(ROWS($AM$3:AM119),$AL$3:$AL$220,0),1),"")</f>
        <v/>
      </c>
      <c r="AN119" s="259" t="str">
        <f t="shared" si="233"/>
        <v/>
      </c>
      <c r="AO119" s="259" t="str">
        <f t="shared" si="234"/>
        <v/>
      </c>
      <c r="AP119" s="259" t="str">
        <f t="shared" si="235"/>
        <v>COSTI PER MERCI E MATERIE DI CONSUMO</v>
      </c>
      <c r="AQ119" s="259">
        <f ca="1">IF(OR(AG119=0,AG119=""),0,MAX(AQ$2:AQ118)+1)</f>
        <v>58</v>
      </c>
      <c r="AR119" s="259">
        <f ca="1">IF(OR(AH119=0,AH119=""),0,MAX(AR$2:AR118)+1)</f>
        <v>83</v>
      </c>
      <c r="AS119" s="259">
        <f ca="1">IF(OR(AI119=0,AI119=""),0,MAX(AS$2:AS118)+1)</f>
        <v>113</v>
      </c>
      <c r="AT119" s="259" t="str">
        <f ca="1">IFERROR(INDEX($AD$3:$AS$220,MATCH(ROWS(AT$3:AT119),AQ$3:AQ$220,0),1),"")</f>
        <v/>
      </c>
      <c r="AU119" s="259" t="str">
        <f ca="1">IFERROR(INDEX($AD$3:$AS$220,MATCH(ROWS(AU$3:AU119),AR$3:AR$220,0),1),"")</f>
        <v>COSTI D'ESERCIZIO</v>
      </c>
      <c r="AV119" s="259" t="str">
        <f ca="1">IFERROR(INDEX($AD$3:$AS$220,MATCH(ROWS(AV$3:AV119),AS$3:AS$220,0),1),"")</f>
        <v>COSTI D'ESERCIZIO</v>
      </c>
      <c r="AW119" s="259" t="str">
        <f ca="1">IFERROR(INDEX($AP$3:$AS$220,MATCH(ROWS(AW$3:AW119),AQ$3:AQ$220,0),1),"")</f>
        <v/>
      </c>
      <c r="AX119" s="259" t="str">
        <f ca="1">IFERROR(INDEX($AP$3:$AS$220,MATCH(ROWS(AX$3:AX119),AR$3:AR$220,0),1),"")</f>
        <v>ONERI FINANZIARI</v>
      </c>
      <c r="AY119" s="259" t="str">
        <f ca="1">IFERROR(INDEX($AP$3:$AS$220,MATCH(ROWS(AY$3:AY119),AS$3:AS$220,0),1),"")</f>
        <v>COSTI PER SERVIZI</v>
      </c>
      <c r="AZ119" s="259" t="str">
        <f t="shared" si="339"/>
        <v>17 V.I.</v>
      </c>
      <c r="BA119" s="259">
        <f t="shared" ca="1" si="338"/>
        <v>0</v>
      </c>
      <c r="BB119" s="259">
        <f t="shared" ca="1" si="340"/>
        <v>0</v>
      </c>
      <c r="BC119" s="259">
        <f t="shared" ca="1" si="341"/>
        <v>0</v>
      </c>
      <c r="BD119" s="259">
        <f t="shared" ca="1" si="342"/>
        <v>0</v>
      </c>
      <c r="BE119" s="259">
        <f t="shared" ca="1" si="343"/>
        <v>0</v>
      </c>
      <c r="BG119" s="259" t="str">
        <f t="shared" ca="1" si="185"/>
        <v/>
      </c>
      <c r="BH119" s="259">
        <f ca="1">IF(IFERROR(MATCH(BG119,DENOMINAZIONE_GIORNALE,0),0)&gt;0,MAX(BH$2:BH118)+1,0)</f>
        <v>0</v>
      </c>
      <c r="BI119" s="259" t="str">
        <f ca="1">IFERROR(INDEX($BG$3:$BH$220,MATCH(ROWS($BI$3:BI119),$BH$3:$BH$220,0),1),"")</f>
        <v/>
      </c>
      <c r="BJ119" s="259" t="str">
        <f t="shared" ca="1" si="186"/>
        <v/>
      </c>
      <c r="BK119" s="259" t="str">
        <f ca="1">IF(IF(BJ119&lt;&gt;"",MAX($BK$2:BK118)+1,0)=0,"",IF(BJ119&lt;&gt;"",MAX($BK$2:BK118)+1,0))</f>
        <v/>
      </c>
      <c r="BL119" s="259" t="str">
        <f ca="1">IFERROR(INDEX($T$3:$U$220, MATCH(ROWS(BL$3:BL119),$V$3:$V$220,0),1),"")</f>
        <v/>
      </c>
      <c r="BM119" s="259" t="str">
        <f ca="1">IFERROR(INDEX($T$3:$U$220, MATCH(ROWS(BM$3:BM119),$V$3:$V$220,0),2),"")</f>
        <v/>
      </c>
      <c r="BN119" s="259" t="str">
        <f ca="1">IF(IFERROR(INDEX($BI$3:$BJ$220,MATCH(ROWS(BN$3:BN119),$BK$3:$BK$220,0),1),"")="PATRIMONIO NETTO","",IFERROR(INDEX($BI$3:$BJ$220,MATCH(ROWS(BN$3:BN119),$BK$3:$BK$220,0),1),""))</f>
        <v/>
      </c>
      <c r="BO119" s="259" t="str">
        <f ca="1">IFERROR(INDEX($BI$3:$BJ$220,MATCH(ROWS(BO$3:BO119),$BK$3:$BK$220,0),2),"")</f>
        <v/>
      </c>
      <c r="BP119" s="259">
        <f ca="1">IF(BN119&lt;&gt;"",MAX(BP$2:$BP118)+1,0)</f>
        <v>0</v>
      </c>
      <c r="BQ119" s="259" t="str">
        <f ca="1">IFERROR(INDEX($BN$3:$BO$200,MATCH(ROWS(BQ$3:BQ119),$BP$3:$BP$220,0),1),"")</f>
        <v/>
      </c>
      <c r="BR119" s="259" t="str">
        <f ca="1">IFERROR(INDEX($BN$3:$BO$220,MATCH(ROWS(BR$3:BR119),$BP$3:$BP$220,0),2),"")</f>
        <v/>
      </c>
      <c r="BS119" s="259" t="str">
        <f ca="1">IFERROR(IF(OR(INDEX($T$3:$U$220,MATCH(ROWS(BL$3:BL119),$V$3:$V$220,0),1)="PRELEVAMENTI EXTRAGESTIONE",INDEX($T$3:$U$220,MATCH(ROWS(BL$3:BL119),$V$3:$V$220,0),1)="TITOLARE C/RITENUTE SUBITE"),"",INDEX($T$3:$U$220,MATCH(ROWS(BL$3:BL119),$V$3:$V$220,0),1)),"")</f>
        <v/>
      </c>
      <c r="BT119" s="259">
        <f t="shared" ca="1" si="238"/>
        <v>0</v>
      </c>
      <c r="BU119" s="259">
        <f ca="1">IF(BS119&lt;&gt;"",MAX(BU$2:BU118)+1,0)</f>
        <v>0</v>
      </c>
      <c r="BV119" s="259" t="str">
        <f ca="1">IFERROR(INDEX($BS$3:$BT$223,MATCH(ROWS(BV$3:BV119),$BU$3:$BU$223,0),1),"")</f>
        <v/>
      </c>
      <c r="BW119" s="259">
        <f t="shared" ca="1" si="239"/>
        <v>0</v>
      </c>
      <c r="CB119" s="259" t="str">
        <f ca="1">IFERROR(IF(OR($BB$1&lt;&gt;$BD$1,$BC$1&lt;&gt;$BE$1,$DS$231&lt;&gt;$DT$231,$DU$231&lt;&gt;$DV$231,$EO$25&lt;&gt;0,$EO$26&lt;&gt;0),INDEX($BI$3:$BK$220,MATCH(ROWS($CB$3:CB119),$BK$3:$BK$220,0),1),CONCATENATE(BQ119,BX119)),"")</f>
        <v/>
      </c>
      <c r="CC119" s="259" t="str">
        <f t="shared" ca="1" si="243"/>
        <v/>
      </c>
      <c r="CD119" s="259" t="str">
        <f t="shared" ca="1" si="187"/>
        <v>MERCI C/APPORTI</v>
      </c>
      <c r="CE119" s="259">
        <f ca="1">IF(IFERROR(MATCH(CD119,DENOMINAZIONE_GIORNALE,0),0)&gt;0,MAX(CE$2:CE118)+1,0)</f>
        <v>0</v>
      </c>
      <c r="CF119" s="259" t="str">
        <f ca="1">IFERROR(INDEX($CD$3:$CE$220,MATCH(ROWS($CF$3:CF119),$CE$3:$CE$220,0),1),"")</f>
        <v/>
      </c>
      <c r="CG119" s="259">
        <f t="shared" ca="1" si="188"/>
        <v>0</v>
      </c>
      <c r="CH119" s="259" t="str">
        <f ca="1">IF(IF(CG119&lt;&gt;0,MAX($CH$2:CH118)+1,0)=0,"",IF(CG119&lt;&gt;"",MAX($CH$2:CH118)+1,0))</f>
        <v/>
      </c>
      <c r="CI119" s="259" t="str">
        <f ca="1">IFERROR(INDEX($CF$3:$CG$220,MATCH(ROWS($CI$3:CI119),$CH$3:$CH$220,0),1),"")</f>
        <v/>
      </c>
      <c r="CJ119" s="259" t="str">
        <f t="shared" ca="1" si="244"/>
        <v/>
      </c>
      <c r="CK119" s="259" t="str">
        <f t="shared" ca="1" si="189"/>
        <v/>
      </c>
      <c r="CL119" s="259">
        <f ca="1">IF(IFERROR(MATCH(CK119,DENOMINAZIONE_GIORNALE,0),0)&gt;0,MAX(CL$2:CL118)+1,0)</f>
        <v>0</v>
      </c>
      <c r="CM119" s="259" t="str">
        <f ca="1">IFERROR(INDEX($CK$3:$CL$220,MATCH(ROWS($CM$3:CM119),$CL$3:$CL$220,0),1),"")</f>
        <v/>
      </c>
      <c r="CN119" s="259" t="str">
        <f t="shared" ca="1" si="190"/>
        <v/>
      </c>
      <c r="CO119" s="259">
        <f ca="1">IF(IF(CN119&lt;&gt;0,MAX($CO$2:CO118)+1,0)=0,"",IF(CN119&lt;&gt;"",MAX($CO$2:CO118)+1,0))</f>
        <v>0</v>
      </c>
      <c r="CP119" s="259" t="str">
        <f ca="1">IFERROR(INDEX($CM$3:$CN$220,MATCH(ROWS(CP$3:CP119),$CO$3:$CO$220,0),1),"")</f>
        <v/>
      </c>
      <c r="CQ119" s="259" t="str">
        <f ca="1">IFERROR(INDEX($CM$3:$CN$220,MATCH(ROWS(CQ$3:CQ119),$CO$3:$CO$220,0),2),"")</f>
        <v/>
      </c>
      <c r="CS119" s="259">
        <f t="shared" ca="1" si="192"/>
        <v>0</v>
      </c>
      <c r="CT119" s="259">
        <f t="shared" ca="1" si="193"/>
        <v>0</v>
      </c>
      <c r="CU119" s="259">
        <f ca="1">IF(OR(CS119&gt;0,CT119&gt;0),MAX($CU$2:CU118)+1,0)</f>
        <v>0</v>
      </c>
      <c r="CV119" s="259" t="str">
        <f ca="1">IFERROR(INDEX(PIANO_DEI_CONTI,MATCH(ROWS($CV$3:CV119),$CU$3:$CU$200,0),2),"")</f>
        <v/>
      </c>
      <c r="CW119" s="259">
        <f ca="1">IFERROR(IF(CV119&lt;&gt;"",MAX($CW$2:CW118)+1,0),0)</f>
        <v>0</v>
      </c>
      <c r="CX119" s="259">
        <f t="shared" ca="1" si="355"/>
        <v>7</v>
      </c>
      <c r="CY119" s="259" t="str">
        <f t="shared" ca="1" si="337"/>
        <v>MASTRO</v>
      </c>
      <c r="CZ119" s="259" t="e">
        <f t="shared" ca="1" si="357"/>
        <v>#N/A</v>
      </c>
      <c r="DA119" s="259" t="str">
        <f t="shared" ca="1" si="362"/>
        <v/>
      </c>
      <c r="DB119" s="259" t="str">
        <f t="shared" ca="1" si="358"/>
        <v/>
      </c>
      <c r="DC119" s="259" t="str">
        <f t="shared" ca="1" si="359"/>
        <v/>
      </c>
      <c r="DD119" s="259" t="str">
        <f t="shared" ca="1" si="360"/>
        <v/>
      </c>
      <c r="DE119" s="259" t="str">
        <f t="shared" ca="1" si="361"/>
        <v/>
      </c>
      <c r="DF119" s="259">
        <f ca="1">IF(AND(CX119=$DE$2,$DF$2&lt;&gt;0),0,IF(AND(DB119&lt;&gt;"",OR(DB118&lt;&gt;"",DB120&lt;&gt;"")),MAX($DF$2:DF118)+1,0))</f>
        <v>0</v>
      </c>
      <c r="DG119" s="259" t="str">
        <f>IF(IF(LIBRO_GIORNALE!E27="","",IFERROR(INDEX(PIANO_DEI_CONTI,MATCH(BB119,DENOMINAZIONE,0),1),0))=0,"",IF(LIBRO_GIORNALE!E27="","",IFERROR(INDEX(PIANO_DEI_CONTI,MATCH(BB119,DENOMINAZIONE,0),1),0)))</f>
        <v/>
      </c>
      <c r="DH119" s="259">
        <f ca="1">IFERROR(IF($J$1=1,IF(INDEX(PIANO_DEI_CONTI,MATCH($K119,DENOMINAZIONE,0),5)=$DF$1,MAX($DH$2:DH118)+1,0),IF($J$1=2,IF(INDEX(PIANO_DEI_CONTI,MATCH($K119,DENOMINAZIONE,0),7)=$DF$1,MAX($DH$2:DH118)+1,0))),0)</f>
        <v>0</v>
      </c>
      <c r="DI119" s="259">
        <f ca="1">IFERROR(INDEX($K$3:$K$220,MATCH(ROWS($DI$3:DI119),$DH$3:$DH$220,0),1),0)</f>
        <v>0</v>
      </c>
      <c r="DJ119" s="259">
        <f t="shared" ca="1" si="194"/>
        <v>0</v>
      </c>
      <c r="DK119" s="259">
        <f ca="1">IF(DJ119=0,0,MAX(DK$2:DK118)+1)</f>
        <v>0</v>
      </c>
      <c r="DL119" s="259">
        <f ca="1">IFERROR(INDEX(PIANO_DEI_CONTI,MATCH(ROWS(DL$3:DL119),$DK$3:DK346,0),2),0)</f>
        <v>0</v>
      </c>
      <c r="DM119" s="259">
        <f t="shared" ca="1" si="195"/>
        <v>0</v>
      </c>
      <c r="DN119" s="259">
        <f t="shared" ca="1" si="196"/>
        <v>0</v>
      </c>
      <c r="DO119" s="259">
        <f t="shared" ca="1" si="245"/>
        <v>0</v>
      </c>
      <c r="DP119" s="259">
        <f t="shared" ca="1" si="246"/>
        <v>0</v>
      </c>
      <c r="DQ119" s="259">
        <f ca="1">IF(OR($DQ$1="TOTALI",$DQ$1="TOTALI ED ECCEDENZE"),IF(OR(DM119&gt;0,DN119&gt;0),MAX(DQ$2:DQ118)+1,0),IF($DQ$1="ECCEDENZE",IF(OR(DO119&gt;0,DP119&gt;0),MAX(DQ$2:DQ118)+1,0),""))</f>
        <v>0</v>
      </c>
      <c r="DR119" s="259" t="str">
        <f ca="1">IFERROR(INDEX($DL$3:$DQ$230,MATCH(ROWS(DR$3:DR119),$DQ$3:$DQ$230,0),1),"")</f>
        <v/>
      </c>
      <c r="DS119" s="259" t="str">
        <f t="shared" ca="1" si="247"/>
        <v/>
      </c>
      <c r="DT119" s="259" t="str">
        <f t="shared" ca="1" si="248"/>
        <v/>
      </c>
      <c r="DU119" s="259" t="str">
        <f t="shared" ca="1" si="249"/>
        <v/>
      </c>
      <c r="DV119" s="259" t="str">
        <f t="shared" ca="1" si="250"/>
        <v/>
      </c>
      <c r="DW119" s="259">
        <f t="shared" ca="1" si="251"/>
        <v>0</v>
      </c>
      <c r="DX119" s="259" t="str">
        <f t="shared" ca="1" si="252"/>
        <v/>
      </c>
      <c r="DY119" s="259" t="str">
        <f t="shared" ca="1" si="253"/>
        <v/>
      </c>
      <c r="DZ119" s="259" t="str">
        <f t="shared" ca="1" si="254"/>
        <v/>
      </c>
      <c r="EA119" s="259">
        <f t="shared" ca="1" si="255"/>
        <v>117</v>
      </c>
      <c r="EB119" s="259" t="s">
        <v>368</v>
      </c>
      <c r="ED119" s="259">
        <f t="shared" ca="1" si="197"/>
        <v>0</v>
      </c>
      <c r="EH119" s="259" t="str">
        <f t="shared" ca="1" si="256"/>
        <v/>
      </c>
      <c r="EI119" s="260" t="b">
        <f t="shared" ca="1" si="310"/>
        <v>0</v>
      </c>
      <c r="EJ119" s="260" t="b">
        <f t="shared" ca="1" si="311"/>
        <v>0</v>
      </c>
      <c r="EK119" s="260" t="b">
        <f t="shared" ca="1" si="312"/>
        <v>1</v>
      </c>
      <c r="EL119" s="259">
        <f t="shared" si="257"/>
        <v>117</v>
      </c>
      <c r="EM119" s="259">
        <f ca="1">IF(AND(BA119&gt;0,BA119&lt;=$EM$1),MAX($EM$2:EM118)+1,0)</f>
        <v>0</v>
      </c>
      <c r="EN119" s="259">
        <f t="shared" ca="1" si="258"/>
        <v>119</v>
      </c>
      <c r="EP119" s="259" t="str">
        <f t="shared" ca="1" si="200"/>
        <v/>
      </c>
      <c r="EQ119" s="259">
        <f t="shared" ca="1" si="201"/>
        <v>0</v>
      </c>
      <c r="ER119" s="259">
        <f ca="1">IF(ISNA(EQ119),MAX(ER$2:ER118)+1,0)</f>
        <v>0</v>
      </c>
      <c r="ES119" s="259" t="str">
        <f t="shared" ca="1" si="259"/>
        <v/>
      </c>
      <c r="ET119" s="259" t="str">
        <f ca="1">IFERROR(UPPER(INDEX($ER$3:$ES$500,MATCH(ROWS(ET$3:ET119),$ER$3:$ER$500,0),2)),"")</f>
        <v/>
      </c>
      <c r="EW119" s="259">
        <f t="shared" ca="1" si="344"/>
        <v>1</v>
      </c>
      <c r="EX119" s="259">
        <v>17</v>
      </c>
      <c r="EY119" s="259">
        <f t="shared" ca="1" si="345"/>
        <v>0</v>
      </c>
      <c r="EZ119" s="259">
        <f t="shared" ca="1" si="346"/>
        <v>0</v>
      </c>
      <c r="FA119" s="259">
        <f t="shared" ca="1" si="347"/>
        <v>0</v>
      </c>
      <c r="FB119" s="259">
        <f t="shared" ca="1" si="348"/>
        <v>0</v>
      </c>
      <c r="FC119" s="259">
        <f t="shared" ca="1" si="349"/>
        <v>0</v>
      </c>
      <c r="FD119" s="259">
        <f t="shared" ca="1" si="202"/>
        <v>0</v>
      </c>
      <c r="FE119" s="259" t="str">
        <f t="shared" ca="1" si="203"/>
        <v/>
      </c>
      <c r="FF119" s="259" t="str">
        <f t="shared" ca="1" si="350"/>
        <v/>
      </c>
      <c r="FG119" s="259" t="str">
        <f t="shared" si="335"/>
        <v/>
      </c>
      <c r="FH119" s="259">
        <f t="shared" ca="1" si="334"/>
        <v>0</v>
      </c>
      <c r="FI119" s="259">
        <f t="shared" ca="1" si="204"/>
        <v>0</v>
      </c>
      <c r="FJ119" s="259">
        <f t="shared" ca="1" si="336"/>
        <v>0</v>
      </c>
      <c r="FK119" s="259">
        <f t="shared" ca="1" si="267"/>
        <v>0</v>
      </c>
      <c r="FL119" s="259">
        <f ca="1">IF(OR(FJ119&gt;0,FK119&gt;0),MAX($FL$2:FL118)+1,0)</f>
        <v>0</v>
      </c>
      <c r="FM119" s="259">
        <f t="shared" ca="1" si="205"/>
        <v>0</v>
      </c>
      <c r="FN119" s="259">
        <f ca="1">IF(FM119&lt;0,MAX($FN$2:FN118)+1,0)</f>
        <v>0</v>
      </c>
      <c r="FO119" s="259" t="str">
        <f t="shared" ca="1" si="268"/>
        <v/>
      </c>
      <c r="FP119" s="259" t="str">
        <f ca="1">IFERROR(INDEX($FN$3:$FO$400,MATCH(ROWS($FP$3:FP119),$FN$3:$FN$400,0),2),"")</f>
        <v/>
      </c>
      <c r="FQ119" s="259" t="str">
        <f>IF(AE119="SE AVERE",MAX($FQ$2:FQ118)+1,"")</f>
        <v/>
      </c>
      <c r="FR119" s="259">
        <f>IF(AE119="SE DARE",MAX($FR$2:FR118)+1,"")</f>
        <v>27</v>
      </c>
      <c r="FS119" s="259" t="str">
        <f ca="1">IF(AND(AE119="SP DARE",AA119&lt;&gt;$FS$1,AA119&lt;&gt;$FT$1),MAX($FS$2:FS118)+1,IF(AND(GQ119="SP DARE",AA119&lt;&gt;$FS$1,AA119&lt;&gt;$FT$1),MAX($FS$2:FS118)+1,""))</f>
        <v/>
      </c>
      <c r="FT119" s="259" t="str">
        <f ca="1">IF(AND(AE119="SP AVERE",AA119&lt;&gt;$FU$1),MAX($FT$2:FT118)+1,IF(AND(GQ119="SP AVERE",AA119&lt;&gt;$FU$1),MAX($FT$2:FT118)+1,""))</f>
        <v/>
      </c>
      <c r="FU119" s="259">
        <f t="shared" ca="1" si="269"/>
        <v>27</v>
      </c>
      <c r="FV119" s="259" t="str">
        <f t="shared" si="270"/>
        <v>MERCI C/APPORTI</v>
      </c>
      <c r="FW119" s="259" t="str">
        <f ca="1">IFERROR(INDEX($FU$3:$FV$500,MATCH(ROWS($FW$3:FW119),$FU$3:$FU$500,0),2),0)</f>
        <v>CREDITI PER ACCONTI DA CLIENTI</v>
      </c>
      <c r="FX119" s="259">
        <f t="shared" ca="1" si="271"/>
        <v>117</v>
      </c>
      <c r="FY119" s="259">
        <f t="shared" ca="1" si="272"/>
        <v>0</v>
      </c>
      <c r="FZ119" s="259">
        <f ca="1">IF(FY119&gt;0,MAX($FZ$2:FZ118)+1,0)</f>
        <v>0</v>
      </c>
      <c r="GA119" s="259">
        <f ca="1">IFERROR(INDEX($FY$3:$FZ$500,MATCH(ROWS($GA$3:GA119),$FZ$3:$FZ$500,0),1),0)</f>
        <v>0</v>
      </c>
      <c r="GC119" s="259">
        <f t="shared" ca="1" si="273"/>
        <v>117</v>
      </c>
      <c r="GD119" s="259" t="str">
        <f t="shared" ca="1" si="274"/>
        <v>CREDITI PER ACCONTI DA CLIENTI</v>
      </c>
      <c r="GG119" s="259">
        <f t="shared" ca="1" si="275"/>
        <v>0</v>
      </c>
      <c r="GH119" s="259">
        <f t="shared" ca="1" si="276"/>
        <v>0</v>
      </c>
      <c r="GI119" s="259">
        <f t="shared" ca="1" si="277"/>
        <v>0</v>
      </c>
      <c r="GJ119" s="259">
        <f t="shared" ca="1" si="278"/>
        <v>0</v>
      </c>
      <c r="GK119" s="259">
        <f t="shared" ca="1" si="279"/>
        <v>0</v>
      </c>
      <c r="GL119" s="259">
        <f t="shared" ca="1" si="280"/>
        <v>0</v>
      </c>
      <c r="GM119" s="259">
        <f ca="1">IF(OR(GK119&gt;0,GL119&gt;0),MAX($GM$2:GM118)+1,0)</f>
        <v>0</v>
      </c>
      <c r="GN119" s="259" t="str">
        <f ca="1">IFERROR(INDEX($GD$3:$GM$400,MATCH(ROWS($GN$3:GN119),$GM$3:$GM$400,0),1),"")</f>
        <v/>
      </c>
      <c r="GO119" s="259" t="str">
        <f ca="1">IFERROR(INDEX($GD$3:$GM$400,MATCH(ROWS($GO$3:GO119),$GM$3:$GM$400,0),8),"")</f>
        <v/>
      </c>
      <c r="GP119" s="259" t="str">
        <f ca="1">IFERROR(INDEX($GD$3:$GM$400,MATCH(ROWS($GP$3:GP119),$GM$3:$GM$400,0),9),"")</f>
        <v/>
      </c>
      <c r="GQ119" s="259">
        <f t="shared" ca="1" si="206"/>
        <v>0</v>
      </c>
      <c r="GR119" s="259">
        <f t="shared" ca="1" si="281"/>
        <v>0</v>
      </c>
      <c r="GS119" s="259" t="str">
        <f t="shared" ca="1" si="282"/>
        <v>chiusura del conto</v>
      </c>
      <c r="GT119" s="259" t="str">
        <f ca="1">IFERROR(INDEX($GD$3:$GS$400,MATCH(ROWS($GT$3:GT119),$GM$3:$GM$400,0),16),"")</f>
        <v/>
      </c>
      <c r="GU119" s="259">
        <f ca="1">IF(GQ119&lt;&gt;0,MAX($GU$2:$GU118)+1,0)</f>
        <v>0</v>
      </c>
      <c r="GV119" s="259">
        <f t="shared" ca="1" si="283"/>
        <v>0</v>
      </c>
      <c r="GW119" s="259" t="str">
        <f ca="1">IF(AND(IFERROR(INDEX($GU$3:$GV$400,MATCH(ROWS($GW$3:GW119),$GU$3:$GU$400,0),2),"")&lt;&gt;"",GW120&lt;&gt;""),CONCATENATE(IFERROR(INDEX($GU$3:$GV$400,MATCH(ROWS($GW$3:GW119),$GU$3:$GU$400,0),2),"")," - "),IFERROR(INDEX($GU$3:$GV$400,MATCH(ROWS($GW$3:GW119),$GU$3:$GU$400,0),2),""))</f>
        <v/>
      </c>
      <c r="GX119" s="259">
        <f ca="1">IF(OR(GN119="IVA NS/CREDITO",GN119="IVA NS/DEBITO",GN119="IVA C/ACCONTO",GN119="IMPOSTE C/ACCONTO"),MAX($GX$2:GX118)+1,0)</f>
        <v>0</v>
      </c>
      <c r="GY119" s="259" t="str">
        <f ca="1">IF(AND(IFERROR(INDEX($GN$3:$GX$200,MATCH(ROWS($GY$3:GY119),$GX$3:$GX$200,0),1),"")&lt;&gt;"",GY120&lt;&gt;""),CONCATENATE(IFERROR(INDEX($GN$3:$GX$200,MATCH(ROWS($GY$3:GY119),$GX$3:$GX$200,0),1),"")," - "),IFERROR(INDEX($GN$3:$GX$200,MATCH(ROWS($GY$3:GY119),$GX$3:$GX$200,0),1),""))</f>
        <v/>
      </c>
      <c r="GZ119" s="259" t="s">
        <v>554</v>
      </c>
      <c r="HA119" s="259" t="s">
        <v>556</v>
      </c>
      <c r="HC119" s="269" t="s">
        <v>276</v>
      </c>
      <c r="HD119" s="269" t="s">
        <v>439</v>
      </c>
      <c r="HG119" s="270"/>
      <c r="HV119" s="259" t="str">
        <f ca="1">CONCATENATE(IFERROR(INDEX($HS$3:$HT$102,MATCH(ROWS($HV$3:HV119),$HT$3:$HT$102,0),1),""),HR119)</f>
        <v/>
      </c>
      <c r="IC119" s="259">
        <f ca="1">IFERROR(INDEX(PIANO_DEI_CONTI,MATCH(ROWS(DL$3:DL119),$DK$3:DK346,0),2),0)</f>
        <v>0</v>
      </c>
      <c r="ID119" s="259">
        <f t="shared" ca="1" si="288"/>
        <v>0</v>
      </c>
      <c r="IE119" s="259">
        <f t="shared" ca="1" si="289"/>
        <v>0</v>
      </c>
      <c r="IF119" s="259">
        <f t="shared" ca="1" si="290"/>
        <v>0</v>
      </c>
      <c r="IG119" s="259">
        <f t="shared" ca="1" si="324"/>
        <v>0</v>
      </c>
      <c r="IH119" s="259">
        <f ca="1">IF(IG119&lt;&gt;0,MAX($IH$35:IH118)+1,0)</f>
        <v>0</v>
      </c>
      <c r="II119" s="259">
        <f>IF(AD119="costi pluriennali",MAX($II$2:II118)+1,0)</f>
        <v>0</v>
      </c>
      <c r="IJ119" s="259">
        <f>IF($AD119="rettifiche costi pluriennali",MAX($IJ$2:IJ118)+1,0)</f>
        <v>0</v>
      </c>
      <c r="IK119" s="259">
        <f t="shared" si="291"/>
        <v>0</v>
      </c>
      <c r="IL119" s="259" t="str">
        <f t="shared" si="292"/>
        <v/>
      </c>
      <c r="IM119" s="259">
        <f t="shared" ca="1" si="293"/>
        <v>0</v>
      </c>
      <c r="IN119" s="259">
        <f t="shared" ca="1" si="313"/>
        <v>0</v>
      </c>
      <c r="IO119" s="259">
        <f>SUMIFS($IM$3:$IM$200,$IK$3:$IK$200,ROWS($IO$3:IO119))-SUMIFS($IN$3:$IN$200,$IK$3:$IK$200,ROWS($IO$3:IO119))</f>
        <v>0</v>
      </c>
      <c r="IP119" s="259" t="str">
        <f>IF(IO119&lt;0,INDEX($IJ$3:$IL$200,MATCH(ROWS($IP$3:IP119),$IJ$3:$IJ$200,0),3),"")</f>
        <v/>
      </c>
      <c r="IQ119" s="259">
        <f>IF(IP119&lt;&gt;"",MAX($IQ$2:IQ118)+1,0)</f>
        <v>0</v>
      </c>
      <c r="IR119" s="259" t="str">
        <f ca="1">IFERROR(INDEX($IP$3:$IQ$200,MATCH(ROWS($IR$3:IR119),$IQ$3:$IQ$200,0),1),"")</f>
        <v/>
      </c>
      <c r="IS119" s="259" t="str">
        <f t="shared" ca="1" si="294"/>
        <v/>
      </c>
      <c r="IT119" s="259" t="str">
        <f t="shared" ca="1" si="295"/>
        <v/>
      </c>
      <c r="IU119" s="259" t="str">
        <f t="shared" ca="1" si="296"/>
        <v/>
      </c>
      <c r="IV119" s="259" t="str">
        <f t="shared" ca="1" si="297"/>
        <v/>
      </c>
      <c r="IW119" s="259" t="str">
        <f t="shared" ca="1" si="298"/>
        <v/>
      </c>
      <c r="IX119" s="259" t="str">
        <f t="shared" ca="1" si="299"/>
        <v/>
      </c>
      <c r="IY119" s="259" t="str">
        <f t="shared" ca="1" si="300"/>
        <v/>
      </c>
      <c r="IZ119" s="259" t="str">
        <f t="shared" ca="1" si="301"/>
        <v/>
      </c>
      <c r="JA119" s="259" t="str">
        <f t="shared" ca="1" si="302"/>
        <v/>
      </c>
      <c r="JB119" s="259">
        <f t="shared" ca="1" si="210"/>
        <v>0</v>
      </c>
      <c r="JC119" s="259">
        <f t="shared" ca="1" si="351"/>
        <v>0</v>
      </c>
      <c r="JD119" s="259">
        <f t="shared" ca="1" si="352"/>
        <v>0</v>
      </c>
      <c r="JE119" s="259">
        <f ca="1">IFERROR(INDEX(LIBRO_GIORNALE!$N$11:$O$408,MATCH(ROWS($JE$2:JE118),LIBRO_GIORNALE!$O$11:$O$408,0),1),0)</f>
        <v>0</v>
      </c>
      <c r="JF119" s="259" t="str">
        <f t="shared" ca="1" si="304"/>
        <v>0</v>
      </c>
      <c r="JG119" s="259">
        <f t="shared" ca="1" si="305"/>
        <v>0</v>
      </c>
      <c r="JH119" s="259">
        <f ca="1">IF(JJ119&gt;0,0,MAX($JH$2:JH118)+1)</f>
        <v>117</v>
      </c>
      <c r="JI119" s="259">
        <f ca="1">IF(JG119&gt;0,MAX($JI$2:JI118)+1,0)</f>
        <v>0</v>
      </c>
      <c r="JJ119" s="259">
        <f ca="1">IFERROR(INDEX($JG$3:$JI$124,MATCH(ROWS($JJ$3:JJ119),$JI$3:$JI$124,0),1),0)</f>
        <v>0</v>
      </c>
      <c r="JK119" s="259">
        <f t="shared" ca="1" si="306"/>
        <v>0</v>
      </c>
      <c r="JL119" s="259">
        <f t="shared" ca="1" si="307"/>
        <v>117</v>
      </c>
      <c r="JM119" s="259">
        <f t="shared" ca="1" si="353"/>
        <v>0</v>
      </c>
    </row>
    <row r="120" spans="1:273">
      <c r="A120" s="259" t="str">
        <f t="shared" si="211"/>
        <v>19.22</v>
      </c>
      <c r="B120" s="259" t="str">
        <f t="shared" si="212"/>
        <v>CREDITORI PER FIDEIUSSIONI</v>
      </c>
      <c r="C120" s="259">
        <f t="shared" si="213"/>
        <v>0</v>
      </c>
      <c r="D120" s="259" t="str">
        <f t="shared" si="214"/>
        <v>A</v>
      </c>
      <c r="E120" s="259" t="str">
        <f t="shared" si="215"/>
        <v>CONTI D'ORDINE</v>
      </c>
      <c r="F120" s="259">
        <f t="shared" si="216"/>
        <v>0</v>
      </c>
      <c r="G120" s="259">
        <f t="shared" ca="1" si="217"/>
        <v>0</v>
      </c>
      <c r="H120" s="259">
        <f t="shared" ca="1" si="218"/>
        <v>0</v>
      </c>
      <c r="I120" s="259">
        <f t="shared" ca="1" si="219"/>
        <v>1</v>
      </c>
      <c r="K120" s="259" t="str">
        <f ca="1">IFERROR(IF($I$1=1,INDEX($AA$3:$AS$220,MATCH(ROWS($K$3:K120),$AQ$3:$AQ$220,0),1),IF($I$1=2,INDEX($AA$3:$AS$220,MATCH(ROWS($K$3:K120),$AR$3:$AR$220,0),1),IF($I$1=3,INDEX($AA$3:$AS$220,MATCH(ROWS($K$3:K120),$AS$3:$AS$220,0),1),""))),"")</f>
        <v>COSTI PER ENERGIA</v>
      </c>
      <c r="L120" s="259">
        <f ca="1">IF(AND($L$1="VISUALIZZA TUTTI I CONTI",K120&lt;&gt;""),MAX(L119:L119)+1,IFERROR(IF($J$1=1,IF(INDEX(PIANO_DEI_CONTI,MATCH($K120,DENOMINAZIONE,0),5)=$L$1,MAX($L$2:L119)+1,0),IF($J$1=2,IF(INDEX(PIANO_DEI_CONTI,MATCH($K120,DENOMINAZIONE,0),7)=$L$1,MAX($L$2:L119)+1,0))),0))</f>
        <v>118</v>
      </c>
      <c r="M120" s="259" t="str">
        <f ca="1">IFERROR(INDEX($K$3:$K$220,MATCH(ROWS($M$3:M120),$L$3:$L$220,0),1),"")</f>
        <v>COSTI PER ENERGIA</v>
      </c>
      <c r="Q120" s="259" t="str">
        <f ca="1">IF(IFERROR(INDEX($O$3:$P$220,MATCH(ROWS(Q$3:Q120),$P$3:$P$220,0),1),"")=0,"",IFERROR(INDEX($O$3:$P$220,MATCH(ROWS(Q$3:Q120),$P$3:$P$220,0),1),""))</f>
        <v/>
      </c>
      <c r="R120" s="259" t="str">
        <f t="shared" ca="1" si="182"/>
        <v/>
      </c>
      <c r="S120" s="259">
        <f ca="1">IF(IFERROR(MATCH(R120,DENOMINAZIONE_GIORNALE,0),0)&gt;0,MAX(S$2:S119)+1,0)</f>
        <v>0</v>
      </c>
      <c r="T120" s="259" t="str">
        <f ca="1">IFERROR(INDEX($R$3:$S$220,MATCH(ROWS($T$3:T120),$S$3:$S$220,0),1),"")</f>
        <v/>
      </c>
      <c r="U120" s="259">
        <f t="shared" ca="1" si="183"/>
        <v>0</v>
      </c>
      <c r="V120" s="259">
        <f ca="1">IF(IF(U120&lt;&gt;0,MAX($V$2:V119)+1,0)=0,0,IF(U120&lt;&gt;0,MAX($V$2:V119)+1,0))</f>
        <v>0</v>
      </c>
      <c r="W120" s="259" t="str">
        <f t="shared" si="220"/>
        <v>19.22</v>
      </c>
      <c r="X120" s="259" t="str">
        <f t="shared" si="221"/>
        <v>CREDITORI PER FIDEIUSSIONI</v>
      </c>
      <c r="Y120" s="259">
        <f>IF(W120="",0,MAX($Y$2:Y119)+1)</f>
        <v>101</v>
      </c>
      <c r="Z120" s="259" t="str">
        <f>IFERROR(INDEX($W$3:$Y$220,MATCH(ROWS($Z$2:Z119),$Y$3:$Y$220,0),1),"")</f>
        <v>30.10</v>
      </c>
      <c r="AA120" s="259" t="str">
        <f t="shared" si="222"/>
        <v>RESI SU ACQUISTI</v>
      </c>
      <c r="AB120" s="259" t="str">
        <f t="shared" si="223"/>
        <v>E</v>
      </c>
      <c r="AC120" s="259" t="str">
        <f t="shared" si="224"/>
        <v>A</v>
      </c>
      <c r="AD120" s="259" t="str">
        <f t="shared" si="225"/>
        <v>RETTIFICHE COSTI D'ESERCIZIO</v>
      </c>
      <c r="AE120" s="259" t="str">
        <f t="shared" si="226"/>
        <v>SE AVERE</v>
      </c>
      <c r="AF120" s="259" t="str">
        <f t="shared" si="227"/>
        <v>COSTI PER MERCI E MATERIE DI CONSUMO</v>
      </c>
      <c r="AG120" s="259">
        <f t="shared" ca="1" si="228"/>
        <v>1</v>
      </c>
      <c r="AH120" s="259">
        <f t="shared" ca="1" si="229"/>
        <v>1</v>
      </c>
      <c r="AI120" s="259">
        <f t="shared" ca="1" si="230"/>
        <v>1</v>
      </c>
      <c r="AJ120" s="259" t="str">
        <f t="shared" si="231"/>
        <v>30</v>
      </c>
      <c r="AK120" s="259" t="str">
        <f t="shared" si="232"/>
        <v/>
      </c>
      <c r="AL120" s="259">
        <f>IF(AK120&lt;&gt;"",MAX($AL$2:AL119)+1,0)</f>
        <v>0</v>
      </c>
      <c r="AM120" s="259" t="str">
        <f>IFERROR(INDEX($AK$3:$AL$220,MATCH(ROWS($AM$3:AM120),$AL$3:$AL$220,0),1),"")</f>
        <v/>
      </c>
      <c r="AN120" s="259" t="str">
        <f t="shared" si="233"/>
        <v/>
      </c>
      <c r="AO120" s="259" t="str">
        <f t="shared" si="234"/>
        <v/>
      </c>
      <c r="AP120" s="259" t="str">
        <f t="shared" si="235"/>
        <v>COSTI PER MERCI E MATERIE DI CONSUMO</v>
      </c>
      <c r="AQ120" s="259">
        <f ca="1">IF(OR(AG120=0,AG120=""),0,MAX(AQ$2:AQ119)+1)</f>
        <v>59</v>
      </c>
      <c r="AR120" s="259">
        <f ca="1">IF(OR(AH120=0,AH120=""),0,MAX(AR$2:AR119)+1)</f>
        <v>84</v>
      </c>
      <c r="AS120" s="259">
        <f ca="1">IF(OR(AI120=0,AI120=""),0,MAX(AS$2:AS119)+1)</f>
        <v>114</v>
      </c>
      <c r="AT120" s="259" t="str">
        <f ca="1">IFERROR(INDEX($AD$3:$AS$220,MATCH(ROWS(AT$3:AT120),AQ$3:AQ$220,0),1),"")</f>
        <v/>
      </c>
      <c r="AU120" s="259" t="str">
        <f ca="1">IFERROR(INDEX($AD$3:$AS$220,MATCH(ROWS(AU$3:AU120),AR$3:AR$220,0),1),"")</f>
        <v>COSTI D'ESERCIZIO</v>
      </c>
      <c r="AV120" s="259" t="str">
        <f ca="1">IFERROR(INDEX($AD$3:$AS$220,MATCH(ROWS(AV$3:AV120),AS$3:AS$220,0),1),"")</f>
        <v>COSTI D'ESERCIZIO</v>
      </c>
      <c r="AW120" s="259" t="str">
        <f ca="1">IFERROR(INDEX($AP$3:$AS$220,MATCH(ROWS(AW$3:AW120),AQ$3:AQ$220,0),1),"")</f>
        <v/>
      </c>
      <c r="AX120" s="259" t="str">
        <f ca="1">IFERROR(INDEX($AP$3:$AS$220,MATCH(ROWS(AX$3:AX120),AR$3:AR$220,0),1),"")</f>
        <v>ONERI FINANZIARI</v>
      </c>
      <c r="AY120" s="259" t="str">
        <f ca="1">IFERROR(INDEX($AP$3:$AS$220,MATCH(ROWS(AY$3:AY120),AS$3:AS$220,0),1),"")</f>
        <v>COSTI PER SERVIZI</v>
      </c>
      <c r="AZ120" s="259" t="str">
        <f t="shared" si="339"/>
        <v>18 V.I.</v>
      </c>
      <c r="BA120" s="259">
        <f t="shared" ca="1" si="338"/>
        <v>0</v>
      </c>
      <c r="BB120" s="259">
        <f t="shared" ca="1" si="340"/>
        <v>0</v>
      </c>
      <c r="BC120" s="259">
        <f t="shared" ca="1" si="341"/>
        <v>0</v>
      </c>
      <c r="BD120" s="259">
        <f t="shared" ca="1" si="342"/>
        <v>0</v>
      </c>
      <c r="BE120" s="259">
        <f t="shared" ca="1" si="343"/>
        <v>0</v>
      </c>
      <c r="BG120" s="259" t="str">
        <f t="shared" ca="1" si="185"/>
        <v/>
      </c>
      <c r="BH120" s="259">
        <f ca="1">IF(IFERROR(MATCH(BG120,DENOMINAZIONE_GIORNALE,0),0)&gt;0,MAX(BH$2:BH119)+1,0)</f>
        <v>0</v>
      </c>
      <c r="BI120" s="259" t="str">
        <f ca="1">IFERROR(INDEX($BG$3:$BH$220,MATCH(ROWS($BI$3:BI120),$BH$3:$BH$220,0),1),"")</f>
        <v/>
      </c>
      <c r="BJ120" s="259" t="str">
        <f t="shared" ca="1" si="186"/>
        <v/>
      </c>
      <c r="BK120" s="259" t="str">
        <f ca="1">IF(IF(BJ120&lt;&gt;"",MAX($BK$2:BK119)+1,0)=0,"",IF(BJ120&lt;&gt;"",MAX($BK$2:BK119)+1,0))</f>
        <v/>
      </c>
      <c r="BL120" s="259" t="str">
        <f ca="1">IFERROR(INDEX($T$3:$U$220, MATCH(ROWS(BL$3:BL120),$V$3:$V$220,0),1),"")</f>
        <v/>
      </c>
      <c r="BM120" s="259" t="str">
        <f ca="1">IFERROR(INDEX($T$3:$U$220, MATCH(ROWS(BM$3:BM120),$V$3:$V$220,0),2),"")</f>
        <v/>
      </c>
      <c r="BN120" s="259" t="str">
        <f ca="1">IF(IFERROR(INDEX($BI$3:$BJ$220,MATCH(ROWS(BN$3:BN120),$BK$3:$BK$220,0),1),"")="PATRIMONIO NETTO","",IFERROR(INDEX($BI$3:$BJ$220,MATCH(ROWS(BN$3:BN120),$BK$3:$BK$220,0),1),""))</f>
        <v/>
      </c>
      <c r="BO120" s="259" t="str">
        <f ca="1">IFERROR(INDEX($BI$3:$BJ$220,MATCH(ROWS(BO$3:BO120),$BK$3:$BK$220,0),2),"")</f>
        <v/>
      </c>
      <c r="BP120" s="259">
        <f ca="1">IF(BN120&lt;&gt;"",MAX(BP$2:$BP119)+1,0)</f>
        <v>0</v>
      </c>
      <c r="BQ120" s="259" t="str">
        <f ca="1">IFERROR(INDEX($BN$3:$BO$200,MATCH(ROWS(BQ$3:BQ120),$BP$3:$BP$220,0),1),"")</f>
        <v/>
      </c>
      <c r="BR120" s="259" t="str">
        <f ca="1">IFERROR(INDEX($BN$3:$BO$220,MATCH(ROWS(BR$3:BR120),$BP$3:$BP$220,0),2),"")</f>
        <v/>
      </c>
      <c r="BS120" s="259" t="str">
        <f ca="1">IFERROR(IF(OR(INDEX($T$3:$U$220,MATCH(ROWS(BL$3:BL120),$V$3:$V$220,0),1)="PRELEVAMENTI EXTRAGESTIONE",INDEX($T$3:$U$220,MATCH(ROWS(BL$3:BL120),$V$3:$V$220,0),1)="TITOLARE C/RITENUTE SUBITE"),"",INDEX($T$3:$U$220,MATCH(ROWS(BL$3:BL120),$V$3:$V$220,0),1)),"")</f>
        <v/>
      </c>
      <c r="BT120" s="259">
        <f t="shared" ca="1" si="238"/>
        <v>0</v>
      </c>
      <c r="BU120" s="259">
        <f ca="1">IF(BS120&lt;&gt;"",MAX(BU$2:BU119)+1,0)</f>
        <v>0</v>
      </c>
      <c r="BV120" s="259" t="str">
        <f ca="1">IFERROR(INDEX($BS$3:$BT$223,MATCH(ROWS(BV$3:BV120),$BU$3:$BU$223,0),1),"")</f>
        <v/>
      </c>
      <c r="BW120" s="259">
        <f t="shared" ca="1" si="239"/>
        <v>0</v>
      </c>
      <c r="CB120" s="259" t="str">
        <f ca="1">IFERROR(IF(OR($BB$1&lt;&gt;$BD$1,$BC$1&lt;&gt;$BE$1,$DS$231&lt;&gt;$DT$231,$DU$231&lt;&gt;$DV$231,$EO$25&lt;&gt;0,$EO$26&lt;&gt;0),INDEX($BI$3:$BK$220,MATCH(ROWS($CB$3:CB120),$BK$3:$BK$220,0),1),CONCATENATE(BQ120,BX120)),"")</f>
        <v/>
      </c>
      <c r="CC120" s="259" t="str">
        <f t="shared" ca="1" si="243"/>
        <v/>
      </c>
      <c r="CD120" s="259" t="str">
        <f t="shared" ca="1" si="187"/>
        <v/>
      </c>
      <c r="CE120" s="259">
        <f ca="1">IF(IFERROR(MATCH(CD120,DENOMINAZIONE_GIORNALE,0),0)&gt;0,MAX(CE$2:CE119)+1,0)</f>
        <v>0</v>
      </c>
      <c r="CF120" s="259" t="str">
        <f ca="1">IFERROR(INDEX($CD$3:$CE$220,MATCH(ROWS($CF$3:CF120),$CE$3:$CE$220,0),1),"")</f>
        <v/>
      </c>
      <c r="CG120" s="259">
        <f t="shared" ca="1" si="188"/>
        <v>0</v>
      </c>
      <c r="CH120" s="259" t="str">
        <f ca="1">IF(IF(CG120&lt;&gt;0,MAX($CH$2:CH119)+1,0)=0,"",IF(CG120&lt;&gt;"",MAX($CH$2:CH119)+1,0))</f>
        <v/>
      </c>
      <c r="CI120" s="259" t="str">
        <f ca="1">IFERROR(INDEX($CF$3:$CG$220,MATCH(ROWS($CI$3:CI120),$CH$3:$CH$220,0),1),"")</f>
        <v/>
      </c>
      <c r="CJ120" s="259" t="str">
        <f t="shared" ca="1" si="244"/>
        <v/>
      </c>
      <c r="CK120" s="259" t="str">
        <f t="shared" ca="1" si="189"/>
        <v>RESI SU ACQUISTI</v>
      </c>
      <c r="CL120" s="259">
        <f ca="1">IF(IFERROR(MATCH(CK120,DENOMINAZIONE_GIORNALE,0),0)&gt;0,MAX(CL$2:CL119)+1,0)</f>
        <v>0</v>
      </c>
      <c r="CM120" s="259" t="str">
        <f ca="1">IFERROR(INDEX($CK$3:$CL$220,MATCH(ROWS($CM$3:CM120),$CL$3:$CL$220,0),1),"")</f>
        <v/>
      </c>
      <c r="CN120" s="259" t="str">
        <f t="shared" ca="1" si="190"/>
        <v/>
      </c>
      <c r="CO120" s="259">
        <f ca="1">IF(IF(CN120&lt;&gt;0,MAX($CO$2:CO119)+1,0)=0,"",IF(CN120&lt;&gt;"",MAX($CO$2:CO119)+1,0))</f>
        <v>0</v>
      </c>
      <c r="CP120" s="259" t="str">
        <f ca="1">IFERROR(INDEX($CM$3:$CN$220,MATCH(ROWS(CP$3:CP120),$CO$3:$CO$220,0),1),"")</f>
        <v/>
      </c>
      <c r="CQ120" s="259" t="str">
        <f ca="1">IFERROR(INDEX($CM$3:$CN$220,MATCH(ROWS(CQ$3:CQ120),$CO$3:$CO$220,0),2),"")</f>
        <v/>
      </c>
      <c r="CS120" s="259">
        <f t="shared" ca="1" si="192"/>
        <v>0</v>
      </c>
      <c r="CT120" s="259">
        <f t="shared" ca="1" si="193"/>
        <v>0</v>
      </c>
      <c r="CU120" s="259">
        <f ca="1">IF(OR(CS120&gt;0,CT120&gt;0),MAX($CU$2:CU119)+1,0)</f>
        <v>0</v>
      </c>
      <c r="CV120" s="259" t="str">
        <f ca="1">IFERROR(INDEX(PIANO_DEI_CONTI,MATCH(ROWS($CV$3:CV120),$CU$3:$CU$200,0),2),"")</f>
        <v/>
      </c>
      <c r="CW120" s="259">
        <f ca="1">IFERROR(IF(CV120&lt;&gt;"",MAX($CW$2:CW119)+1,0),0)</f>
        <v>0</v>
      </c>
      <c r="CX120" s="259">
        <f t="shared" ca="1" si="355"/>
        <v>7</v>
      </c>
      <c r="CY120" s="259" t="str">
        <f t="shared" ca="1" si="337"/>
        <v>MASTRO</v>
      </c>
      <c r="CZ120" s="259" t="e">
        <f t="shared" ca="1" si="357"/>
        <v>#N/A</v>
      </c>
      <c r="DA120" s="259" t="str">
        <f t="shared" ca="1" si="362"/>
        <v/>
      </c>
      <c r="DB120" s="259" t="str">
        <f t="shared" ca="1" si="358"/>
        <v/>
      </c>
      <c r="DC120" s="259" t="str">
        <f t="shared" ca="1" si="359"/>
        <v/>
      </c>
      <c r="DD120" s="259" t="str">
        <f t="shared" ca="1" si="360"/>
        <v/>
      </c>
      <c r="DE120" s="259" t="str">
        <f t="shared" ca="1" si="361"/>
        <v/>
      </c>
      <c r="DF120" s="259">
        <f ca="1">IF(AND(CX120=$DE$2,$DF$2&lt;&gt;0),0,IF(AND(DB120&lt;&gt;"",OR(DB119&lt;&gt;"",DB121&lt;&gt;"")),MAX($DF$2:DF119)+1,0))</f>
        <v>0</v>
      </c>
      <c r="DG120" s="259" t="str">
        <f>IF(IF(LIBRO_GIORNALE!E28="","",IFERROR(INDEX(PIANO_DEI_CONTI,MATCH(BB120,DENOMINAZIONE,0),1),0))=0,"",IF(LIBRO_GIORNALE!E28="","",IFERROR(INDEX(PIANO_DEI_CONTI,MATCH(BB120,DENOMINAZIONE,0),1),0)))</f>
        <v/>
      </c>
      <c r="DH120" s="259">
        <f ca="1">IFERROR(IF($J$1=1,IF(INDEX(PIANO_DEI_CONTI,MATCH($K120,DENOMINAZIONE,0),5)=$DF$1,MAX($DH$2:DH119)+1,0),IF($J$1=2,IF(INDEX(PIANO_DEI_CONTI,MATCH($K120,DENOMINAZIONE,0),7)=$DF$1,MAX($DH$2:DH119)+1,0))),0)</f>
        <v>0</v>
      </c>
      <c r="DI120" s="259">
        <f ca="1">IFERROR(INDEX($K$3:$K$220,MATCH(ROWS($DI$3:DI120),$DH$3:$DH$220,0),1),0)</f>
        <v>0</v>
      </c>
      <c r="DJ120" s="259">
        <f t="shared" ca="1" si="194"/>
        <v>0</v>
      </c>
      <c r="DK120" s="259">
        <f ca="1">IF(DJ120=0,0,MAX(DK$2:DK119)+1)</f>
        <v>0</v>
      </c>
      <c r="DL120" s="259">
        <f ca="1">IFERROR(INDEX(PIANO_DEI_CONTI,MATCH(ROWS(DL$3:DL120),$DK$3:DK347,0),2),0)</f>
        <v>0</v>
      </c>
      <c r="DM120" s="259">
        <f t="shared" ca="1" si="195"/>
        <v>0</v>
      </c>
      <c r="DN120" s="259">
        <f t="shared" ca="1" si="196"/>
        <v>0</v>
      </c>
      <c r="DO120" s="259">
        <f t="shared" ca="1" si="245"/>
        <v>0</v>
      </c>
      <c r="DP120" s="259">
        <f t="shared" ca="1" si="246"/>
        <v>0</v>
      </c>
      <c r="DQ120" s="259">
        <f ca="1">IF(OR($DQ$1="TOTALI",$DQ$1="TOTALI ED ECCEDENZE"),IF(OR(DM120&gt;0,DN120&gt;0),MAX(DQ$2:DQ119)+1,0),IF($DQ$1="ECCEDENZE",IF(OR(DO120&gt;0,DP120&gt;0),MAX(DQ$2:DQ119)+1,0),""))</f>
        <v>0</v>
      </c>
      <c r="DR120" s="259" t="str">
        <f ca="1">IFERROR(INDEX($DL$3:$DQ$230,MATCH(ROWS(DR$3:DR120),$DQ$3:$DQ$230,0),1),"")</f>
        <v/>
      </c>
      <c r="DS120" s="259" t="str">
        <f t="shared" ca="1" si="247"/>
        <v/>
      </c>
      <c r="DT120" s="259" t="str">
        <f t="shared" ca="1" si="248"/>
        <v/>
      </c>
      <c r="DU120" s="259" t="str">
        <f t="shared" ca="1" si="249"/>
        <v/>
      </c>
      <c r="DV120" s="259" t="str">
        <f t="shared" ca="1" si="250"/>
        <v/>
      </c>
      <c r="DW120" s="259">
        <f t="shared" ca="1" si="251"/>
        <v>0</v>
      </c>
      <c r="DX120" s="259" t="str">
        <f t="shared" ca="1" si="252"/>
        <v/>
      </c>
      <c r="DY120" s="259" t="str">
        <f t="shared" ca="1" si="253"/>
        <v/>
      </c>
      <c r="DZ120" s="259" t="str">
        <f t="shared" ca="1" si="254"/>
        <v/>
      </c>
      <c r="EA120" s="259">
        <f t="shared" ca="1" si="255"/>
        <v>118</v>
      </c>
      <c r="EB120" s="259" t="s">
        <v>368</v>
      </c>
      <c r="ED120" s="259">
        <f t="shared" ca="1" si="197"/>
        <v>0</v>
      </c>
      <c r="EH120" s="259" t="str">
        <f t="shared" ca="1" si="256"/>
        <v/>
      </c>
      <c r="EI120" s="260" t="b">
        <f t="shared" ca="1" si="310"/>
        <v>0</v>
      </c>
      <c r="EJ120" s="260" t="b">
        <f t="shared" ca="1" si="311"/>
        <v>0</v>
      </c>
      <c r="EK120" s="260" t="b">
        <f t="shared" ca="1" si="312"/>
        <v>1</v>
      </c>
      <c r="EL120" s="259">
        <f t="shared" si="257"/>
        <v>118</v>
      </c>
      <c r="EM120" s="259">
        <f ca="1">IF(AND(BA120&gt;0,BA120&lt;=$EM$1),MAX($EM$2:EM119)+1,0)</f>
        <v>0</v>
      </c>
      <c r="EN120" s="259">
        <f t="shared" ca="1" si="258"/>
        <v>120</v>
      </c>
      <c r="EP120" s="259" t="str">
        <f t="shared" ca="1" si="200"/>
        <v/>
      </c>
      <c r="EQ120" s="259">
        <f t="shared" ca="1" si="201"/>
        <v>0</v>
      </c>
      <c r="ER120" s="259">
        <f ca="1">IF(ISNA(EQ120),MAX(ER$2:ER119)+1,0)</f>
        <v>0</v>
      </c>
      <c r="ES120" s="259" t="str">
        <f t="shared" ca="1" si="259"/>
        <v/>
      </c>
      <c r="ET120" s="259" t="str">
        <f ca="1">IFERROR(UPPER(INDEX($ER$3:$ES$500,MATCH(ROWS(ET$3:ET120),$ER$3:$ER$500,0),2)),"")</f>
        <v/>
      </c>
      <c r="EW120" s="259">
        <f t="shared" ca="1" si="344"/>
        <v>1</v>
      </c>
      <c r="EX120" s="259">
        <v>18</v>
      </c>
      <c r="EY120" s="259">
        <f t="shared" ca="1" si="345"/>
        <v>0</v>
      </c>
      <c r="EZ120" s="259">
        <f t="shared" ca="1" si="346"/>
        <v>0</v>
      </c>
      <c r="FA120" s="259">
        <f t="shared" ca="1" si="347"/>
        <v>0</v>
      </c>
      <c r="FB120" s="259">
        <f t="shared" ca="1" si="348"/>
        <v>0</v>
      </c>
      <c r="FC120" s="259">
        <f t="shared" ca="1" si="349"/>
        <v>0</v>
      </c>
      <c r="FD120" s="259">
        <f t="shared" ca="1" si="202"/>
        <v>0</v>
      </c>
      <c r="FE120" s="259" t="str">
        <f t="shared" ca="1" si="203"/>
        <v/>
      </c>
      <c r="FF120" s="259" t="str">
        <f t="shared" ca="1" si="350"/>
        <v/>
      </c>
      <c r="FG120" s="259" t="str">
        <f t="shared" si="335"/>
        <v/>
      </c>
      <c r="FH120" s="259">
        <f t="shared" ca="1" si="334"/>
        <v>0</v>
      </c>
      <c r="FI120" s="259">
        <f t="shared" ca="1" si="204"/>
        <v>0</v>
      </c>
      <c r="FJ120" s="259">
        <f t="shared" ca="1" si="336"/>
        <v>0</v>
      </c>
      <c r="FK120" s="259">
        <f t="shared" ca="1" si="267"/>
        <v>0</v>
      </c>
      <c r="FL120" s="259">
        <f ca="1">IF(OR(FJ120&gt;0,FK120&gt;0),MAX($FL$2:FL119)+1,0)</f>
        <v>0</v>
      </c>
      <c r="FM120" s="259">
        <f t="shared" ca="1" si="205"/>
        <v>0</v>
      </c>
      <c r="FN120" s="259">
        <f ca="1">IF(FM120&lt;0,MAX($FN$2:FN119)+1,0)</f>
        <v>0</v>
      </c>
      <c r="FO120" s="259" t="str">
        <f t="shared" ca="1" si="268"/>
        <v/>
      </c>
      <c r="FP120" s="259" t="str">
        <f ca="1">IFERROR(INDEX($FN$3:$FO$400,MATCH(ROWS($FP$3:FP120),$FN$3:$FN$400,0),2),"")</f>
        <v/>
      </c>
      <c r="FQ120" s="259">
        <f>IF(AE120="SE AVERE",MAX($FQ$2:FQ119)+1,"")</f>
        <v>11</v>
      </c>
      <c r="FR120" s="259" t="str">
        <f>IF(AE120="SE DARE",MAX($FR$2:FR119)+1,"")</f>
        <v/>
      </c>
      <c r="FS120" s="259" t="str">
        <f ca="1">IF(AND(AE120="SP DARE",AA120&lt;&gt;$FS$1,AA120&lt;&gt;$FT$1),MAX($FS$2:FS119)+1,IF(AND(GQ120="SP DARE",AA120&lt;&gt;$FS$1,AA120&lt;&gt;$FT$1),MAX($FS$2:FS119)+1,""))</f>
        <v/>
      </c>
      <c r="FT120" s="259" t="str">
        <f ca="1">IF(AND(AE120="SP AVERE",AA120&lt;&gt;$FU$1),MAX($FT$2:FT119)+1,IF(AND(GQ120="SP AVERE",AA120&lt;&gt;$FU$1),MAX($FT$2:FT119)+1,""))</f>
        <v/>
      </c>
      <c r="FU120" s="259">
        <f t="shared" ca="1" si="269"/>
        <v>11</v>
      </c>
      <c r="FV120" s="259" t="str">
        <f t="shared" si="270"/>
        <v>RESI SU ACQUISTI</v>
      </c>
      <c r="FW120" s="259" t="str">
        <f ca="1">IFERROR(INDEX($FU$3:$FV$500,MATCH(ROWS($FW$3:FW120),$FU$3:$FU$500,0),2),0)</f>
        <v>IVA NS/CREDITO</v>
      </c>
      <c r="FX120" s="259">
        <f t="shared" ca="1" si="271"/>
        <v>118</v>
      </c>
      <c r="FY120" s="259">
        <f t="shared" ca="1" si="272"/>
        <v>0</v>
      </c>
      <c r="FZ120" s="259">
        <f ca="1">IF(FY120&gt;0,MAX($FZ$2:FZ119)+1,0)</f>
        <v>0</v>
      </c>
      <c r="GA120" s="259">
        <f ca="1">IFERROR(INDEX($FY$3:$FZ$500,MATCH(ROWS($GA$3:GA120),$FZ$3:$FZ$500,0),1),0)</f>
        <v>0</v>
      </c>
      <c r="GC120" s="259">
        <f t="shared" ca="1" si="273"/>
        <v>118</v>
      </c>
      <c r="GD120" s="259" t="str">
        <f t="shared" ca="1" si="274"/>
        <v>IVA NS/CREDITO</v>
      </c>
      <c r="GG120" s="259">
        <f t="shared" ca="1" si="275"/>
        <v>0</v>
      </c>
      <c r="GH120" s="259">
        <f t="shared" ca="1" si="276"/>
        <v>0</v>
      </c>
      <c r="GI120" s="259">
        <f t="shared" ca="1" si="277"/>
        <v>0</v>
      </c>
      <c r="GJ120" s="259">
        <f t="shared" ca="1" si="278"/>
        <v>0</v>
      </c>
      <c r="GK120" s="259">
        <f t="shared" ca="1" si="279"/>
        <v>0</v>
      </c>
      <c r="GL120" s="259">
        <f t="shared" ca="1" si="280"/>
        <v>0</v>
      </c>
      <c r="GM120" s="259">
        <f ca="1">IF(OR(GK120&gt;0,GL120&gt;0),MAX($GM$2:GM119)+1,0)</f>
        <v>0</v>
      </c>
      <c r="GN120" s="259" t="str">
        <f ca="1">IFERROR(INDEX($GD$3:$GM$400,MATCH(ROWS($GN$3:GN120),$GM$3:$GM$400,0),1),"")</f>
        <v/>
      </c>
      <c r="GO120" s="259" t="str">
        <f ca="1">IFERROR(INDEX($GD$3:$GM$400,MATCH(ROWS($GO$3:GO120),$GM$3:$GM$400,0),8),"")</f>
        <v/>
      </c>
      <c r="GP120" s="259" t="str">
        <f ca="1">IFERROR(INDEX($GD$3:$GM$400,MATCH(ROWS($GP$3:GP120),$GM$3:$GM$400,0),9),"")</f>
        <v/>
      </c>
      <c r="GQ120" s="259">
        <f t="shared" ca="1" si="206"/>
        <v>0</v>
      </c>
      <c r="GR120" s="259">
        <f t="shared" ca="1" si="281"/>
        <v>0</v>
      </c>
      <c r="GS120" s="259" t="str">
        <f t="shared" ca="1" si="282"/>
        <v>chiusura del conto</v>
      </c>
      <c r="GT120" s="259" t="str">
        <f ca="1">IFERROR(INDEX($GD$3:$GS$400,MATCH(ROWS($GT$3:GT120),$GM$3:$GM$400,0),16),"")</f>
        <v/>
      </c>
      <c r="GU120" s="259">
        <f ca="1">IF(GQ120&lt;&gt;0,MAX($GU$2:$GU119)+1,0)</f>
        <v>0</v>
      </c>
      <c r="GV120" s="259">
        <f t="shared" ca="1" si="283"/>
        <v>0</v>
      </c>
      <c r="GW120" s="259" t="str">
        <f ca="1">IF(AND(IFERROR(INDEX($GU$3:$GV$400,MATCH(ROWS($GW$3:GW120),$GU$3:$GU$400,0),2),"")&lt;&gt;"",GW121&lt;&gt;""),CONCATENATE(IFERROR(INDEX($GU$3:$GV$400,MATCH(ROWS($GW$3:GW120),$GU$3:$GU$400,0),2),"")," - "),IFERROR(INDEX($GU$3:$GV$400,MATCH(ROWS($GW$3:GW120),$GU$3:$GU$400,0),2),""))</f>
        <v/>
      </c>
      <c r="GX120" s="259">
        <f ca="1">IF(OR(GN120="IVA NS/CREDITO",GN120="IVA NS/DEBITO",GN120="IVA C/ACCONTO",GN120="IMPOSTE C/ACCONTO"),MAX($GX$2:GX119)+1,0)</f>
        <v>0</v>
      </c>
      <c r="GY120" s="259" t="str">
        <f ca="1">IF(AND(IFERROR(INDEX($GN$3:$GX$200,MATCH(ROWS($GY$3:GY120),$GX$3:$GX$200,0),1),"")&lt;&gt;"",GY121&lt;&gt;""),CONCATENATE(IFERROR(INDEX($GN$3:$GX$200,MATCH(ROWS($GY$3:GY120),$GX$3:$GX$200,0),1),"")," - "),IFERROR(INDEX($GN$3:$GX$200,MATCH(ROWS($GY$3:GY120),$GX$3:$GX$200,0),1),""))</f>
        <v/>
      </c>
      <c r="GZ120" s="259" t="s">
        <v>555</v>
      </c>
      <c r="HA120" s="259" t="s">
        <v>557</v>
      </c>
      <c r="HC120" s="269" t="s">
        <v>211</v>
      </c>
      <c r="HD120" s="269" t="s">
        <v>439</v>
      </c>
      <c r="HV120" s="259" t="str">
        <f ca="1">CONCATENATE(IFERROR(INDEX($HS$3:$HT$102,MATCH(ROWS($HV$3:HV120),$HT$3:$HT$102,0),1),""),HR120)</f>
        <v/>
      </c>
      <c r="IC120" s="259">
        <f ca="1">IFERROR(INDEX(PIANO_DEI_CONTI,MATCH(ROWS(DL$3:DL120),$DK$3:DK347,0),2),0)</f>
        <v>0</v>
      </c>
      <c r="ID120" s="259">
        <f t="shared" ca="1" si="288"/>
        <v>0</v>
      </c>
      <c r="IE120" s="259">
        <f t="shared" ca="1" si="289"/>
        <v>0</v>
      </c>
      <c r="IF120" s="259">
        <f t="shared" ca="1" si="290"/>
        <v>0</v>
      </c>
      <c r="IG120" s="259">
        <f t="shared" ca="1" si="324"/>
        <v>0</v>
      </c>
      <c r="IH120" s="259">
        <f ca="1">IF(IG120&lt;&gt;0,MAX($IH$35:IH119)+1,0)</f>
        <v>0</v>
      </c>
      <c r="II120" s="259">
        <f>IF(AD120="costi pluriennali",MAX($II$2:II119)+1,0)</f>
        <v>0</v>
      </c>
      <c r="IJ120" s="259">
        <f>IF($AD120="rettifiche costi pluriennali",MAX($IJ$2:IJ119)+1,0)</f>
        <v>0</v>
      </c>
      <c r="IK120" s="259">
        <f t="shared" si="291"/>
        <v>0</v>
      </c>
      <c r="IL120" s="259" t="str">
        <f t="shared" si="292"/>
        <v/>
      </c>
      <c r="IM120" s="259">
        <f t="shared" ca="1" si="293"/>
        <v>0</v>
      </c>
      <c r="IN120" s="259">
        <f t="shared" ca="1" si="313"/>
        <v>0</v>
      </c>
      <c r="IO120" s="259">
        <f>SUMIFS($IM$3:$IM$200,$IK$3:$IK$200,ROWS($IO$3:IO120))-SUMIFS($IN$3:$IN$200,$IK$3:$IK$200,ROWS($IO$3:IO120))</f>
        <v>0</v>
      </c>
      <c r="IP120" s="259" t="str">
        <f>IF(IO120&lt;0,INDEX($IJ$3:$IL$200,MATCH(ROWS($IP$3:IP120),$IJ$3:$IJ$200,0),3),"")</f>
        <v/>
      </c>
      <c r="IQ120" s="259">
        <f>IF(IP120&lt;&gt;"",MAX($IQ$2:IQ119)+1,0)</f>
        <v>0</v>
      </c>
      <c r="IR120" s="259" t="str">
        <f ca="1">IFERROR(INDEX($IP$3:$IQ$200,MATCH(ROWS($IR$3:IR120),$IQ$3:$IQ$200,0),1),"")</f>
        <v/>
      </c>
      <c r="IS120" s="259" t="str">
        <f t="shared" ca="1" si="294"/>
        <v/>
      </c>
      <c r="IT120" s="259" t="str">
        <f t="shared" ca="1" si="295"/>
        <v/>
      </c>
      <c r="IU120" s="259" t="str">
        <f t="shared" ca="1" si="296"/>
        <v/>
      </c>
      <c r="IV120" s="259" t="str">
        <f t="shared" ca="1" si="297"/>
        <v/>
      </c>
      <c r="IW120" s="259" t="str">
        <f t="shared" ca="1" si="298"/>
        <v/>
      </c>
      <c r="IX120" s="259" t="str">
        <f t="shared" ca="1" si="299"/>
        <v/>
      </c>
      <c r="IY120" s="259" t="str">
        <f t="shared" ca="1" si="300"/>
        <v/>
      </c>
      <c r="IZ120" s="259" t="str">
        <f t="shared" ca="1" si="301"/>
        <v/>
      </c>
      <c r="JA120" s="259" t="str">
        <f t="shared" ca="1" si="302"/>
        <v/>
      </c>
      <c r="JB120" s="259">
        <f t="shared" ca="1" si="210"/>
        <v>0</v>
      </c>
      <c r="JC120" s="259">
        <f t="shared" ca="1" si="351"/>
        <v>0</v>
      </c>
      <c r="JD120" s="259">
        <f t="shared" ca="1" si="352"/>
        <v>0</v>
      </c>
      <c r="JE120" s="259">
        <f ca="1">IFERROR(INDEX(LIBRO_GIORNALE!$N$11:$O$408,MATCH(ROWS($JE$2:JE119),LIBRO_GIORNALE!$O$11:$O$408,0),1),0)</f>
        <v>0</v>
      </c>
      <c r="JF120" s="259" t="str">
        <f t="shared" ca="1" si="304"/>
        <v>0</v>
      </c>
      <c r="JG120" s="259">
        <f t="shared" ca="1" si="305"/>
        <v>0</v>
      </c>
      <c r="JH120" s="259">
        <f ca="1">IF(JJ120&gt;0,0,MAX($JH$2:JH119)+1)</f>
        <v>118</v>
      </c>
      <c r="JI120" s="259">
        <f ca="1">IF(JG120&gt;0,MAX($JI$2:JI119)+1,0)</f>
        <v>0</v>
      </c>
      <c r="JJ120" s="259">
        <f ca="1">IFERROR(INDEX($JG$3:$JI$124,MATCH(ROWS($JJ$3:JJ120),$JI$3:$JI$124,0),1),0)</f>
        <v>0</v>
      </c>
      <c r="JK120" s="259">
        <f t="shared" ca="1" si="306"/>
        <v>0</v>
      </c>
      <c r="JL120" s="259">
        <f t="shared" ca="1" si="307"/>
        <v>118</v>
      </c>
      <c r="JM120" s="259">
        <f t="shared" ca="1" si="353"/>
        <v>0</v>
      </c>
    </row>
    <row r="121" spans="1:273">
      <c r="A121" s="259" t="str">
        <f t="shared" si="211"/>
        <v>20.00</v>
      </c>
      <c r="B121" s="259" t="str">
        <f t="shared" si="212"/>
        <v>VALORE DELLA PRODUZIONE</v>
      </c>
      <c r="C121" s="259">
        <f t="shared" si="213"/>
        <v>0</v>
      </c>
      <c r="D121" s="259">
        <f t="shared" si="214"/>
        <v>0</v>
      </c>
      <c r="E121" s="259">
        <f t="shared" si="215"/>
        <v>0</v>
      </c>
      <c r="F121" s="259">
        <f t="shared" si="216"/>
        <v>0</v>
      </c>
      <c r="G121" s="259">
        <f t="shared" ca="1" si="217"/>
        <v>0</v>
      </c>
      <c r="H121" s="259">
        <f t="shared" ca="1" si="218"/>
        <v>0</v>
      </c>
      <c r="I121" s="259">
        <f t="shared" ca="1" si="219"/>
        <v>0</v>
      </c>
      <c r="K121" s="259" t="str">
        <f ca="1">IFERROR(IF($I$1=1,INDEX($AA$3:$AS$220,MATCH(ROWS($K$3:K121),$AQ$3:$AQ$220,0),1),IF($I$1=2,INDEX($AA$3:$AS$220,MATCH(ROWS($K$3:K121),$AR$3:$AR$220,0),1),IF($I$1=3,INDEX($AA$3:$AS$220,MATCH(ROWS($K$3:K121),$AS$3:$AS$220,0),1),""))),"")</f>
        <v>PUBBLICITÀ</v>
      </c>
      <c r="L121" s="259">
        <f ca="1">IF(AND($L$1="VISUALIZZA TUTTI I CONTI",K121&lt;&gt;""),MAX(L120:L120)+1,IFERROR(IF($J$1=1,IF(INDEX(PIANO_DEI_CONTI,MATCH($K121,DENOMINAZIONE,0),5)=$L$1,MAX($L$2:L120)+1,0),IF($J$1=2,IF(INDEX(PIANO_DEI_CONTI,MATCH($K121,DENOMINAZIONE,0),7)=$L$1,MAX($L$2:L120)+1,0))),0))</f>
        <v>119</v>
      </c>
      <c r="M121" s="259" t="str">
        <f ca="1">IFERROR(INDEX($K$3:$K$220,MATCH(ROWS($M$3:M121),$L$3:$L$220,0),1),"")</f>
        <v>PUBBLICITÀ</v>
      </c>
      <c r="Q121" s="259" t="str">
        <f ca="1">IF(IFERROR(INDEX($O$3:$P$220,MATCH(ROWS(Q$3:Q121),$P$3:$P$220,0),1),"")=0,"",IFERROR(INDEX($O$3:$P$220,MATCH(ROWS(Q$3:Q121),$P$3:$P$220,0),1),""))</f>
        <v/>
      </c>
      <c r="R121" s="259" t="str">
        <f t="shared" ca="1" si="182"/>
        <v/>
      </c>
      <c r="S121" s="259">
        <f ca="1">IF(IFERROR(MATCH(R121,DENOMINAZIONE_GIORNALE,0),0)&gt;0,MAX(S$2:S120)+1,0)</f>
        <v>0</v>
      </c>
      <c r="T121" s="259" t="str">
        <f ca="1">IFERROR(INDEX($R$3:$S$220,MATCH(ROWS($T$3:T121),$S$3:$S$220,0),1),"")</f>
        <v/>
      </c>
      <c r="U121" s="259">
        <f t="shared" ca="1" si="183"/>
        <v>0</v>
      </c>
      <c r="V121" s="259">
        <f ca="1">IF(IF(U121&lt;&gt;0,MAX($V$2:V120)+1,0)=0,0,IF(U121&lt;&gt;0,MAX($V$2:V120)+1,0))</f>
        <v>0</v>
      </c>
      <c r="W121" s="259" t="str">
        <f t="shared" si="220"/>
        <v/>
      </c>
      <c r="X121" s="259" t="str">
        <f t="shared" si="221"/>
        <v/>
      </c>
      <c r="Y121" s="259">
        <f>IF(W121="",0,MAX($Y$2:Y120)+1)</f>
        <v>0</v>
      </c>
      <c r="Z121" s="259" t="str">
        <f>IFERROR(INDEX($W$3:$Y$220,MATCH(ROWS($Z$2:Z120),$Y$3:$Y$220,0),1),"")</f>
        <v>30.11</v>
      </c>
      <c r="AA121" s="259" t="str">
        <f t="shared" si="222"/>
        <v>RIBASSI E ABBUONI ATTIVI</v>
      </c>
      <c r="AB121" s="259" t="str">
        <f t="shared" si="223"/>
        <v>E</v>
      </c>
      <c r="AC121" s="259" t="str">
        <f t="shared" si="224"/>
        <v>A</v>
      </c>
      <c r="AD121" s="259" t="str">
        <f t="shared" si="225"/>
        <v>RETTIFICHE COSTI D'ESERCIZIO</v>
      </c>
      <c r="AE121" s="259" t="str">
        <f t="shared" si="226"/>
        <v>SE AVERE</v>
      </c>
      <c r="AF121" s="259" t="str">
        <f t="shared" si="227"/>
        <v>COSTI PER MERCI E MATERIE DI CONSUMO</v>
      </c>
      <c r="AG121" s="259">
        <f t="shared" ca="1" si="228"/>
        <v>1</v>
      </c>
      <c r="AH121" s="259">
        <f t="shared" ca="1" si="229"/>
        <v>1</v>
      </c>
      <c r="AI121" s="259">
        <f t="shared" ca="1" si="230"/>
        <v>1</v>
      </c>
      <c r="AJ121" s="259" t="str">
        <f t="shared" si="231"/>
        <v>30</v>
      </c>
      <c r="AK121" s="259" t="str">
        <f t="shared" si="232"/>
        <v>20</v>
      </c>
      <c r="AL121" s="259">
        <f>IF(AK121&lt;&gt;"",MAX($AL$2:AL120)+1,0)</f>
        <v>18</v>
      </c>
      <c r="AM121" s="259" t="str">
        <f>IFERROR(INDEX($AK$3:$AL$220,MATCH(ROWS($AM$3:AM121),$AL$3:$AL$220,0),1),"")</f>
        <v/>
      </c>
      <c r="AN121" s="259" t="str">
        <f t="shared" si="233"/>
        <v/>
      </c>
      <c r="AO121" s="259" t="str">
        <f t="shared" si="234"/>
        <v/>
      </c>
      <c r="AP121" s="259" t="str">
        <f t="shared" si="235"/>
        <v>COSTI PER MERCI E MATERIE DI CONSUMO</v>
      </c>
      <c r="AQ121" s="259">
        <f ca="1">IF(OR(AG121=0,AG121=""),0,MAX(AQ$2:AQ120)+1)</f>
        <v>60</v>
      </c>
      <c r="AR121" s="259">
        <f ca="1">IF(OR(AH121=0,AH121=""),0,MAX(AR$2:AR120)+1)</f>
        <v>85</v>
      </c>
      <c r="AS121" s="259">
        <f ca="1">IF(OR(AI121=0,AI121=""),0,MAX(AS$2:AS120)+1)</f>
        <v>115</v>
      </c>
      <c r="AT121" s="259" t="str">
        <f ca="1">IFERROR(INDEX($AD$3:$AS$220,MATCH(ROWS(AT$3:AT121),AQ$3:AQ$220,0),1),"")</f>
        <v/>
      </c>
      <c r="AU121" s="259" t="str">
        <f ca="1">IFERROR(INDEX($AD$3:$AS$220,MATCH(ROWS(AU$3:AU121),AR$3:AR$220,0),1),"")</f>
        <v>COSTI D'ESERCIZIO</v>
      </c>
      <c r="AV121" s="259" t="str">
        <f ca="1">IFERROR(INDEX($AD$3:$AS$220,MATCH(ROWS(AV$3:AV121),AS$3:AS$220,0),1),"")</f>
        <v>COSTI D'ESERCIZIO</v>
      </c>
      <c r="AW121" s="259" t="str">
        <f ca="1">IFERROR(INDEX($AP$3:$AS$220,MATCH(ROWS(AW$3:AW121),AQ$3:AQ$220,0),1),"")</f>
        <v/>
      </c>
      <c r="AX121" s="259" t="str">
        <f ca="1">IFERROR(INDEX($AP$3:$AS$220,MATCH(ROWS(AX$3:AX121),AR$3:AR$220,0),1),"")</f>
        <v>ONERI FINANZIARI</v>
      </c>
      <c r="AY121" s="259" t="str">
        <f ca="1">IFERROR(INDEX($AP$3:$AS$220,MATCH(ROWS(AY$3:AY121),AS$3:AS$220,0),1),"")</f>
        <v>COSTI PER SERVIZI</v>
      </c>
      <c r="AZ121" s="259" t="str">
        <f t="shared" si="339"/>
        <v>19 V.I.</v>
      </c>
      <c r="BA121" s="259">
        <f t="shared" ca="1" si="338"/>
        <v>0</v>
      </c>
      <c r="BB121" s="259">
        <f t="shared" ca="1" si="340"/>
        <v>0</v>
      </c>
      <c r="BC121" s="259">
        <f t="shared" ca="1" si="341"/>
        <v>0</v>
      </c>
      <c r="BD121" s="259">
        <f t="shared" ca="1" si="342"/>
        <v>0</v>
      </c>
      <c r="BE121" s="259">
        <f t="shared" ca="1" si="343"/>
        <v>0</v>
      </c>
      <c r="BG121" s="259" t="str">
        <f t="shared" ca="1" si="185"/>
        <v/>
      </c>
      <c r="BH121" s="259">
        <f ca="1">IF(IFERROR(MATCH(BG121,DENOMINAZIONE_GIORNALE,0),0)&gt;0,MAX(BH$2:BH120)+1,0)</f>
        <v>0</v>
      </c>
      <c r="BI121" s="259" t="str">
        <f ca="1">IFERROR(INDEX($BG$3:$BH$220,MATCH(ROWS($BI$3:BI121),$BH$3:$BH$220,0),1),"")</f>
        <v/>
      </c>
      <c r="BJ121" s="259" t="str">
        <f t="shared" ca="1" si="186"/>
        <v/>
      </c>
      <c r="BK121" s="259" t="str">
        <f ca="1">IF(IF(BJ121&lt;&gt;"",MAX($BK$2:BK120)+1,0)=0,"",IF(BJ121&lt;&gt;"",MAX($BK$2:BK120)+1,0))</f>
        <v/>
      </c>
      <c r="BL121" s="259" t="str">
        <f ca="1">IFERROR(INDEX($T$3:$U$220, MATCH(ROWS(BL$3:BL121),$V$3:$V$220,0),1),"")</f>
        <v/>
      </c>
      <c r="BM121" s="259" t="str">
        <f ca="1">IFERROR(INDEX($T$3:$U$220, MATCH(ROWS(BM$3:BM121),$V$3:$V$220,0),2),"")</f>
        <v/>
      </c>
      <c r="BN121" s="259" t="str">
        <f ca="1">IF(IFERROR(INDEX($BI$3:$BJ$220,MATCH(ROWS(BN$3:BN121),$BK$3:$BK$220,0),1),"")="PATRIMONIO NETTO","",IFERROR(INDEX($BI$3:$BJ$220,MATCH(ROWS(BN$3:BN121),$BK$3:$BK$220,0),1),""))</f>
        <v/>
      </c>
      <c r="BO121" s="259" t="str">
        <f ca="1">IFERROR(INDEX($BI$3:$BJ$220,MATCH(ROWS(BO$3:BO121),$BK$3:$BK$220,0),2),"")</f>
        <v/>
      </c>
      <c r="BP121" s="259">
        <f ca="1">IF(BN121&lt;&gt;"",MAX(BP$2:$BP120)+1,0)</f>
        <v>0</v>
      </c>
      <c r="BQ121" s="259" t="str">
        <f ca="1">IFERROR(INDEX($BN$3:$BO$200,MATCH(ROWS(BQ$3:BQ121),$BP$3:$BP$220,0),1),"")</f>
        <v/>
      </c>
      <c r="BR121" s="259" t="str">
        <f ca="1">IFERROR(INDEX($BN$3:$BO$220,MATCH(ROWS(BR$3:BR121),$BP$3:$BP$220,0),2),"")</f>
        <v/>
      </c>
      <c r="BS121" s="259" t="str">
        <f ca="1">IFERROR(IF(OR(INDEX($T$3:$U$220,MATCH(ROWS(BL$3:BL121),$V$3:$V$220,0),1)="PRELEVAMENTI EXTRAGESTIONE",INDEX($T$3:$U$220,MATCH(ROWS(BL$3:BL121),$V$3:$V$220,0),1)="TITOLARE C/RITENUTE SUBITE"),"",INDEX($T$3:$U$220,MATCH(ROWS(BL$3:BL121),$V$3:$V$220,0),1)),"")</f>
        <v/>
      </c>
      <c r="BT121" s="259">
        <f t="shared" ca="1" si="238"/>
        <v>0</v>
      </c>
      <c r="BU121" s="259">
        <f ca="1">IF(BS121&lt;&gt;"",MAX(BU$2:BU120)+1,0)</f>
        <v>0</v>
      </c>
      <c r="BV121" s="259" t="str">
        <f ca="1">IFERROR(INDEX($BS$3:$BT$223,MATCH(ROWS(BV$3:BV121),$BU$3:$BU$223,0),1),"")</f>
        <v/>
      </c>
      <c r="BW121" s="259">
        <f t="shared" ca="1" si="239"/>
        <v>0</v>
      </c>
      <c r="CB121" s="259" t="str">
        <f ca="1">IFERROR(IF(OR($BB$1&lt;&gt;$BD$1,$BC$1&lt;&gt;$BE$1,$DS$231&lt;&gt;$DT$231,$DU$231&lt;&gt;$DV$231,$EO$25&lt;&gt;0,$EO$26&lt;&gt;0),INDEX($BI$3:$BK$220,MATCH(ROWS($CB$3:CB121),$BK$3:$BK$220,0),1),CONCATENATE(BQ121,BX121)),"")</f>
        <v/>
      </c>
      <c r="CC121" s="259" t="str">
        <f t="shared" ca="1" si="243"/>
        <v/>
      </c>
      <c r="CD121" s="259" t="str">
        <f t="shared" ca="1" si="187"/>
        <v/>
      </c>
      <c r="CE121" s="259">
        <f ca="1">IF(IFERROR(MATCH(CD121,DENOMINAZIONE_GIORNALE,0),0)&gt;0,MAX(CE$2:CE120)+1,0)</f>
        <v>0</v>
      </c>
      <c r="CF121" s="259" t="str">
        <f ca="1">IFERROR(INDEX($CD$3:$CE$220,MATCH(ROWS($CF$3:CF121),$CE$3:$CE$220,0),1),"")</f>
        <v/>
      </c>
      <c r="CG121" s="259">
        <f t="shared" ca="1" si="188"/>
        <v>0</v>
      </c>
      <c r="CH121" s="259" t="str">
        <f ca="1">IF(IF(CG121&lt;&gt;0,MAX($CH$2:CH120)+1,0)=0,"",IF(CG121&lt;&gt;"",MAX($CH$2:CH120)+1,0))</f>
        <v/>
      </c>
      <c r="CI121" s="259" t="str">
        <f ca="1">IFERROR(INDEX($CF$3:$CG$220,MATCH(ROWS($CI$3:CI121),$CH$3:$CH$220,0),1),"")</f>
        <v/>
      </c>
      <c r="CJ121" s="259" t="str">
        <f t="shared" ca="1" si="244"/>
        <v/>
      </c>
      <c r="CK121" s="259" t="str">
        <f t="shared" ca="1" si="189"/>
        <v>RIBASSI E ABBUONI ATTIVI</v>
      </c>
      <c r="CL121" s="259">
        <f ca="1">IF(IFERROR(MATCH(CK121,DENOMINAZIONE_GIORNALE,0),0)&gt;0,MAX(CL$2:CL120)+1,0)</f>
        <v>0</v>
      </c>
      <c r="CM121" s="259" t="str">
        <f ca="1">IFERROR(INDEX($CK$3:$CL$220,MATCH(ROWS($CM$3:CM121),$CL$3:$CL$220,0),1),"")</f>
        <v/>
      </c>
      <c r="CN121" s="259" t="str">
        <f t="shared" ca="1" si="190"/>
        <v/>
      </c>
      <c r="CO121" s="259">
        <f ca="1">IF(IF(CN121&lt;&gt;0,MAX($CO$2:CO120)+1,0)=0,"",IF(CN121&lt;&gt;"",MAX($CO$2:CO120)+1,0))</f>
        <v>0</v>
      </c>
      <c r="CP121" s="259" t="str">
        <f ca="1">IFERROR(INDEX($CM$3:$CN$220,MATCH(ROWS(CP$3:CP121),$CO$3:$CO$220,0),1),"")</f>
        <v/>
      </c>
      <c r="CQ121" s="259" t="str">
        <f ca="1">IFERROR(INDEX($CM$3:$CN$220,MATCH(ROWS(CQ$3:CQ121),$CO$3:$CO$220,0),2),"")</f>
        <v/>
      </c>
      <c r="CS121" s="259">
        <f t="shared" ca="1" si="192"/>
        <v>0</v>
      </c>
      <c r="CT121" s="259">
        <f t="shared" ca="1" si="193"/>
        <v>0</v>
      </c>
      <c r="CU121" s="259">
        <f ca="1">IF(OR(CS121&gt;0,CT121&gt;0),MAX($CU$2:CU120)+1,0)</f>
        <v>0</v>
      </c>
      <c r="CV121" s="259" t="str">
        <f ca="1">IFERROR(INDEX(PIANO_DEI_CONTI,MATCH(ROWS($CV$3:CV121),$CU$3:$CU$200,0),2),"")</f>
        <v/>
      </c>
      <c r="CW121" s="259">
        <f ca="1">IFERROR(IF(CV121&lt;&gt;"",MAX($CW$2:CW120)+1,0),0)</f>
        <v>0</v>
      </c>
      <c r="CX121" s="259">
        <f t="shared" ca="1" si="355"/>
        <v>7</v>
      </c>
      <c r="CY121" s="259" t="str">
        <f t="shared" ca="1" si="337"/>
        <v>MASTRO</v>
      </c>
      <c r="CZ121" s="259" t="e">
        <f t="shared" ca="1" si="357"/>
        <v>#N/A</v>
      </c>
      <c r="DA121" s="259" t="str">
        <f t="shared" ca="1" si="362"/>
        <v/>
      </c>
      <c r="DB121" s="259" t="str">
        <f t="shared" ca="1" si="358"/>
        <v/>
      </c>
      <c r="DC121" s="259" t="str">
        <f t="shared" ca="1" si="359"/>
        <v/>
      </c>
      <c r="DD121" s="259" t="str">
        <f t="shared" ca="1" si="360"/>
        <v/>
      </c>
      <c r="DE121" s="259" t="str">
        <f t="shared" ca="1" si="361"/>
        <v/>
      </c>
      <c r="DF121" s="259">
        <f ca="1">IF(AND(CX121=$DE$2,$DF$2&lt;&gt;0),0,IF(AND(DB121&lt;&gt;"",OR(DB120&lt;&gt;"",DB122&lt;&gt;"")),MAX($DF$2:DF120)+1,0))</f>
        <v>0</v>
      </c>
      <c r="DG121" s="259" t="str">
        <f>IF(IF(LIBRO_GIORNALE!E29="","",IFERROR(INDEX(PIANO_DEI_CONTI,MATCH(BB121,DENOMINAZIONE,0),1),0))=0,"",IF(LIBRO_GIORNALE!E29="","",IFERROR(INDEX(PIANO_DEI_CONTI,MATCH(BB121,DENOMINAZIONE,0),1),0)))</f>
        <v/>
      </c>
      <c r="DH121" s="259">
        <f ca="1">IFERROR(IF($J$1=1,IF(INDEX(PIANO_DEI_CONTI,MATCH($K121,DENOMINAZIONE,0),5)=$DF$1,MAX($DH$2:DH120)+1,0),IF($J$1=2,IF(INDEX(PIANO_DEI_CONTI,MATCH($K121,DENOMINAZIONE,0),7)=$DF$1,MAX($DH$2:DH120)+1,0))),0)</f>
        <v>0</v>
      </c>
      <c r="DI121" s="259">
        <f ca="1">IFERROR(INDEX($K$3:$K$220,MATCH(ROWS($DI$3:DI121),$DH$3:$DH$220,0),1),0)</f>
        <v>0</v>
      </c>
      <c r="DJ121" s="259">
        <f t="shared" ca="1" si="194"/>
        <v>0</v>
      </c>
      <c r="DK121" s="259">
        <f ca="1">IF(DJ121=0,0,MAX(DK$2:DK120)+1)</f>
        <v>0</v>
      </c>
      <c r="DL121" s="259">
        <f ca="1">IFERROR(INDEX(PIANO_DEI_CONTI,MATCH(ROWS(DL$3:DL121),$DK$3:DK348,0),2),0)</f>
        <v>0</v>
      </c>
      <c r="DM121" s="259">
        <f t="shared" ca="1" si="195"/>
        <v>0</v>
      </c>
      <c r="DN121" s="259">
        <f t="shared" ca="1" si="196"/>
        <v>0</v>
      </c>
      <c r="DO121" s="259">
        <f t="shared" ca="1" si="245"/>
        <v>0</v>
      </c>
      <c r="DP121" s="259">
        <f t="shared" ca="1" si="246"/>
        <v>0</v>
      </c>
      <c r="DQ121" s="259">
        <f ca="1">IF(OR($DQ$1="TOTALI",$DQ$1="TOTALI ED ECCEDENZE"),IF(OR(DM121&gt;0,DN121&gt;0),MAX(DQ$2:DQ120)+1,0),IF($DQ$1="ECCEDENZE",IF(OR(DO121&gt;0,DP121&gt;0),MAX(DQ$2:DQ120)+1,0),""))</f>
        <v>0</v>
      </c>
      <c r="DR121" s="259" t="str">
        <f ca="1">IFERROR(INDEX($DL$3:$DQ$230,MATCH(ROWS(DR$3:DR121),$DQ$3:$DQ$230,0),1),"")</f>
        <v/>
      </c>
      <c r="DS121" s="259" t="str">
        <f t="shared" ca="1" si="247"/>
        <v/>
      </c>
      <c r="DT121" s="259" t="str">
        <f t="shared" ca="1" si="248"/>
        <v/>
      </c>
      <c r="DU121" s="259" t="str">
        <f t="shared" ca="1" si="249"/>
        <v/>
      </c>
      <c r="DV121" s="259" t="str">
        <f t="shared" ca="1" si="250"/>
        <v/>
      </c>
      <c r="DW121" s="259">
        <f t="shared" ca="1" si="251"/>
        <v>0</v>
      </c>
      <c r="DX121" s="259" t="str">
        <f t="shared" ca="1" si="252"/>
        <v/>
      </c>
      <c r="DY121" s="259" t="str">
        <f t="shared" ca="1" si="253"/>
        <v/>
      </c>
      <c r="DZ121" s="259" t="str">
        <f t="shared" ca="1" si="254"/>
        <v/>
      </c>
      <c r="EA121" s="259">
        <f t="shared" ca="1" si="255"/>
        <v>119</v>
      </c>
      <c r="EB121" s="259" t="s">
        <v>368</v>
      </c>
      <c r="ED121" s="259">
        <f t="shared" ca="1" si="197"/>
        <v>0</v>
      </c>
      <c r="EH121" s="259" t="str">
        <f t="shared" ca="1" si="256"/>
        <v/>
      </c>
      <c r="EI121" s="260" t="b">
        <f t="shared" ca="1" si="310"/>
        <v>0</v>
      </c>
      <c r="EJ121" s="260" t="b">
        <f t="shared" ca="1" si="311"/>
        <v>0</v>
      </c>
      <c r="EK121" s="260" t="b">
        <f t="shared" ca="1" si="312"/>
        <v>0</v>
      </c>
      <c r="EL121" s="259">
        <f t="shared" si="257"/>
        <v>119</v>
      </c>
      <c r="EM121" s="259">
        <f ca="1">IF(AND(BA121&gt;0,BA121&lt;=$EM$1),MAX($EM$2:EM120)+1,0)</f>
        <v>0</v>
      </c>
      <c r="EN121" s="259">
        <f t="shared" ca="1" si="258"/>
        <v>121</v>
      </c>
      <c r="EP121" s="259" t="str">
        <f t="shared" ca="1" si="200"/>
        <v/>
      </c>
      <c r="EQ121" s="259">
        <f t="shared" ca="1" si="201"/>
        <v>0</v>
      </c>
      <c r="ER121" s="259">
        <f ca="1">IF(ISNA(EQ121),MAX(ER$2:ER120)+1,0)</f>
        <v>0</v>
      </c>
      <c r="ES121" s="259" t="str">
        <f t="shared" ca="1" si="259"/>
        <v/>
      </c>
      <c r="ET121" s="259" t="str">
        <f ca="1">IFERROR(UPPER(INDEX($ER$3:$ES$500,MATCH(ROWS(ET$3:ET121),$ER$3:$ER$500,0),2)),"")</f>
        <v/>
      </c>
      <c r="EW121" s="259">
        <f t="shared" ca="1" si="344"/>
        <v>1</v>
      </c>
      <c r="EX121" s="259">
        <v>19</v>
      </c>
      <c r="EY121" s="259">
        <f t="shared" ca="1" si="345"/>
        <v>0</v>
      </c>
      <c r="EZ121" s="259">
        <f t="shared" ca="1" si="346"/>
        <v>0</v>
      </c>
      <c r="FA121" s="259">
        <f t="shared" ca="1" si="347"/>
        <v>0</v>
      </c>
      <c r="FB121" s="259">
        <f t="shared" ca="1" si="348"/>
        <v>0</v>
      </c>
      <c r="FC121" s="259">
        <f t="shared" ca="1" si="349"/>
        <v>0</v>
      </c>
      <c r="FD121" s="259">
        <f t="shared" ca="1" si="202"/>
        <v>0</v>
      </c>
      <c r="FE121" s="259" t="str">
        <f t="shared" ca="1" si="203"/>
        <v/>
      </c>
      <c r="FF121" s="259" t="str">
        <f t="shared" ca="1" si="350"/>
        <v/>
      </c>
      <c r="FG121" s="259" t="s">
        <v>4</v>
      </c>
      <c r="FH121" s="259">
        <f t="shared" ca="1" si="334"/>
        <v>0</v>
      </c>
      <c r="FI121" s="259">
        <f ca="1">IFERROR(IF(AND(INDEX(PIANO_DEI_CONTI,MATCH($FG121,DENOMINAZIONE,0),4)="D",SUMIFS(dare_grezzo,den_grezzo,$FG121,data_grezzo,"&lt;"&amp;INIZIO_AC,data_grezzo,"&gt;="&amp;INIZIO_A_PC)&gt;=SUMIFS(avere_grezzo,den_grezzo,$FG121,data_grezzo,"&lt;"&amp;INIZIO_AC,data_grezzo,"&gt;="&amp;INIZIO_A_PC)),SUMIFS(avere_grezzo,den_grezzo,$FG121,data_grezzo,"&lt;"&amp;INIZIO_AC,data_grezzo,"&gt;="&amp;INIZIO_A_PC),IF(AND(INDEX(PIANO_DEI_CONTI,MATCH($FG121,DENOMINAZIONE,0),4)="A",SUMIFS(avere_grezzo,den_grezzo,$FG121,data_grezzo,"&lt;"&amp;INIZIO_AC,data_grezzo,"&gt;="&amp;INIZIO_A_PC)&gt;=SUMIFS(dare_grezzo,den_grezzo,$FG121,data_grezzo,"&lt;"&amp;INIZIO_AC,data_grezzo,"&gt;="&amp;INIZIO_A_PC)),SUMIFS(avere_grezzo,den_grezzo,$FG121,data_grezzo,"&lt;"&amp;INIZIO_AC,data_grezzo,"&gt;="&amp;INIZIO_A_PC),IF(INDEX(PIANO_DEI_CONTI,MATCH($FG121,DENOMINAZIONE,0),4)="D/A",SUMIFS(avere_grezzo,den_grezzo,$FG121,data_grezzo,"&lt;"&amp;INIZIO_AC,data_grezzo,"&gt;="&amp;INIZIO_A_PC),0))),0)-FH124-FJ123-FJ122+FI125</f>
        <v>0</v>
      </c>
      <c r="FJ121" s="259">
        <f ca="1">IF(AND(FG121&lt;&gt;"",$FH121&gt;$FI121,OR($FH121&gt;0,$FI121&gt;0)),$FH121-$FI121,0)</f>
        <v>0</v>
      </c>
      <c r="FK121" s="259">
        <f ca="1">IF(AND($FG121&lt;&gt;"",$FI121&gt;$FH121,OR($FH121&gt;0,$FI121&gt;0)),$FI121-$FH121,0)</f>
        <v>0</v>
      </c>
      <c r="FL121" s="259">
        <f ca="1">IFERROR(IF(AND(MATCH("patrimonio netto",den_grezzo,0)&gt;0,OR(FJ121&gt;0,FK121&gt;0)),MAX($FL$2:FL120)+1,0),0)</f>
        <v>0</v>
      </c>
      <c r="FM121" s="259">
        <f t="shared" ca="1" si="205"/>
        <v>0</v>
      </c>
      <c r="FN121" s="259">
        <f ca="1">IF(FM121&lt;0,MAX($FN$2:FN120)+1,0)</f>
        <v>0</v>
      </c>
      <c r="FO121" s="259" t="str">
        <f t="shared" ca="1" si="268"/>
        <v/>
      </c>
      <c r="FP121" s="259" t="str">
        <f ca="1">IFERROR(INDEX($FN$3:$FO$400,MATCH(ROWS($FP$3:FP121),$FN$3:$FN$400,0),2),"")</f>
        <v/>
      </c>
      <c r="FQ121" s="259">
        <f>IF(AE121="SE AVERE",MAX($FQ$2:FQ120)+1,"")</f>
        <v>12</v>
      </c>
      <c r="FR121" s="259" t="str">
        <f>IF(AE121="SE DARE",MAX($FR$2:FR120)+1,"")</f>
        <v/>
      </c>
      <c r="FS121" s="259" t="str">
        <f ca="1">IF(AND(AE121="SP DARE",AA121&lt;&gt;$FS$1,AA121&lt;&gt;$FT$1),MAX($FS$2:FS120)+1,IF(AND(GQ121="SP DARE",AA121&lt;&gt;$FS$1,AA121&lt;&gt;$FT$1),MAX($FS$2:FS120)+1,""))</f>
        <v/>
      </c>
      <c r="FT121" s="259" t="str">
        <f ca="1">IF(AND(AE121="SP AVERE",AA121&lt;&gt;$FU$1),MAX($FT$2:FT120)+1,IF(AND(GQ121="SP AVERE",AA121&lt;&gt;$FU$1),MAX($FT$2:FT120)+1,""))</f>
        <v/>
      </c>
      <c r="FU121" s="259">
        <f t="shared" ca="1" si="269"/>
        <v>12</v>
      </c>
      <c r="FV121" s="259" t="str">
        <f t="shared" si="270"/>
        <v>RIBASSI E ABBUONI ATTIVI</v>
      </c>
      <c r="FW121" s="259" t="str">
        <f ca="1">IFERROR(INDEX($FU$3:$FV$500,MATCH(ROWS($FW$3:FW121),$FU$3:$FU$500,0),2),0)</f>
        <v>IVA C/ACCONTO</v>
      </c>
      <c r="FX121" s="259">
        <f t="shared" ca="1" si="271"/>
        <v>119</v>
      </c>
      <c r="FY121" s="259">
        <f t="shared" ca="1" si="272"/>
        <v>0</v>
      </c>
      <c r="FZ121" s="259">
        <f ca="1">IF(FY121&gt;0,MAX($FZ$2:FZ120)+1,0)</f>
        <v>0</v>
      </c>
      <c r="GA121" s="259">
        <f ca="1">IFERROR(INDEX($FY$3:$FZ$500,MATCH(ROWS($GA$3:GA121),$FZ$3:$FZ$500,0),1),0)</f>
        <v>0</v>
      </c>
      <c r="GC121" s="259">
        <f t="shared" ca="1" si="273"/>
        <v>119</v>
      </c>
      <c r="GD121" s="259" t="str">
        <f t="shared" ca="1" si="274"/>
        <v>IVA C/ACCONTO</v>
      </c>
      <c r="GG121" s="259">
        <f t="shared" ca="1" si="275"/>
        <v>0</v>
      </c>
      <c r="GH121" s="259">
        <f t="shared" ca="1" si="276"/>
        <v>0</v>
      </c>
      <c r="GI121" s="259">
        <f t="shared" ca="1" si="277"/>
        <v>0</v>
      </c>
      <c r="GJ121" s="259">
        <f t="shared" ca="1" si="278"/>
        <v>0</v>
      </c>
      <c r="GK121" s="259">
        <f t="shared" ca="1" si="279"/>
        <v>0</v>
      </c>
      <c r="GL121" s="259">
        <f t="shared" ca="1" si="280"/>
        <v>0</v>
      </c>
      <c r="GM121" s="259">
        <f ca="1">IF(OR(GK121&gt;0,GL121&gt;0),MAX($GM$2:GM120)+1,0)</f>
        <v>0</v>
      </c>
      <c r="GN121" s="259" t="str">
        <f ca="1">IFERROR(INDEX($GD$3:$GM$400,MATCH(ROWS($GN$3:GN121),$GM$3:$GM$400,0),1),"")</f>
        <v/>
      </c>
      <c r="GO121" s="259" t="str">
        <f ca="1">IFERROR(INDEX($GD$3:$GM$400,MATCH(ROWS($GO$3:GO121),$GM$3:$GM$400,0),8),"")</f>
        <v/>
      </c>
      <c r="GP121" s="259" t="str">
        <f ca="1">IFERROR(INDEX($GD$3:$GM$400,MATCH(ROWS($GP$3:GP121),$GM$3:$GM$400,0),9),"")</f>
        <v/>
      </c>
      <c r="GQ121" s="259">
        <f t="shared" ca="1" si="206"/>
        <v>0</v>
      </c>
      <c r="GR121" s="259">
        <f t="shared" ca="1" si="281"/>
        <v>0</v>
      </c>
      <c r="GS121" s="259" t="str">
        <f t="shared" ca="1" si="282"/>
        <v>chiusura del conto</v>
      </c>
      <c r="GT121" s="259" t="str">
        <f ca="1">IFERROR(INDEX($GD$3:$GS$400,MATCH(ROWS($GT$3:GT121),$GM$3:$GM$400,0),16),"")</f>
        <v/>
      </c>
      <c r="GU121" s="259">
        <f ca="1">IF(GQ121&lt;&gt;0,MAX($GU$2:$GU120)+1,0)</f>
        <v>0</v>
      </c>
      <c r="GV121" s="259">
        <f t="shared" ca="1" si="283"/>
        <v>0</v>
      </c>
      <c r="GW121" s="259" t="str">
        <f ca="1">IF(AND(IFERROR(INDEX($GU$3:$GV$400,MATCH(ROWS($GW$3:GW121),$GU$3:$GU$400,0),2),"")&lt;&gt;"",GW122&lt;&gt;""),CONCATENATE(IFERROR(INDEX($GU$3:$GV$400,MATCH(ROWS($GW$3:GW121),$GU$3:$GU$400,0),2),"")," - "),IFERROR(INDEX($GU$3:$GV$400,MATCH(ROWS($GW$3:GW121),$GU$3:$GU$400,0),2),""))</f>
        <v/>
      </c>
      <c r="GX121" s="259">
        <f ca="1">IF(OR(GN121="IVA NS/CREDITO",GN121="IVA NS/DEBITO",GN121="IVA C/ACCONTO",GN121="IMPOSTE C/ACCONTO"),MAX($GX$2:GX120)+1,0)</f>
        <v>0</v>
      </c>
      <c r="GY121" s="259" t="str">
        <f ca="1">IF(AND(IFERROR(INDEX($GN$3:$GX$200,MATCH(ROWS($GY$3:GY121),$GX$3:$GX$200,0),1),"")&lt;&gt;"",GY122&lt;&gt;""),CONCATENATE(IFERROR(INDEX($GN$3:$GX$200,MATCH(ROWS($GY$3:GY121),$GX$3:$GX$200,0),1),"")," - "),IFERROR(INDEX($GN$3:$GX$200,MATCH(ROWS($GY$3:GY121),$GX$3:$GX$200,0),1),""))</f>
        <v/>
      </c>
      <c r="GZ121" s="259" t="s">
        <v>135</v>
      </c>
      <c r="HA121" s="270" t="s">
        <v>649</v>
      </c>
      <c r="HV121" s="259" t="str">
        <f ca="1">CONCATENATE(IFERROR(INDEX($HS$3:$HT$102,MATCH(ROWS($HV$3:HV121),$HT$3:$HT$102,0),1),""),HR121)</f>
        <v/>
      </c>
      <c r="IC121" s="259">
        <f ca="1">IFERROR(INDEX(PIANO_DEI_CONTI,MATCH(ROWS(DL$3:DL121),$DK$3:DK348,0),2),0)</f>
        <v>0</v>
      </c>
      <c r="ID121" s="259">
        <f t="shared" ca="1" si="288"/>
        <v>0</v>
      </c>
      <c r="IE121" s="259">
        <f t="shared" ca="1" si="289"/>
        <v>0</v>
      </c>
      <c r="IF121" s="259">
        <f t="shared" ca="1" si="290"/>
        <v>0</v>
      </c>
      <c r="IG121" s="259">
        <f t="shared" ca="1" si="324"/>
        <v>0</v>
      </c>
      <c r="IH121" s="259">
        <f ca="1">IF(IG121&lt;&gt;0,MAX($IH$35:IH120)+1,0)</f>
        <v>0</v>
      </c>
      <c r="II121" s="259">
        <f>IF(AD121="costi pluriennali",MAX($II$2:II120)+1,0)</f>
        <v>0</v>
      </c>
      <c r="IJ121" s="259">
        <f>IF($AD121="rettifiche costi pluriennali",MAX($IJ$2:IJ120)+1,0)</f>
        <v>0</v>
      </c>
      <c r="IK121" s="259">
        <f t="shared" si="291"/>
        <v>0</v>
      </c>
      <c r="IL121" s="259" t="str">
        <f t="shared" si="292"/>
        <v/>
      </c>
      <c r="IM121" s="259">
        <f t="shared" ca="1" si="293"/>
        <v>0</v>
      </c>
      <c r="IN121" s="259">
        <f t="shared" ca="1" si="313"/>
        <v>0</v>
      </c>
      <c r="IO121" s="259">
        <f>SUMIFS($IM$3:$IM$200,$IK$3:$IK$200,ROWS($IO$3:IO121))-SUMIFS($IN$3:$IN$200,$IK$3:$IK$200,ROWS($IO$3:IO121))</f>
        <v>0</v>
      </c>
      <c r="IP121" s="259" t="str">
        <f>IF(IO121&lt;0,INDEX($IJ$3:$IL$200,MATCH(ROWS($IP$3:IP121),$IJ$3:$IJ$200,0),3),"")</f>
        <v/>
      </c>
      <c r="IQ121" s="259">
        <f>IF(IP121&lt;&gt;"",MAX($IQ$2:IQ120)+1,0)</f>
        <v>0</v>
      </c>
      <c r="IR121" s="259" t="str">
        <f ca="1">IFERROR(INDEX($IP$3:$IQ$200,MATCH(ROWS($IR$3:IR121),$IQ$3:$IQ$200,0),1),"")</f>
        <v/>
      </c>
      <c r="IS121" s="259" t="str">
        <f t="shared" ca="1" si="294"/>
        <v/>
      </c>
      <c r="IT121" s="259" t="str">
        <f t="shared" ca="1" si="295"/>
        <v/>
      </c>
      <c r="IU121" s="259" t="str">
        <f t="shared" ca="1" si="296"/>
        <v/>
      </c>
      <c r="IV121" s="259" t="str">
        <f t="shared" ca="1" si="297"/>
        <v/>
      </c>
      <c r="IW121" s="259" t="str">
        <f t="shared" ca="1" si="298"/>
        <v/>
      </c>
      <c r="IX121" s="259" t="str">
        <f t="shared" ca="1" si="299"/>
        <v/>
      </c>
      <c r="IY121" s="259" t="str">
        <f t="shared" ca="1" si="300"/>
        <v/>
      </c>
      <c r="IZ121" s="259" t="str">
        <f t="shared" ca="1" si="301"/>
        <v/>
      </c>
      <c r="JA121" s="259" t="str">
        <f t="shared" ca="1" si="302"/>
        <v/>
      </c>
      <c r="JB121" s="259">
        <f t="shared" ca="1" si="210"/>
        <v>0</v>
      </c>
      <c r="JC121" s="259">
        <f t="shared" ca="1" si="351"/>
        <v>0</v>
      </c>
      <c r="JD121" s="259">
        <f t="shared" ca="1" si="352"/>
        <v>0</v>
      </c>
      <c r="JE121" s="259">
        <f ca="1">IFERROR(INDEX(LIBRO_GIORNALE!$N$11:$O$408,MATCH(ROWS($JE$2:JE120),LIBRO_GIORNALE!$O$11:$O$408,0),1),0)</f>
        <v>0</v>
      </c>
      <c r="JF121" s="259" t="str">
        <f t="shared" ca="1" si="304"/>
        <v>0</v>
      </c>
      <c r="JG121" s="259">
        <f t="shared" ca="1" si="305"/>
        <v>0</v>
      </c>
      <c r="JH121" s="259">
        <f ca="1">IF(JJ121&gt;0,0,MAX($JH$2:JH120)+1)</f>
        <v>119</v>
      </c>
      <c r="JI121" s="259">
        <f ca="1">IF(JG121&gt;0,MAX($JI$2:JI120)+1,0)</f>
        <v>0</v>
      </c>
      <c r="JJ121" s="259">
        <f ca="1">IFERROR(INDEX($JG$3:$JI$124,MATCH(ROWS($JJ$3:JJ121),$JI$3:$JI$124,0),1),0)</f>
        <v>0</v>
      </c>
      <c r="JK121" s="259">
        <f t="shared" ca="1" si="306"/>
        <v>0</v>
      </c>
      <c r="JL121" s="259">
        <f t="shared" ca="1" si="307"/>
        <v>119</v>
      </c>
      <c r="JM121" s="259">
        <f t="shared" ca="1" si="353"/>
        <v>0</v>
      </c>
    </row>
    <row r="122" spans="1:273">
      <c r="A122" s="259" t="str">
        <f t="shared" si="211"/>
        <v>20.01</v>
      </c>
      <c r="B122" s="259" t="str">
        <f t="shared" si="212"/>
        <v>MERCI C/VENDITE</v>
      </c>
      <c r="C122" s="259" t="str">
        <f t="shared" si="213"/>
        <v>E</v>
      </c>
      <c r="D122" s="259" t="str">
        <f t="shared" si="214"/>
        <v>A</v>
      </c>
      <c r="E122" s="259" t="str">
        <f t="shared" si="215"/>
        <v>RICAVI D'ESERCIZIO</v>
      </c>
      <c r="F122" s="259" t="str">
        <f t="shared" si="216"/>
        <v>SE AVERE</v>
      </c>
      <c r="G122" s="259">
        <f t="shared" ca="1" si="217"/>
        <v>1</v>
      </c>
      <c r="H122" s="259">
        <f t="shared" ca="1" si="218"/>
        <v>1</v>
      </c>
      <c r="I122" s="259">
        <f t="shared" ca="1" si="219"/>
        <v>1</v>
      </c>
      <c r="K122" s="259" t="str">
        <f ca="1">IFERROR(IF($I$1=1,INDEX($AA$3:$AS$220,MATCH(ROWS($K$3:K122),$AQ$3:$AQ$220,0),1),IF($I$1=2,INDEX($AA$3:$AS$220,MATCH(ROWS($K$3:K122),$AR$3:$AR$220,0),1),IF($I$1=3,INDEX($AA$3:$AS$220,MATCH(ROWS($K$3:K122),$AS$3:$AS$220,0),1),""))),"")</f>
        <v>CONSULENZE</v>
      </c>
      <c r="L122" s="259">
        <f ca="1">IF(AND($L$1="VISUALIZZA TUTTI I CONTI",K122&lt;&gt;""),MAX(L121:L121)+1,IFERROR(IF($J$1=1,IF(INDEX(PIANO_DEI_CONTI,MATCH($K122,DENOMINAZIONE,0),5)=$L$1,MAX($L$2:L121)+1,0),IF($J$1=2,IF(INDEX(PIANO_DEI_CONTI,MATCH($K122,DENOMINAZIONE,0),7)=$L$1,MAX($L$2:L121)+1,0))),0))</f>
        <v>120</v>
      </c>
      <c r="M122" s="259" t="str">
        <f ca="1">IFERROR(INDEX($K$3:$K$220,MATCH(ROWS($M$3:M122),$L$3:$L$220,0),1),"")</f>
        <v>CONSULENZE</v>
      </c>
      <c r="Q122" s="259" t="str">
        <f ca="1">IF(IFERROR(INDEX($O$3:$P$220,MATCH(ROWS(Q$3:Q122),$P$3:$P$220,0),1),"")=0,"",IFERROR(INDEX($O$3:$P$220,MATCH(ROWS(Q$3:Q122),$P$3:$P$220,0),1),""))</f>
        <v/>
      </c>
      <c r="R122" s="259" t="str">
        <f t="shared" ca="1" si="182"/>
        <v/>
      </c>
      <c r="S122" s="259">
        <f ca="1">IF(IFERROR(MATCH(R122,DENOMINAZIONE_GIORNALE,0),0)&gt;0,MAX(S$2:S121)+1,0)</f>
        <v>0</v>
      </c>
      <c r="T122" s="259" t="str">
        <f ca="1">IFERROR(INDEX($R$3:$S$220,MATCH(ROWS($T$3:T122),$S$3:$S$220,0),1),"")</f>
        <v/>
      </c>
      <c r="U122" s="259">
        <f t="shared" ca="1" si="183"/>
        <v>0</v>
      </c>
      <c r="V122" s="259">
        <f ca="1">IF(IF(U122&lt;&gt;0,MAX($V$2:V121)+1,0)=0,0,IF(U122&lt;&gt;0,MAX($V$2:V121)+1,0))</f>
        <v>0</v>
      </c>
      <c r="W122" s="259" t="str">
        <f t="shared" si="220"/>
        <v>20.01</v>
      </c>
      <c r="X122" s="259" t="str">
        <f t="shared" si="221"/>
        <v>MERCI C/VENDITE</v>
      </c>
      <c r="Y122" s="259">
        <f>IF(W122="",0,MAX($Y$2:Y121)+1)</f>
        <v>102</v>
      </c>
      <c r="Z122" s="259" t="str">
        <f>IFERROR(INDEX($W$3:$Y$220,MATCH(ROWS($Z$2:Z121),$Y$3:$Y$220,0),1),"")</f>
        <v>30.12</v>
      </c>
      <c r="AA122" s="259" t="str">
        <f t="shared" si="222"/>
        <v>PREMI SU ACQUISTI</v>
      </c>
      <c r="AB122" s="259" t="str">
        <f t="shared" si="223"/>
        <v>E</v>
      </c>
      <c r="AC122" s="259" t="str">
        <f t="shared" si="224"/>
        <v>A</v>
      </c>
      <c r="AD122" s="259" t="str">
        <f t="shared" si="225"/>
        <v>RETTIFICHE COSTI D'ESERCIZIO</v>
      </c>
      <c r="AE122" s="259" t="str">
        <f t="shared" si="226"/>
        <v>SE AVERE</v>
      </c>
      <c r="AF122" s="259" t="str">
        <f t="shared" si="227"/>
        <v>COSTI PER MERCI E MATERIE DI CONSUMO</v>
      </c>
      <c r="AG122" s="259">
        <f t="shared" ca="1" si="228"/>
        <v>1</v>
      </c>
      <c r="AH122" s="259">
        <f t="shared" ca="1" si="229"/>
        <v>1</v>
      </c>
      <c r="AI122" s="259">
        <f t="shared" ca="1" si="230"/>
        <v>1</v>
      </c>
      <c r="AJ122" s="259" t="str">
        <f t="shared" si="231"/>
        <v>30</v>
      </c>
      <c r="AK122" s="259" t="str">
        <f t="shared" si="232"/>
        <v/>
      </c>
      <c r="AL122" s="259">
        <f>IF(AK122&lt;&gt;"",MAX($AL$2:AL121)+1,0)</f>
        <v>0</v>
      </c>
      <c r="AM122" s="259" t="str">
        <f>IFERROR(INDEX($AK$3:$AL$220,MATCH(ROWS($AM$3:AM122),$AL$3:$AL$220,0),1),"")</f>
        <v/>
      </c>
      <c r="AN122" s="259" t="str">
        <f t="shared" si="233"/>
        <v/>
      </c>
      <c r="AO122" s="259" t="str">
        <f t="shared" si="234"/>
        <v/>
      </c>
      <c r="AP122" s="259" t="str">
        <f t="shared" si="235"/>
        <v>COSTI PER MERCI E MATERIE DI CONSUMO</v>
      </c>
      <c r="AQ122" s="259">
        <f ca="1">IF(OR(AG122=0,AG122=""),0,MAX(AQ$2:AQ121)+1)</f>
        <v>61</v>
      </c>
      <c r="AR122" s="259">
        <f ca="1">IF(OR(AH122=0,AH122=""),0,MAX(AR$2:AR121)+1)</f>
        <v>86</v>
      </c>
      <c r="AS122" s="259">
        <f ca="1">IF(OR(AI122=0,AI122=""),0,MAX(AS$2:AS121)+1)</f>
        <v>116</v>
      </c>
      <c r="AT122" s="259" t="str">
        <f ca="1">IFERROR(INDEX($AD$3:$AS$220,MATCH(ROWS(AT$3:AT122),AQ$3:AQ$220,0),1),"")</f>
        <v/>
      </c>
      <c r="AU122" s="259" t="str">
        <f ca="1">IFERROR(INDEX($AD$3:$AS$220,MATCH(ROWS(AU$3:AU122),AR$3:AR$220,0),1),"")</f>
        <v>COSTI D'ESERCIZIO</v>
      </c>
      <c r="AV122" s="259" t="str">
        <f ca="1">IFERROR(INDEX($AD$3:$AS$220,MATCH(ROWS(AV$3:AV122),AS$3:AS$220,0),1),"")</f>
        <v>COSTI D'ESERCIZIO</v>
      </c>
      <c r="AW122" s="259" t="str">
        <f ca="1">IFERROR(INDEX($AP$3:$AS$220,MATCH(ROWS(AW$3:AW122),AQ$3:AQ$220,0),1),"")</f>
        <v/>
      </c>
      <c r="AX122" s="259" t="str">
        <f ca="1">IFERROR(INDEX($AP$3:$AS$220,MATCH(ROWS(AX$3:AX122),AR$3:AR$220,0),1),"")</f>
        <v>ONERI FINANZIARI</v>
      </c>
      <c r="AY122" s="259" t="str">
        <f ca="1">IFERROR(INDEX($AP$3:$AS$220,MATCH(ROWS(AY$3:AY122),AS$3:AS$220,0),1),"")</f>
        <v>COSTI PER SERVIZI</v>
      </c>
      <c r="AZ122" s="259" t="str">
        <f t="shared" si="339"/>
        <v>20 V.I.</v>
      </c>
      <c r="BA122" s="259">
        <f t="shared" ca="1" si="338"/>
        <v>0</v>
      </c>
      <c r="BB122" s="259">
        <f t="shared" ca="1" si="340"/>
        <v>0</v>
      </c>
      <c r="BC122" s="259">
        <f t="shared" ca="1" si="341"/>
        <v>0</v>
      </c>
      <c r="BD122" s="259">
        <f t="shared" ca="1" si="342"/>
        <v>0</v>
      </c>
      <c r="BE122" s="259">
        <f t="shared" ca="1" si="343"/>
        <v>0</v>
      </c>
      <c r="BG122" s="259" t="str">
        <f t="shared" ca="1" si="185"/>
        <v/>
      </c>
      <c r="BH122" s="259">
        <f ca="1">IF(IFERROR(MATCH(BG122,DENOMINAZIONE_GIORNALE,0),0)&gt;0,MAX(BH$2:BH121)+1,0)</f>
        <v>0</v>
      </c>
      <c r="BI122" s="259" t="str">
        <f ca="1">IFERROR(INDEX($BG$3:$BH$220,MATCH(ROWS($BI$3:BI122),$BH$3:$BH$220,0),1),"")</f>
        <v/>
      </c>
      <c r="BJ122" s="259" t="str">
        <f t="shared" ca="1" si="186"/>
        <v/>
      </c>
      <c r="BK122" s="259" t="str">
        <f ca="1">IF(IF(BJ122&lt;&gt;"",MAX($BK$2:BK121)+1,0)=0,"",IF(BJ122&lt;&gt;"",MAX($BK$2:BK121)+1,0))</f>
        <v/>
      </c>
      <c r="BL122" s="259" t="str">
        <f ca="1">IFERROR(INDEX($T$3:$U$220, MATCH(ROWS(BL$3:BL122),$V$3:$V$220,0),1),"")</f>
        <v/>
      </c>
      <c r="BM122" s="259" t="str">
        <f ca="1">IFERROR(INDEX($T$3:$U$220, MATCH(ROWS(BM$3:BM122),$V$3:$V$220,0),2),"")</f>
        <v/>
      </c>
      <c r="BN122" s="259" t="str">
        <f ca="1">IF(IFERROR(INDEX($BI$3:$BJ$220,MATCH(ROWS(BN$3:BN122),$BK$3:$BK$220,0),1),"")="PATRIMONIO NETTO","",IFERROR(INDEX($BI$3:$BJ$220,MATCH(ROWS(BN$3:BN122),$BK$3:$BK$220,0),1),""))</f>
        <v/>
      </c>
      <c r="BO122" s="259" t="str">
        <f ca="1">IFERROR(INDEX($BI$3:$BJ$220,MATCH(ROWS(BO$3:BO122),$BK$3:$BK$220,0),2),"")</f>
        <v/>
      </c>
      <c r="BP122" s="259">
        <f ca="1">IF(BN122&lt;&gt;"",MAX(BP$2:$BP121)+1,0)</f>
        <v>0</v>
      </c>
      <c r="BQ122" s="259" t="str">
        <f ca="1">IFERROR(INDEX($BN$3:$BO$200,MATCH(ROWS(BQ$3:BQ122),$BP$3:$BP$220,0),1),"")</f>
        <v/>
      </c>
      <c r="BR122" s="259" t="str">
        <f ca="1">IFERROR(INDEX($BN$3:$BO$220,MATCH(ROWS(BR$3:BR122),$BP$3:$BP$220,0),2),"")</f>
        <v/>
      </c>
      <c r="BS122" s="259" t="str">
        <f ca="1">IFERROR(IF(OR(INDEX($T$3:$U$220,MATCH(ROWS(BL$3:BL122),$V$3:$V$220,0),1)="PRELEVAMENTI EXTRAGESTIONE",INDEX($T$3:$U$220,MATCH(ROWS(BL$3:BL122),$V$3:$V$220,0),1)="TITOLARE C/RITENUTE SUBITE"),"",INDEX($T$3:$U$220,MATCH(ROWS(BL$3:BL122),$V$3:$V$220,0),1)),"")</f>
        <v/>
      </c>
      <c r="BT122" s="259">
        <f t="shared" ca="1" si="238"/>
        <v>0</v>
      </c>
      <c r="BU122" s="259">
        <f ca="1">IF(BS122&lt;&gt;"",MAX(BU$2:BU121)+1,0)</f>
        <v>0</v>
      </c>
      <c r="BV122" s="259" t="str">
        <f ca="1">IFERROR(INDEX($BS$3:$BT$223,MATCH(ROWS(BV$3:BV122),$BU$3:$BU$223,0),1),"")</f>
        <v/>
      </c>
      <c r="BW122" s="259">
        <f t="shared" ca="1" si="239"/>
        <v>0</v>
      </c>
      <c r="CB122" s="259" t="str">
        <f ca="1">IFERROR(IF(OR($BB$1&lt;&gt;$BD$1,$BC$1&lt;&gt;$BE$1,$DS$231&lt;&gt;$DT$231,$DU$231&lt;&gt;$DV$231,$EO$25&lt;&gt;0,$EO$26&lt;&gt;0),INDEX($BI$3:$BK$220,MATCH(ROWS($CB$3:CB122),$BK$3:$BK$220,0),1),CONCATENATE(BQ122,BX122)),"")</f>
        <v/>
      </c>
      <c r="CC122" s="259" t="str">
        <f t="shared" ca="1" si="243"/>
        <v/>
      </c>
      <c r="CD122" s="259" t="str">
        <f t="shared" ca="1" si="187"/>
        <v/>
      </c>
      <c r="CE122" s="259">
        <f ca="1">IF(IFERROR(MATCH(CD122,DENOMINAZIONE_GIORNALE,0),0)&gt;0,MAX(CE$2:CE121)+1,0)</f>
        <v>0</v>
      </c>
      <c r="CF122" s="259" t="str">
        <f ca="1">IFERROR(INDEX($CD$3:$CE$220,MATCH(ROWS($CF$3:CF122),$CE$3:$CE$220,0),1),"")</f>
        <v/>
      </c>
      <c r="CG122" s="259">
        <f t="shared" ca="1" si="188"/>
        <v>0</v>
      </c>
      <c r="CH122" s="259" t="str">
        <f ca="1">IF(IF(CG122&lt;&gt;0,MAX($CH$2:CH121)+1,0)=0,"",IF(CG122&lt;&gt;"",MAX($CH$2:CH121)+1,0))</f>
        <v/>
      </c>
      <c r="CI122" s="259" t="str">
        <f ca="1">IFERROR(INDEX($CF$3:$CG$220,MATCH(ROWS($CI$3:CI122),$CH$3:$CH$220,0),1),"")</f>
        <v/>
      </c>
      <c r="CJ122" s="259" t="str">
        <f t="shared" ca="1" si="244"/>
        <v/>
      </c>
      <c r="CK122" s="259" t="str">
        <f t="shared" ca="1" si="189"/>
        <v>PREMI SU ACQUISTI</v>
      </c>
      <c r="CL122" s="259">
        <f ca="1">IF(IFERROR(MATCH(CK122,DENOMINAZIONE_GIORNALE,0),0)&gt;0,MAX(CL$2:CL121)+1,0)</f>
        <v>0</v>
      </c>
      <c r="CM122" s="259" t="str">
        <f ca="1">IFERROR(INDEX($CK$3:$CL$220,MATCH(ROWS($CM$3:CM122),$CL$3:$CL$220,0),1),"")</f>
        <v/>
      </c>
      <c r="CN122" s="259" t="str">
        <f t="shared" ca="1" si="190"/>
        <v/>
      </c>
      <c r="CO122" s="259">
        <f ca="1">IF(IF(CN122&lt;&gt;0,MAX($CO$2:CO121)+1,0)=0,"",IF(CN122&lt;&gt;"",MAX($CO$2:CO121)+1,0))</f>
        <v>0</v>
      </c>
      <c r="CP122" s="259" t="str">
        <f ca="1">IFERROR(INDEX($CM$3:$CN$220,MATCH(ROWS(CP$3:CP122),$CO$3:$CO$220,0),1),"")</f>
        <v/>
      </c>
      <c r="CQ122" s="259" t="str">
        <f ca="1">IFERROR(INDEX($CM$3:$CN$220,MATCH(ROWS(CQ$3:CQ122),$CO$3:$CO$220,0),2),"")</f>
        <v/>
      </c>
      <c r="CS122" s="259">
        <f t="shared" ca="1" si="192"/>
        <v>0</v>
      </c>
      <c r="CT122" s="259">
        <f t="shared" ca="1" si="193"/>
        <v>0</v>
      </c>
      <c r="CU122" s="259">
        <f ca="1">IF(OR(CS122&gt;0,CT122&gt;0),MAX($CU$2:CU121)+1,0)</f>
        <v>0</v>
      </c>
      <c r="CV122" s="259" t="str">
        <f ca="1">IFERROR(INDEX(PIANO_DEI_CONTI,MATCH(ROWS($CV$3:CV122),$CU$3:$CU$200,0),2),"")</f>
        <v/>
      </c>
      <c r="CW122" s="259">
        <f ca="1">IFERROR(IF(CV122&lt;&gt;"",MAX($CW$2:CW121)+1,0),0)</f>
        <v>0</v>
      </c>
      <c r="CX122" s="259">
        <f t="shared" ca="1" si="355"/>
        <v>7</v>
      </c>
      <c r="CY122" s="259" t="str">
        <f t="shared" ca="1" si="337"/>
        <v>MASTRO</v>
      </c>
      <c r="CZ122" s="259" t="e">
        <f t="shared" ca="1" si="357"/>
        <v>#N/A</v>
      </c>
      <c r="DA122" s="259" t="str">
        <f t="shared" ca="1" si="362"/>
        <v/>
      </c>
      <c r="DB122" s="259" t="str">
        <f t="shared" ca="1" si="358"/>
        <v/>
      </c>
      <c r="DC122" s="259" t="str">
        <f t="shared" ca="1" si="359"/>
        <v/>
      </c>
      <c r="DD122" s="259" t="str">
        <f t="shared" ca="1" si="360"/>
        <v/>
      </c>
      <c r="DE122" s="259" t="str">
        <f t="shared" ca="1" si="361"/>
        <v/>
      </c>
      <c r="DF122" s="259">
        <f ca="1">IF(AND(CX122=$DE$2,$DF$2&lt;&gt;0),0,IF(AND(DB122&lt;&gt;"",OR(DB121&lt;&gt;"",DB123&lt;&gt;"")),MAX($DF$2:DF121)+1,0))</f>
        <v>0</v>
      </c>
      <c r="DG122" s="259" t="str">
        <f>IF(IF(LIBRO_GIORNALE!E30="","",IFERROR(INDEX(PIANO_DEI_CONTI,MATCH(BB122,DENOMINAZIONE,0),1),0))=0,"",IF(LIBRO_GIORNALE!E30="","",IFERROR(INDEX(PIANO_DEI_CONTI,MATCH(BB122,DENOMINAZIONE,0),1),0)))</f>
        <v/>
      </c>
      <c r="DH122" s="259">
        <f ca="1">IFERROR(IF($J$1=1,IF(INDEX(PIANO_DEI_CONTI,MATCH($K122,DENOMINAZIONE,0),5)=$DF$1,MAX($DH$2:DH121)+1,0),IF($J$1=2,IF(INDEX(PIANO_DEI_CONTI,MATCH($K122,DENOMINAZIONE,0),7)=$DF$1,MAX($DH$2:DH121)+1,0))),0)</f>
        <v>0</v>
      </c>
      <c r="DI122" s="259">
        <f ca="1">IFERROR(INDEX($K$3:$K$220,MATCH(ROWS($DI$3:DI122),$DH$3:$DH$220,0),1),0)</f>
        <v>0</v>
      </c>
      <c r="DJ122" s="259">
        <f t="shared" ca="1" si="194"/>
        <v>0</v>
      </c>
      <c r="DK122" s="259">
        <f ca="1">IF(DJ122=0,0,MAX(DK$2:DK121)+1)</f>
        <v>0</v>
      </c>
      <c r="DL122" s="259">
        <f ca="1">IFERROR(INDEX(PIANO_DEI_CONTI,MATCH(ROWS(DL$3:DL122),$DK$3:DK349,0),2),0)</f>
        <v>0</v>
      </c>
      <c r="DM122" s="259">
        <f t="shared" ca="1" si="195"/>
        <v>0</v>
      </c>
      <c r="DN122" s="259">
        <f t="shared" ca="1" si="196"/>
        <v>0</v>
      </c>
      <c r="DO122" s="259">
        <f t="shared" ca="1" si="245"/>
        <v>0</v>
      </c>
      <c r="DP122" s="259">
        <f t="shared" ca="1" si="246"/>
        <v>0</v>
      </c>
      <c r="DQ122" s="259">
        <f ca="1">IF(OR($DQ$1="TOTALI",$DQ$1="TOTALI ED ECCEDENZE"),IF(OR(DM122&gt;0,DN122&gt;0),MAX(DQ$2:DQ121)+1,0),IF($DQ$1="ECCEDENZE",IF(OR(DO122&gt;0,DP122&gt;0),MAX(DQ$2:DQ121)+1,0),""))</f>
        <v>0</v>
      </c>
      <c r="DR122" s="259" t="str">
        <f ca="1">IFERROR(INDEX($DL$3:$DQ$230,MATCH(ROWS(DR$3:DR122),$DQ$3:$DQ$230,0),1),"")</f>
        <v/>
      </c>
      <c r="DS122" s="259" t="str">
        <f t="shared" ca="1" si="247"/>
        <v/>
      </c>
      <c r="DT122" s="259" t="str">
        <f t="shared" ca="1" si="248"/>
        <v/>
      </c>
      <c r="DU122" s="259" t="str">
        <f t="shared" ca="1" si="249"/>
        <v/>
      </c>
      <c r="DV122" s="259" t="str">
        <f t="shared" ca="1" si="250"/>
        <v/>
      </c>
      <c r="DW122" s="259">
        <f t="shared" ca="1" si="251"/>
        <v>0</v>
      </c>
      <c r="DX122" s="259" t="str">
        <f t="shared" ca="1" si="252"/>
        <v/>
      </c>
      <c r="DY122" s="259" t="str">
        <f t="shared" ca="1" si="253"/>
        <v/>
      </c>
      <c r="DZ122" s="259" t="str">
        <f t="shared" ca="1" si="254"/>
        <v/>
      </c>
      <c r="EA122" s="259">
        <f t="shared" ca="1" si="255"/>
        <v>120</v>
      </c>
      <c r="EB122" s="259" t="s">
        <v>368</v>
      </c>
      <c r="ED122" s="259">
        <f t="shared" ca="1" si="197"/>
        <v>0</v>
      </c>
      <c r="EH122" s="259" t="str">
        <f t="shared" ca="1" si="256"/>
        <v/>
      </c>
      <c r="EI122" s="260" t="b">
        <f t="shared" ca="1" si="310"/>
        <v>1</v>
      </c>
      <c r="EJ122" s="260" t="b">
        <f t="shared" ca="1" si="311"/>
        <v>1</v>
      </c>
      <c r="EK122" s="260" t="b">
        <f t="shared" ca="1" si="312"/>
        <v>1</v>
      </c>
      <c r="EL122" s="259">
        <f t="shared" si="257"/>
        <v>120</v>
      </c>
      <c r="EM122" s="259">
        <f ca="1">IF(AND(BA122&gt;0,BA122&lt;=$EM$1),MAX($EM$2:EM121)+1,0)</f>
        <v>0</v>
      </c>
      <c r="EN122" s="259">
        <f t="shared" ca="1" si="258"/>
        <v>122</v>
      </c>
      <c r="EP122" s="259" t="str">
        <f t="shared" ca="1" si="200"/>
        <v/>
      </c>
      <c r="EQ122" s="259">
        <f t="shared" ca="1" si="201"/>
        <v>0</v>
      </c>
      <c r="ER122" s="259">
        <f ca="1">IF(ISNA(EQ122),MAX(ER$2:ER121)+1,0)</f>
        <v>0</v>
      </c>
      <c r="ES122" s="259" t="str">
        <f t="shared" ca="1" si="259"/>
        <v/>
      </c>
      <c r="ET122" s="259" t="str">
        <f ca="1">IFERROR(UPPER(INDEX($ER$3:$ES$500,MATCH(ROWS(ET$3:ET122),$ER$3:$ER$500,0),2)),"")</f>
        <v/>
      </c>
      <c r="EW122" s="259">
        <f t="shared" ca="1" si="344"/>
        <v>1</v>
      </c>
      <c r="EX122" s="259">
        <v>20</v>
      </c>
      <c r="EY122" s="259">
        <f t="shared" ca="1" si="345"/>
        <v>0</v>
      </c>
      <c r="EZ122" s="259">
        <f t="shared" ca="1" si="346"/>
        <v>0</v>
      </c>
      <c r="FA122" s="259">
        <f t="shared" ca="1" si="347"/>
        <v>0</v>
      </c>
      <c r="FB122" s="259">
        <f t="shared" ca="1" si="348"/>
        <v>0</v>
      </c>
      <c r="FC122" s="259">
        <f t="shared" ca="1" si="349"/>
        <v>0</v>
      </c>
      <c r="FD122" s="259">
        <f t="shared" ca="1" si="202"/>
        <v>0</v>
      </c>
      <c r="FE122" s="259" t="str">
        <f t="shared" ca="1" si="203"/>
        <v/>
      </c>
      <c r="FF122" s="259" t="str">
        <f t="shared" ca="1" si="350"/>
        <v/>
      </c>
      <c r="FG122" s="259" t="s">
        <v>87</v>
      </c>
      <c r="FH122" s="259">
        <f t="shared" ca="1" si="334"/>
        <v>0</v>
      </c>
      <c r="FI122" s="259">
        <f ca="1">IFERROR(IF(AND(INDEX(PIANO_DEI_CONTI,MATCH($FG122,DENOMINAZIONE,0),4)="D",SUMIFS(dare_grezzo,den_grezzo,$FG122,data_grezzo,"&lt;"&amp;INIZIO_AC,data_grezzo,"&gt;="&amp;INIZIO_A_PC)&gt;=SUMIFS(avere_grezzo,den_grezzo,$FG122,data_grezzo,"&lt;"&amp;INIZIO_AC,data_grezzo,"&gt;="&amp;INIZIO_A_PC)),SUMIFS(avere_grezzo,den_grezzo,$FG122,data_grezzo,"&lt;"&amp;INIZIO_AC,data_grezzo,"&gt;="&amp;INIZIO_A_PC),IF(AND(INDEX(PIANO_DEI_CONTI,MATCH($FG122,DENOMINAZIONE,0),4)="A",SUMIFS(avere_grezzo,den_grezzo,$FG122,data_grezzo,"&lt;"&amp;INIZIO_AC,data_grezzo,"&gt;="&amp;INIZIO_A_PC)&gt;=SUMIFS(dare_grezzo,den_grezzo,$FG122,data_grezzo,"&lt;"&amp;INIZIO_AC,data_grezzo,"&gt;="&amp;INIZIO_A_PC)),SUMIFS(avere_grezzo,den_grezzo,$FG122,data_grezzo,"&lt;"&amp;INIZIO_AC,data_grezzo,"&gt;="&amp;INIZIO_A_PC),IF(INDEX(PIANO_DEI_CONTI,MATCH($FG122,DENOMINAZIONE,0),4)="D/A",SUMIFS(avere_grezzo,den_grezzo,$FG122,data_grezzo,"&lt;"&amp;INIZIO_AC,data_grezzo,"&gt;="&amp;INIZIO_A_PC),0))),0)</f>
        <v>0</v>
      </c>
      <c r="FJ122" s="259">
        <f ca="1">IF(FH122&gt;FI122,FH122-FI122,0)</f>
        <v>0</v>
      </c>
      <c r="FM122" s="259">
        <f t="shared" ca="1" si="205"/>
        <v>0</v>
      </c>
      <c r="FN122" s="259">
        <f ca="1">IF(FM122&lt;0,MAX($FN$2:FN121)+1,0)</f>
        <v>0</v>
      </c>
      <c r="FO122" s="259" t="str">
        <f t="shared" ca="1" si="268"/>
        <v/>
      </c>
      <c r="FP122" s="259" t="str">
        <f ca="1">IFERROR(INDEX($FN$3:$FO$400,MATCH(ROWS($FP$3:FP122),$FN$3:$FN$400,0),2),"")</f>
        <v/>
      </c>
      <c r="FQ122" s="259">
        <f>IF(AE122="SE AVERE",MAX($FQ$2:FQ121)+1,"")</f>
        <v>13</v>
      </c>
      <c r="FR122" s="259" t="str">
        <f>IF(AE122="SE DARE",MAX($FR$2:FR121)+1,"")</f>
        <v/>
      </c>
      <c r="FS122" s="259" t="str">
        <f ca="1">IF(AND(AE122="SP DARE",AA122&lt;&gt;$FS$1,AA122&lt;&gt;$FT$1),MAX($FS$2:FS121)+1,IF(AND(GQ122="SP DARE",AA122&lt;&gt;$FS$1,AA122&lt;&gt;$FT$1),MAX($FS$2:FS121)+1,""))</f>
        <v/>
      </c>
      <c r="FT122" s="259" t="str">
        <f ca="1">IF(AND(AE122="SP AVERE",AA122&lt;&gt;$FU$1),MAX($FT$2:FT121)+1,IF(AND(GQ122="SP AVERE",AA122&lt;&gt;$FU$1),MAX($FT$2:FT121)+1,""))</f>
        <v/>
      </c>
      <c r="FU122" s="259">
        <f t="shared" ca="1" si="269"/>
        <v>13</v>
      </c>
      <c r="FV122" s="259" t="str">
        <f t="shared" si="270"/>
        <v>PREMI SU ACQUISTI</v>
      </c>
      <c r="FW122" s="259" t="str">
        <f ca="1">IFERROR(INDEX($FU$3:$FV$500,MATCH(ROWS($FW$3:FW122),$FU$3:$FU$500,0),2),0)</f>
        <v>CREDITI PER IVA</v>
      </c>
      <c r="FX122" s="259">
        <f t="shared" ca="1" si="271"/>
        <v>120</v>
      </c>
      <c r="FY122" s="259">
        <f t="shared" ca="1" si="272"/>
        <v>0</v>
      </c>
      <c r="FZ122" s="259">
        <f ca="1">IF(FY122&gt;0,MAX($FZ$2:FZ121)+1,0)</f>
        <v>0</v>
      </c>
      <c r="GA122" s="259">
        <f ca="1">IFERROR(INDEX($FY$3:$FZ$500,MATCH(ROWS($GA$3:GA122),$FZ$3:$FZ$500,0),1),0)</f>
        <v>0</v>
      </c>
      <c r="GC122" s="259">
        <f t="shared" ca="1" si="273"/>
        <v>120</v>
      </c>
      <c r="GD122" s="259" t="str">
        <f t="shared" ca="1" si="274"/>
        <v>CREDITI PER IVA</v>
      </c>
      <c r="GG122" s="259">
        <f t="shared" ca="1" si="275"/>
        <v>0</v>
      </c>
      <c r="GH122" s="259">
        <f t="shared" ca="1" si="276"/>
        <v>0</v>
      </c>
      <c r="GI122" s="259">
        <f t="shared" ca="1" si="277"/>
        <v>0</v>
      </c>
      <c r="GJ122" s="259">
        <f t="shared" ca="1" si="278"/>
        <v>0</v>
      </c>
      <c r="GK122" s="259">
        <f t="shared" ca="1" si="279"/>
        <v>0</v>
      </c>
      <c r="GL122" s="259">
        <f t="shared" ca="1" si="280"/>
        <v>0</v>
      </c>
      <c r="GM122" s="259">
        <f ca="1">IF(OR(GK122&gt;0,GL122&gt;0),MAX($GM$2:GM121)+1,0)</f>
        <v>0</v>
      </c>
      <c r="GN122" s="259" t="str">
        <f ca="1">IFERROR(INDEX($GD$3:$GM$400,MATCH(ROWS($GN$3:GN122),$GM$3:$GM$400,0),1),"")</f>
        <v/>
      </c>
      <c r="GO122" s="259" t="str">
        <f ca="1">IFERROR(INDEX($GD$3:$GM$400,MATCH(ROWS($GO$3:GO122),$GM$3:$GM$400,0),8),"")</f>
        <v/>
      </c>
      <c r="GP122" s="259" t="str">
        <f ca="1">IFERROR(INDEX($GD$3:$GM$400,MATCH(ROWS($GP$3:GP122),$GM$3:$GM$400,0),9),"")</f>
        <v/>
      </c>
      <c r="GQ122" s="259">
        <f t="shared" ca="1" si="206"/>
        <v>0</v>
      </c>
      <c r="GR122" s="259">
        <f t="shared" ca="1" si="281"/>
        <v>0</v>
      </c>
      <c r="GS122" s="259" t="str">
        <f t="shared" ca="1" si="282"/>
        <v>chiusura del conto</v>
      </c>
      <c r="GT122" s="259" t="str">
        <f ca="1">IFERROR(INDEX($GD$3:$GS$400,MATCH(ROWS($GT$3:GT122),$GM$3:$GM$400,0),16),"")</f>
        <v/>
      </c>
      <c r="GU122" s="259">
        <f ca="1">IF(GQ122&lt;&gt;0,MAX($GU$2:$GU121)+1,0)</f>
        <v>0</v>
      </c>
      <c r="GV122" s="259">
        <f t="shared" ca="1" si="283"/>
        <v>0</v>
      </c>
      <c r="GW122" s="259" t="str">
        <f ca="1">IF(AND(IFERROR(INDEX($GU$3:$GV$400,MATCH(ROWS($GW$3:GW122),$GU$3:$GU$400,0),2),"")&lt;&gt;"",GW123&lt;&gt;""),CONCATENATE(IFERROR(INDEX($GU$3:$GV$400,MATCH(ROWS($GW$3:GW122),$GU$3:$GU$400,0),2),"")," - "),IFERROR(INDEX($GU$3:$GV$400,MATCH(ROWS($GW$3:GW122),$GU$3:$GU$400,0),2),""))</f>
        <v/>
      </c>
      <c r="GX122" s="259">
        <f ca="1">IF(OR(GN122="IVA NS/CREDITO",GN122="IVA NS/DEBITO",GN122="IVA C/ACCONTO",GN122="IMPOSTE C/ACCONTO"),MAX($GX$2:GX121)+1,0)</f>
        <v>0</v>
      </c>
      <c r="GY122" s="259" t="str">
        <f ca="1">IF(AND(IFERROR(INDEX($GN$3:$GX$200,MATCH(ROWS($GY$3:GY122),$GX$3:$GX$200,0),1),"")&lt;&gt;"",GY123&lt;&gt;""),CONCATENATE(IFERROR(INDEX($GN$3:$GX$200,MATCH(ROWS($GY$3:GY122),$GX$3:$GX$200,0),1),"")," - "),IFERROR(INDEX($GN$3:$GX$200,MATCH(ROWS($GY$3:GY122),$GX$3:$GX$200,0),1),""))</f>
        <v/>
      </c>
      <c r="GZ122" s="259" t="s">
        <v>136</v>
      </c>
      <c r="HA122" s="259" t="s">
        <v>558</v>
      </c>
      <c r="HB122" s="269" t="s">
        <v>256</v>
      </c>
      <c r="HC122" s="269" t="s">
        <v>211</v>
      </c>
      <c r="HD122" s="269" t="s">
        <v>8</v>
      </c>
      <c r="HE122" s="269" t="s">
        <v>213</v>
      </c>
      <c r="HV122" s="259" t="str">
        <f ca="1">CONCATENATE(IFERROR(INDEX($HS$3:$HT$102,MATCH(ROWS($HV$3:HV122),$HT$3:$HT$102,0),1),""),HR122)</f>
        <v/>
      </c>
      <c r="IC122" s="259">
        <f ca="1">IFERROR(INDEX(PIANO_DEI_CONTI,MATCH(ROWS(DL$3:DL122),$DK$3:DK349,0),2),0)</f>
        <v>0</v>
      </c>
      <c r="ID122" s="259">
        <f t="shared" ca="1" si="288"/>
        <v>0</v>
      </c>
      <c r="IE122" s="259">
        <f t="shared" ca="1" si="289"/>
        <v>0</v>
      </c>
      <c r="IF122" s="259">
        <f t="shared" ca="1" si="290"/>
        <v>0</v>
      </c>
      <c r="IG122" s="259">
        <f t="shared" ca="1" si="324"/>
        <v>0</v>
      </c>
      <c r="IH122" s="259">
        <f ca="1">IF(IG122&lt;&gt;0,MAX($IH$35:IH121)+1,0)</f>
        <v>0</v>
      </c>
      <c r="II122" s="259">
        <f>IF(AD122="costi pluriennali",MAX($II$2:II121)+1,0)</f>
        <v>0</v>
      </c>
      <c r="IJ122" s="259">
        <f>IF($AD122="rettifiche costi pluriennali",MAX($IJ$2:IJ121)+1,0)</f>
        <v>0</v>
      </c>
      <c r="IK122" s="259">
        <f t="shared" si="291"/>
        <v>0</v>
      </c>
      <c r="IL122" s="259" t="str">
        <f t="shared" si="292"/>
        <v/>
      </c>
      <c r="IM122" s="259">
        <f t="shared" ca="1" si="293"/>
        <v>0</v>
      </c>
      <c r="IN122" s="259">
        <f t="shared" ca="1" si="313"/>
        <v>0</v>
      </c>
      <c r="IO122" s="259">
        <f>SUMIFS($IM$3:$IM$200,$IK$3:$IK$200,ROWS($IO$3:IO122))-SUMIFS($IN$3:$IN$200,$IK$3:$IK$200,ROWS($IO$3:IO122))</f>
        <v>0</v>
      </c>
      <c r="IP122" s="259" t="str">
        <f>IF(IO122&lt;0,INDEX($IJ$3:$IL$200,MATCH(ROWS($IP$3:IP122),$IJ$3:$IJ$200,0),3),"")</f>
        <v/>
      </c>
      <c r="IQ122" s="259">
        <f>IF(IP122&lt;&gt;"",MAX($IQ$2:IQ121)+1,0)</f>
        <v>0</v>
      </c>
      <c r="IR122" s="259" t="str">
        <f ca="1">IFERROR(INDEX($IP$3:$IQ$200,MATCH(ROWS($IR$3:IR122),$IQ$3:$IQ$200,0),1),"")</f>
        <v/>
      </c>
      <c r="IS122" s="259" t="str">
        <f t="shared" ca="1" si="294"/>
        <v/>
      </c>
      <c r="IT122" s="259" t="str">
        <f t="shared" ca="1" si="295"/>
        <v/>
      </c>
      <c r="IU122" s="259" t="str">
        <f t="shared" ca="1" si="296"/>
        <v/>
      </c>
      <c r="IV122" s="259" t="str">
        <f t="shared" ca="1" si="297"/>
        <v/>
      </c>
      <c r="IW122" s="259" t="str">
        <f t="shared" ca="1" si="298"/>
        <v/>
      </c>
      <c r="IX122" s="259" t="str">
        <f t="shared" ca="1" si="299"/>
        <v/>
      </c>
      <c r="IY122" s="259" t="str">
        <f t="shared" ca="1" si="300"/>
        <v/>
      </c>
      <c r="IZ122" s="259" t="str">
        <f t="shared" ca="1" si="301"/>
        <v/>
      </c>
      <c r="JA122" s="259" t="str">
        <f t="shared" ca="1" si="302"/>
        <v/>
      </c>
      <c r="JB122" s="259">
        <f t="shared" ca="1" si="210"/>
        <v>0</v>
      </c>
      <c r="JC122" s="259">
        <f t="shared" ca="1" si="351"/>
        <v>0</v>
      </c>
      <c r="JD122" s="259">
        <f t="shared" ca="1" si="352"/>
        <v>0</v>
      </c>
      <c r="JE122" s="259">
        <f ca="1">IFERROR(INDEX(LIBRO_GIORNALE!$N$11:$O$408,MATCH(ROWS($JE$2:JE121),LIBRO_GIORNALE!$O$11:$O$408,0),1),0)</f>
        <v>0</v>
      </c>
      <c r="JF122" s="259" t="str">
        <f t="shared" ca="1" si="304"/>
        <v>0</v>
      </c>
      <c r="JG122" s="259">
        <f t="shared" ca="1" si="305"/>
        <v>0</v>
      </c>
      <c r="JH122" s="259">
        <f ca="1">IF(JJ122&gt;0,0,MAX($JH$2:JH121)+1)</f>
        <v>120</v>
      </c>
      <c r="JI122" s="259">
        <f ca="1">IF(JG122&gt;0,MAX($JI$2:JI121)+1,0)</f>
        <v>0</v>
      </c>
      <c r="JJ122" s="259">
        <f ca="1">IFERROR(INDEX($JG$3:$JI$124,MATCH(ROWS($JJ$3:JJ122),$JI$3:$JI$124,0),1),0)</f>
        <v>0</v>
      </c>
      <c r="JK122" s="259">
        <f t="shared" ca="1" si="306"/>
        <v>0</v>
      </c>
      <c r="JL122" s="259">
        <f t="shared" ca="1" si="307"/>
        <v>120</v>
      </c>
      <c r="JM122" s="259">
        <f t="shared" ca="1" si="353"/>
        <v>0</v>
      </c>
    </row>
    <row r="123" spans="1:273">
      <c r="A123" s="259" t="str">
        <f t="shared" si="211"/>
        <v>20.02</v>
      </c>
      <c r="B123" s="259" t="str">
        <f t="shared" si="212"/>
        <v>MERCI C/VENDITE ON LINE</v>
      </c>
      <c r="C123" s="259" t="str">
        <f t="shared" si="213"/>
        <v>E</v>
      </c>
      <c r="D123" s="259" t="str">
        <f t="shared" si="214"/>
        <v>A</v>
      </c>
      <c r="E123" s="259" t="str">
        <f t="shared" si="215"/>
        <v>RICAVI D'ESERCIZIO</v>
      </c>
      <c r="F123" s="259" t="str">
        <f t="shared" si="216"/>
        <v>SE AVERE</v>
      </c>
      <c r="G123" s="259">
        <f t="shared" ca="1" si="217"/>
        <v>1</v>
      </c>
      <c r="H123" s="259">
        <f t="shared" ca="1" si="218"/>
        <v>1</v>
      </c>
      <c r="I123" s="259">
        <f t="shared" ca="1" si="219"/>
        <v>1</v>
      </c>
      <c r="K123" s="259" t="str">
        <f ca="1">IFERROR(IF($I$1=1,INDEX($AA$3:$AS$220,MATCH(ROWS($K$3:K123),$AQ$3:$AQ$220,0),1),IF($I$1=2,INDEX($AA$3:$AS$220,MATCH(ROWS($K$3:K123),$AR$3:$AR$220,0),1),IF($I$1=3,INDEX($AA$3:$AS$220,MATCH(ROWS($K$3:K123),$AS$3:$AS$220,0),1),""))),"")</f>
        <v>COSTI TELEFONICI</v>
      </c>
      <c r="L123" s="259">
        <f ca="1">IF(AND($L$1="VISUALIZZA TUTTI I CONTI",K123&lt;&gt;""),MAX(L122:L122)+1,IFERROR(IF($J$1=1,IF(INDEX(PIANO_DEI_CONTI,MATCH($K123,DENOMINAZIONE,0),5)=$L$1,MAX($L$2:L122)+1,0),IF($J$1=2,IF(INDEX(PIANO_DEI_CONTI,MATCH($K123,DENOMINAZIONE,0),7)=$L$1,MAX($L$2:L122)+1,0))),0))</f>
        <v>121</v>
      </c>
      <c r="M123" s="259" t="str">
        <f ca="1">IFERROR(INDEX($K$3:$K$220,MATCH(ROWS($M$3:M123),$L$3:$L$220,0),1),"")</f>
        <v>COSTI TELEFONICI</v>
      </c>
      <c r="Q123" s="259" t="str">
        <f ca="1">IF(IFERROR(INDEX($O$3:$P$220,MATCH(ROWS(Q$3:Q123),$P$3:$P$220,0),1),"")=0,"",IFERROR(INDEX($O$3:$P$220,MATCH(ROWS(Q$3:Q123),$P$3:$P$220,0),1),""))</f>
        <v/>
      </c>
      <c r="R123" s="259" t="str">
        <f t="shared" ca="1" si="182"/>
        <v/>
      </c>
      <c r="S123" s="259">
        <f ca="1">IF(IFERROR(MATCH(R123,DENOMINAZIONE_GIORNALE,0),0)&gt;0,MAX(S$2:S122)+1,0)</f>
        <v>0</v>
      </c>
      <c r="T123" s="259" t="str">
        <f ca="1">IFERROR(INDEX($R$3:$S$220,MATCH(ROWS($T$3:T123),$S$3:$S$220,0),1),"")</f>
        <v/>
      </c>
      <c r="U123" s="259">
        <f t="shared" ca="1" si="183"/>
        <v>0</v>
      </c>
      <c r="V123" s="259">
        <f ca="1">IF(IF(U123&lt;&gt;0,MAX($V$2:V122)+1,0)=0,0,IF(U123&lt;&gt;0,MAX($V$2:V122)+1,0))</f>
        <v>0</v>
      </c>
      <c r="W123" s="259" t="str">
        <f t="shared" si="220"/>
        <v>20.02</v>
      </c>
      <c r="X123" s="259" t="str">
        <f t="shared" si="221"/>
        <v>MERCI C/VENDITE ON LINE</v>
      </c>
      <c r="Y123" s="259">
        <f>IF(W123="",0,MAX($Y$2:Y122)+1)</f>
        <v>103</v>
      </c>
      <c r="Z123" s="259" t="str">
        <f>IFERROR(INDEX($W$3:$Y$220,MATCH(ROWS($Z$2:Z122),$Y$3:$Y$220,0),1),"")</f>
        <v>31.01</v>
      </c>
      <c r="AA123" s="259" t="str">
        <f t="shared" si="222"/>
        <v>COSTI DI TRASPORTO</v>
      </c>
      <c r="AB123" s="259" t="str">
        <f t="shared" si="223"/>
        <v>E</v>
      </c>
      <c r="AC123" s="259" t="str">
        <f t="shared" si="224"/>
        <v>D</v>
      </c>
      <c r="AD123" s="259" t="str">
        <f t="shared" si="225"/>
        <v>COSTI D'ESERCIZIO</v>
      </c>
      <c r="AE123" s="259" t="str">
        <f t="shared" si="226"/>
        <v>SE DARE</v>
      </c>
      <c r="AF123" s="259" t="str">
        <f t="shared" si="227"/>
        <v>COSTI PER SERVIZI</v>
      </c>
      <c r="AG123" s="259">
        <f t="shared" ca="1" si="228"/>
        <v>1</v>
      </c>
      <c r="AH123" s="259">
        <f t="shared" ca="1" si="229"/>
        <v>1</v>
      </c>
      <c r="AI123" s="259">
        <f t="shared" ca="1" si="230"/>
        <v>1</v>
      </c>
      <c r="AJ123" s="259" t="str">
        <f t="shared" si="231"/>
        <v>31</v>
      </c>
      <c r="AK123" s="259" t="str">
        <f t="shared" si="232"/>
        <v/>
      </c>
      <c r="AL123" s="259">
        <f>IF(AK123&lt;&gt;"",MAX($AL$2:AL122)+1,0)</f>
        <v>0</v>
      </c>
      <c r="AM123" s="259" t="str">
        <f>IFERROR(INDEX($AK$3:$AL$220,MATCH(ROWS($AM$3:AM123),$AL$3:$AL$220,0),1),"")</f>
        <v/>
      </c>
      <c r="AN123" s="259" t="str">
        <f t="shared" si="233"/>
        <v/>
      </c>
      <c r="AO123" s="259" t="str">
        <f t="shared" si="234"/>
        <v/>
      </c>
      <c r="AP123" s="259" t="str">
        <f t="shared" si="235"/>
        <v>COSTI PER SERVIZI</v>
      </c>
      <c r="AQ123" s="259">
        <f ca="1">IF(OR(AG123=0,AG123=""),0,MAX(AQ$2:AQ122)+1)</f>
        <v>62</v>
      </c>
      <c r="AR123" s="259">
        <f ca="1">IF(OR(AH123=0,AH123=""),0,MAX(AR$2:AR122)+1)</f>
        <v>87</v>
      </c>
      <c r="AS123" s="259">
        <f ca="1">IF(OR(AI123=0,AI123=""),0,MAX(AS$2:AS122)+1)</f>
        <v>117</v>
      </c>
      <c r="AT123" s="259" t="str">
        <f ca="1">IFERROR(INDEX($AD$3:$AS$220,MATCH(ROWS(AT$3:AT123),AQ$3:AQ$220,0),1),"")</f>
        <v/>
      </c>
      <c r="AU123" s="259" t="str">
        <f ca="1">IFERROR(INDEX($AD$3:$AS$220,MATCH(ROWS(AU$3:AU123),AR$3:AR$220,0),1),"")</f>
        <v>COSTI D'ESERCIZIO</v>
      </c>
      <c r="AV123" s="259" t="str">
        <f ca="1">IFERROR(INDEX($AD$3:$AS$220,MATCH(ROWS(AV$3:AV123),AS$3:AS$220,0),1),"")</f>
        <v>COSTI D'ESERCIZIO</v>
      </c>
      <c r="AW123" s="259" t="str">
        <f ca="1">IFERROR(INDEX($AP$3:$AS$220,MATCH(ROWS(AW$3:AW123),AQ$3:AQ$220,0),1),"")</f>
        <v/>
      </c>
      <c r="AX123" s="259" t="str">
        <f ca="1">IFERROR(INDEX($AP$3:$AS$220,MATCH(ROWS(AX$3:AX123),AR$3:AR$220,0),1),"")</f>
        <v>ONERI FINANZIARI</v>
      </c>
      <c r="AY123" s="259" t="str">
        <f ca="1">IFERROR(INDEX($AP$3:$AS$220,MATCH(ROWS(AY$3:AY123),AS$3:AS$220,0),1),"")</f>
        <v>COSTI PER SERVIZI</v>
      </c>
      <c r="AZ123" s="259" t="str">
        <f t="shared" si="339"/>
        <v>21 V.I.</v>
      </c>
      <c r="BA123" s="259">
        <f t="shared" ca="1" si="338"/>
        <v>0</v>
      </c>
      <c r="BB123" s="259">
        <f t="shared" ca="1" si="340"/>
        <v>0</v>
      </c>
      <c r="BC123" s="259">
        <f t="shared" ca="1" si="341"/>
        <v>0</v>
      </c>
      <c r="BD123" s="259">
        <f t="shared" ca="1" si="342"/>
        <v>0</v>
      </c>
      <c r="BE123" s="259">
        <f t="shared" ca="1" si="343"/>
        <v>0</v>
      </c>
      <c r="BG123" s="259" t="str">
        <f t="shared" ca="1" si="185"/>
        <v/>
      </c>
      <c r="BH123" s="259">
        <f ca="1">IF(IFERROR(MATCH(BG123,DENOMINAZIONE_GIORNALE,0),0)&gt;0,MAX(BH$2:BH122)+1,0)</f>
        <v>0</v>
      </c>
      <c r="BI123" s="259" t="str">
        <f ca="1">IFERROR(INDEX($BG$3:$BH$220,MATCH(ROWS($BI$3:BI123),$BH$3:$BH$220,0),1),"")</f>
        <v/>
      </c>
      <c r="BJ123" s="259" t="str">
        <f t="shared" ca="1" si="186"/>
        <v/>
      </c>
      <c r="BK123" s="259" t="str">
        <f ca="1">IF(IF(BJ123&lt;&gt;"",MAX($BK$2:BK122)+1,0)=0,"",IF(BJ123&lt;&gt;"",MAX($BK$2:BK122)+1,0))</f>
        <v/>
      </c>
      <c r="BL123" s="259" t="str">
        <f ca="1">IFERROR(INDEX($T$3:$U$220, MATCH(ROWS(BL$3:BL123),$V$3:$V$220,0),1),"")</f>
        <v/>
      </c>
      <c r="BM123" s="259" t="str">
        <f ca="1">IFERROR(INDEX($T$3:$U$220, MATCH(ROWS(BM$3:BM123),$V$3:$V$220,0),2),"")</f>
        <v/>
      </c>
      <c r="BN123" s="259" t="str">
        <f ca="1">IF(IFERROR(INDEX($BI$3:$BJ$220,MATCH(ROWS(BN$3:BN123),$BK$3:$BK$220,0),1),"")="PATRIMONIO NETTO","",IFERROR(INDEX($BI$3:$BJ$220,MATCH(ROWS(BN$3:BN123),$BK$3:$BK$220,0),1),""))</f>
        <v/>
      </c>
      <c r="BO123" s="259" t="str">
        <f ca="1">IFERROR(INDEX($BI$3:$BJ$220,MATCH(ROWS(BO$3:BO123),$BK$3:$BK$220,0),2),"")</f>
        <v/>
      </c>
      <c r="BP123" s="259">
        <f ca="1">IF(BN123&lt;&gt;"",MAX(BP$2:$BP122)+1,0)</f>
        <v>0</v>
      </c>
      <c r="BQ123" s="259" t="str">
        <f ca="1">IFERROR(INDEX($BN$3:$BO$200,MATCH(ROWS(BQ$3:BQ123),$BP$3:$BP$220,0),1),"")</f>
        <v/>
      </c>
      <c r="BR123" s="259" t="str">
        <f ca="1">IFERROR(INDEX($BN$3:$BO$220,MATCH(ROWS(BR$3:BR123),$BP$3:$BP$220,0),2),"")</f>
        <v/>
      </c>
      <c r="BS123" s="259" t="str">
        <f ca="1">IFERROR(IF(OR(INDEX($T$3:$U$220,MATCH(ROWS(BL$3:BL123),$V$3:$V$220,0),1)="PRELEVAMENTI EXTRAGESTIONE",INDEX($T$3:$U$220,MATCH(ROWS(BL$3:BL123),$V$3:$V$220,0),1)="TITOLARE C/RITENUTE SUBITE"),"",INDEX($T$3:$U$220,MATCH(ROWS(BL$3:BL123),$V$3:$V$220,0),1)),"")</f>
        <v/>
      </c>
      <c r="BT123" s="259">
        <f t="shared" ca="1" si="238"/>
        <v>0</v>
      </c>
      <c r="BU123" s="259">
        <f ca="1">IF(BS123&lt;&gt;"",MAX(BU$2:BU122)+1,0)</f>
        <v>0</v>
      </c>
      <c r="BV123" s="259" t="str">
        <f ca="1">IFERROR(INDEX($BS$3:$BT$223,MATCH(ROWS(BV$3:BV123),$BU$3:$BU$223,0),1),"")</f>
        <v/>
      </c>
      <c r="BW123" s="259">
        <f t="shared" ca="1" si="239"/>
        <v>0</v>
      </c>
      <c r="CB123" s="259" t="str">
        <f ca="1">IFERROR(IF(OR($BB$1&lt;&gt;$BD$1,$BC$1&lt;&gt;$BE$1,$DS$231&lt;&gt;$DT$231,$DU$231&lt;&gt;$DV$231,$EO$25&lt;&gt;0,$EO$26&lt;&gt;0),INDEX($BI$3:$BK$220,MATCH(ROWS($CB$3:CB123),$BK$3:$BK$220,0),1),CONCATENATE(BQ123,BX123)),"")</f>
        <v/>
      </c>
      <c r="CC123" s="259" t="str">
        <f t="shared" ca="1" si="243"/>
        <v/>
      </c>
      <c r="CD123" s="259" t="str">
        <f t="shared" ca="1" si="187"/>
        <v>COSTI DI TRASPORTO</v>
      </c>
      <c r="CE123" s="259">
        <f ca="1">IF(IFERROR(MATCH(CD123,DENOMINAZIONE_GIORNALE,0),0)&gt;0,MAX(CE$2:CE122)+1,0)</f>
        <v>0</v>
      </c>
      <c r="CF123" s="259" t="str">
        <f ca="1">IFERROR(INDEX($CD$3:$CE$220,MATCH(ROWS($CF$3:CF123),$CE$3:$CE$220,0),1),"")</f>
        <v/>
      </c>
      <c r="CG123" s="259">
        <f t="shared" ca="1" si="188"/>
        <v>0</v>
      </c>
      <c r="CH123" s="259" t="str">
        <f ca="1">IF(IF(CG123&lt;&gt;0,MAX($CH$2:CH122)+1,0)=0,"",IF(CG123&lt;&gt;"",MAX($CH$2:CH122)+1,0))</f>
        <v/>
      </c>
      <c r="CI123" s="259" t="str">
        <f ca="1">IFERROR(INDEX($CF$3:$CG$220,MATCH(ROWS($CI$3:CI123),$CH$3:$CH$220,0),1),"")</f>
        <v/>
      </c>
      <c r="CJ123" s="259" t="str">
        <f t="shared" ca="1" si="244"/>
        <v/>
      </c>
      <c r="CK123" s="259" t="str">
        <f t="shared" ca="1" si="189"/>
        <v/>
      </c>
      <c r="CL123" s="259">
        <f ca="1">IF(IFERROR(MATCH(CK123,DENOMINAZIONE_GIORNALE,0),0)&gt;0,MAX(CL$2:CL122)+1,0)</f>
        <v>0</v>
      </c>
      <c r="CM123" s="259" t="str">
        <f ca="1">IFERROR(INDEX($CK$3:$CL$220,MATCH(ROWS($CM$3:CM123),$CL$3:$CL$220,0),1),"")</f>
        <v/>
      </c>
      <c r="CN123" s="259" t="str">
        <f t="shared" ca="1" si="190"/>
        <v/>
      </c>
      <c r="CO123" s="259">
        <f ca="1">IF(IF(CN123&lt;&gt;0,MAX($CO$2:CO122)+1,0)=0,"",IF(CN123&lt;&gt;"",MAX($CO$2:CO122)+1,0))</f>
        <v>0</v>
      </c>
      <c r="CP123" s="259" t="str">
        <f ca="1">IFERROR(INDEX($CM$3:$CN$220,MATCH(ROWS(CP$3:CP123),$CO$3:$CO$220,0),1),"")</f>
        <v/>
      </c>
      <c r="CQ123" s="259" t="str">
        <f ca="1">IFERROR(INDEX($CM$3:$CN$220,MATCH(ROWS(CQ$3:CQ123),$CO$3:$CO$220,0),2),"")</f>
        <v/>
      </c>
      <c r="CS123" s="259">
        <f t="shared" ca="1" si="192"/>
        <v>0</v>
      </c>
      <c r="CT123" s="259">
        <f t="shared" ca="1" si="193"/>
        <v>0</v>
      </c>
      <c r="CU123" s="259">
        <f ca="1">IF(OR(CS123&gt;0,CT123&gt;0),MAX($CU$2:CU122)+1,0)</f>
        <v>0</v>
      </c>
      <c r="CV123" s="259" t="str">
        <f ca="1">IFERROR(INDEX(PIANO_DEI_CONTI,MATCH(ROWS($CV$3:CV123),$CU$3:$CU$200,0),2),"")</f>
        <v/>
      </c>
      <c r="CW123" s="259">
        <f ca="1">IFERROR(IF(CV123&lt;&gt;"",MAX($CW$2:CW122)+1,0),0)</f>
        <v>0</v>
      </c>
      <c r="CX123" s="259">
        <f t="shared" ca="1" si="355"/>
        <v>7</v>
      </c>
      <c r="CY123" s="259" t="str">
        <f t="shared" ca="1" si="337"/>
        <v>MASTRO</v>
      </c>
      <c r="CZ123" s="259" t="e">
        <f t="shared" ca="1" si="357"/>
        <v>#N/A</v>
      </c>
      <c r="DA123" s="259" t="str">
        <f t="shared" ca="1" si="362"/>
        <v/>
      </c>
      <c r="DB123" s="259" t="str">
        <f t="shared" ca="1" si="358"/>
        <v/>
      </c>
      <c r="DC123" s="259" t="str">
        <f t="shared" ca="1" si="359"/>
        <v/>
      </c>
      <c r="DD123" s="259" t="str">
        <f t="shared" ca="1" si="360"/>
        <v/>
      </c>
      <c r="DE123" s="259" t="str">
        <f t="shared" ca="1" si="361"/>
        <v/>
      </c>
      <c r="DF123" s="259">
        <f ca="1">IF(AND(CX123=$DE$2,$DF$2&lt;&gt;0),0,IF(AND(DB123&lt;&gt;"",OR(DB122&lt;&gt;"",DB124&lt;&gt;"")),MAX($DF$2:DF122)+1,0))</f>
        <v>0</v>
      </c>
      <c r="DG123" s="259" t="str">
        <f>IF(IF(LIBRO_GIORNALE!E31="","",IFERROR(INDEX(PIANO_DEI_CONTI,MATCH(BB123,DENOMINAZIONE,0),1),0))=0,"",IF(LIBRO_GIORNALE!E31="","",IFERROR(INDEX(PIANO_DEI_CONTI,MATCH(BB123,DENOMINAZIONE,0),1),0)))</f>
        <v/>
      </c>
      <c r="DH123" s="259">
        <f ca="1">IFERROR(IF($J$1=1,IF(INDEX(PIANO_DEI_CONTI,MATCH($K123,DENOMINAZIONE,0),5)=$DF$1,MAX($DH$2:DH122)+1,0),IF($J$1=2,IF(INDEX(PIANO_DEI_CONTI,MATCH($K123,DENOMINAZIONE,0),7)=$DF$1,MAX($DH$2:DH122)+1,0))),0)</f>
        <v>0</v>
      </c>
      <c r="DI123" s="259">
        <f ca="1">IFERROR(INDEX($K$3:$K$220,MATCH(ROWS($DI$3:DI123),$DH$3:$DH$220,0),1),0)</f>
        <v>0</v>
      </c>
      <c r="DJ123" s="259">
        <f t="shared" ca="1" si="194"/>
        <v>0</v>
      </c>
      <c r="DK123" s="259">
        <f ca="1">IF(DJ123=0,0,MAX(DK$2:DK122)+1)</f>
        <v>0</v>
      </c>
      <c r="DL123" s="259">
        <f ca="1">IFERROR(INDEX(PIANO_DEI_CONTI,MATCH(ROWS(DL$3:DL123),$DK$3:DK350,0),2),0)</f>
        <v>0</v>
      </c>
      <c r="DM123" s="259">
        <f t="shared" ca="1" si="195"/>
        <v>0</v>
      </c>
      <c r="DN123" s="259">
        <f t="shared" ca="1" si="196"/>
        <v>0</v>
      </c>
      <c r="DO123" s="259">
        <f t="shared" ca="1" si="245"/>
        <v>0</v>
      </c>
      <c r="DP123" s="259">
        <f t="shared" ca="1" si="246"/>
        <v>0</v>
      </c>
      <c r="DQ123" s="259">
        <f ca="1">IF(OR($DQ$1="TOTALI",$DQ$1="TOTALI ED ECCEDENZE"),IF(OR(DM123&gt;0,DN123&gt;0),MAX(DQ$2:DQ122)+1,0),IF($DQ$1="ECCEDENZE",IF(OR(DO123&gt;0,DP123&gt;0),MAX(DQ$2:DQ122)+1,0),""))</f>
        <v>0</v>
      </c>
      <c r="DR123" s="259" t="str">
        <f ca="1">IFERROR(INDEX($DL$3:$DQ$230,MATCH(ROWS(DR$3:DR123),$DQ$3:$DQ$230,0),1),"")</f>
        <v/>
      </c>
      <c r="DS123" s="259" t="str">
        <f t="shared" ca="1" si="247"/>
        <v/>
      </c>
      <c r="DT123" s="259" t="str">
        <f t="shared" ca="1" si="248"/>
        <v/>
      </c>
      <c r="DU123" s="259" t="str">
        <f t="shared" ca="1" si="249"/>
        <v/>
      </c>
      <c r="DV123" s="259" t="str">
        <f t="shared" ca="1" si="250"/>
        <v/>
      </c>
      <c r="DW123" s="259">
        <f t="shared" ca="1" si="251"/>
        <v>0</v>
      </c>
      <c r="DX123" s="259" t="str">
        <f t="shared" ca="1" si="252"/>
        <v/>
      </c>
      <c r="DY123" s="259" t="str">
        <f t="shared" ca="1" si="253"/>
        <v/>
      </c>
      <c r="DZ123" s="259" t="str">
        <f t="shared" ca="1" si="254"/>
        <v/>
      </c>
      <c r="EA123" s="259">
        <f t="shared" ca="1" si="255"/>
        <v>121</v>
      </c>
      <c r="EB123" s="259" t="s">
        <v>369</v>
      </c>
      <c r="ED123" s="259">
        <f t="shared" ca="1" si="197"/>
        <v>0</v>
      </c>
      <c r="EH123" s="259" t="str">
        <f t="shared" ca="1" si="256"/>
        <v/>
      </c>
      <c r="EI123" s="260" t="b">
        <f t="shared" ca="1" si="310"/>
        <v>1</v>
      </c>
      <c r="EJ123" s="260" t="b">
        <f t="shared" ca="1" si="311"/>
        <v>1</v>
      </c>
      <c r="EK123" s="260" t="b">
        <f t="shared" ca="1" si="312"/>
        <v>1</v>
      </c>
      <c r="EL123" s="259">
        <f t="shared" si="257"/>
        <v>121</v>
      </c>
      <c r="EM123" s="259">
        <f ca="1">IF(AND(BA123&gt;0,BA123&lt;=$EM$1),MAX($EM$2:EM122)+1,0)</f>
        <v>0</v>
      </c>
      <c r="EN123" s="259">
        <f t="shared" ca="1" si="258"/>
        <v>123</v>
      </c>
      <c r="EP123" s="259" t="str">
        <f t="shared" ca="1" si="200"/>
        <v/>
      </c>
      <c r="EQ123" s="259">
        <f t="shared" ca="1" si="201"/>
        <v>0</v>
      </c>
      <c r="ER123" s="259">
        <f ca="1">IF(ISNA(EQ123),MAX(ER$2:ER122)+1,0)</f>
        <v>0</v>
      </c>
      <c r="ES123" s="259" t="str">
        <f t="shared" ca="1" si="259"/>
        <v/>
      </c>
      <c r="ET123" s="259" t="str">
        <f ca="1">IFERROR(UPPER(INDEX($ER$3:$ES$500,MATCH(ROWS(ET$3:ET123),$ER$3:$ER$500,0),2)),"")</f>
        <v/>
      </c>
      <c r="EW123" s="259">
        <f t="shared" ca="1" si="344"/>
        <v>1</v>
      </c>
      <c r="EX123" s="259">
        <v>21</v>
      </c>
      <c r="EY123" s="259">
        <f t="shared" ca="1" si="345"/>
        <v>0</v>
      </c>
      <c r="EZ123" s="259">
        <f t="shared" ca="1" si="346"/>
        <v>0</v>
      </c>
      <c r="FA123" s="259">
        <f t="shared" ca="1" si="347"/>
        <v>0</v>
      </c>
      <c r="FB123" s="259">
        <f t="shared" ca="1" si="348"/>
        <v>0</v>
      </c>
      <c r="FC123" s="259">
        <f t="shared" ca="1" si="349"/>
        <v>0</v>
      </c>
      <c r="FD123" s="259">
        <f t="shared" ca="1" si="202"/>
        <v>0</v>
      </c>
      <c r="FE123" s="259" t="str">
        <f t="shared" ca="1" si="203"/>
        <v/>
      </c>
      <c r="FF123" s="259" t="str">
        <f t="shared" ca="1" si="350"/>
        <v/>
      </c>
      <c r="FG123" s="259" t="s">
        <v>86</v>
      </c>
      <c r="FH123" s="259">
        <f t="shared" ca="1" si="334"/>
        <v>0</v>
      </c>
      <c r="FI123" s="259">
        <f ca="1">IFERROR(IF(AND(INDEX(PIANO_DEI_CONTI,MATCH($FG123,DENOMINAZIONE,0),4)="D",SUMIFS(dare_grezzo,den_grezzo,$FG123,data_grezzo,"&lt;"&amp;INIZIO_AC,data_grezzo,"&gt;="&amp;INIZIO_A_PC)&gt;=SUMIFS(avere_grezzo,den_grezzo,$FG123,data_grezzo,"&lt;"&amp;INIZIO_AC,data_grezzo,"&gt;="&amp;INIZIO_A_PC)),SUMIFS(avere_grezzo,den_grezzo,$FG123,data_grezzo,"&lt;"&amp;INIZIO_AC,data_grezzo,"&gt;="&amp;INIZIO_A_PC),IF(AND(INDEX(PIANO_DEI_CONTI,MATCH($FG123,DENOMINAZIONE,0),4)="A",SUMIFS(avere_grezzo,den_grezzo,$FG123,data_grezzo,"&lt;"&amp;INIZIO_AC,data_grezzo,"&gt;="&amp;INIZIO_A_PC)&gt;=SUMIFS(dare_grezzo,den_grezzo,$FG123,data_grezzo,"&lt;"&amp;INIZIO_AC,data_grezzo,"&gt;="&amp;INIZIO_A_PC)),SUMIFS(avere_grezzo,den_grezzo,$FG123,data_grezzo,"&lt;"&amp;INIZIO_AC,data_grezzo,"&gt;="&amp;INIZIO_A_PC),IF(INDEX(PIANO_DEI_CONTI,MATCH($FG123,DENOMINAZIONE,0),4)="D/A",SUMIFS(avere_grezzo,den_grezzo,$FG123,data_grezzo,"&lt;"&amp;INIZIO_AC,data_grezzo,"&gt;="&amp;INIZIO_A_PC),0))),0)</f>
        <v>0</v>
      </c>
      <c r="FJ123" s="259">
        <f ca="1">IF(FH123&gt;FI123,FH123-FI123,0)</f>
        <v>0</v>
      </c>
      <c r="FM123" s="259">
        <f t="shared" ca="1" si="205"/>
        <v>0</v>
      </c>
      <c r="FN123" s="259">
        <f ca="1">IF(FM123&lt;0,MAX($FN$2:FN122)+1,0)</f>
        <v>0</v>
      </c>
      <c r="FO123" s="259" t="str">
        <f t="shared" ca="1" si="268"/>
        <v/>
      </c>
      <c r="FP123" s="259" t="str">
        <f ca="1">IFERROR(INDEX($FN$3:$FO$400,MATCH(ROWS($FP$3:FP123),$FN$3:$FN$400,0),2),"")</f>
        <v/>
      </c>
      <c r="FQ123" s="259" t="str">
        <f>IF(AE123="SE AVERE",MAX($FQ$2:FQ122)+1,"")</f>
        <v/>
      </c>
      <c r="FR123" s="259">
        <f>IF(AE123="SE DARE",MAX($FR$2:FR122)+1,"")</f>
        <v>28</v>
      </c>
      <c r="FS123" s="259" t="str">
        <f ca="1">IF(AND(AE123="SP DARE",AA123&lt;&gt;$FS$1,AA123&lt;&gt;$FT$1),MAX($FS$2:FS122)+1,IF(AND(GQ123="SP DARE",AA123&lt;&gt;$FS$1,AA123&lt;&gt;$FT$1),MAX($FS$2:FS122)+1,""))</f>
        <v/>
      </c>
      <c r="FT123" s="259" t="str">
        <f ca="1">IF(AND(AE123="SP AVERE",AA123&lt;&gt;$FU$1),MAX($FT$2:FT122)+1,IF(AND(GQ123="SP AVERE",AA123&lt;&gt;$FU$1),MAX($FT$2:FT122)+1,""))</f>
        <v/>
      </c>
      <c r="FU123" s="259">
        <f t="shared" ca="1" si="269"/>
        <v>28</v>
      </c>
      <c r="FV123" s="259" t="str">
        <f t="shared" si="270"/>
        <v>COSTI DI TRASPORTO</v>
      </c>
      <c r="FW123" s="259" t="str">
        <f ca="1">IFERROR(INDEX($FU$3:$FV$500,MATCH(ROWS($FW$3:FW123),$FU$3:$FU$500,0),2),0)</f>
        <v>CREDITI V/ISTITUTI PREVIDENZIALI</v>
      </c>
      <c r="FX123" s="259">
        <f t="shared" ca="1" si="271"/>
        <v>121</v>
      </c>
      <c r="FY123" s="259">
        <f t="shared" ca="1" si="272"/>
        <v>0</v>
      </c>
      <c r="FZ123" s="259">
        <f ca="1">IF(FY123&gt;0,MAX($FZ$2:FZ122)+1,0)</f>
        <v>0</v>
      </c>
      <c r="GA123" s="259">
        <f ca="1">IFERROR(INDEX($FY$3:$FZ$500,MATCH(ROWS($GA$3:GA123),$FZ$3:$FZ$500,0),1),0)</f>
        <v>0</v>
      </c>
      <c r="GC123" s="259">
        <f t="shared" ca="1" si="273"/>
        <v>121</v>
      </c>
      <c r="GD123" s="259" t="str">
        <f t="shared" ca="1" si="274"/>
        <v>CREDITI V/ISTITUTI PREVIDENZIALI</v>
      </c>
      <c r="GG123" s="259">
        <f t="shared" ca="1" si="275"/>
        <v>0</v>
      </c>
      <c r="GH123" s="259">
        <f t="shared" ca="1" si="276"/>
        <v>0</v>
      </c>
      <c r="GI123" s="259">
        <f t="shared" ca="1" si="277"/>
        <v>0</v>
      </c>
      <c r="GJ123" s="259">
        <f t="shared" ca="1" si="278"/>
        <v>0</v>
      </c>
      <c r="GK123" s="259">
        <f t="shared" ca="1" si="279"/>
        <v>0</v>
      </c>
      <c r="GL123" s="259">
        <f t="shared" ca="1" si="280"/>
        <v>0</v>
      </c>
      <c r="GM123" s="259">
        <f ca="1">IF(OR(GK123&gt;0,GL123&gt;0),MAX($GM$2:GM122)+1,0)</f>
        <v>0</v>
      </c>
      <c r="GN123" s="259" t="str">
        <f ca="1">IFERROR(INDEX($GD$3:$GM$400,MATCH(ROWS($GN$3:GN123),$GM$3:$GM$400,0),1),"")</f>
        <v/>
      </c>
      <c r="GO123" s="259" t="str">
        <f ca="1">IFERROR(INDEX($GD$3:$GM$400,MATCH(ROWS($GO$3:GO123),$GM$3:$GM$400,0),8),"")</f>
        <v/>
      </c>
      <c r="GP123" s="259" t="str">
        <f ca="1">IFERROR(INDEX($GD$3:$GM$400,MATCH(ROWS($GP$3:GP123),$GM$3:$GM$400,0),9),"")</f>
        <v/>
      </c>
      <c r="GQ123" s="259">
        <f t="shared" ca="1" si="206"/>
        <v>0</v>
      </c>
      <c r="GR123" s="259">
        <f t="shared" ca="1" si="281"/>
        <v>0</v>
      </c>
      <c r="GS123" s="259" t="str">
        <f t="shared" ca="1" si="282"/>
        <v>chiusura del conto</v>
      </c>
      <c r="GT123" s="259" t="str">
        <f ca="1">IFERROR(INDEX($GD$3:$GS$400,MATCH(ROWS($GT$3:GT123),$GM$3:$GM$400,0),16),"")</f>
        <v/>
      </c>
      <c r="GU123" s="259">
        <f ca="1">IF(GQ123&lt;&gt;0,MAX($GU$2:$GU122)+1,0)</f>
        <v>0</v>
      </c>
      <c r="GV123" s="259">
        <f t="shared" ca="1" si="283"/>
        <v>0</v>
      </c>
      <c r="GW123" s="259" t="str">
        <f ca="1">IF(AND(IFERROR(INDEX($GU$3:$GV$400,MATCH(ROWS($GW$3:GW123),$GU$3:$GU$400,0),2),"")&lt;&gt;"",GW124&lt;&gt;""),CONCATENATE(IFERROR(INDEX($GU$3:$GV$400,MATCH(ROWS($GW$3:GW123),$GU$3:$GU$400,0),2),"")," - "),IFERROR(INDEX($GU$3:$GV$400,MATCH(ROWS($GW$3:GW123),$GU$3:$GU$400,0),2),""))</f>
        <v/>
      </c>
      <c r="GX123" s="259">
        <f ca="1">IF(OR(GN123="IVA NS/CREDITO",GN123="IVA NS/DEBITO",GN123="IVA C/ACCONTO",GN123="IMPOSTE C/ACCONTO"),MAX($GX$2:GX122)+1,0)</f>
        <v>0</v>
      </c>
      <c r="GY123" s="259" t="str">
        <f ca="1">IF(AND(IFERROR(INDEX($GN$3:$GX$200,MATCH(ROWS($GY$3:GY123),$GX$3:$GX$200,0),1),"")&lt;&gt;"",GY124&lt;&gt;""),CONCATENATE(IFERROR(INDEX($GN$3:$GX$200,MATCH(ROWS($GY$3:GY123),$GX$3:$GX$200,0),1),"")," - "),IFERROR(INDEX($GN$3:$GX$200,MATCH(ROWS($GY$3:GY123),$GX$3:$GX$200,0),1),""))</f>
        <v/>
      </c>
      <c r="GZ123" s="259" t="s">
        <v>137</v>
      </c>
      <c r="HA123" s="259" t="s">
        <v>650</v>
      </c>
      <c r="HB123" s="269" t="s">
        <v>256</v>
      </c>
      <c r="HC123" s="269" t="s">
        <v>211</v>
      </c>
      <c r="HD123" s="269" t="s">
        <v>8</v>
      </c>
      <c r="HE123" s="269" t="s">
        <v>213</v>
      </c>
      <c r="HV123" s="259" t="str">
        <f ca="1">CONCATENATE(IFERROR(INDEX($HS$3:$HT$102,MATCH(ROWS($HV$3:HV123),$HT$3:$HT$102,0),1),""),HR123)</f>
        <v/>
      </c>
      <c r="IC123" s="259">
        <f ca="1">IFERROR(INDEX(PIANO_DEI_CONTI,MATCH(ROWS(DL$3:DL123),$DK$3:DK350,0),2),0)</f>
        <v>0</v>
      </c>
      <c r="ID123" s="259">
        <f t="shared" ca="1" si="288"/>
        <v>0</v>
      </c>
      <c r="IE123" s="259">
        <f t="shared" ca="1" si="289"/>
        <v>0</v>
      </c>
      <c r="IF123" s="259">
        <f t="shared" ca="1" si="290"/>
        <v>0</v>
      </c>
      <c r="IG123" s="259">
        <f t="shared" ca="1" si="324"/>
        <v>0</v>
      </c>
      <c r="IH123" s="259">
        <f ca="1">IF(IG123&lt;&gt;0,MAX($IH$35:IH122)+1,0)</f>
        <v>0</v>
      </c>
      <c r="II123" s="259">
        <f>IF(AD123="costi pluriennali",MAX($II$2:II122)+1,0)</f>
        <v>0</v>
      </c>
      <c r="IJ123" s="259">
        <f>IF($AD123="rettifiche costi pluriennali",MAX($IJ$2:IJ122)+1,0)</f>
        <v>0</v>
      </c>
      <c r="IK123" s="259">
        <f t="shared" si="291"/>
        <v>0</v>
      </c>
      <c r="IL123" s="259" t="str">
        <f t="shared" si="292"/>
        <v/>
      </c>
      <c r="IM123" s="259">
        <f t="shared" ca="1" si="293"/>
        <v>0</v>
      </c>
      <c r="IN123" s="259">
        <f t="shared" ca="1" si="313"/>
        <v>0</v>
      </c>
      <c r="IO123" s="259">
        <f>SUMIFS($IM$3:$IM$200,$IK$3:$IK$200,ROWS($IO$3:IO123))-SUMIFS($IN$3:$IN$200,$IK$3:$IK$200,ROWS($IO$3:IO123))</f>
        <v>0</v>
      </c>
      <c r="IP123" s="259" t="str">
        <f>IF(IO123&lt;0,INDEX($IJ$3:$IL$200,MATCH(ROWS($IP$3:IP123),$IJ$3:$IJ$200,0),3),"")</f>
        <v/>
      </c>
      <c r="IQ123" s="259">
        <f>IF(IP123&lt;&gt;"",MAX($IQ$2:IQ122)+1,0)</f>
        <v>0</v>
      </c>
      <c r="IR123" s="259" t="str">
        <f ca="1">IFERROR(INDEX($IP$3:$IQ$200,MATCH(ROWS($IR$3:IR123),$IQ$3:$IQ$200,0),1),"")</f>
        <v/>
      </c>
      <c r="IS123" s="259" t="str">
        <f t="shared" ca="1" si="294"/>
        <v/>
      </c>
      <c r="IT123" s="259" t="str">
        <f t="shared" ca="1" si="295"/>
        <v/>
      </c>
      <c r="IU123" s="259" t="str">
        <f t="shared" ca="1" si="296"/>
        <v/>
      </c>
      <c r="IV123" s="259" t="str">
        <f t="shared" ca="1" si="297"/>
        <v/>
      </c>
      <c r="IW123" s="259" t="str">
        <f t="shared" ca="1" si="298"/>
        <v/>
      </c>
      <c r="IX123" s="259" t="str">
        <f t="shared" ca="1" si="299"/>
        <v/>
      </c>
      <c r="IY123" s="259" t="str">
        <f t="shared" ca="1" si="300"/>
        <v/>
      </c>
      <c r="IZ123" s="259" t="str">
        <f t="shared" ca="1" si="301"/>
        <v/>
      </c>
      <c r="JA123" s="259" t="str">
        <f t="shared" ca="1" si="302"/>
        <v/>
      </c>
      <c r="JB123" s="259">
        <f t="shared" ca="1" si="210"/>
        <v>0</v>
      </c>
      <c r="JC123" s="259">
        <f t="shared" ca="1" si="351"/>
        <v>0</v>
      </c>
      <c r="JD123" s="259">
        <f t="shared" ca="1" si="352"/>
        <v>0</v>
      </c>
      <c r="JE123" s="259">
        <f ca="1">IFERROR(INDEX(LIBRO_GIORNALE!$N$11:$O$408,MATCH(ROWS($JE$2:JE122),LIBRO_GIORNALE!$O$11:$O$408,0),1),0)</f>
        <v>0</v>
      </c>
      <c r="JF123" s="259" t="str">
        <f t="shared" ca="1" si="304"/>
        <v>0</v>
      </c>
      <c r="JG123" s="259">
        <f t="shared" ca="1" si="305"/>
        <v>0</v>
      </c>
      <c r="JH123" s="259">
        <f ca="1">IF(JJ123&gt;0,0,MAX($JH$2:JH122)+1)</f>
        <v>121</v>
      </c>
      <c r="JI123" s="259">
        <f ca="1">IF(JG123&gt;0,MAX($JI$2:JI122)+1,0)</f>
        <v>0</v>
      </c>
      <c r="JJ123" s="259">
        <f ca="1">IFERROR(INDEX($JG$3:$JI$124,MATCH(ROWS($JJ$3:JJ123),$JI$3:$JI$124,0),1),0)</f>
        <v>0</v>
      </c>
      <c r="JK123" s="259">
        <f t="shared" ca="1" si="306"/>
        <v>0</v>
      </c>
      <c r="JL123" s="259">
        <f t="shared" ca="1" si="307"/>
        <v>121</v>
      </c>
      <c r="JM123" s="259">
        <f t="shared" ca="1" si="353"/>
        <v>0</v>
      </c>
    </row>
    <row r="124" spans="1:273">
      <c r="A124" s="259" t="str">
        <f t="shared" si="211"/>
        <v>20.03</v>
      </c>
      <c r="B124" s="259" t="str">
        <f t="shared" si="212"/>
        <v>SERVIZI ON LINE</v>
      </c>
      <c r="C124" s="259" t="str">
        <f t="shared" si="213"/>
        <v>E</v>
      </c>
      <c r="D124" s="259" t="str">
        <f t="shared" si="214"/>
        <v>A</v>
      </c>
      <c r="E124" s="259" t="str">
        <f t="shared" si="215"/>
        <v>RICAVI D'ESERCIZIO</v>
      </c>
      <c r="F124" s="259" t="str">
        <f t="shared" si="216"/>
        <v>SE AVERE</v>
      </c>
      <c r="G124" s="259">
        <f t="shared" ca="1" si="217"/>
        <v>1</v>
      </c>
      <c r="H124" s="259">
        <f t="shared" ca="1" si="218"/>
        <v>1</v>
      </c>
      <c r="I124" s="259">
        <f t="shared" ca="1" si="219"/>
        <v>1</v>
      </c>
      <c r="K124" s="259" t="str">
        <f ca="1">IFERROR(IF($I$1=1,INDEX($AA$3:$AS$220,MATCH(ROWS($K$3:K124),$AQ$3:$AQ$220,0),1),IF($I$1=2,INDEX($AA$3:$AS$220,MATCH(ROWS($K$3:K124),$AR$3:$AR$220,0),1),IF($I$1=3,INDEX($AA$3:$AS$220,MATCH(ROWS($K$3:K124),$AS$3:$AS$220,0),1),""))),"")</f>
        <v>COSTI DI VIGILANZA</v>
      </c>
      <c r="L124" s="259">
        <f ca="1">IF(AND($L$1="VISUALIZZA TUTTI I CONTI",K124&lt;&gt;""),MAX(L123:L123)+1,IFERROR(IF($J$1=1,IF(INDEX(PIANO_DEI_CONTI,MATCH($K124,DENOMINAZIONE,0),5)=$L$1,MAX($L$2:L123)+1,0),IF($J$1=2,IF(INDEX(PIANO_DEI_CONTI,MATCH($K124,DENOMINAZIONE,0),7)=$L$1,MAX($L$2:L123)+1,0))),0))</f>
        <v>122</v>
      </c>
      <c r="M124" s="259" t="str">
        <f ca="1">IFERROR(INDEX($K$3:$K$220,MATCH(ROWS($M$3:M124),$L$3:$L$220,0),1),"")</f>
        <v>COSTI DI VIGILANZA</v>
      </c>
      <c r="Q124" s="259" t="str">
        <f ca="1">IF(IFERROR(INDEX($O$3:$P$220,MATCH(ROWS(Q$3:Q124),$P$3:$P$220,0),1),"")=0,"",IFERROR(INDEX($O$3:$P$220,MATCH(ROWS(Q$3:Q124),$P$3:$P$220,0),1),""))</f>
        <v/>
      </c>
      <c r="R124" s="259" t="str">
        <f t="shared" ca="1" si="182"/>
        <v/>
      </c>
      <c r="S124" s="259">
        <f ca="1">IF(IFERROR(MATCH(R124,DENOMINAZIONE_GIORNALE,0),0)&gt;0,MAX(S$2:S123)+1,0)</f>
        <v>0</v>
      </c>
      <c r="T124" s="259" t="str">
        <f ca="1">IFERROR(INDEX($R$3:$S$220,MATCH(ROWS($T$3:T124),$S$3:$S$220,0),1),"")</f>
        <v/>
      </c>
      <c r="U124" s="259">
        <f t="shared" ca="1" si="183"/>
        <v>0</v>
      </c>
      <c r="V124" s="259">
        <f ca="1">IF(IF(U124&lt;&gt;0,MAX($V$2:V123)+1,0)=0,0,IF(U124&lt;&gt;0,MAX($V$2:V123)+1,0))</f>
        <v>0</v>
      </c>
      <c r="W124" s="259" t="str">
        <f t="shared" si="220"/>
        <v>20.03</v>
      </c>
      <c r="X124" s="259" t="str">
        <f t="shared" si="221"/>
        <v>SERVIZI ON LINE</v>
      </c>
      <c r="Y124" s="259">
        <f>IF(W124="",0,MAX($Y$2:Y123)+1)</f>
        <v>104</v>
      </c>
      <c r="Z124" s="259" t="str">
        <f>IFERROR(INDEX($W$3:$Y$220,MATCH(ROWS($Z$2:Z123),$Y$3:$Y$220,0),1),"")</f>
        <v>31.02</v>
      </c>
      <c r="AA124" s="259" t="str">
        <f t="shared" si="222"/>
        <v>COSTI PER ENERGIA</v>
      </c>
      <c r="AB124" s="259" t="str">
        <f t="shared" si="223"/>
        <v>E</v>
      </c>
      <c r="AC124" s="259" t="str">
        <f t="shared" si="224"/>
        <v>D</v>
      </c>
      <c r="AD124" s="259" t="str">
        <f t="shared" si="225"/>
        <v>COSTI D'ESERCIZIO</v>
      </c>
      <c r="AE124" s="259" t="str">
        <f t="shared" si="226"/>
        <v>SE DARE</v>
      </c>
      <c r="AF124" s="259" t="str">
        <f t="shared" si="227"/>
        <v>COSTI PER SERVIZI</v>
      </c>
      <c r="AG124" s="259">
        <f t="shared" ca="1" si="228"/>
        <v>1</v>
      </c>
      <c r="AH124" s="259">
        <f t="shared" ca="1" si="229"/>
        <v>1</v>
      </c>
      <c r="AI124" s="259">
        <f t="shared" ca="1" si="230"/>
        <v>1</v>
      </c>
      <c r="AJ124" s="259" t="str">
        <f t="shared" si="231"/>
        <v>31</v>
      </c>
      <c r="AK124" s="259" t="str">
        <f t="shared" si="232"/>
        <v/>
      </c>
      <c r="AL124" s="259">
        <f>IF(AK124&lt;&gt;"",MAX($AL$2:AL123)+1,0)</f>
        <v>0</v>
      </c>
      <c r="AM124" s="259" t="str">
        <f>IFERROR(INDEX($AK$3:$AL$220,MATCH(ROWS($AM$3:AM124),$AL$3:$AL$220,0),1),"")</f>
        <v/>
      </c>
      <c r="AN124" s="259" t="str">
        <f t="shared" si="233"/>
        <v/>
      </c>
      <c r="AO124" s="259" t="str">
        <f t="shared" si="234"/>
        <v/>
      </c>
      <c r="AP124" s="259" t="str">
        <f t="shared" si="235"/>
        <v>COSTI PER SERVIZI</v>
      </c>
      <c r="AQ124" s="259">
        <f ca="1">IF(OR(AG124=0,AG124=""),0,MAX(AQ$2:AQ123)+1)</f>
        <v>63</v>
      </c>
      <c r="AR124" s="259">
        <f ca="1">IF(OR(AH124=0,AH124=""),0,MAX(AR$2:AR123)+1)</f>
        <v>88</v>
      </c>
      <c r="AS124" s="259">
        <f ca="1">IF(OR(AI124=0,AI124=""),0,MAX(AS$2:AS123)+1)</f>
        <v>118</v>
      </c>
      <c r="AT124" s="259" t="str">
        <f ca="1">IFERROR(INDEX($AD$3:$AS$220,MATCH(ROWS(AT$3:AT124),AQ$3:AQ$220,0),1),"")</f>
        <v/>
      </c>
      <c r="AU124" s="259" t="str">
        <f ca="1">IFERROR(INDEX($AD$3:$AS$220,MATCH(ROWS(AU$3:AU124),AR$3:AR$220,0),1),"")</f>
        <v/>
      </c>
      <c r="AV124" s="259" t="str">
        <f ca="1">IFERROR(INDEX($AD$3:$AS$220,MATCH(ROWS(AV$3:AV124),AS$3:AS$220,0),1),"")</f>
        <v>COSTI D'ESERCIZIO</v>
      </c>
      <c r="AW124" s="259" t="str">
        <f ca="1">IFERROR(INDEX($AP$3:$AS$220,MATCH(ROWS(AW$3:AW124),AQ$3:AQ$220,0),1),"")</f>
        <v/>
      </c>
      <c r="AX124" s="259" t="str">
        <f ca="1">IFERROR(INDEX($AP$3:$AS$220,MATCH(ROWS(AX$3:AX124),AR$3:AR$220,0),1),"")</f>
        <v/>
      </c>
      <c r="AY124" s="259" t="str">
        <f ca="1">IFERROR(INDEX($AP$3:$AS$220,MATCH(ROWS(AY$3:AY124),AS$3:AS$220,0),1),"")</f>
        <v>COSTI PER SERVIZI</v>
      </c>
      <c r="AZ124" s="259" t="str">
        <f t="shared" si="339"/>
        <v>22 V.I.</v>
      </c>
      <c r="BA124" s="259">
        <f t="shared" ca="1" si="338"/>
        <v>0</v>
      </c>
      <c r="BB124" s="259">
        <f t="shared" ca="1" si="340"/>
        <v>0</v>
      </c>
      <c r="BC124" s="259">
        <f t="shared" ca="1" si="341"/>
        <v>0</v>
      </c>
      <c r="BD124" s="259">
        <f t="shared" ca="1" si="342"/>
        <v>0</v>
      </c>
      <c r="BE124" s="259">
        <f t="shared" ca="1" si="343"/>
        <v>0</v>
      </c>
      <c r="BG124" s="259" t="str">
        <f t="shared" ca="1" si="185"/>
        <v/>
      </c>
      <c r="BH124" s="259">
        <f ca="1">IF(IFERROR(MATCH(BG124,DENOMINAZIONE_GIORNALE,0),0)&gt;0,MAX(BH$2:BH123)+1,0)</f>
        <v>0</v>
      </c>
      <c r="BI124" s="259" t="str">
        <f ca="1">IFERROR(INDEX($BG$3:$BH$220,MATCH(ROWS($BI$3:BI124),$BH$3:$BH$220,0),1),"")</f>
        <v/>
      </c>
      <c r="BJ124" s="259" t="str">
        <f t="shared" ca="1" si="186"/>
        <v/>
      </c>
      <c r="BK124" s="259" t="str">
        <f ca="1">IF(IF(BJ124&lt;&gt;"",MAX($BK$2:BK123)+1,0)=0,"",IF(BJ124&lt;&gt;"",MAX($BK$2:BK123)+1,0))</f>
        <v/>
      </c>
      <c r="BL124" s="259" t="str">
        <f ca="1">IFERROR(INDEX($T$3:$U$220, MATCH(ROWS(BL$3:BL124),$V$3:$V$220,0),1),"")</f>
        <v/>
      </c>
      <c r="BM124" s="259" t="str">
        <f ca="1">IFERROR(INDEX($T$3:$U$220, MATCH(ROWS(BM$3:BM124),$V$3:$V$220,0),2),"")</f>
        <v/>
      </c>
      <c r="BN124" s="259" t="str">
        <f ca="1">IF(IFERROR(INDEX($BI$3:$BJ$220,MATCH(ROWS(BN$3:BN124),$BK$3:$BK$220,0),1),"")="PATRIMONIO NETTO","",IFERROR(INDEX($BI$3:$BJ$220,MATCH(ROWS(BN$3:BN124),$BK$3:$BK$220,0),1),""))</f>
        <v/>
      </c>
      <c r="BO124" s="259" t="str">
        <f ca="1">IFERROR(INDEX($BI$3:$BJ$220,MATCH(ROWS(BO$3:BO124),$BK$3:$BK$220,0),2),"")</f>
        <v/>
      </c>
      <c r="BP124" s="259">
        <f ca="1">IF(BN124&lt;&gt;"",MAX(BP$2:$BP123)+1,0)</f>
        <v>0</v>
      </c>
      <c r="BQ124" s="259" t="str">
        <f ca="1">IFERROR(INDEX($BN$3:$BO$200,MATCH(ROWS(BQ$3:BQ124),$BP$3:$BP$220,0),1),"")</f>
        <v/>
      </c>
      <c r="BR124" s="259" t="str">
        <f ca="1">IFERROR(INDEX($BN$3:$BO$220,MATCH(ROWS(BR$3:BR124),$BP$3:$BP$220,0),2),"")</f>
        <v/>
      </c>
      <c r="BS124" s="259" t="str">
        <f ca="1">IFERROR(IF(OR(INDEX($T$3:$U$220,MATCH(ROWS(BL$3:BL124),$V$3:$V$220,0),1)="PRELEVAMENTI EXTRAGESTIONE",INDEX($T$3:$U$220,MATCH(ROWS(BL$3:BL124),$V$3:$V$220,0),1)="TITOLARE C/RITENUTE SUBITE"),"",INDEX($T$3:$U$220,MATCH(ROWS(BL$3:BL124),$V$3:$V$220,0),1)),"")</f>
        <v/>
      </c>
      <c r="BT124" s="259">
        <f t="shared" ca="1" si="238"/>
        <v>0</v>
      </c>
      <c r="BU124" s="259">
        <f ca="1">IF(BS124&lt;&gt;"",MAX(BU$2:BU123)+1,0)</f>
        <v>0</v>
      </c>
      <c r="BV124" s="259" t="str">
        <f ca="1">IFERROR(INDEX($BS$3:$BT$223,MATCH(ROWS(BV$3:BV124),$BU$3:$BU$223,0),1),"")</f>
        <v/>
      </c>
      <c r="BW124" s="259">
        <f t="shared" ca="1" si="239"/>
        <v>0</v>
      </c>
      <c r="CB124" s="259" t="str">
        <f ca="1">IFERROR(IF(OR($BB$1&lt;&gt;$BD$1,$BC$1&lt;&gt;$BE$1,$DS$231&lt;&gt;$DT$231,$DU$231&lt;&gt;$DV$231,$EO$25&lt;&gt;0,$EO$26&lt;&gt;0),INDEX($BI$3:$BK$220,MATCH(ROWS($CB$3:CB124),$BK$3:$BK$220,0),1),CONCATENATE(BQ124,BX124)),"")</f>
        <v/>
      </c>
      <c r="CC124" s="259" t="str">
        <f t="shared" ca="1" si="243"/>
        <v/>
      </c>
      <c r="CD124" s="259" t="str">
        <f t="shared" ca="1" si="187"/>
        <v>COSTI PER ENERGIA</v>
      </c>
      <c r="CE124" s="259">
        <f ca="1">IF(IFERROR(MATCH(CD124,DENOMINAZIONE_GIORNALE,0),0)&gt;0,MAX(CE$2:CE123)+1,0)</f>
        <v>0</v>
      </c>
      <c r="CF124" s="259" t="str">
        <f ca="1">IFERROR(INDEX($CD$3:$CE$220,MATCH(ROWS($CF$3:CF124),$CE$3:$CE$220,0),1),"")</f>
        <v/>
      </c>
      <c r="CG124" s="259">
        <f t="shared" ca="1" si="188"/>
        <v>0</v>
      </c>
      <c r="CH124" s="259" t="str">
        <f ca="1">IF(IF(CG124&lt;&gt;0,MAX($CH$2:CH123)+1,0)=0,"",IF(CG124&lt;&gt;"",MAX($CH$2:CH123)+1,0))</f>
        <v/>
      </c>
      <c r="CI124" s="259" t="str">
        <f ca="1">IFERROR(INDEX($CF$3:$CG$220,MATCH(ROWS($CI$3:CI124),$CH$3:$CH$220,0),1),"")</f>
        <v/>
      </c>
      <c r="CJ124" s="259" t="str">
        <f t="shared" ca="1" si="244"/>
        <v/>
      </c>
      <c r="CK124" s="259" t="str">
        <f t="shared" ca="1" si="189"/>
        <v/>
      </c>
      <c r="CL124" s="259">
        <f ca="1">IF(IFERROR(MATCH(CK124,DENOMINAZIONE_GIORNALE,0),0)&gt;0,MAX(CL$2:CL123)+1,0)</f>
        <v>0</v>
      </c>
      <c r="CM124" s="259" t="str">
        <f ca="1">IFERROR(INDEX($CK$3:$CL$220,MATCH(ROWS($CM$3:CM124),$CL$3:$CL$220,0),1),"")</f>
        <v/>
      </c>
      <c r="CN124" s="259" t="str">
        <f t="shared" ca="1" si="190"/>
        <v/>
      </c>
      <c r="CO124" s="259">
        <f ca="1">IF(IF(CN124&lt;&gt;0,MAX($CO$2:CO123)+1,0)=0,"",IF(CN124&lt;&gt;"",MAX($CO$2:CO123)+1,0))</f>
        <v>0</v>
      </c>
      <c r="CP124" s="259" t="str">
        <f ca="1">IFERROR(INDEX($CM$3:$CN$220,MATCH(ROWS(CP$3:CP124),$CO$3:$CO$220,0),1),"")</f>
        <v/>
      </c>
      <c r="CQ124" s="259" t="str">
        <f ca="1">IFERROR(INDEX($CM$3:$CN$220,MATCH(ROWS(CQ$3:CQ124),$CO$3:$CO$220,0),2),"")</f>
        <v/>
      </c>
      <c r="CS124" s="259">
        <f t="shared" ca="1" si="192"/>
        <v>0</v>
      </c>
      <c r="CT124" s="259">
        <f t="shared" ca="1" si="193"/>
        <v>0</v>
      </c>
      <c r="CU124" s="259">
        <f ca="1">IF(OR(CS124&gt;0,CT124&gt;0),MAX($CU$2:CU123)+1,0)</f>
        <v>0</v>
      </c>
      <c r="CV124" s="259" t="str">
        <f ca="1">IFERROR(INDEX(PIANO_DEI_CONTI,MATCH(ROWS($CV$3:CV124),$CU$3:$CU$200,0),2),"")</f>
        <v/>
      </c>
      <c r="CW124" s="259">
        <f ca="1">IFERROR(IF(CV124&lt;&gt;"",MAX($CW$2:CW123)+1,0),0)</f>
        <v>0</v>
      </c>
      <c r="CX124" s="259">
        <f t="shared" ca="1" si="355"/>
        <v>7</v>
      </c>
      <c r="CY124" s="259" t="str">
        <f t="shared" ca="1" si="337"/>
        <v>MASTRO</v>
      </c>
      <c r="CZ124" s="259" t="e">
        <f t="shared" ca="1" si="357"/>
        <v>#N/A</v>
      </c>
      <c r="DA124" s="259" t="str">
        <f t="shared" ca="1" si="362"/>
        <v/>
      </c>
      <c r="DB124" s="259" t="str">
        <f t="shared" ca="1" si="358"/>
        <v/>
      </c>
      <c r="DC124" s="259" t="str">
        <f t="shared" ca="1" si="359"/>
        <v/>
      </c>
      <c r="DD124" s="259" t="str">
        <f t="shared" ca="1" si="360"/>
        <v/>
      </c>
      <c r="DE124" s="259" t="str">
        <f t="shared" ca="1" si="361"/>
        <v/>
      </c>
      <c r="DF124" s="259">
        <f ca="1">IF(AND(CX124=$DE$2,$DF$2&lt;&gt;0),0,IF(AND(DB124&lt;&gt;"",OR(DB123&lt;&gt;"",DB125&lt;&gt;"")),MAX($DF$2:DF123)+1,0))</f>
        <v>0</v>
      </c>
      <c r="DG124" s="259" t="str">
        <f>IF(IF(LIBRO_GIORNALE!E32="","",IFERROR(INDEX(PIANO_DEI_CONTI,MATCH(BB124,DENOMINAZIONE,0),1),0))=0,"",IF(LIBRO_GIORNALE!E32="","",IFERROR(INDEX(PIANO_DEI_CONTI,MATCH(BB124,DENOMINAZIONE,0),1),0)))</f>
        <v/>
      </c>
      <c r="DH124" s="259">
        <f ca="1">IFERROR(IF($J$1=1,IF(INDEX(PIANO_DEI_CONTI,MATCH($K124,DENOMINAZIONE,0),5)=$DF$1,MAX($DH$2:DH123)+1,0),IF($J$1=2,IF(INDEX(PIANO_DEI_CONTI,MATCH($K124,DENOMINAZIONE,0),7)=$DF$1,MAX($DH$2:DH123)+1,0))),0)</f>
        <v>0</v>
      </c>
      <c r="DI124" s="259">
        <f ca="1">IFERROR(INDEX($K$3:$K$220,MATCH(ROWS($DI$3:DI124),$DH$3:$DH$220,0),1),0)</f>
        <v>0</v>
      </c>
      <c r="DJ124" s="259">
        <f t="shared" ca="1" si="194"/>
        <v>0</v>
      </c>
      <c r="DK124" s="259">
        <f ca="1">IF(DJ124=0,0,MAX(DK$2:DK123)+1)</f>
        <v>0</v>
      </c>
      <c r="DL124" s="259">
        <f ca="1">IFERROR(INDEX(PIANO_DEI_CONTI,MATCH(ROWS(DL$3:DL124),$DK$3:DK351,0),2),0)</f>
        <v>0</v>
      </c>
      <c r="DM124" s="259">
        <f t="shared" ca="1" si="195"/>
        <v>0</v>
      </c>
      <c r="DN124" s="259">
        <f t="shared" ca="1" si="196"/>
        <v>0</v>
      </c>
      <c r="DO124" s="259">
        <f t="shared" ca="1" si="245"/>
        <v>0</v>
      </c>
      <c r="DP124" s="259">
        <f t="shared" ca="1" si="246"/>
        <v>0</v>
      </c>
      <c r="DQ124" s="259">
        <f ca="1">IF(OR($DQ$1="TOTALI",$DQ$1="TOTALI ED ECCEDENZE"),IF(OR(DM124&gt;0,DN124&gt;0),MAX(DQ$2:DQ123)+1,0),IF($DQ$1="ECCEDENZE",IF(OR(DO124&gt;0,DP124&gt;0),MAX(DQ$2:DQ123)+1,0),""))</f>
        <v>0</v>
      </c>
      <c r="DR124" s="259" t="str">
        <f ca="1">IFERROR(INDEX($DL$3:$DQ$230,MATCH(ROWS(DR$3:DR124),$DQ$3:$DQ$230,0),1),"")</f>
        <v/>
      </c>
      <c r="DS124" s="259" t="str">
        <f t="shared" ca="1" si="247"/>
        <v/>
      </c>
      <c r="DT124" s="259" t="str">
        <f t="shared" ca="1" si="248"/>
        <v/>
      </c>
      <c r="DU124" s="259" t="str">
        <f t="shared" ca="1" si="249"/>
        <v/>
      </c>
      <c r="DV124" s="259" t="str">
        <f t="shared" ca="1" si="250"/>
        <v/>
      </c>
      <c r="DW124" s="259">
        <f t="shared" ca="1" si="251"/>
        <v>0</v>
      </c>
      <c r="DX124" s="259" t="str">
        <f t="shared" ca="1" si="252"/>
        <v/>
      </c>
      <c r="DY124" s="259" t="str">
        <f t="shared" ca="1" si="253"/>
        <v/>
      </c>
      <c r="DZ124" s="259" t="str">
        <f t="shared" ca="1" si="254"/>
        <v/>
      </c>
      <c r="EA124" s="259">
        <f t="shared" ca="1" si="255"/>
        <v>122</v>
      </c>
      <c r="EB124" s="259" t="s">
        <v>369</v>
      </c>
      <c r="ED124" s="259">
        <f t="shared" ca="1" si="197"/>
        <v>0</v>
      </c>
      <c r="EH124" s="259" t="str">
        <f t="shared" ca="1" si="256"/>
        <v/>
      </c>
      <c r="EI124" s="260" t="b">
        <f t="shared" ca="1" si="310"/>
        <v>1</v>
      </c>
      <c r="EJ124" s="260" t="b">
        <f t="shared" ca="1" si="311"/>
        <v>1</v>
      </c>
      <c r="EK124" s="260" t="b">
        <f t="shared" ca="1" si="312"/>
        <v>1</v>
      </c>
      <c r="EL124" s="259">
        <f t="shared" si="257"/>
        <v>122</v>
      </c>
      <c r="EM124" s="259">
        <f ca="1">IF(AND(BA124&gt;0,BA124&lt;=$EM$1),MAX($EM$2:EM123)+1,0)</f>
        <v>0</v>
      </c>
      <c r="EN124" s="259">
        <f t="shared" ca="1" si="258"/>
        <v>124</v>
      </c>
      <c r="EP124" s="259" t="str">
        <f t="shared" ca="1" si="200"/>
        <v/>
      </c>
      <c r="EQ124" s="259">
        <f t="shared" ca="1" si="201"/>
        <v>0</v>
      </c>
      <c r="ER124" s="259">
        <f ca="1">IF(ISNA(EQ124),MAX(ER$2:ER123)+1,0)</f>
        <v>0</v>
      </c>
      <c r="ES124" s="259" t="str">
        <f t="shared" ca="1" si="259"/>
        <v/>
      </c>
      <c r="ET124" s="259" t="str">
        <f ca="1">IFERROR(UPPER(INDEX($ER$3:$ES$500,MATCH(ROWS(ET$3:ET124),$ER$3:$ER$500,0),2)),"")</f>
        <v/>
      </c>
      <c r="EW124" s="259">
        <f t="shared" ca="1" si="344"/>
        <v>1</v>
      </c>
      <c r="EX124" s="259">
        <v>22</v>
      </c>
      <c r="EY124" s="259">
        <f t="shared" ca="1" si="345"/>
        <v>0</v>
      </c>
      <c r="EZ124" s="259">
        <f t="shared" ca="1" si="346"/>
        <v>0</v>
      </c>
      <c r="FA124" s="259">
        <f t="shared" ca="1" si="347"/>
        <v>0</v>
      </c>
      <c r="FB124" s="259">
        <f t="shared" ca="1" si="348"/>
        <v>0</v>
      </c>
      <c r="FC124" s="259">
        <f t="shared" ca="1" si="349"/>
        <v>0</v>
      </c>
      <c r="FD124" s="259">
        <f t="shared" ca="1" si="202"/>
        <v>0</v>
      </c>
      <c r="FE124" s="259" t="str">
        <f t="shared" ca="1" si="203"/>
        <v/>
      </c>
      <c r="FF124" s="259" t="str">
        <f t="shared" ca="1" si="350"/>
        <v/>
      </c>
      <c r="FG124" s="259" t="s">
        <v>89</v>
      </c>
      <c r="FH124" s="259">
        <f ca="1">IF($FF$1&lt;0,ABS($FF$1),0)</f>
        <v>0</v>
      </c>
      <c r="FL124" s="278"/>
      <c r="FM124" s="259">
        <f t="shared" ca="1" si="205"/>
        <v>0</v>
      </c>
      <c r="FN124" s="259">
        <f ca="1">IF(FM124&lt;0,MAX($FN$2:FN123)+1,0)</f>
        <v>0</v>
      </c>
      <c r="FO124" s="259" t="str">
        <f t="shared" ca="1" si="268"/>
        <v/>
      </c>
      <c r="FP124" s="259" t="str">
        <f ca="1">IFERROR(INDEX($FN$3:$FO$400,MATCH(ROWS($FP$3:FP124),$FN$3:$FN$400,0),2),"")</f>
        <v/>
      </c>
      <c r="FQ124" s="259" t="str">
        <f>IF(AE124="SE AVERE",MAX($FQ$2:FQ123)+1,"")</f>
        <v/>
      </c>
      <c r="FR124" s="259">
        <f>IF(AE124="SE DARE",MAX($FR$2:FR123)+1,"")</f>
        <v>29</v>
      </c>
      <c r="FS124" s="259" t="str">
        <f ca="1">IF(AND(AE124="SP DARE",AA124&lt;&gt;$FS$1,AA124&lt;&gt;$FT$1),MAX($FS$2:FS123)+1,IF(AND(GQ124="SP DARE",AA124&lt;&gt;$FS$1,AA124&lt;&gt;$FT$1),MAX($FS$2:FS123)+1,""))</f>
        <v/>
      </c>
      <c r="FT124" s="259" t="str">
        <f ca="1">IF(AND(AE124="SP AVERE",AA124&lt;&gt;$FU$1),MAX($FT$2:FT123)+1,IF(AND(GQ124="SP AVERE",AA124&lt;&gt;$FU$1),MAX($FT$2:FT123)+1,""))</f>
        <v/>
      </c>
      <c r="FU124" s="259">
        <f t="shared" ca="1" si="269"/>
        <v>29</v>
      </c>
      <c r="FV124" s="259" t="str">
        <f t="shared" si="270"/>
        <v>COSTI PER ENERGIA</v>
      </c>
      <c r="FW124" s="259" t="str">
        <f ca="1">IFERROR(INDEX($FU$3:$FV$500,MATCH(ROWS($FW$3:FW124),$FU$3:$FU$500,0),2),0)</f>
        <v>CREDITI PER CAUZIONI</v>
      </c>
      <c r="FX124" s="259">
        <f t="shared" ca="1" si="271"/>
        <v>122</v>
      </c>
      <c r="FY124" s="259">
        <f t="shared" ca="1" si="272"/>
        <v>0</v>
      </c>
      <c r="FZ124" s="259">
        <f ca="1">IF(FY124&gt;0,MAX($FZ$2:FZ123)+1,0)</f>
        <v>0</v>
      </c>
      <c r="GA124" s="259">
        <f ca="1">IFERROR(INDEX($FY$3:$FZ$500,MATCH(ROWS($GA$3:GA124),$FZ$3:$FZ$500,0),1),0)</f>
        <v>0</v>
      </c>
      <c r="GC124" s="259">
        <f t="shared" ca="1" si="273"/>
        <v>122</v>
      </c>
      <c r="GD124" s="259" t="str">
        <f t="shared" ca="1" si="274"/>
        <v>CREDITI PER CAUZIONI</v>
      </c>
      <c r="GG124" s="259">
        <f t="shared" ca="1" si="275"/>
        <v>0</v>
      </c>
      <c r="GH124" s="259">
        <f t="shared" ca="1" si="276"/>
        <v>0</v>
      </c>
      <c r="GI124" s="259">
        <f t="shared" ca="1" si="277"/>
        <v>0</v>
      </c>
      <c r="GJ124" s="259">
        <f t="shared" ca="1" si="278"/>
        <v>0</v>
      </c>
      <c r="GK124" s="259">
        <f t="shared" ca="1" si="279"/>
        <v>0</v>
      </c>
      <c r="GL124" s="259">
        <f t="shared" ca="1" si="280"/>
        <v>0</v>
      </c>
      <c r="GM124" s="259">
        <f ca="1">IF(OR(GK124&gt;0,GL124&gt;0),MAX($GM$2:GM123)+1,0)</f>
        <v>0</v>
      </c>
      <c r="GN124" s="259" t="str">
        <f ca="1">IFERROR(INDEX($GD$3:$GM$400,MATCH(ROWS($GN$3:GN124),$GM$3:$GM$400,0),1),"")</f>
        <v/>
      </c>
      <c r="GO124" s="259" t="str">
        <f ca="1">IFERROR(INDEX($GD$3:$GM$400,MATCH(ROWS($GO$3:GO124),$GM$3:$GM$400,0),8),"")</f>
        <v/>
      </c>
      <c r="GP124" s="259" t="str">
        <f ca="1">IFERROR(INDEX($GD$3:$GM$400,MATCH(ROWS($GP$3:GP124),$GM$3:$GM$400,0),9),"")</f>
        <v/>
      </c>
      <c r="GQ124" s="259">
        <f t="shared" ca="1" si="206"/>
        <v>0</v>
      </c>
      <c r="GR124" s="259">
        <f t="shared" ca="1" si="281"/>
        <v>0</v>
      </c>
      <c r="GS124" s="259" t="str">
        <f t="shared" ca="1" si="282"/>
        <v>chiusura del conto</v>
      </c>
      <c r="GT124" s="259" t="str">
        <f ca="1">IFERROR(INDEX($GD$3:$GS$400,MATCH(ROWS($GT$3:GT124),$GM$3:$GM$400,0),16),"")</f>
        <v/>
      </c>
      <c r="GU124" s="259">
        <f ca="1">IF(GQ124&lt;&gt;0,MAX($GU$2:$GU123)+1,0)</f>
        <v>0</v>
      </c>
      <c r="GV124" s="259">
        <f t="shared" ca="1" si="283"/>
        <v>0</v>
      </c>
      <c r="GW124" s="259" t="str">
        <f ca="1">IF(AND(IFERROR(INDEX($GU$3:$GV$400,MATCH(ROWS($GW$3:GW124),$GU$3:$GU$400,0),2),"")&lt;&gt;"",GW125&lt;&gt;""),CONCATENATE(IFERROR(INDEX($GU$3:$GV$400,MATCH(ROWS($GW$3:GW124),$GU$3:$GU$400,0),2),"")," - "),IFERROR(INDEX($GU$3:$GV$400,MATCH(ROWS($GW$3:GW124),$GU$3:$GU$400,0),2),""))</f>
        <v/>
      </c>
      <c r="GX124" s="259">
        <f ca="1">IF(OR(GN124="IVA NS/CREDITO",GN124="IVA NS/DEBITO",GN124="IVA C/ACCONTO",GN124="IMPOSTE C/ACCONTO"),MAX($GX$2:GX123)+1,0)</f>
        <v>0</v>
      </c>
      <c r="GY124" s="259" t="str">
        <f ca="1">IF(AND(IFERROR(INDEX($GN$3:$GX$200,MATCH(ROWS($GY$3:GY124),$GX$3:$GX$200,0),1),"")&lt;&gt;"",GY125&lt;&gt;""),CONCATENATE(IFERROR(INDEX($GN$3:$GX$200,MATCH(ROWS($GY$3:GY124),$GX$3:$GX$200,0),1),"")," - "),IFERROR(INDEX($GN$3:$GX$200,MATCH(ROWS($GY$3:GY124),$GX$3:$GX$200,0),1),""))</f>
        <v/>
      </c>
      <c r="GZ124" s="259" t="s">
        <v>651</v>
      </c>
      <c r="HA124" s="259" t="s">
        <v>652</v>
      </c>
      <c r="HB124" s="269" t="s">
        <v>256</v>
      </c>
      <c r="HC124" s="269" t="s">
        <v>211</v>
      </c>
      <c r="HD124" s="269" t="s">
        <v>8</v>
      </c>
      <c r="HE124" s="269" t="s">
        <v>213</v>
      </c>
      <c r="HG124" s="270"/>
      <c r="HV124" s="259" t="str">
        <f ca="1">CONCATENATE(IFERROR(INDEX($HS$3:$HT$102,MATCH(ROWS($HV$3:HV124),$HT$3:$HT$102,0),1),""),HR124)</f>
        <v/>
      </c>
      <c r="IC124" s="259">
        <f ca="1">IFERROR(INDEX(PIANO_DEI_CONTI,MATCH(ROWS(DL$3:DL124),$DK$3:DK351,0),2),0)</f>
        <v>0</v>
      </c>
      <c r="ID124" s="259">
        <f t="shared" ca="1" si="288"/>
        <v>0</v>
      </c>
      <c r="IE124" s="259">
        <f t="shared" ca="1" si="289"/>
        <v>0</v>
      </c>
      <c r="IF124" s="259">
        <f t="shared" ca="1" si="290"/>
        <v>0</v>
      </c>
      <c r="IG124" s="259">
        <f t="shared" ca="1" si="324"/>
        <v>0</v>
      </c>
      <c r="IH124" s="259">
        <f ca="1">IF(IG124&lt;&gt;0,MAX($IH$35:IH123)+1,0)</f>
        <v>0</v>
      </c>
      <c r="II124" s="259">
        <f>IF(AD124="costi pluriennali",MAX($II$2:II123)+1,0)</f>
        <v>0</v>
      </c>
      <c r="IJ124" s="259">
        <f>IF($AD124="rettifiche costi pluriennali",MAX($IJ$2:IJ123)+1,0)</f>
        <v>0</v>
      </c>
      <c r="IK124" s="259">
        <f t="shared" si="291"/>
        <v>0</v>
      </c>
      <c r="IL124" s="259" t="str">
        <f t="shared" si="292"/>
        <v/>
      </c>
      <c r="IM124" s="259">
        <f t="shared" ca="1" si="293"/>
        <v>0</v>
      </c>
      <c r="IN124" s="259">
        <f t="shared" ca="1" si="313"/>
        <v>0</v>
      </c>
      <c r="IO124" s="259">
        <f>SUMIFS($IM$3:$IM$200,$IK$3:$IK$200,ROWS($IO$3:IO124))-SUMIFS($IN$3:$IN$200,$IK$3:$IK$200,ROWS($IO$3:IO124))</f>
        <v>0</v>
      </c>
      <c r="IP124" s="259" t="str">
        <f>IF(IO124&lt;0,INDEX($IJ$3:$IL$200,MATCH(ROWS($IP$3:IP124),$IJ$3:$IJ$200,0),3),"")</f>
        <v/>
      </c>
      <c r="IQ124" s="259">
        <f>IF(IP124&lt;&gt;"",MAX($IQ$2:IQ123)+1,0)</f>
        <v>0</v>
      </c>
      <c r="IR124" s="259" t="str">
        <f ca="1">IFERROR(INDEX($IP$3:$IQ$200,MATCH(ROWS($IR$3:IR124),$IQ$3:$IQ$200,0),1),"")</f>
        <v/>
      </c>
      <c r="IS124" s="259" t="str">
        <f t="shared" ca="1" si="294"/>
        <v/>
      </c>
      <c r="IT124" s="259" t="str">
        <f t="shared" ca="1" si="295"/>
        <v/>
      </c>
      <c r="IU124" s="259" t="str">
        <f t="shared" ca="1" si="296"/>
        <v/>
      </c>
      <c r="IV124" s="259" t="str">
        <f t="shared" ca="1" si="297"/>
        <v/>
      </c>
      <c r="IW124" s="259" t="str">
        <f t="shared" ca="1" si="298"/>
        <v/>
      </c>
      <c r="IX124" s="259" t="str">
        <f t="shared" ca="1" si="299"/>
        <v/>
      </c>
      <c r="IY124" s="259" t="str">
        <f t="shared" ca="1" si="300"/>
        <v/>
      </c>
      <c r="IZ124" s="259" t="str">
        <f t="shared" ca="1" si="301"/>
        <v/>
      </c>
      <c r="JA124" s="259" t="str">
        <f t="shared" ca="1" si="302"/>
        <v/>
      </c>
      <c r="JB124" s="259">
        <f t="shared" ca="1" si="210"/>
        <v>0</v>
      </c>
      <c r="JC124" s="259">
        <f t="shared" ca="1" si="351"/>
        <v>0</v>
      </c>
      <c r="JD124" s="259">
        <f t="shared" ca="1" si="352"/>
        <v>0</v>
      </c>
      <c r="JE124" s="259">
        <f ca="1">IFERROR(INDEX(LIBRO_GIORNALE!$N$11:$O$408,MATCH(ROWS($JE$2:JE123),LIBRO_GIORNALE!$O$11:$O$408,0),1),0)</f>
        <v>0</v>
      </c>
      <c r="JF124" s="259" t="str">
        <f t="shared" ca="1" si="304"/>
        <v>0</v>
      </c>
      <c r="JG124" s="259">
        <f t="shared" ca="1" si="305"/>
        <v>0</v>
      </c>
      <c r="JH124" s="259">
        <f ca="1">IF(JJ124&gt;0,0,MAX($JH$2:JH123)+1)</f>
        <v>122</v>
      </c>
      <c r="JI124" s="259">
        <f ca="1">IF(JG124&gt;0,MAX($JI$2:JI123)+1,0)</f>
        <v>0</v>
      </c>
      <c r="JJ124" s="259">
        <f ca="1">IFERROR(INDEX($JG$3:$JI$124,MATCH(ROWS($JJ$3:JJ124),$JI$3:$JI$124,0),1),0)</f>
        <v>0</v>
      </c>
      <c r="JK124" s="259">
        <f t="shared" ca="1" si="306"/>
        <v>0</v>
      </c>
      <c r="JL124" s="259">
        <f t="shared" ca="1" si="307"/>
        <v>122</v>
      </c>
      <c r="JM124" s="259">
        <f t="shared" ca="1" si="353"/>
        <v>0</v>
      </c>
    </row>
    <row r="125" spans="1:273">
      <c r="A125" s="259" t="str">
        <f t="shared" si="211"/>
        <v>20.10</v>
      </c>
      <c r="B125" s="259" t="str">
        <f t="shared" si="212"/>
        <v>RESI SU VENDITE</v>
      </c>
      <c r="C125" s="259" t="str">
        <f t="shared" si="213"/>
        <v>E</v>
      </c>
      <c r="D125" s="259" t="str">
        <f t="shared" si="214"/>
        <v>D</v>
      </c>
      <c r="E125" s="259" t="str">
        <f t="shared" si="215"/>
        <v>RETTIFICHE RICAVI D'ESERCIZIO</v>
      </c>
      <c r="F125" s="259" t="str">
        <f t="shared" si="216"/>
        <v>SE DARE</v>
      </c>
      <c r="G125" s="259">
        <f t="shared" ca="1" si="217"/>
        <v>1</v>
      </c>
      <c r="H125" s="259">
        <f t="shared" ca="1" si="218"/>
        <v>1</v>
      </c>
      <c r="I125" s="259">
        <f t="shared" ca="1" si="219"/>
        <v>1</v>
      </c>
      <c r="K125" s="259" t="str">
        <f ca="1">IFERROR(IF($I$1=1,INDEX($AA$3:$AS$220,MATCH(ROWS($K$3:K125),$AQ$3:$AQ$220,0),1),IF($I$1=2,INDEX($AA$3:$AS$220,MATCH(ROWS($K$3:K125),$AR$3:$AR$220,0),1),IF($I$1=3,INDEX($AA$3:$AS$220,MATCH(ROWS($K$3:K125),$AS$3:$AS$220,0),1),""))),"")</f>
        <v>COSTI POSTALI</v>
      </c>
      <c r="L125" s="259">
        <f ca="1">IF(AND($L$1="VISUALIZZA TUTTI I CONTI",K125&lt;&gt;""),MAX(L124:L124)+1,IFERROR(IF($J$1=1,IF(INDEX(PIANO_DEI_CONTI,MATCH($K125,DENOMINAZIONE,0),5)=$L$1,MAX($L$2:L124)+1,0),IF($J$1=2,IF(INDEX(PIANO_DEI_CONTI,MATCH($K125,DENOMINAZIONE,0),7)=$L$1,MAX($L$2:L124)+1,0))),0))</f>
        <v>123</v>
      </c>
      <c r="M125" s="259" t="str">
        <f ca="1">IFERROR(INDEX($K$3:$K$220,MATCH(ROWS($M$3:M125),$L$3:$L$220,0),1),"")</f>
        <v>COSTI POSTALI</v>
      </c>
      <c r="Q125" s="259" t="str">
        <f ca="1">IF(IFERROR(INDEX($O$3:$P$220,MATCH(ROWS(Q$3:Q125),$P$3:$P$220,0),1),"")=0,"",IFERROR(INDEX($O$3:$P$220,MATCH(ROWS(Q$3:Q125),$P$3:$P$220,0),1),""))</f>
        <v/>
      </c>
      <c r="R125" s="259" t="str">
        <f t="shared" ca="1" si="182"/>
        <v/>
      </c>
      <c r="S125" s="259">
        <f ca="1">IF(IFERROR(MATCH(R125,DENOMINAZIONE_GIORNALE,0),0)&gt;0,MAX(S$2:S124)+1,0)</f>
        <v>0</v>
      </c>
      <c r="T125" s="259" t="str">
        <f ca="1">IFERROR(INDEX($R$3:$S$220,MATCH(ROWS($T$3:T125),$S$3:$S$220,0),1),"")</f>
        <v/>
      </c>
      <c r="U125" s="259">
        <f t="shared" ca="1" si="183"/>
        <v>0</v>
      </c>
      <c r="V125" s="259">
        <f ca="1">IF(IF(U125&lt;&gt;0,MAX($V$2:V124)+1,0)=0,0,IF(U125&lt;&gt;0,MAX($V$2:V124)+1,0))</f>
        <v>0</v>
      </c>
      <c r="W125" s="259" t="str">
        <f t="shared" si="220"/>
        <v>20.10</v>
      </c>
      <c r="X125" s="259" t="str">
        <f t="shared" si="221"/>
        <v>RESI SU VENDITE</v>
      </c>
      <c r="Y125" s="259">
        <f>IF(W125="",0,MAX($Y$2:Y124)+1)</f>
        <v>105</v>
      </c>
      <c r="Z125" s="259" t="str">
        <f>IFERROR(INDEX($W$3:$Y$220,MATCH(ROWS($Z$2:Z124),$Y$3:$Y$220,0),1),"")</f>
        <v>31.03</v>
      </c>
      <c r="AA125" s="259" t="str">
        <f t="shared" si="222"/>
        <v>PUBBLICITÀ</v>
      </c>
      <c r="AB125" s="259" t="str">
        <f t="shared" si="223"/>
        <v>E</v>
      </c>
      <c r="AC125" s="259" t="str">
        <f t="shared" si="224"/>
        <v>D</v>
      </c>
      <c r="AD125" s="259" t="str">
        <f t="shared" si="225"/>
        <v>COSTI D'ESERCIZIO</v>
      </c>
      <c r="AE125" s="259" t="str">
        <f t="shared" si="226"/>
        <v>SE DARE</v>
      </c>
      <c r="AF125" s="259" t="str">
        <f t="shared" si="227"/>
        <v>COSTI PER SERVIZI</v>
      </c>
      <c r="AG125" s="259">
        <f t="shared" ca="1" si="228"/>
        <v>1</v>
      </c>
      <c r="AH125" s="259">
        <f t="shared" ca="1" si="229"/>
        <v>1</v>
      </c>
      <c r="AI125" s="259">
        <f t="shared" ca="1" si="230"/>
        <v>1</v>
      </c>
      <c r="AJ125" s="259" t="str">
        <f t="shared" si="231"/>
        <v>31</v>
      </c>
      <c r="AK125" s="259" t="str">
        <f t="shared" si="232"/>
        <v/>
      </c>
      <c r="AL125" s="259">
        <f>IF(AK125&lt;&gt;"",MAX($AL$2:AL124)+1,0)</f>
        <v>0</v>
      </c>
      <c r="AM125" s="259" t="str">
        <f>IFERROR(INDEX($AK$3:$AL$220,MATCH(ROWS($AM$3:AM125),$AL$3:$AL$220,0),1),"")</f>
        <v/>
      </c>
      <c r="AN125" s="259" t="str">
        <f t="shared" si="233"/>
        <v/>
      </c>
      <c r="AO125" s="259" t="str">
        <f t="shared" si="234"/>
        <v/>
      </c>
      <c r="AP125" s="259" t="str">
        <f t="shared" si="235"/>
        <v>COSTI PER SERVIZI</v>
      </c>
      <c r="AQ125" s="259">
        <f ca="1">IF(OR(AG125=0,AG125=""),0,MAX(AQ$2:AQ124)+1)</f>
        <v>64</v>
      </c>
      <c r="AR125" s="259">
        <f ca="1">IF(OR(AH125=0,AH125=""),0,MAX(AR$2:AR124)+1)</f>
        <v>89</v>
      </c>
      <c r="AS125" s="259">
        <f ca="1">IF(OR(AI125=0,AI125=""),0,MAX(AS$2:AS124)+1)</f>
        <v>119</v>
      </c>
      <c r="AT125" s="259" t="str">
        <f ca="1">IFERROR(INDEX($AD$3:$AS$220,MATCH(ROWS(AT$3:AT125),AQ$3:AQ$220,0),1),"")</f>
        <v/>
      </c>
      <c r="AU125" s="259" t="str">
        <f ca="1">IFERROR(INDEX($AD$3:$AS$220,MATCH(ROWS(AU$3:AU125),AR$3:AR$220,0),1),"")</f>
        <v/>
      </c>
      <c r="AV125" s="259" t="str">
        <f ca="1">IFERROR(INDEX($AD$3:$AS$220,MATCH(ROWS(AV$3:AV125),AS$3:AS$220,0),1),"")</f>
        <v>COSTI D'ESERCIZIO</v>
      </c>
      <c r="AW125" s="259" t="str">
        <f ca="1">IFERROR(INDEX($AP$3:$AS$220,MATCH(ROWS(AW$3:AW125),AQ$3:AQ$220,0),1),"")</f>
        <v/>
      </c>
      <c r="AX125" s="259" t="str">
        <f ca="1">IFERROR(INDEX($AP$3:$AS$220,MATCH(ROWS(AX$3:AX125),AR$3:AR$220,0),1),"")</f>
        <v/>
      </c>
      <c r="AY125" s="259" t="str">
        <f ca="1">IFERROR(INDEX($AP$3:$AS$220,MATCH(ROWS(AY$3:AY125),AS$3:AS$220,0),1),"")</f>
        <v>COSTI PER SERVIZI</v>
      </c>
      <c r="AZ125" s="259" t="str">
        <f t="shared" si="339"/>
        <v>23 V.I.</v>
      </c>
      <c r="BA125" s="259">
        <f t="shared" ca="1" si="338"/>
        <v>0</v>
      </c>
      <c r="BB125" s="259">
        <f t="shared" ca="1" si="340"/>
        <v>0</v>
      </c>
      <c r="BC125" s="259">
        <f t="shared" ca="1" si="341"/>
        <v>0</v>
      </c>
      <c r="BD125" s="259">
        <f t="shared" ca="1" si="342"/>
        <v>0</v>
      </c>
      <c r="BE125" s="259">
        <f t="shared" ca="1" si="343"/>
        <v>0</v>
      </c>
      <c r="BG125" s="259" t="str">
        <f t="shared" ca="1" si="185"/>
        <v/>
      </c>
      <c r="BH125" s="259">
        <f ca="1">IF(IFERROR(MATCH(BG125,DENOMINAZIONE_GIORNALE,0),0)&gt;0,MAX(BH$2:BH124)+1,0)</f>
        <v>0</v>
      </c>
      <c r="BI125" s="259" t="str">
        <f ca="1">IFERROR(INDEX($BG$3:$BH$220,MATCH(ROWS($BI$3:BI125),$BH$3:$BH$220,0),1),"")</f>
        <v/>
      </c>
      <c r="BJ125" s="259" t="str">
        <f t="shared" ca="1" si="186"/>
        <v/>
      </c>
      <c r="BK125" s="259" t="str">
        <f ca="1">IF(IF(BJ125&lt;&gt;"",MAX($BK$2:BK124)+1,0)=0,"",IF(BJ125&lt;&gt;"",MAX($BK$2:BK124)+1,0))</f>
        <v/>
      </c>
      <c r="BL125" s="259" t="str">
        <f ca="1">IFERROR(INDEX($T$3:$U$220, MATCH(ROWS(BL$3:BL125),$V$3:$V$220,0),1),"")</f>
        <v/>
      </c>
      <c r="BM125" s="259" t="str">
        <f ca="1">IFERROR(INDEX($T$3:$U$220, MATCH(ROWS(BM$3:BM125),$V$3:$V$220,0),2),"")</f>
        <v/>
      </c>
      <c r="BN125" s="259" t="str">
        <f ca="1">IF(IFERROR(INDEX($BI$3:$BJ$220,MATCH(ROWS(BN$3:BN125),$BK$3:$BK$220,0),1),"")="PATRIMONIO NETTO","",IFERROR(INDEX($BI$3:$BJ$220,MATCH(ROWS(BN$3:BN125),$BK$3:$BK$220,0),1),""))</f>
        <v/>
      </c>
      <c r="BO125" s="259" t="str">
        <f ca="1">IFERROR(INDEX($BI$3:$BJ$220,MATCH(ROWS(BO$3:BO125),$BK$3:$BK$220,0),2),"")</f>
        <v/>
      </c>
      <c r="BP125" s="259">
        <f ca="1">IF(BN125&lt;&gt;"",MAX(BP$2:$BP124)+1,0)</f>
        <v>0</v>
      </c>
      <c r="BQ125" s="259" t="str">
        <f ca="1">IFERROR(INDEX($BN$3:$BO$200,MATCH(ROWS(BQ$3:BQ125),$BP$3:$BP$220,0),1),"")</f>
        <v/>
      </c>
      <c r="BR125" s="259" t="str">
        <f ca="1">IFERROR(INDEX($BN$3:$BO$220,MATCH(ROWS(BR$3:BR125),$BP$3:$BP$220,0),2),"")</f>
        <v/>
      </c>
      <c r="BS125" s="259" t="str">
        <f ca="1">IFERROR(IF(OR(INDEX($T$3:$U$220,MATCH(ROWS(BL$3:BL125),$V$3:$V$220,0),1)="PRELEVAMENTI EXTRAGESTIONE",INDEX($T$3:$U$220,MATCH(ROWS(BL$3:BL125),$V$3:$V$220,0),1)="TITOLARE C/RITENUTE SUBITE"),"",INDEX($T$3:$U$220,MATCH(ROWS(BL$3:BL125),$V$3:$V$220,0),1)),"")</f>
        <v/>
      </c>
      <c r="BT125" s="259">
        <f t="shared" ca="1" si="238"/>
        <v>0</v>
      </c>
      <c r="BU125" s="259">
        <f ca="1">IF(BS125&lt;&gt;"",MAX(BU$2:BU124)+1,0)</f>
        <v>0</v>
      </c>
      <c r="BV125" s="259" t="str">
        <f ca="1">IFERROR(INDEX($BS$3:$BT$223,MATCH(ROWS(BV$3:BV125),$BU$3:$BU$223,0),1),"")</f>
        <v/>
      </c>
      <c r="BW125" s="259">
        <f t="shared" ca="1" si="239"/>
        <v>0</v>
      </c>
      <c r="CB125" s="259" t="str">
        <f ca="1">IFERROR(IF(OR($BB$1&lt;&gt;$BD$1,$BC$1&lt;&gt;$BE$1,$DS$231&lt;&gt;$DT$231,$DU$231&lt;&gt;$DV$231,$EO$25&lt;&gt;0,$EO$26&lt;&gt;0),INDEX($BI$3:$BK$220,MATCH(ROWS($CB$3:CB125),$BK$3:$BK$220,0),1),CONCATENATE(BQ125,BX125)),"")</f>
        <v/>
      </c>
      <c r="CC125" s="259" t="str">
        <f t="shared" ca="1" si="243"/>
        <v/>
      </c>
      <c r="CD125" s="259" t="str">
        <f t="shared" ca="1" si="187"/>
        <v>PUBBLICITÀ</v>
      </c>
      <c r="CE125" s="259">
        <f ca="1">IF(IFERROR(MATCH(CD125,DENOMINAZIONE_GIORNALE,0),0)&gt;0,MAX(CE$2:CE124)+1,0)</f>
        <v>0</v>
      </c>
      <c r="CF125" s="259" t="str">
        <f ca="1">IFERROR(INDEX($CD$3:$CE$220,MATCH(ROWS($CF$3:CF125),$CE$3:$CE$220,0),1),"")</f>
        <v/>
      </c>
      <c r="CG125" s="259">
        <f t="shared" ca="1" si="188"/>
        <v>0</v>
      </c>
      <c r="CH125" s="259" t="str">
        <f ca="1">IF(IF(CG125&lt;&gt;0,MAX($CH$2:CH124)+1,0)=0,"",IF(CG125&lt;&gt;"",MAX($CH$2:CH124)+1,0))</f>
        <v/>
      </c>
      <c r="CI125" s="259" t="str">
        <f ca="1">IFERROR(INDEX($CF$3:$CG$220,MATCH(ROWS($CI$3:CI125),$CH$3:$CH$220,0),1),"")</f>
        <v/>
      </c>
      <c r="CJ125" s="259" t="str">
        <f t="shared" ca="1" si="244"/>
        <v/>
      </c>
      <c r="CK125" s="259" t="str">
        <f t="shared" ca="1" si="189"/>
        <v/>
      </c>
      <c r="CL125" s="259">
        <f ca="1">IF(IFERROR(MATCH(CK125,DENOMINAZIONE_GIORNALE,0),0)&gt;0,MAX(CL$2:CL124)+1,0)</f>
        <v>0</v>
      </c>
      <c r="CM125" s="259" t="str">
        <f ca="1">IFERROR(INDEX($CK$3:$CL$220,MATCH(ROWS($CM$3:CM125),$CL$3:$CL$220,0),1),"")</f>
        <v/>
      </c>
      <c r="CN125" s="259" t="str">
        <f t="shared" ca="1" si="190"/>
        <v/>
      </c>
      <c r="CO125" s="259">
        <f ca="1">IF(IF(CN125&lt;&gt;0,MAX($CO$2:CO124)+1,0)=0,"",IF(CN125&lt;&gt;"",MAX($CO$2:CO124)+1,0))</f>
        <v>0</v>
      </c>
      <c r="CP125" s="259" t="str">
        <f ca="1">IFERROR(INDEX($CM$3:$CN$220,MATCH(ROWS(CP$3:CP125),$CO$3:$CO$220,0),1),"")</f>
        <v/>
      </c>
      <c r="CQ125" s="259" t="str">
        <f ca="1">IFERROR(INDEX($CM$3:$CN$220,MATCH(ROWS(CQ$3:CQ125),$CO$3:$CO$220,0),2),"")</f>
        <v/>
      </c>
      <c r="CS125" s="259">
        <f t="shared" ca="1" si="192"/>
        <v>0</v>
      </c>
      <c r="CT125" s="259">
        <f t="shared" ca="1" si="193"/>
        <v>0</v>
      </c>
      <c r="CU125" s="259">
        <f ca="1">IF(OR(CS125&gt;0,CT125&gt;0),MAX($CU$2:CU124)+1,0)</f>
        <v>0</v>
      </c>
      <c r="CV125" s="259" t="str">
        <f ca="1">IFERROR(INDEX(PIANO_DEI_CONTI,MATCH(ROWS($CV$3:CV125),$CU$3:$CU$200,0),2),"")</f>
        <v/>
      </c>
      <c r="CW125" s="259">
        <f ca="1">IFERROR(IF(CV125&lt;&gt;"",MAX($CW$2:CW124)+1,0),0)</f>
        <v>0</v>
      </c>
      <c r="CX125" s="259">
        <f t="shared" ca="1" si="355"/>
        <v>7</v>
      </c>
      <c r="CY125" s="259" t="str">
        <f t="shared" ca="1" si="337"/>
        <v>MASTRO</v>
      </c>
      <c r="CZ125" s="259" t="e">
        <f t="shared" ca="1" si="357"/>
        <v>#N/A</v>
      </c>
      <c r="DA125" s="259" t="str">
        <f t="shared" ca="1" si="362"/>
        <v/>
      </c>
      <c r="DB125" s="259" t="str">
        <f t="shared" ca="1" si="358"/>
        <v/>
      </c>
      <c r="DC125" s="259" t="str">
        <f t="shared" ca="1" si="359"/>
        <v/>
      </c>
      <c r="DD125" s="259" t="str">
        <f t="shared" ca="1" si="360"/>
        <v/>
      </c>
      <c r="DE125" s="259" t="str">
        <f t="shared" ca="1" si="361"/>
        <v/>
      </c>
      <c r="DF125" s="259">
        <f ca="1">IF(AND(CX125=$DE$2,$DF$2&lt;&gt;0),0,IF(AND(DB125&lt;&gt;"",OR(DB124&lt;&gt;"",DB126&lt;&gt;"")),MAX($DF$2:DF124)+1,0))</f>
        <v>0</v>
      </c>
      <c r="DG125" s="259" t="str">
        <f>IF(IF(LIBRO_GIORNALE!E33="","",IFERROR(INDEX(PIANO_DEI_CONTI,MATCH(BB125,DENOMINAZIONE,0),1),0))=0,"",IF(LIBRO_GIORNALE!E33="","",IFERROR(INDEX(PIANO_DEI_CONTI,MATCH(BB125,DENOMINAZIONE,0),1),0)))</f>
        <v/>
      </c>
      <c r="DH125" s="259">
        <f ca="1">IFERROR(IF($J$1=1,IF(INDEX(PIANO_DEI_CONTI,MATCH($K125,DENOMINAZIONE,0),5)=$DF$1,MAX($DH$2:DH124)+1,0),IF($J$1=2,IF(INDEX(PIANO_DEI_CONTI,MATCH($K125,DENOMINAZIONE,0),7)=$DF$1,MAX($DH$2:DH124)+1,0))),0)</f>
        <v>0</v>
      </c>
      <c r="DI125" s="259">
        <f ca="1">IFERROR(INDEX($K$3:$K$220,MATCH(ROWS($DI$3:DI125),$DH$3:$DH$220,0),1),0)</f>
        <v>0</v>
      </c>
      <c r="DJ125" s="259">
        <f t="shared" ca="1" si="194"/>
        <v>0</v>
      </c>
      <c r="DK125" s="259">
        <f ca="1">IF(DJ125=0,0,MAX(DK$2:DK124)+1)</f>
        <v>0</v>
      </c>
      <c r="DL125" s="259">
        <f ca="1">IFERROR(INDEX(PIANO_DEI_CONTI,MATCH(ROWS(DL$3:DL125),$DK$3:DK352,0),2),0)</f>
        <v>0</v>
      </c>
      <c r="DM125" s="259">
        <f t="shared" ca="1" si="195"/>
        <v>0</v>
      </c>
      <c r="DN125" s="259">
        <f t="shared" ca="1" si="196"/>
        <v>0</v>
      </c>
      <c r="DO125" s="259">
        <f t="shared" ca="1" si="245"/>
        <v>0</v>
      </c>
      <c r="DP125" s="259">
        <f t="shared" ca="1" si="246"/>
        <v>0</v>
      </c>
      <c r="DQ125" s="259">
        <f ca="1">IF(OR($DQ$1="TOTALI",$DQ$1="TOTALI ED ECCEDENZE"),IF(OR(DM125&gt;0,DN125&gt;0),MAX(DQ$2:DQ124)+1,0),IF($DQ$1="ECCEDENZE",IF(OR(DO125&gt;0,DP125&gt;0),MAX(DQ$2:DQ124)+1,0),""))</f>
        <v>0</v>
      </c>
      <c r="DR125" s="259" t="str">
        <f ca="1">IFERROR(INDEX($DL$3:$DQ$230,MATCH(ROWS(DR$3:DR125),$DQ$3:$DQ$230,0),1),"")</f>
        <v/>
      </c>
      <c r="DS125" s="259" t="str">
        <f t="shared" ca="1" si="247"/>
        <v/>
      </c>
      <c r="DT125" s="259" t="str">
        <f t="shared" ca="1" si="248"/>
        <v/>
      </c>
      <c r="DU125" s="259" t="str">
        <f t="shared" ca="1" si="249"/>
        <v/>
      </c>
      <c r="DV125" s="259" t="str">
        <f t="shared" ca="1" si="250"/>
        <v/>
      </c>
      <c r="DW125" s="259">
        <f t="shared" ca="1" si="251"/>
        <v>0</v>
      </c>
      <c r="DX125" s="259" t="str">
        <f t="shared" ca="1" si="252"/>
        <v/>
      </c>
      <c r="DY125" s="259" t="str">
        <f t="shared" ca="1" si="253"/>
        <v/>
      </c>
      <c r="DZ125" s="259" t="str">
        <f t="shared" ca="1" si="254"/>
        <v/>
      </c>
      <c r="EB125" s="259" t="s">
        <v>369</v>
      </c>
      <c r="ED125" s="259">
        <f t="shared" ca="1" si="197"/>
        <v>0</v>
      </c>
      <c r="EH125" s="259" t="str">
        <f t="shared" ca="1" si="256"/>
        <v/>
      </c>
      <c r="EI125" s="260" t="b">
        <f t="shared" ca="1" si="310"/>
        <v>1</v>
      </c>
      <c r="EJ125" s="260" t="b">
        <f t="shared" ca="1" si="311"/>
        <v>1</v>
      </c>
      <c r="EK125" s="260" t="b">
        <f t="shared" ca="1" si="312"/>
        <v>1</v>
      </c>
      <c r="EL125" s="259">
        <f t="shared" si="257"/>
        <v>123</v>
      </c>
      <c r="EM125" s="259">
        <f ca="1">IF(AND(BA125&gt;0,BA125&lt;=$EM$1),MAX($EM$2:EM124)+1,0)</f>
        <v>0</v>
      </c>
      <c r="EN125" s="259">
        <f t="shared" ca="1" si="258"/>
        <v>125</v>
      </c>
      <c r="EP125" s="259" t="str">
        <f t="shared" ca="1" si="200"/>
        <v/>
      </c>
      <c r="EQ125" s="259">
        <f t="shared" ca="1" si="201"/>
        <v>0</v>
      </c>
      <c r="ER125" s="259">
        <f ca="1">IF(ISNA(EQ125),MAX(ER$2:ER124)+1,0)</f>
        <v>0</v>
      </c>
      <c r="ES125" s="259" t="str">
        <f t="shared" ca="1" si="259"/>
        <v/>
      </c>
      <c r="ET125" s="259" t="str">
        <f ca="1">IFERROR(UPPER(INDEX($ER$3:$ES$500,MATCH(ROWS(ET$3:ET125),$ER$3:$ER$500,0),2)),"")</f>
        <v/>
      </c>
      <c r="EW125" s="259">
        <f t="shared" ca="1" si="344"/>
        <v>1</v>
      </c>
      <c r="EX125" s="259">
        <v>23</v>
      </c>
      <c r="EY125" s="259">
        <f t="shared" ca="1" si="345"/>
        <v>0</v>
      </c>
      <c r="EZ125" s="259">
        <f t="shared" ca="1" si="346"/>
        <v>0</v>
      </c>
      <c r="FA125" s="259">
        <f t="shared" ca="1" si="347"/>
        <v>0</v>
      </c>
      <c r="FB125" s="259">
        <f t="shared" ca="1" si="348"/>
        <v>0</v>
      </c>
      <c r="FC125" s="259">
        <f t="shared" ca="1" si="349"/>
        <v>0</v>
      </c>
      <c r="FD125" s="259">
        <f t="shared" ca="1" si="202"/>
        <v>0</v>
      </c>
      <c r="FE125" s="259" t="str">
        <f t="shared" ca="1" si="203"/>
        <v/>
      </c>
      <c r="FF125" s="259" t="str">
        <f t="shared" ca="1" si="350"/>
        <v/>
      </c>
      <c r="FG125" s="259" t="s">
        <v>88</v>
      </c>
      <c r="FI125" s="259">
        <f ca="1">IF($FF$1&gt;0,$FF$1,0)</f>
        <v>0</v>
      </c>
      <c r="FL125" s="278"/>
      <c r="FM125" s="259">
        <f t="shared" ca="1" si="205"/>
        <v>0</v>
      </c>
      <c r="FN125" s="259">
        <f ca="1">IF(FM125&lt;0,MAX($FN$2:FN124)+1,0)</f>
        <v>0</v>
      </c>
      <c r="FO125" s="259" t="str">
        <f t="shared" ca="1" si="268"/>
        <v/>
      </c>
      <c r="FP125" s="259" t="str">
        <f ca="1">IFERROR(INDEX($FN$3:$FO$400,MATCH(ROWS($FP$3:FP125),$FN$3:$FN$400,0),2),"")</f>
        <v/>
      </c>
      <c r="FQ125" s="259" t="str">
        <f>IF(AE125="SE AVERE",MAX($FQ$2:FQ124)+1,"")</f>
        <v/>
      </c>
      <c r="FR125" s="259">
        <f>IF(AE125="SE DARE",MAX($FR$2:FR124)+1,"")</f>
        <v>30</v>
      </c>
      <c r="FS125" s="259" t="str">
        <f ca="1">IF(AND(AE125="SP DARE",AA125&lt;&gt;$FS$1,AA125&lt;&gt;$FT$1),MAX($FS$2:FS124)+1,IF(AND(GQ125="SP DARE",AA125&lt;&gt;$FS$1,AA125&lt;&gt;$FT$1),MAX($FS$2:FS124)+1,""))</f>
        <v/>
      </c>
      <c r="FT125" s="259" t="str">
        <f ca="1">IF(AND(AE125="SP AVERE",AA125&lt;&gt;$FU$1),MAX($FT$2:FT124)+1,IF(AND(GQ125="SP AVERE",AA125&lt;&gt;$FU$1),MAX($FT$2:FT124)+1,""))</f>
        <v/>
      </c>
      <c r="FU125" s="259">
        <f t="shared" ca="1" si="269"/>
        <v>30</v>
      </c>
      <c r="FV125" s="259" t="str">
        <f t="shared" si="270"/>
        <v>PUBBLICITÀ</v>
      </c>
      <c r="FW125" s="259" t="str">
        <f ca="1">IFERROR(INDEX($FU$3:$FV$500,MATCH(ROWS($FW$3:FW125),$FU$3:$FU$500,0),2),0)</f>
        <v>CREDITI DIVERSI</v>
      </c>
      <c r="FX125" s="259">
        <f t="shared" ca="1" si="271"/>
        <v>123</v>
      </c>
      <c r="FY125" s="259">
        <f t="shared" ca="1" si="272"/>
        <v>0</v>
      </c>
      <c r="FZ125" s="259">
        <f ca="1">IF(FY125&gt;0,MAX($FZ$2:FZ124)+1,0)</f>
        <v>0</v>
      </c>
      <c r="GA125" s="259">
        <f ca="1">IFERROR(INDEX($FY$3:$FZ$500,MATCH(ROWS($GA$3:GA125),$FZ$3:$FZ$500,0),1),0)</f>
        <v>0</v>
      </c>
      <c r="GC125" s="259">
        <f t="shared" ca="1" si="273"/>
        <v>123</v>
      </c>
      <c r="GD125" s="259" t="str">
        <f t="shared" ca="1" si="274"/>
        <v>CREDITI DIVERSI</v>
      </c>
      <c r="GG125" s="259">
        <f t="shared" ca="1" si="275"/>
        <v>0</v>
      </c>
      <c r="GH125" s="259">
        <f t="shared" ca="1" si="276"/>
        <v>0</v>
      </c>
      <c r="GI125" s="259">
        <f t="shared" ca="1" si="277"/>
        <v>0</v>
      </c>
      <c r="GJ125" s="259">
        <f t="shared" ca="1" si="278"/>
        <v>0</v>
      </c>
      <c r="GK125" s="259">
        <f t="shared" ca="1" si="279"/>
        <v>0</v>
      </c>
      <c r="GL125" s="259">
        <f t="shared" ca="1" si="280"/>
        <v>0</v>
      </c>
      <c r="GM125" s="259">
        <f ca="1">IF(OR(GK125&gt;0,GL125&gt;0),MAX($GM$2:GM124)+1,0)</f>
        <v>0</v>
      </c>
      <c r="GN125" s="259" t="str">
        <f ca="1">IFERROR(INDEX($GD$3:$GM$400,MATCH(ROWS($GN$3:GN125),$GM$3:$GM$400,0),1),"")</f>
        <v/>
      </c>
      <c r="GO125" s="259" t="str">
        <f ca="1">IFERROR(INDEX($GD$3:$GM$400,MATCH(ROWS($GO$3:GO125),$GM$3:$GM$400,0),8),"")</f>
        <v/>
      </c>
      <c r="GP125" s="259" t="str">
        <f ca="1">IFERROR(INDEX($GD$3:$GM$400,MATCH(ROWS($GP$3:GP125),$GM$3:$GM$400,0),9),"")</f>
        <v/>
      </c>
      <c r="GQ125" s="259">
        <f t="shared" ca="1" si="206"/>
        <v>0</v>
      </c>
      <c r="GR125" s="259">
        <f t="shared" ca="1" si="281"/>
        <v>0</v>
      </c>
      <c r="GS125" s="259" t="str">
        <f t="shared" ca="1" si="282"/>
        <v>chiusura del conto</v>
      </c>
      <c r="GT125" s="259" t="str">
        <f ca="1">IFERROR(INDEX($GD$3:$GS$400,MATCH(ROWS($GT$3:GT125),$GM$3:$GM$400,0),16),"")</f>
        <v/>
      </c>
      <c r="GU125" s="259">
        <f ca="1">IF(GQ125&lt;&gt;0,MAX($GU$2:$GU124)+1,0)</f>
        <v>0</v>
      </c>
      <c r="GV125" s="259">
        <f t="shared" ca="1" si="283"/>
        <v>0</v>
      </c>
      <c r="GW125" s="259" t="str">
        <f ca="1">IF(AND(IFERROR(INDEX($GU$3:$GV$400,MATCH(ROWS($GW$3:GW125),$GU$3:$GU$400,0),2),"")&lt;&gt;"",GW126&lt;&gt;""),CONCATENATE(IFERROR(INDEX($GU$3:$GV$400,MATCH(ROWS($GW$3:GW125),$GU$3:$GU$400,0),2),"")," - "),IFERROR(INDEX($GU$3:$GV$400,MATCH(ROWS($GW$3:GW125),$GU$3:$GU$400,0),2),""))</f>
        <v/>
      </c>
      <c r="GX125" s="259">
        <f ca="1">IF(OR(GN125="IVA NS/CREDITO",GN125="IVA NS/DEBITO",GN125="IVA C/ACCONTO",GN125="IMPOSTE C/ACCONTO"),MAX($GX$2:GX124)+1,0)</f>
        <v>0</v>
      </c>
      <c r="GY125" s="259" t="str">
        <f ca="1">IF(AND(IFERROR(INDEX($GN$3:$GX$200,MATCH(ROWS($GY$3:GY125),$GX$3:$GX$200,0),1),"")&lt;&gt;"",GY126&lt;&gt;""),CONCATENATE(IFERROR(INDEX($GN$3:$GX$200,MATCH(ROWS($GY$3:GY125),$GX$3:$GX$200,0),1),"")," - "),IFERROR(INDEX($GN$3:$GX$200,MATCH(ROWS($GY$3:GY125),$GX$3:$GX$200,0),1),""))</f>
        <v/>
      </c>
      <c r="GZ125" s="259" t="s">
        <v>479</v>
      </c>
      <c r="HA125" s="259" t="s">
        <v>559</v>
      </c>
      <c r="HB125" s="269" t="s">
        <v>256</v>
      </c>
      <c r="HC125" s="269" t="s">
        <v>276</v>
      </c>
      <c r="HD125" s="269" t="s">
        <v>267</v>
      </c>
      <c r="HE125" s="269" t="s">
        <v>214</v>
      </c>
      <c r="HV125" s="259" t="str">
        <f ca="1">CONCATENATE(IFERROR(INDEX($HS$3:$HT$102,MATCH(ROWS($HV$3:HV125),$HT$3:$HT$102,0),1),""),HR125)</f>
        <v/>
      </c>
      <c r="IC125" s="259">
        <f ca="1">IFERROR(INDEX(PIANO_DEI_CONTI,MATCH(ROWS(DL$3:DL125),$DK$3:DK352,0),2),0)</f>
        <v>0</v>
      </c>
      <c r="ID125" s="259">
        <f t="shared" ca="1" si="288"/>
        <v>0</v>
      </c>
      <c r="IE125" s="259">
        <f t="shared" ca="1" si="289"/>
        <v>0</v>
      </c>
      <c r="IF125" s="259">
        <f t="shared" ca="1" si="290"/>
        <v>0</v>
      </c>
      <c r="IG125" s="259">
        <f t="shared" ca="1" si="324"/>
        <v>0</v>
      </c>
      <c r="IH125" s="259">
        <f ca="1">IF(IG125&lt;&gt;0,MAX($IH$35:IH124)+1,0)</f>
        <v>0</v>
      </c>
      <c r="II125" s="259">
        <f>IF(AD125="costi pluriennali",MAX($II$2:II124)+1,0)</f>
        <v>0</v>
      </c>
      <c r="IJ125" s="259">
        <f>IF($AD125="rettifiche costi pluriennali",MAX($IJ$2:IJ124)+1,0)</f>
        <v>0</v>
      </c>
      <c r="IK125" s="259">
        <f t="shared" si="291"/>
        <v>0</v>
      </c>
      <c r="IL125" s="259" t="str">
        <f t="shared" si="292"/>
        <v/>
      </c>
      <c r="IM125" s="259">
        <f t="shared" ca="1" si="293"/>
        <v>0</v>
      </c>
      <c r="IN125" s="259">
        <f t="shared" ca="1" si="313"/>
        <v>0</v>
      </c>
      <c r="IO125" s="259">
        <f>SUMIFS($IM$3:$IM$200,$IK$3:$IK$200,ROWS($IO$3:IO125))-SUMIFS($IN$3:$IN$200,$IK$3:$IK$200,ROWS($IO$3:IO125))</f>
        <v>0</v>
      </c>
      <c r="IP125" s="259" t="str">
        <f>IF(IO125&lt;0,INDEX($IJ$3:$IL$200,MATCH(ROWS($IP$3:IP125),$IJ$3:$IJ$200,0),3),"")</f>
        <v/>
      </c>
      <c r="IQ125" s="259">
        <f>IF(IP125&lt;&gt;"",MAX($IQ$2:IQ124)+1,0)</f>
        <v>0</v>
      </c>
      <c r="IR125" s="259" t="str">
        <f ca="1">IFERROR(INDEX($IP$3:$IQ$200,MATCH(ROWS($IR$3:IR125),$IQ$3:$IQ$200,0),1),"")</f>
        <v/>
      </c>
      <c r="IS125" s="259" t="str">
        <f t="shared" ca="1" si="294"/>
        <v/>
      </c>
      <c r="IT125" s="259" t="str">
        <f t="shared" ca="1" si="295"/>
        <v/>
      </c>
      <c r="IU125" s="259" t="str">
        <f t="shared" ca="1" si="296"/>
        <v/>
      </c>
      <c r="IV125" s="259" t="str">
        <f t="shared" ca="1" si="297"/>
        <v/>
      </c>
      <c r="IW125" s="259" t="str">
        <f t="shared" ca="1" si="298"/>
        <v/>
      </c>
      <c r="IX125" s="259" t="str">
        <f t="shared" ca="1" si="299"/>
        <v/>
      </c>
      <c r="IY125" s="259" t="str">
        <f t="shared" ca="1" si="300"/>
        <v/>
      </c>
      <c r="IZ125" s="259" t="str">
        <f t="shared" ca="1" si="301"/>
        <v/>
      </c>
      <c r="JA125" s="259" t="str">
        <f t="shared" ca="1" si="302"/>
        <v/>
      </c>
      <c r="JB125" s="259">
        <f t="shared" ca="1" si="210"/>
        <v>0</v>
      </c>
      <c r="JC125" s="259">
        <f t="shared" ca="1" si="351"/>
        <v>0</v>
      </c>
      <c r="JD125" s="259">
        <f t="shared" ca="1" si="352"/>
        <v>0</v>
      </c>
      <c r="JM125" s="259">
        <f t="shared" ca="1" si="353"/>
        <v>0</v>
      </c>
    </row>
    <row r="126" spans="1:273">
      <c r="A126" s="259" t="str">
        <f t="shared" si="211"/>
        <v>20.11</v>
      </c>
      <c r="B126" s="259" t="str">
        <f t="shared" si="212"/>
        <v>RIBASSI E ABBUONI PASSIVI</v>
      </c>
      <c r="C126" s="259" t="str">
        <f t="shared" si="213"/>
        <v>E</v>
      </c>
      <c r="D126" s="259" t="str">
        <f t="shared" si="214"/>
        <v>D</v>
      </c>
      <c r="E126" s="259" t="str">
        <f t="shared" si="215"/>
        <v>RETTIFICHE RICAVI D'ESERCIZIO</v>
      </c>
      <c r="F126" s="259" t="str">
        <f t="shared" si="216"/>
        <v>SE DARE</v>
      </c>
      <c r="G126" s="259">
        <f t="shared" ca="1" si="217"/>
        <v>1</v>
      </c>
      <c r="H126" s="259">
        <f t="shared" ca="1" si="218"/>
        <v>1</v>
      </c>
      <c r="I126" s="259">
        <f t="shared" ca="1" si="219"/>
        <v>1</v>
      </c>
      <c r="K126" s="259" t="str">
        <f ca="1">IFERROR(IF($I$1=1,INDEX($AA$3:$AS$220,MATCH(ROWS($K$3:K126),$AQ$3:$AQ$220,0),1),IF($I$1=2,INDEX($AA$3:$AS$220,MATCH(ROWS($K$3:K126),$AR$3:$AR$220,0),1),IF($I$1=3,INDEX($AA$3:$AS$220,MATCH(ROWS($K$3:K126),$AS$3:$AS$220,0),1),""))),"")</f>
        <v>ASSICURAZIONI</v>
      </c>
      <c r="L126" s="259">
        <f ca="1">IF(AND($L$1="VISUALIZZA TUTTI I CONTI",K126&lt;&gt;""),MAX(L125:L125)+1,IFERROR(IF($J$1=1,IF(INDEX(PIANO_DEI_CONTI,MATCH($K126,DENOMINAZIONE,0),5)=$L$1,MAX($L$2:L125)+1,0),IF($J$1=2,IF(INDEX(PIANO_DEI_CONTI,MATCH($K126,DENOMINAZIONE,0),7)=$L$1,MAX($L$2:L125)+1,0))),0))</f>
        <v>124</v>
      </c>
      <c r="M126" s="259" t="str">
        <f ca="1">IFERROR(INDEX($K$3:$K$220,MATCH(ROWS($M$3:M126),$L$3:$L$220,0),1),"")</f>
        <v>ASSICURAZIONI</v>
      </c>
      <c r="Q126" s="259" t="str">
        <f ca="1">IF(IFERROR(INDEX($O$3:$P$220,MATCH(ROWS(Q$3:Q126),$P$3:$P$220,0),1),"")=0,"",IFERROR(INDEX($O$3:$P$220,MATCH(ROWS(Q$3:Q126),$P$3:$P$220,0),1),""))</f>
        <v/>
      </c>
      <c r="R126" s="259" t="str">
        <f t="shared" ca="1" si="182"/>
        <v/>
      </c>
      <c r="S126" s="259">
        <f ca="1">IF(IFERROR(MATCH(R126,DENOMINAZIONE_GIORNALE,0),0)&gt;0,MAX(S$2:S125)+1,0)</f>
        <v>0</v>
      </c>
      <c r="T126" s="259" t="str">
        <f ca="1">IFERROR(INDEX($R$3:$S$220,MATCH(ROWS($T$3:T126),$S$3:$S$220,0),1),"")</f>
        <v/>
      </c>
      <c r="U126" s="259">
        <f t="shared" ca="1" si="183"/>
        <v>0</v>
      </c>
      <c r="V126" s="259">
        <f ca="1">IF(IF(U126&lt;&gt;0,MAX($V$2:V125)+1,0)=0,0,IF(U126&lt;&gt;0,MAX($V$2:V125)+1,0))</f>
        <v>0</v>
      </c>
      <c r="W126" s="259" t="str">
        <f t="shared" si="220"/>
        <v>20.11</v>
      </c>
      <c r="X126" s="259" t="str">
        <f t="shared" si="221"/>
        <v>RIBASSI E ABBUONI PASSIVI</v>
      </c>
      <c r="Y126" s="259">
        <f>IF(W126="",0,MAX($Y$2:Y125)+1)</f>
        <v>106</v>
      </c>
      <c r="Z126" s="259" t="str">
        <f>IFERROR(INDEX($W$3:$Y$220,MATCH(ROWS($Z$2:Z125),$Y$3:$Y$220,0),1),"")</f>
        <v>31.04</v>
      </c>
      <c r="AA126" s="259" t="str">
        <f t="shared" si="222"/>
        <v>CONSULENZE</v>
      </c>
      <c r="AB126" s="259" t="str">
        <f t="shared" si="223"/>
        <v>E</v>
      </c>
      <c r="AC126" s="259" t="str">
        <f t="shared" si="224"/>
        <v>D</v>
      </c>
      <c r="AD126" s="259" t="str">
        <f t="shared" si="225"/>
        <v>COSTI D'ESERCIZIO</v>
      </c>
      <c r="AE126" s="259" t="str">
        <f t="shared" si="226"/>
        <v>SE DARE</v>
      </c>
      <c r="AF126" s="259" t="str">
        <f t="shared" si="227"/>
        <v>COSTI PER SERVIZI</v>
      </c>
      <c r="AG126" s="259">
        <f t="shared" ca="1" si="228"/>
        <v>1</v>
      </c>
      <c r="AH126" s="259">
        <f t="shared" ca="1" si="229"/>
        <v>1</v>
      </c>
      <c r="AI126" s="259">
        <f t="shared" ca="1" si="230"/>
        <v>1</v>
      </c>
      <c r="AJ126" s="259" t="str">
        <f t="shared" si="231"/>
        <v>31</v>
      </c>
      <c r="AK126" s="259" t="str">
        <f t="shared" si="232"/>
        <v/>
      </c>
      <c r="AL126" s="259">
        <f>IF(AK126&lt;&gt;"",MAX($AL$2:AL125)+1,0)</f>
        <v>0</v>
      </c>
      <c r="AM126" s="259" t="str">
        <f>IFERROR(INDEX($AK$3:$AL$220,MATCH(ROWS($AM$3:AM126),$AL$3:$AL$220,0),1),"")</f>
        <v/>
      </c>
      <c r="AN126" s="259" t="str">
        <f t="shared" si="233"/>
        <v/>
      </c>
      <c r="AO126" s="259" t="str">
        <f t="shared" si="234"/>
        <v/>
      </c>
      <c r="AP126" s="259" t="str">
        <f t="shared" si="235"/>
        <v>COSTI PER SERVIZI</v>
      </c>
      <c r="AQ126" s="259">
        <f ca="1">IF(OR(AG126=0,AG126=""),0,MAX(AQ$2:AQ125)+1)</f>
        <v>65</v>
      </c>
      <c r="AR126" s="259">
        <f ca="1">IF(OR(AH126=0,AH126=""),0,MAX(AR$2:AR125)+1)</f>
        <v>90</v>
      </c>
      <c r="AS126" s="259">
        <f ca="1">IF(OR(AI126=0,AI126=""),0,MAX(AS$2:AS125)+1)</f>
        <v>120</v>
      </c>
      <c r="AT126" s="259" t="str">
        <f ca="1">IFERROR(INDEX($AD$3:$AS$220,MATCH(ROWS(AT$3:AT126),AQ$3:AQ$220,0),1),"")</f>
        <v/>
      </c>
      <c r="AU126" s="259" t="str">
        <f ca="1">IFERROR(INDEX($AD$3:$AS$220,MATCH(ROWS(AU$3:AU126),AR$3:AR$220,0),1),"")</f>
        <v/>
      </c>
      <c r="AV126" s="259" t="str">
        <f ca="1">IFERROR(INDEX($AD$3:$AS$220,MATCH(ROWS(AV$3:AV126),AS$3:AS$220,0),1),"")</f>
        <v>COSTI D'ESERCIZIO</v>
      </c>
      <c r="AW126" s="259" t="str">
        <f ca="1">IFERROR(INDEX($AP$3:$AS$220,MATCH(ROWS(AW$3:AW126),AQ$3:AQ$220,0),1),"")</f>
        <v/>
      </c>
      <c r="AX126" s="259" t="str">
        <f ca="1">IFERROR(INDEX($AP$3:$AS$220,MATCH(ROWS(AX$3:AX126),AR$3:AR$220,0),1),"")</f>
        <v/>
      </c>
      <c r="AY126" s="259" t="str">
        <f ca="1">IFERROR(INDEX($AP$3:$AS$220,MATCH(ROWS(AY$3:AY126),AS$3:AS$220,0),1),"")</f>
        <v>COSTI PER SERVIZI</v>
      </c>
      <c r="AZ126" s="259" t="str">
        <f t="shared" si="339"/>
        <v>24 V.I.</v>
      </c>
      <c r="BA126" s="259">
        <f t="shared" ca="1" si="338"/>
        <v>0</v>
      </c>
      <c r="BB126" s="259">
        <f t="shared" ca="1" si="340"/>
        <v>0</v>
      </c>
      <c r="BC126" s="259">
        <f t="shared" ca="1" si="341"/>
        <v>0</v>
      </c>
      <c r="BD126" s="259">
        <f t="shared" ca="1" si="342"/>
        <v>0</v>
      </c>
      <c r="BE126" s="259">
        <f t="shared" ca="1" si="343"/>
        <v>0</v>
      </c>
      <c r="BG126" s="259" t="str">
        <f t="shared" ca="1" si="185"/>
        <v/>
      </c>
      <c r="BH126" s="259">
        <f ca="1">IF(IFERROR(MATCH(BG126,DENOMINAZIONE_GIORNALE,0),0)&gt;0,MAX(BH$2:BH125)+1,0)</f>
        <v>0</v>
      </c>
      <c r="BI126" s="259" t="str">
        <f ca="1">IFERROR(INDEX($BG$3:$BH$220,MATCH(ROWS($BI$3:BI126),$BH$3:$BH$220,0),1),"")</f>
        <v/>
      </c>
      <c r="BJ126" s="259" t="str">
        <f t="shared" ca="1" si="186"/>
        <v/>
      </c>
      <c r="BK126" s="259" t="str">
        <f ca="1">IF(IF(BJ126&lt;&gt;"",MAX($BK$2:BK125)+1,0)=0,"",IF(BJ126&lt;&gt;"",MAX($BK$2:BK125)+1,0))</f>
        <v/>
      </c>
      <c r="BL126" s="259" t="str">
        <f ca="1">IFERROR(INDEX($T$3:$U$220, MATCH(ROWS(BL$3:BL126),$V$3:$V$220,0),1),"")</f>
        <v/>
      </c>
      <c r="BM126" s="259" t="str">
        <f ca="1">IFERROR(INDEX($T$3:$U$220, MATCH(ROWS(BM$3:BM126),$V$3:$V$220,0),2),"")</f>
        <v/>
      </c>
      <c r="BN126" s="259" t="str">
        <f ca="1">IF(IFERROR(INDEX($BI$3:$BJ$220,MATCH(ROWS(BN$3:BN126),$BK$3:$BK$220,0),1),"")="PATRIMONIO NETTO","",IFERROR(INDEX($BI$3:$BJ$220,MATCH(ROWS(BN$3:BN126),$BK$3:$BK$220,0),1),""))</f>
        <v/>
      </c>
      <c r="BO126" s="259" t="str">
        <f ca="1">IFERROR(INDEX($BI$3:$BJ$220,MATCH(ROWS(BO$3:BO126),$BK$3:$BK$220,0),2),"")</f>
        <v/>
      </c>
      <c r="BP126" s="259">
        <f ca="1">IF(BN126&lt;&gt;"",MAX(BP$2:$BP125)+1,0)</f>
        <v>0</v>
      </c>
      <c r="BQ126" s="259" t="str">
        <f ca="1">IFERROR(INDEX($BN$3:$BO$200,MATCH(ROWS(BQ$3:BQ126),$BP$3:$BP$220,0),1),"")</f>
        <v/>
      </c>
      <c r="BR126" s="259" t="str">
        <f ca="1">IFERROR(INDEX($BN$3:$BO$220,MATCH(ROWS(BR$3:BR126),$BP$3:$BP$220,0),2),"")</f>
        <v/>
      </c>
      <c r="BS126" s="259" t="str">
        <f ca="1">IFERROR(IF(OR(INDEX($T$3:$U$220,MATCH(ROWS(BL$3:BL126),$V$3:$V$220,0),1)="PRELEVAMENTI EXTRAGESTIONE",INDEX($T$3:$U$220,MATCH(ROWS(BL$3:BL126),$V$3:$V$220,0),1)="TITOLARE C/RITENUTE SUBITE"),"",INDEX($T$3:$U$220,MATCH(ROWS(BL$3:BL126),$V$3:$V$220,0),1)),"")</f>
        <v/>
      </c>
      <c r="BT126" s="259">
        <f t="shared" ca="1" si="238"/>
        <v>0</v>
      </c>
      <c r="BU126" s="259">
        <f ca="1">IF(BS126&lt;&gt;"",MAX(BU$2:BU125)+1,0)</f>
        <v>0</v>
      </c>
      <c r="BV126" s="259" t="str">
        <f ca="1">IFERROR(INDEX($BS$3:$BT$223,MATCH(ROWS(BV$3:BV126),$BU$3:$BU$223,0),1),"")</f>
        <v/>
      </c>
      <c r="BW126" s="259">
        <f t="shared" ca="1" si="239"/>
        <v>0</v>
      </c>
      <c r="CB126" s="259" t="str">
        <f ca="1">IFERROR(IF(OR($BB$1&lt;&gt;$BD$1,$BC$1&lt;&gt;$BE$1,$DS$231&lt;&gt;$DT$231,$DU$231&lt;&gt;$DV$231,$EO$25&lt;&gt;0,$EO$26&lt;&gt;0),INDEX($BI$3:$BK$220,MATCH(ROWS($CB$3:CB126),$BK$3:$BK$220,0),1),CONCATENATE(BQ126,BX126)),"")</f>
        <v/>
      </c>
      <c r="CC126" s="259" t="str">
        <f t="shared" ca="1" si="243"/>
        <v/>
      </c>
      <c r="CD126" s="259" t="str">
        <f t="shared" ca="1" si="187"/>
        <v>CONSULENZE</v>
      </c>
      <c r="CE126" s="259">
        <f ca="1">IF(IFERROR(MATCH(CD126,DENOMINAZIONE_GIORNALE,0),0)&gt;0,MAX(CE$2:CE125)+1,0)</f>
        <v>0</v>
      </c>
      <c r="CF126" s="259" t="str">
        <f ca="1">IFERROR(INDEX($CD$3:$CE$220,MATCH(ROWS($CF$3:CF126),$CE$3:$CE$220,0),1),"")</f>
        <v/>
      </c>
      <c r="CG126" s="259">
        <f t="shared" ca="1" si="188"/>
        <v>0</v>
      </c>
      <c r="CH126" s="259" t="str">
        <f ca="1">IF(IF(CG126&lt;&gt;0,MAX($CH$2:CH125)+1,0)=0,"",IF(CG126&lt;&gt;"",MAX($CH$2:CH125)+1,0))</f>
        <v/>
      </c>
      <c r="CI126" s="259" t="str">
        <f ca="1">IFERROR(INDEX($CF$3:$CG$220,MATCH(ROWS($CI$3:CI126),$CH$3:$CH$220,0),1),"")</f>
        <v/>
      </c>
      <c r="CJ126" s="259" t="str">
        <f t="shared" ca="1" si="244"/>
        <v/>
      </c>
      <c r="CK126" s="259" t="str">
        <f t="shared" ca="1" si="189"/>
        <v/>
      </c>
      <c r="CL126" s="259">
        <f ca="1">IF(IFERROR(MATCH(CK126,DENOMINAZIONE_GIORNALE,0),0)&gt;0,MAX(CL$2:CL125)+1,0)</f>
        <v>0</v>
      </c>
      <c r="CM126" s="259" t="str">
        <f ca="1">IFERROR(INDEX($CK$3:$CL$220,MATCH(ROWS($CM$3:CM126),$CL$3:$CL$220,0),1),"")</f>
        <v/>
      </c>
      <c r="CN126" s="259" t="str">
        <f t="shared" ca="1" si="190"/>
        <v/>
      </c>
      <c r="CO126" s="259">
        <f ca="1">IF(IF(CN126&lt;&gt;0,MAX($CO$2:CO125)+1,0)=0,"",IF(CN126&lt;&gt;"",MAX($CO$2:CO125)+1,0))</f>
        <v>0</v>
      </c>
      <c r="CP126" s="259" t="str">
        <f ca="1">IFERROR(INDEX($CM$3:$CN$220,MATCH(ROWS(CP$3:CP126),$CO$3:$CO$220,0),1),"")</f>
        <v/>
      </c>
      <c r="CQ126" s="259" t="str">
        <f ca="1">IFERROR(INDEX($CM$3:$CN$220,MATCH(ROWS(CQ$3:CQ126),$CO$3:$CO$220,0),2),"")</f>
        <v/>
      </c>
      <c r="CS126" s="259">
        <f t="shared" ca="1" si="192"/>
        <v>0</v>
      </c>
      <c r="CT126" s="259">
        <f t="shared" ca="1" si="193"/>
        <v>0</v>
      </c>
      <c r="CU126" s="259">
        <f ca="1">IF(OR(CS126&gt;0,CT126&gt;0),MAX($CU$2:CU125)+1,0)</f>
        <v>0</v>
      </c>
      <c r="CV126" s="259" t="str">
        <f ca="1">IFERROR(INDEX(PIANO_DEI_CONTI,MATCH(ROWS($CV$3:CV126),$CU$3:$CU$200,0),2),"")</f>
        <v/>
      </c>
      <c r="CW126" s="259">
        <f ca="1">IFERROR(IF(CV126&lt;&gt;"",MAX($CW$2:CW125)+1,0),0)</f>
        <v>0</v>
      </c>
      <c r="CX126" s="259">
        <f t="shared" ca="1" si="355"/>
        <v>7</v>
      </c>
      <c r="CY126" s="259" t="str">
        <f t="shared" ca="1" si="337"/>
        <v>MASTRO</v>
      </c>
      <c r="CZ126" s="259" t="e">
        <f t="shared" ca="1" si="357"/>
        <v>#N/A</v>
      </c>
      <c r="DA126" s="259" t="str">
        <f t="shared" ca="1" si="362"/>
        <v/>
      </c>
      <c r="DB126" s="259" t="str">
        <f t="shared" ca="1" si="358"/>
        <v/>
      </c>
      <c r="DC126" s="259" t="str">
        <f t="shared" ca="1" si="359"/>
        <v/>
      </c>
      <c r="DD126" s="259" t="str">
        <f t="shared" ca="1" si="360"/>
        <v/>
      </c>
      <c r="DE126" s="259" t="str">
        <f t="shared" ca="1" si="361"/>
        <v/>
      </c>
      <c r="DF126" s="259">
        <f ca="1">IF(AND(CX126=$DE$2,$DF$2&lt;&gt;0),0,IF(AND(DB126&lt;&gt;"",OR(DB125&lt;&gt;"",DB127&lt;&gt;"")),MAX($DF$2:DF125)+1,0))</f>
        <v>0</v>
      </c>
      <c r="DG126" s="259" t="str">
        <f>IF(IF(LIBRO_GIORNALE!E34="","",IFERROR(INDEX(PIANO_DEI_CONTI,MATCH(BB126,DENOMINAZIONE,0),1),0))=0,"",IF(LIBRO_GIORNALE!E34="","",IFERROR(INDEX(PIANO_DEI_CONTI,MATCH(BB126,DENOMINAZIONE,0),1),0)))</f>
        <v/>
      </c>
      <c r="DH126" s="259">
        <f ca="1">IFERROR(IF($J$1=1,IF(INDEX(PIANO_DEI_CONTI,MATCH($K126,DENOMINAZIONE,0),5)=$DF$1,MAX($DH$2:DH125)+1,0),IF($J$1=2,IF(INDEX(PIANO_DEI_CONTI,MATCH($K126,DENOMINAZIONE,0),7)=$DF$1,MAX($DH$2:DH125)+1,0))),0)</f>
        <v>0</v>
      </c>
      <c r="DI126" s="259">
        <f ca="1">IFERROR(INDEX($K$3:$K$220,MATCH(ROWS($DI$3:DI126),$DH$3:$DH$220,0),1),0)</f>
        <v>0</v>
      </c>
      <c r="DJ126" s="259">
        <f t="shared" ca="1" si="194"/>
        <v>0</v>
      </c>
      <c r="DK126" s="259">
        <f ca="1">IF(DJ126=0,0,MAX(DK$2:DK125)+1)</f>
        <v>0</v>
      </c>
      <c r="DL126" s="259">
        <f ca="1">IFERROR(INDEX(PIANO_DEI_CONTI,MATCH(ROWS(DL$3:DL126),$DK$3:DK353,0),2),0)</f>
        <v>0</v>
      </c>
      <c r="DM126" s="259">
        <f t="shared" ca="1" si="195"/>
        <v>0</v>
      </c>
      <c r="DN126" s="259">
        <f t="shared" ca="1" si="196"/>
        <v>0</v>
      </c>
      <c r="DO126" s="259">
        <f t="shared" ca="1" si="245"/>
        <v>0</v>
      </c>
      <c r="DP126" s="259">
        <f t="shared" ca="1" si="246"/>
        <v>0</v>
      </c>
      <c r="DQ126" s="259">
        <f ca="1">IF(OR($DQ$1="TOTALI",$DQ$1="TOTALI ED ECCEDENZE"),IF(OR(DM126&gt;0,DN126&gt;0),MAX(DQ$2:DQ125)+1,0),IF($DQ$1="ECCEDENZE",IF(OR(DO126&gt;0,DP126&gt;0),MAX(DQ$2:DQ125)+1,0),""))</f>
        <v>0</v>
      </c>
      <c r="DR126" s="259" t="str">
        <f ca="1">IFERROR(INDEX($DL$3:$DQ$230,MATCH(ROWS(DR$3:DR126),$DQ$3:$DQ$230,0),1),"")</f>
        <v/>
      </c>
      <c r="DS126" s="259" t="str">
        <f t="shared" ca="1" si="247"/>
        <v/>
      </c>
      <c r="DT126" s="259" t="str">
        <f t="shared" ca="1" si="248"/>
        <v/>
      </c>
      <c r="DU126" s="259" t="str">
        <f t="shared" ca="1" si="249"/>
        <v/>
      </c>
      <c r="DV126" s="259" t="str">
        <f t="shared" ca="1" si="250"/>
        <v/>
      </c>
      <c r="DW126" s="259">
        <f t="shared" ca="1" si="251"/>
        <v>0</v>
      </c>
      <c r="DX126" s="259" t="str">
        <f t="shared" ca="1" si="252"/>
        <v/>
      </c>
      <c r="DY126" s="259" t="str">
        <f t="shared" ca="1" si="253"/>
        <v/>
      </c>
      <c r="DZ126" s="259" t="str">
        <f t="shared" ca="1" si="254"/>
        <v/>
      </c>
      <c r="EB126" s="259" t="s">
        <v>369</v>
      </c>
      <c r="ED126" s="259">
        <f t="shared" ca="1" si="197"/>
        <v>0</v>
      </c>
      <c r="EH126" s="259" t="str">
        <f t="shared" ca="1" si="256"/>
        <v/>
      </c>
      <c r="EI126" s="260" t="b">
        <f t="shared" ca="1" si="310"/>
        <v>1</v>
      </c>
      <c r="EJ126" s="260" t="b">
        <f t="shared" ca="1" si="311"/>
        <v>1</v>
      </c>
      <c r="EK126" s="260" t="b">
        <f t="shared" ca="1" si="312"/>
        <v>1</v>
      </c>
      <c r="EL126" s="259">
        <f t="shared" si="257"/>
        <v>124</v>
      </c>
      <c r="EM126" s="259">
        <f ca="1">IF(AND(BA126&gt;0,BA126&lt;=$EM$1),MAX($EM$2:EM125)+1,0)</f>
        <v>0</v>
      </c>
      <c r="EN126" s="259">
        <f t="shared" ca="1" si="258"/>
        <v>126</v>
      </c>
      <c r="EP126" s="259" t="str">
        <f t="shared" ca="1" si="200"/>
        <v/>
      </c>
      <c r="EQ126" s="259">
        <f t="shared" ca="1" si="201"/>
        <v>0</v>
      </c>
      <c r="ER126" s="259">
        <f ca="1">IF(ISNA(EQ126),MAX(ER$2:ER125)+1,0)</f>
        <v>0</v>
      </c>
      <c r="ES126" s="259" t="str">
        <f t="shared" ca="1" si="259"/>
        <v/>
      </c>
      <c r="ET126" s="259" t="str">
        <f ca="1">IFERROR(UPPER(INDEX($ER$3:$ES$500,MATCH(ROWS(ET$3:ET126),$ER$3:$ER$500,0),2)),"")</f>
        <v/>
      </c>
      <c r="EW126" s="259">
        <f t="shared" ca="1" si="344"/>
        <v>1</v>
      </c>
      <c r="EX126" s="259">
        <v>24</v>
      </c>
      <c r="EY126" s="259">
        <f t="shared" ca="1" si="345"/>
        <v>0</v>
      </c>
      <c r="EZ126" s="259">
        <f t="shared" ca="1" si="346"/>
        <v>0</v>
      </c>
      <c r="FA126" s="259">
        <f t="shared" ca="1" si="347"/>
        <v>0</v>
      </c>
      <c r="FB126" s="259">
        <f t="shared" ca="1" si="348"/>
        <v>0</v>
      </c>
      <c r="FC126" s="259">
        <f t="shared" ca="1" si="349"/>
        <v>0</v>
      </c>
      <c r="FD126" s="259">
        <f t="shared" ca="1" si="202"/>
        <v>0</v>
      </c>
      <c r="FE126" s="259" t="str">
        <f t="shared" ca="1" si="203"/>
        <v/>
      </c>
      <c r="FF126" s="259" t="str">
        <f t="shared" ca="1" si="350"/>
        <v/>
      </c>
      <c r="FM126" s="259">
        <f t="shared" ca="1" si="205"/>
        <v>0</v>
      </c>
      <c r="FN126" s="259">
        <f ca="1">IF(FM126&lt;0,MAX($FN$2:FN125)+1,0)</f>
        <v>0</v>
      </c>
      <c r="FO126" s="259" t="str">
        <f t="shared" ca="1" si="268"/>
        <v/>
      </c>
      <c r="FP126" s="259" t="str">
        <f ca="1">IFERROR(INDEX($FN$3:$FO$400,MATCH(ROWS($FP$3:FP126),$FN$3:$FN$400,0),2),"")</f>
        <v/>
      </c>
      <c r="FQ126" s="259" t="str">
        <f>IF(AE126="SE AVERE",MAX($FQ$2:FQ125)+1,"")</f>
        <v/>
      </c>
      <c r="FR126" s="259">
        <f>IF(AE126="SE DARE",MAX($FR$2:FR125)+1,"")</f>
        <v>31</v>
      </c>
      <c r="FS126" s="259" t="str">
        <f ca="1">IF(AND(AE126="SP DARE",AA126&lt;&gt;$FS$1,AA126&lt;&gt;$FT$1),MAX($FS$2:FS125)+1,IF(AND(GQ126="SP DARE",AA126&lt;&gt;$FS$1,AA126&lt;&gt;$FT$1),MAX($FS$2:FS125)+1,""))</f>
        <v/>
      </c>
      <c r="FT126" s="259" t="str">
        <f ca="1">IF(AND(AE126="SP AVERE",AA126&lt;&gt;$FU$1),MAX($FT$2:FT125)+1,IF(AND(GQ126="SP AVERE",AA126&lt;&gt;$FU$1),MAX($FT$2:FT125)+1,""))</f>
        <v/>
      </c>
      <c r="FU126" s="259">
        <f t="shared" ca="1" si="269"/>
        <v>31</v>
      </c>
      <c r="FV126" s="259" t="str">
        <f t="shared" si="270"/>
        <v>CONSULENZE</v>
      </c>
      <c r="FW126" s="259" t="str">
        <f ca="1">IFERROR(INDEX($FU$3:$FV$500,MATCH(ROWS($FW$3:FW126),$FU$3:$FU$500,0),2),0)</f>
        <v>PERSONALE C/ACCONTI</v>
      </c>
      <c r="FX126" s="259">
        <f t="shared" ca="1" si="271"/>
        <v>124</v>
      </c>
      <c r="FY126" s="259">
        <f t="shared" ca="1" si="272"/>
        <v>0</v>
      </c>
      <c r="FZ126" s="259">
        <f ca="1">IF(FY126&gt;0,MAX($FZ$2:FZ125)+1,0)</f>
        <v>0</v>
      </c>
      <c r="GA126" s="259">
        <f ca="1">IFERROR(INDEX($FY$3:$FZ$500,MATCH(ROWS($GA$3:GA126),$FZ$3:$FZ$500,0),1),0)</f>
        <v>0</v>
      </c>
      <c r="GC126" s="259">
        <f t="shared" ca="1" si="273"/>
        <v>124</v>
      </c>
      <c r="GD126" s="259" t="str">
        <f t="shared" ca="1" si="274"/>
        <v>PERSONALE C/ACCONTI</v>
      </c>
      <c r="GG126" s="259">
        <f t="shared" ca="1" si="275"/>
        <v>0</v>
      </c>
      <c r="GH126" s="259">
        <f t="shared" ca="1" si="276"/>
        <v>0</v>
      </c>
      <c r="GI126" s="259">
        <f t="shared" ca="1" si="277"/>
        <v>0</v>
      </c>
      <c r="GJ126" s="259">
        <f t="shared" ca="1" si="278"/>
        <v>0</v>
      </c>
      <c r="GK126" s="259">
        <f t="shared" ca="1" si="279"/>
        <v>0</v>
      </c>
      <c r="GL126" s="259">
        <f t="shared" ca="1" si="280"/>
        <v>0</v>
      </c>
      <c r="GM126" s="259">
        <f ca="1">IF(OR(GK126&gt;0,GL126&gt;0),MAX($GM$2:GM125)+1,0)</f>
        <v>0</v>
      </c>
      <c r="GN126" s="259" t="str">
        <f ca="1">IFERROR(INDEX($GD$3:$GM$400,MATCH(ROWS($GN$3:GN126),$GM$3:$GM$400,0),1),"")</f>
        <v/>
      </c>
      <c r="GO126" s="259" t="str">
        <f ca="1">IFERROR(INDEX($GD$3:$GM$400,MATCH(ROWS($GO$3:GO126),$GM$3:$GM$400,0),8),"")</f>
        <v/>
      </c>
      <c r="GP126" s="259" t="str">
        <f ca="1">IFERROR(INDEX($GD$3:$GM$400,MATCH(ROWS($GP$3:GP126),$GM$3:$GM$400,0),9),"")</f>
        <v/>
      </c>
      <c r="GQ126" s="259">
        <f t="shared" ca="1" si="206"/>
        <v>0</v>
      </c>
      <c r="GR126" s="259">
        <f t="shared" ca="1" si="281"/>
        <v>0</v>
      </c>
      <c r="GS126" s="259" t="str">
        <f t="shared" ca="1" si="282"/>
        <v>chiusura del conto</v>
      </c>
      <c r="GT126" s="259" t="str">
        <f ca="1">IFERROR(INDEX($GD$3:$GS$400,MATCH(ROWS($GT$3:GT126),$GM$3:$GM$400,0),16),"")</f>
        <v/>
      </c>
      <c r="GU126" s="259">
        <f ca="1">IF(GQ126&lt;&gt;0,MAX($GU$2:$GU125)+1,0)</f>
        <v>0</v>
      </c>
      <c r="GV126" s="259">
        <f t="shared" ca="1" si="283"/>
        <v>0</v>
      </c>
      <c r="GW126" s="259" t="str">
        <f ca="1">IF(AND(IFERROR(INDEX($GU$3:$GV$400,MATCH(ROWS($GW$3:GW126),$GU$3:$GU$400,0),2),"")&lt;&gt;"",GW127&lt;&gt;""),CONCATENATE(IFERROR(INDEX($GU$3:$GV$400,MATCH(ROWS($GW$3:GW126),$GU$3:$GU$400,0),2),"")," - "),IFERROR(INDEX($GU$3:$GV$400,MATCH(ROWS($GW$3:GW126),$GU$3:$GU$400,0),2),""))</f>
        <v/>
      </c>
      <c r="GX126" s="259">
        <f ca="1">IF(OR(GN126="IVA NS/CREDITO",GN126="IVA NS/DEBITO",GN126="IVA C/ACCONTO",GN126="IMPOSTE C/ACCONTO"),MAX($GX$2:GX125)+1,0)</f>
        <v>0</v>
      </c>
      <c r="GY126" s="259" t="str">
        <f ca="1">IF(AND(IFERROR(INDEX($GN$3:$GX$200,MATCH(ROWS($GY$3:GY126),$GX$3:$GX$200,0),1),"")&lt;&gt;"",GY127&lt;&gt;""),CONCATENATE(IFERROR(INDEX($GN$3:$GX$200,MATCH(ROWS($GY$3:GY126),$GX$3:$GX$200,0),1),"")," - "),IFERROR(INDEX($GN$3:$GX$200,MATCH(ROWS($GY$3:GY126),$GX$3:$GX$200,0),1),""))</f>
        <v/>
      </c>
      <c r="GZ126" s="259" t="s">
        <v>481</v>
      </c>
      <c r="HA126" s="259" t="s">
        <v>560</v>
      </c>
      <c r="HB126" s="269" t="s">
        <v>256</v>
      </c>
      <c r="HC126" s="269" t="s">
        <v>276</v>
      </c>
      <c r="HD126" s="269" t="s">
        <v>267</v>
      </c>
      <c r="HE126" s="269" t="s">
        <v>214</v>
      </c>
      <c r="HV126" s="259" t="str">
        <f ca="1">CONCATENATE(IFERROR(INDEX($HS$3:$HT$102,MATCH(ROWS($HV$3:HV126),$HT$3:$HT$102,0),1),""),HR126)</f>
        <v/>
      </c>
      <c r="IC126" s="259">
        <f ca="1">IFERROR(INDEX(PIANO_DEI_CONTI,MATCH(ROWS(DL$3:DL126),$DK$3:DK353,0),2),0)</f>
        <v>0</v>
      </c>
      <c r="ID126" s="259">
        <f t="shared" ca="1" si="288"/>
        <v>0</v>
      </c>
      <c r="IE126" s="259">
        <f t="shared" ca="1" si="289"/>
        <v>0</v>
      </c>
      <c r="IF126" s="259">
        <f t="shared" ca="1" si="290"/>
        <v>0</v>
      </c>
      <c r="IG126" s="259">
        <f t="shared" ca="1" si="324"/>
        <v>0</v>
      </c>
      <c r="IH126" s="259">
        <f ca="1">IF(IG126&lt;&gt;0,MAX($IH$35:IH125)+1,0)</f>
        <v>0</v>
      </c>
      <c r="II126" s="259">
        <f>IF(AD126="costi pluriennali",MAX($II$2:II125)+1,0)</f>
        <v>0</v>
      </c>
      <c r="IJ126" s="259">
        <f>IF($AD126="rettifiche costi pluriennali",MAX($IJ$2:IJ125)+1,0)</f>
        <v>0</v>
      </c>
      <c r="IK126" s="259">
        <f t="shared" si="291"/>
        <v>0</v>
      </c>
      <c r="IL126" s="259" t="str">
        <f t="shared" si="292"/>
        <v/>
      </c>
      <c r="IM126" s="259">
        <f t="shared" ca="1" si="293"/>
        <v>0</v>
      </c>
      <c r="IN126" s="259">
        <f t="shared" ca="1" si="313"/>
        <v>0</v>
      </c>
      <c r="IO126" s="259">
        <f>SUMIFS($IM$3:$IM$200,$IK$3:$IK$200,ROWS($IO$3:IO126))-SUMIFS($IN$3:$IN$200,$IK$3:$IK$200,ROWS($IO$3:IO126))</f>
        <v>0</v>
      </c>
      <c r="IP126" s="259" t="str">
        <f>IF(IO126&lt;0,INDEX($IJ$3:$IL$200,MATCH(ROWS($IP$3:IP126),$IJ$3:$IJ$200,0),3),"")</f>
        <v/>
      </c>
      <c r="IQ126" s="259">
        <f>IF(IP126&lt;&gt;"",MAX($IQ$2:IQ125)+1,0)</f>
        <v>0</v>
      </c>
      <c r="IR126" s="259" t="str">
        <f ca="1">IFERROR(INDEX($IP$3:$IQ$200,MATCH(ROWS($IR$3:IR126),$IQ$3:$IQ$200,0),1),"")</f>
        <v/>
      </c>
      <c r="IS126" s="259" t="str">
        <f t="shared" ca="1" si="294"/>
        <v/>
      </c>
      <c r="IT126" s="259" t="str">
        <f t="shared" ca="1" si="295"/>
        <v/>
      </c>
      <c r="IU126" s="259" t="str">
        <f t="shared" ca="1" si="296"/>
        <v/>
      </c>
      <c r="IV126" s="259" t="str">
        <f t="shared" ca="1" si="297"/>
        <v/>
      </c>
      <c r="IW126" s="259" t="str">
        <f t="shared" ca="1" si="298"/>
        <v/>
      </c>
      <c r="IX126" s="259" t="str">
        <f t="shared" ca="1" si="299"/>
        <v/>
      </c>
      <c r="IY126" s="259" t="str">
        <f t="shared" ca="1" si="300"/>
        <v/>
      </c>
      <c r="IZ126" s="259" t="str">
        <f t="shared" ca="1" si="301"/>
        <v/>
      </c>
      <c r="JA126" s="259" t="str">
        <f t="shared" ca="1" si="302"/>
        <v/>
      </c>
      <c r="JB126" s="259">
        <f t="shared" ca="1" si="210"/>
        <v>0</v>
      </c>
      <c r="JC126" s="259">
        <f t="shared" ca="1" si="351"/>
        <v>0</v>
      </c>
      <c r="JD126" s="259">
        <f t="shared" ca="1" si="352"/>
        <v>0</v>
      </c>
      <c r="JM126" s="259">
        <f t="shared" ca="1" si="353"/>
        <v>0</v>
      </c>
    </row>
    <row r="127" spans="1:273">
      <c r="A127" s="259" t="str">
        <f t="shared" si="211"/>
        <v>20.12</v>
      </c>
      <c r="B127" s="259" t="str">
        <f t="shared" si="212"/>
        <v>PREMI SU VENDITE</v>
      </c>
      <c r="C127" s="259" t="str">
        <f t="shared" si="213"/>
        <v>E</v>
      </c>
      <c r="D127" s="259" t="str">
        <f t="shared" si="214"/>
        <v>D</v>
      </c>
      <c r="E127" s="259" t="str">
        <f t="shared" si="215"/>
        <v>RETTIFICHE RICAVI D'ESERCIZIO</v>
      </c>
      <c r="F127" s="259" t="str">
        <f t="shared" si="216"/>
        <v>SE DARE</v>
      </c>
      <c r="G127" s="259">
        <f t="shared" ca="1" si="217"/>
        <v>1</v>
      </c>
      <c r="H127" s="259">
        <f t="shared" ca="1" si="218"/>
        <v>1</v>
      </c>
      <c r="I127" s="259">
        <f t="shared" ca="1" si="219"/>
        <v>1</v>
      </c>
      <c r="K127" s="259" t="str">
        <f ca="1">IFERROR(IF($I$1=1,INDEX($AA$3:$AS$220,MATCH(ROWS($K$3:K127),$AQ$3:$AQ$220,0),1),IF($I$1=2,INDEX($AA$3:$AS$220,MATCH(ROWS($K$3:K127),$AR$3:$AR$220,0),1),IF($I$1=3,INDEX($AA$3:$AS$220,MATCH(ROWS($K$3:K127),$AS$3:$AS$220,0),1),""))),"")</f>
        <v>COSTI PER I LOCALI</v>
      </c>
      <c r="L127" s="259">
        <f ca="1">IF(AND($L$1="VISUALIZZA TUTTI I CONTI",K127&lt;&gt;""),MAX(L126:L126)+1,IFERROR(IF($J$1=1,IF(INDEX(PIANO_DEI_CONTI,MATCH($K127,DENOMINAZIONE,0),5)=$L$1,MAX($L$2:L126)+1,0),IF($J$1=2,IF(INDEX(PIANO_DEI_CONTI,MATCH($K127,DENOMINAZIONE,0),7)=$L$1,MAX($L$2:L126)+1,0))),0))</f>
        <v>125</v>
      </c>
      <c r="M127" s="259" t="str">
        <f ca="1">IFERROR(INDEX($K$3:$K$220,MATCH(ROWS($M$3:M127),$L$3:$L$220,0),1),"")</f>
        <v>COSTI PER I LOCALI</v>
      </c>
      <c r="Q127" s="259" t="str">
        <f ca="1">IF(IFERROR(INDEX($O$3:$P$220,MATCH(ROWS(Q$3:Q127),$P$3:$P$220,0),1),"")=0,"",IFERROR(INDEX($O$3:$P$220,MATCH(ROWS(Q$3:Q127),$P$3:$P$220,0),1),""))</f>
        <v/>
      </c>
      <c r="R127" s="259" t="str">
        <f t="shared" ca="1" si="182"/>
        <v/>
      </c>
      <c r="S127" s="259">
        <f ca="1">IF(IFERROR(MATCH(R127,DENOMINAZIONE_GIORNALE,0),0)&gt;0,MAX(S$2:S126)+1,0)</f>
        <v>0</v>
      </c>
      <c r="T127" s="259" t="str">
        <f ca="1">IFERROR(INDEX($R$3:$S$220,MATCH(ROWS($T$3:T127),$S$3:$S$220,0),1),"")</f>
        <v/>
      </c>
      <c r="U127" s="259">
        <f t="shared" ca="1" si="183"/>
        <v>0</v>
      </c>
      <c r="V127" s="259">
        <f ca="1">IF(IF(U127&lt;&gt;0,MAX($V$2:V126)+1,0)=0,0,IF(U127&lt;&gt;0,MAX($V$2:V126)+1,0))</f>
        <v>0</v>
      </c>
      <c r="W127" s="259" t="str">
        <f t="shared" si="220"/>
        <v>20.12</v>
      </c>
      <c r="X127" s="259" t="str">
        <f t="shared" si="221"/>
        <v>PREMI SU VENDITE</v>
      </c>
      <c r="Y127" s="259">
        <f>IF(W127="",0,MAX($Y$2:Y126)+1)</f>
        <v>107</v>
      </c>
      <c r="Z127" s="259" t="str">
        <f>IFERROR(INDEX($W$3:$Y$220,MATCH(ROWS($Z$2:Z126),$Y$3:$Y$220,0),1),"")</f>
        <v>31.05</v>
      </c>
      <c r="AA127" s="259" t="str">
        <f t="shared" si="222"/>
        <v>COSTI TELEFONICI</v>
      </c>
      <c r="AB127" s="259" t="str">
        <f t="shared" si="223"/>
        <v>E</v>
      </c>
      <c r="AC127" s="259" t="str">
        <f t="shared" si="224"/>
        <v>D</v>
      </c>
      <c r="AD127" s="259" t="str">
        <f t="shared" si="225"/>
        <v>COSTI D'ESERCIZIO</v>
      </c>
      <c r="AE127" s="259" t="str">
        <f t="shared" si="226"/>
        <v>SE DARE</v>
      </c>
      <c r="AF127" s="259" t="str">
        <f t="shared" si="227"/>
        <v>COSTI PER SERVIZI</v>
      </c>
      <c r="AG127" s="259">
        <f t="shared" ca="1" si="228"/>
        <v>1</v>
      </c>
      <c r="AH127" s="259">
        <f t="shared" ca="1" si="229"/>
        <v>1</v>
      </c>
      <c r="AI127" s="259">
        <f t="shared" ca="1" si="230"/>
        <v>1</v>
      </c>
      <c r="AJ127" s="259" t="str">
        <f t="shared" si="231"/>
        <v>31</v>
      </c>
      <c r="AK127" s="259" t="str">
        <f t="shared" si="232"/>
        <v/>
      </c>
      <c r="AL127" s="259">
        <f>IF(AK127&lt;&gt;"",MAX($AL$2:AL126)+1,0)</f>
        <v>0</v>
      </c>
      <c r="AM127" s="259" t="str">
        <f>IFERROR(INDEX($AK$3:$AL$220,MATCH(ROWS($AM$3:AM127),$AL$3:$AL$220,0),1),"")</f>
        <v/>
      </c>
      <c r="AN127" s="259" t="str">
        <f t="shared" si="233"/>
        <v/>
      </c>
      <c r="AO127" s="259" t="str">
        <f t="shared" si="234"/>
        <v/>
      </c>
      <c r="AP127" s="259" t="str">
        <f t="shared" si="235"/>
        <v>COSTI PER SERVIZI</v>
      </c>
      <c r="AQ127" s="259">
        <f ca="1">IF(OR(AG127=0,AG127=""),0,MAX(AQ$2:AQ126)+1)</f>
        <v>66</v>
      </c>
      <c r="AR127" s="259">
        <f ca="1">IF(OR(AH127=0,AH127=""),0,MAX(AR$2:AR126)+1)</f>
        <v>91</v>
      </c>
      <c r="AS127" s="259">
        <f ca="1">IF(OR(AI127=0,AI127=""),0,MAX(AS$2:AS126)+1)</f>
        <v>121</v>
      </c>
      <c r="AT127" s="259" t="str">
        <f ca="1">IFERROR(INDEX($AD$3:$AS$220,MATCH(ROWS(AT$3:AT127),AQ$3:AQ$220,0),1),"")</f>
        <v/>
      </c>
      <c r="AU127" s="259" t="str">
        <f ca="1">IFERROR(INDEX($AD$3:$AS$220,MATCH(ROWS(AU$3:AU127),AR$3:AR$220,0),1),"")</f>
        <v/>
      </c>
      <c r="AV127" s="259" t="str">
        <f ca="1">IFERROR(INDEX($AD$3:$AS$220,MATCH(ROWS(AV$3:AV127),AS$3:AS$220,0),1),"")</f>
        <v>COSTI D'ESERCIZIO</v>
      </c>
      <c r="AW127" s="259" t="str">
        <f ca="1">IFERROR(INDEX($AP$3:$AS$220,MATCH(ROWS(AW$3:AW127),AQ$3:AQ$220,0),1),"")</f>
        <v/>
      </c>
      <c r="AX127" s="259" t="str">
        <f ca="1">IFERROR(INDEX($AP$3:$AS$220,MATCH(ROWS(AX$3:AX127),AR$3:AR$220,0),1),"")</f>
        <v/>
      </c>
      <c r="AY127" s="259" t="str">
        <f ca="1">IFERROR(INDEX($AP$3:$AS$220,MATCH(ROWS(AY$3:AY127),AS$3:AS$220,0),1),"")</f>
        <v>COSTI PER SERVIZI</v>
      </c>
      <c r="AZ127" s="259" t="str">
        <f t="shared" si="339"/>
        <v>25 V.I.</v>
      </c>
      <c r="BA127" s="259">
        <f t="shared" ca="1" si="338"/>
        <v>0</v>
      </c>
      <c r="BB127" s="259">
        <f t="shared" ca="1" si="340"/>
        <v>0</v>
      </c>
      <c r="BC127" s="259">
        <f t="shared" ca="1" si="341"/>
        <v>0</v>
      </c>
      <c r="BD127" s="259">
        <f t="shared" ca="1" si="342"/>
        <v>0</v>
      </c>
      <c r="BE127" s="259">
        <f t="shared" ca="1" si="343"/>
        <v>0</v>
      </c>
      <c r="BG127" s="259" t="str">
        <f t="shared" ca="1" si="185"/>
        <v/>
      </c>
      <c r="BH127" s="259">
        <f ca="1">IF(IFERROR(MATCH(BG127,DENOMINAZIONE_GIORNALE,0),0)&gt;0,MAX(BH$2:BH126)+1,0)</f>
        <v>0</v>
      </c>
      <c r="BI127" s="259" t="str">
        <f ca="1">IFERROR(INDEX($BG$3:$BH$220,MATCH(ROWS($BI$3:BI127),$BH$3:$BH$220,0),1),"")</f>
        <v/>
      </c>
      <c r="BJ127" s="259" t="str">
        <f t="shared" ca="1" si="186"/>
        <v/>
      </c>
      <c r="BK127" s="259" t="str">
        <f ca="1">IF(IF(BJ127&lt;&gt;"",MAX($BK$2:BK126)+1,0)=0,"",IF(BJ127&lt;&gt;"",MAX($BK$2:BK126)+1,0))</f>
        <v/>
      </c>
      <c r="BL127" s="259" t="str">
        <f ca="1">IFERROR(INDEX($T$3:$U$220, MATCH(ROWS(BL$3:BL127),$V$3:$V$220,0),1),"")</f>
        <v/>
      </c>
      <c r="BM127" s="259" t="str">
        <f ca="1">IFERROR(INDEX($T$3:$U$220, MATCH(ROWS(BM$3:BM127),$V$3:$V$220,0),2),"")</f>
        <v/>
      </c>
      <c r="BN127" s="259" t="str">
        <f ca="1">IF(IFERROR(INDEX($BI$3:$BJ$220,MATCH(ROWS(BN$3:BN127),$BK$3:$BK$220,0),1),"")="PATRIMONIO NETTO","",IFERROR(INDEX($BI$3:$BJ$220,MATCH(ROWS(BN$3:BN127),$BK$3:$BK$220,0),1),""))</f>
        <v/>
      </c>
      <c r="BO127" s="259" t="str">
        <f ca="1">IFERROR(INDEX($BI$3:$BJ$220,MATCH(ROWS(BO$3:BO127),$BK$3:$BK$220,0),2),"")</f>
        <v/>
      </c>
      <c r="BP127" s="259">
        <f ca="1">IF(BN127&lt;&gt;"",MAX(BP$2:$BP126)+1,0)</f>
        <v>0</v>
      </c>
      <c r="BQ127" s="259" t="str">
        <f ca="1">IFERROR(INDEX($BN$3:$BO$200,MATCH(ROWS(BQ$3:BQ127),$BP$3:$BP$220,0),1),"")</f>
        <v/>
      </c>
      <c r="BR127" s="259" t="str">
        <f ca="1">IFERROR(INDEX($BN$3:$BO$220,MATCH(ROWS(BR$3:BR127),$BP$3:$BP$220,0),2),"")</f>
        <v/>
      </c>
      <c r="BS127" s="259" t="str">
        <f ca="1">IFERROR(IF(OR(INDEX($T$3:$U$220,MATCH(ROWS(BL$3:BL127),$V$3:$V$220,0),1)="PRELEVAMENTI EXTRAGESTIONE",INDEX($T$3:$U$220,MATCH(ROWS(BL$3:BL127),$V$3:$V$220,0),1)="TITOLARE C/RITENUTE SUBITE"),"",INDEX($T$3:$U$220,MATCH(ROWS(BL$3:BL127),$V$3:$V$220,0),1)),"")</f>
        <v/>
      </c>
      <c r="BT127" s="259">
        <f t="shared" ca="1" si="238"/>
        <v>0</v>
      </c>
      <c r="BU127" s="259">
        <f ca="1">IF(BS127&lt;&gt;"",MAX(BU$2:BU126)+1,0)</f>
        <v>0</v>
      </c>
      <c r="BV127" s="259" t="str">
        <f ca="1">IFERROR(INDEX($BS$3:$BT$223,MATCH(ROWS(BV$3:BV127),$BU$3:$BU$223,0),1),"")</f>
        <v/>
      </c>
      <c r="BW127" s="259">
        <f t="shared" ca="1" si="239"/>
        <v>0</v>
      </c>
      <c r="CB127" s="259" t="str">
        <f ca="1">IFERROR(IF(OR($BB$1&lt;&gt;$BD$1,$BC$1&lt;&gt;$BE$1,$DS$231&lt;&gt;$DT$231,$DU$231&lt;&gt;$DV$231,$EO$25&lt;&gt;0,$EO$26&lt;&gt;0),INDEX($BI$3:$BK$220,MATCH(ROWS($CB$3:CB127),$BK$3:$BK$220,0),1),CONCATENATE(BQ127,BX127)),"")</f>
        <v/>
      </c>
      <c r="CC127" s="259" t="str">
        <f t="shared" ca="1" si="243"/>
        <v/>
      </c>
      <c r="CD127" s="259" t="str">
        <f t="shared" ca="1" si="187"/>
        <v>COSTI TELEFONICI</v>
      </c>
      <c r="CE127" s="259">
        <f ca="1">IF(IFERROR(MATCH(CD127,DENOMINAZIONE_GIORNALE,0),0)&gt;0,MAX(CE$2:CE126)+1,0)</f>
        <v>0</v>
      </c>
      <c r="CF127" s="259" t="str">
        <f ca="1">IFERROR(INDEX($CD$3:$CE$220,MATCH(ROWS($CF$3:CF127),$CE$3:$CE$220,0),1),"")</f>
        <v/>
      </c>
      <c r="CG127" s="259">
        <f t="shared" ca="1" si="188"/>
        <v>0</v>
      </c>
      <c r="CH127" s="259" t="str">
        <f ca="1">IF(IF(CG127&lt;&gt;0,MAX($CH$2:CH126)+1,0)=0,"",IF(CG127&lt;&gt;"",MAX($CH$2:CH126)+1,0))</f>
        <v/>
      </c>
      <c r="CI127" s="259" t="str">
        <f ca="1">IFERROR(INDEX($CF$3:$CG$220,MATCH(ROWS($CI$3:CI127),$CH$3:$CH$220,0),1),"")</f>
        <v/>
      </c>
      <c r="CJ127" s="259" t="str">
        <f t="shared" ca="1" si="244"/>
        <v/>
      </c>
      <c r="CK127" s="259" t="str">
        <f t="shared" ca="1" si="189"/>
        <v/>
      </c>
      <c r="CL127" s="259">
        <f ca="1">IF(IFERROR(MATCH(CK127,DENOMINAZIONE_GIORNALE,0),0)&gt;0,MAX(CL$2:CL126)+1,0)</f>
        <v>0</v>
      </c>
      <c r="CM127" s="259" t="str">
        <f ca="1">IFERROR(INDEX($CK$3:$CL$220,MATCH(ROWS($CM$3:CM127),$CL$3:$CL$220,0),1),"")</f>
        <v/>
      </c>
      <c r="CN127" s="259" t="str">
        <f t="shared" ca="1" si="190"/>
        <v/>
      </c>
      <c r="CO127" s="259">
        <f ca="1">IF(IF(CN127&lt;&gt;0,MAX($CO$2:CO126)+1,0)=0,"",IF(CN127&lt;&gt;"",MAX($CO$2:CO126)+1,0))</f>
        <v>0</v>
      </c>
      <c r="CP127" s="259" t="str">
        <f ca="1">IFERROR(INDEX($CM$3:$CN$220,MATCH(ROWS(CP$3:CP127),$CO$3:$CO$220,0),1),"")</f>
        <v/>
      </c>
      <c r="CQ127" s="259" t="str">
        <f ca="1">IFERROR(INDEX($CM$3:$CN$220,MATCH(ROWS(CQ$3:CQ127),$CO$3:$CO$220,0),2),"")</f>
        <v/>
      </c>
      <c r="CS127" s="259">
        <f t="shared" ca="1" si="192"/>
        <v>0</v>
      </c>
      <c r="CT127" s="259">
        <f t="shared" ca="1" si="193"/>
        <v>0</v>
      </c>
      <c r="CU127" s="259">
        <f ca="1">IF(OR(CS127&gt;0,CT127&gt;0),MAX($CU$2:CU126)+1,0)</f>
        <v>0</v>
      </c>
      <c r="CV127" s="259" t="str">
        <f ca="1">IFERROR(INDEX(PIANO_DEI_CONTI,MATCH(ROWS($CV$3:CV127),$CU$3:$CU$200,0),2),"")</f>
        <v/>
      </c>
      <c r="CW127" s="259">
        <f ca="1">IFERROR(IF(CV127&lt;&gt;"",MAX($CW$2:CW126)+1,0),0)</f>
        <v>0</v>
      </c>
      <c r="CX127" s="259">
        <f t="shared" ca="1" si="355"/>
        <v>7</v>
      </c>
      <c r="CY127" s="259" t="str">
        <f t="shared" ca="1" si="337"/>
        <v>MASTRO</v>
      </c>
      <c r="CZ127" s="259" t="e">
        <f t="shared" ca="1" si="357"/>
        <v>#N/A</v>
      </c>
      <c r="DA127" s="259" t="str">
        <f t="shared" ca="1" si="362"/>
        <v/>
      </c>
      <c r="DB127" s="259" t="str">
        <f t="shared" ca="1" si="358"/>
        <v/>
      </c>
      <c r="DC127" s="259" t="str">
        <f t="shared" ca="1" si="359"/>
        <v/>
      </c>
      <c r="DD127" s="259" t="str">
        <f t="shared" ca="1" si="360"/>
        <v/>
      </c>
      <c r="DE127" s="259" t="str">
        <f t="shared" ca="1" si="361"/>
        <v/>
      </c>
      <c r="DF127" s="259">
        <f ca="1">IF(AND(CX127=$DE$2,$DF$2&lt;&gt;0),0,IF(AND(DB127&lt;&gt;"",OR(DB126&lt;&gt;"",DB128&lt;&gt;"")),MAX($DF$2:DF126)+1,0))</f>
        <v>0</v>
      </c>
      <c r="DG127" s="259" t="str">
        <f>IF(IF(LIBRO_GIORNALE!E35="","",IFERROR(INDEX(PIANO_DEI_CONTI,MATCH(BB127,DENOMINAZIONE,0),1),0))=0,"",IF(LIBRO_GIORNALE!E35="","",IFERROR(INDEX(PIANO_DEI_CONTI,MATCH(BB127,DENOMINAZIONE,0),1),0)))</f>
        <v/>
      </c>
      <c r="DH127" s="259">
        <f ca="1">IFERROR(IF($J$1=1,IF(INDEX(PIANO_DEI_CONTI,MATCH($K127,DENOMINAZIONE,0),5)=$DF$1,MAX($DH$2:DH126)+1,0),IF($J$1=2,IF(INDEX(PIANO_DEI_CONTI,MATCH($K127,DENOMINAZIONE,0),7)=$DF$1,MAX($DH$2:DH126)+1,0))),0)</f>
        <v>0</v>
      </c>
      <c r="DI127" s="259">
        <f ca="1">IFERROR(INDEX($K$3:$K$220,MATCH(ROWS($DI$3:DI127),$DH$3:$DH$220,0),1),0)</f>
        <v>0</v>
      </c>
      <c r="DJ127" s="259">
        <f t="shared" ca="1" si="194"/>
        <v>0</v>
      </c>
      <c r="DK127" s="259">
        <f ca="1">IF(DJ127=0,0,MAX(DK$2:DK126)+1)</f>
        <v>0</v>
      </c>
      <c r="DL127" s="259">
        <f ca="1">IFERROR(INDEX(PIANO_DEI_CONTI,MATCH(ROWS(DL$3:DL127),$DK$3:DK354,0),2),0)</f>
        <v>0</v>
      </c>
      <c r="DM127" s="259">
        <f t="shared" ca="1" si="195"/>
        <v>0</v>
      </c>
      <c r="DN127" s="259">
        <f t="shared" ca="1" si="196"/>
        <v>0</v>
      </c>
      <c r="DO127" s="259">
        <f t="shared" ca="1" si="245"/>
        <v>0</v>
      </c>
      <c r="DP127" s="259">
        <f t="shared" ca="1" si="246"/>
        <v>0</v>
      </c>
      <c r="DQ127" s="259">
        <f ca="1">IF(OR($DQ$1="TOTALI",$DQ$1="TOTALI ED ECCEDENZE"),IF(OR(DM127&gt;0,DN127&gt;0),MAX(DQ$2:DQ126)+1,0),IF($DQ$1="ECCEDENZE",IF(OR(DO127&gt;0,DP127&gt;0),MAX(DQ$2:DQ126)+1,0),""))</f>
        <v>0</v>
      </c>
      <c r="DR127" s="259" t="str">
        <f ca="1">IFERROR(INDEX($DL$3:$DQ$230,MATCH(ROWS(DR$3:DR127),$DQ$3:$DQ$230,0),1),"")</f>
        <v/>
      </c>
      <c r="DS127" s="259" t="str">
        <f t="shared" ca="1" si="247"/>
        <v/>
      </c>
      <c r="DT127" s="259" t="str">
        <f t="shared" ca="1" si="248"/>
        <v/>
      </c>
      <c r="DU127" s="259" t="str">
        <f t="shared" ca="1" si="249"/>
        <v/>
      </c>
      <c r="DV127" s="259" t="str">
        <f t="shared" ca="1" si="250"/>
        <v/>
      </c>
      <c r="DW127" s="259">
        <f t="shared" ca="1" si="251"/>
        <v>0</v>
      </c>
      <c r="DX127" s="259" t="str">
        <f t="shared" ca="1" si="252"/>
        <v/>
      </c>
      <c r="DY127" s="259" t="str">
        <f t="shared" ca="1" si="253"/>
        <v/>
      </c>
      <c r="DZ127" s="259" t="str">
        <f t="shared" ca="1" si="254"/>
        <v/>
      </c>
      <c r="EB127" s="259" t="s">
        <v>369</v>
      </c>
      <c r="ED127" s="259">
        <f t="shared" ca="1" si="197"/>
        <v>0</v>
      </c>
      <c r="EH127" s="259" t="str">
        <f t="shared" ca="1" si="256"/>
        <v/>
      </c>
      <c r="EI127" s="260" t="b">
        <f t="shared" ca="1" si="310"/>
        <v>1</v>
      </c>
      <c r="EJ127" s="260" t="b">
        <f t="shared" ca="1" si="311"/>
        <v>1</v>
      </c>
      <c r="EK127" s="260" t="b">
        <f t="shared" ca="1" si="312"/>
        <v>1</v>
      </c>
      <c r="EL127" s="259">
        <f t="shared" si="257"/>
        <v>125</v>
      </c>
      <c r="EM127" s="259">
        <f ca="1">IF(AND(BA127&gt;0,BA127&lt;=$EM$1),MAX($EM$2:EM126)+1,0)</f>
        <v>0</v>
      </c>
      <c r="EN127" s="259">
        <f t="shared" ca="1" si="258"/>
        <v>127</v>
      </c>
      <c r="EP127" s="259" t="str">
        <f t="shared" ca="1" si="200"/>
        <v/>
      </c>
      <c r="EQ127" s="259">
        <f t="shared" ca="1" si="201"/>
        <v>0</v>
      </c>
      <c r="ER127" s="259">
        <f ca="1">IF(ISNA(EQ127),MAX(ER$2:ER126)+1,0)</f>
        <v>0</v>
      </c>
      <c r="ES127" s="259" t="str">
        <f t="shared" ca="1" si="259"/>
        <v/>
      </c>
      <c r="ET127" s="259" t="str">
        <f ca="1">IFERROR(UPPER(INDEX($ER$3:$ES$500,MATCH(ROWS(ET$3:ET127),$ER$3:$ER$500,0),2)),"")</f>
        <v/>
      </c>
      <c r="EW127" s="259">
        <f t="shared" ca="1" si="344"/>
        <v>1</v>
      </c>
      <c r="EX127" s="259">
        <v>25</v>
      </c>
      <c r="EY127" s="259">
        <f t="shared" ca="1" si="345"/>
        <v>0</v>
      </c>
      <c r="EZ127" s="259">
        <f t="shared" ca="1" si="346"/>
        <v>0</v>
      </c>
      <c r="FA127" s="259">
        <f t="shared" ca="1" si="347"/>
        <v>0</v>
      </c>
      <c r="FB127" s="259">
        <f t="shared" ca="1" si="348"/>
        <v>0</v>
      </c>
      <c r="FC127" s="259">
        <f t="shared" ca="1" si="349"/>
        <v>0</v>
      </c>
      <c r="FD127" s="259">
        <f t="shared" ca="1" si="202"/>
        <v>0</v>
      </c>
      <c r="FE127" s="259" t="str">
        <f t="shared" ca="1" si="203"/>
        <v/>
      </c>
      <c r="FF127" s="259" t="str">
        <f t="shared" ca="1" si="350"/>
        <v/>
      </c>
      <c r="FM127" s="259">
        <f t="shared" ca="1" si="205"/>
        <v>0</v>
      </c>
      <c r="FN127" s="259">
        <f ca="1">IF(FM127&lt;0,MAX($FN$2:FN126)+1,0)</f>
        <v>0</v>
      </c>
      <c r="FO127" s="259" t="str">
        <f t="shared" ca="1" si="268"/>
        <v/>
      </c>
      <c r="FP127" s="259" t="str">
        <f ca="1">IFERROR(INDEX($FN$3:$FO$400,MATCH(ROWS($FP$3:FP127),$FN$3:$FN$400,0),2),"")</f>
        <v/>
      </c>
      <c r="FQ127" s="259" t="str">
        <f>IF(AE127="SE AVERE",MAX($FQ$2:FQ126)+1,"")</f>
        <v/>
      </c>
      <c r="FR127" s="259">
        <f>IF(AE127="SE DARE",MAX($FR$2:FR126)+1,"")</f>
        <v>32</v>
      </c>
      <c r="FS127" s="259" t="str">
        <f ca="1">IF(AND(AE127="SP DARE",AA127&lt;&gt;$FS$1,AA127&lt;&gt;$FT$1),MAX($FS$2:FS126)+1,IF(AND(GQ127="SP DARE",AA127&lt;&gt;$FS$1,AA127&lt;&gt;$FT$1),MAX($FS$2:FS126)+1,""))</f>
        <v/>
      </c>
      <c r="FT127" s="259" t="str">
        <f ca="1">IF(AND(AE127="SP AVERE",AA127&lt;&gt;$FU$1),MAX($FT$2:FT126)+1,IF(AND(GQ127="SP AVERE",AA127&lt;&gt;$FU$1),MAX($FT$2:FT126)+1,""))</f>
        <v/>
      </c>
      <c r="FU127" s="259">
        <f t="shared" ca="1" si="269"/>
        <v>32</v>
      </c>
      <c r="FV127" s="259" t="str">
        <f t="shared" si="270"/>
        <v>COSTI TELEFONICI</v>
      </c>
      <c r="FW127" s="259" t="str">
        <f ca="1">IFERROR(INDEX($FU$3:$FV$500,MATCH(ROWS($FW$3:FW127),$FU$3:$FU$500,0),2),0)</f>
        <v>BANCHE C/C ATTIVI</v>
      </c>
      <c r="FX127" s="259">
        <f t="shared" ca="1" si="271"/>
        <v>125</v>
      </c>
      <c r="FY127" s="259">
        <f t="shared" ca="1" si="272"/>
        <v>0</v>
      </c>
      <c r="FZ127" s="259">
        <f ca="1">IF(FY127&gt;0,MAX($FZ$2:FZ126)+1,0)</f>
        <v>0</v>
      </c>
      <c r="GA127" s="259">
        <f ca="1">IFERROR(INDEX($FY$3:$FZ$500,MATCH(ROWS($GA$3:GA127),$FZ$3:$FZ$500,0),1),0)</f>
        <v>0</v>
      </c>
      <c r="GC127" s="259">
        <f t="shared" ca="1" si="273"/>
        <v>125</v>
      </c>
      <c r="GD127" s="259" t="str">
        <f t="shared" ca="1" si="274"/>
        <v>BANCHE C/C ATTIVI</v>
      </c>
      <c r="GG127" s="259">
        <f t="shared" ca="1" si="275"/>
        <v>0</v>
      </c>
      <c r="GH127" s="259">
        <f t="shared" ca="1" si="276"/>
        <v>0</v>
      </c>
      <c r="GI127" s="259">
        <f t="shared" ca="1" si="277"/>
        <v>0</v>
      </c>
      <c r="GJ127" s="259">
        <f t="shared" ca="1" si="278"/>
        <v>0</v>
      </c>
      <c r="GK127" s="259">
        <f t="shared" ca="1" si="279"/>
        <v>0</v>
      </c>
      <c r="GL127" s="259">
        <f t="shared" ca="1" si="280"/>
        <v>0</v>
      </c>
      <c r="GM127" s="259">
        <f ca="1">IF(OR(GK127&gt;0,GL127&gt;0),MAX($GM$2:GM126)+1,0)</f>
        <v>0</v>
      </c>
      <c r="GN127" s="259" t="str">
        <f ca="1">IFERROR(INDEX($GD$3:$GM$400,MATCH(ROWS($GN$3:GN127),$GM$3:$GM$400,0),1),"")</f>
        <v/>
      </c>
      <c r="GO127" s="259" t="str">
        <f ca="1">IFERROR(INDEX($GD$3:$GM$400,MATCH(ROWS($GO$3:GO127),$GM$3:$GM$400,0),8),"")</f>
        <v/>
      </c>
      <c r="GP127" s="259" t="str">
        <f ca="1">IFERROR(INDEX($GD$3:$GM$400,MATCH(ROWS($GP$3:GP127),$GM$3:$GM$400,0),9),"")</f>
        <v/>
      </c>
      <c r="GQ127" s="259">
        <f t="shared" ca="1" si="206"/>
        <v>0</v>
      </c>
      <c r="GR127" s="259">
        <f t="shared" ca="1" si="281"/>
        <v>0</v>
      </c>
      <c r="GS127" s="259" t="str">
        <f t="shared" ca="1" si="282"/>
        <v>chiusura del conto</v>
      </c>
      <c r="GT127" s="259" t="str">
        <f ca="1">IFERROR(INDEX($GD$3:$GS$400,MATCH(ROWS($GT$3:GT127),$GM$3:$GM$400,0),16),"")</f>
        <v/>
      </c>
      <c r="GU127" s="259">
        <f ca="1">IF(GQ127&lt;&gt;0,MAX($GU$2:$GU126)+1,0)</f>
        <v>0</v>
      </c>
      <c r="GV127" s="259">
        <f t="shared" ca="1" si="283"/>
        <v>0</v>
      </c>
      <c r="GW127" s="259" t="str">
        <f ca="1">IF(AND(IFERROR(INDEX($GU$3:$GV$400,MATCH(ROWS($GW$3:GW127),$GU$3:$GU$400,0),2),"")&lt;&gt;"",GW128&lt;&gt;""),CONCATENATE(IFERROR(INDEX($GU$3:$GV$400,MATCH(ROWS($GW$3:GW127),$GU$3:$GU$400,0),2),"")," - "),IFERROR(INDEX($GU$3:$GV$400,MATCH(ROWS($GW$3:GW127),$GU$3:$GU$400,0),2),""))</f>
        <v/>
      </c>
      <c r="GX127" s="259">
        <f ca="1">IF(OR(GN127="IVA NS/CREDITO",GN127="IVA NS/DEBITO",GN127="IVA C/ACCONTO",GN127="IMPOSTE C/ACCONTO"),MAX($GX$2:GX126)+1,0)</f>
        <v>0</v>
      </c>
      <c r="GY127" s="259" t="str">
        <f ca="1">IF(AND(IFERROR(INDEX($GN$3:$GX$200,MATCH(ROWS($GY$3:GY127),$GX$3:$GX$200,0),1),"")&lt;&gt;"",GY128&lt;&gt;""),CONCATENATE(IFERROR(INDEX($GN$3:$GX$200,MATCH(ROWS($GY$3:GY127),$GX$3:$GX$200,0),1),"")," - "),IFERROR(INDEX($GN$3:$GX$200,MATCH(ROWS($GY$3:GY127),$GX$3:$GX$200,0),1),""))</f>
        <v/>
      </c>
      <c r="GZ127" s="259" t="s">
        <v>561</v>
      </c>
      <c r="HA127" s="259" t="s">
        <v>562</v>
      </c>
      <c r="HB127" s="269" t="s">
        <v>256</v>
      </c>
      <c r="HC127" s="269" t="s">
        <v>276</v>
      </c>
      <c r="HD127" s="269" t="s">
        <v>267</v>
      </c>
      <c r="HE127" s="269" t="s">
        <v>214</v>
      </c>
      <c r="HV127" s="259" t="str">
        <f ca="1">CONCATENATE(IFERROR(INDEX($HS$3:$HT$102,MATCH(ROWS($HV$3:HV127),$HT$3:$HT$102,0),1),""),HR127)</f>
        <v/>
      </c>
      <c r="IC127" s="259">
        <f ca="1">IFERROR(INDEX(PIANO_DEI_CONTI,MATCH(ROWS(DL$3:DL127),$DK$3:DK354,0),2),0)</f>
        <v>0</v>
      </c>
      <c r="ID127" s="259">
        <f t="shared" ca="1" si="288"/>
        <v>0</v>
      </c>
      <c r="IE127" s="259">
        <f t="shared" ca="1" si="289"/>
        <v>0</v>
      </c>
      <c r="IF127" s="259">
        <f t="shared" ca="1" si="290"/>
        <v>0</v>
      </c>
      <c r="IG127" s="259">
        <f t="shared" ca="1" si="324"/>
        <v>0</v>
      </c>
      <c r="IH127" s="259">
        <f ca="1">IF(IG127&lt;&gt;0,MAX($IH$35:IH126)+1,0)</f>
        <v>0</v>
      </c>
      <c r="II127" s="259">
        <f>IF(AD127="costi pluriennali",MAX($II$2:II126)+1,0)</f>
        <v>0</v>
      </c>
      <c r="IJ127" s="259">
        <f>IF($AD127="rettifiche costi pluriennali",MAX($IJ$2:IJ126)+1,0)</f>
        <v>0</v>
      </c>
      <c r="IK127" s="259">
        <f t="shared" si="291"/>
        <v>0</v>
      </c>
      <c r="IL127" s="259" t="str">
        <f t="shared" si="292"/>
        <v/>
      </c>
      <c r="IM127" s="259">
        <f t="shared" ca="1" si="293"/>
        <v>0</v>
      </c>
      <c r="IN127" s="259">
        <f t="shared" ca="1" si="313"/>
        <v>0</v>
      </c>
      <c r="IO127" s="259">
        <f>SUMIFS($IM$3:$IM$200,$IK$3:$IK$200,ROWS($IO$3:IO127))-SUMIFS($IN$3:$IN$200,$IK$3:$IK$200,ROWS($IO$3:IO127))</f>
        <v>0</v>
      </c>
      <c r="IP127" s="259" t="str">
        <f>IF(IO127&lt;0,INDEX($IJ$3:$IL$200,MATCH(ROWS($IP$3:IP127),$IJ$3:$IJ$200,0),3),"")</f>
        <v/>
      </c>
      <c r="IQ127" s="259">
        <f>IF(IP127&lt;&gt;"",MAX($IQ$2:IQ126)+1,0)</f>
        <v>0</v>
      </c>
      <c r="IR127" s="259" t="str">
        <f ca="1">IFERROR(INDEX($IP$3:$IQ$200,MATCH(ROWS($IR$3:IR127),$IQ$3:$IQ$200,0),1),"")</f>
        <v/>
      </c>
      <c r="IS127" s="259" t="str">
        <f t="shared" ca="1" si="294"/>
        <v/>
      </c>
      <c r="IT127" s="259" t="str">
        <f t="shared" ca="1" si="295"/>
        <v/>
      </c>
      <c r="IU127" s="259" t="str">
        <f t="shared" ca="1" si="296"/>
        <v/>
      </c>
      <c r="IV127" s="259" t="str">
        <f t="shared" ca="1" si="297"/>
        <v/>
      </c>
      <c r="IW127" s="259" t="str">
        <f t="shared" ca="1" si="298"/>
        <v/>
      </c>
      <c r="IX127" s="259" t="str">
        <f t="shared" ca="1" si="299"/>
        <v/>
      </c>
      <c r="IY127" s="259" t="str">
        <f t="shared" ca="1" si="300"/>
        <v/>
      </c>
      <c r="IZ127" s="259" t="str">
        <f t="shared" ca="1" si="301"/>
        <v/>
      </c>
      <c r="JA127" s="259" t="str">
        <f t="shared" ca="1" si="302"/>
        <v/>
      </c>
      <c r="JB127" s="259">
        <f t="shared" ca="1" si="210"/>
        <v>0</v>
      </c>
      <c r="JC127" s="259">
        <f t="shared" ca="1" si="351"/>
        <v>0</v>
      </c>
      <c r="JD127" s="259">
        <f t="shared" ca="1" si="352"/>
        <v>0</v>
      </c>
      <c r="JM127" s="259">
        <f t="shared" ca="1" si="353"/>
        <v>0</v>
      </c>
    </row>
    <row r="128" spans="1:273">
      <c r="A128" s="259" t="str">
        <f t="shared" si="211"/>
        <v>20.15</v>
      </c>
      <c r="B128" s="259" t="str">
        <f t="shared" si="212"/>
        <v>FITTI ATTIVI</v>
      </c>
      <c r="C128" s="259" t="str">
        <f t="shared" si="213"/>
        <v>E</v>
      </c>
      <c r="D128" s="259" t="str">
        <f t="shared" si="214"/>
        <v>A</v>
      </c>
      <c r="E128" s="259" t="str">
        <f t="shared" si="215"/>
        <v>RICAVI D'ESERCIZIO</v>
      </c>
      <c r="F128" s="259" t="str">
        <f t="shared" si="216"/>
        <v>SE AVERE</v>
      </c>
      <c r="G128" s="259">
        <f t="shared" ca="1" si="217"/>
        <v>1</v>
      </c>
      <c r="H128" s="259">
        <f t="shared" ca="1" si="218"/>
        <v>1</v>
      </c>
      <c r="I128" s="259">
        <f t="shared" ca="1" si="219"/>
        <v>1</v>
      </c>
      <c r="K128" s="259" t="str">
        <f ca="1">IFERROR(IF($I$1=1,INDEX($AA$3:$AS$220,MATCH(ROWS($K$3:K128),$AQ$3:$AQ$220,0),1),IF($I$1=2,INDEX($AA$3:$AS$220,MATCH(ROWS($K$3:K128),$AR$3:$AR$220,0),1),IF($I$1=3,INDEX($AA$3:$AS$220,MATCH(ROWS($K$3:K128),$AS$3:$AS$220,0),1),""))),"")</f>
        <v>MANUTENZIONI E RIPARAZIONI</v>
      </c>
      <c r="L128" s="259">
        <f ca="1">IF(AND($L$1="VISUALIZZA TUTTI I CONTI",K128&lt;&gt;""),MAX(L127:L127)+1,IFERROR(IF($J$1=1,IF(INDEX(PIANO_DEI_CONTI,MATCH($K128,DENOMINAZIONE,0),5)=$L$1,MAX($L$2:L127)+1,0),IF($J$1=2,IF(INDEX(PIANO_DEI_CONTI,MATCH($K128,DENOMINAZIONE,0),7)=$L$1,MAX($L$2:L127)+1,0))),0))</f>
        <v>126</v>
      </c>
      <c r="M128" s="259" t="str">
        <f ca="1">IFERROR(INDEX($K$3:$K$220,MATCH(ROWS($M$3:M128),$L$3:$L$220,0),1),"")</f>
        <v>MANUTENZIONI E RIPARAZIONI</v>
      </c>
      <c r="Q128" s="259" t="str">
        <f ca="1">IF(IFERROR(INDEX($O$3:$P$220,MATCH(ROWS(Q$3:Q128),$P$3:$P$220,0),1),"")=0,"",IFERROR(INDEX($O$3:$P$220,MATCH(ROWS(Q$3:Q128),$P$3:$P$220,0),1),""))</f>
        <v/>
      </c>
      <c r="R128" s="259" t="str">
        <f t="shared" ca="1" si="182"/>
        <v/>
      </c>
      <c r="S128" s="259">
        <f ca="1">IF(IFERROR(MATCH(R128,DENOMINAZIONE_GIORNALE,0),0)&gt;0,MAX(S$2:S127)+1,0)</f>
        <v>0</v>
      </c>
      <c r="T128" s="259" t="str">
        <f ca="1">IFERROR(INDEX($R$3:$S$220,MATCH(ROWS($T$3:T128),$S$3:$S$220,0),1),"")</f>
        <v/>
      </c>
      <c r="U128" s="259">
        <f t="shared" ca="1" si="183"/>
        <v>0</v>
      </c>
      <c r="V128" s="259">
        <f ca="1">IF(IF(U128&lt;&gt;0,MAX($V$2:V127)+1,0)=0,0,IF(U128&lt;&gt;0,MAX($V$2:V127)+1,0))</f>
        <v>0</v>
      </c>
      <c r="W128" s="259" t="str">
        <f t="shared" si="220"/>
        <v>20.15</v>
      </c>
      <c r="X128" s="259" t="str">
        <f t="shared" si="221"/>
        <v>FITTI ATTIVI</v>
      </c>
      <c r="Y128" s="259">
        <f>IF(W128="",0,MAX($Y$2:Y127)+1)</f>
        <v>108</v>
      </c>
      <c r="Z128" s="259" t="str">
        <f>IFERROR(INDEX($W$3:$Y$220,MATCH(ROWS($Z$2:Z127),$Y$3:$Y$220,0),1),"")</f>
        <v>31.06</v>
      </c>
      <c r="AA128" s="259" t="str">
        <f t="shared" si="222"/>
        <v>COSTI DI VIGILANZA</v>
      </c>
      <c r="AB128" s="259" t="str">
        <f t="shared" si="223"/>
        <v>E</v>
      </c>
      <c r="AC128" s="259" t="str">
        <f t="shared" si="224"/>
        <v>D</v>
      </c>
      <c r="AD128" s="259" t="str">
        <f t="shared" si="225"/>
        <v>COSTI D'ESERCIZIO</v>
      </c>
      <c r="AE128" s="259" t="str">
        <f t="shared" si="226"/>
        <v>SE DARE</v>
      </c>
      <c r="AF128" s="259" t="str">
        <f t="shared" si="227"/>
        <v>COSTI PER SERVIZI</v>
      </c>
      <c r="AG128" s="259">
        <f t="shared" ca="1" si="228"/>
        <v>1</v>
      </c>
      <c r="AH128" s="259">
        <f t="shared" ca="1" si="229"/>
        <v>1</v>
      </c>
      <c r="AI128" s="259">
        <f t="shared" ca="1" si="230"/>
        <v>1</v>
      </c>
      <c r="AJ128" s="259" t="str">
        <f t="shared" si="231"/>
        <v>31</v>
      </c>
      <c r="AK128" s="259" t="str">
        <f t="shared" si="232"/>
        <v/>
      </c>
      <c r="AL128" s="259">
        <f>IF(AK128&lt;&gt;"",MAX($AL$2:AL127)+1,0)</f>
        <v>0</v>
      </c>
      <c r="AM128" s="259" t="str">
        <f>IFERROR(INDEX($AK$3:$AL$220,MATCH(ROWS($AM$3:AM128),$AL$3:$AL$220,0),1),"")</f>
        <v/>
      </c>
      <c r="AN128" s="259" t="str">
        <f t="shared" si="233"/>
        <v/>
      </c>
      <c r="AO128" s="259" t="str">
        <f t="shared" si="234"/>
        <v/>
      </c>
      <c r="AP128" s="259" t="str">
        <f t="shared" si="235"/>
        <v>COSTI PER SERVIZI</v>
      </c>
      <c r="AQ128" s="259">
        <f ca="1">IF(OR(AG128=0,AG128=""),0,MAX(AQ$2:AQ127)+1)</f>
        <v>67</v>
      </c>
      <c r="AR128" s="259">
        <f ca="1">IF(OR(AH128=0,AH128=""),0,MAX(AR$2:AR127)+1)</f>
        <v>92</v>
      </c>
      <c r="AS128" s="259">
        <f ca="1">IF(OR(AI128=0,AI128=""),0,MAX(AS$2:AS127)+1)</f>
        <v>122</v>
      </c>
      <c r="AT128" s="259" t="str">
        <f ca="1">IFERROR(INDEX($AD$3:$AS$220,MATCH(ROWS(AT$3:AT128),AQ$3:AQ$220,0),1),"")</f>
        <v/>
      </c>
      <c r="AU128" s="259" t="str">
        <f ca="1">IFERROR(INDEX($AD$3:$AS$220,MATCH(ROWS(AU$3:AU128),AR$3:AR$220,0),1),"")</f>
        <v/>
      </c>
      <c r="AV128" s="259" t="str">
        <f ca="1">IFERROR(INDEX($AD$3:$AS$220,MATCH(ROWS(AV$3:AV128),AS$3:AS$220,0),1),"")</f>
        <v>COSTI D'ESERCIZIO</v>
      </c>
      <c r="AW128" s="259" t="str">
        <f ca="1">IFERROR(INDEX($AP$3:$AS$220,MATCH(ROWS(AW$3:AW128),AQ$3:AQ$220,0),1),"")</f>
        <v/>
      </c>
      <c r="AX128" s="259" t="str">
        <f ca="1">IFERROR(INDEX($AP$3:$AS$220,MATCH(ROWS(AX$3:AX128),AR$3:AR$220,0),1),"")</f>
        <v/>
      </c>
      <c r="AY128" s="259" t="str">
        <f ca="1">IFERROR(INDEX($AP$3:$AS$220,MATCH(ROWS(AY$3:AY128),AS$3:AS$220,0),1),"")</f>
        <v>COSTI PER SERVIZI</v>
      </c>
      <c r="AZ128" s="259" t="str">
        <f t="shared" si="339"/>
        <v>26 V.I.</v>
      </c>
      <c r="BA128" s="259">
        <f t="shared" ca="1" si="338"/>
        <v>0</v>
      </c>
      <c r="BB128" s="259">
        <f t="shared" ca="1" si="340"/>
        <v>0</v>
      </c>
      <c r="BC128" s="259">
        <f t="shared" ca="1" si="341"/>
        <v>0</v>
      </c>
      <c r="BD128" s="259">
        <f t="shared" ca="1" si="342"/>
        <v>0</v>
      </c>
      <c r="BE128" s="259">
        <f t="shared" ca="1" si="343"/>
        <v>0</v>
      </c>
      <c r="BG128" s="259" t="str">
        <f t="shared" ca="1" si="185"/>
        <v/>
      </c>
      <c r="BH128" s="259">
        <f ca="1">IF(IFERROR(MATCH(BG128,DENOMINAZIONE_GIORNALE,0),0)&gt;0,MAX(BH$2:BH127)+1,0)</f>
        <v>0</v>
      </c>
      <c r="BI128" s="259" t="str">
        <f ca="1">IFERROR(INDEX($BG$3:$BH$220,MATCH(ROWS($BI$3:BI128),$BH$3:$BH$220,0),1),"")</f>
        <v/>
      </c>
      <c r="BJ128" s="259" t="str">
        <f t="shared" ca="1" si="186"/>
        <v/>
      </c>
      <c r="BK128" s="259" t="str">
        <f ca="1">IF(IF(BJ128&lt;&gt;"",MAX($BK$2:BK127)+1,0)=0,"",IF(BJ128&lt;&gt;"",MAX($BK$2:BK127)+1,0))</f>
        <v/>
      </c>
      <c r="BL128" s="259" t="str">
        <f ca="1">IFERROR(INDEX($T$3:$U$220, MATCH(ROWS(BL$3:BL128),$V$3:$V$220,0),1),"")</f>
        <v/>
      </c>
      <c r="BM128" s="259" t="str">
        <f ca="1">IFERROR(INDEX($T$3:$U$220, MATCH(ROWS(BM$3:BM128),$V$3:$V$220,0),2),"")</f>
        <v/>
      </c>
      <c r="BN128" s="259" t="str">
        <f ca="1">IF(IFERROR(INDEX($BI$3:$BJ$220,MATCH(ROWS(BN$3:BN128),$BK$3:$BK$220,0),1),"")="PATRIMONIO NETTO","",IFERROR(INDEX($BI$3:$BJ$220,MATCH(ROWS(BN$3:BN128),$BK$3:$BK$220,0),1),""))</f>
        <v/>
      </c>
      <c r="BO128" s="259" t="str">
        <f ca="1">IFERROR(INDEX($BI$3:$BJ$220,MATCH(ROWS(BO$3:BO128),$BK$3:$BK$220,0),2),"")</f>
        <v/>
      </c>
      <c r="BP128" s="259">
        <f ca="1">IF(BN128&lt;&gt;"",MAX(BP$2:$BP127)+1,0)</f>
        <v>0</v>
      </c>
      <c r="BQ128" s="259" t="str">
        <f ca="1">IFERROR(INDEX($BN$3:$BO$200,MATCH(ROWS(BQ$3:BQ128),$BP$3:$BP$220,0),1),"")</f>
        <v/>
      </c>
      <c r="BR128" s="259" t="str">
        <f ca="1">IFERROR(INDEX($BN$3:$BO$220,MATCH(ROWS(BR$3:BR128),$BP$3:$BP$220,0),2),"")</f>
        <v/>
      </c>
      <c r="BS128" s="259" t="str">
        <f ca="1">IFERROR(IF(OR(INDEX($T$3:$U$220,MATCH(ROWS(BL$3:BL128),$V$3:$V$220,0),1)="PRELEVAMENTI EXTRAGESTIONE",INDEX($T$3:$U$220,MATCH(ROWS(BL$3:BL128),$V$3:$V$220,0),1)="TITOLARE C/RITENUTE SUBITE"),"",INDEX($T$3:$U$220,MATCH(ROWS(BL$3:BL128),$V$3:$V$220,0),1)),"")</f>
        <v/>
      </c>
      <c r="BT128" s="259">
        <f t="shared" ca="1" si="238"/>
        <v>0</v>
      </c>
      <c r="BU128" s="259">
        <f ca="1">IF(BS128&lt;&gt;"",MAX(BU$2:BU127)+1,0)</f>
        <v>0</v>
      </c>
      <c r="BV128" s="259" t="str">
        <f ca="1">IFERROR(INDEX($BS$3:$BT$223,MATCH(ROWS(BV$3:BV128),$BU$3:$BU$223,0),1),"")</f>
        <v/>
      </c>
      <c r="BW128" s="259">
        <f t="shared" ca="1" si="239"/>
        <v>0</v>
      </c>
      <c r="CB128" s="259" t="str">
        <f ca="1">IFERROR(IF(OR($BB$1&lt;&gt;$BD$1,$BC$1&lt;&gt;$BE$1,$DS$231&lt;&gt;$DT$231,$DU$231&lt;&gt;$DV$231,$EO$25&lt;&gt;0,$EO$26&lt;&gt;0),INDEX($BI$3:$BK$220,MATCH(ROWS($CB$3:CB128),$BK$3:$BK$220,0),1),CONCATENATE(BQ128,BX128)),"")</f>
        <v/>
      </c>
      <c r="CC128" s="259" t="str">
        <f t="shared" ca="1" si="243"/>
        <v/>
      </c>
      <c r="CD128" s="259" t="str">
        <f t="shared" ca="1" si="187"/>
        <v>COSTI DI VIGILANZA</v>
      </c>
      <c r="CE128" s="259">
        <f ca="1">IF(IFERROR(MATCH(CD128,DENOMINAZIONE_GIORNALE,0),0)&gt;0,MAX(CE$2:CE127)+1,0)</f>
        <v>0</v>
      </c>
      <c r="CF128" s="259" t="str">
        <f ca="1">IFERROR(INDEX($CD$3:$CE$220,MATCH(ROWS($CF$3:CF128),$CE$3:$CE$220,0),1),"")</f>
        <v/>
      </c>
      <c r="CG128" s="259">
        <f t="shared" ca="1" si="188"/>
        <v>0</v>
      </c>
      <c r="CH128" s="259" t="str">
        <f ca="1">IF(IF(CG128&lt;&gt;0,MAX($CH$2:CH127)+1,0)=0,"",IF(CG128&lt;&gt;"",MAX($CH$2:CH127)+1,0))</f>
        <v/>
      </c>
      <c r="CI128" s="259" t="str">
        <f ca="1">IFERROR(INDEX($CF$3:$CG$220,MATCH(ROWS($CI$3:CI128),$CH$3:$CH$220,0),1),"")</f>
        <v/>
      </c>
      <c r="CJ128" s="259" t="str">
        <f t="shared" ca="1" si="244"/>
        <v/>
      </c>
      <c r="CK128" s="259" t="str">
        <f t="shared" ca="1" si="189"/>
        <v/>
      </c>
      <c r="CL128" s="259">
        <f ca="1">IF(IFERROR(MATCH(CK128,DENOMINAZIONE_GIORNALE,0),0)&gt;0,MAX(CL$2:CL127)+1,0)</f>
        <v>0</v>
      </c>
      <c r="CM128" s="259" t="str">
        <f ca="1">IFERROR(INDEX($CK$3:$CL$220,MATCH(ROWS($CM$3:CM128),$CL$3:$CL$220,0),1),"")</f>
        <v/>
      </c>
      <c r="CN128" s="259" t="str">
        <f t="shared" ca="1" si="190"/>
        <v/>
      </c>
      <c r="CO128" s="259">
        <f ca="1">IF(IF(CN128&lt;&gt;0,MAX($CO$2:CO127)+1,0)=0,"",IF(CN128&lt;&gt;"",MAX($CO$2:CO127)+1,0))</f>
        <v>0</v>
      </c>
      <c r="CP128" s="259" t="str">
        <f ca="1">IFERROR(INDEX($CM$3:$CN$220,MATCH(ROWS(CP$3:CP128),$CO$3:$CO$220,0),1),"")</f>
        <v/>
      </c>
      <c r="CQ128" s="259" t="str">
        <f ca="1">IFERROR(INDEX($CM$3:$CN$220,MATCH(ROWS(CQ$3:CQ128),$CO$3:$CO$220,0),2),"")</f>
        <v/>
      </c>
      <c r="CS128" s="259">
        <f t="shared" ca="1" si="192"/>
        <v>0</v>
      </c>
      <c r="CT128" s="259">
        <f t="shared" ca="1" si="193"/>
        <v>0</v>
      </c>
      <c r="CU128" s="259">
        <f ca="1">IF(OR(CS128&gt;0,CT128&gt;0),MAX($CU$2:CU127)+1,0)</f>
        <v>0</v>
      </c>
      <c r="CV128" s="259" t="str">
        <f ca="1">IFERROR(INDEX(PIANO_DEI_CONTI,MATCH(ROWS($CV$3:CV128),$CU$3:$CU$200,0),2),"")</f>
        <v/>
      </c>
      <c r="CW128" s="259">
        <f ca="1">IFERROR(IF(CV128&lt;&gt;"",MAX($CW$2:CW127)+1,0),0)</f>
        <v>0</v>
      </c>
      <c r="CX128" s="259" t="str">
        <f>IFERROR(IF(CX110+1=1,"",(CX110+1)),"")</f>
        <v/>
      </c>
      <c r="CY128" s="259" t="str">
        <f t="shared" ca="1" si="337"/>
        <v>MASTRO</v>
      </c>
      <c r="DB128" s="259" t="str">
        <f t="shared" ref="DB128" ca="1" si="363">CY128</f>
        <v>MASTRO</v>
      </c>
      <c r="DF128" s="259">
        <f ca="1">IF(AND(CX128=$DE$2,$DF$2&lt;&gt;0),0,IF(AND(DB128&lt;&gt;"",OR(DB127&lt;&gt;"",DB129&lt;&gt;"")),MAX($DF$2:DF127)+1,0))</f>
        <v>0</v>
      </c>
      <c r="DG128" s="259" t="str">
        <f>IF(IF(LIBRO_GIORNALE!E36="","",IFERROR(INDEX(PIANO_DEI_CONTI,MATCH(BB128,DENOMINAZIONE,0),1),0))=0,"",IF(LIBRO_GIORNALE!E36="","",IFERROR(INDEX(PIANO_DEI_CONTI,MATCH(BB128,DENOMINAZIONE,0),1),0)))</f>
        <v/>
      </c>
      <c r="DH128" s="259">
        <f ca="1">IFERROR(IF($J$1=1,IF(INDEX(PIANO_DEI_CONTI,MATCH($K128,DENOMINAZIONE,0),5)=$DF$1,MAX($DH$2:DH127)+1,0),IF($J$1=2,IF(INDEX(PIANO_DEI_CONTI,MATCH($K128,DENOMINAZIONE,0),7)=$DF$1,MAX($DH$2:DH127)+1,0))),0)</f>
        <v>0</v>
      </c>
      <c r="DI128" s="259">
        <f ca="1">IFERROR(INDEX($K$3:$K$220,MATCH(ROWS($DI$3:DI128),$DH$3:$DH$220,0),1),0)</f>
        <v>0</v>
      </c>
      <c r="DJ128" s="259">
        <f t="shared" ca="1" si="194"/>
        <v>0</v>
      </c>
      <c r="DK128" s="259">
        <f ca="1">IF(DJ128=0,0,MAX(DK$2:DK127)+1)</f>
        <v>0</v>
      </c>
      <c r="DL128" s="259">
        <f ca="1">IFERROR(INDEX(PIANO_DEI_CONTI,MATCH(ROWS(DL$3:DL128),$DK$3:DK355,0),2),0)</f>
        <v>0</v>
      </c>
      <c r="DM128" s="259">
        <f t="shared" ca="1" si="195"/>
        <v>0</v>
      </c>
      <c r="DN128" s="259">
        <f t="shared" ca="1" si="196"/>
        <v>0</v>
      </c>
      <c r="DO128" s="259">
        <f t="shared" ca="1" si="245"/>
        <v>0</v>
      </c>
      <c r="DP128" s="259">
        <f t="shared" ca="1" si="246"/>
        <v>0</v>
      </c>
      <c r="DQ128" s="259">
        <f ca="1">IF(OR($DQ$1="TOTALI",$DQ$1="TOTALI ED ECCEDENZE"),IF(OR(DM128&gt;0,DN128&gt;0),MAX(DQ$2:DQ127)+1,0),IF($DQ$1="ECCEDENZE",IF(OR(DO128&gt;0,DP128&gt;0),MAX(DQ$2:DQ127)+1,0),""))</f>
        <v>0</v>
      </c>
      <c r="DR128" s="259" t="str">
        <f ca="1">IFERROR(INDEX($DL$3:$DQ$230,MATCH(ROWS(DR$3:DR128),$DQ$3:$DQ$230,0),1),"")</f>
        <v/>
      </c>
      <c r="DS128" s="259" t="str">
        <f t="shared" ca="1" si="247"/>
        <v/>
      </c>
      <c r="DT128" s="259" t="str">
        <f t="shared" ca="1" si="248"/>
        <v/>
      </c>
      <c r="DU128" s="259" t="str">
        <f t="shared" ca="1" si="249"/>
        <v/>
      </c>
      <c r="DV128" s="259" t="str">
        <f t="shared" ca="1" si="250"/>
        <v/>
      </c>
      <c r="DW128" s="259">
        <f t="shared" ca="1" si="251"/>
        <v>0</v>
      </c>
      <c r="DX128" s="259" t="str">
        <f t="shared" ca="1" si="252"/>
        <v/>
      </c>
      <c r="DY128" s="259" t="str">
        <f t="shared" ca="1" si="253"/>
        <v/>
      </c>
      <c r="DZ128" s="259" t="str">
        <f t="shared" ca="1" si="254"/>
        <v/>
      </c>
      <c r="EB128" s="259" t="s">
        <v>369</v>
      </c>
      <c r="ED128" s="259">
        <f t="shared" ca="1" si="197"/>
        <v>0</v>
      </c>
      <c r="EH128" s="259" t="str">
        <f t="shared" ca="1" si="256"/>
        <v/>
      </c>
      <c r="EI128" s="260" t="b">
        <f t="shared" ca="1" si="310"/>
        <v>1</v>
      </c>
      <c r="EJ128" s="260" t="b">
        <f t="shared" ca="1" si="311"/>
        <v>1</v>
      </c>
      <c r="EK128" s="260" t="b">
        <f t="shared" ca="1" si="312"/>
        <v>1</v>
      </c>
      <c r="EL128" s="259">
        <f t="shared" si="257"/>
        <v>126</v>
      </c>
      <c r="EM128" s="259">
        <f ca="1">IF(AND(BA128&gt;0,BA128&lt;=$EM$1),MAX($EM$2:EM127)+1,0)</f>
        <v>0</v>
      </c>
      <c r="EN128" s="259">
        <f t="shared" ca="1" si="258"/>
        <v>128</v>
      </c>
      <c r="EP128" s="259" t="str">
        <f t="shared" ca="1" si="200"/>
        <v/>
      </c>
      <c r="EQ128" s="259">
        <f t="shared" ca="1" si="201"/>
        <v>0</v>
      </c>
      <c r="ER128" s="259">
        <f ca="1">IF(ISNA(EQ128),MAX(ER$2:ER127)+1,0)</f>
        <v>0</v>
      </c>
      <c r="ES128" s="259" t="str">
        <f t="shared" ca="1" si="259"/>
        <v/>
      </c>
      <c r="ET128" s="259" t="str">
        <f ca="1">IFERROR(UPPER(INDEX($ER$3:$ES$500,MATCH(ROWS(ET$3:ET128),$ER$3:$ER$500,0),2)),"")</f>
        <v/>
      </c>
      <c r="EW128" s="259">
        <f t="shared" ca="1" si="344"/>
        <v>1</v>
      </c>
      <c r="EX128" s="259">
        <v>26</v>
      </c>
      <c r="EY128" s="259">
        <f t="shared" ca="1" si="345"/>
        <v>0</v>
      </c>
      <c r="EZ128" s="259">
        <f t="shared" ca="1" si="346"/>
        <v>0</v>
      </c>
      <c r="FA128" s="259">
        <f t="shared" ca="1" si="347"/>
        <v>0</v>
      </c>
      <c r="FB128" s="259">
        <f t="shared" ca="1" si="348"/>
        <v>0</v>
      </c>
      <c r="FC128" s="259">
        <f t="shared" ca="1" si="349"/>
        <v>0</v>
      </c>
      <c r="FD128" s="259">
        <f t="shared" ca="1" si="202"/>
        <v>0</v>
      </c>
      <c r="FE128" s="259" t="str">
        <f t="shared" ca="1" si="203"/>
        <v/>
      </c>
      <c r="FF128" s="259" t="str">
        <f t="shared" ca="1" si="350"/>
        <v/>
      </c>
      <c r="FM128" s="259">
        <f t="shared" ca="1" si="205"/>
        <v>0</v>
      </c>
      <c r="FN128" s="259">
        <f ca="1">IF(FM128&lt;0,MAX($FN$2:FN127)+1,0)</f>
        <v>0</v>
      </c>
      <c r="FO128" s="259" t="str">
        <f t="shared" ca="1" si="268"/>
        <v/>
      </c>
      <c r="FP128" s="259" t="str">
        <f ca="1">IFERROR(INDEX($FN$3:$FO$400,MATCH(ROWS($FP$3:FP128),$FN$3:$FN$400,0),2),"")</f>
        <v/>
      </c>
      <c r="FQ128" s="259" t="str">
        <f>IF(AE128="SE AVERE",MAX($FQ$2:FQ127)+1,"")</f>
        <v/>
      </c>
      <c r="FR128" s="259">
        <f>IF(AE128="SE DARE",MAX($FR$2:FR127)+1,"")</f>
        <v>33</v>
      </c>
      <c r="FS128" s="259" t="str">
        <f ca="1">IF(AND(AE128="SP DARE",AA128&lt;&gt;$FS$1,AA128&lt;&gt;$FT$1),MAX($FS$2:FS127)+1,IF(AND(GQ128="SP DARE",AA128&lt;&gt;$FS$1,AA128&lt;&gt;$FT$1),MAX($FS$2:FS127)+1,""))</f>
        <v/>
      </c>
      <c r="FT128" s="259" t="str">
        <f ca="1">IF(AND(AE128="SP AVERE",AA128&lt;&gt;$FU$1),MAX($FT$2:FT127)+1,IF(AND(GQ128="SP AVERE",AA128&lt;&gt;$FU$1),MAX($FT$2:FT127)+1,""))</f>
        <v/>
      </c>
      <c r="FU128" s="259">
        <f t="shared" ca="1" si="269"/>
        <v>33</v>
      </c>
      <c r="FV128" s="259" t="str">
        <f t="shared" si="270"/>
        <v>COSTI DI VIGILANZA</v>
      </c>
      <c r="FW128" s="259" t="str">
        <f ca="1">IFERROR(INDEX($FU$3:$FV$500,MATCH(ROWS($FW$3:FW128),$FU$3:$FU$500,0),2),0)</f>
        <v>C/C POSTALI</v>
      </c>
      <c r="FX128" s="259">
        <f t="shared" ca="1" si="271"/>
        <v>126</v>
      </c>
      <c r="FY128" s="259">
        <f t="shared" ca="1" si="272"/>
        <v>0</v>
      </c>
      <c r="FZ128" s="259">
        <f ca="1">IF(FY128&gt;0,MAX($FZ$2:FZ127)+1,0)</f>
        <v>0</v>
      </c>
      <c r="GA128" s="259">
        <f ca="1">IFERROR(INDEX($FY$3:$FZ$500,MATCH(ROWS($GA$3:GA128),$FZ$3:$FZ$500,0),1),0)</f>
        <v>0</v>
      </c>
      <c r="GC128" s="259">
        <f t="shared" ca="1" si="273"/>
        <v>126</v>
      </c>
      <c r="GD128" s="259" t="str">
        <f t="shared" ca="1" si="274"/>
        <v>C/C POSTALI</v>
      </c>
      <c r="GG128" s="259">
        <f t="shared" ca="1" si="275"/>
        <v>0</v>
      </c>
      <c r="GH128" s="259">
        <f t="shared" ca="1" si="276"/>
        <v>0</v>
      </c>
      <c r="GI128" s="259">
        <f t="shared" ca="1" si="277"/>
        <v>0</v>
      </c>
      <c r="GJ128" s="259">
        <f t="shared" ca="1" si="278"/>
        <v>0</v>
      </c>
      <c r="GK128" s="259">
        <f t="shared" ca="1" si="279"/>
        <v>0</v>
      </c>
      <c r="GL128" s="259">
        <f t="shared" ca="1" si="280"/>
        <v>0</v>
      </c>
      <c r="GM128" s="259">
        <f ca="1">IF(OR(GK128&gt;0,GL128&gt;0),MAX($GM$2:GM127)+1,0)</f>
        <v>0</v>
      </c>
      <c r="GN128" s="259" t="str">
        <f ca="1">IFERROR(INDEX($GD$3:$GM$400,MATCH(ROWS($GN$3:GN128),$GM$3:$GM$400,0),1),"")</f>
        <v/>
      </c>
      <c r="GO128" s="259" t="str">
        <f ca="1">IFERROR(INDEX($GD$3:$GM$400,MATCH(ROWS($GO$3:GO128),$GM$3:$GM$400,0),8),"")</f>
        <v/>
      </c>
      <c r="GP128" s="259" t="str">
        <f ca="1">IFERROR(INDEX($GD$3:$GM$400,MATCH(ROWS($GP$3:GP128),$GM$3:$GM$400,0),9),"")</f>
        <v/>
      </c>
      <c r="GQ128" s="259">
        <f t="shared" ca="1" si="206"/>
        <v>0</v>
      </c>
      <c r="GR128" s="259">
        <f t="shared" ca="1" si="281"/>
        <v>0</v>
      </c>
      <c r="GS128" s="259" t="str">
        <f t="shared" ca="1" si="282"/>
        <v>chiusura del conto</v>
      </c>
      <c r="GT128" s="259" t="str">
        <f ca="1">IFERROR(INDEX($GD$3:$GS$400,MATCH(ROWS($GT$3:GT128),$GM$3:$GM$400,0),16),"")</f>
        <v/>
      </c>
      <c r="GU128" s="259">
        <f ca="1">IF(GQ128&lt;&gt;0,MAX($GU$2:$GU127)+1,0)</f>
        <v>0</v>
      </c>
      <c r="GV128" s="259">
        <f t="shared" ca="1" si="283"/>
        <v>0</v>
      </c>
      <c r="GW128" s="259" t="str">
        <f ca="1">IF(AND(IFERROR(INDEX($GU$3:$GV$400,MATCH(ROWS($GW$3:GW128),$GU$3:$GU$400,0),2),"")&lt;&gt;"",GW129&lt;&gt;""),CONCATENATE(IFERROR(INDEX($GU$3:$GV$400,MATCH(ROWS($GW$3:GW128),$GU$3:$GU$400,0),2),"")," - "),IFERROR(INDEX($GU$3:$GV$400,MATCH(ROWS($GW$3:GW128),$GU$3:$GU$400,0),2),""))</f>
        <v/>
      </c>
      <c r="GX128" s="259">
        <f ca="1">IF(OR(GN128="IVA NS/CREDITO",GN128="IVA NS/DEBITO",GN128="IVA C/ACCONTO",GN128="IMPOSTE C/ACCONTO"),MAX($GX$2:GX127)+1,0)</f>
        <v>0</v>
      </c>
      <c r="GY128" s="259" t="str">
        <f ca="1">IF(AND(IFERROR(INDEX($GN$3:$GX$200,MATCH(ROWS($GY$3:GY128),$GX$3:$GX$200,0),1),"")&lt;&gt;"",GY129&lt;&gt;""),CONCATENATE(IFERROR(INDEX($GN$3:$GX$200,MATCH(ROWS($GY$3:GY128),$GX$3:$GX$200,0),1),"")," - "),IFERROR(INDEX($GN$3:$GX$200,MATCH(ROWS($GY$3:GY128),$GX$3:$GX$200,0),1),""))</f>
        <v/>
      </c>
      <c r="GZ128" s="259" t="s">
        <v>653</v>
      </c>
      <c r="HA128" s="259" t="s">
        <v>563</v>
      </c>
      <c r="HB128" s="269" t="s">
        <v>256</v>
      </c>
      <c r="HC128" s="269" t="s">
        <v>211</v>
      </c>
      <c r="HD128" s="269" t="s">
        <v>8</v>
      </c>
      <c r="HE128" s="269" t="s">
        <v>213</v>
      </c>
      <c r="HV128" s="259" t="str">
        <f ca="1">CONCATENATE(IFERROR(INDEX($HS$3:$HT$102,MATCH(ROWS($HV$3:HV128),$HT$3:$HT$102,0),1),""),HR128)</f>
        <v/>
      </c>
      <c r="IC128" s="259">
        <f ca="1">IFERROR(INDEX(PIANO_DEI_CONTI,MATCH(ROWS(DL$3:DL128),$DK$3:DK355,0),2),0)</f>
        <v>0</v>
      </c>
      <c r="ID128" s="259">
        <f t="shared" ca="1" si="288"/>
        <v>0</v>
      </c>
      <c r="IE128" s="259">
        <f t="shared" ca="1" si="289"/>
        <v>0</v>
      </c>
      <c r="IF128" s="259">
        <f t="shared" ca="1" si="290"/>
        <v>0</v>
      </c>
      <c r="IG128" s="259">
        <f t="shared" ca="1" si="324"/>
        <v>0</v>
      </c>
      <c r="IH128" s="259">
        <f ca="1">IF(IG128&lt;&gt;0,MAX($IH$35:IH127)+1,0)</f>
        <v>0</v>
      </c>
      <c r="II128" s="259">
        <f>IF(AD128="costi pluriennali",MAX($II$2:II127)+1,0)</f>
        <v>0</v>
      </c>
      <c r="IJ128" s="259">
        <f>IF($AD128="rettifiche costi pluriennali",MAX($IJ$2:IJ127)+1,0)</f>
        <v>0</v>
      </c>
      <c r="IK128" s="259">
        <f t="shared" si="291"/>
        <v>0</v>
      </c>
      <c r="IL128" s="259" t="str">
        <f t="shared" si="292"/>
        <v/>
      </c>
      <c r="IM128" s="259">
        <f t="shared" ca="1" si="293"/>
        <v>0</v>
      </c>
      <c r="IN128" s="259">
        <f t="shared" ca="1" si="313"/>
        <v>0</v>
      </c>
      <c r="IO128" s="259">
        <f>SUMIFS($IM$3:$IM$200,$IK$3:$IK$200,ROWS($IO$3:IO128))-SUMIFS($IN$3:$IN$200,$IK$3:$IK$200,ROWS($IO$3:IO128))</f>
        <v>0</v>
      </c>
      <c r="IP128" s="259" t="str">
        <f>IF(IO128&lt;0,INDEX($IJ$3:$IL$200,MATCH(ROWS($IP$3:IP128),$IJ$3:$IJ$200,0),3),"")</f>
        <v/>
      </c>
      <c r="IQ128" s="259">
        <f>IF(IP128&lt;&gt;"",MAX($IQ$2:IQ127)+1,0)</f>
        <v>0</v>
      </c>
      <c r="IR128" s="259" t="str">
        <f ca="1">IFERROR(INDEX($IP$3:$IQ$200,MATCH(ROWS($IR$3:IR128),$IQ$3:$IQ$200,0),1),"")</f>
        <v/>
      </c>
      <c r="IS128" s="259" t="str">
        <f t="shared" ca="1" si="294"/>
        <v/>
      </c>
      <c r="IT128" s="259" t="str">
        <f t="shared" ca="1" si="295"/>
        <v/>
      </c>
      <c r="IU128" s="259" t="str">
        <f t="shared" ca="1" si="296"/>
        <v/>
      </c>
      <c r="IV128" s="259" t="str">
        <f t="shared" ca="1" si="297"/>
        <v/>
      </c>
      <c r="IW128" s="259" t="str">
        <f t="shared" ca="1" si="298"/>
        <v/>
      </c>
      <c r="IX128" s="259" t="str">
        <f t="shared" ca="1" si="299"/>
        <v/>
      </c>
      <c r="IY128" s="259" t="str">
        <f t="shared" ca="1" si="300"/>
        <v/>
      </c>
      <c r="IZ128" s="259" t="str">
        <f t="shared" ca="1" si="301"/>
        <v/>
      </c>
      <c r="JA128" s="259" t="str">
        <f t="shared" ca="1" si="302"/>
        <v/>
      </c>
      <c r="JB128" s="259">
        <f t="shared" ca="1" si="210"/>
        <v>0</v>
      </c>
      <c r="JC128" s="259">
        <f t="shared" ca="1" si="351"/>
        <v>0</v>
      </c>
      <c r="JD128" s="259">
        <f t="shared" ca="1" si="352"/>
        <v>0</v>
      </c>
      <c r="JM128" s="259">
        <f t="shared" ca="1" si="353"/>
        <v>0</v>
      </c>
    </row>
    <row r="129" spans="1:273">
      <c r="A129" s="259" t="str">
        <f t="shared" si="211"/>
        <v>20.16</v>
      </c>
      <c r="B129" s="259" t="str">
        <f t="shared" si="212"/>
        <v>PROVENTI VARI</v>
      </c>
      <c r="C129" s="259" t="str">
        <f t="shared" si="213"/>
        <v>E</v>
      </c>
      <c r="D129" s="259" t="str">
        <f t="shared" si="214"/>
        <v>A</v>
      </c>
      <c r="E129" s="259" t="str">
        <f t="shared" si="215"/>
        <v>RICAVI D'ESERCIZIO</v>
      </c>
      <c r="F129" s="259" t="str">
        <f t="shared" si="216"/>
        <v>SE AVERE</v>
      </c>
      <c r="G129" s="259">
        <f t="shared" ca="1" si="217"/>
        <v>1</v>
      </c>
      <c r="H129" s="259">
        <f t="shared" ca="1" si="218"/>
        <v>1</v>
      </c>
      <c r="I129" s="259">
        <f t="shared" ca="1" si="219"/>
        <v>1</v>
      </c>
      <c r="K129" s="259" t="str">
        <f ca="1">IFERROR(IF($I$1=1,INDEX($AA$3:$AS$220,MATCH(ROWS($K$3:K129),$AQ$3:$AQ$220,0),1),IF($I$1=2,INDEX($AA$3:$AS$220,MATCH(ROWS($K$3:K129),$AR$3:$AR$220,0),1),IF($I$1=3,INDEX($AA$3:$AS$220,MATCH(ROWS($K$3:K129),$AS$3:$AS$220,0),1),""))),"")</f>
        <v>COSTI DI ETICHETTATURA</v>
      </c>
      <c r="L129" s="259">
        <f ca="1">IF(AND($L$1="VISUALIZZA TUTTI I CONTI",K129&lt;&gt;""),MAX(L128:L128)+1,IFERROR(IF($J$1=1,IF(INDEX(PIANO_DEI_CONTI,MATCH($K129,DENOMINAZIONE,0),5)=$L$1,MAX($L$2:L128)+1,0),IF($J$1=2,IF(INDEX(PIANO_DEI_CONTI,MATCH($K129,DENOMINAZIONE,0),7)=$L$1,MAX($L$2:L128)+1,0))),0))</f>
        <v>127</v>
      </c>
      <c r="M129" s="259" t="str">
        <f ca="1">IFERROR(INDEX($K$3:$K$220,MATCH(ROWS($M$3:M129),$L$3:$L$220,0),1),"")</f>
        <v>COSTI DI ETICHETTATURA</v>
      </c>
      <c r="Q129" s="259" t="str">
        <f ca="1">IF(IFERROR(INDEX($O$3:$P$220,MATCH(ROWS(Q$3:Q129),$P$3:$P$220,0),1),"")=0,"",IFERROR(INDEX($O$3:$P$220,MATCH(ROWS(Q$3:Q129),$P$3:$P$220,0),1),""))</f>
        <v/>
      </c>
      <c r="R129" s="259" t="str">
        <f t="shared" ca="1" si="182"/>
        <v/>
      </c>
      <c r="S129" s="259">
        <f ca="1">IF(IFERROR(MATCH(R129,DENOMINAZIONE_GIORNALE,0),0)&gt;0,MAX(S$2:S128)+1,0)</f>
        <v>0</v>
      </c>
      <c r="T129" s="259" t="str">
        <f ca="1">IFERROR(INDEX($R$3:$S$220,MATCH(ROWS($T$3:T129),$S$3:$S$220,0),1),"")</f>
        <v/>
      </c>
      <c r="U129" s="259">
        <f t="shared" ca="1" si="183"/>
        <v>0</v>
      </c>
      <c r="V129" s="259">
        <f ca="1">IF(IF(U129&lt;&gt;0,MAX($V$2:V128)+1,0)=0,0,IF(U129&lt;&gt;0,MAX($V$2:V128)+1,0))</f>
        <v>0</v>
      </c>
      <c r="W129" s="259" t="str">
        <f t="shared" si="220"/>
        <v>20.16</v>
      </c>
      <c r="X129" s="259" t="str">
        <f t="shared" si="221"/>
        <v>PROVENTI VARI</v>
      </c>
      <c r="Y129" s="259">
        <f>IF(W129="",0,MAX($Y$2:Y128)+1)</f>
        <v>109</v>
      </c>
      <c r="Z129" s="259" t="str">
        <f>IFERROR(INDEX($W$3:$Y$220,MATCH(ROWS($Z$2:Z128),$Y$3:$Y$220,0),1),"")</f>
        <v>31.07</v>
      </c>
      <c r="AA129" s="259" t="str">
        <f t="shared" si="222"/>
        <v>COSTI POSTALI</v>
      </c>
      <c r="AB129" s="259" t="str">
        <f t="shared" si="223"/>
        <v>E</v>
      </c>
      <c r="AC129" s="259" t="str">
        <f t="shared" si="224"/>
        <v>D</v>
      </c>
      <c r="AD129" s="259" t="str">
        <f t="shared" si="225"/>
        <v>COSTI D'ESERCIZIO</v>
      </c>
      <c r="AE129" s="259" t="str">
        <f t="shared" si="226"/>
        <v>SE DARE</v>
      </c>
      <c r="AF129" s="259" t="str">
        <f t="shared" si="227"/>
        <v>COSTI PER SERVIZI</v>
      </c>
      <c r="AG129" s="259">
        <f t="shared" ca="1" si="228"/>
        <v>1</v>
      </c>
      <c r="AH129" s="259">
        <f t="shared" ca="1" si="229"/>
        <v>1</v>
      </c>
      <c r="AI129" s="259">
        <f t="shared" ca="1" si="230"/>
        <v>1</v>
      </c>
      <c r="AJ129" s="259" t="str">
        <f t="shared" si="231"/>
        <v>31</v>
      </c>
      <c r="AK129" s="259" t="str">
        <f t="shared" si="232"/>
        <v/>
      </c>
      <c r="AL129" s="259">
        <f>IF(AK129&lt;&gt;"",MAX($AL$2:AL128)+1,0)</f>
        <v>0</v>
      </c>
      <c r="AM129" s="259" t="str">
        <f>IFERROR(INDEX($AK$3:$AL$220,MATCH(ROWS($AM$3:AM129),$AL$3:$AL$220,0),1),"")</f>
        <v/>
      </c>
      <c r="AN129" s="259" t="str">
        <f t="shared" si="233"/>
        <v/>
      </c>
      <c r="AO129" s="259" t="str">
        <f t="shared" si="234"/>
        <v/>
      </c>
      <c r="AP129" s="259" t="str">
        <f t="shared" si="235"/>
        <v>COSTI PER SERVIZI</v>
      </c>
      <c r="AQ129" s="259">
        <f ca="1">IF(OR(AG129=0,AG129=""),0,MAX(AQ$2:AQ128)+1)</f>
        <v>68</v>
      </c>
      <c r="AR129" s="259">
        <f ca="1">IF(OR(AH129=0,AH129=""),0,MAX(AR$2:AR128)+1)</f>
        <v>93</v>
      </c>
      <c r="AS129" s="259">
        <f ca="1">IF(OR(AI129=0,AI129=""),0,MAX(AS$2:AS128)+1)</f>
        <v>123</v>
      </c>
      <c r="AT129" s="259" t="str">
        <f ca="1">IFERROR(INDEX($AD$3:$AS$220,MATCH(ROWS(AT$3:AT129),AQ$3:AQ$220,0),1),"")</f>
        <v/>
      </c>
      <c r="AU129" s="259" t="str">
        <f ca="1">IFERROR(INDEX($AD$3:$AS$220,MATCH(ROWS(AU$3:AU129),AR$3:AR$220,0),1),"")</f>
        <v/>
      </c>
      <c r="AV129" s="259" t="str">
        <f ca="1">IFERROR(INDEX($AD$3:$AS$220,MATCH(ROWS(AV$3:AV129),AS$3:AS$220,0),1),"")</f>
        <v>COSTI D'ESERCIZIO</v>
      </c>
      <c r="AW129" s="259" t="str">
        <f ca="1">IFERROR(INDEX($AP$3:$AS$220,MATCH(ROWS(AW$3:AW129),AQ$3:AQ$220,0),1),"")</f>
        <v/>
      </c>
      <c r="AX129" s="259" t="str">
        <f ca="1">IFERROR(INDEX($AP$3:$AS$220,MATCH(ROWS(AX$3:AX129),AR$3:AR$220,0),1),"")</f>
        <v/>
      </c>
      <c r="AY129" s="259" t="str">
        <f ca="1">IFERROR(INDEX($AP$3:$AS$220,MATCH(ROWS(AY$3:AY129),AS$3:AS$220,0),1),"")</f>
        <v>COSTI PER SERVIZI</v>
      </c>
      <c r="AZ129" s="259" t="str">
        <f t="shared" si="339"/>
        <v>27 V.I.</v>
      </c>
      <c r="BA129" s="259">
        <f t="shared" ca="1" si="338"/>
        <v>0</v>
      </c>
      <c r="BB129" s="259">
        <f t="shared" ca="1" si="340"/>
        <v>0</v>
      </c>
      <c r="BC129" s="259">
        <f t="shared" ca="1" si="341"/>
        <v>0</v>
      </c>
      <c r="BD129" s="259">
        <f t="shared" ca="1" si="342"/>
        <v>0</v>
      </c>
      <c r="BE129" s="259">
        <f t="shared" ca="1" si="343"/>
        <v>0</v>
      </c>
      <c r="BG129" s="259" t="str">
        <f t="shared" ca="1" si="185"/>
        <v/>
      </c>
      <c r="BH129" s="259">
        <f ca="1">IF(IFERROR(MATCH(BG129,DENOMINAZIONE_GIORNALE,0),0)&gt;0,MAX(BH$2:BH128)+1,0)</f>
        <v>0</v>
      </c>
      <c r="BI129" s="259" t="str">
        <f ca="1">IFERROR(INDEX($BG$3:$BH$220,MATCH(ROWS($BI$3:BI129),$BH$3:$BH$220,0),1),"")</f>
        <v/>
      </c>
      <c r="BJ129" s="259" t="str">
        <f t="shared" ca="1" si="186"/>
        <v/>
      </c>
      <c r="BK129" s="259" t="str">
        <f ca="1">IF(IF(BJ129&lt;&gt;"",MAX($BK$2:BK128)+1,0)=0,"",IF(BJ129&lt;&gt;"",MAX($BK$2:BK128)+1,0))</f>
        <v/>
      </c>
      <c r="BL129" s="259" t="str">
        <f ca="1">IFERROR(INDEX($T$3:$U$220, MATCH(ROWS(BL$3:BL129),$V$3:$V$220,0),1),"")</f>
        <v/>
      </c>
      <c r="BM129" s="259" t="str">
        <f ca="1">IFERROR(INDEX($T$3:$U$220, MATCH(ROWS(BM$3:BM129),$V$3:$V$220,0),2),"")</f>
        <v/>
      </c>
      <c r="BN129" s="259" t="str">
        <f ca="1">IF(IFERROR(INDEX($BI$3:$BJ$220,MATCH(ROWS(BN$3:BN129),$BK$3:$BK$220,0),1),"")="PATRIMONIO NETTO","",IFERROR(INDEX($BI$3:$BJ$220,MATCH(ROWS(BN$3:BN129),$BK$3:$BK$220,0),1),""))</f>
        <v/>
      </c>
      <c r="BO129" s="259" t="str">
        <f ca="1">IFERROR(INDEX($BI$3:$BJ$220,MATCH(ROWS(BO$3:BO129),$BK$3:$BK$220,0),2),"")</f>
        <v/>
      </c>
      <c r="BP129" s="259">
        <f ca="1">IF(BN129&lt;&gt;"",MAX(BP$2:$BP128)+1,0)</f>
        <v>0</v>
      </c>
      <c r="BQ129" s="259" t="str">
        <f ca="1">IFERROR(INDEX($BN$3:$BO$200,MATCH(ROWS(BQ$3:BQ129),$BP$3:$BP$220,0),1),"")</f>
        <v/>
      </c>
      <c r="BR129" s="259" t="str">
        <f ca="1">IFERROR(INDEX($BN$3:$BO$220,MATCH(ROWS(BR$3:BR129),$BP$3:$BP$220,0),2),"")</f>
        <v/>
      </c>
      <c r="BS129" s="259" t="str">
        <f ca="1">IFERROR(IF(OR(INDEX($T$3:$U$220,MATCH(ROWS(BL$3:BL129),$V$3:$V$220,0),1)="PRELEVAMENTI EXTRAGESTIONE",INDEX($T$3:$U$220,MATCH(ROWS(BL$3:BL129),$V$3:$V$220,0),1)="TITOLARE C/RITENUTE SUBITE"),"",INDEX($T$3:$U$220,MATCH(ROWS(BL$3:BL129),$V$3:$V$220,0),1)),"")</f>
        <v/>
      </c>
      <c r="BT129" s="259">
        <f t="shared" ca="1" si="238"/>
        <v>0</v>
      </c>
      <c r="BU129" s="259">
        <f ca="1">IF(BS129&lt;&gt;"",MAX(BU$2:BU128)+1,0)</f>
        <v>0</v>
      </c>
      <c r="BV129" s="259" t="str">
        <f ca="1">IFERROR(INDEX($BS$3:$BT$223,MATCH(ROWS(BV$3:BV129),$BU$3:$BU$223,0),1),"")</f>
        <v/>
      </c>
      <c r="BW129" s="259">
        <f t="shared" ca="1" si="239"/>
        <v>0</v>
      </c>
      <c r="CB129" s="259" t="str">
        <f ca="1">IFERROR(IF(OR($BB$1&lt;&gt;$BD$1,$BC$1&lt;&gt;$BE$1,$DS$231&lt;&gt;$DT$231,$DU$231&lt;&gt;$DV$231,$EO$25&lt;&gt;0,$EO$26&lt;&gt;0),INDEX($BI$3:$BK$220,MATCH(ROWS($CB$3:CB129),$BK$3:$BK$220,0),1),CONCATENATE(BQ129,BX129)),"")</f>
        <v/>
      </c>
      <c r="CC129" s="259" t="str">
        <f t="shared" ca="1" si="243"/>
        <v/>
      </c>
      <c r="CD129" s="259" t="str">
        <f t="shared" ca="1" si="187"/>
        <v>COSTI POSTALI</v>
      </c>
      <c r="CE129" s="259">
        <f ca="1">IF(IFERROR(MATCH(CD129,DENOMINAZIONE_GIORNALE,0),0)&gt;0,MAX(CE$2:CE128)+1,0)</f>
        <v>0</v>
      </c>
      <c r="CF129" s="259" t="str">
        <f ca="1">IFERROR(INDEX($CD$3:$CE$220,MATCH(ROWS($CF$3:CF129),$CE$3:$CE$220,0),1),"")</f>
        <v/>
      </c>
      <c r="CG129" s="259">
        <f t="shared" ca="1" si="188"/>
        <v>0</v>
      </c>
      <c r="CH129" s="259" t="str">
        <f ca="1">IF(IF(CG129&lt;&gt;0,MAX($CH$2:CH128)+1,0)=0,"",IF(CG129&lt;&gt;"",MAX($CH$2:CH128)+1,0))</f>
        <v/>
      </c>
      <c r="CI129" s="259" t="str">
        <f ca="1">IFERROR(INDEX($CF$3:$CG$220,MATCH(ROWS($CI$3:CI129),$CH$3:$CH$220,0),1),"")</f>
        <v/>
      </c>
      <c r="CJ129" s="259" t="str">
        <f t="shared" ca="1" si="244"/>
        <v/>
      </c>
      <c r="CK129" s="259" t="str">
        <f t="shared" ca="1" si="189"/>
        <v/>
      </c>
      <c r="CL129" s="259">
        <f ca="1">IF(IFERROR(MATCH(CK129,DENOMINAZIONE_GIORNALE,0),0)&gt;0,MAX(CL$2:CL128)+1,0)</f>
        <v>0</v>
      </c>
      <c r="CM129" s="259" t="str">
        <f ca="1">IFERROR(INDEX($CK$3:$CL$220,MATCH(ROWS($CM$3:CM129),$CL$3:$CL$220,0),1),"")</f>
        <v/>
      </c>
      <c r="CN129" s="259" t="str">
        <f t="shared" ca="1" si="190"/>
        <v/>
      </c>
      <c r="CO129" s="259">
        <f ca="1">IF(IF(CN129&lt;&gt;0,MAX($CO$2:CO128)+1,0)=0,"",IF(CN129&lt;&gt;"",MAX($CO$2:CO128)+1,0))</f>
        <v>0</v>
      </c>
      <c r="CP129" s="259" t="str">
        <f ca="1">IFERROR(INDEX($CM$3:$CN$220,MATCH(ROWS(CP$3:CP129),$CO$3:$CO$220,0),1),"")</f>
        <v/>
      </c>
      <c r="CQ129" s="259" t="str">
        <f ca="1">IFERROR(INDEX($CM$3:$CN$220,MATCH(ROWS(CQ$3:CQ129),$CO$3:$CO$220,0),2),"")</f>
        <v/>
      </c>
      <c r="CS129" s="259">
        <f t="shared" ca="1" si="192"/>
        <v>0</v>
      </c>
      <c r="CT129" s="259">
        <f t="shared" ca="1" si="193"/>
        <v>0</v>
      </c>
      <c r="CU129" s="259">
        <f ca="1">IF(OR(CS129&gt;0,CT129&gt;0),MAX($CU$2:CU128)+1,0)</f>
        <v>0</v>
      </c>
      <c r="CV129" s="259" t="str">
        <f ca="1">IFERROR(INDEX(PIANO_DEI_CONTI,MATCH(ROWS($CV$3:CV129),$CU$3:$CU$200,0),2),"")</f>
        <v/>
      </c>
      <c r="CW129" s="259">
        <f ca="1">IFERROR(IF(CV129&lt;&gt;"",MAX($CW$2:CW128)+1,0),0)</f>
        <v>0</v>
      </c>
      <c r="CX129" s="259">
        <f ca="1">$EA$10</f>
        <v>8</v>
      </c>
      <c r="CY129" s="259" t="str">
        <f t="shared" ca="1" si="337"/>
        <v>MASTRO</v>
      </c>
      <c r="DA129" s="259" t="str">
        <f ca="1">IF(CY128="MASTRO","Conto n.","")</f>
        <v>Conto n.</v>
      </c>
      <c r="DB129" s="259" t="str">
        <f ca="1">IF(CY129=0,"",INDEX(PIANO_DEI_CONTI,MATCH(DC129,DENOMINAZIONE,0),1))</f>
        <v/>
      </c>
      <c r="DC129" s="259" t="str">
        <f ca="1">IF(OR(CY129=0,CY129="mastro"),"",CY129)</f>
        <v/>
      </c>
      <c r="DD129" s="259" t="str">
        <f ca="1">IF(AND($DA$2=TRUE,OR(INDEX(PIANO_DEI_CONTI,MATCH($DC129,DENOMINAZIONE,0),4)="A",INDEX(PIANO_DEI_CONTI,MATCH($DC129,DENOMINAZIONE,0),4)="D/A"),SUMIFS(AVERE,DENOMINAZIONE_GIORNALE,"="&amp;$DC129)&gt;SUMIFS(DARE,DENOMINAZIONE_GIORNALE,"="&amp;$DC129)),CONCATENATE("s ",FIXED(ABS(SUMIFS(AVERE,DENOMINAZIONE_GIORNALE,"="&amp;$DC129)-SUMIFS(DARE,DENOMINAZIONE_GIORNALE,"="&amp;$DC129)),2)),"")</f>
        <v/>
      </c>
      <c r="DE129" s="259" t="str">
        <f ca="1">IF(AND($DA$2=TRUE,OR(INDEX(PIANO_DEI_CONTI,MATCH($DC129,DENOMINAZIONE,0),4)="D",INDEX(PIANO_DEI_CONTI,MATCH($DC129,DENOMINAZIONE,0),4)="D/A"),SUMIFS(DARE,DENOMINAZIONE_GIORNALE,"="&amp;$DC129)&gt;SUMIFS(AVERE,DENOMINAZIONE_GIORNALE,"="&amp;$DC129)),CONCATENATE("s ",FIXED(ABS(SUMIFS(DARE,DENOMINAZIONE_GIORNALE,"="&amp;$DC129)-SUMIFS(AVERE,DENOMINAZIONE_GIORNALE,"="&amp;$DC129)),2)),"")</f>
        <v/>
      </c>
      <c r="DF129" s="259">
        <f ca="1">IF(AND(CX129=$DE$2,$DF$2&lt;&gt;0),0,IF(AND(DB129&lt;&gt;"",OR(DB128&lt;&gt;"",DB130&lt;&gt;"")),MAX($DF$2:DF128)+1,0))</f>
        <v>0</v>
      </c>
      <c r="DG129" s="259" t="str">
        <f>IF(IF(LIBRO_GIORNALE!E37="","",IFERROR(INDEX(PIANO_DEI_CONTI,MATCH(BB129,DENOMINAZIONE,0),1),0))=0,"",IF(LIBRO_GIORNALE!E37="","",IFERROR(INDEX(PIANO_DEI_CONTI,MATCH(BB129,DENOMINAZIONE,0),1),0)))</f>
        <v/>
      </c>
      <c r="DH129" s="259">
        <f ca="1">IFERROR(IF($J$1=1,IF(INDEX(PIANO_DEI_CONTI,MATCH($K129,DENOMINAZIONE,0),5)=$DF$1,MAX($DH$2:DH128)+1,0),IF($J$1=2,IF(INDEX(PIANO_DEI_CONTI,MATCH($K129,DENOMINAZIONE,0),7)=$DF$1,MAX($DH$2:DH128)+1,0))),0)</f>
        <v>0</v>
      </c>
      <c r="DI129" s="259">
        <f ca="1">IFERROR(INDEX($K$3:$K$220,MATCH(ROWS($DI$3:DI129),$DH$3:$DH$220,0),1),0)</f>
        <v>0</v>
      </c>
      <c r="DJ129" s="259">
        <f t="shared" ca="1" si="194"/>
        <v>0</v>
      </c>
      <c r="DK129" s="259">
        <f ca="1">IF(DJ129=0,0,MAX(DK$2:DK128)+1)</f>
        <v>0</v>
      </c>
      <c r="DL129" s="259">
        <f ca="1">IFERROR(INDEX(PIANO_DEI_CONTI,MATCH(ROWS(DL$3:DL129),$DK$3:DK356,0),2),0)</f>
        <v>0</v>
      </c>
      <c r="DM129" s="259">
        <f t="shared" ca="1" si="195"/>
        <v>0</v>
      </c>
      <c r="DN129" s="259">
        <f t="shared" ca="1" si="196"/>
        <v>0</v>
      </c>
      <c r="DO129" s="259">
        <f t="shared" ca="1" si="245"/>
        <v>0</v>
      </c>
      <c r="DP129" s="259">
        <f t="shared" ca="1" si="246"/>
        <v>0</v>
      </c>
      <c r="DQ129" s="259">
        <f ca="1">IF(OR($DQ$1="TOTALI",$DQ$1="TOTALI ED ECCEDENZE"),IF(OR(DM129&gt;0,DN129&gt;0),MAX(DQ$2:DQ128)+1,0),IF($DQ$1="ECCEDENZE",IF(OR(DO129&gt;0,DP129&gt;0),MAX(DQ$2:DQ128)+1,0),""))</f>
        <v>0</v>
      </c>
      <c r="DR129" s="259" t="str">
        <f ca="1">IFERROR(INDEX($DL$3:$DQ$230,MATCH(ROWS(DR$3:DR129),$DQ$3:$DQ$230,0),1),"")</f>
        <v/>
      </c>
      <c r="DS129" s="259" t="str">
        <f t="shared" ca="1" si="247"/>
        <v/>
      </c>
      <c r="DT129" s="259" t="str">
        <f t="shared" ca="1" si="248"/>
        <v/>
      </c>
      <c r="DU129" s="259" t="str">
        <f t="shared" ca="1" si="249"/>
        <v/>
      </c>
      <c r="DV129" s="259" t="str">
        <f t="shared" ca="1" si="250"/>
        <v/>
      </c>
      <c r="DW129" s="259">
        <f t="shared" ca="1" si="251"/>
        <v>0</v>
      </c>
      <c r="DX129" s="259" t="str">
        <f t="shared" ca="1" si="252"/>
        <v/>
      </c>
      <c r="DY129" s="259" t="str">
        <f t="shared" ca="1" si="253"/>
        <v/>
      </c>
      <c r="DZ129" s="259" t="str">
        <f t="shared" ca="1" si="254"/>
        <v/>
      </c>
      <c r="EB129" s="259" t="s">
        <v>369</v>
      </c>
      <c r="ED129" s="259">
        <f t="shared" ca="1" si="197"/>
        <v>0</v>
      </c>
      <c r="EH129" s="259" t="str">
        <f t="shared" ca="1" si="256"/>
        <v/>
      </c>
      <c r="EI129" s="260" t="b">
        <f t="shared" ca="1" si="310"/>
        <v>1</v>
      </c>
      <c r="EJ129" s="260" t="b">
        <f t="shared" ca="1" si="311"/>
        <v>1</v>
      </c>
      <c r="EK129" s="260" t="b">
        <f t="shared" ca="1" si="312"/>
        <v>1</v>
      </c>
      <c r="EL129" s="259">
        <f t="shared" si="257"/>
        <v>127</v>
      </c>
      <c r="EM129" s="259">
        <f ca="1">IF(AND(BA129&gt;0,BA129&lt;=$EM$1),MAX($EM$2:EM128)+1,0)</f>
        <v>0</v>
      </c>
      <c r="EN129" s="259">
        <f t="shared" ca="1" si="258"/>
        <v>129</v>
      </c>
      <c r="EP129" s="259" t="str">
        <f t="shared" ca="1" si="200"/>
        <v/>
      </c>
      <c r="EQ129" s="259">
        <f t="shared" ca="1" si="201"/>
        <v>0</v>
      </c>
      <c r="ER129" s="259">
        <f ca="1">IF(ISNA(EQ129),MAX(ER$2:ER128)+1,0)</f>
        <v>0</v>
      </c>
      <c r="ES129" s="259" t="str">
        <f t="shared" ca="1" si="259"/>
        <v/>
      </c>
      <c r="ET129" s="259" t="str">
        <f ca="1">IFERROR(UPPER(INDEX($ER$3:$ES$500,MATCH(ROWS(ET$3:ET129),$ER$3:$ER$500,0),2)),"")</f>
        <v/>
      </c>
      <c r="EW129" s="259">
        <f t="shared" ca="1" si="344"/>
        <v>1</v>
      </c>
      <c r="EX129" s="259">
        <v>27</v>
      </c>
      <c r="EY129" s="259">
        <f t="shared" ca="1" si="345"/>
        <v>0</v>
      </c>
      <c r="EZ129" s="259">
        <f t="shared" ca="1" si="346"/>
        <v>0</v>
      </c>
      <c r="FA129" s="259">
        <f t="shared" ca="1" si="347"/>
        <v>0</v>
      </c>
      <c r="FB129" s="259">
        <f t="shared" ca="1" si="348"/>
        <v>0</v>
      </c>
      <c r="FC129" s="259">
        <f t="shared" ca="1" si="349"/>
        <v>0</v>
      </c>
      <c r="FD129" s="259">
        <f t="shared" ca="1" si="202"/>
        <v>0</v>
      </c>
      <c r="FE129" s="259" t="str">
        <f t="shared" ca="1" si="203"/>
        <v/>
      </c>
      <c r="FF129" s="259" t="str">
        <f t="shared" ca="1" si="350"/>
        <v/>
      </c>
      <c r="FM129" s="259">
        <f t="shared" ca="1" si="205"/>
        <v>0</v>
      </c>
      <c r="FN129" s="259">
        <f ca="1">IF(FM129&lt;0,MAX($FN$2:FN128)+1,0)</f>
        <v>0</v>
      </c>
      <c r="FO129" s="259" t="str">
        <f t="shared" ca="1" si="268"/>
        <v/>
      </c>
      <c r="FP129" s="259" t="str">
        <f ca="1">IFERROR(INDEX($FN$3:$FO$400,MATCH(ROWS($FP$3:FP129),$FN$3:$FN$400,0),2),"")</f>
        <v/>
      </c>
      <c r="FQ129" s="259" t="str">
        <f>IF(AE129="SE AVERE",MAX($FQ$2:FQ128)+1,"")</f>
        <v/>
      </c>
      <c r="FR129" s="259">
        <f>IF(AE129="SE DARE",MAX($FR$2:FR128)+1,"")</f>
        <v>34</v>
      </c>
      <c r="FS129" s="259" t="str">
        <f ca="1">IF(AND(AE129="SP DARE",AA129&lt;&gt;$FS$1,AA129&lt;&gt;$FT$1),MAX($FS$2:FS128)+1,IF(AND(GQ129="SP DARE",AA129&lt;&gt;$FS$1,AA129&lt;&gt;$FT$1),MAX($FS$2:FS128)+1,""))</f>
        <v/>
      </c>
      <c r="FT129" s="259" t="str">
        <f ca="1">IF(AND(AE129="SP AVERE",AA129&lt;&gt;$FU$1),MAX($FT$2:FT128)+1,IF(AND(GQ129="SP AVERE",AA129&lt;&gt;$FU$1),MAX($FT$2:FT128)+1,""))</f>
        <v/>
      </c>
      <c r="FU129" s="259">
        <f t="shared" ca="1" si="269"/>
        <v>34</v>
      </c>
      <c r="FV129" s="259" t="str">
        <f t="shared" si="270"/>
        <v>COSTI POSTALI</v>
      </c>
      <c r="FW129" s="259" t="str">
        <f ca="1">IFERROR(INDEX($FU$3:$FV$500,MATCH(ROWS($FW$3:FW129),$FU$3:$FU$500,0),2),0)</f>
        <v>ASSEGNI</v>
      </c>
      <c r="FX129" s="259">
        <f t="shared" ca="1" si="271"/>
        <v>127</v>
      </c>
      <c r="FY129" s="259">
        <f t="shared" ca="1" si="272"/>
        <v>0</v>
      </c>
      <c r="FZ129" s="259">
        <f ca="1">IF(FY129&gt;0,MAX($FZ$2:FZ128)+1,0)</f>
        <v>0</v>
      </c>
      <c r="GA129" s="259">
        <f ca="1">IFERROR(INDEX($FY$3:$FZ$500,MATCH(ROWS($GA$3:GA129),$FZ$3:$FZ$500,0),1),0)</f>
        <v>0</v>
      </c>
      <c r="GC129" s="259">
        <f t="shared" ca="1" si="273"/>
        <v>127</v>
      </c>
      <c r="GD129" s="259" t="str">
        <f t="shared" ca="1" si="274"/>
        <v>ASSEGNI</v>
      </c>
      <c r="GG129" s="259">
        <f t="shared" ca="1" si="275"/>
        <v>0</v>
      </c>
      <c r="GH129" s="259">
        <f t="shared" ca="1" si="276"/>
        <v>0</v>
      </c>
      <c r="GI129" s="259">
        <f t="shared" ca="1" si="277"/>
        <v>0</v>
      </c>
      <c r="GJ129" s="259">
        <f t="shared" ca="1" si="278"/>
        <v>0</v>
      </c>
      <c r="GK129" s="259">
        <f t="shared" ca="1" si="279"/>
        <v>0</v>
      </c>
      <c r="GL129" s="259">
        <f t="shared" ca="1" si="280"/>
        <v>0</v>
      </c>
      <c r="GM129" s="259">
        <f ca="1">IF(OR(GK129&gt;0,GL129&gt;0),MAX($GM$2:GM128)+1,0)</f>
        <v>0</v>
      </c>
      <c r="GN129" s="259" t="str">
        <f ca="1">IFERROR(INDEX($GD$3:$GM$400,MATCH(ROWS($GN$3:GN129),$GM$3:$GM$400,0),1),"")</f>
        <v/>
      </c>
      <c r="GO129" s="259" t="str">
        <f ca="1">IFERROR(INDEX($GD$3:$GM$400,MATCH(ROWS($GO$3:GO129),$GM$3:$GM$400,0),8),"")</f>
        <v/>
      </c>
      <c r="GP129" s="259" t="str">
        <f ca="1">IFERROR(INDEX($GD$3:$GM$400,MATCH(ROWS($GP$3:GP129),$GM$3:$GM$400,0),9),"")</f>
        <v/>
      </c>
      <c r="GQ129" s="259">
        <f t="shared" ca="1" si="206"/>
        <v>0</v>
      </c>
      <c r="GR129" s="259">
        <f t="shared" ca="1" si="281"/>
        <v>0</v>
      </c>
      <c r="GS129" s="259" t="str">
        <f t="shared" ca="1" si="282"/>
        <v>chiusura del conto</v>
      </c>
      <c r="GT129" s="259" t="str">
        <f ca="1">IFERROR(INDEX($GD$3:$GS$400,MATCH(ROWS($GT$3:GT129),$GM$3:$GM$400,0),16),"")</f>
        <v/>
      </c>
      <c r="GU129" s="259">
        <f ca="1">IF(GQ129&lt;&gt;0,MAX($GU$2:$GU128)+1,0)</f>
        <v>0</v>
      </c>
      <c r="GV129" s="259">
        <f t="shared" ca="1" si="283"/>
        <v>0</v>
      </c>
      <c r="GW129" s="259" t="str">
        <f ca="1">IF(AND(IFERROR(INDEX($GU$3:$GV$400,MATCH(ROWS($GW$3:GW129),$GU$3:$GU$400,0),2),"")&lt;&gt;"",GW130&lt;&gt;""),CONCATENATE(IFERROR(INDEX($GU$3:$GV$400,MATCH(ROWS($GW$3:GW129),$GU$3:$GU$400,0),2),"")," - "),IFERROR(INDEX($GU$3:$GV$400,MATCH(ROWS($GW$3:GW129),$GU$3:$GU$400,0),2),""))</f>
        <v/>
      </c>
      <c r="GX129" s="259">
        <f ca="1">IF(OR(GN129="IVA NS/CREDITO",GN129="IVA NS/DEBITO",GN129="IVA C/ACCONTO",GN129="IMPOSTE C/ACCONTO"),MAX($GX$2:GX128)+1,0)</f>
        <v>0</v>
      </c>
      <c r="GY129" s="259" t="str">
        <f ca="1">IF(AND(IFERROR(INDEX($GN$3:$GX$200,MATCH(ROWS($GY$3:GY129),$GX$3:$GX$200,0),1),"")&lt;&gt;"",GY130&lt;&gt;""),CONCATENATE(IFERROR(INDEX($GN$3:$GX$200,MATCH(ROWS($GY$3:GY129),$GX$3:$GX$200,0),1),"")," - "),IFERROR(INDEX($GN$3:$GX$200,MATCH(ROWS($GY$3:GY129),$GX$3:$GX$200,0),1),""))</f>
        <v/>
      </c>
      <c r="GZ129" s="259" t="s">
        <v>654</v>
      </c>
      <c r="HA129" s="259" t="s">
        <v>482</v>
      </c>
      <c r="HB129" s="269" t="s">
        <v>256</v>
      </c>
      <c r="HC129" s="269" t="s">
        <v>211</v>
      </c>
      <c r="HD129" s="269" t="s">
        <v>8</v>
      </c>
      <c r="HE129" s="269" t="s">
        <v>213</v>
      </c>
      <c r="HG129" s="270"/>
      <c r="HV129" s="259" t="str">
        <f ca="1">CONCATENATE(IFERROR(INDEX($HS$3:$HT$102,MATCH(ROWS($HV$3:HV129),$HT$3:$HT$102,0),1),""),HR129)</f>
        <v/>
      </c>
      <c r="IC129" s="259">
        <f ca="1">IFERROR(INDEX(PIANO_DEI_CONTI,MATCH(ROWS(DL$3:DL129),$DK$3:DK356,0),2),0)</f>
        <v>0</v>
      </c>
      <c r="ID129" s="259">
        <f t="shared" ca="1" si="288"/>
        <v>0</v>
      </c>
      <c r="IE129" s="259">
        <f t="shared" ca="1" si="289"/>
        <v>0</v>
      </c>
      <c r="IF129" s="259">
        <f t="shared" ca="1" si="290"/>
        <v>0</v>
      </c>
      <c r="IG129" s="259">
        <f t="shared" ca="1" si="324"/>
        <v>0</v>
      </c>
      <c r="IH129" s="259">
        <f ca="1">IF(IG129&lt;&gt;0,MAX($IH$35:IH128)+1,0)</f>
        <v>0</v>
      </c>
      <c r="II129" s="259">
        <f>IF(AD129="costi pluriennali",MAX($II$2:II128)+1,0)</f>
        <v>0</v>
      </c>
      <c r="IJ129" s="259">
        <f>IF($AD129="rettifiche costi pluriennali",MAX($IJ$2:IJ128)+1,0)</f>
        <v>0</v>
      </c>
      <c r="IK129" s="259">
        <f t="shared" si="291"/>
        <v>0</v>
      </c>
      <c r="IL129" s="259" t="str">
        <f t="shared" si="292"/>
        <v/>
      </c>
      <c r="IM129" s="259">
        <f t="shared" ca="1" si="293"/>
        <v>0</v>
      </c>
      <c r="IN129" s="259">
        <f t="shared" ca="1" si="313"/>
        <v>0</v>
      </c>
      <c r="IO129" s="259">
        <f>SUMIFS($IM$3:$IM$200,$IK$3:$IK$200,ROWS($IO$3:IO129))-SUMIFS($IN$3:$IN$200,$IK$3:$IK$200,ROWS($IO$3:IO129))</f>
        <v>0</v>
      </c>
      <c r="IP129" s="259" t="str">
        <f>IF(IO129&lt;0,INDEX($IJ$3:$IL$200,MATCH(ROWS($IP$3:IP129),$IJ$3:$IJ$200,0),3),"")</f>
        <v/>
      </c>
      <c r="IQ129" s="259">
        <f>IF(IP129&lt;&gt;"",MAX($IQ$2:IQ128)+1,0)</f>
        <v>0</v>
      </c>
      <c r="IR129" s="259" t="str">
        <f ca="1">IFERROR(INDEX($IP$3:$IQ$200,MATCH(ROWS($IR$3:IR129),$IQ$3:$IQ$200,0),1),"")</f>
        <v/>
      </c>
      <c r="IS129" s="259" t="str">
        <f t="shared" ca="1" si="294"/>
        <v/>
      </c>
      <c r="IT129" s="259" t="str">
        <f t="shared" ca="1" si="295"/>
        <v/>
      </c>
      <c r="IU129" s="259" t="str">
        <f t="shared" ca="1" si="296"/>
        <v/>
      </c>
      <c r="IV129" s="259" t="str">
        <f t="shared" ca="1" si="297"/>
        <v/>
      </c>
      <c r="IW129" s="259" t="str">
        <f t="shared" ca="1" si="298"/>
        <v/>
      </c>
      <c r="IX129" s="259" t="str">
        <f t="shared" ca="1" si="299"/>
        <v/>
      </c>
      <c r="IY129" s="259" t="str">
        <f t="shared" ca="1" si="300"/>
        <v/>
      </c>
      <c r="IZ129" s="259" t="str">
        <f t="shared" ca="1" si="301"/>
        <v/>
      </c>
      <c r="JA129" s="259" t="str">
        <f t="shared" ca="1" si="302"/>
        <v/>
      </c>
      <c r="JB129" s="259">
        <f t="shared" ca="1" si="210"/>
        <v>0</v>
      </c>
      <c r="JC129" s="259">
        <f t="shared" ca="1" si="351"/>
        <v>0</v>
      </c>
      <c r="JD129" s="259">
        <f t="shared" ca="1" si="352"/>
        <v>0</v>
      </c>
      <c r="JM129" s="259">
        <f t="shared" ca="1" si="353"/>
        <v>0</v>
      </c>
    </row>
    <row r="130" spans="1:273">
      <c r="A130" s="259" t="str">
        <f t="shared" si="211"/>
        <v>20.17</v>
      </c>
      <c r="B130" s="259" t="str">
        <f t="shared" si="212"/>
        <v>ARROTONDAMENTI ATTIVI</v>
      </c>
      <c r="C130" s="259" t="str">
        <f t="shared" si="213"/>
        <v>E</v>
      </c>
      <c r="D130" s="259" t="str">
        <f t="shared" si="214"/>
        <v>A</v>
      </c>
      <c r="E130" s="259" t="str">
        <f t="shared" si="215"/>
        <v>RICAVI D'ESERCIZIO</v>
      </c>
      <c r="F130" s="259" t="str">
        <f t="shared" si="216"/>
        <v>SE AVERE</v>
      </c>
      <c r="G130" s="259">
        <f t="shared" ca="1" si="217"/>
        <v>1</v>
      </c>
      <c r="H130" s="259">
        <f t="shared" ca="1" si="218"/>
        <v>1</v>
      </c>
      <c r="I130" s="259">
        <f t="shared" ca="1" si="219"/>
        <v>1</v>
      </c>
      <c r="K130" s="259" t="str">
        <f ca="1">IFERROR(IF($I$1=1,INDEX($AA$3:$AS$220,MATCH(ROWS($K$3:K130),$AQ$3:$AQ$220,0),1),IF($I$1=2,INDEX($AA$3:$AS$220,MATCH(ROWS($K$3:K130),$AR$3:$AR$220,0),1),IF($I$1=3,INDEX($AA$3:$AS$220,MATCH(ROWS($K$3:K130),$AS$3:$AS$220,0),1),""))),"")</f>
        <v>PROVVIGIONI PASSIVE</v>
      </c>
      <c r="L130" s="259">
        <f ca="1">IF(AND($L$1="VISUALIZZA TUTTI I CONTI",K130&lt;&gt;""),MAX(L129:L129)+1,IFERROR(IF($J$1=1,IF(INDEX(PIANO_DEI_CONTI,MATCH($K130,DENOMINAZIONE,0),5)=$L$1,MAX($L$2:L129)+1,0),IF($J$1=2,IF(INDEX(PIANO_DEI_CONTI,MATCH($K130,DENOMINAZIONE,0),7)=$L$1,MAX($L$2:L129)+1,0))),0))</f>
        <v>128</v>
      </c>
      <c r="M130" s="259" t="str">
        <f ca="1">IFERROR(INDEX($K$3:$K$220,MATCH(ROWS($M$3:M130),$L$3:$L$220,0),1),"")</f>
        <v>PROVVIGIONI PASSIVE</v>
      </c>
      <c r="Q130" s="259" t="str">
        <f ca="1">IF(IFERROR(INDEX($O$3:$P$220,MATCH(ROWS(Q$3:Q130),$P$3:$P$220,0),1),"")=0,"",IFERROR(INDEX($O$3:$P$220,MATCH(ROWS(Q$3:Q130),$P$3:$P$220,0),1),""))</f>
        <v/>
      </c>
      <c r="R130" s="259" t="str">
        <f t="shared" ca="1" si="182"/>
        <v/>
      </c>
      <c r="S130" s="259">
        <f ca="1">IF(IFERROR(MATCH(R130,DENOMINAZIONE_GIORNALE,0),0)&gt;0,MAX(S$2:S129)+1,0)</f>
        <v>0</v>
      </c>
      <c r="T130" s="259" t="str">
        <f ca="1">IFERROR(INDEX($R$3:$S$220,MATCH(ROWS($T$3:T130),$S$3:$S$220,0),1),"")</f>
        <v/>
      </c>
      <c r="U130" s="259">
        <f t="shared" ca="1" si="183"/>
        <v>0</v>
      </c>
      <c r="V130" s="259">
        <f ca="1">IF(IF(U130&lt;&gt;0,MAX($V$2:V129)+1,0)=0,0,IF(U130&lt;&gt;0,MAX($V$2:V129)+1,0))</f>
        <v>0</v>
      </c>
      <c r="W130" s="259" t="str">
        <f t="shared" si="220"/>
        <v>20.17</v>
      </c>
      <c r="X130" s="259" t="str">
        <f t="shared" si="221"/>
        <v>ARROTONDAMENTI ATTIVI</v>
      </c>
      <c r="Y130" s="259">
        <f>IF(W130="",0,MAX($Y$2:Y129)+1)</f>
        <v>110</v>
      </c>
      <c r="Z130" s="259" t="str">
        <f>IFERROR(INDEX($W$3:$Y$220,MATCH(ROWS($Z$2:Z129),$Y$3:$Y$220,0),1),"")</f>
        <v>31.08</v>
      </c>
      <c r="AA130" s="259" t="str">
        <f t="shared" si="222"/>
        <v>ASSICURAZIONI</v>
      </c>
      <c r="AB130" s="259" t="str">
        <f t="shared" si="223"/>
        <v>E</v>
      </c>
      <c r="AC130" s="259" t="str">
        <f t="shared" si="224"/>
        <v>D</v>
      </c>
      <c r="AD130" s="259" t="str">
        <f t="shared" si="225"/>
        <v>COSTI D'ESERCIZIO</v>
      </c>
      <c r="AE130" s="259" t="str">
        <f t="shared" si="226"/>
        <v>SE DARE</v>
      </c>
      <c r="AF130" s="259" t="str">
        <f t="shared" si="227"/>
        <v>COSTI PER SERVIZI</v>
      </c>
      <c r="AG130" s="259">
        <f t="shared" ca="1" si="228"/>
        <v>1</v>
      </c>
      <c r="AH130" s="259">
        <f t="shared" ca="1" si="229"/>
        <v>1</v>
      </c>
      <c r="AI130" s="259">
        <f t="shared" ca="1" si="230"/>
        <v>1</v>
      </c>
      <c r="AJ130" s="259" t="str">
        <f t="shared" si="231"/>
        <v>31</v>
      </c>
      <c r="AK130" s="259" t="str">
        <f t="shared" si="232"/>
        <v/>
      </c>
      <c r="AL130" s="259">
        <f>IF(AK130&lt;&gt;"",MAX($AL$2:AL129)+1,0)</f>
        <v>0</v>
      </c>
      <c r="AM130" s="259" t="str">
        <f>IFERROR(INDEX($AK$3:$AL$220,MATCH(ROWS($AM$3:AM130),$AL$3:$AL$220,0),1),"")</f>
        <v/>
      </c>
      <c r="AN130" s="259" t="str">
        <f t="shared" si="233"/>
        <v/>
      </c>
      <c r="AO130" s="259" t="str">
        <f t="shared" si="234"/>
        <v/>
      </c>
      <c r="AP130" s="259" t="str">
        <f t="shared" si="235"/>
        <v>COSTI PER SERVIZI</v>
      </c>
      <c r="AQ130" s="259">
        <f ca="1">IF(OR(AG130=0,AG130=""),0,MAX(AQ$2:AQ129)+1)</f>
        <v>69</v>
      </c>
      <c r="AR130" s="259">
        <f ca="1">IF(OR(AH130=0,AH130=""),0,MAX(AR$2:AR129)+1)</f>
        <v>94</v>
      </c>
      <c r="AS130" s="259">
        <f ca="1">IF(OR(AI130=0,AI130=""),0,MAX(AS$2:AS129)+1)</f>
        <v>124</v>
      </c>
      <c r="AT130" s="259" t="str">
        <f ca="1">IFERROR(INDEX($AD$3:$AS$220,MATCH(ROWS(AT$3:AT130),AQ$3:AQ$220,0),1),"")</f>
        <v/>
      </c>
      <c r="AU130" s="259" t="str">
        <f ca="1">IFERROR(INDEX($AD$3:$AS$220,MATCH(ROWS(AU$3:AU130),AR$3:AR$220,0),1),"")</f>
        <v/>
      </c>
      <c r="AV130" s="259" t="str">
        <f ca="1">IFERROR(INDEX($AD$3:$AS$220,MATCH(ROWS(AV$3:AV130),AS$3:AS$220,0),1),"")</f>
        <v>COSTI D'ESERCIZIO</v>
      </c>
      <c r="AW130" s="259" t="str">
        <f ca="1">IFERROR(INDEX($AP$3:$AS$220,MATCH(ROWS(AW$3:AW130),AQ$3:AQ$220,0),1),"")</f>
        <v/>
      </c>
      <c r="AX130" s="259" t="str">
        <f ca="1">IFERROR(INDEX($AP$3:$AS$220,MATCH(ROWS(AX$3:AX130),AR$3:AR$220,0),1),"")</f>
        <v/>
      </c>
      <c r="AY130" s="259" t="str">
        <f ca="1">IFERROR(INDEX($AP$3:$AS$220,MATCH(ROWS(AY$3:AY130),AS$3:AS$220,0),1),"")</f>
        <v>COSTI PER SERVIZI</v>
      </c>
      <c r="AZ130" s="259" t="str">
        <f t="shared" si="339"/>
        <v>28 V.I.</v>
      </c>
      <c r="BA130" s="259">
        <f t="shared" ca="1" si="338"/>
        <v>0</v>
      </c>
      <c r="BB130" s="259">
        <f t="shared" ca="1" si="340"/>
        <v>0</v>
      </c>
      <c r="BC130" s="259">
        <f t="shared" ca="1" si="341"/>
        <v>0</v>
      </c>
      <c r="BD130" s="259">
        <f t="shared" ca="1" si="342"/>
        <v>0</v>
      </c>
      <c r="BE130" s="259">
        <f t="shared" ca="1" si="343"/>
        <v>0</v>
      </c>
      <c r="BG130" s="259" t="str">
        <f t="shared" ca="1" si="185"/>
        <v/>
      </c>
      <c r="BH130" s="259">
        <f ca="1">IF(IFERROR(MATCH(BG130,DENOMINAZIONE_GIORNALE,0),0)&gt;0,MAX(BH$2:BH129)+1,0)</f>
        <v>0</v>
      </c>
      <c r="BI130" s="259" t="str">
        <f ca="1">IFERROR(INDEX($BG$3:$BH$220,MATCH(ROWS($BI$3:BI130),$BH$3:$BH$220,0),1),"")</f>
        <v/>
      </c>
      <c r="BJ130" s="259" t="str">
        <f t="shared" ca="1" si="186"/>
        <v/>
      </c>
      <c r="BK130" s="259" t="str">
        <f ca="1">IF(IF(BJ130&lt;&gt;"",MAX($BK$2:BK129)+1,0)=0,"",IF(BJ130&lt;&gt;"",MAX($BK$2:BK129)+1,0))</f>
        <v/>
      </c>
      <c r="BL130" s="259" t="str">
        <f ca="1">IFERROR(INDEX($T$3:$U$220, MATCH(ROWS(BL$3:BL130),$V$3:$V$220,0),1),"")</f>
        <v/>
      </c>
      <c r="BM130" s="259" t="str">
        <f ca="1">IFERROR(INDEX($T$3:$U$220, MATCH(ROWS(BM$3:BM130),$V$3:$V$220,0),2),"")</f>
        <v/>
      </c>
      <c r="BN130" s="259" t="str">
        <f ca="1">IF(IFERROR(INDEX($BI$3:$BJ$220,MATCH(ROWS(BN$3:BN130),$BK$3:$BK$220,0),1),"")="PATRIMONIO NETTO","",IFERROR(INDEX($BI$3:$BJ$220,MATCH(ROWS(BN$3:BN130),$BK$3:$BK$220,0),1),""))</f>
        <v/>
      </c>
      <c r="BO130" s="259" t="str">
        <f ca="1">IFERROR(INDEX($BI$3:$BJ$220,MATCH(ROWS(BO$3:BO130),$BK$3:$BK$220,0),2),"")</f>
        <v/>
      </c>
      <c r="BP130" s="259">
        <f ca="1">IF(BN130&lt;&gt;"",MAX(BP$2:$BP129)+1,0)</f>
        <v>0</v>
      </c>
      <c r="BQ130" s="259" t="str">
        <f ca="1">IFERROR(INDEX($BN$3:$BO$200,MATCH(ROWS(BQ$3:BQ130),$BP$3:$BP$220,0),1),"")</f>
        <v/>
      </c>
      <c r="BR130" s="259" t="str">
        <f ca="1">IFERROR(INDEX($BN$3:$BO$220,MATCH(ROWS(BR$3:BR130),$BP$3:$BP$220,0),2),"")</f>
        <v/>
      </c>
      <c r="BS130" s="259" t="str">
        <f ca="1">IFERROR(IF(OR(INDEX($T$3:$U$220,MATCH(ROWS(BL$3:BL130),$V$3:$V$220,0),1)="PRELEVAMENTI EXTRAGESTIONE",INDEX($T$3:$U$220,MATCH(ROWS(BL$3:BL130),$V$3:$V$220,0),1)="TITOLARE C/RITENUTE SUBITE"),"",INDEX($T$3:$U$220,MATCH(ROWS(BL$3:BL130),$V$3:$V$220,0),1)),"")</f>
        <v/>
      </c>
      <c r="BT130" s="259">
        <f t="shared" ca="1" si="238"/>
        <v>0</v>
      </c>
      <c r="BU130" s="259">
        <f ca="1">IF(BS130&lt;&gt;"",MAX(BU$2:BU129)+1,0)</f>
        <v>0</v>
      </c>
      <c r="BV130" s="259" t="str">
        <f ca="1">IFERROR(INDEX($BS$3:$BT$223,MATCH(ROWS(BV$3:BV130),$BU$3:$BU$223,0),1),"")</f>
        <v/>
      </c>
      <c r="BW130" s="259">
        <f t="shared" ca="1" si="239"/>
        <v>0</v>
      </c>
      <c r="CB130" s="259" t="str">
        <f ca="1">IFERROR(IF(OR($BB$1&lt;&gt;$BD$1,$BC$1&lt;&gt;$BE$1,$DS$231&lt;&gt;$DT$231,$DU$231&lt;&gt;$DV$231,$EO$25&lt;&gt;0,$EO$26&lt;&gt;0),INDEX($BI$3:$BK$220,MATCH(ROWS($CB$3:CB130),$BK$3:$BK$220,0),1),CONCATENATE(BQ130,BX130)),"")</f>
        <v/>
      </c>
      <c r="CC130" s="259" t="str">
        <f t="shared" ca="1" si="243"/>
        <v/>
      </c>
      <c r="CD130" s="259" t="str">
        <f t="shared" ca="1" si="187"/>
        <v>ASSICURAZIONI</v>
      </c>
      <c r="CE130" s="259">
        <f ca="1">IF(IFERROR(MATCH(CD130,DENOMINAZIONE_GIORNALE,0),0)&gt;0,MAX(CE$2:CE129)+1,0)</f>
        <v>0</v>
      </c>
      <c r="CF130" s="259" t="str">
        <f ca="1">IFERROR(INDEX($CD$3:$CE$220,MATCH(ROWS($CF$3:CF130),$CE$3:$CE$220,0),1),"")</f>
        <v/>
      </c>
      <c r="CG130" s="259">
        <f t="shared" ca="1" si="188"/>
        <v>0</v>
      </c>
      <c r="CH130" s="259" t="str">
        <f ca="1">IF(IF(CG130&lt;&gt;0,MAX($CH$2:CH129)+1,0)=0,"",IF(CG130&lt;&gt;"",MAX($CH$2:CH129)+1,0))</f>
        <v/>
      </c>
      <c r="CI130" s="259" t="str">
        <f ca="1">IFERROR(INDEX($CF$3:$CG$220,MATCH(ROWS($CI$3:CI130),$CH$3:$CH$220,0),1),"")</f>
        <v/>
      </c>
      <c r="CJ130" s="259" t="str">
        <f t="shared" ca="1" si="244"/>
        <v/>
      </c>
      <c r="CK130" s="259" t="str">
        <f t="shared" ca="1" si="189"/>
        <v/>
      </c>
      <c r="CL130" s="259">
        <f ca="1">IF(IFERROR(MATCH(CK130,DENOMINAZIONE_GIORNALE,0),0)&gt;0,MAX(CL$2:CL129)+1,0)</f>
        <v>0</v>
      </c>
      <c r="CM130" s="259" t="str">
        <f ca="1">IFERROR(INDEX($CK$3:$CL$220,MATCH(ROWS($CM$3:CM130),$CL$3:$CL$220,0),1),"")</f>
        <v/>
      </c>
      <c r="CN130" s="259" t="str">
        <f t="shared" ca="1" si="190"/>
        <v/>
      </c>
      <c r="CO130" s="259">
        <f ca="1">IF(IF(CN130&lt;&gt;0,MAX($CO$2:CO129)+1,0)=0,"",IF(CN130&lt;&gt;"",MAX($CO$2:CO129)+1,0))</f>
        <v>0</v>
      </c>
      <c r="CP130" s="259" t="str">
        <f ca="1">IFERROR(INDEX($CM$3:$CN$220,MATCH(ROWS(CP$3:CP130),$CO$3:$CO$220,0),1),"")</f>
        <v/>
      </c>
      <c r="CQ130" s="259" t="str">
        <f ca="1">IFERROR(INDEX($CM$3:$CN$220,MATCH(ROWS(CQ$3:CQ130),$CO$3:$CO$220,0),2),"")</f>
        <v/>
      </c>
      <c r="CS130" s="259">
        <f t="shared" ca="1" si="192"/>
        <v>0</v>
      </c>
      <c r="CT130" s="259">
        <f t="shared" ca="1" si="193"/>
        <v>0</v>
      </c>
      <c r="CU130" s="259">
        <f ca="1">IF(OR(CS130&gt;0,CT130&gt;0),MAX($CU$2:CU129)+1,0)</f>
        <v>0</v>
      </c>
      <c r="CV130" s="259" t="str">
        <f ca="1">IFERROR(INDEX(PIANO_DEI_CONTI,MATCH(ROWS($CV$3:CV130),$CU$3:$CU$200,0),2),"")</f>
        <v/>
      </c>
      <c r="CW130" s="259">
        <f ca="1">IFERROR(IF(CV130&lt;&gt;"",MAX($CW$2:CW129)+1,0),0)</f>
        <v>0</v>
      </c>
      <c r="CX130" s="259">
        <f t="shared" ref="CX130:CX145" ca="1" si="364">$EA$10</f>
        <v>8</v>
      </c>
      <c r="CY130" s="259" t="str">
        <f t="shared" ca="1" si="337"/>
        <v>MASTRO</v>
      </c>
      <c r="DA130" s="259" t="str">
        <f ca="1">IF(DB129="","","Num. riga")</f>
        <v/>
      </c>
      <c r="DB130" s="259" t="str">
        <f t="shared" ref="DB130" ca="1" si="365">IF(DB129="","","Data")</f>
        <v/>
      </c>
      <c r="DC130" s="259" t="str">
        <f ca="1">IF(DB129="","","Operazioni")</f>
        <v/>
      </c>
      <c r="DD130" s="259" t="str">
        <f ca="1">IF(DB129="","","Dare        ")</f>
        <v/>
      </c>
      <c r="DE130" s="259" t="str">
        <f ca="1">IF(DB129="","","Avere        ")</f>
        <v/>
      </c>
      <c r="DF130" s="259">
        <f ca="1">IF(AND(CX130=$DE$2,$DF$2&lt;&gt;0),0,IF(AND(DB130&lt;&gt;"",OR(DB129&lt;&gt;"",DB131&lt;&gt;"")),MAX($DF$2:DF129)+1,0))</f>
        <v>0</v>
      </c>
      <c r="DG130" s="259" t="str">
        <f>IF(IF(LIBRO_GIORNALE!E38="","",IFERROR(INDEX(PIANO_DEI_CONTI,MATCH(BB130,DENOMINAZIONE,0),1),0))=0,"",IF(LIBRO_GIORNALE!E38="","",IFERROR(INDEX(PIANO_DEI_CONTI,MATCH(BB130,DENOMINAZIONE,0),1),0)))</f>
        <v/>
      </c>
      <c r="DH130" s="259">
        <f ca="1">IFERROR(IF($J$1=1,IF(INDEX(PIANO_DEI_CONTI,MATCH($K130,DENOMINAZIONE,0),5)=$DF$1,MAX($DH$2:DH129)+1,0),IF($J$1=2,IF(INDEX(PIANO_DEI_CONTI,MATCH($K130,DENOMINAZIONE,0),7)=$DF$1,MAX($DH$2:DH129)+1,0))),0)</f>
        <v>0</v>
      </c>
      <c r="DI130" s="259">
        <f ca="1">IFERROR(INDEX($K$3:$K$220,MATCH(ROWS($DI$3:DI130),$DH$3:$DH$220,0),1),0)</f>
        <v>0</v>
      </c>
      <c r="DJ130" s="259">
        <f t="shared" ca="1" si="194"/>
        <v>0</v>
      </c>
      <c r="DK130" s="259">
        <f ca="1">IF(DJ130=0,0,MAX(DK$2:DK129)+1)</f>
        <v>0</v>
      </c>
      <c r="DL130" s="259">
        <f ca="1">IFERROR(INDEX(PIANO_DEI_CONTI,MATCH(ROWS(DL$3:DL130),$DK$3:DK357,0),2),0)</f>
        <v>0</v>
      </c>
      <c r="DM130" s="259">
        <f t="shared" ca="1" si="195"/>
        <v>0</v>
      </c>
      <c r="DN130" s="259">
        <f t="shared" ca="1" si="196"/>
        <v>0</v>
      </c>
      <c r="DO130" s="259">
        <f t="shared" ca="1" si="245"/>
        <v>0</v>
      </c>
      <c r="DP130" s="259">
        <f t="shared" ca="1" si="246"/>
        <v>0</v>
      </c>
      <c r="DQ130" s="259">
        <f ca="1">IF(OR($DQ$1="TOTALI",$DQ$1="TOTALI ED ECCEDENZE"),IF(OR(DM130&gt;0,DN130&gt;0),MAX(DQ$2:DQ129)+1,0),IF($DQ$1="ECCEDENZE",IF(OR(DO130&gt;0,DP130&gt;0),MAX(DQ$2:DQ129)+1,0),""))</f>
        <v>0</v>
      </c>
      <c r="DR130" s="259" t="str">
        <f ca="1">IFERROR(INDEX($DL$3:$DQ$230,MATCH(ROWS(DR$3:DR130),$DQ$3:$DQ$230,0),1),"")</f>
        <v/>
      </c>
      <c r="DS130" s="259" t="str">
        <f t="shared" ca="1" si="247"/>
        <v/>
      </c>
      <c r="DT130" s="259" t="str">
        <f t="shared" ca="1" si="248"/>
        <v/>
      </c>
      <c r="DU130" s="259" t="str">
        <f t="shared" ca="1" si="249"/>
        <v/>
      </c>
      <c r="DV130" s="259" t="str">
        <f t="shared" ca="1" si="250"/>
        <v/>
      </c>
      <c r="DW130" s="259">
        <f t="shared" ca="1" si="251"/>
        <v>0</v>
      </c>
      <c r="DX130" s="259" t="str">
        <f t="shared" ca="1" si="252"/>
        <v/>
      </c>
      <c r="DY130" s="259" t="str">
        <f t="shared" ca="1" si="253"/>
        <v/>
      </c>
      <c r="DZ130" s="259" t="str">
        <f t="shared" ca="1" si="254"/>
        <v/>
      </c>
      <c r="EB130" s="259" t="s">
        <v>369</v>
      </c>
      <c r="ED130" s="259">
        <f t="shared" ca="1" si="197"/>
        <v>0</v>
      </c>
      <c r="EH130" s="259" t="str">
        <f t="shared" ca="1" si="256"/>
        <v/>
      </c>
      <c r="EI130" s="260" t="b">
        <f t="shared" ca="1" si="310"/>
        <v>1</v>
      </c>
      <c r="EJ130" s="260" t="b">
        <f t="shared" ca="1" si="311"/>
        <v>1</v>
      </c>
      <c r="EK130" s="260" t="b">
        <f t="shared" ca="1" si="312"/>
        <v>1</v>
      </c>
      <c r="EL130" s="259">
        <f t="shared" si="257"/>
        <v>128</v>
      </c>
      <c r="EM130" s="259">
        <f ca="1">IF(AND(BA130&gt;0,BA130&lt;=$EM$1),MAX($EM$2:EM129)+1,0)</f>
        <v>0</v>
      </c>
      <c r="EN130" s="259">
        <f t="shared" ca="1" si="258"/>
        <v>130</v>
      </c>
      <c r="EP130" s="259" t="str">
        <f t="shared" ca="1" si="200"/>
        <v/>
      </c>
      <c r="EQ130" s="259">
        <f t="shared" ca="1" si="201"/>
        <v>0</v>
      </c>
      <c r="ER130" s="259">
        <f ca="1">IF(ISNA(EQ130),MAX(ER$2:ER129)+1,0)</f>
        <v>0</v>
      </c>
      <c r="ES130" s="259" t="str">
        <f t="shared" ca="1" si="259"/>
        <v/>
      </c>
      <c r="ET130" s="259" t="str">
        <f ca="1">IFERROR(UPPER(INDEX($ER$3:$ES$500,MATCH(ROWS(ET$3:ET130),$ER$3:$ER$500,0),2)),"")</f>
        <v/>
      </c>
      <c r="EW130" s="259">
        <f t="shared" ca="1" si="344"/>
        <v>1</v>
      </c>
      <c r="EX130" s="259">
        <v>28</v>
      </c>
      <c r="EY130" s="259">
        <f t="shared" ca="1" si="345"/>
        <v>0</v>
      </c>
      <c r="EZ130" s="259">
        <f t="shared" ca="1" si="346"/>
        <v>0</v>
      </c>
      <c r="FA130" s="259">
        <f t="shared" ca="1" si="347"/>
        <v>0</v>
      </c>
      <c r="FB130" s="259">
        <f t="shared" ca="1" si="348"/>
        <v>0</v>
      </c>
      <c r="FC130" s="259">
        <f t="shared" ca="1" si="349"/>
        <v>0</v>
      </c>
      <c r="FD130" s="259">
        <f t="shared" ca="1" si="202"/>
        <v>0</v>
      </c>
      <c r="FE130" s="259" t="str">
        <f t="shared" ca="1" si="203"/>
        <v/>
      </c>
      <c r="FF130" s="259" t="str">
        <f t="shared" ca="1" si="350"/>
        <v/>
      </c>
      <c r="FM130" s="259">
        <f t="shared" ca="1" si="205"/>
        <v>0</v>
      </c>
      <c r="FN130" s="259">
        <f ca="1">IF(FM130&lt;0,MAX($FN$2:FN129)+1,0)</f>
        <v>0</v>
      </c>
      <c r="FO130" s="259" t="str">
        <f t="shared" ca="1" si="268"/>
        <v/>
      </c>
      <c r="FP130" s="259" t="str">
        <f ca="1">IFERROR(INDEX($FN$3:$FO$400,MATCH(ROWS($FP$3:FP130),$FN$3:$FN$400,0),2),"")</f>
        <v/>
      </c>
      <c r="FQ130" s="259" t="str">
        <f>IF(AE130="SE AVERE",MAX($FQ$2:FQ129)+1,"")</f>
        <v/>
      </c>
      <c r="FR130" s="259">
        <f>IF(AE130="SE DARE",MAX($FR$2:FR129)+1,"")</f>
        <v>35</v>
      </c>
      <c r="FS130" s="259" t="str">
        <f ca="1">IF(AND(AE130="SP DARE",AA130&lt;&gt;$FS$1,AA130&lt;&gt;$FT$1),MAX($FS$2:FS129)+1,IF(AND(GQ130="SP DARE",AA130&lt;&gt;$FS$1,AA130&lt;&gt;$FT$1),MAX($FS$2:FS129)+1,""))</f>
        <v/>
      </c>
      <c r="FT130" s="259" t="str">
        <f ca="1">IF(AND(AE130="SP AVERE",AA130&lt;&gt;$FU$1),MAX($FT$2:FT129)+1,IF(AND(GQ130="SP AVERE",AA130&lt;&gt;$FU$1),MAX($FT$2:FT129)+1,""))</f>
        <v/>
      </c>
      <c r="FU130" s="259">
        <f t="shared" ca="1" si="269"/>
        <v>35</v>
      </c>
      <c r="FV130" s="259" t="str">
        <f t="shared" si="270"/>
        <v>ASSICURAZIONI</v>
      </c>
      <c r="FW130" s="259" t="str">
        <f ca="1">IFERROR(INDEX($FU$3:$FV$500,MATCH(ROWS($FW$3:FW130),$FU$3:$FU$500,0),2),0)</f>
        <v>DENARO IN CASSA</v>
      </c>
      <c r="FX130" s="259">
        <f t="shared" ca="1" si="271"/>
        <v>128</v>
      </c>
      <c r="FY130" s="259">
        <f t="shared" ca="1" si="272"/>
        <v>0</v>
      </c>
      <c r="FZ130" s="259">
        <f ca="1">IF(FY130&gt;0,MAX($FZ$2:FZ129)+1,0)</f>
        <v>0</v>
      </c>
      <c r="GA130" s="259">
        <f ca="1">IFERROR(INDEX($FY$3:$FZ$500,MATCH(ROWS($GA$3:GA130),$FZ$3:$FZ$500,0),1),0)</f>
        <v>0</v>
      </c>
      <c r="GC130" s="259">
        <f t="shared" ca="1" si="273"/>
        <v>128</v>
      </c>
      <c r="GD130" s="259" t="str">
        <f t="shared" ca="1" si="274"/>
        <v>DENARO IN CASSA</v>
      </c>
      <c r="GG130" s="259">
        <f t="shared" ca="1" si="275"/>
        <v>0</v>
      </c>
      <c r="GH130" s="259">
        <f t="shared" ca="1" si="276"/>
        <v>0</v>
      </c>
      <c r="GI130" s="259">
        <f t="shared" ca="1" si="277"/>
        <v>0</v>
      </c>
      <c r="GJ130" s="259">
        <f t="shared" ca="1" si="278"/>
        <v>0</v>
      </c>
      <c r="GK130" s="259">
        <f t="shared" ca="1" si="279"/>
        <v>0</v>
      </c>
      <c r="GL130" s="259">
        <f t="shared" ca="1" si="280"/>
        <v>0</v>
      </c>
      <c r="GM130" s="259">
        <f ca="1">IF(OR(GK130&gt;0,GL130&gt;0),MAX($GM$2:GM129)+1,0)</f>
        <v>0</v>
      </c>
      <c r="GN130" s="259" t="str">
        <f ca="1">IFERROR(INDEX($GD$3:$GM$400,MATCH(ROWS($GN$3:GN130),$GM$3:$GM$400,0),1),"")</f>
        <v/>
      </c>
      <c r="GO130" s="259" t="str">
        <f ca="1">IFERROR(INDEX($GD$3:$GM$400,MATCH(ROWS($GO$3:GO130),$GM$3:$GM$400,0),8),"")</f>
        <v/>
      </c>
      <c r="GP130" s="259" t="str">
        <f ca="1">IFERROR(INDEX($GD$3:$GM$400,MATCH(ROWS($GP$3:GP130),$GM$3:$GM$400,0),9),"")</f>
        <v/>
      </c>
      <c r="GQ130" s="259">
        <f t="shared" ca="1" si="206"/>
        <v>0</v>
      </c>
      <c r="GR130" s="259">
        <f t="shared" ca="1" si="281"/>
        <v>0</v>
      </c>
      <c r="GS130" s="259" t="str">
        <f t="shared" ca="1" si="282"/>
        <v>chiusura del conto</v>
      </c>
      <c r="GT130" s="259" t="str">
        <f ca="1">IFERROR(INDEX($GD$3:$GS$400,MATCH(ROWS($GT$3:GT130),$GM$3:$GM$400,0),16),"")</f>
        <v/>
      </c>
      <c r="GU130" s="259">
        <f ca="1">IF(GQ130&lt;&gt;0,MAX($GU$2:$GU129)+1,0)</f>
        <v>0</v>
      </c>
      <c r="GV130" s="259">
        <f t="shared" ca="1" si="283"/>
        <v>0</v>
      </c>
      <c r="GW130" s="259" t="str">
        <f ca="1">IF(AND(IFERROR(INDEX($GU$3:$GV$400,MATCH(ROWS($GW$3:GW130),$GU$3:$GU$400,0),2),"")&lt;&gt;"",GW131&lt;&gt;""),CONCATENATE(IFERROR(INDEX($GU$3:$GV$400,MATCH(ROWS($GW$3:GW130),$GU$3:$GU$400,0),2),"")," - "),IFERROR(INDEX($GU$3:$GV$400,MATCH(ROWS($GW$3:GW130),$GU$3:$GU$400,0),2),""))</f>
        <v/>
      </c>
      <c r="GX130" s="259">
        <f ca="1">IF(OR(GN130="IVA NS/CREDITO",GN130="IVA NS/DEBITO",GN130="IVA C/ACCONTO",GN130="IMPOSTE C/ACCONTO"),MAX($GX$2:GX129)+1,0)</f>
        <v>0</v>
      </c>
      <c r="GY130" s="259" t="str">
        <f ca="1">IF(AND(IFERROR(INDEX($GN$3:$GX$200,MATCH(ROWS($GY$3:GY130),$GX$3:$GX$200,0),1),"")&lt;&gt;"",GY131&lt;&gt;""),CONCATENATE(IFERROR(INDEX($GN$3:$GX$200,MATCH(ROWS($GY$3:GY130),$GX$3:$GX$200,0),1),"")," - "),IFERROR(INDEX($GN$3:$GX$200,MATCH(ROWS($GY$3:GY130),$GX$3:$GX$200,0),1),""))</f>
        <v/>
      </c>
      <c r="GZ130" s="259" t="s">
        <v>655</v>
      </c>
      <c r="HA130" s="259" t="s">
        <v>480</v>
      </c>
      <c r="HB130" s="269" t="s">
        <v>256</v>
      </c>
      <c r="HC130" s="269" t="s">
        <v>211</v>
      </c>
      <c r="HD130" s="269" t="s">
        <v>8</v>
      </c>
      <c r="HE130" s="269" t="s">
        <v>213</v>
      </c>
      <c r="HV130" s="259" t="str">
        <f ca="1">CONCATENATE(IFERROR(INDEX($HS$3:$HT$102,MATCH(ROWS($HV$3:HV130),$HT$3:$HT$102,0),1),""),HR130)</f>
        <v/>
      </c>
      <c r="IC130" s="259">
        <f ca="1">IFERROR(INDEX(PIANO_DEI_CONTI,MATCH(ROWS(DL$3:DL130),$DK$3:DK357,0),2),0)</f>
        <v>0</v>
      </c>
      <c r="ID130" s="259">
        <f t="shared" ca="1" si="288"/>
        <v>0</v>
      </c>
      <c r="IE130" s="259">
        <f t="shared" ca="1" si="289"/>
        <v>0</v>
      </c>
      <c r="IF130" s="259">
        <f t="shared" ca="1" si="290"/>
        <v>0</v>
      </c>
      <c r="IG130" s="259">
        <f t="shared" ca="1" si="324"/>
        <v>0</v>
      </c>
      <c r="IH130" s="259">
        <f ca="1">IF(IG130&lt;&gt;0,MAX($IH$35:IH129)+1,0)</f>
        <v>0</v>
      </c>
      <c r="II130" s="259">
        <f>IF(AD130="costi pluriennali",MAX($II$2:II129)+1,0)</f>
        <v>0</v>
      </c>
      <c r="IJ130" s="259">
        <f>IF($AD130="rettifiche costi pluriennali",MAX($IJ$2:IJ129)+1,0)</f>
        <v>0</v>
      </c>
      <c r="IK130" s="259">
        <f t="shared" si="291"/>
        <v>0</v>
      </c>
      <c r="IL130" s="259" t="str">
        <f t="shared" si="292"/>
        <v/>
      </c>
      <c r="IM130" s="259">
        <f t="shared" ca="1" si="293"/>
        <v>0</v>
      </c>
      <c r="IN130" s="259">
        <f t="shared" ca="1" si="313"/>
        <v>0</v>
      </c>
      <c r="IO130" s="259">
        <f>SUMIFS($IM$3:$IM$200,$IK$3:$IK$200,ROWS($IO$3:IO130))-SUMIFS($IN$3:$IN$200,$IK$3:$IK$200,ROWS($IO$3:IO130))</f>
        <v>0</v>
      </c>
      <c r="IP130" s="259" t="str">
        <f>IF(IO130&lt;0,INDEX($IJ$3:$IL$200,MATCH(ROWS($IP$3:IP130),$IJ$3:$IJ$200,0),3),"")</f>
        <v/>
      </c>
      <c r="IQ130" s="259">
        <f>IF(IP130&lt;&gt;"",MAX($IQ$2:IQ129)+1,0)</f>
        <v>0</v>
      </c>
      <c r="IR130" s="259" t="str">
        <f ca="1">IFERROR(INDEX($IP$3:$IQ$200,MATCH(ROWS($IR$3:IR130),$IQ$3:$IQ$200,0),1),"")</f>
        <v/>
      </c>
      <c r="IS130" s="259" t="str">
        <f t="shared" ca="1" si="294"/>
        <v/>
      </c>
      <c r="IT130" s="259" t="str">
        <f t="shared" ca="1" si="295"/>
        <v/>
      </c>
      <c r="IU130" s="259" t="str">
        <f t="shared" ca="1" si="296"/>
        <v/>
      </c>
      <c r="IV130" s="259" t="str">
        <f t="shared" ca="1" si="297"/>
        <v/>
      </c>
      <c r="IW130" s="259" t="str">
        <f t="shared" ca="1" si="298"/>
        <v/>
      </c>
      <c r="IX130" s="259" t="str">
        <f t="shared" ca="1" si="299"/>
        <v/>
      </c>
      <c r="IY130" s="259" t="str">
        <f t="shared" ca="1" si="300"/>
        <v/>
      </c>
      <c r="IZ130" s="259" t="str">
        <f t="shared" ca="1" si="301"/>
        <v/>
      </c>
      <c r="JA130" s="259" t="str">
        <f t="shared" ca="1" si="302"/>
        <v/>
      </c>
      <c r="JB130" s="259">
        <f t="shared" ca="1" si="210"/>
        <v>0</v>
      </c>
      <c r="JC130" s="259">
        <f t="shared" ca="1" si="351"/>
        <v>0</v>
      </c>
      <c r="JD130" s="259">
        <f t="shared" ca="1" si="352"/>
        <v>0</v>
      </c>
      <c r="JM130" s="259">
        <f t="shared" ca="1" si="353"/>
        <v>0</v>
      </c>
    </row>
    <row r="131" spans="1:273">
      <c r="A131" s="259" t="str">
        <f t="shared" si="211"/>
        <v>20.20</v>
      </c>
      <c r="B131" s="259" t="str">
        <f t="shared" si="212"/>
        <v>PLUSVALENZE</v>
      </c>
      <c r="C131" s="259" t="str">
        <f t="shared" si="213"/>
        <v>E</v>
      </c>
      <c r="D131" s="259" t="str">
        <f t="shared" si="214"/>
        <v>A</v>
      </c>
      <c r="E131" s="259" t="str">
        <f t="shared" si="215"/>
        <v>RICAVI D'ESERCIZIO</v>
      </c>
      <c r="F131" s="259" t="str">
        <f t="shared" si="216"/>
        <v>SE AVERE</v>
      </c>
      <c r="G131" s="259">
        <f t="shared" ca="1" si="217"/>
        <v>0</v>
      </c>
      <c r="H131" s="259">
        <f t="shared" ca="1" si="218"/>
        <v>1</v>
      </c>
      <c r="I131" s="259">
        <f t="shared" ca="1" si="219"/>
        <v>1</v>
      </c>
      <c r="K131" s="259" t="str">
        <f ca="1">IFERROR(IF($I$1=1,INDEX($AA$3:$AS$220,MATCH(ROWS($K$3:K131),$AQ$3:$AQ$220,0),1),IF($I$1=2,INDEX($AA$3:$AS$220,MATCH(ROWS($K$3:K131),$AR$3:$AR$220,0),1),IF($I$1=3,INDEX($AA$3:$AS$220,MATCH(ROWS($K$3:K131),$AS$3:$AS$220,0),1),""))),"")</f>
        <v>COSTI DI INCASSO</v>
      </c>
      <c r="L131" s="259">
        <f ca="1">IF(AND($L$1="VISUALIZZA TUTTI I CONTI",K131&lt;&gt;""),MAX(L130:L130)+1,IFERROR(IF($J$1=1,IF(INDEX(PIANO_DEI_CONTI,MATCH($K131,DENOMINAZIONE,0),5)=$L$1,MAX($L$2:L130)+1,0),IF($J$1=2,IF(INDEX(PIANO_DEI_CONTI,MATCH($K131,DENOMINAZIONE,0),7)=$L$1,MAX($L$2:L130)+1,0))),0))</f>
        <v>129</v>
      </c>
      <c r="M131" s="259" t="str">
        <f ca="1">IFERROR(INDEX($K$3:$K$220,MATCH(ROWS($M$3:M131),$L$3:$L$220,0),1),"")</f>
        <v>COSTI DI INCASSO</v>
      </c>
      <c r="Q131" s="259" t="str">
        <f ca="1">IF(IFERROR(INDEX($O$3:$P$220,MATCH(ROWS(Q$3:Q131),$P$3:$P$220,0),1),"")=0,"",IFERROR(INDEX($O$3:$P$220,MATCH(ROWS(Q$3:Q131),$P$3:$P$220,0),1),""))</f>
        <v/>
      </c>
      <c r="R131" s="259" t="str">
        <f t="shared" ref="R131:R194" ca="1" si="366">IF(OR(INDEX(PIANO_DEI_CONTI,MATCH(AA131,DENOMINAZIONE,0),6)="SP DARE",INDEX(PIANO_DEI_CONTI,MATCH(AA131,DENOMINAZIONE,0),6)="SP DARE/AVERE"),AA131,"")</f>
        <v/>
      </c>
      <c r="S131" s="259">
        <f ca="1">IF(IFERROR(MATCH(R131,DENOMINAZIONE_GIORNALE,0),0)&gt;0,MAX(S$2:S130)+1,0)</f>
        <v>0</v>
      </c>
      <c r="T131" s="259" t="str">
        <f ca="1">IFERROR(INDEX($R$3:$S$220,MATCH(ROWS($T$3:T131),$S$3:$S$220,0),1),"")</f>
        <v/>
      </c>
      <c r="U131" s="259">
        <f t="shared" ref="U131:U194" ca="1" si="367">IFERROR(IF(IF(AND(OR(INDEX(PIANO_DEI_CONTI,MATCH(T131,DENOMINAZIONE,0),6)="SP DARE",INDEX(PIANO_DEI_CONTI,MATCH(T131,DENOMINAZIONE,0),6)="SP DARE/AVERE"),SUMIFS(DARE,DENOMINAZIONE_GIORNALE,T131,DARE,"&gt;"&amp;0)&gt;SUMIFS(AVERE,DENOMINAZIONE_GIORNALE,T131,AVERE,"&gt;"&amp;0)),SUMIFS(DARE,DENOMINAZIONE_GIORNALE,T131,DARE,"&gt;"&amp;0)-SUMIFS(AVERE,DENOMINAZIONE_GIORNALE,T131,AVERE,"&gt;"&amp;0),0)&lt;&gt;0,IF(AND(OR(INDEX(PIANO_DEI_CONTI,MATCH(T131,DENOMINAZIONE,0),6)="SP DARE",INDEX(PIANO_DEI_CONTI,MATCH(T131,DENOMINAZIONE,0),6)="SP DARE/AVERE"),SUMIFS(DARE,DENOMINAZIONE_GIORNALE,T131,DARE,"&gt;"&amp;0)&gt;SUMIFS(AVERE,DENOMINAZIONE_GIORNALE,T131,AVERE,"&gt;"&amp;0)),SUMIFS(DARE,DENOMINAZIONE_GIORNALE,T131,DARE,"&gt;"&amp;0)-SUMIFS(AVERE,DENOMINAZIONE_GIORNALE,T131,AVERE,"&gt;"&amp;0),0),0),0)</f>
        <v>0</v>
      </c>
      <c r="V131" s="259">
        <f ca="1">IF(IF(U131&lt;&gt;0,MAX($V$2:V130)+1,0)=0,0,IF(U131&lt;&gt;0,MAX($V$2:V130)+1,0))</f>
        <v>0</v>
      </c>
      <c r="W131" s="259" t="str">
        <f t="shared" si="220"/>
        <v>20.20</v>
      </c>
      <c r="X131" s="259" t="str">
        <f t="shared" si="221"/>
        <v>PLUSVALENZE</v>
      </c>
      <c r="Y131" s="259">
        <f>IF(W131="",0,MAX($Y$2:Y130)+1)</f>
        <v>111</v>
      </c>
      <c r="Z131" s="259" t="str">
        <f>IFERROR(INDEX($W$3:$Y$220,MATCH(ROWS($Z$2:Z130),$Y$3:$Y$220,0),1),"")</f>
        <v>31.09</v>
      </c>
      <c r="AA131" s="259" t="str">
        <f t="shared" si="222"/>
        <v>COSTI PER I LOCALI</v>
      </c>
      <c r="AB131" s="259" t="str">
        <f t="shared" si="223"/>
        <v>E</v>
      </c>
      <c r="AC131" s="259" t="str">
        <f t="shared" si="224"/>
        <v>D</v>
      </c>
      <c r="AD131" s="259" t="str">
        <f t="shared" si="225"/>
        <v>COSTI D'ESERCIZIO</v>
      </c>
      <c r="AE131" s="259" t="str">
        <f t="shared" si="226"/>
        <v>SE DARE</v>
      </c>
      <c r="AF131" s="259" t="str">
        <f t="shared" si="227"/>
        <v>COSTI PER SERVIZI</v>
      </c>
      <c r="AG131" s="259">
        <f t="shared" ca="1" si="228"/>
        <v>1</v>
      </c>
      <c r="AH131" s="259">
        <f t="shared" ca="1" si="229"/>
        <v>1</v>
      </c>
      <c r="AI131" s="259">
        <f t="shared" ca="1" si="230"/>
        <v>1</v>
      </c>
      <c r="AJ131" s="259" t="str">
        <f t="shared" si="231"/>
        <v>31</v>
      </c>
      <c r="AK131" s="259" t="str">
        <f t="shared" si="232"/>
        <v/>
      </c>
      <c r="AL131" s="259">
        <f>IF(AK131&lt;&gt;"",MAX($AL$2:AL130)+1,0)</f>
        <v>0</v>
      </c>
      <c r="AM131" s="259" t="str">
        <f>IFERROR(INDEX($AK$3:$AL$220,MATCH(ROWS($AM$3:AM131),$AL$3:$AL$220,0),1),"")</f>
        <v/>
      </c>
      <c r="AN131" s="259" t="str">
        <f t="shared" si="233"/>
        <v/>
      </c>
      <c r="AO131" s="259" t="str">
        <f t="shared" si="234"/>
        <v/>
      </c>
      <c r="AP131" s="259" t="str">
        <f t="shared" si="235"/>
        <v>COSTI PER SERVIZI</v>
      </c>
      <c r="AQ131" s="259">
        <f ca="1">IF(OR(AG131=0,AG131=""),0,MAX(AQ$2:AQ130)+1)</f>
        <v>70</v>
      </c>
      <c r="AR131" s="259">
        <f ca="1">IF(OR(AH131=0,AH131=""),0,MAX(AR$2:AR130)+1)</f>
        <v>95</v>
      </c>
      <c r="AS131" s="259">
        <f ca="1">IF(OR(AI131=0,AI131=""),0,MAX(AS$2:AS130)+1)</f>
        <v>125</v>
      </c>
      <c r="AT131" s="259" t="str">
        <f ca="1">IFERROR(INDEX($AD$3:$AS$220,MATCH(ROWS(AT$3:AT131),AQ$3:AQ$220,0),1),"")</f>
        <v/>
      </c>
      <c r="AU131" s="259" t="str">
        <f ca="1">IFERROR(INDEX($AD$3:$AS$220,MATCH(ROWS(AU$3:AU131),AR$3:AR$220,0),1),"")</f>
        <v/>
      </c>
      <c r="AV131" s="259" t="str">
        <f ca="1">IFERROR(INDEX($AD$3:$AS$220,MATCH(ROWS(AV$3:AV131),AS$3:AS$220,0),1),"")</f>
        <v>COSTI D'ESERCIZIO</v>
      </c>
      <c r="AW131" s="259" t="str">
        <f ca="1">IFERROR(INDEX($AP$3:$AS$220,MATCH(ROWS(AW$3:AW131),AQ$3:AQ$220,0),1),"")</f>
        <v/>
      </c>
      <c r="AX131" s="259" t="str">
        <f ca="1">IFERROR(INDEX($AP$3:$AS$220,MATCH(ROWS(AX$3:AX131),AR$3:AR$220,0),1),"")</f>
        <v/>
      </c>
      <c r="AY131" s="259" t="str">
        <f ca="1">IFERROR(INDEX($AP$3:$AS$220,MATCH(ROWS(AY$3:AY131),AS$3:AS$220,0),1),"")</f>
        <v>COSTI PER SERVIZI</v>
      </c>
      <c r="AZ131" s="259" t="str">
        <f t="shared" si="339"/>
        <v>29 V.I.</v>
      </c>
      <c r="BA131" s="259">
        <f t="shared" ca="1" si="338"/>
        <v>0</v>
      </c>
      <c r="BB131" s="259">
        <f t="shared" ca="1" si="340"/>
        <v>0</v>
      </c>
      <c r="BC131" s="259">
        <f t="shared" ca="1" si="341"/>
        <v>0</v>
      </c>
      <c r="BD131" s="259">
        <f t="shared" ca="1" si="342"/>
        <v>0</v>
      </c>
      <c r="BE131" s="259">
        <f t="shared" ca="1" si="343"/>
        <v>0</v>
      </c>
      <c r="BG131" s="259" t="str">
        <f t="shared" ref="BG131:BG194" ca="1" si="368">IFERROR(IF(OR(INDEX(PIANO_DEI_CONTI,MATCH(AA131,DENOMINAZIONE,0),6)="SP AVERE",INDEX(PIANO_DEI_CONTI,MATCH(AA131,DENOMINAZIONE,0),6)="SP DARE/AVERE"),AA131,""),0)</f>
        <v/>
      </c>
      <c r="BH131" s="259">
        <f ca="1">IF(IFERROR(MATCH(BG131,DENOMINAZIONE_GIORNALE,0),0)&gt;0,MAX(BH$2:BH130)+1,0)</f>
        <v>0</v>
      </c>
      <c r="BI131" s="259" t="str">
        <f ca="1">IFERROR(INDEX($BG$3:$BH$220,MATCH(ROWS($BI$3:BI131),$BH$3:$BH$220,0),1),"")</f>
        <v/>
      </c>
      <c r="BJ131" s="259" t="str">
        <f t="shared" ref="BJ131:BJ194" ca="1" si="369">IF(IF(AND(OR(INDEX(PIANO_DEI_CONTI,MATCH(BI131,DENOMINAZIONE,0),6)="SP AVERE",INDEX(PIANO_DEI_CONTI,MATCH(BI131,DENOMINAZIONE,0),6)="SP DARE/AVERE"),SUMIFS(AVERE,DENOMINAZIONE_GIORNALE,BI131,AVERE,"&gt;"&amp;0)&gt;SUMIFS(DARE,DENOMINAZIONE_GIORNALE,BI131,DARE,"&gt;"&amp;0)),SUMIFS(AVERE,DENOMINAZIONE_GIORNALE,BI131,AVERE,"&gt;"&amp;0)-SUMIFS(DARE,DENOMINAZIONE_GIORNALE,BI131,DARE,"&gt;"&amp;0),0)&lt;&gt;0,IF(AND(OR(INDEX(PIANO_DEI_CONTI,MATCH(BI131,DENOMINAZIONE,0),6)="SP AVERE",INDEX(PIANO_DEI_CONTI,MATCH(BI131,DENOMINAZIONE,0),6)="SP DARE/AVERE"),SUMIFS(AVERE,DENOMINAZIONE_GIORNALE,BI131,AVERE,"&gt;"&amp;0)&gt;SUMIFS(DARE,DENOMINAZIONE_GIORNALE,BI131,DARE,"&gt;"&amp;0)),SUMIFS(AVERE,DENOMINAZIONE_GIORNALE,BI131,AVERE,"&gt;"&amp;0)-SUMIFS(DARE,DENOMINAZIONE_GIORNALE,BI131,DARE,"&gt;"&amp;0),0),"")</f>
        <v/>
      </c>
      <c r="BK131" s="259" t="str">
        <f ca="1">IF(IF(BJ131&lt;&gt;"",MAX($BK$2:BK130)+1,0)=0,"",IF(BJ131&lt;&gt;"",MAX($BK$2:BK130)+1,0))</f>
        <v/>
      </c>
      <c r="BL131" s="259" t="str">
        <f ca="1">IFERROR(INDEX($T$3:$U$220, MATCH(ROWS(BL$3:BL131),$V$3:$V$220,0),1),"")</f>
        <v/>
      </c>
      <c r="BM131" s="259" t="str">
        <f ca="1">IFERROR(INDEX($T$3:$U$220, MATCH(ROWS(BM$3:BM131),$V$3:$V$220,0),2),"")</f>
        <v/>
      </c>
      <c r="BN131" s="259" t="str">
        <f ca="1">IF(IFERROR(INDEX($BI$3:$BJ$220,MATCH(ROWS(BN$3:BN131),$BK$3:$BK$220,0),1),"")="PATRIMONIO NETTO","",IFERROR(INDEX($BI$3:$BJ$220,MATCH(ROWS(BN$3:BN131),$BK$3:$BK$220,0),1),""))</f>
        <v/>
      </c>
      <c r="BO131" s="259" t="str">
        <f ca="1">IFERROR(INDEX($BI$3:$BJ$220,MATCH(ROWS(BO$3:BO131),$BK$3:$BK$220,0),2),"")</f>
        <v/>
      </c>
      <c r="BP131" s="259">
        <f ca="1">IF(BN131&lt;&gt;"",MAX(BP$2:$BP130)+1,0)</f>
        <v>0</v>
      </c>
      <c r="BQ131" s="259" t="str">
        <f ca="1">IFERROR(INDEX($BN$3:$BO$200,MATCH(ROWS(BQ$3:BQ131),$BP$3:$BP$220,0),1),"")</f>
        <v/>
      </c>
      <c r="BR131" s="259" t="str">
        <f ca="1">IFERROR(INDEX($BN$3:$BO$220,MATCH(ROWS(BR$3:BR131),$BP$3:$BP$220,0),2),"")</f>
        <v/>
      </c>
      <c r="BS131" s="259" t="str">
        <f ca="1">IFERROR(IF(OR(INDEX($T$3:$U$220,MATCH(ROWS(BL$3:BL131),$V$3:$V$220,0),1)="PRELEVAMENTI EXTRAGESTIONE",INDEX($T$3:$U$220,MATCH(ROWS(BL$3:BL131),$V$3:$V$220,0),1)="TITOLARE C/RITENUTE SUBITE"),"",INDEX($T$3:$U$220,MATCH(ROWS(BL$3:BL131),$V$3:$V$220,0),1)),"")</f>
        <v/>
      </c>
      <c r="BT131" s="259">
        <f t="shared" ca="1" si="238"/>
        <v>0</v>
      </c>
      <c r="BU131" s="259">
        <f ca="1">IF(BS131&lt;&gt;"",MAX(BU$2:BU130)+1,0)</f>
        <v>0</v>
      </c>
      <c r="BV131" s="259" t="str">
        <f ca="1">IFERROR(INDEX($BS$3:$BT$223,MATCH(ROWS(BV$3:BV131),$BU$3:$BU$223,0),1),"")</f>
        <v/>
      </c>
      <c r="BW131" s="259">
        <f t="shared" ca="1" si="239"/>
        <v>0</v>
      </c>
      <c r="CB131" s="259" t="str">
        <f ca="1">IFERROR(IF(OR($BB$1&lt;&gt;$BD$1,$BC$1&lt;&gt;$BE$1,$DS$231&lt;&gt;$DT$231,$DU$231&lt;&gt;$DV$231,$EO$25&lt;&gt;0,$EO$26&lt;&gt;0),INDEX($BI$3:$BK$220,MATCH(ROWS($CB$3:CB131),$BK$3:$BK$220,0),1),CONCATENATE(BQ131,BX131)),"")</f>
        <v/>
      </c>
      <c r="CC131" s="259" t="str">
        <f t="shared" ca="1" si="243"/>
        <v/>
      </c>
      <c r="CD131" s="259" t="str">
        <f t="shared" ref="CD131:CD194" ca="1" si="370">IF(INDEX(PIANO_DEI_CONTI,MATCH(AA131,DENOMINAZIONE,0),6)="SE DARE",AA131,"")</f>
        <v>COSTI PER I LOCALI</v>
      </c>
      <c r="CE131" s="259">
        <f ca="1">IF(IFERROR(MATCH(CD131,DENOMINAZIONE_GIORNALE,0),0)&gt;0,MAX(CE$2:CE130)+1,0)</f>
        <v>0</v>
      </c>
      <c r="CF131" s="259" t="str">
        <f ca="1">IFERROR(INDEX($CD$3:$CE$220,MATCH(ROWS($CF$3:CF131),$CE$3:$CE$220,0),1),"")</f>
        <v/>
      </c>
      <c r="CG131" s="259">
        <f t="shared" ref="CG131:CG194" ca="1" si="371">IF(AND(INDEX(PIANO_DEI_CONTI,MATCH(CF131,DENOMINAZIONE,0),6)="SE DARE",SUMIFS(DARE,DENOMINAZIONE_GIORNALE,CF131)&gt;SUMIFS(AVERE,DENOMINAZIONE_GIORNALE,CF131)),SUMIFS(DARE,DENOMINAZIONE_GIORNALE,CF131)-SUMIFS(AVERE,DENOMINAZIONE_GIORNALE,CF131),0)</f>
        <v>0</v>
      </c>
      <c r="CH131" s="259" t="str">
        <f ca="1">IF(IF(CG131&lt;&gt;0,MAX($CH$2:CH130)+1,0)=0,"",IF(CG131&lt;&gt;"",MAX($CH$2:CH130)+1,0))</f>
        <v/>
      </c>
      <c r="CI131" s="259" t="str">
        <f ca="1">IFERROR(INDEX($CF$3:$CG$220,MATCH(ROWS($CI$3:CI131),$CH$3:$CH$220,0),1),"")</f>
        <v/>
      </c>
      <c r="CJ131" s="259" t="str">
        <f t="shared" ca="1" si="244"/>
        <v/>
      </c>
      <c r="CK131" s="259" t="str">
        <f t="shared" ref="CK131:CK194" ca="1" si="372">IF(INDEX(PIANO_DEI_CONTI,MATCH(AA131,DENOMINAZIONE,0),6)="SE AVERE",AA131,"")</f>
        <v/>
      </c>
      <c r="CL131" s="259">
        <f ca="1">IF(IFERROR(MATCH(CK131,DENOMINAZIONE_GIORNALE,0),0)&gt;0,MAX(CL$2:CL130)+1,0)</f>
        <v>0</v>
      </c>
      <c r="CM131" s="259" t="str">
        <f ca="1">IFERROR(INDEX($CK$3:$CL$220,MATCH(ROWS($CM$3:CM131),$CL$3:$CL$220,0),1),"")</f>
        <v/>
      </c>
      <c r="CN131" s="259" t="str">
        <f t="shared" ref="CN131:CN194" ca="1" si="373">IF(AND(INDEX(PIANO_DEI_CONTI,MATCH(CM131,DENOMINAZIONE,0),6)="SE AVERE",SUMIFS(AVERE,DENOMINAZIONE_GIORNALE,CM131,DATA,"&gt;="&amp;$CX$1)&gt;SUMIFS(DARE,DENOMINAZIONE_GIORNALE,CM131)),SUMIFS(AVERE,DENOMINAZIONE_GIORNALE,CM131)-SUMIFS(DARE,DENOMINAZIONE_GIORNALE,CM131),"")</f>
        <v/>
      </c>
      <c r="CO131" s="259">
        <f ca="1">IF(IF(CN131&lt;&gt;0,MAX($CO$2:CO130)+1,0)=0,"",IF(CN131&lt;&gt;"",MAX($CO$2:CO130)+1,0))</f>
        <v>0</v>
      </c>
      <c r="CP131" s="259" t="str">
        <f ca="1">IFERROR(INDEX($CM$3:$CN$220,MATCH(ROWS(CP$3:CP131),$CO$3:$CO$220,0),1),"")</f>
        <v/>
      </c>
      <c r="CQ131" s="259" t="str">
        <f ca="1">IFERROR(INDEX($CM$3:$CN$220,MATCH(ROWS(CQ$3:CQ131),$CO$3:$CO$220,0),2),"")</f>
        <v/>
      </c>
      <c r="CS131" s="259">
        <f t="shared" ref="CS131:CS194" ca="1" si="374">SUMIFS(DARE,DENOMINAZIONE_GIORNALE,AA131,DARE,"&gt;"&amp;0)</f>
        <v>0</v>
      </c>
      <c r="CT131" s="259">
        <f t="shared" ref="CT131:CT194" ca="1" si="375">SUMIFS(AVERE,DENOMINAZIONE_GIORNALE,AA131,AVERE,"&gt;"&amp;0)</f>
        <v>0</v>
      </c>
      <c r="CU131" s="259">
        <f ca="1">IF(OR(CS131&gt;0,CT131&gt;0),MAX($CU$2:CU130)+1,0)</f>
        <v>0</v>
      </c>
      <c r="CV131" s="259" t="str">
        <f ca="1">IFERROR(INDEX(PIANO_DEI_CONTI,MATCH(ROWS($CV$3:CV131),$CU$3:$CU$200,0),2),"")</f>
        <v/>
      </c>
      <c r="CW131" s="259">
        <f ca="1">IFERROR(IF(CV131&lt;&gt;"",MAX($CW$2:CW130)+1,0),0)</f>
        <v>0</v>
      </c>
      <c r="CX131" s="259">
        <f t="shared" ca="1" si="364"/>
        <v>8</v>
      </c>
      <c r="CY131" s="259" t="str">
        <f t="shared" ca="1" si="337"/>
        <v>MASTRO</v>
      </c>
      <c r="CZ131" s="259" t="e">
        <f t="shared" ref="CZ131:CZ145" ca="1" si="376">SUM(MATCH($CY131,INDIRECT(ADDRESS(SUM(CZ130)+3,54)&amp;":"&amp;ADDRESS(400,54)),0),CZ130)</f>
        <v>#N/A</v>
      </c>
      <c r="DA131" s="259" t="str">
        <f ca="1">IFERROR(INDEX(LIBRO_GIORNALE,CZ131,1),"")</f>
        <v/>
      </c>
      <c r="DB131" s="259" t="str">
        <f t="shared" ref="DB131:DB145" ca="1" si="377">IF(RIGHT(TEXT(IFERROR(INDEX(LIBRO_GIORNALE,CZ131,2),""),"gg/mm/aa"),1)="a",TEXT(IFERROR(INDEX(LIBRO_GIORNALE,CZ131,2),""),"dd/mm/yy"),TEXT(IFERROR(INDEX(LIBRO_GIORNALE,CZ131,2),""),"gg/mm/aa"))</f>
        <v/>
      </c>
      <c r="DC131" s="259" t="str">
        <f t="shared" ref="DC131:DC145" ca="1" si="378">IF(IFERROR(INDEX(LIBRO_GIORNALE,CZ131,4),"")=0,"manca la descrizione dell'operazione",IFERROR(INDEX(LIBRO_GIORNALE,CZ131,4),""))</f>
        <v/>
      </c>
      <c r="DD131" s="259" t="str">
        <f t="shared" ref="DD131:DD145" ca="1" si="379">IFERROR(IF(INDEX(LIBRO_GIORNALE,CZ131,5)&gt;0,INDEX(LIBRO_GIORNALE,CZ131,5),""),"")</f>
        <v/>
      </c>
      <c r="DE131" s="259" t="str">
        <f t="shared" ref="DE131:DE145" ca="1" si="380">IFERROR(IF(INDEX(LIBRO_GIORNALE,CZ131,6)&gt;0,INDEX(LIBRO_GIORNALE,CZ131,6),""),"")</f>
        <v/>
      </c>
      <c r="DF131" s="259">
        <f ca="1">IF(AND(CX131=$DE$2,$DF$2&lt;&gt;0),0,IF(AND(DB131&lt;&gt;"",OR(DB130&lt;&gt;"",DB132&lt;&gt;"")),MAX($DF$2:DF130)+1,0))</f>
        <v>0</v>
      </c>
      <c r="DG131" s="259" t="str">
        <f>IF(IF(LIBRO_GIORNALE!E39="","",IFERROR(INDEX(PIANO_DEI_CONTI,MATCH(BB131,DENOMINAZIONE,0),1),0))=0,"",IF(LIBRO_GIORNALE!E39="","",IFERROR(INDEX(PIANO_DEI_CONTI,MATCH(BB131,DENOMINAZIONE,0),1),0)))</f>
        <v/>
      </c>
      <c r="DH131" s="259">
        <f ca="1">IFERROR(IF($J$1=1,IF(INDEX(PIANO_DEI_CONTI,MATCH($K131,DENOMINAZIONE,0),5)=$DF$1,MAX($DH$2:DH130)+1,0),IF($J$1=2,IF(INDEX(PIANO_DEI_CONTI,MATCH($K131,DENOMINAZIONE,0),7)=$DF$1,MAX($DH$2:DH130)+1,0))),0)</f>
        <v>0</v>
      </c>
      <c r="DI131" s="259">
        <f ca="1">IFERROR(INDEX($K$3:$K$220,MATCH(ROWS($DI$3:DI131),$DH$3:$DH$220,0),1),0)</f>
        <v>0</v>
      </c>
      <c r="DJ131" s="259">
        <f t="shared" ref="DJ131:DJ194" ca="1" si="381">IF(IFERROR(MATCH(AA131,DENOMINAZIONE_GIORNALE,0),0)&lt;&gt;0,ROW()-2,0)</f>
        <v>0</v>
      </c>
      <c r="DK131" s="259">
        <f ca="1">IF(DJ131=0,0,MAX(DK$2:DK130)+1)</f>
        <v>0</v>
      </c>
      <c r="DL131" s="259">
        <f ca="1">IFERROR(INDEX(PIANO_DEI_CONTI,MATCH(ROWS(DL$3:DL131),$DK$3:DK358,0),2),0)</f>
        <v>0</v>
      </c>
      <c r="DM131" s="259">
        <f t="shared" ref="DM131:DM194" ca="1" si="382">IFERROR(IF(AND(INDEX(PIANO_DEI_CONTI,MATCH($DL131,DENOMINAZIONE,0),4)="D",SUMIFS(DARE,DENOMINAZIONE_GIORNALE,$DL131)&gt;=SUMIFS(AVERE,DENOMINAZIONE_GIORNALE,$DL131)),SUMIFS(DARE,DENOMINAZIONE_GIORNALE,$DL131),IF(AND(INDEX(PIANO_DEI_CONTI,MATCH($DL131,DENOMINAZIONE,0),4)="A",SUMIFS(AVERE,DENOMINAZIONE_GIORNALE,$DL131)&gt;=SUMIFS(DARE,DENOMINAZIONE_GIORNALE,$DL131)),SUMIFS(DARE,DENOMINAZIONE_GIORNALE,$DL131),IF(INDEX(PIANO_DEI_CONTI,MATCH($DL131,DENOMINAZIONE,0),4)="D/A",SUMIFS(DARE,DENOMINAZIONE_GIORNALE,$DL131),0))),0)</f>
        <v>0</v>
      </c>
      <c r="DN131" s="259">
        <f t="shared" ref="DN131:DN194" ca="1" si="383">IFERROR(IF(AND(INDEX(PIANO_DEI_CONTI,MATCH($DL131,DENOMINAZIONE,0),4)="D",SUMIFS(DARE,DENOMINAZIONE_GIORNALE,$DL131)&gt;=SUMIFS(AVERE,DENOMINAZIONE_GIORNALE,$DL131)),SUMIFS(AVERE,DENOMINAZIONE_GIORNALE,$DL131),IF(AND(INDEX(PIANO_DEI_CONTI,MATCH($DL131,DENOMINAZIONE,0),4)="A",SUMIFS(AVERE,DENOMINAZIONE_GIORNALE,$DL131)&gt;=SUMIFS(DARE,DENOMINAZIONE_GIORNALE,$DL131)),SUMIFS(AVERE,DENOMINAZIONE_GIORNALE,$DL131),IF(INDEX(PIANO_DEI_CONTI,MATCH($DL131,DENOMINAZIONE,0),4)="D/A",SUMIFS(AVERE,DENOMINAZIONE_GIORNALE,$DL131),0))),0)</f>
        <v>0</v>
      </c>
      <c r="DO131" s="259">
        <f t="shared" ca="1" si="245"/>
        <v>0</v>
      </c>
      <c r="DP131" s="259">
        <f t="shared" ca="1" si="246"/>
        <v>0</v>
      </c>
      <c r="DQ131" s="259">
        <f ca="1">IF(OR($DQ$1="TOTALI",$DQ$1="TOTALI ED ECCEDENZE"),IF(OR(DM131&gt;0,DN131&gt;0),MAX(DQ$2:DQ130)+1,0),IF($DQ$1="ECCEDENZE",IF(OR(DO131&gt;0,DP131&gt;0),MAX(DQ$2:DQ130)+1,0),""))</f>
        <v>0</v>
      </c>
      <c r="DR131" s="259" t="str">
        <f ca="1">IFERROR(INDEX($DL$3:$DQ$230,MATCH(ROWS(DR$3:DR131),$DQ$3:$DQ$230,0),1),"")</f>
        <v/>
      </c>
      <c r="DS131" s="259" t="str">
        <f t="shared" ca="1" si="247"/>
        <v/>
      </c>
      <c r="DT131" s="259" t="str">
        <f t="shared" ca="1" si="248"/>
        <v/>
      </c>
      <c r="DU131" s="259" t="str">
        <f t="shared" ca="1" si="249"/>
        <v/>
      </c>
      <c r="DV131" s="259" t="str">
        <f t="shared" ca="1" si="250"/>
        <v/>
      </c>
      <c r="DW131" s="259">
        <f t="shared" ca="1" si="251"/>
        <v>0</v>
      </c>
      <c r="DX131" s="259" t="str">
        <f t="shared" ca="1" si="252"/>
        <v/>
      </c>
      <c r="DY131" s="259" t="str">
        <f t="shared" ca="1" si="253"/>
        <v/>
      </c>
      <c r="DZ131" s="259" t="str">
        <f t="shared" ca="1" si="254"/>
        <v/>
      </c>
      <c r="EB131" s="259" t="s">
        <v>369</v>
      </c>
      <c r="ED131" s="259">
        <f t="shared" ref="ED131:ED194" ca="1" si="384">IFERROR(INDEX(PIANO_DEI_CONTI,MATCH(BB131,DENOMINAZIONE,0),5),"")</f>
        <v>0</v>
      </c>
      <c r="EH131" s="259" t="str">
        <f t="shared" ca="1" si="256"/>
        <v/>
      </c>
      <c r="EI131" s="260" t="b">
        <f t="shared" ca="1" si="310"/>
        <v>0</v>
      </c>
      <c r="EJ131" s="260" t="b">
        <f t="shared" ca="1" si="311"/>
        <v>1</v>
      </c>
      <c r="EK131" s="260" t="b">
        <f t="shared" ca="1" si="312"/>
        <v>1</v>
      </c>
      <c r="EL131" s="259">
        <f t="shared" si="257"/>
        <v>129</v>
      </c>
      <c r="EM131" s="259">
        <f ca="1">IF(AND(BA131&gt;0,BA131&lt;=$EM$1),MAX($EM$2:EM130)+1,0)</f>
        <v>0</v>
      </c>
      <c r="EN131" s="259">
        <f t="shared" ca="1" si="258"/>
        <v>131</v>
      </c>
      <c r="EP131" s="259" t="str">
        <f t="shared" ref="EP131:EP194" ca="1" si="385">IFERROR(INDEX(PIANO_DEI_CONTI,MATCH(EZ131,DENOMINAZIONE,0),7),"")</f>
        <v/>
      </c>
      <c r="EQ131" s="259">
        <f t="shared" ref="EQ131:EQ194" ca="1" si="386">IF(AND(EZ131&lt;&gt;0,EY131&lt;=FINE_AC),INDEX(PIANO_DEI_CONTI,MATCH(EZ131,DENOMINAZIONE,0),1),0)</f>
        <v>0</v>
      </c>
      <c r="ER131" s="259">
        <f ca="1">IF(ISNA(EQ131),MAX(ER$2:ER130)+1,0)</f>
        <v>0</v>
      </c>
      <c r="ES131" s="259" t="str">
        <f t="shared" ca="1" si="259"/>
        <v/>
      </c>
      <c r="ET131" s="259" t="str">
        <f ca="1">IFERROR(UPPER(INDEX($ER$3:$ES$500,MATCH(ROWS(ET$3:ET131),$ER$3:$ER$500,0),2)),"")</f>
        <v/>
      </c>
      <c r="EW131" s="259">
        <f t="shared" ca="1" si="344"/>
        <v>1</v>
      </c>
      <c r="EX131" s="259">
        <v>29</v>
      </c>
      <c r="EY131" s="259">
        <f t="shared" ca="1" si="345"/>
        <v>0</v>
      </c>
      <c r="EZ131" s="259">
        <f t="shared" ca="1" si="346"/>
        <v>0</v>
      </c>
      <c r="FA131" s="259">
        <f t="shared" ca="1" si="347"/>
        <v>0</v>
      </c>
      <c r="FB131" s="259">
        <f t="shared" ca="1" si="348"/>
        <v>0</v>
      </c>
      <c r="FC131" s="259">
        <f t="shared" ca="1" si="349"/>
        <v>0</v>
      </c>
      <c r="FD131" s="259">
        <f t="shared" ref="FD131:FD194" ca="1" si="387">IFERROR(INDEX(PIANO_DEI_CONTI,MATCH(EZ131,DENOMINAZIONE,0),6),"")</f>
        <v>0</v>
      </c>
      <c r="FE131" s="259" t="str">
        <f t="shared" ref="FE131:FE194" ca="1" si="388">IFERROR(IF(EZ131&lt;&gt;0,INDEX(PIANO_DEI_CONTI,MATCH(EZ131,DENOMINAZIONE,0),1),""),"")</f>
        <v/>
      </c>
      <c r="FF131" s="259" t="str">
        <f t="shared" ca="1" si="350"/>
        <v/>
      </c>
      <c r="FM131" s="259">
        <f t="shared" ref="FM131:FM194" ca="1" si="389">IF(AND(AC131="d",AE131="SP DARE"),SUMIFS(dare_grezzo,den_grezzo,AA131,data_grezzo,"&lt;="&amp;FINE_AC,data_grezzo,"&gt;="&amp;INIZIO_A_PC)-SUMIFS(avere_grezzo,den_grezzo,AA131,data_grezzo,"&lt;="&amp;FINE_AC,data_grezzo,"&gt;="&amp;INIZIO_A_PC),IF(AND(AC131="a",AE131="SP AVERE"),SUMIFS(avere_grezzo,den_grezzo,AA131,data_grezzo,"&lt;="&amp;FINE_AC,data_grezzo,"&gt;="&amp;INIZIO_A_PC)-SUMIFS(dare_grezzo,den_grezzo,AA131,data_grezzo,"&lt;="&amp;FINE_AC,data_grezzo,"&gt;="&amp;INIZIO_A_PC),IF(AND(AC131="d",AE131="SE DARE"),SUMIFS(dare_grezzo,den_grezzo,AA131,data_grezzo,"&lt;="&amp;FINE_AC,data_grezzo,"&gt;="&amp;INIZIO_A_PC)-SUMIFS(avere_grezzo,den_grezzo,AA131,data_grezzo,"&lt;="&amp;FINE_AC,data_grezzo,"&gt;="&amp;INIZIO_A_PC),IF(AND(AC131="a",AE131="SE AVERE"),SUMIFS(avere_grezzo,den_grezzo,AA131,data_grezzo,"&lt;="&amp;FINE_AC,data_grezzo,"&gt;="&amp;INIZIO_A_PC)-SUMIFS(dare_grezzo,den_grezzo,AA131,data_grezzo,"&lt;="&amp;FINE_AC,data_grezzo,"&gt;="&amp;INIZIO_A_PC),0))))</f>
        <v>0</v>
      </c>
      <c r="FN131" s="259">
        <f ca="1">IF(FM131&lt;0,MAX($FN$2:FN130)+1,0)</f>
        <v>0</v>
      </c>
      <c r="FO131" s="259" t="str">
        <f t="shared" ca="1" si="268"/>
        <v/>
      </c>
      <c r="FP131" s="259" t="str">
        <f ca="1">IFERROR(INDEX($FN$3:$FO$400,MATCH(ROWS($FP$3:FP131),$FN$3:$FN$400,0),2),"")</f>
        <v/>
      </c>
      <c r="FQ131" s="259" t="str">
        <f>IF(AE131="SE AVERE",MAX($FQ$2:FQ130)+1,"")</f>
        <v/>
      </c>
      <c r="FR131" s="259">
        <f>IF(AE131="SE DARE",MAX($FR$2:FR130)+1,"")</f>
        <v>36</v>
      </c>
      <c r="FS131" s="259" t="str">
        <f ca="1">IF(AND(AE131="SP DARE",AA131&lt;&gt;$FS$1,AA131&lt;&gt;$FT$1),MAX($FS$2:FS130)+1,IF(AND(GQ131="SP DARE",AA131&lt;&gt;$FS$1,AA131&lt;&gt;$FT$1),MAX($FS$2:FS130)+1,""))</f>
        <v/>
      </c>
      <c r="FT131" s="259" t="str">
        <f ca="1">IF(AND(AE131="SP AVERE",AA131&lt;&gt;$FU$1),MAX($FT$2:FT130)+1,IF(AND(GQ131="SP AVERE",AA131&lt;&gt;$FU$1),MAX($FT$2:FT130)+1,""))</f>
        <v/>
      </c>
      <c r="FU131" s="259">
        <f t="shared" ca="1" si="269"/>
        <v>36</v>
      </c>
      <c r="FV131" s="259" t="str">
        <f t="shared" si="270"/>
        <v>COSTI PER I LOCALI</v>
      </c>
      <c r="FW131" s="259" t="str">
        <f ca="1">IFERROR(INDEX($FU$3:$FV$500,MATCH(ROWS($FW$3:FW131),$FU$3:$FU$500,0),2),0)</f>
        <v>VALORI BOLLATI</v>
      </c>
      <c r="FX131" s="259">
        <f t="shared" ca="1" si="271"/>
        <v>129</v>
      </c>
      <c r="FY131" s="259">
        <f t="shared" ca="1" si="272"/>
        <v>0</v>
      </c>
      <c r="FZ131" s="259">
        <f ca="1">IF(FY131&gt;0,MAX($FZ$2:FZ130)+1,0)</f>
        <v>0</v>
      </c>
      <c r="GA131" s="259">
        <f ca="1">IFERROR(INDEX($FY$3:$FZ$500,MATCH(ROWS($GA$3:GA131),$FZ$3:$FZ$500,0),1),0)</f>
        <v>0</v>
      </c>
      <c r="GC131" s="259">
        <f t="shared" ca="1" si="273"/>
        <v>129</v>
      </c>
      <c r="GD131" s="259" t="str">
        <f t="shared" ca="1" si="274"/>
        <v>VALORI BOLLATI</v>
      </c>
      <c r="GG131" s="259">
        <f t="shared" ca="1" si="275"/>
        <v>0</v>
      </c>
      <c r="GH131" s="259">
        <f t="shared" ca="1" si="276"/>
        <v>0</v>
      </c>
      <c r="GI131" s="259">
        <f t="shared" ca="1" si="277"/>
        <v>0</v>
      </c>
      <c r="GJ131" s="259">
        <f t="shared" ca="1" si="278"/>
        <v>0</v>
      </c>
      <c r="GK131" s="259">
        <f t="shared" ca="1" si="279"/>
        <v>0</v>
      </c>
      <c r="GL131" s="259">
        <f t="shared" ca="1" si="280"/>
        <v>0</v>
      </c>
      <c r="GM131" s="259">
        <f ca="1">IF(OR(GK131&gt;0,GL131&gt;0),MAX($GM$2:GM130)+1,0)</f>
        <v>0</v>
      </c>
      <c r="GN131" s="259" t="str">
        <f ca="1">IFERROR(INDEX($GD$3:$GM$400,MATCH(ROWS($GN$3:GN131),$GM$3:$GM$400,0),1),"")</f>
        <v/>
      </c>
      <c r="GO131" s="259" t="str">
        <f ca="1">IFERROR(INDEX($GD$3:$GM$400,MATCH(ROWS($GO$3:GO131),$GM$3:$GM$400,0),8),"")</f>
        <v/>
      </c>
      <c r="GP131" s="259" t="str">
        <f ca="1">IFERROR(INDEX($GD$3:$GM$400,MATCH(ROWS($GP$3:GP131),$GM$3:$GM$400,0),9),"")</f>
        <v/>
      </c>
      <c r="GQ131" s="259">
        <f t="shared" ref="GQ131:GQ194" ca="1" si="390">IF(AND(AE131="sp dare/avere",SUMIFS(dare_grezzo,den_grezzo,"="&amp;AA131,data_grezzo,"&gt;="&amp;INIZIO_A_PC,data_grezzo,"&lt;="&amp;FINE_AC)&gt;SUMIFS(avere_grezzo,den_grezzo,"="&amp;AA131,data_grezzo,"&gt;="&amp;INIZIO_A_PC,data_grezzo,"&lt;="&amp;FINE_AC)),"SP DARE",IF(AND(AE131="sp dare/avere",SUMIFS(dare_grezzo,den_grezzo,"="&amp;AA131,data_grezzo,"&gt;="&amp;INIZIO_A_PC,data_grezzo,"&lt;="&amp;FINE_AC)&lt;SUMIFS(avere_grezzo,den_grezzo,"="&amp;AA131,data_grezzo,"&gt;="&amp;INIZIO_A_PC,data_grezzo,"&lt;="&amp;FINE_AC)),"SP AVERE",0))</f>
        <v>0</v>
      </c>
      <c r="GR131" s="259">
        <f t="shared" ca="1" si="281"/>
        <v>0</v>
      </c>
      <c r="GS131" s="259" t="str">
        <f t="shared" ca="1" si="282"/>
        <v>chiusura del conto</v>
      </c>
      <c r="GT131" s="259" t="str">
        <f ca="1">IFERROR(INDEX($GD$3:$GS$400,MATCH(ROWS($GT$3:GT131),$GM$3:$GM$400,0),16),"")</f>
        <v/>
      </c>
      <c r="GU131" s="259">
        <f ca="1">IF(GQ131&lt;&gt;0,MAX($GU$2:$GU130)+1,0)</f>
        <v>0</v>
      </c>
      <c r="GV131" s="259">
        <f t="shared" ca="1" si="283"/>
        <v>0</v>
      </c>
      <c r="GW131" s="259" t="str">
        <f ca="1">IF(AND(IFERROR(INDEX($GU$3:$GV$400,MATCH(ROWS($GW$3:GW131),$GU$3:$GU$400,0),2),"")&lt;&gt;"",GW132&lt;&gt;""),CONCATENATE(IFERROR(INDEX($GU$3:$GV$400,MATCH(ROWS($GW$3:GW131),$GU$3:$GU$400,0),2),"")," - "),IFERROR(INDEX($GU$3:$GV$400,MATCH(ROWS($GW$3:GW131),$GU$3:$GU$400,0),2),""))</f>
        <v/>
      </c>
      <c r="GX131" s="259">
        <f ca="1">IF(OR(GN131="IVA NS/CREDITO",GN131="IVA NS/DEBITO",GN131="IVA C/ACCONTO",GN131="IMPOSTE C/ACCONTO"),MAX($GX$2:GX130)+1,0)</f>
        <v>0</v>
      </c>
      <c r="GY131" s="259" t="str">
        <f ca="1">IF(AND(IFERROR(INDEX($GN$3:$GX$200,MATCH(ROWS($GY$3:GY131),$GX$3:$GX$200,0),1),"")&lt;&gt;"",GY132&lt;&gt;""),CONCATENATE(IFERROR(INDEX($GN$3:$GX$200,MATCH(ROWS($GY$3:GY131),$GX$3:$GX$200,0),1),"")," - "),IFERROR(INDEX($GN$3:$GX$200,MATCH(ROWS($GY$3:GY131),$GX$3:$GX$200,0),1),""))</f>
        <v/>
      </c>
      <c r="GZ131" s="259" t="s">
        <v>656</v>
      </c>
      <c r="HA131" s="259" t="s">
        <v>209</v>
      </c>
      <c r="HB131" s="269" t="s">
        <v>256</v>
      </c>
      <c r="HC131" s="269" t="s">
        <v>211</v>
      </c>
      <c r="HD131" s="269" t="s">
        <v>8</v>
      </c>
      <c r="HE131" s="269" t="s">
        <v>213</v>
      </c>
      <c r="HV131" s="259" t="str">
        <f ca="1">CONCATENATE(IFERROR(INDEX($HS$3:$HT$102,MATCH(ROWS($HV$3:HV131),$HT$3:$HT$102,0),1),""),HR131)</f>
        <v/>
      </c>
      <c r="IC131" s="259">
        <f ca="1">IFERROR(INDEX(PIANO_DEI_CONTI,MATCH(ROWS(DL$3:DL131),$DK$3:DK358,0),2),0)</f>
        <v>0</v>
      </c>
      <c r="ID131" s="259">
        <f t="shared" ca="1" si="288"/>
        <v>0</v>
      </c>
      <c r="IE131" s="259">
        <f t="shared" ca="1" si="289"/>
        <v>0</v>
      </c>
      <c r="IF131" s="259">
        <f t="shared" ca="1" si="290"/>
        <v>0</v>
      </c>
      <c r="IG131" s="259">
        <f t="shared" ca="1" si="324"/>
        <v>0</v>
      </c>
      <c r="IH131" s="259">
        <f ca="1">IF(IG131&lt;&gt;0,MAX($IH$35:IH130)+1,0)</f>
        <v>0</v>
      </c>
      <c r="II131" s="259">
        <f>IF(AD131="costi pluriennali",MAX($II$2:II130)+1,0)</f>
        <v>0</v>
      </c>
      <c r="IJ131" s="259">
        <f>IF($AD131="rettifiche costi pluriennali",MAX($IJ$2:IJ130)+1,0)</f>
        <v>0</v>
      </c>
      <c r="IK131" s="259">
        <f t="shared" si="291"/>
        <v>0</v>
      </c>
      <c r="IL131" s="259" t="str">
        <f t="shared" si="292"/>
        <v/>
      </c>
      <c r="IM131" s="259">
        <f t="shared" ca="1" si="293"/>
        <v>0</v>
      </c>
      <c r="IN131" s="259">
        <f t="shared" ca="1" si="313"/>
        <v>0</v>
      </c>
      <c r="IO131" s="259">
        <f>SUMIFS($IM$3:$IM$200,$IK$3:$IK$200,ROWS($IO$3:IO131))-SUMIFS($IN$3:$IN$200,$IK$3:$IK$200,ROWS($IO$3:IO131))</f>
        <v>0</v>
      </c>
      <c r="IP131" s="259" t="str">
        <f>IF(IO131&lt;0,INDEX($IJ$3:$IL$200,MATCH(ROWS($IP$3:IP131),$IJ$3:$IJ$200,0),3),"")</f>
        <v/>
      </c>
      <c r="IQ131" s="259">
        <f>IF(IP131&lt;&gt;"",MAX($IQ$2:IQ130)+1,0)</f>
        <v>0</v>
      </c>
      <c r="IR131" s="259" t="str">
        <f ca="1">IFERROR(INDEX($IP$3:$IQ$200,MATCH(ROWS($IR$3:IR131),$IQ$3:$IQ$200,0),1),"")</f>
        <v/>
      </c>
      <c r="IS131" s="259" t="str">
        <f t="shared" ca="1" si="294"/>
        <v/>
      </c>
      <c r="IT131" s="259" t="str">
        <f t="shared" ca="1" si="295"/>
        <v/>
      </c>
      <c r="IU131" s="259" t="str">
        <f t="shared" ca="1" si="296"/>
        <v/>
      </c>
      <c r="IV131" s="259" t="str">
        <f t="shared" ca="1" si="297"/>
        <v/>
      </c>
      <c r="IW131" s="259" t="str">
        <f t="shared" ca="1" si="298"/>
        <v/>
      </c>
      <c r="IX131" s="259" t="str">
        <f t="shared" ca="1" si="299"/>
        <v/>
      </c>
      <c r="IY131" s="259" t="str">
        <f t="shared" ca="1" si="300"/>
        <v/>
      </c>
      <c r="IZ131" s="259" t="str">
        <f t="shared" ca="1" si="301"/>
        <v/>
      </c>
      <c r="JA131" s="259" t="str">
        <f t="shared" ca="1" si="302"/>
        <v/>
      </c>
      <c r="JB131" s="259">
        <f t="shared" ref="JB131:JB194" ca="1" si="391">IFERROR(INDEX(PIANO_DEI_CONTI,MATCH(EZ131,DENOMINAZIONE,0),5),"")</f>
        <v>0</v>
      </c>
      <c r="JC131" s="259">
        <f t="shared" ca="1" si="351"/>
        <v>0</v>
      </c>
      <c r="JD131" s="259">
        <f t="shared" ca="1" si="352"/>
        <v>0</v>
      </c>
      <c r="JM131" s="259">
        <f t="shared" ca="1" si="353"/>
        <v>0</v>
      </c>
    </row>
    <row r="132" spans="1:273">
      <c r="A132" s="259" t="str">
        <f t="shared" ref="A132:A195" si="392">GZ132</f>
        <v>20.21</v>
      </c>
      <c r="B132" s="259" t="str">
        <f t="shared" ref="B132:B195" si="393">HA132</f>
        <v>SOPRAVVENIENZE ATTIVE</v>
      </c>
      <c r="C132" s="259" t="str">
        <f t="shared" ref="C132:C195" si="394">HB132</f>
        <v>E</v>
      </c>
      <c r="D132" s="259" t="str">
        <f t="shared" ref="D132:D195" si="395">HC132</f>
        <v>A</v>
      </c>
      <c r="E132" s="259" t="str">
        <f t="shared" ref="E132:E195" si="396">HD132</f>
        <v>RICAVI D'ESERCIZIO</v>
      </c>
      <c r="F132" s="259" t="str">
        <f t="shared" ref="F132:F195" si="397">HE132</f>
        <v>SE AVERE</v>
      </c>
      <c r="G132" s="259">
        <f t="shared" ref="G132:G195" ca="1" si="398">IF(EI132=TRUE,1,0)</f>
        <v>0</v>
      </c>
      <c r="H132" s="259">
        <f t="shared" ref="H132:H195" ca="1" si="399">IF(EJ132=TRUE,1,0)</f>
        <v>1</v>
      </c>
      <c r="I132" s="259">
        <f t="shared" ref="I132:I195" ca="1" si="400">IF(EK132=TRUE,1,0)</f>
        <v>1</v>
      </c>
      <c r="K132" s="259" t="str">
        <f ca="1">IFERROR(IF($I$1=1,INDEX($AA$3:$AS$220,MATCH(ROWS($K$3:K132),$AQ$3:$AQ$220,0),1),IF($I$1=2,INDEX($AA$3:$AS$220,MATCH(ROWS($K$3:K132),$AR$3:$AR$220,0),1),IF($I$1=3,INDEX($AA$3:$AS$220,MATCH(ROWS($K$3:K132),$AS$3:$AS$220,0),1),""))),"")</f>
        <v>COMMISSIONI BANCARIE</v>
      </c>
      <c r="L132" s="259">
        <f ca="1">IF(AND($L$1="VISUALIZZA TUTTI I CONTI",K132&lt;&gt;""),MAX(L131:L131)+1,IFERROR(IF($J$1=1,IF(INDEX(PIANO_DEI_CONTI,MATCH($K132,DENOMINAZIONE,0),5)=$L$1,MAX($L$2:L131)+1,0),IF($J$1=2,IF(INDEX(PIANO_DEI_CONTI,MATCH($K132,DENOMINAZIONE,0),7)=$L$1,MAX($L$2:L131)+1,0))),0))</f>
        <v>130</v>
      </c>
      <c r="M132" s="259" t="str">
        <f ca="1">IFERROR(INDEX($K$3:$K$220,MATCH(ROWS($M$3:M132),$L$3:$L$220,0),1),"")</f>
        <v>COMMISSIONI BANCARIE</v>
      </c>
      <c r="Q132" s="259" t="str">
        <f ca="1">IF(IFERROR(INDEX($O$3:$P$220,MATCH(ROWS(Q$3:Q132),$P$3:$P$220,0),1),"")=0,"",IFERROR(INDEX($O$3:$P$220,MATCH(ROWS(Q$3:Q132),$P$3:$P$220,0),1),""))</f>
        <v/>
      </c>
      <c r="R132" s="259" t="str">
        <f t="shared" ca="1" si="366"/>
        <v/>
      </c>
      <c r="S132" s="259">
        <f ca="1">IF(IFERROR(MATCH(R132,DENOMINAZIONE_GIORNALE,0),0)&gt;0,MAX(S$2:S131)+1,0)</f>
        <v>0</v>
      </c>
      <c r="T132" s="259" t="str">
        <f ca="1">IFERROR(INDEX($R$3:$S$220,MATCH(ROWS($T$3:T132),$S$3:$S$220,0),1),"")</f>
        <v/>
      </c>
      <c r="U132" s="259">
        <f t="shared" ca="1" si="367"/>
        <v>0</v>
      </c>
      <c r="V132" s="259">
        <f ca="1">IF(IF(U132&lt;&gt;0,MAX($V$2:V131)+1,0)=0,0,IF(U132&lt;&gt;0,MAX($V$2:V131)+1,0))</f>
        <v>0</v>
      </c>
      <c r="W132" s="259" t="str">
        <f t="shared" ref="W132:W195" si="401">IF(MID(A132,3,3)=".00","",A132)</f>
        <v>20.21</v>
      </c>
      <c r="X132" s="259" t="str">
        <f t="shared" ref="X132:X195" si="402">IFERROR(INDEX($A$3:$B$220,MATCH(W132,$A$3:$A$220,0),2),"")</f>
        <v>SOPRAVVENIENZE ATTIVE</v>
      </c>
      <c r="Y132" s="259">
        <f>IF(W132="",0,MAX($Y$2:Y131)+1)</f>
        <v>112</v>
      </c>
      <c r="Z132" s="259" t="str">
        <f>IFERROR(INDEX($W$3:$Y$220,MATCH(ROWS($Z$2:Z131),$Y$3:$Y$220,0),1),"")</f>
        <v>31.10</v>
      </c>
      <c r="AA132" s="259" t="str">
        <f t="shared" ref="AA132:AA195" si="403">IFERROR(INDEX($A$3:$I$220,MATCH($Z132,$A$3:$A$220,0),2),"")</f>
        <v>MANUTENZIONI E RIPARAZIONI</v>
      </c>
      <c r="AB132" s="259" t="str">
        <f t="shared" ref="AB132:AB195" si="404">IFERROR(INDEX($A$3:$I$220,MATCH($Z132,$A$3:$A$220,0),3),"")</f>
        <v>E</v>
      </c>
      <c r="AC132" s="259" t="str">
        <f t="shared" ref="AC132:AC195" si="405">IFERROR(INDEX($A$3:$I$220,MATCH($Z132,$A$3:$A$220,0),4),"")</f>
        <v>D</v>
      </c>
      <c r="AD132" s="259" t="str">
        <f t="shared" ref="AD132:AD195" si="406">IFERROR(INDEX($A$3:$I$220,MATCH($Z132,$A$3:$A$220,0),5),"")</f>
        <v>COSTI D'ESERCIZIO</v>
      </c>
      <c r="AE132" s="259" t="str">
        <f t="shared" ref="AE132:AE195" si="407">IFERROR(INDEX($A$3:$I$220,MATCH($Z132,$A$3:$A$220,0),6),"")</f>
        <v>SE DARE</v>
      </c>
      <c r="AF132" s="259" t="str">
        <f t="shared" ref="AF132:AF195" si="408">AP132</f>
        <v>COSTI PER SERVIZI</v>
      </c>
      <c r="AG132" s="259">
        <f t="shared" ref="AG132:AG195" ca="1" si="409">IFERROR(INDEX($A$3:$I$220,MATCH($Z132,$A$3:$A$220,0),7),"")</f>
        <v>1</v>
      </c>
      <c r="AH132" s="259">
        <f t="shared" ref="AH132:AH195" ca="1" si="410">IFERROR(INDEX($A$3:$I$220,MATCH($Z132,$A$3:$A$220,0),8),"")</f>
        <v>1</v>
      </c>
      <c r="AI132" s="259">
        <f t="shared" ref="AI132:AI195" ca="1" si="411">IFERROR(INDEX($A$3:$I$220,MATCH($Z132,$A$3:$A$220,0),9),"")</f>
        <v>1</v>
      </c>
      <c r="AJ132" s="259" t="str">
        <f t="shared" ref="AJ132:AJ195" si="412">MID(Z132,1,2)</f>
        <v>31</v>
      </c>
      <c r="AK132" s="259" t="str">
        <f t="shared" ref="AK132:AK195" si="413">IF(MID($A132,3,3)=".00",MID(A132,1,2),"")</f>
        <v/>
      </c>
      <c r="AL132" s="259">
        <f>IF(AK132&lt;&gt;"",MAX($AL$2:AL131)+1,0)</f>
        <v>0</v>
      </c>
      <c r="AM132" s="259" t="str">
        <f>IFERROR(INDEX($AK$3:$AL$220,MATCH(ROWS($AM$3:AM132),$AL$3:$AL$220,0),1),"")</f>
        <v/>
      </c>
      <c r="AN132" s="259" t="str">
        <f t="shared" ref="AN132:AN195" si="414">IF(AM132&lt;&gt;"",CONCATENATE(AM132,".00"),"")</f>
        <v/>
      </c>
      <c r="AO132" s="259" t="str">
        <f t="shared" ref="AO132:AO195" si="415">IFERROR(INDEX($A$3:$B$220,MATCH(AN132,$A$3:$A$220,0),2),"")</f>
        <v/>
      </c>
      <c r="AP132" s="259" t="str">
        <f t="shared" ref="AP132:AP195" si="416">IFERROR(INDEX($AJ$3:$AP$220,MATCH(AJ132,$AM$3:$AM$220,0),6),"")</f>
        <v>COSTI PER SERVIZI</v>
      </c>
      <c r="AQ132" s="259">
        <f ca="1">IF(OR(AG132=0,AG132=""),0,MAX(AQ$2:AQ131)+1)</f>
        <v>71</v>
      </c>
      <c r="AR132" s="259">
        <f ca="1">IF(OR(AH132=0,AH132=""),0,MAX(AR$2:AR131)+1)</f>
        <v>96</v>
      </c>
      <c r="AS132" s="259">
        <f ca="1">IF(OR(AI132=0,AI132=""),0,MAX(AS$2:AS131)+1)</f>
        <v>126</v>
      </c>
      <c r="AT132" s="259" t="str">
        <f ca="1">IFERROR(INDEX($AD$3:$AS$220,MATCH(ROWS(AT$3:AT132),AQ$3:AQ$220,0),1),"")</f>
        <v/>
      </c>
      <c r="AU132" s="259" t="str">
        <f ca="1">IFERROR(INDEX($AD$3:$AS$220,MATCH(ROWS(AU$3:AU132),AR$3:AR$220,0),1),"")</f>
        <v/>
      </c>
      <c r="AV132" s="259" t="str">
        <f ca="1">IFERROR(INDEX($AD$3:$AS$220,MATCH(ROWS(AV$3:AV132),AS$3:AS$220,0),1),"")</f>
        <v>COSTI D'ESERCIZIO</v>
      </c>
      <c r="AW132" s="259" t="str">
        <f ca="1">IFERROR(INDEX($AP$3:$AS$220,MATCH(ROWS(AW$3:AW132),AQ$3:AQ$220,0),1),"")</f>
        <v/>
      </c>
      <c r="AX132" s="259" t="str">
        <f ca="1">IFERROR(INDEX($AP$3:$AS$220,MATCH(ROWS(AX$3:AX132),AR$3:AR$220,0),1),"")</f>
        <v/>
      </c>
      <c r="AY132" s="259" t="str">
        <f ca="1">IFERROR(INDEX($AP$3:$AS$220,MATCH(ROWS(AY$3:AY132),AS$3:AS$220,0),1),"")</f>
        <v>COSTI PER SERVIZI</v>
      </c>
      <c r="AZ132" s="259" t="str">
        <f t="shared" si="339"/>
        <v>30 V.I.</v>
      </c>
      <c r="BA132" s="259">
        <f t="shared" ca="1" si="338"/>
        <v>0</v>
      </c>
      <c r="BB132" s="259">
        <f t="shared" ca="1" si="340"/>
        <v>0</v>
      </c>
      <c r="BC132" s="259">
        <f t="shared" ca="1" si="341"/>
        <v>0</v>
      </c>
      <c r="BD132" s="259">
        <f t="shared" ca="1" si="342"/>
        <v>0</v>
      </c>
      <c r="BE132" s="259">
        <f t="shared" ca="1" si="343"/>
        <v>0</v>
      </c>
      <c r="BG132" s="259" t="str">
        <f t="shared" ca="1" si="368"/>
        <v/>
      </c>
      <c r="BH132" s="259">
        <f ca="1">IF(IFERROR(MATCH(BG132,DENOMINAZIONE_GIORNALE,0),0)&gt;0,MAX(BH$2:BH131)+1,0)</f>
        <v>0</v>
      </c>
      <c r="BI132" s="259" t="str">
        <f ca="1">IFERROR(INDEX($BG$3:$BH$220,MATCH(ROWS($BI$3:BI132),$BH$3:$BH$220,0),1),"")</f>
        <v/>
      </c>
      <c r="BJ132" s="259" t="str">
        <f t="shared" ca="1" si="369"/>
        <v/>
      </c>
      <c r="BK132" s="259" t="str">
        <f ca="1">IF(IF(BJ132&lt;&gt;"",MAX($BK$2:BK131)+1,0)=0,"",IF(BJ132&lt;&gt;"",MAX($BK$2:BK131)+1,0))</f>
        <v/>
      </c>
      <c r="BL132" s="259" t="str">
        <f ca="1">IFERROR(INDEX($T$3:$U$220, MATCH(ROWS(BL$3:BL132),$V$3:$V$220,0),1),"")</f>
        <v/>
      </c>
      <c r="BM132" s="259" t="str">
        <f ca="1">IFERROR(INDEX($T$3:$U$220, MATCH(ROWS(BM$3:BM132),$V$3:$V$220,0),2),"")</f>
        <v/>
      </c>
      <c r="BN132" s="259" t="str">
        <f ca="1">IF(IFERROR(INDEX($BI$3:$BJ$220,MATCH(ROWS(BN$3:BN132),$BK$3:$BK$220,0),1),"")="PATRIMONIO NETTO","",IFERROR(INDEX($BI$3:$BJ$220,MATCH(ROWS(BN$3:BN132),$BK$3:$BK$220,0),1),""))</f>
        <v/>
      </c>
      <c r="BO132" s="259" t="str">
        <f ca="1">IFERROR(INDEX($BI$3:$BJ$220,MATCH(ROWS(BO$3:BO132),$BK$3:$BK$220,0),2),"")</f>
        <v/>
      </c>
      <c r="BP132" s="259">
        <f ca="1">IF(BN132&lt;&gt;"",MAX(BP$2:$BP131)+1,0)</f>
        <v>0</v>
      </c>
      <c r="BQ132" s="259" t="str">
        <f ca="1">IFERROR(INDEX($BN$3:$BO$200,MATCH(ROWS(BQ$3:BQ132),$BP$3:$BP$220,0),1),"")</f>
        <v/>
      </c>
      <c r="BR132" s="259" t="str">
        <f ca="1">IFERROR(INDEX($BN$3:$BO$220,MATCH(ROWS(BR$3:BR132),$BP$3:$BP$220,0),2),"")</f>
        <v/>
      </c>
      <c r="BS132" s="259" t="str">
        <f ca="1">IFERROR(IF(OR(INDEX($T$3:$U$220,MATCH(ROWS(BL$3:BL132),$V$3:$V$220,0),1)="PRELEVAMENTI EXTRAGESTIONE",INDEX($T$3:$U$220,MATCH(ROWS(BL$3:BL132),$V$3:$V$220,0),1)="TITOLARE C/RITENUTE SUBITE"),"",INDEX($T$3:$U$220,MATCH(ROWS(BL$3:BL132),$V$3:$V$220,0),1)),"")</f>
        <v/>
      </c>
      <c r="BT132" s="259">
        <f t="shared" ref="BT132:BT195" ca="1" si="417">INDEX($T$3:$U$220,MATCH(BS132,$T$3:$T$220,0),2)</f>
        <v>0</v>
      </c>
      <c r="BU132" s="259">
        <f ca="1">IF(BS132&lt;&gt;"",MAX(BU$2:BU131)+1,0)</f>
        <v>0</v>
      </c>
      <c r="BV132" s="259" t="str">
        <f ca="1">IFERROR(INDEX($BS$3:$BT$223,MATCH(ROWS(BV$3:BV132),$BU$3:$BU$223,0),1),"")</f>
        <v/>
      </c>
      <c r="BW132" s="259">
        <f t="shared" ref="BW132:BW195" ca="1" si="418">INDEX($BS$3:$BT$220,MATCH(BV132,$BS$3:$BS$223,0),2)</f>
        <v>0</v>
      </c>
      <c r="CB132" s="259" t="str">
        <f ca="1">IFERROR(IF(OR($BB$1&lt;&gt;$BD$1,$BC$1&lt;&gt;$BE$1,$DS$231&lt;&gt;$DT$231,$DU$231&lt;&gt;$DV$231,$EO$25&lt;&gt;0,$EO$26&lt;&gt;0),INDEX($BI$3:$BK$220,MATCH(ROWS($CB$3:CB132),$BK$3:$BK$220,0),1),CONCATENATE(BQ132,BX132)),"")</f>
        <v/>
      </c>
      <c r="CC132" s="259" t="str">
        <f t="shared" ref="CC132:CC195" ca="1" si="419">INDEX($BQ$3:$BR$225,MATCH(CB132,$BQ$3:$BQ$225,0),2)</f>
        <v/>
      </c>
      <c r="CD132" s="259" t="str">
        <f t="shared" ca="1" si="370"/>
        <v>MANUTENZIONI E RIPARAZIONI</v>
      </c>
      <c r="CE132" s="259">
        <f ca="1">IF(IFERROR(MATCH(CD132,DENOMINAZIONE_GIORNALE,0),0)&gt;0,MAX(CE$2:CE131)+1,0)</f>
        <v>0</v>
      </c>
      <c r="CF132" s="259" t="str">
        <f ca="1">IFERROR(INDEX($CD$3:$CE$220,MATCH(ROWS($CF$3:CF132),$CE$3:$CE$220,0),1),"")</f>
        <v/>
      </c>
      <c r="CG132" s="259">
        <f t="shared" ca="1" si="371"/>
        <v>0</v>
      </c>
      <c r="CH132" s="259" t="str">
        <f ca="1">IF(IF(CG132&lt;&gt;0,MAX($CH$2:CH131)+1,0)=0,"",IF(CG132&lt;&gt;"",MAX($CH$2:CH131)+1,0))</f>
        <v/>
      </c>
      <c r="CI132" s="259" t="str">
        <f ca="1">IFERROR(INDEX($CF$3:$CG$220,MATCH(ROWS($CI$3:CI132),$CH$3:$CH$220,0),1),"")</f>
        <v/>
      </c>
      <c r="CJ132" s="259" t="str">
        <f t="shared" ref="CJ132:CJ195" ca="1" si="420">IFERROR(IF(INDEX($CF$3:$CG$220,MATCH(CI132,$CF$3:$CF$220,0),2)=0,"",INDEX($CF$3:$CG$220,MATCH(CI132,$CF$3:$CF$220,0),2)),"")</f>
        <v/>
      </c>
      <c r="CK132" s="259" t="str">
        <f t="shared" ca="1" si="372"/>
        <v/>
      </c>
      <c r="CL132" s="259">
        <f ca="1">IF(IFERROR(MATCH(CK132,DENOMINAZIONE_GIORNALE,0),0)&gt;0,MAX(CL$2:CL131)+1,0)</f>
        <v>0</v>
      </c>
      <c r="CM132" s="259" t="str">
        <f ca="1">IFERROR(INDEX($CK$3:$CL$220,MATCH(ROWS($CM$3:CM132),$CL$3:$CL$220,0),1),"")</f>
        <v/>
      </c>
      <c r="CN132" s="259" t="str">
        <f t="shared" ca="1" si="373"/>
        <v/>
      </c>
      <c r="CO132" s="259">
        <f ca="1">IF(IF(CN132&lt;&gt;0,MAX($CO$2:CO131)+1,0)=0,"",IF(CN132&lt;&gt;"",MAX($CO$2:CO131)+1,0))</f>
        <v>0</v>
      </c>
      <c r="CP132" s="259" t="str">
        <f ca="1">IFERROR(INDEX($CM$3:$CN$220,MATCH(ROWS(CP$3:CP132),$CO$3:$CO$220,0),1),"")</f>
        <v/>
      </c>
      <c r="CQ132" s="259" t="str">
        <f ca="1">IFERROR(INDEX($CM$3:$CN$220,MATCH(ROWS(CQ$3:CQ132),$CO$3:$CO$220,0),2),"")</f>
        <v/>
      </c>
      <c r="CS132" s="259">
        <f t="shared" ca="1" si="374"/>
        <v>0</v>
      </c>
      <c r="CT132" s="259">
        <f t="shared" ca="1" si="375"/>
        <v>0</v>
      </c>
      <c r="CU132" s="259">
        <f ca="1">IF(OR(CS132&gt;0,CT132&gt;0),MAX($CU$2:CU131)+1,0)</f>
        <v>0</v>
      </c>
      <c r="CV132" s="259" t="str">
        <f ca="1">IFERROR(INDEX(PIANO_DEI_CONTI,MATCH(ROWS($CV$3:CV132),$CU$3:$CU$200,0),2),"")</f>
        <v/>
      </c>
      <c r="CW132" s="259">
        <f ca="1">IFERROR(IF(CV132&lt;&gt;"",MAX($CW$2:CW131)+1,0),0)</f>
        <v>0</v>
      </c>
      <c r="CX132" s="259">
        <f t="shared" ca="1" si="364"/>
        <v>8</v>
      </c>
      <c r="CY132" s="259" t="str">
        <f t="shared" ca="1" si="337"/>
        <v>MASTRO</v>
      </c>
      <c r="CZ132" s="259" t="e">
        <f t="shared" ca="1" si="376"/>
        <v>#N/A</v>
      </c>
      <c r="DA132" s="259" t="str">
        <f t="shared" ref="DA132:DA145" ca="1" si="421">IFERROR(INDEX(LIBRO_GIORNALE,CZ132,1),"")</f>
        <v/>
      </c>
      <c r="DB132" s="259" t="str">
        <f t="shared" ca="1" si="377"/>
        <v/>
      </c>
      <c r="DC132" s="259" t="str">
        <f t="shared" ca="1" si="378"/>
        <v/>
      </c>
      <c r="DD132" s="259" t="str">
        <f t="shared" ca="1" si="379"/>
        <v/>
      </c>
      <c r="DE132" s="259" t="str">
        <f t="shared" ca="1" si="380"/>
        <v/>
      </c>
      <c r="DF132" s="259">
        <f ca="1">IF(AND(CX132=$DE$2,$DF$2&lt;&gt;0),0,IF(AND(DB132&lt;&gt;"",OR(DB131&lt;&gt;"",DB133&lt;&gt;"")),MAX($DF$2:DF131)+1,0))</f>
        <v>0</v>
      </c>
      <c r="DG132" s="259" t="str">
        <f>IF(IF(LIBRO_GIORNALE!E40="","",IFERROR(INDEX(PIANO_DEI_CONTI,MATCH(BB132,DENOMINAZIONE,0),1),0))=0,"",IF(LIBRO_GIORNALE!E40="","",IFERROR(INDEX(PIANO_DEI_CONTI,MATCH(BB132,DENOMINAZIONE,0),1),0)))</f>
        <v/>
      </c>
      <c r="DH132" s="259">
        <f ca="1">IFERROR(IF($J$1=1,IF(INDEX(PIANO_DEI_CONTI,MATCH($K132,DENOMINAZIONE,0),5)=$DF$1,MAX($DH$2:DH131)+1,0),IF($J$1=2,IF(INDEX(PIANO_DEI_CONTI,MATCH($K132,DENOMINAZIONE,0),7)=$DF$1,MAX($DH$2:DH131)+1,0))),0)</f>
        <v>0</v>
      </c>
      <c r="DI132" s="259">
        <f ca="1">IFERROR(INDEX($K$3:$K$220,MATCH(ROWS($DI$3:DI132),$DH$3:$DH$220,0),1),0)</f>
        <v>0</v>
      </c>
      <c r="DJ132" s="259">
        <f t="shared" ca="1" si="381"/>
        <v>0</v>
      </c>
      <c r="DK132" s="259">
        <f ca="1">IF(DJ132=0,0,MAX(DK$2:DK131)+1)</f>
        <v>0</v>
      </c>
      <c r="DL132" s="259">
        <f ca="1">IFERROR(INDEX(PIANO_DEI_CONTI,MATCH(ROWS(DL$3:DL132),$DK$3:DK359,0),2),0)</f>
        <v>0</v>
      </c>
      <c r="DM132" s="259">
        <f t="shared" ca="1" si="382"/>
        <v>0</v>
      </c>
      <c r="DN132" s="259">
        <f t="shared" ca="1" si="383"/>
        <v>0</v>
      </c>
      <c r="DO132" s="259">
        <f t="shared" ref="DO132:DO195" ca="1" si="422">IF(AND(DL132&lt;&gt;"",$DM132&gt;$DN132,OR($DM132&gt;0,$DN132&gt;0)),$DM132-$DN132,0)</f>
        <v>0</v>
      </c>
      <c r="DP132" s="259">
        <f t="shared" ref="DP132:DP195" ca="1" si="423">IF(AND(DL132&lt;&gt;"",$DM132&lt;$DN132,OR($DM132&gt;0,$DN132&gt;0)),$DN132-$DM132,0)</f>
        <v>0</v>
      </c>
      <c r="DQ132" s="259">
        <f ca="1">IF(OR($DQ$1="TOTALI",$DQ$1="TOTALI ED ECCEDENZE"),IF(OR(DM132&gt;0,DN132&gt;0),MAX(DQ$2:DQ131)+1,0),IF($DQ$1="ECCEDENZE",IF(OR(DO132&gt;0,DP132&gt;0),MAX(DQ$2:DQ131)+1,0),""))</f>
        <v>0</v>
      </c>
      <c r="DR132" s="259" t="str">
        <f ca="1">IFERROR(INDEX($DL$3:$DQ$230,MATCH(ROWS(DR$3:DR132),$DQ$3:$DQ$230,0),1),"")</f>
        <v/>
      </c>
      <c r="DS132" s="259" t="str">
        <f t="shared" ref="DS132:DS195" ca="1" si="424">IFERROR(IF($DQ$1="eccedenze",INDEX($DL$3:$DP$230,MATCH($DR132,$DL$3:$DL$230,0),4),IF(OR($DQ$1="totali",$DQ$1="TOTALI ED ECCEDENZE"),INDEX($DL$3:$DP$230,MATCH($DR132,$DL$3:$DL$230,0),2),"")),"")</f>
        <v/>
      </c>
      <c r="DT132" s="259" t="str">
        <f t="shared" ref="DT132:DT195" ca="1" si="425">IFERROR(IF($DQ$1="eccedenze",INDEX($DL$3:$DP$230,MATCH($DR132,$DL$3:$DL$230,0),5),IF(OR($DQ$1="totali",$DQ$1="TOTALI ED ECCEDENZE"),INDEX($DL$3:$DP$230,MATCH($DR132,$DL$3:$DL$230,0),3),"")),"")</f>
        <v/>
      </c>
      <c r="DU132" s="259" t="str">
        <f t="shared" ref="DU132:DU195" ca="1" si="426">IF(AND($DR132&lt;&gt;"",$DS132&gt;$DT132,$DQ$1="TOTALI ED ECCEDENZE",OR($DS132&gt;0,$DT132&gt;0)),$DS132-$DT132,IF(DS132=DT132,"",""))</f>
        <v/>
      </c>
      <c r="DV132" s="259" t="str">
        <f t="shared" ref="DV132:DV195" ca="1" si="427">IF(AND($DR132&lt;&gt;"",$DS132&lt;$DT132,$DQ$1="TOTALI ED ECCEDENZE",OR($DS132&gt;0,$DT132&gt;0)),$DT132-$DS132,IF(DT132=DS132,"",""))</f>
        <v/>
      </c>
      <c r="DW132" s="259">
        <f t="shared" ref="DW132:DW195" ca="1" si="428">IF(OR(AND(DR132&lt;&gt;"",$DQ$1="TOTALI ED ECCEDENZE"),AND(DX132="TOTALI",$DQ$1="TOTALI ED ECCEDENZE")),1,0)</f>
        <v>0</v>
      </c>
      <c r="DX132" s="259" t="str">
        <f t="shared" ref="DX132:DX195" ca="1" si="429">IF($EV$1&gt;0,"",IF((ROW()-2)=$DW$1+1,IF(AND(MATCH("PATRIMONIO NETTO",$DR$3:$DR$230,0)&gt;0,$BB$1=$BD$1,$BC$1=$BE$1,$DS$231=$DT$231,$EO$25=0,$EO$26=0),"TOTALI",""),""))</f>
        <v/>
      </c>
      <c r="DY132" s="259" t="str">
        <f t="shared" ref="DY132:DY195" ca="1" si="430">IF($DX132="TOTALI",$DS$231,"")</f>
        <v/>
      </c>
      <c r="DZ132" s="259" t="str">
        <f t="shared" ref="DZ132:DZ195" ca="1" si="431">IF(IF($DX132="TOTALI",$DU$231,"")=0,"",IF($DX132="TOTALI",$DU$231,""))</f>
        <v/>
      </c>
      <c r="EB132" s="259" t="s">
        <v>369</v>
      </c>
      <c r="ED132" s="259">
        <f t="shared" ca="1" si="384"/>
        <v>0</v>
      </c>
      <c r="EH132" s="259" t="str">
        <f t="shared" ref="EH132:EH195" ca="1" si="432">CP132</f>
        <v/>
      </c>
      <c r="EI132" s="260" t="b">
        <f t="shared" ca="1" si="310"/>
        <v>0</v>
      </c>
      <c r="EJ132" s="260" t="b">
        <f t="shared" ca="1" si="311"/>
        <v>1</v>
      </c>
      <c r="EK132" s="260" t="b">
        <f t="shared" ca="1" si="312"/>
        <v>1</v>
      </c>
      <c r="EL132" s="259">
        <f t="shared" ref="EL132:EL195" si="433">ROW()-2</f>
        <v>130</v>
      </c>
      <c r="EM132" s="259">
        <f ca="1">IF(AND(BA132&gt;0,BA132&lt;=$EM$1),MAX($EM$2:EM131)+1,0)</f>
        <v>0</v>
      </c>
      <c r="EN132" s="259">
        <f t="shared" ref="EN132:EN195" ca="1" si="434">IF(EM132=$EL$1,ROW(),0)</f>
        <v>132</v>
      </c>
      <c r="EP132" s="259" t="str">
        <f t="shared" ca="1" si="385"/>
        <v/>
      </c>
      <c r="EQ132" s="259">
        <f t="shared" ca="1" si="386"/>
        <v>0</v>
      </c>
      <c r="ER132" s="259">
        <f ca="1">IF(ISNA(EQ132),MAX(ER$2:ER131)+1,0)</f>
        <v>0</v>
      </c>
      <c r="ES132" s="259" t="str">
        <f t="shared" ref="ES132:ES195" ca="1" si="435">IF(ER132&gt;=1,EZ132,"")</f>
        <v/>
      </c>
      <c r="ET132" s="259" t="str">
        <f ca="1">IFERROR(UPPER(INDEX($ER$3:$ES$500,MATCH(ROWS(ET$3:ET132),$ER$3:$ER$500,0),2)),"")</f>
        <v/>
      </c>
      <c r="EW132" s="259">
        <f t="shared" ca="1" si="344"/>
        <v>1</v>
      </c>
      <c r="EX132" s="259">
        <v>30</v>
      </c>
      <c r="EY132" s="259">
        <f t="shared" ca="1" si="345"/>
        <v>0</v>
      </c>
      <c r="EZ132" s="259">
        <f t="shared" ca="1" si="346"/>
        <v>0</v>
      </c>
      <c r="FA132" s="259">
        <f t="shared" ca="1" si="347"/>
        <v>0</v>
      </c>
      <c r="FB132" s="259">
        <f t="shared" ca="1" si="348"/>
        <v>0</v>
      </c>
      <c r="FC132" s="259">
        <f t="shared" ca="1" si="349"/>
        <v>0</v>
      </c>
      <c r="FD132" s="259">
        <f t="shared" ca="1" si="387"/>
        <v>0</v>
      </c>
      <c r="FE132" s="259" t="str">
        <f t="shared" ca="1" si="388"/>
        <v/>
      </c>
      <c r="FF132" s="259" t="str">
        <f t="shared" ca="1" si="350"/>
        <v/>
      </c>
      <c r="FM132" s="259">
        <f t="shared" ca="1" si="389"/>
        <v>0</v>
      </c>
      <c r="FN132" s="259">
        <f ca="1">IF(FM132&lt;0,MAX($FN$2:FN131)+1,0)</f>
        <v>0</v>
      </c>
      <c r="FO132" s="259" t="str">
        <f t="shared" ref="FO132:FO195" ca="1" si="436">IF(FM132&lt;0,AA132,"")</f>
        <v/>
      </c>
      <c r="FP132" s="259" t="str">
        <f ca="1">IFERROR(INDEX($FN$3:$FO$400,MATCH(ROWS($FP$3:FP132),$FN$3:$FN$400,0),2),"")</f>
        <v/>
      </c>
      <c r="FQ132" s="259" t="str">
        <f>IF(AE132="SE AVERE",MAX($FQ$2:FQ131)+1,"")</f>
        <v/>
      </c>
      <c r="FR132" s="259">
        <f>IF(AE132="SE DARE",MAX($FR$2:FR131)+1,"")</f>
        <v>37</v>
      </c>
      <c r="FS132" s="259" t="str">
        <f ca="1">IF(AND(AE132="SP DARE",AA132&lt;&gt;$FS$1,AA132&lt;&gt;$FT$1),MAX($FS$2:FS131)+1,IF(AND(GQ132="SP DARE",AA132&lt;&gt;$FS$1,AA132&lt;&gt;$FT$1),MAX($FS$2:FS131)+1,""))</f>
        <v/>
      </c>
      <c r="FT132" s="259" t="str">
        <f ca="1">IF(AND(AE132="SP AVERE",AA132&lt;&gt;$FU$1),MAX($FT$2:FT131)+1,IF(AND(GQ132="SP AVERE",AA132&lt;&gt;$FU$1),MAX($FT$2:FT131)+1,""))</f>
        <v/>
      </c>
      <c r="FU132" s="259">
        <f t="shared" ref="FU132:FU195" ca="1" si="437">SUM(FQ132:FT132)</f>
        <v>37</v>
      </c>
      <c r="FV132" s="259" t="str">
        <f t="shared" ref="FV132:FV195" si="438">AA132</f>
        <v>MANUTENZIONI E RIPARAZIONI</v>
      </c>
      <c r="FW132" s="259" t="str">
        <f ca="1">IFERROR(INDEX($FU$3:$FV$500,MATCH(ROWS($FW$3:FW132),$FU$3:$FU$500,0),2),0)</f>
        <v>RATEI ATTIVI</v>
      </c>
      <c r="FX132" s="259">
        <f t="shared" ref="FX132:FX195" ca="1" si="439">IF(FW132&lt;&gt;0,ROW()-2,0)</f>
        <v>130</v>
      </c>
      <c r="FY132" s="259">
        <f t="shared" ref="FY132:FY195" ca="1" si="440">IF(AND(ROW()&lt;=$FX$1,FX132=0),ROW()-2,0)</f>
        <v>0</v>
      </c>
      <c r="FZ132" s="259">
        <f ca="1">IF(FY132&gt;0,MAX($FZ$2:FZ131)+1,0)</f>
        <v>0</v>
      </c>
      <c r="GA132" s="259">
        <f ca="1">IFERROR(INDEX($FY$3:$FZ$500,MATCH(ROWS($GA$3:GA132),$FZ$3:$FZ$500,0),1),0)</f>
        <v>0</v>
      </c>
      <c r="GC132" s="259">
        <f t="shared" ref="GC132:GC195" ca="1" si="441">FX132+FY132</f>
        <v>130</v>
      </c>
      <c r="GD132" s="259" t="str">
        <f t="shared" ref="GD132:GD195" ca="1" si="442">IFERROR(IF(FX132&gt;0,FW132,INDEX($GA$3:$GB$400,MATCH(ROW()-2,$GA$3:$GA$400,0),2)),0)</f>
        <v>RATEI ATTIVI</v>
      </c>
      <c r="GG132" s="259">
        <f t="shared" ref="GG132:GG195" ca="1" si="443">IFERROR(INDEX($GA$3:$GF$400,MATCH(ROW()-2,$GA$3:$GA$400,0),5),0)</f>
        <v>0</v>
      </c>
      <c r="GH132" s="259">
        <f t="shared" ref="GH132:GH195" ca="1" si="444">IFERROR(INDEX($GA$3:$GF$400,MATCH(ROW()-2,$GA$3:$GA$400,0),6),0)</f>
        <v>0</v>
      </c>
      <c r="GI132" s="259">
        <f t="shared" ref="GI132:GI195" ca="1" si="445">IFERROR(INDEX($DL$3:$DP$400,MATCH($FW132,$DL$3:$DL$400,0),5),0)</f>
        <v>0</v>
      </c>
      <c r="GJ132" s="259">
        <f t="shared" ref="GJ132:GJ195" ca="1" si="446">IFERROR(INDEX($DL$3:$DP$400,MATCH($FW132,$DL$3:$DL$400,0),4),0)</f>
        <v>0</v>
      </c>
      <c r="GK132" s="259">
        <f t="shared" ref="GK132:GL195" ca="1" si="447">GG132+GI132</f>
        <v>0</v>
      </c>
      <c r="GL132" s="259">
        <f t="shared" ca="1" si="447"/>
        <v>0</v>
      </c>
      <c r="GM132" s="259">
        <f ca="1">IF(OR(GK132&gt;0,GL132&gt;0),MAX($GM$2:GM131)+1,0)</f>
        <v>0</v>
      </c>
      <c r="GN132" s="259" t="str">
        <f ca="1">IFERROR(INDEX($GD$3:$GM$400,MATCH(ROWS($GN$3:GN132),$GM$3:$GM$400,0),1),"")</f>
        <v/>
      </c>
      <c r="GO132" s="259" t="str">
        <f ca="1">IFERROR(INDEX($GD$3:$GM$400,MATCH(ROWS($GO$3:GO132),$GM$3:$GM$400,0),8),"")</f>
        <v/>
      </c>
      <c r="GP132" s="259" t="str">
        <f ca="1">IFERROR(INDEX($GD$3:$GM$400,MATCH(ROWS($GP$3:GP132),$GM$3:$GM$400,0),9),"")</f>
        <v/>
      </c>
      <c r="GQ132" s="259">
        <f t="shared" ca="1" si="390"/>
        <v>0</v>
      </c>
      <c r="GR132" s="259">
        <f t="shared" ref="GR132:GR195" ca="1" si="448">IF(AND(FQ132&gt;0,ROW()=FU132),"epilogo a Conto economico",0)</f>
        <v>0</v>
      </c>
      <c r="GS132" s="259" t="str">
        <f t="shared" ref="GS132:GS195" ca="1" si="449">IF(AND(ROW()-2&gt;=$GC$1,ROW()-2&lt;=$GK$1),"epilogo a Conto economico",IF(AND(ROW()-2&gt;=$GD$1,ROW()-2&lt;=$GL$1),"epilogo a Conto economico",IF(AND(ROW()-2&gt;=$GE$1,ROW()-2&lt;=$GN$1),"chiusura del conto",IF(AND(ROW()-2&gt;=$GF$1,ROW()-2&lt;=$GL$1),"epilogo a Conto economico",IF(ROW()-2=$GA$3,"epilogo componenti positivi",IF(ROW()-2=$GA$4,"epilogo componenti negativi",IF(AND(ROW()-2&gt;=$GA$7,ROW()-2&lt;=$GA$8),"rilevato utile d'esercizio",IF(AND(ROW()-2&gt;=$GA$5,ROW()-2&lt;=$GA$6),"rilevata perdita d'esercizio",IF(AND(ROW()-2&gt;=$GA$9,ROW()-2&lt;=$GA$10),"capitalizzato l'utile conseguito",IF(AND(ROW()-2&gt;=$GA$11,ROW()-2&lt;=$GA$12),"coperta perdita d'esercizio",IF(ROW()-2=$GA$13,"prelevamenti extragestione",IF(ROW()-2=$GA$15,"giro ritenute subite",IF(OR(ROW()-2=$GA$14,ROW()-2=$GA$16),"giro a patrimonio netto",IF(ROW()-2=$GA$17,"totale attività",IF(ROW()-2=$GA$18,"totale passività",IF(ROW()-2=$GA$19,"chiusura del conto",IF(ROW()-2=$GA$20,"patrimonio netto finale","")))))))))))))))))</f>
        <v>chiusura del conto</v>
      </c>
      <c r="GT132" s="259" t="str">
        <f ca="1">IFERROR(INDEX($GD$3:$GS$400,MATCH(ROWS($GT$3:GT132),$GM$3:$GM$400,0),16),"")</f>
        <v/>
      </c>
      <c r="GU132" s="259">
        <f ca="1">IF(GQ132&lt;&gt;0,MAX($GU$2:$GU131)+1,0)</f>
        <v>0</v>
      </c>
      <c r="GV132" s="259">
        <f t="shared" ref="GV132:GV195" ca="1" si="450">IF(GU132&lt;&gt;0,AA132,0)</f>
        <v>0</v>
      </c>
      <c r="GW132" s="259" t="str">
        <f ca="1">IF(AND(IFERROR(INDEX($GU$3:$GV$400,MATCH(ROWS($GW$3:GW132),$GU$3:$GU$400,0),2),"")&lt;&gt;"",GW133&lt;&gt;""),CONCATENATE(IFERROR(INDEX($GU$3:$GV$400,MATCH(ROWS($GW$3:GW132),$GU$3:$GU$400,0),2),"")," - "),IFERROR(INDEX($GU$3:$GV$400,MATCH(ROWS($GW$3:GW132),$GU$3:$GU$400,0),2),""))</f>
        <v/>
      </c>
      <c r="GX132" s="259">
        <f ca="1">IF(OR(GN132="IVA NS/CREDITO",GN132="IVA NS/DEBITO",GN132="IVA C/ACCONTO",GN132="IMPOSTE C/ACCONTO"),MAX($GX$2:GX131)+1,0)</f>
        <v>0</v>
      </c>
      <c r="GY132" s="259" t="str">
        <f ca="1">IF(AND(IFERROR(INDEX($GN$3:$GX$200,MATCH(ROWS($GY$3:GY132),$GX$3:$GX$200,0),1),"")&lt;&gt;"",GY133&lt;&gt;""),CONCATENATE(IFERROR(INDEX($GN$3:$GX$200,MATCH(ROWS($GY$3:GY132),$GX$3:$GX$200,0),1),"")," - "),IFERROR(INDEX($GN$3:$GX$200,MATCH(ROWS($GY$3:GY132),$GX$3:$GX$200,0),1),""))</f>
        <v/>
      </c>
      <c r="GZ132" s="259" t="s">
        <v>657</v>
      </c>
      <c r="HA132" s="259" t="s">
        <v>477</v>
      </c>
      <c r="HB132" s="269" t="s">
        <v>256</v>
      </c>
      <c r="HC132" s="269" t="s">
        <v>211</v>
      </c>
      <c r="HD132" s="269" t="s">
        <v>8</v>
      </c>
      <c r="HE132" s="269" t="s">
        <v>213</v>
      </c>
      <c r="HV132" s="259" t="str">
        <f ca="1">CONCATENATE(IFERROR(INDEX($HS$3:$HT$102,MATCH(ROWS($HV$3:HV132),$HT$3:$HT$102,0),1),""),HR132)</f>
        <v/>
      </c>
      <c r="IC132" s="259">
        <f ca="1">IFERROR(INDEX(PIANO_DEI_CONTI,MATCH(ROWS(DL$3:DL132),$DK$3:DK359,0),2),0)</f>
        <v>0</v>
      </c>
      <c r="ID132" s="259">
        <f t="shared" ref="ID132:ID195" ca="1" si="451">IFERROR(IF(AND(DL132&lt;&gt;"",$DM132&gt;$DN132,OR($DM132&gt;0,$DN132&gt;0)),$DM132-$DN132,0),0)</f>
        <v>0</v>
      </c>
      <c r="IE132" s="259">
        <f t="shared" ref="IE132:IE195" ca="1" si="452">IFERROR(IF(AND(DL132&lt;&gt;"",$DM132&lt;$DN132,OR($DM132&gt;0,$DN132&gt;0)),$DN132-$DM132,0),0)</f>
        <v>0</v>
      </c>
      <c r="IF132" s="259">
        <f t="shared" ref="IF132:IF195" ca="1" si="453">IFERROR(INDEX($AA$3:$EC$200,MATCH(IC132,$AA$3:$AA$200,0),106),"")</f>
        <v>0</v>
      </c>
      <c r="IG132" s="259">
        <f t="shared" ca="1" si="324"/>
        <v>0</v>
      </c>
      <c r="IH132" s="259">
        <f ca="1">IF(IG132&lt;&gt;0,MAX($IH$35:IH131)+1,0)</f>
        <v>0</v>
      </c>
      <c r="II132" s="259">
        <f>IF(AD132="costi pluriennali",MAX($II$2:II131)+1,0)</f>
        <v>0</v>
      </c>
      <c r="IJ132" s="259">
        <f>IF($AD132="rettifiche costi pluriennali",MAX($IJ$2:IJ131)+1,0)</f>
        <v>0</v>
      </c>
      <c r="IK132" s="259">
        <f t="shared" ref="IK132:IK195" si="454">MAX(II132,IJ132)</f>
        <v>0</v>
      </c>
      <c r="IL132" s="259" t="str">
        <f t="shared" ref="IL132:IL195" si="455">IF(IK132&gt;0,AA132,"")</f>
        <v/>
      </c>
      <c r="IM132" s="259">
        <f t="shared" ref="IM132:IM195" ca="1" si="456">IFERROR(INDEX($IC$3:$IK$200,MATCH(IL132,$IC$3:$IC$200,0),2),0)</f>
        <v>0</v>
      </c>
      <c r="IN132" s="259">
        <f t="shared" ca="1" si="313"/>
        <v>0</v>
      </c>
      <c r="IO132" s="259">
        <f>SUMIFS($IM$3:$IM$200,$IK$3:$IK$200,ROWS($IO$3:IO132))-SUMIFS($IN$3:$IN$200,$IK$3:$IK$200,ROWS($IO$3:IO132))</f>
        <v>0</v>
      </c>
      <c r="IP132" s="259" t="str">
        <f>IF(IO132&lt;0,INDEX($IJ$3:$IL$200,MATCH(ROWS($IP$3:IP132),$IJ$3:$IJ$200,0),3),"")</f>
        <v/>
      </c>
      <c r="IQ132" s="259">
        <f>IF(IP132&lt;&gt;"",MAX($IQ$2:IQ131)+1,0)</f>
        <v>0</v>
      </c>
      <c r="IR132" s="259" t="str">
        <f ca="1">IFERROR(INDEX($IP$3:$IQ$200,MATCH(ROWS($IR$3:IR132),$IQ$3:$IQ$200,0),1),"")</f>
        <v/>
      </c>
      <c r="IS132" s="259" t="str">
        <f t="shared" ref="IS132:IS195" ca="1" si="457">IF(AND($HM$2&gt;0,SUM($FJ$3:$FJ$120)&lt;&gt;0,ROW()-2=$HP$2-1),SUM($FJ$3:$FJ$120),IF(AND($HM$2=0,SUM($FJ$3:$FJ$120)&lt;&gt;0,ROW()-2=$HP$2),SUM($FJ$3:$FJ$120),""))</f>
        <v/>
      </c>
      <c r="IT132" s="259" t="str">
        <f t="shared" ref="IT132:IT195" ca="1" si="458">IF(AND(ROW()-2=$HP$2,SUM($FK$3:$FK$120)&lt;&gt;0),SUM($FK$3:$FK$120),"")</f>
        <v/>
      </c>
      <c r="IU132" s="259" t="str">
        <f t="shared" ref="IU132:IU195" ca="1" si="459">IF(ROW()-2=$HQ$2,SUM($IS$3:$IS$200)-SUM($IT$3:$IT$200),"")</f>
        <v/>
      </c>
      <c r="IV132" s="259" t="str">
        <f t="shared" ref="IV132:IV195" ca="1" si="460">IFERROR(IF(INDEX($FG$3:$HV$200,MATCH($HV132,$FG$3:$FG$200,0),4)=0,"",INDEX($FG$3:$HV$200,MATCH($HV132,$FG$3:$FG$200,0),4)),"")</f>
        <v/>
      </c>
      <c r="IW132" s="259" t="str">
        <f t="shared" ref="IW132:IW195" ca="1" si="461">IFERROR(IF(INDEX($FG$3:$HV$200,MATCH($HV132,$FG$3:$FG$200,0),5)=0,"",INDEX($FG$3:$HV$200,MATCH($HV132,$FG$3:$FG$200,0),5)),"")</f>
        <v/>
      </c>
      <c r="IX132" s="259" t="str">
        <f t="shared" ref="IX132:IX195" ca="1" si="462">IF(SUM(IV132,IT132,IU132)=0,"",SUM(IV132,IT132,IU132))</f>
        <v/>
      </c>
      <c r="IY132" s="259" t="str">
        <f t="shared" ref="IY132:IY195" ca="1" si="463">IF(SUM(IW132,IS132)=0,"",SUM(IW132,IS132))</f>
        <v/>
      </c>
      <c r="IZ132" s="259" t="str">
        <f t="shared" ref="IZ132:IZ195" ca="1" si="464">IF(AND(IX132="",IY132=""),"",IF(OR(IV132&lt;&gt;"",IW132&lt;&gt;""),"apertura del conto",IF(IS132&lt;&gt;"","totale attività",IF(IT132&lt;&gt;"","totale passività",IF(IU132&lt;&gt;"","patrimonio netto iniziale","")))))</f>
        <v/>
      </c>
      <c r="JA132" s="259" t="str">
        <f t="shared" ref="JA132:JA195" ca="1" si="465">IF(EY132&gt;0,YEAR(EY132),"")</f>
        <v/>
      </c>
      <c r="JB132" s="259">
        <f t="shared" ca="1" si="391"/>
        <v>0</v>
      </c>
      <c r="JC132" s="259">
        <f t="shared" ca="1" si="351"/>
        <v>0</v>
      </c>
      <c r="JD132" s="259">
        <f t="shared" ca="1" si="352"/>
        <v>0</v>
      </c>
      <c r="JM132" s="259">
        <f t="shared" ca="1" si="353"/>
        <v>0</v>
      </c>
    </row>
    <row r="133" spans="1:273">
      <c r="A133" s="259" t="str">
        <f t="shared" si="392"/>
        <v>20.22</v>
      </c>
      <c r="B133" s="259" t="str">
        <f t="shared" si="393"/>
        <v>INSUSSISTENZE ATTIVE</v>
      </c>
      <c r="C133" s="259" t="str">
        <f t="shared" si="394"/>
        <v>E</v>
      </c>
      <c r="D133" s="259" t="str">
        <f t="shared" si="395"/>
        <v>A</v>
      </c>
      <c r="E133" s="259" t="str">
        <f t="shared" si="396"/>
        <v>RICAVI D'ESERCIZIO</v>
      </c>
      <c r="F133" s="259" t="str">
        <f t="shared" si="397"/>
        <v>SE AVERE</v>
      </c>
      <c r="G133" s="259">
        <f t="shared" ca="1" si="398"/>
        <v>0</v>
      </c>
      <c r="H133" s="259">
        <f t="shared" ca="1" si="399"/>
        <v>1</v>
      </c>
      <c r="I133" s="259">
        <f t="shared" ca="1" si="400"/>
        <v>1</v>
      </c>
      <c r="K133" s="259" t="str">
        <f ca="1">IFERROR(IF($I$1=1,INDEX($AA$3:$AS$220,MATCH(ROWS($K$3:K133),$AQ$3:$AQ$220,0),1),IF($I$1=2,INDEX($AA$3:$AS$220,MATCH(ROWS($K$3:K133),$AR$3:$AR$220,0),1),IF($I$1=3,INDEX($AA$3:$AS$220,MATCH(ROWS($K$3:K133),$AS$3:$AS$220,0),1),""))),"")</f>
        <v>COSTI DI TENUTA C/C</v>
      </c>
      <c r="L133" s="259">
        <f ca="1">IF(AND($L$1="VISUALIZZA TUTTI I CONTI",K133&lt;&gt;""),MAX(L132:L132)+1,IFERROR(IF($J$1=1,IF(INDEX(PIANO_DEI_CONTI,MATCH($K133,DENOMINAZIONE,0),5)=$L$1,MAX($L$2:L132)+1,0),IF($J$1=2,IF(INDEX(PIANO_DEI_CONTI,MATCH($K133,DENOMINAZIONE,0),7)=$L$1,MAX($L$2:L132)+1,0))),0))</f>
        <v>131</v>
      </c>
      <c r="M133" s="259" t="str">
        <f ca="1">IFERROR(INDEX($K$3:$K$220,MATCH(ROWS($M$3:M133),$L$3:$L$220,0),1),"")</f>
        <v>COSTI DI TENUTA C/C</v>
      </c>
      <c r="Q133" s="259" t="str">
        <f ca="1">IF(IFERROR(INDEX($O$3:$P$220,MATCH(ROWS(Q$3:Q133),$P$3:$P$220,0),1),"")=0,"",IFERROR(INDEX($O$3:$P$220,MATCH(ROWS(Q$3:Q133),$P$3:$P$220,0),1),""))</f>
        <v/>
      </c>
      <c r="R133" s="259" t="str">
        <f t="shared" ca="1" si="366"/>
        <v/>
      </c>
      <c r="S133" s="259">
        <f ca="1">IF(IFERROR(MATCH(R133,DENOMINAZIONE_GIORNALE,0),0)&gt;0,MAX(S$2:S132)+1,0)</f>
        <v>0</v>
      </c>
      <c r="T133" s="259" t="str">
        <f ca="1">IFERROR(INDEX($R$3:$S$220,MATCH(ROWS($T$3:T133),$S$3:$S$220,0),1),"")</f>
        <v/>
      </c>
      <c r="U133" s="259">
        <f t="shared" ca="1" si="367"/>
        <v>0</v>
      </c>
      <c r="V133" s="259">
        <f ca="1">IF(IF(U133&lt;&gt;0,MAX($V$2:V132)+1,0)=0,0,IF(U133&lt;&gt;0,MAX($V$2:V132)+1,0))</f>
        <v>0</v>
      </c>
      <c r="W133" s="259" t="str">
        <f t="shared" si="401"/>
        <v>20.22</v>
      </c>
      <c r="X133" s="259" t="str">
        <f t="shared" si="402"/>
        <v>INSUSSISTENZE ATTIVE</v>
      </c>
      <c r="Y133" s="259">
        <f>IF(W133="",0,MAX($Y$2:Y132)+1)</f>
        <v>113</v>
      </c>
      <c r="Z133" s="259" t="str">
        <f>IFERROR(INDEX($W$3:$Y$220,MATCH(ROWS($Z$2:Z132),$Y$3:$Y$220,0),1),"")</f>
        <v>31.11</v>
      </c>
      <c r="AA133" s="259" t="str">
        <f t="shared" si="403"/>
        <v>COSTI DI ETICHETTATURA</v>
      </c>
      <c r="AB133" s="259" t="str">
        <f t="shared" si="404"/>
        <v>E</v>
      </c>
      <c r="AC133" s="259" t="str">
        <f t="shared" si="405"/>
        <v>D</v>
      </c>
      <c r="AD133" s="259" t="str">
        <f t="shared" si="406"/>
        <v>COSTI D'ESERCIZIO</v>
      </c>
      <c r="AE133" s="259" t="str">
        <f t="shared" si="407"/>
        <v>SE DARE</v>
      </c>
      <c r="AF133" s="259" t="str">
        <f t="shared" si="408"/>
        <v>COSTI PER SERVIZI</v>
      </c>
      <c r="AG133" s="259">
        <f t="shared" ca="1" si="409"/>
        <v>1</v>
      </c>
      <c r="AH133" s="259">
        <f t="shared" ca="1" si="410"/>
        <v>1</v>
      </c>
      <c r="AI133" s="259">
        <f t="shared" ca="1" si="411"/>
        <v>1</v>
      </c>
      <c r="AJ133" s="259" t="str">
        <f t="shared" si="412"/>
        <v>31</v>
      </c>
      <c r="AK133" s="259" t="str">
        <f t="shared" si="413"/>
        <v/>
      </c>
      <c r="AL133" s="259">
        <f>IF(AK133&lt;&gt;"",MAX($AL$2:AL132)+1,0)</f>
        <v>0</v>
      </c>
      <c r="AM133" s="259" t="str">
        <f>IFERROR(INDEX($AK$3:$AL$220,MATCH(ROWS($AM$3:AM133),$AL$3:$AL$220,0),1),"")</f>
        <v/>
      </c>
      <c r="AN133" s="259" t="str">
        <f t="shared" si="414"/>
        <v/>
      </c>
      <c r="AO133" s="259" t="str">
        <f t="shared" si="415"/>
        <v/>
      </c>
      <c r="AP133" s="259" t="str">
        <f t="shared" si="416"/>
        <v>COSTI PER SERVIZI</v>
      </c>
      <c r="AQ133" s="259">
        <f ca="1">IF(OR(AG133=0,AG133=""),0,MAX(AQ$2:AQ132)+1)</f>
        <v>72</v>
      </c>
      <c r="AR133" s="259">
        <f ca="1">IF(OR(AH133=0,AH133=""),0,MAX(AR$2:AR132)+1)</f>
        <v>97</v>
      </c>
      <c r="AS133" s="259">
        <f ca="1">IF(OR(AI133=0,AI133=""),0,MAX(AS$2:AS132)+1)</f>
        <v>127</v>
      </c>
      <c r="AT133" s="259" t="str">
        <f ca="1">IFERROR(INDEX($AD$3:$AS$220,MATCH(ROWS(AT$3:AT133),AQ$3:AQ$220,0),1),"")</f>
        <v/>
      </c>
      <c r="AU133" s="259" t="str">
        <f ca="1">IFERROR(INDEX($AD$3:$AS$220,MATCH(ROWS(AU$3:AU133),AR$3:AR$220,0),1),"")</f>
        <v/>
      </c>
      <c r="AV133" s="259" t="str">
        <f ca="1">IFERROR(INDEX($AD$3:$AS$220,MATCH(ROWS(AV$3:AV133),AS$3:AS$220,0),1),"")</f>
        <v>COSTI D'ESERCIZIO</v>
      </c>
      <c r="AW133" s="259" t="str">
        <f ca="1">IFERROR(INDEX($AP$3:$AS$220,MATCH(ROWS(AW$3:AW133),AQ$3:AQ$220,0),1),"")</f>
        <v/>
      </c>
      <c r="AX133" s="259" t="str">
        <f ca="1">IFERROR(INDEX($AP$3:$AS$220,MATCH(ROWS(AX$3:AX133),AR$3:AR$220,0),1),"")</f>
        <v/>
      </c>
      <c r="AY133" s="259" t="str">
        <f ca="1">IFERROR(INDEX($AP$3:$AS$220,MATCH(ROWS(AY$3:AY133),AS$3:AS$220,0),1),"")</f>
        <v>COSTI PER SERVIZI</v>
      </c>
      <c r="AZ133" s="259" t="str">
        <f t="shared" si="339"/>
        <v>31 V.I.</v>
      </c>
      <c r="BA133" s="259">
        <f t="shared" ca="1" si="338"/>
        <v>0</v>
      </c>
      <c r="BB133" s="259">
        <f t="shared" ca="1" si="340"/>
        <v>0</v>
      </c>
      <c r="BC133" s="259">
        <f t="shared" ca="1" si="341"/>
        <v>0</v>
      </c>
      <c r="BD133" s="259">
        <f t="shared" ca="1" si="342"/>
        <v>0</v>
      </c>
      <c r="BE133" s="259">
        <f t="shared" ca="1" si="343"/>
        <v>0</v>
      </c>
      <c r="BG133" s="259" t="str">
        <f t="shared" ca="1" si="368"/>
        <v/>
      </c>
      <c r="BH133" s="259">
        <f ca="1">IF(IFERROR(MATCH(BG133,DENOMINAZIONE_GIORNALE,0),0)&gt;0,MAX(BH$2:BH132)+1,0)</f>
        <v>0</v>
      </c>
      <c r="BI133" s="259" t="str">
        <f ca="1">IFERROR(INDEX($BG$3:$BH$220,MATCH(ROWS($BI$3:BI133),$BH$3:$BH$220,0),1),"")</f>
        <v/>
      </c>
      <c r="BJ133" s="259" t="str">
        <f t="shared" ca="1" si="369"/>
        <v/>
      </c>
      <c r="BK133" s="259" t="str">
        <f ca="1">IF(IF(BJ133&lt;&gt;"",MAX($BK$2:BK132)+1,0)=0,"",IF(BJ133&lt;&gt;"",MAX($BK$2:BK132)+1,0))</f>
        <v/>
      </c>
      <c r="BL133" s="259" t="str">
        <f ca="1">IFERROR(INDEX($T$3:$U$220, MATCH(ROWS(BL$3:BL133),$V$3:$V$220,0),1),"")</f>
        <v/>
      </c>
      <c r="BM133" s="259" t="str">
        <f ca="1">IFERROR(INDEX($T$3:$U$220, MATCH(ROWS(BM$3:BM133),$V$3:$V$220,0),2),"")</f>
        <v/>
      </c>
      <c r="BN133" s="259" t="str">
        <f ca="1">IF(IFERROR(INDEX($BI$3:$BJ$220,MATCH(ROWS(BN$3:BN133),$BK$3:$BK$220,0),1),"")="PATRIMONIO NETTO","",IFERROR(INDEX($BI$3:$BJ$220,MATCH(ROWS(BN$3:BN133),$BK$3:$BK$220,0),1),""))</f>
        <v/>
      </c>
      <c r="BO133" s="259" t="str">
        <f ca="1">IFERROR(INDEX($BI$3:$BJ$220,MATCH(ROWS(BO$3:BO133),$BK$3:$BK$220,0),2),"")</f>
        <v/>
      </c>
      <c r="BP133" s="259">
        <f ca="1">IF(BN133&lt;&gt;"",MAX(BP$2:$BP132)+1,0)</f>
        <v>0</v>
      </c>
      <c r="BQ133" s="259" t="str">
        <f ca="1">IFERROR(INDEX($BN$3:$BO$200,MATCH(ROWS(BQ$3:BQ133),$BP$3:$BP$220,0),1),"")</f>
        <v/>
      </c>
      <c r="BR133" s="259" t="str">
        <f ca="1">IFERROR(INDEX($BN$3:$BO$220,MATCH(ROWS(BR$3:BR133),$BP$3:$BP$220,0),2),"")</f>
        <v/>
      </c>
      <c r="BS133" s="259" t="str">
        <f ca="1">IFERROR(IF(OR(INDEX($T$3:$U$220,MATCH(ROWS(BL$3:BL133),$V$3:$V$220,0),1)="PRELEVAMENTI EXTRAGESTIONE",INDEX($T$3:$U$220,MATCH(ROWS(BL$3:BL133),$V$3:$V$220,0),1)="TITOLARE C/RITENUTE SUBITE"),"",INDEX($T$3:$U$220,MATCH(ROWS(BL$3:BL133),$V$3:$V$220,0),1)),"")</f>
        <v/>
      </c>
      <c r="BT133" s="259">
        <f t="shared" ca="1" si="417"/>
        <v>0</v>
      </c>
      <c r="BU133" s="259">
        <f ca="1">IF(BS133&lt;&gt;"",MAX(BU$2:BU132)+1,0)</f>
        <v>0</v>
      </c>
      <c r="BV133" s="259" t="str">
        <f ca="1">IFERROR(INDEX($BS$3:$BT$223,MATCH(ROWS(BV$3:BV133),$BU$3:$BU$223,0),1),"")</f>
        <v/>
      </c>
      <c r="BW133" s="259">
        <f t="shared" ca="1" si="418"/>
        <v>0</v>
      </c>
      <c r="CB133" s="259" t="str">
        <f ca="1">IFERROR(IF(OR($BB$1&lt;&gt;$BD$1,$BC$1&lt;&gt;$BE$1,$DS$231&lt;&gt;$DT$231,$DU$231&lt;&gt;$DV$231,$EO$25&lt;&gt;0,$EO$26&lt;&gt;0),INDEX($BI$3:$BK$220,MATCH(ROWS($CB$3:CB133),$BK$3:$BK$220,0),1),CONCATENATE(BQ133,BX133)),"")</f>
        <v/>
      </c>
      <c r="CC133" s="259" t="str">
        <f t="shared" ca="1" si="419"/>
        <v/>
      </c>
      <c r="CD133" s="259" t="str">
        <f t="shared" ca="1" si="370"/>
        <v>COSTI DI ETICHETTATURA</v>
      </c>
      <c r="CE133" s="259">
        <f ca="1">IF(IFERROR(MATCH(CD133,DENOMINAZIONE_GIORNALE,0),0)&gt;0,MAX(CE$2:CE132)+1,0)</f>
        <v>0</v>
      </c>
      <c r="CF133" s="259" t="str">
        <f ca="1">IFERROR(INDEX($CD$3:$CE$220,MATCH(ROWS($CF$3:CF133),$CE$3:$CE$220,0),1),"")</f>
        <v/>
      </c>
      <c r="CG133" s="259">
        <f t="shared" ca="1" si="371"/>
        <v>0</v>
      </c>
      <c r="CH133" s="259" t="str">
        <f ca="1">IF(IF(CG133&lt;&gt;0,MAX($CH$2:CH132)+1,0)=0,"",IF(CG133&lt;&gt;"",MAX($CH$2:CH132)+1,0))</f>
        <v/>
      </c>
      <c r="CI133" s="259" t="str">
        <f ca="1">IFERROR(INDEX($CF$3:$CG$220,MATCH(ROWS($CI$3:CI133),$CH$3:$CH$220,0),1),"")</f>
        <v/>
      </c>
      <c r="CJ133" s="259" t="str">
        <f t="shared" ca="1" si="420"/>
        <v/>
      </c>
      <c r="CK133" s="259" t="str">
        <f t="shared" ca="1" si="372"/>
        <v/>
      </c>
      <c r="CL133" s="259">
        <f ca="1">IF(IFERROR(MATCH(CK133,DENOMINAZIONE_GIORNALE,0),0)&gt;0,MAX(CL$2:CL132)+1,0)</f>
        <v>0</v>
      </c>
      <c r="CM133" s="259" t="str">
        <f ca="1">IFERROR(INDEX($CK$3:$CL$220,MATCH(ROWS($CM$3:CM133),$CL$3:$CL$220,0),1),"")</f>
        <v/>
      </c>
      <c r="CN133" s="259" t="str">
        <f t="shared" ca="1" si="373"/>
        <v/>
      </c>
      <c r="CO133" s="259">
        <f ca="1">IF(IF(CN133&lt;&gt;0,MAX($CO$2:CO132)+1,0)=0,"",IF(CN133&lt;&gt;"",MAX($CO$2:CO132)+1,0))</f>
        <v>0</v>
      </c>
      <c r="CP133" s="259" t="str">
        <f ca="1">IFERROR(INDEX($CM$3:$CN$220,MATCH(ROWS(CP$3:CP133),$CO$3:$CO$220,0),1),"")</f>
        <v/>
      </c>
      <c r="CQ133" s="259" t="str">
        <f ca="1">IFERROR(INDEX($CM$3:$CN$220,MATCH(ROWS(CQ$3:CQ133),$CO$3:$CO$220,0),2),"")</f>
        <v/>
      </c>
      <c r="CS133" s="259">
        <f t="shared" ca="1" si="374"/>
        <v>0</v>
      </c>
      <c r="CT133" s="259">
        <f t="shared" ca="1" si="375"/>
        <v>0</v>
      </c>
      <c r="CU133" s="259">
        <f ca="1">IF(OR(CS133&gt;0,CT133&gt;0),MAX($CU$2:CU132)+1,0)</f>
        <v>0</v>
      </c>
      <c r="CV133" s="259" t="str">
        <f ca="1">IFERROR(INDEX(PIANO_DEI_CONTI,MATCH(ROWS($CV$3:CV133),$CU$3:$CU$200,0),2),"")</f>
        <v/>
      </c>
      <c r="CW133" s="259">
        <f ca="1">IFERROR(IF(CV133&lt;&gt;"",MAX($CW$2:CW132)+1,0),0)</f>
        <v>0</v>
      </c>
      <c r="CX133" s="259">
        <f t="shared" ca="1" si="364"/>
        <v>8</v>
      </c>
      <c r="CY133" s="259" t="str">
        <f t="shared" ca="1" si="337"/>
        <v>MASTRO</v>
      </c>
      <c r="CZ133" s="259" t="e">
        <f t="shared" ca="1" si="376"/>
        <v>#N/A</v>
      </c>
      <c r="DA133" s="259" t="str">
        <f t="shared" ca="1" si="421"/>
        <v/>
      </c>
      <c r="DB133" s="259" t="str">
        <f t="shared" ca="1" si="377"/>
        <v/>
      </c>
      <c r="DC133" s="259" t="str">
        <f t="shared" ca="1" si="378"/>
        <v/>
      </c>
      <c r="DD133" s="259" t="str">
        <f t="shared" ca="1" si="379"/>
        <v/>
      </c>
      <c r="DE133" s="259" t="str">
        <f t="shared" ca="1" si="380"/>
        <v/>
      </c>
      <c r="DF133" s="259">
        <f ca="1">IF(AND(CX133=$DE$2,$DF$2&lt;&gt;0),0,IF(AND(DB133&lt;&gt;"",OR(DB132&lt;&gt;"",DB134&lt;&gt;"")),MAX($DF$2:DF132)+1,0))</f>
        <v>0</v>
      </c>
      <c r="DG133" s="259" t="str">
        <f>IF(IF(LIBRO_GIORNALE!E41="","",IFERROR(INDEX(PIANO_DEI_CONTI,MATCH(BB133,DENOMINAZIONE,0),1),0))=0,"",IF(LIBRO_GIORNALE!E41="","",IFERROR(INDEX(PIANO_DEI_CONTI,MATCH(BB133,DENOMINAZIONE,0),1),0)))</f>
        <v/>
      </c>
      <c r="DH133" s="259">
        <f ca="1">IFERROR(IF($J$1=1,IF(INDEX(PIANO_DEI_CONTI,MATCH($K133,DENOMINAZIONE,0),5)=$DF$1,MAX($DH$2:DH132)+1,0),IF($J$1=2,IF(INDEX(PIANO_DEI_CONTI,MATCH($K133,DENOMINAZIONE,0),7)=$DF$1,MAX($DH$2:DH132)+1,0))),0)</f>
        <v>0</v>
      </c>
      <c r="DI133" s="259">
        <f ca="1">IFERROR(INDEX($K$3:$K$220,MATCH(ROWS($DI$3:DI133),$DH$3:$DH$220,0),1),0)</f>
        <v>0</v>
      </c>
      <c r="DJ133" s="259">
        <f t="shared" ca="1" si="381"/>
        <v>0</v>
      </c>
      <c r="DK133" s="259">
        <f ca="1">IF(DJ133=0,0,MAX(DK$2:DK132)+1)</f>
        <v>0</v>
      </c>
      <c r="DL133" s="259">
        <f ca="1">IFERROR(INDEX(PIANO_DEI_CONTI,MATCH(ROWS(DL$3:DL133),$DK$3:DK360,0),2),0)</f>
        <v>0</v>
      </c>
      <c r="DM133" s="259">
        <f t="shared" ca="1" si="382"/>
        <v>0</v>
      </c>
      <c r="DN133" s="259">
        <f t="shared" ca="1" si="383"/>
        <v>0</v>
      </c>
      <c r="DO133" s="259">
        <f t="shared" ca="1" si="422"/>
        <v>0</v>
      </c>
      <c r="DP133" s="259">
        <f t="shared" ca="1" si="423"/>
        <v>0</v>
      </c>
      <c r="DQ133" s="259">
        <f ca="1">IF(OR($DQ$1="TOTALI",$DQ$1="TOTALI ED ECCEDENZE"),IF(OR(DM133&gt;0,DN133&gt;0),MAX(DQ$2:DQ132)+1,0),IF($DQ$1="ECCEDENZE",IF(OR(DO133&gt;0,DP133&gt;0),MAX(DQ$2:DQ132)+1,0),""))</f>
        <v>0</v>
      </c>
      <c r="DR133" s="259" t="str">
        <f ca="1">IFERROR(INDEX($DL$3:$DQ$230,MATCH(ROWS(DR$3:DR133),$DQ$3:$DQ$230,0),1),"")</f>
        <v/>
      </c>
      <c r="DS133" s="259" t="str">
        <f t="shared" ca="1" si="424"/>
        <v/>
      </c>
      <c r="DT133" s="259" t="str">
        <f t="shared" ca="1" si="425"/>
        <v/>
      </c>
      <c r="DU133" s="259" t="str">
        <f t="shared" ca="1" si="426"/>
        <v/>
      </c>
      <c r="DV133" s="259" t="str">
        <f t="shared" ca="1" si="427"/>
        <v/>
      </c>
      <c r="DW133" s="259">
        <f t="shared" ca="1" si="428"/>
        <v>0</v>
      </c>
      <c r="DX133" s="259" t="str">
        <f t="shared" ca="1" si="429"/>
        <v/>
      </c>
      <c r="DY133" s="259" t="str">
        <f t="shared" ca="1" si="430"/>
        <v/>
      </c>
      <c r="DZ133" s="259" t="str">
        <f t="shared" ca="1" si="431"/>
        <v/>
      </c>
      <c r="EB133" s="259" t="s">
        <v>369</v>
      </c>
      <c r="ED133" s="259">
        <f t="shared" ca="1" si="384"/>
        <v>0</v>
      </c>
      <c r="EH133" s="259" t="str">
        <f t="shared" ca="1" si="432"/>
        <v/>
      </c>
      <c r="EI133" s="260" t="b">
        <f t="shared" ref="EI133:EI196" ca="1" si="466">IF(INDIRECT(ADDRESS(ROW()+4,1,,,"PIANO_DEI_CONTI"))="X",TRUE,FALSE)</f>
        <v>0</v>
      </c>
      <c r="EJ133" s="260" t="b">
        <f t="shared" ref="EJ133:EJ196" ca="1" si="467">IF(INDIRECT(ADDRESS(ROW()+4,2,,,"PIANO_DEI_CONTI"))="X",TRUE,FALSE)</f>
        <v>1</v>
      </c>
      <c r="EK133" s="260" t="b">
        <f t="shared" ref="EK133:EK196" ca="1" si="468">IF(INDIRECT(ADDRESS(ROW()+4,3,,,"PIANO_DEI_CONTI"))="X",TRUE,FALSE)</f>
        <v>1</v>
      </c>
      <c r="EL133" s="259">
        <f t="shared" si="433"/>
        <v>131</v>
      </c>
      <c r="EM133" s="259">
        <f ca="1">IF(AND(BA133&gt;0,BA133&lt;=$EM$1),MAX($EM$2:EM132)+1,0)</f>
        <v>0</v>
      </c>
      <c r="EN133" s="259">
        <f t="shared" ca="1" si="434"/>
        <v>133</v>
      </c>
      <c r="EP133" s="259" t="str">
        <f t="shared" ca="1" si="385"/>
        <v/>
      </c>
      <c r="EQ133" s="259">
        <f t="shared" ca="1" si="386"/>
        <v>0</v>
      </c>
      <c r="ER133" s="259">
        <f ca="1">IF(ISNA(EQ133),MAX(ER$2:ER132)+1,0)</f>
        <v>0</v>
      </c>
      <c r="ES133" s="259" t="str">
        <f t="shared" ca="1" si="435"/>
        <v/>
      </c>
      <c r="ET133" s="259" t="str">
        <f ca="1">IFERROR(UPPER(INDEX($ER$3:$ES$500,MATCH(ROWS(ET$3:ET133),$ER$3:$ER$500,0),2)),"")</f>
        <v/>
      </c>
      <c r="EW133" s="259">
        <f t="shared" ca="1" si="344"/>
        <v>1</v>
      </c>
      <c r="EX133" s="259">
        <v>31</v>
      </c>
      <c r="EY133" s="259">
        <f t="shared" ca="1" si="345"/>
        <v>0</v>
      </c>
      <c r="EZ133" s="259">
        <f t="shared" ca="1" si="346"/>
        <v>0</v>
      </c>
      <c r="FA133" s="259">
        <f t="shared" ca="1" si="347"/>
        <v>0</v>
      </c>
      <c r="FB133" s="259">
        <f t="shared" ca="1" si="348"/>
        <v>0</v>
      </c>
      <c r="FC133" s="259">
        <f t="shared" ca="1" si="349"/>
        <v>0</v>
      </c>
      <c r="FD133" s="259">
        <f t="shared" ca="1" si="387"/>
        <v>0</v>
      </c>
      <c r="FE133" s="259" t="str">
        <f t="shared" ca="1" si="388"/>
        <v/>
      </c>
      <c r="FF133" s="259" t="str">
        <f t="shared" ca="1" si="350"/>
        <v/>
      </c>
      <c r="FM133" s="259">
        <f t="shared" ca="1" si="389"/>
        <v>0</v>
      </c>
      <c r="FN133" s="259">
        <f ca="1">IF(FM133&lt;0,MAX($FN$2:FN132)+1,0)</f>
        <v>0</v>
      </c>
      <c r="FO133" s="259" t="str">
        <f t="shared" ca="1" si="436"/>
        <v/>
      </c>
      <c r="FP133" s="259" t="str">
        <f ca="1">IFERROR(INDEX($FN$3:$FO$400,MATCH(ROWS($FP$3:FP133),$FN$3:$FN$400,0),2),"")</f>
        <v/>
      </c>
      <c r="FQ133" s="259" t="str">
        <f>IF(AE133="SE AVERE",MAX($FQ$2:FQ132)+1,"")</f>
        <v/>
      </c>
      <c r="FR133" s="259">
        <f>IF(AE133="SE DARE",MAX($FR$2:FR132)+1,"")</f>
        <v>38</v>
      </c>
      <c r="FS133" s="259" t="str">
        <f ca="1">IF(AND(AE133="SP DARE",AA133&lt;&gt;$FS$1,AA133&lt;&gt;$FT$1),MAX($FS$2:FS132)+1,IF(AND(GQ133="SP DARE",AA133&lt;&gt;$FS$1,AA133&lt;&gt;$FT$1),MAX($FS$2:FS132)+1,""))</f>
        <v/>
      </c>
      <c r="FT133" s="259" t="str">
        <f ca="1">IF(AND(AE133="SP AVERE",AA133&lt;&gt;$FU$1),MAX($FT$2:FT132)+1,IF(AND(GQ133="SP AVERE",AA133&lt;&gt;$FU$1),MAX($FT$2:FT132)+1,""))</f>
        <v/>
      </c>
      <c r="FU133" s="259">
        <f t="shared" ca="1" si="437"/>
        <v>38</v>
      </c>
      <c r="FV133" s="259" t="str">
        <f t="shared" si="438"/>
        <v>COSTI DI ETICHETTATURA</v>
      </c>
      <c r="FW133" s="259" t="str">
        <f ca="1">IFERROR(INDEX($FU$3:$FV$500,MATCH(ROWS($FW$3:FW133),$FU$3:$FU$500,0),2),0)</f>
        <v>RISCONTI ATTIVI</v>
      </c>
      <c r="FX133" s="259">
        <f t="shared" ca="1" si="439"/>
        <v>131</v>
      </c>
      <c r="FY133" s="259">
        <f t="shared" ca="1" si="440"/>
        <v>0</v>
      </c>
      <c r="FZ133" s="259">
        <f ca="1">IF(FY133&gt;0,MAX($FZ$2:FZ132)+1,0)</f>
        <v>0</v>
      </c>
      <c r="GA133" s="259">
        <f ca="1">IFERROR(INDEX($FY$3:$FZ$500,MATCH(ROWS($GA$3:GA133),$FZ$3:$FZ$500,0),1),0)</f>
        <v>0</v>
      </c>
      <c r="GC133" s="259">
        <f t="shared" ca="1" si="441"/>
        <v>131</v>
      </c>
      <c r="GD133" s="259" t="str">
        <f t="shared" ca="1" si="442"/>
        <v>RISCONTI ATTIVI</v>
      </c>
      <c r="GG133" s="259">
        <f t="shared" ca="1" si="443"/>
        <v>0</v>
      </c>
      <c r="GH133" s="259">
        <f t="shared" ca="1" si="444"/>
        <v>0</v>
      </c>
      <c r="GI133" s="259">
        <f t="shared" ca="1" si="445"/>
        <v>0</v>
      </c>
      <c r="GJ133" s="259">
        <f t="shared" ca="1" si="446"/>
        <v>0</v>
      </c>
      <c r="GK133" s="259">
        <f t="shared" ca="1" si="447"/>
        <v>0</v>
      </c>
      <c r="GL133" s="259">
        <f t="shared" ca="1" si="447"/>
        <v>0</v>
      </c>
      <c r="GM133" s="259">
        <f ca="1">IF(OR(GK133&gt;0,GL133&gt;0),MAX($GM$2:GM132)+1,0)</f>
        <v>0</v>
      </c>
      <c r="GN133" s="259" t="str">
        <f ca="1">IFERROR(INDEX($GD$3:$GM$400,MATCH(ROWS($GN$3:GN133),$GM$3:$GM$400,0),1),"")</f>
        <v/>
      </c>
      <c r="GO133" s="259" t="str">
        <f ca="1">IFERROR(INDEX($GD$3:$GM$400,MATCH(ROWS($GO$3:GO133),$GM$3:$GM$400,0),8),"")</f>
        <v/>
      </c>
      <c r="GP133" s="259" t="str">
        <f ca="1">IFERROR(INDEX($GD$3:$GM$400,MATCH(ROWS($GP$3:GP133),$GM$3:$GM$400,0),9),"")</f>
        <v/>
      </c>
      <c r="GQ133" s="259">
        <f t="shared" ca="1" si="390"/>
        <v>0</v>
      </c>
      <c r="GR133" s="259">
        <f t="shared" ca="1" si="448"/>
        <v>0</v>
      </c>
      <c r="GS133" s="259" t="str">
        <f t="shared" ca="1" si="449"/>
        <v>chiusura del conto</v>
      </c>
      <c r="GT133" s="259" t="str">
        <f ca="1">IFERROR(INDEX($GD$3:$GS$400,MATCH(ROWS($GT$3:GT133),$GM$3:$GM$400,0),16),"")</f>
        <v/>
      </c>
      <c r="GU133" s="259">
        <f ca="1">IF(GQ133&lt;&gt;0,MAX($GU$2:$GU132)+1,0)</f>
        <v>0</v>
      </c>
      <c r="GV133" s="259">
        <f t="shared" ca="1" si="450"/>
        <v>0</v>
      </c>
      <c r="GW133" s="259" t="str">
        <f ca="1">IF(AND(IFERROR(INDEX($GU$3:$GV$400,MATCH(ROWS($GW$3:GW133),$GU$3:$GU$400,0),2),"")&lt;&gt;"",GW134&lt;&gt;""),CONCATENATE(IFERROR(INDEX($GU$3:$GV$400,MATCH(ROWS($GW$3:GW133),$GU$3:$GU$400,0),2),"")," - "),IFERROR(INDEX($GU$3:$GV$400,MATCH(ROWS($GW$3:GW133),$GU$3:$GU$400,0),2),""))</f>
        <v/>
      </c>
      <c r="GX133" s="259">
        <f ca="1">IF(OR(GN133="IVA NS/CREDITO",GN133="IVA NS/DEBITO",GN133="IVA C/ACCONTO",GN133="IMPOSTE C/ACCONTO"),MAX($GX$2:GX132)+1,0)</f>
        <v>0</v>
      </c>
      <c r="GY133" s="259" t="str">
        <f ca="1">IF(AND(IFERROR(INDEX($GN$3:$GX$200,MATCH(ROWS($GY$3:GY133),$GX$3:$GX$200,0),1),"")&lt;&gt;"",GY134&lt;&gt;""),CONCATENATE(IFERROR(INDEX($GN$3:$GX$200,MATCH(ROWS($GY$3:GY133),$GX$3:$GX$200,0),1),"")," - "),IFERROR(INDEX($GN$3:$GX$200,MATCH(ROWS($GY$3:GY133),$GX$3:$GX$200,0),1),""))</f>
        <v/>
      </c>
      <c r="GZ133" s="259" t="s">
        <v>658</v>
      </c>
      <c r="HA133" s="259" t="s">
        <v>478</v>
      </c>
      <c r="HB133" s="269" t="s">
        <v>256</v>
      </c>
      <c r="HC133" s="269" t="s">
        <v>211</v>
      </c>
      <c r="HD133" s="269" t="s">
        <v>8</v>
      </c>
      <c r="HE133" s="269" t="s">
        <v>213</v>
      </c>
      <c r="HV133" s="259" t="str">
        <f ca="1">CONCATENATE(IFERROR(INDEX($HS$3:$HT$102,MATCH(ROWS($HV$3:HV133),$HT$3:$HT$102,0),1),""),HR133)</f>
        <v/>
      </c>
      <c r="IC133" s="259">
        <f ca="1">IFERROR(INDEX(PIANO_DEI_CONTI,MATCH(ROWS(DL$3:DL133),$DK$3:DK360,0),2),0)</f>
        <v>0</v>
      </c>
      <c r="ID133" s="259">
        <f t="shared" ca="1" si="451"/>
        <v>0</v>
      </c>
      <c r="IE133" s="259">
        <f t="shared" ca="1" si="452"/>
        <v>0</v>
      </c>
      <c r="IF133" s="259">
        <f t="shared" ca="1" si="453"/>
        <v>0</v>
      </c>
      <c r="IG133" s="259">
        <f t="shared" ca="1" si="324"/>
        <v>0</v>
      </c>
      <c r="IH133" s="259">
        <f ca="1">IF(IG133&lt;&gt;0,MAX($IH$35:IH132)+1,0)</f>
        <v>0</v>
      </c>
      <c r="II133" s="259">
        <f>IF(AD133="costi pluriennali",MAX($II$2:II132)+1,0)</f>
        <v>0</v>
      </c>
      <c r="IJ133" s="259">
        <f>IF($AD133="rettifiche costi pluriennali",MAX($IJ$2:IJ132)+1,0)</f>
        <v>0</v>
      </c>
      <c r="IK133" s="259">
        <f t="shared" si="454"/>
        <v>0</v>
      </c>
      <c r="IL133" s="259" t="str">
        <f t="shared" si="455"/>
        <v/>
      </c>
      <c r="IM133" s="259">
        <f t="shared" ca="1" si="456"/>
        <v>0</v>
      </c>
      <c r="IN133" s="259">
        <f t="shared" ca="1" si="313"/>
        <v>0</v>
      </c>
      <c r="IO133" s="259">
        <f>SUMIFS($IM$3:$IM$200,$IK$3:$IK$200,ROWS($IO$3:IO133))-SUMIFS($IN$3:$IN$200,$IK$3:$IK$200,ROWS($IO$3:IO133))</f>
        <v>0</v>
      </c>
      <c r="IP133" s="259" t="str">
        <f>IF(IO133&lt;0,INDEX($IJ$3:$IL$200,MATCH(ROWS($IP$3:IP133),$IJ$3:$IJ$200,0),3),"")</f>
        <v/>
      </c>
      <c r="IQ133" s="259">
        <f>IF(IP133&lt;&gt;"",MAX($IQ$2:IQ132)+1,0)</f>
        <v>0</v>
      </c>
      <c r="IR133" s="259" t="str">
        <f ca="1">IFERROR(INDEX($IP$3:$IQ$200,MATCH(ROWS($IR$3:IR133),$IQ$3:$IQ$200,0),1),"")</f>
        <v/>
      </c>
      <c r="IS133" s="259" t="str">
        <f t="shared" ca="1" si="457"/>
        <v/>
      </c>
      <c r="IT133" s="259" t="str">
        <f t="shared" ca="1" si="458"/>
        <v/>
      </c>
      <c r="IU133" s="259" t="str">
        <f t="shared" ca="1" si="459"/>
        <v/>
      </c>
      <c r="IV133" s="259" t="str">
        <f t="shared" ca="1" si="460"/>
        <v/>
      </c>
      <c r="IW133" s="259" t="str">
        <f t="shared" ca="1" si="461"/>
        <v/>
      </c>
      <c r="IX133" s="259" t="str">
        <f t="shared" ca="1" si="462"/>
        <v/>
      </c>
      <c r="IY133" s="259" t="str">
        <f t="shared" ca="1" si="463"/>
        <v/>
      </c>
      <c r="IZ133" s="259" t="str">
        <f t="shared" ca="1" si="464"/>
        <v/>
      </c>
      <c r="JA133" s="259" t="str">
        <f t="shared" ca="1" si="465"/>
        <v/>
      </c>
      <c r="JB133" s="259">
        <f t="shared" ca="1" si="391"/>
        <v>0</v>
      </c>
      <c r="JC133" s="259">
        <f t="shared" ca="1" si="351"/>
        <v>0</v>
      </c>
      <c r="JD133" s="259">
        <f t="shared" ca="1" si="352"/>
        <v>0</v>
      </c>
      <c r="JM133" s="259">
        <f t="shared" ca="1" si="353"/>
        <v>0</v>
      </c>
    </row>
    <row r="134" spans="1:273">
      <c r="A134" s="259" t="str">
        <f t="shared" si="392"/>
        <v>20.30</v>
      </c>
      <c r="B134" s="259" t="str">
        <f t="shared" si="393"/>
        <v>RIMBORSI COSTI DI VENDITA</v>
      </c>
      <c r="C134" s="259" t="str">
        <f t="shared" si="394"/>
        <v>E</v>
      </c>
      <c r="D134" s="259" t="str">
        <f t="shared" si="395"/>
        <v>A</v>
      </c>
      <c r="E134" s="259" t="str">
        <f t="shared" si="396"/>
        <v>RICAVI D'ESERCIZIO</v>
      </c>
      <c r="F134" s="259" t="str">
        <f t="shared" si="397"/>
        <v>SE AVERE</v>
      </c>
      <c r="G134" s="259">
        <f t="shared" ca="1" si="398"/>
        <v>1</v>
      </c>
      <c r="H134" s="259">
        <f t="shared" ca="1" si="399"/>
        <v>1</v>
      </c>
      <c r="I134" s="259">
        <f t="shared" ca="1" si="400"/>
        <v>1</v>
      </c>
      <c r="K134" s="259" t="str">
        <f ca="1">IFERROR(IF($I$1=1,INDEX($AA$3:$AS$220,MATCH(ROWS($K$3:K134),$AQ$3:$AQ$220,0),1),IF($I$1=2,INDEX($AA$3:$AS$220,MATCH(ROWS($K$3:K134),$AR$3:$AR$220,0),1),IF($I$1=3,INDEX($AA$3:$AS$220,MATCH(ROWS($K$3:K134),$AS$3:$AS$220,0),1),""))),"")</f>
        <v>COSTI PER SERVIZI</v>
      </c>
      <c r="L134" s="259">
        <f ca="1">IF(AND($L$1="VISUALIZZA TUTTI I CONTI",K134&lt;&gt;""),MAX(L133:L133)+1,IFERROR(IF($J$1=1,IF(INDEX(PIANO_DEI_CONTI,MATCH($K134,DENOMINAZIONE,0),5)=$L$1,MAX($L$2:L133)+1,0),IF($J$1=2,IF(INDEX(PIANO_DEI_CONTI,MATCH($K134,DENOMINAZIONE,0),7)=$L$1,MAX($L$2:L133)+1,0))),0))</f>
        <v>132</v>
      </c>
      <c r="M134" s="259" t="str">
        <f ca="1">IFERROR(INDEX($K$3:$K$220,MATCH(ROWS($M$3:M134),$L$3:$L$220,0),1),"")</f>
        <v>COSTI PER SERVIZI</v>
      </c>
      <c r="Q134" s="259" t="str">
        <f ca="1">IF(IFERROR(INDEX($O$3:$P$220,MATCH(ROWS(Q$3:Q134),$P$3:$P$220,0),1),"")=0,"",IFERROR(INDEX($O$3:$P$220,MATCH(ROWS(Q$3:Q134),$P$3:$P$220,0),1),""))</f>
        <v/>
      </c>
      <c r="R134" s="259" t="str">
        <f t="shared" ca="1" si="366"/>
        <v/>
      </c>
      <c r="S134" s="259">
        <f ca="1">IF(IFERROR(MATCH(R134,DENOMINAZIONE_GIORNALE,0),0)&gt;0,MAX(S$2:S133)+1,0)</f>
        <v>0</v>
      </c>
      <c r="T134" s="259" t="str">
        <f ca="1">IFERROR(INDEX($R$3:$S$220,MATCH(ROWS($T$3:T134),$S$3:$S$220,0),1),"")</f>
        <v/>
      </c>
      <c r="U134" s="259">
        <f t="shared" ca="1" si="367"/>
        <v>0</v>
      </c>
      <c r="V134" s="259">
        <f ca="1">IF(IF(U134&lt;&gt;0,MAX($V$2:V133)+1,0)=0,0,IF(U134&lt;&gt;0,MAX($V$2:V133)+1,0))</f>
        <v>0</v>
      </c>
      <c r="W134" s="259" t="str">
        <f t="shared" si="401"/>
        <v>20.30</v>
      </c>
      <c r="X134" s="259" t="str">
        <f t="shared" si="402"/>
        <v>RIMBORSI COSTI DI VENDITA</v>
      </c>
      <c r="Y134" s="259">
        <f>IF(W134="",0,MAX($Y$2:Y133)+1)</f>
        <v>114</v>
      </c>
      <c r="Z134" s="259" t="str">
        <f>IFERROR(INDEX($W$3:$Y$220,MATCH(ROWS($Z$2:Z133),$Y$3:$Y$220,0),1),"")</f>
        <v>31.13</v>
      </c>
      <c r="AA134" s="259" t="str">
        <f t="shared" si="403"/>
        <v>PROVVIGIONI PASSIVE</v>
      </c>
      <c r="AB134" s="259" t="str">
        <f t="shared" si="404"/>
        <v>E</v>
      </c>
      <c r="AC134" s="259" t="str">
        <f t="shared" si="405"/>
        <v>D</v>
      </c>
      <c r="AD134" s="259" t="str">
        <f t="shared" si="406"/>
        <v>COSTI D'ESERCIZIO</v>
      </c>
      <c r="AE134" s="259" t="str">
        <f t="shared" si="407"/>
        <v>SE DARE</v>
      </c>
      <c r="AF134" s="259" t="str">
        <f t="shared" si="408"/>
        <v>COSTI PER SERVIZI</v>
      </c>
      <c r="AG134" s="259">
        <f t="shared" ca="1" si="409"/>
        <v>1</v>
      </c>
      <c r="AH134" s="259">
        <f t="shared" ca="1" si="410"/>
        <v>1</v>
      </c>
      <c r="AI134" s="259">
        <f t="shared" ca="1" si="411"/>
        <v>1</v>
      </c>
      <c r="AJ134" s="259" t="str">
        <f t="shared" si="412"/>
        <v>31</v>
      </c>
      <c r="AK134" s="259" t="str">
        <f t="shared" si="413"/>
        <v/>
      </c>
      <c r="AL134" s="259">
        <f>IF(AK134&lt;&gt;"",MAX($AL$2:AL133)+1,0)</f>
        <v>0</v>
      </c>
      <c r="AM134" s="259" t="str">
        <f>IFERROR(INDEX($AK$3:$AL$220,MATCH(ROWS($AM$3:AM134),$AL$3:$AL$220,0),1),"")</f>
        <v/>
      </c>
      <c r="AN134" s="259" t="str">
        <f t="shared" si="414"/>
        <v/>
      </c>
      <c r="AO134" s="259" t="str">
        <f t="shared" si="415"/>
        <v/>
      </c>
      <c r="AP134" s="259" t="str">
        <f t="shared" si="416"/>
        <v>COSTI PER SERVIZI</v>
      </c>
      <c r="AQ134" s="259">
        <f ca="1">IF(OR(AG134=0,AG134=""),0,MAX(AQ$2:AQ133)+1)</f>
        <v>73</v>
      </c>
      <c r="AR134" s="259">
        <f ca="1">IF(OR(AH134=0,AH134=""),0,MAX(AR$2:AR133)+1)</f>
        <v>98</v>
      </c>
      <c r="AS134" s="259">
        <f ca="1">IF(OR(AI134=0,AI134=""),0,MAX(AS$2:AS133)+1)</f>
        <v>128</v>
      </c>
      <c r="AT134" s="259" t="str">
        <f ca="1">IFERROR(INDEX($AD$3:$AS$220,MATCH(ROWS(AT$3:AT134),AQ$3:AQ$220,0),1),"")</f>
        <v/>
      </c>
      <c r="AU134" s="259" t="str">
        <f ca="1">IFERROR(INDEX($AD$3:$AS$220,MATCH(ROWS(AU$3:AU134),AR$3:AR$220,0),1),"")</f>
        <v/>
      </c>
      <c r="AV134" s="259" t="str">
        <f ca="1">IFERROR(INDEX($AD$3:$AS$220,MATCH(ROWS(AV$3:AV134),AS$3:AS$220,0),1),"")</f>
        <v>COSTI D'ESERCIZIO</v>
      </c>
      <c r="AW134" s="259" t="str">
        <f ca="1">IFERROR(INDEX($AP$3:$AS$220,MATCH(ROWS(AW$3:AW134),AQ$3:AQ$220,0),1),"")</f>
        <v/>
      </c>
      <c r="AX134" s="259" t="str">
        <f ca="1">IFERROR(INDEX($AP$3:$AS$220,MATCH(ROWS(AX$3:AX134),AR$3:AR$220,0),1),"")</f>
        <v/>
      </c>
      <c r="AY134" s="259" t="str">
        <f ca="1">IFERROR(INDEX($AP$3:$AS$220,MATCH(ROWS(AY$3:AY134),AS$3:AS$220,0),1),"")</f>
        <v>COSTI PER SERVIZI</v>
      </c>
      <c r="AZ134" s="259" t="str">
        <f t="shared" si="339"/>
        <v>32 V.I.</v>
      </c>
      <c r="BA134" s="259">
        <f t="shared" ca="1" si="338"/>
        <v>0</v>
      </c>
      <c r="BB134" s="259">
        <f t="shared" ca="1" si="340"/>
        <v>0</v>
      </c>
      <c r="BC134" s="259">
        <f t="shared" ca="1" si="341"/>
        <v>0</v>
      </c>
      <c r="BD134" s="259">
        <f t="shared" ca="1" si="342"/>
        <v>0</v>
      </c>
      <c r="BE134" s="259">
        <f t="shared" ca="1" si="343"/>
        <v>0</v>
      </c>
      <c r="BG134" s="259" t="str">
        <f t="shared" ca="1" si="368"/>
        <v/>
      </c>
      <c r="BH134" s="259">
        <f ca="1">IF(IFERROR(MATCH(BG134,DENOMINAZIONE_GIORNALE,0),0)&gt;0,MAX(BH$2:BH133)+1,0)</f>
        <v>0</v>
      </c>
      <c r="BI134" s="259" t="str">
        <f ca="1">IFERROR(INDEX($BG$3:$BH$220,MATCH(ROWS($BI$3:BI134),$BH$3:$BH$220,0),1),"")</f>
        <v/>
      </c>
      <c r="BJ134" s="259" t="str">
        <f t="shared" ca="1" si="369"/>
        <v/>
      </c>
      <c r="BK134" s="259" t="str">
        <f ca="1">IF(IF(BJ134&lt;&gt;"",MAX($BK$2:BK133)+1,0)=0,"",IF(BJ134&lt;&gt;"",MAX($BK$2:BK133)+1,0))</f>
        <v/>
      </c>
      <c r="BL134" s="259" t="str">
        <f ca="1">IFERROR(INDEX($T$3:$U$220, MATCH(ROWS(BL$3:BL134),$V$3:$V$220,0),1),"")</f>
        <v/>
      </c>
      <c r="BM134" s="259" t="str">
        <f ca="1">IFERROR(INDEX($T$3:$U$220, MATCH(ROWS(BM$3:BM134),$V$3:$V$220,0),2),"")</f>
        <v/>
      </c>
      <c r="BN134" s="259" t="str">
        <f ca="1">IF(IFERROR(INDEX($BI$3:$BJ$220,MATCH(ROWS(BN$3:BN134),$BK$3:$BK$220,0),1),"")="PATRIMONIO NETTO","",IFERROR(INDEX($BI$3:$BJ$220,MATCH(ROWS(BN$3:BN134),$BK$3:$BK$220,0),1),""))</f>
        <v/>
      </c>
      <c r="BO134" s="259" t="str">
        <f ca="1">IFERROR(INDEX($BI$3:$BJ$220,MATCH(ROWS(BO$3:BO134),$BK$3:$BK$220,0),2),"")</f>
        <v/>
      </c>
      <c r="BP134" s="259">
        <f ca="1">IF(BN134&lt;&gt;"",MAX(BP$2:$BP133)+1,0)</f>
        <v>0</v>
      </c>
      <c r="BQ134" s="259" t="str">
        <f ca="1">IFERROR(INDEX($BN$3:$BO$200,MATCH(ROWS(BQ$3:BQ134),$BP$3:$BP$220,0),1),"")</f>
        <v/>
      </c>
      <c r="BR134" s="259" t="str">
        <f ca="1">IFERROR(INDEX($BN$3:$BO$220,MATCH(ROWS(BR$3:BR134),$BP$3:$BP$220,0),2),"")</f>
        <v/>
      </c>
      <c r="BS134" s="259" t="str">
        <f ca="1">IFERROR(IF(OR(INDEX($T$3:$U$220,MATCH(ROWS(BL$3:BL134),$V$3:$V$220,0),1)="PRELEVAMENTI EXTRAGESTIONE",INDEX($T$3:$U$220,MATCH(ROWS(BL$3:BL134),$V$3:$V$220,0),1)="TITOLARE C/RITENUTE SUBITE"),"",INDEX($T$3:$U$220,MATCH(ROWS(BL$3:BL134),$V$3:$V$220,0),1)),"")</f>
        <v/>
      </c>
      <c r="BT134" s="259">
        <f t="shared" ca="1" si="417"/>
        <v>0</v>
      </c>
      <c r="BU134" s="259">
        <f ca="1">IF(BS134&lt;&gt;"",MAX(BU$2:BU133)+1,0)</f>
        <v>0</v>
      </c>
      <c r="BV134" s="259" t="str">
        <f ca="1">IFERROR(INDEX($BS$3:$BT$223,MATCH(ROWS(BV$3:BV134),$BU$3:$BU$223,0),1),"")</f>
        <v/>
      </c>
      <c r="BW134" s="259">
        <f t="shared" ca="1" si="418"/>
        <v>0</v>
      </c>
      <c r="CB134" s="259" t="str">
        <f ca="1">IFERROR(IF(OR($BB$1&lt;&gt;$BD$1,$BC$1&lt;&gt;$BE$1,$DS$231&lt;&gt;$DT$231,$DU$231&lt;&gt;$DV$231,$EO$25&lt;&gt;0,$EO$26&lt;&gt;0),INDEX($BI$3:$BK$220,MATCH(ROWS($CB$3:CB134),$BK$3:$BK$220,0),1),CONCATENATE(BQ134,BX134)),"")</f>
        <v/>
      </c>
      <c r="CC134" s="259" t="str">
        <f t="shared" ca="1" si="419"/>
        <v/>
      </c>
      <c r="CD134" s="259" t="str">
        <f t="shared" ca="1" si="370"/>
        <v>PROVVIGIONI PASSIVE</v>
      </c>
      <c r="CE134" s="259">
        <f ca="1">IF(IFERROR(MATCH(CD134,DENOMINAZIONE_GIORNALE,0),0)&gt;0,MAX(CE$2:CE133)+1,0)</f>
        <v>0</v>
      </c>
      <c r="CF134" s="259" t="str">
        <f ca="1">IFERROR(INDEX($CD$3:$CE$220,MATCH(ROWS($CF$3:CF134),$CE$3:$CE$220,0),1),"")</f>
        <v/>
      </c>
      <c r="CG134" s="259">
        <f t="shared" ca="1" si="371"/>
        <v>0</v>
      </c>
      <c r="CH134" s="259" t="str">
        <f ca="1">IF(IF(CG134&lt;&gt;0,MAX($CH$2:CH133)+1,0)=0,"",IF(CG134&lt;&gt;"",MAX($CH$2:CH133)+1,0))</f>
        <v/>
      </c>
      <c r="CI134" s="259" t="str">
        <f ca="1">IFERROR(INDEX($CF$3:$CG$220,MATCH(ROWS($CI$3:CI134),$CH$3:$CH$220,0),1),"")</f>
        <v/>
      </c>
      <c r="CJ134" s="259" t="str">
        <f t="shared" ca="1" si="420"/>
        <v/>
      </c>
      <c r="CK134" s="259" t="str">
        <f t="shared" ca="1" si="372"/>
        <v/>
      </c>
      <c r="CL134" s="259">
        <f ca="1">IF(IFERROR(MATCH(CK134,DENOMINAZIONE_GIORNALE,0),0)&gt;0,MAX(CL$2:CL133)+1,0)</f>
        <v>0</v>
      </c>
      <c r="CM134" s="259" t="str">
        <f ca="1">IFERROR(INDEX($CK$3:$CL$220,MATCH(ROWS($CM$3:CM134),$CL$3:$CL$220,0),1),"")</f>
        <v/>
      </c>
      <c r="CN134" s="259" t="str">
        <f t="shared" ca="1" si="373"/>
        <v/>
      </c>
      <c r="CO134" s="259">
        <f ca="1">IF(IF(CN134&lt;&gt;0,MAX($CO$2:CO133)+1,0)=0,"",IF(CN134&lt;&gt;"",MAX($CO$2:CO133)+1,0))</f>
        <v>0</v>
      </c>
      <c r="CP134" s="259" t="str">
        <f ca="1">IFERROR(INDEX($CM$3:$CN$220,MATCH(ROWS(CP$3:CP134),$CO$3:$CO$220,0),1),"")</f>
        <v/>
      </c>
      <c r="CQ134" s="259" t="str">
        <f ca="1">IFERROR(INDEX($CM$3:$CN$220,MATCH(ROWS(CQ$3:CQ134),$CO$3:$CO$220,0),2),"")</f>
        <v/>
      </c>
      <c r="CS134" s="259">
        <f t="shared" ca="1" si="374"/>
        <v>0</v>
      </c>
      <c r="CT134" s="259">
        <f t="shared" ca="1" si="375"/>
        <v>0</v>
      </c>
      <c r="CU134" s="259">
        <f ca="1">IF(OR(CS134&gt;0,CT134&gt;0),MAX($CU$2:CU133)+1,0)</f>
        <v>0</v>
      </c>
      <c r="CV134" s="259" t="str">
        <f ca="1">IFERROR(INDEX(PIANO_DEI_CONTI,MATCH(ROWS($CV$3:CV134),$CU$3:$CU$200,0),2),"")</f>
        <v/>
      </c>
      <c r="CW134" s="259">
        <f ca="1">IFERROR(IF(CV134&lt;&gt;"",MAX($CW$2:CW133)+1,0),0)</f>
        <v>0</v>
      </c>
      <c r="CX134" s="259">
        <f t="shared" ca="1" si="364"/>
        <v>8</v>
      </c>
      <c r="CY134" s="259" t="str">
        <f t="shared" ca="1" si="337"/>
        <v>MASTRO</v>
      </c>
      <c r="CZ134" s="259" t="e">
        <f t="shared" ca="1" si="376"/>
        <v>#N/A</v>
      </c>
      <c r="DA134" s="259" t="str">
        <f t="shared" ca="1" si="421"/>
        <v/>
      </c>
      <c r="DB134" s="259" t="str">
        <f t="shared" ca="1" si="377"/>
        <v/>
      </c>
      <c r="DC134" s="259" t="str">
        <f t="shared" ca="1" si="378"/>
        <v/>
      </c>
      <c r="DD134" s="259" t="str">
        <f t="shared" ca="1" si="379"/>
        <v/>
      </c>
      <c r="DE134" s="259" t="str">
        <f t="shared" ca="1" si="380"/>
        <v/>
      </c>
      <c r="DF134" s="259">
        <f ca="1">IF(AND(CX134=$DE$2,$DF$2&lt;&gt;0),0,IF(AND(DB134&lt;&gt;"",OR(DB133&lt;&gt;"",DB135&lt;&gt;"")),MAX($DF$2:DF133)+1,0))</f>
        <v>0</v>
      </c>
      <c r="DG134" s="259" t="str">
        <f>IF(IF(LIBRO_GIORNALE!E42="","",IFERROR(INDEX(PIANO_DEI_CONTI,MATCH(BB134,DENOMINAZIONE,0),1),0))=0,"",IF(LIBRO_GIORNALE!E42="","",IFERROR(INDEX(PIANO_DEI_CONTI,MATCH(BB134,DENOMINAZIONE,0),1),0)))</f>
        <v/>
      </c>
      <c r="DH134" s="259">
        <f ca="1">IFERROR(IF($J$1=1,IF(INDEX(PIANO_DEI_CONTI,MATCH($K134,DENOMINAZIONE,0),5)=$DF$1,MAX($DH$2:DH133)+1,0),IF($J$1=2,IF(INDEX(PIANO_DEI_CONTI,MATCH($K134,DENOMINAZIONE,0),7)=$DF$1,MAX($DH$2:DH133)+1,0))),0)</f>
        <v>0</v>
      </c>
      <c r="DI134" s="259">
        <f ca="1">IFERROR(INDEX($K$3:$K$220,MATCH(ROWS($DI$3:DI134),$DH$3:$DH$220,0),1),0)</f>
        <v>0</v>
      </c>
      <c r="DJ134" s="259">
        <f t="shared" ca="1" si="381"/>
        <v>0</v>
      </c>
      <c r="DK134" s="259">
        <f ca="1">IF(DJ134=0,0,MAX(DK$2:DK133)+1)</f>
        <v>0</v>
      </c>
      <c r="DL134" s="259">
        <f ca="1">IFERROR(INDEX(PIANO_DEI_CONTI,MATCH(ROWS(DL$3:DL134),$DK$3:DK361,0),2),0)</f>
        <v>0</v>
      </c>
      <c r="DM134" s="259">
        <f t="shared" ca="1" si="382"/>
        <v>0</v>
      </c>
      <c r="DN134" s="259">
        <f t="shared" ca="1" si="383"/>
        <v>0</v>
      </c>
      <c r="DO134" s="259">
        <f t="shared" ca="1" si="422"/>
        <v>0</v>
      </c>
      <c r="DP134" s="259">
        <f t="shared" ca="1" si="423"/>
        <v>0</v>
      </c>
      <c r="DQ134" s="259">
        <f ca="1">IF(OR($DQ$1="TOTALI",$DQ$1="TOTALI ED ECCEDENZE"),IF(OR(DM134&gt;0,DN134&gt;0),MAX(DQ$2:DQ133)+1,0),IF($DQ$1="ECCEDENZE",IF(OR(DO134&gt;0,DP134&gt;0),MAX(DQ$2:DQ133)+1,0),""))</f>
        <v>0</v>
      </c>
      <c r="DR134" s="259" t="str">
        <f ca="1">IFERROR(INDEX($DL$3:$DQ$230,MATCH(ROWS(DR$3:DR134),$DQ$3:$DQ$230,0),1),"")</f>
        <v/>
      </c>
      <c r="DS134" s="259" t="str">
        <f t="shared" ca="1" si="424"/>
        <v/>
      </c>
      <c r="DT134" s="259" t="str">
        <f t="shared" ca="1" si="425"/>
        <v/>
      </c>
      <c r="DU134" s="259" t="str">
        <f t="shared" ca="1" si="426"/>
        <v/>
      </c>
      <c r="DV134" s="259" t="str">
        <f t="shared" ca="1" si="427"/>
        <v/>
      </c>
      <c r="DW134" s="259">
        <f t="shared" ca="1" si="428"/>
        <v>0</v>
      </c>
      <c r="DX134" s="259" t="str">
        <f t="shared" ca="1" si="429"/>
        <v/>
      </c>
      <c r="DY134" s="259" t="str">
        <f t="shared" ca="1" si="430"/>
        <v/>
      </c>
      <c r="DZ134" s="259" t="str">
        <f t="shared" ca="1" si="431"/>
        <v/>
      </c>
      <c r="EB134" s="259" t="s">
        <v>369</v>
      </c>
      <c r="ED134" s="259">
        <f t="shared" ca="1" si="384"/>
        <v>0</v>
      </c>
      <c r="EH134" s="259" t="str">
        <f t="shared" ca="1" si="432"/>
        <v/>
      </c>
      <c r="EI134" s="260" t="b">
        <f t="shared" ca="1" si="466"/>
        <v>1</v>
      </c>
      <c r="EJ134" s="260" t="b">
        <f t="shared" ca="1" si="467"/>
        <v>1</v>
      </c>
      <c r="EK134" s="260" t="b">
        <f t="shared" ca="1" si="468"/>
        <v>1</v>
      </c>
      <c r="EL134" s="259">
        <f t="shared" si="433"/>
        <v>132</v>
      </c>
      <c r="EM134" s="259">
        <f ca="1">IF(AND(BA134&gt;0,BA134&lt;=$EM$1),MAX($EM$2:EM133)+1,0)</f>
        <v>0</v>
      </c>
      <c r="EN134" s="259">
        <f t="shared" ca="1" si="434"/>
        <v>134</v>
      </c>
      <c r="EP134" s="259" t="str">
        <f t="shared" ca="1" si="385"/>
        <v/>
      </c>
      <c r="EQ134" s="259">
        <f t="shared" ca="1" si="386"/>
        <v>0</v>
      </c>
      <c r="ER134" s="259">
        <f ca="1">IF(ISNA(EQ134),MAX(ER$2:ER133)+1,0)</f>
        <v>0</v>
      </c>
      <c r="ES134" s="259" t="str">
        <f t="shared" ca="1" si="435"/>
        <v/>
      </c>
      <c r="ET134" s="259" t="str">
        <f ca="1">IFERROR(UPPER(INDEX($ER$3:$ES$500,MATCH(ROWS(ET$3:ET134),$ER$3:$ER$500,0),2)),"")</f>
        <v/>
      </c>
      <c r="EW134" s="259">
        <f t="shared" ca="1" si="344"/>
        <v>1</v>
      </c>
      <c r="EX134" s="259">
        <v>32</v>
      </c>
      <c r="EY134" s="259">
        <f t="shared" ca="1" si="345"/>
        <v>0</v>
      </c>
      <c r="EZ134" s="259">
        <f t="shared" ca="1" si="346"/>
        <v>0</v>
      </c>
      <c r="FA134" s="259">
        <f t="shared" ca="1" si="347"/>
        <v>0</v>
      </c>
      <c r="FB134" s="259">
        <f t="shared" ca="1" si="348"/>
        <v>0</v>
      </c>
      <c r="FC134" s="259">
        <f t="shared" ca="1" si="349"/>
        <v>0</v>
      </c>
      <c r="FD134" s="259">
        <f t="shared" ca="1" si="387"/>
        <v>0</v>
      </c>
      <c r="FE134" s="259" t="str">
        <f t="shared" ca="1" si="388"/>
        <v/>
      </c>
      <c r="FF134" s="259" t="str">
        <f t="shared" ca="1" si="350"/>
        <v/>
      </c>
      <c r="FM134" s="259">
        <f t="shared" ca="1" si="389"/>
        <v>0</v>
      </c>
      <c r="FN134" s="259">
        <f ca="1">IF(FM134&lt;0,MAX($FN$2:FN133)+1,0)</f>
        <v>0</v>
      </c>
      <c r="FO134" s="259" t="str">
        <f t="shared" ca="1" si="436"/>
        <v/>
      </c>
      <c r="FP134" s="259" t="str">
        <f ca="1">IFERROR(INDEX($FN$3:$FO$400,MATCH(ROWS($FP$3:FP134),$FN$3:$FN$400,0),2),"")</f>
        <v/>
      </c>
      <c r="FQ134" s="259" t="str">
        <f>IF(AE134="SE AVERE",MAX($FQ$2:FQ133)+1,"")</f>
        <v/>
      </c>
      <c r="FR134" s="259">
        <f>IF(AE134="SE DARE",MAX($FR$2:FR133)+1,"")</f>
        <v>39</v>
      </c>
      <c r="FS134" s="259" t="str">
        <f ca="1">IF(AND(AE134="SP DARE",AA134&lt;&gt;$FS$1,AA134&lt;&gt;$FT$1),MAX($FS$2:FS133)+1,IF(AND(GQ134="SP DARE",AA134&lt;&gt;$FS$1,AA134&lt;&gt;$FT$1),MAX($FS$2:FS133)+1,""))</f>
        <v/>
      </c>
      <c r="FT134" s="259" t="str">
        <f ca="1">IF(AND(AE134="SP AVERE",AA134&lt;&gt;$FU$1),MAX($FT$2:FT133)+1,IF(AND(GQ134="SP AVERE",AA134&lt;&gt;$FU$1),MAX($FT$2:FT133)+1,""))</f>
        <v/>
      </c>
      <c r="FU134" s="259">
        <f t="shared" ca="1" si="437"/>
        <v>39</v>
      </c>
      <c r="FV134" s="259" t="str">
        <f t="shared" si="438"/>
        <v>PROVVIGIONI PASSIVE</v>
      </c>
      <c r="FW134" s="259" t="str">
        <f ca="1">IFERROR(INDEX($FU$3:$FV$500,MATCH(ROWS($FW$3:FW134),$FU$3:$FU$500,0),2),0)</f>
        <v>FONDO AMMORTAMENTO COSTI DI IMPIANTO</v>
      </c>
      <c r="FX134" s="259">
        <f t="shared" ca="1" si="439"/>
        <v>132</v>
      </c>
      <c r="FY134" s="259">
        <f t="shared" ca="1" si="440"/>
        <v>0</v>
      </c>
      <c r="FZ134" s="259">
        <f ca="1">IF(FY134&gt;0,MAX($FZ$2:FZ133)+1,0)</f>
        <v>0</v>
      </c>
      <c r="GA134" s="259">
        <f ca="1">IFERROR(INDEX($FY$3:$FZ$500,MATCH(ROWS($GA$3:GA134),$FZ$3:$FZ$500,0),1),0)</f>
        <v>0</v>
      </c>
      <c r="GC134" s="259">
        <f t="shared" ca="1" si="441"/>
        <v>132</v>
      </c>
      <c r="GD134" s="259" t="str">
        <f t="shared" ca="1" si="442"/>
        <v>FONDO AMMORTAMENTO COSTI DI IMPIANTO</v>
      </c>
      <c r="GG134" s="259">
        <f t="shared" ca="1" si="443"/>
        <v>0</v>
      </c>
      <c r="GH134" s="259">
        <f t="shared" ca="1" si="444"/>
        <v>0</v>
      </c>
      <c r="GI134" s="259">
        <f t="shared" ca="1" si="445"/>
        <v>0</v>
      </c>
      <c r="GJ134" s="259">
        <f t="shared" ca="1" si="446"/>
        <v>0</v>
      </c>
      <c r="GK134" s="259">
        <f t="shared" ca="1" si="447"/>
        <v>0</v>
      </c>
      <c r="GL134" s="259">
        <f t="shared" ca="1" si="447"/>
        <v>0</v>
      </c>
      <c r="GM134" s="259">
        <f ca="1">IF(OR(GK134&gt;0,GL134&gt;0),MAX($GM$2:GM133)+1,0)</f>
        <v>0</v>
      </c>
      <c r="GN134" s="259" t="str">
        <f ca="1">IFERROR(INDEX($GD$3:$GM$400,MATCH(ROWS($GN$3:GN134),$GM$3:$GM$400,0),1),"")</f>
        <v/>
      </c>
      <c r="GO134" s="259" t="str">
        <f ca="1">IFERROR(INDEX($GD$3:$GM$400,MATCH(ROWS($GO$3:GO134),$GM$3:$GM$400,0),8),"")</f>
        <v/>
      </c>
      <c r="GP134" s="259" t="str">
        <f ca="1">IFERROR(INDEX($GD$3:$GM$400,MATCH(ROWS($GP$3:GP134),$GM$3:$GM$400,0),9),"")</f>
        <v/>
      </c>
      <c r="GQ134" s="259">
        <f t="shared" ca="1" si="390"/>
        <v>0</v>
      </c>
      <c r="GR134" s="259">
        <f t="shared" ca="1" si="448"/>
        <v>0</v>
      </c>
      <c r="GS134" s="259" t="str">
        <f t="shared" ca="1" si="449"/>
        <v>chiusura del conto</v>
      </c>
      <c r="GT134" s="259" t="str">
        <f ca="1">IFERROR(INDEX($GD$3:$GS$400,MATCH(ROWS($GT$3:GT134),$GM$3:$GM$400,0),16),"")</f>
        <v/>
      </c>
      <c r="GU134" s="259">
        <f ca="1">IF(GQ134&lt;&gt;0,MAX($GU$2:$GU133)+1,0)</f>
        <v>0</v>
      </c>
      <c r="GV134" s="259">
        <f t="shared" ca="1" si="450"/>
        <v>0</v>
      </c>
      <c r="GW134" s="259" t="str">
        <f ca="1">IF(AND(IFERROR(INDEX($GU$3:$GV$400,MATCH(ROWS($GW$3:GW134),$GU$3:$GU$400,0),2),"")&lt;&gt;"",GW135&lt;&gt;""),CONCATENATE(IFERROR(INDEX($GU$3:$GV$400,MATCH(ROWS($GW$3:GW134),$GU$3:$GU$400,0),2),"")," - "),IFERROR(INDEX($GU$3:$GV$400,MATCH(ROWS($GW$3:GW134),$GU$3:$GU$400,0),2),""))</f>
        <v/>
      </c>
      <c r="GX134" s="259">
        <f ca="1">IF(OR(GN134="IVA NS/CREDITO",GN134="IVA NS/DEBITO",GN134="IVA C/ACCONTO",GN134="IMPOSTE C/ACCONTO"),MAX($GX$2:GX133)+1,0)</f>
        <v>0</v>
      </c>
      <c r="GY134" s="259" t="str">
        <f ca="1">IF(AND(IFERROR(INDEX($GN$3:$GX$200,MATCH(ROWS($GY$3:GY134),$GX$3:$GX$200,0),1),"")&lt;&gt;"",GY135&lt;&gt;""),CONCATENATE(IFERROR(INDEX($GN$3:$GX$200,MATCH(ROWS($GY$3:GY134),$GX$3:$GX$200,0),1),"")," - "),IFERROR(INDEX($GN$3:$GX$200,MATCH(ROWS($GY$3:GY134),$GX$3:$GX$200,0),1),""))</f>
        <v/>
      </c>
      <c r="GZ134" s="259" t="s">
        <v>659</v>
      </c>
      <c r="HA134" s="259" t="s">
        <v>564</v>
      </c>
      <c r="HB134" s="269" t="s">
        <v>256</v>
      </c>
      <c r="HC134" s="269" t="s">
        <v>211</v>
      </c>
      <c r="HD134" s="269" t="s">
        <v>8</v>
      </c>
      <c r="HE134" s="269" t="s">
        <v>213</v>
      </c>
      <c r="HV134" s="259" t="str">
        <f ca="1">CONCATENATE(IFERROR(INDEX($HS$3:$HT$102,MATCH(ROWS($HV$3:HV134),$HT$3:$HT$102,0),1),""),HR134)</f>
        <v/>
      </c>
      <c r="IC134" s="259">
        <f ca="1">IFERROR(INDEX(PIANO_DEI_CONTI,MATCH(ROWS(DL$3:DL134),$DK$3:DK361,0),2),0)</f>
        <v>0</v>
      </c>
      <c r="ID134" s="259">
        <f t="shared" ca="1" si="451"/>
        <v>0</v>
      </c>
      <c r="IE134" s="259">
        <f t="shared" ca="1" si="452"/>
        <v>0</v>
      </c>
      <c r="IF134" s="259">
        <f t="shared" ca="1" si="453"/>
        <v>0</v>
      </c>
      <c r="IG134" s="259">
        <f t="shared" ca="1" si="324"/>
        <v>0</v>
      </c>
      <c r="IH134" s="259">
        <f ca="1">IF(IG134&lt;&gt;0,MAX($IH$35:IH133)+1,0)</f>
        <v>0</v>
      </c>
      <c r="II134" s="259">
        <f>IF(AD134="costi pluriennali",MAX($II$2:II133)+1,0)</f>
        <v>0</v>
      </c>
      <c r="IJ134" s="259">
        <f>IF($AD134="rettifiche costi pluriennali",MAX($IJ$2:IJ133)+1,0)</f>
        <v>0</v>
      </c>
      <c r="IK134" s="259">
        <f t="shared" si="454"/>
        <v>0</v>
      </c>
      <c r="IL134" s="259" t="str">
        <f t="shared" si="455"/>
        <v/>
      </c>
      <c r="IM134" s="259">
        <f t="shared" ca="1" si="456"/>
        <v>0</v>
      </c>
      <c r="IN134" s="259">
        <f t="shared" ca="1" si="313"/>
        <v>0</v>
      </c>
      <c r="IO134" s="259">
        <f>SUMIFS($IM$3:$IM$200,$IK$3:$IK$200,ROWS($IO$3:IO134))-SUMIFS($IN$3:$IN$200,$IK$3:$IK$200,ROWS($IO$3:IO134))</f>
        <v>0</v>
      </c>
      <c r="IP134" s="259" t="str">
        <f>IF(IO134&lt;0,INDEX($IJ$3:$IL$200,MATCH(ROWS($IP$3:IP134),$IJ$3:$IJ$200,0),3),"")</f>
        <v/>
      </c>
      <c r="IQ134" s="259">
        <f>IF(IP134&lt;&gt;"",MAX($IQ$2:IQ133)+1,0)</f>
        <v>0</v>
      </c>
      <c r="IR134" s="259" t="str">
        <f ca="1">IFERROR(INDEX($IP$3:$IQ$200,MATCH(ROWS($IR$3:IR134),$IQ$3:$IQ$200,0),1),"")</f>
        <v/>
      </c>
      <c r="IS134" s="259" t="str">
        <f t="shared" ca="1" si="457"/>
        <v/>
      </c>
      <c r="IT134" s="259" t="str">
        <f t="shared" ca="1" si="458"/>
        <v/>
      </c>
      <c r="IU134" s="259" t="str">
        <f t="shared" ca="1" si="459"/>
        <v/>
      </c>
      <c r="IV134" s="259" t="str">
        <f t="shared" ca="1" si="460"/>
        <v/>
      </c>
      <c r="IW134" s="259" t="str">
        <f t="shared" ca="1" si="461"/>
        <v/>
      </c>
      <c r="IX134" s="259" t="str">
        <f t="shared" ca="1" si="462"/>
        <v/>
      </c>
      <c r="IY134" s="259" t="str">
        <f t="shared" ca="1" si="463"/>
        <v/>
      </c>
      <c r="IZ134" s="259" t="str">
        <f t="shared" ca="1" si="464"/>
        <v/>
      </c>
      <c r="JA134" s="259" t="str">
        <f t="shared" ca="1" si="465"/>
        <v/>
      </c>
      <c r="JB134" s="259">
        <f t="shared" ca="1" si="391"/>
        <v>0</v>
      </c>
      <c r="JC134" s="259">
        <f t="shared" ca="1" si="351"/>
        <v>0</v>
      </c>
      <c r="JD134" s="259">
        <f t="shared" ca="1" si="352"/>
        <v>0</v>
      </c>
      <c r="JM134" s="259">
        <f t="shared" ca="1" si="353"/>
        <v>0</v>
      </c>
    </row>
    <row r="135" spans="1:273">
      <c r="A135" s="259" t="str">
        <f t="shared" si="392"/>
        <v>30.00</v>
      </c>
      <c r="B135" s="259" t="str">
        <f t="shared" si="393"/>
        <v>COSTI PER MERCI E MATERIE DI CONSUMO</v>
      </c>
      <c r="C135" s="259">
        <f t="shared" si="394"/>
        <v>0</v>
      </c>
      <c r="D135" s="259">
        <f t="shared" si="395"/>
        <v>0</v>
      </c>
      <c r="E135" s="259">
        <f t="shared" si="396"/>
        <v>0</v>
      </c>
      <c r="F135" s="259">
        <f t="shared" si="397"/>
        <v>0</v>
      </c>
      <c r="G135" s="259">
        <f t="shared" ca="1" si="398"/>
        <v>0</v>
      </c>
      <c r="H135" s="259">
        <f t="shared" ca="1" si="399"/>
        <v>0</v>
      </c>
      <c r="I135" s="259">
        <f t="shared" ca="1" si="400"/>
        <v>0</v>
      </c>
      <c r="K135" s="259" t="str">
        <f ca="1">IFERROR(IF($I$1=1,INDEX($AA$3:$AS$220,MATCH(ROWS($K$3:K135),$AQ$3:$AQ$220,0),1),IF($I$1=2,INDEX($AA$3:$AS$220,MATCH(ROWS($K$3:K135),$AR$3:$AR$220,0),1),IF($I$1=3,INDEX($AA$3:$AS$220,MATCH(ROWS($K$3:K135),$AS$3:$AS$220,0),1),""))),"")</f>
        <v>FITTI PASSIVI</v>
      </c>
      <c r="L135" s="259">
        <f ca="1">IF(AND($L$1="VISUALIZZA TUTTI I CONTI",K135&lt;&gt;""),MAX(L134:L134)+1,IFERROR(IF($J$1=1,IF(INDEX(PIANO_DEI_CONTI,MATCH($K135,DENOMINAZIONE,0),5)=$L$1,MAX($L$2:L134)+1,0),IF($J$1=2,IF(INDEX(PIANO_DEI_CONTI,MATCH($K135,DENOMINAZIONE,0),7)=$L$1,MAX($L$2:L134)+1,0))),0))</f>
        <v>133</v>
      </c>
      <c r="M135" s="259" t="str">
        <f ca="1">IFERROR(INDEX($K$3:$K$220,MATCH(ROWS($M$3:M135),$L$3:$L$220,0),1),"")</f>
        <v>FITTI PASSIVI</v>
      </c>
      <c r="Q135" s="259" t="str">
        <f ca="1">IF(IFERROR(INDEX($O$3:$P$220,MATCH(ROWS(Q$3:Q135),$P$3:$P$220,0),1),"")=0,"",IFERROR(INDEX($O$3:$P$220,MATCH(ROWS(Q$3:Q135),$P$3:$P$220,0),1),""))</f>
        <v/>
      </c>
      <c r="R135" s="259" t="str">
        <f t="shared" ca="1" si="366"/>
        <v/>
      </c>
      <c r="S135" s="259">
        <f ca="1">IF(IFERROR(MATCH(R135,DENOMINAZIONE_GIORNALE,0),0)&gt;0,MAX(S$2:S134)+1,0)</f>
        <v>0</v>
      </c>
      <c r="T135" s="259" t="str">
        <f ca="1">IFERROR(INDEX($R$3:$S$220,MATCH(ROWS($T$3:T135),$S$3:$S$220,0),1),"")</f>
        <v/>
      </c>
      <c r="U135" s="259">
        <f t="shared" ca="1" si="367"/>
        <v>0</v>
      </c>
      <c r="V135" s="259">
        <f ca="1">IF(IF(U135&lt;&gt;0,MAX($V$2:V134)+1,0)=0,0,IF(U135&lt;&gt;0,MAX($V$2:V134)+1,0))</f>
        <v>0</v>
      </c>
      <c r="W135" s="259" t="str">
        <f t="shared" si="401"/>
        <v/>
      </c>
      <c r="X135" s="259" t="str">
        <f t="shared" si="402"/>
        <v/>
      </c>
      <c r="Y135" s="259">
        <f>IF(W135="",0,MAX($Y$2:Y134)+1)</f>
        <v>0</v>
      </c>
      <c r="Z135" s="259" t="str">
        <f>IFERROR(INDEX($W$3:$Y$220,MATCH(ROWS($Z$2:Z134),$Y$3:$Y$220,0),1),"")</f>
        <v>31.14</v>
      </c>
      <c r="AA135" s="259" t="str">
        <f t="shared" si="403"/>
        <v>COSTI DI INCASSO</v>
      </c>
      <c r="AB135" s="259" t="str">
        <f t="shared" si="404"/>
        <v>E</v>
      </c>
      <c r="AC135" s="259" t="str">
        <f t="shared" si="405"/>
        <v>D</v>
      </c>
      <c r="AD135" s="259" t="str">
        <f t="shared" si="406"/>
        <v>COSTI D'ESERCIZIO</v>
      </c>
      <c r="AE135" s="259" t="str">
        <f t="shared" si="407"/>
        <v>SE DARE</v>
      </c>
      <c r="AF135" s="259" t="str">
        <f t="shared" si="408"/>
        <v>COSTI PER SERVIZI</v>
      </c>
      <c r="AG135" s="259">
        <f t="shared" ca="1" si="409"/>
        <v>1</v>
      </c>
      <c r="AH135" s="259">
        <f t="shared" ca="1" si="410"/>
        <v>1</v>
      </c>
      <c r="AI135" s="259">
        <f t="shared" ca="1" si="411"/>
        <v>1</v>
      </c>
      <c r="AJ135" s="259" t="str">
        <f t="shared" si="412"/>
        <v>31</v>
      </c>
      <c r="AK135" s="259" t="str">
        <f t="shared" si="413"/>
        <v>30</v>
      </c>
      <c r="AL135" s="259">
        <f>IF(AK135&lt;&gt;"",MAX($AL$2:AL134)+1,0)</f>
        <v>19</v>
      </c>
      <c r="AM135" s="259" t="str">
        <f>IFERROR(INDEX($AK$3:$AL$220,MATCH(ROWS($AM$3:AM135),$AL$3:$AL$220,0),1),"")</f>
        <v/>
      </c>
      <c r="AN135" s="259" t="str">
        <f t="shared" si="414"/>
        <v/>
      </c>
      <c r="AO135" s="259" t="str">
        <f t="shared" si="415"/>
        <v/>
      </c>
      <c r="AP135" s="259" t="str">
        <f t="shared" si="416"/>
        <v>COSTI PER SERVIZI</v>
      </c>
      <c r="AQ135" s="259">
        <f ca="1">IF(OR(AG135=0,AG135=""),0,MAX(AQ$2:AQ134)+1)</f>
        <v>74</v>
      </c>
      <c r="AR135" s="259">
        <f ca="1">IF(OR(AH135=0,AH135=""),0,MAX(AR$2:AR134)+1)</f>
        <v>99</v>
      </c>
      <c r="AS135" s="259">
        <f ca="1">IF(OR(AI135=0,AI135=""),0,MAX(AS$2:AS134)+1)</f>
        <v>129</v>
      </c>
      <c r="AT135" s="259" t="str">
        <f ca="1">IFERROR(INDEX($AD$3:$AS$220,MATCH(ROWS(AT$3:AT135),AQ$3:AQ$220,0),1),"")</f>
        <v/>
      </c>
      <c r="AU135" s="259" t="str">
        <f ca="1">IFERROR(INDEX($AD$3:$AS$220,MATCH(ROWS(AU$3:AU135),AR$3:AR$220,0),1),"")</f>
        <v/>
      </c>
      <c r="AV135" s="259" t="str">
        <f ca="1">IFERROR(INDEX($AD$3:$AS$220,MATCH(ROWS(AV$3:AV135),AS$3:AS$220,0),1),"")</f>
        <v>COSTI D'ESERCIZIO</v>
      </c>
      <c r="AW135" s="259" t="str">
        <f ca="1">IFERROR(INDEX($AP$3:$AS$220,MATCH(ROWS(AW$3:AW135),AQ$3:AQ$220,0),1),"")</f>
        <v/>
      </c>
      <c r="AX135" s="259" t="str">
        <f ca="1">IFERROR(INDEX($AP$3:$AS$220,MATCH(ROWS(AX$3:AX135),AR$3:AR$220,0),1),"")</f>
        <v/>
      </c>
      <c r="AY135" s="259" t="str">
        <f ca="1">IFERROR(INDEX($AP$3:$AS$220,MATCH(ROWS(AY$3:AY135),AS$3:AS$220,0),1),"")</f>
        <v>COSTI PER GODIMENTO BENI DI TERZI</v>
      </c>
      <c r="AZ135" s="259" t="str">
        <f t="shared" si="339"/>
        <v>33 V.I.</v>
      </c>
      <c r="BA135" s="259">
        <f t="shared" ca="1" si="338"/>
        <v>0</v>
      </c>
      <c r="BB135" s="259">
        <f t="shared" ca="1" si="340"/>
        <v>0</v>
      </c>
      <c r="BC135" s="259">
        <f t="shared" ca="1" si="341"/>
        <v>0</v>
      </c>
      <c r="BD135" s="259">
        <f t="shared" ca="1" si="342"/>
        <v>0</v>
      </c>
      <c r="BE135" s="259">
        <f t="shared" ca="1" si="343"/>
        <v>0</v>
      </c>
      <c r="BG135" s="259" t="str">
        <f t="shared" ca="1" si="368"/>
        <v/>
      </c>
      <c r="BH135" s="259">
        <f ca="1">IF(IFERROR(MATCH(BG135,DENOMINAZIONE_GIORNALE,0),0)&gt;0,MAX(BH$2:BH134)+1,0)</f>
        <v>0</v>
      </c>
      <c r="BI135" s="259" t="str">
        <f ca="1">IFERROR(INDEX($BG$3:$BH$220,MATCH(ROWS($BI$3:BI135),$BH$3:$BH$220,0),1),"")</f>
        <v/>
      </c>
      <c r="BJ135" s="259" t="str">
        <f t="shared" ca="1" si="369"/>
        <v/>
      </c>
      <c r="BK135" s="259" t="str">
        <f ca="1">IF(IF(BJ135&lt;&gt;"",MAX($BK$2:BK134)+1,0)=0,"",IF(BJ135&lt;&gt;"",MAX($BK$2:BK134)+1,0))</f>
        <v/>
      </c>
      <c r="BL135" s="259" t="str">
        <f ca="1">IFERROR(INDEX($T$3:$U$220, MATCH(ROWS(BL$3:BL135),$V$3:$V$220,0),1),"")</f>
        <v/>
      </c>
      <c r="BM135" s="259" t="str">
        <f ca="1">IFERROR(INDEX($T$3:$U$220, MATCH(ROWS(BM$3:BM135),$V$3:$V$220,0),2),"")</f>
        <v/>
      </c>
      <c r="BN135" s="259" t="str">
        <f ca="1">IF(IFERROR(INDEX($BI$3:$BJ$220,MATCH(ROWS(BN$3:BN135),$BK$3:$BK$220,0),1),"")="PATRIMONIO NETTO","",IFERROR(INDEX($BI$3:$BJ$220,MATCH(ROWS(BN$3:BN135),$BK$3:$BK$220,0),1),""))</f>
        <v/>
      </c>
      <c r="BO135" s="259" t="str">
        <f ca="1">IFERROR(INDEX($BI$3:$BJ$220,MATCH(ROWS(BO$3:BO135),$BK$3:$BK$220,0),2),"")</f>
        <v/>
      </c>
      <c r="BP135" s="259">
        <f ca="1">IF(BN135&lt;&gt;"",MAX(BP$2:$BP134)+1,0)</f>
        <v>0</v>
      </c>
      <c r="BQ135" s="259" t="str">
        <f ca="1">IFERROR(INDEX($BN$3:$BO$200,MATCH(ROWS(BQ$3:BQ135),$BP$3:$BP$220,0),1),"")</f>
        <v/>
      </c>
      <c r="BR135" s="259" t="str">
        <f ca="1">IFERROR(INDEX($BN$3:$BO$220,MATCH(ROWS(BR$3:BR135),$BP$3:$BP$220,0),2),"")</f>
        <v/>
      </c>
      <c r="BS135" s="259" t="str">
        <f ca="1">IFERROR(IF(OR(INDEX($T$3:$U$220,MATCH(ROWS(BL$3:BL135),$V$3:$V$220,0),1)="PRELEVAMENTI EXTRAGESTIONE",INDEX($T$3:$U$220,MATCH(ROWS(BL$3:BL135),$V$3:$V$220,0),1)="TITOLARE C/RITENUTE SUBITE"),"",INDEX($T$3:$U$220,MATCH(ROWS(BL$3:BL135),$V$3:$V$220,0),1)),"")</f>
        <v/>
      </c>
      <c r="BT135" s="259">
        <f t="shared" ca="1" si="417"/>
        <v>0</v>
      </c>
      <c r="BU135" s="259">
        <f ca="1">IF(BS135&lt;&gt;"",MAX(BU$2:BU134)+1,0)</f>
        <v>0</v>
      </c>
      <c r="BV135" s="259" t="str">
        <f ca="1">IFERROR(INDEX($BS$3:$BT$223,MATCH(ROWS(BV$3:BV135),$BU$3:$BU$223,0),1),"")</f>
        <v/>
      </c>
      <c r="BW135" s="259">
        <f t="shared" ca="1" si="418"/>
        <v>0</v>
      </c>
      <c r="CB135" s="259" t="str">
        <f ca="1">IFERROR(IF(OR($BB$1&lt;&gt;$BD$1,$BC$1&lt;&gt;$BE$1,$DS$231&lt;&gt;$DT$231,$DU$231&lt;&gt;$DV$231,$EO$25&lt;&gt;0,$EO$26&lt;&gt;0),INDEX($BI$3:$BK$220,MATCH(ROWS($CB$3:CB135),$BK$3:$BK$220,0),1),CONCATENATE(BQ135,BX135)),"")</f>
        <v/>
      </c>
      <c r="CC135" s="259" t="str">
        <f t="shared" ca="1" si="419"/>
        <v/>
      </c>
      <c r="CD135" s="259" t="str">
        <f t="shared" ca="1" si="370"/>
        <v>COSTI DI INCASSO</v>
      </c>
      <c r="CE135" s="259">
        <f ca="1">IF(IFERROR(MATCH(CD135,DENOMINAZIONE_GIORNALE,0),0)&gt;0,MAX(CE$2:CE134)+1,0)</f>
        <v>0</v>
      </c>
      <c r="CF135" s="259" t="str">
        <f ca="1">IFERROR(INDEX($CD$3:$CE$220,MATCH(ROWS($CF$3:CF135),$CE$3:$CE$220,0),1),"")</f>
        <v/>
      </c>
      <c r="CG135" s="259">
        <f t="shared" ca="1" si="371"/>
        <v>0</v>
      </c>
      <c r="CH135" s="259" t="str">
        <f ca="1">IF(IF(CG135&lt;&gt;0,MAX($CH$2:CH134)+1,0)=0,"",IF(CG135&lt;&gt;"",MAX($CH$2:CH134)+1,0))</f>
        <v/>
      </c>
      <c r="CI135" s="259" t="str">
        <f ca="1">IFERROR(INDEX($CF$3:$CG$220,MATCH(ROWS($CI$3:CI135),$CH$3:$CH$220,0),1),"")</f>
        <v/>
      </c>
      <c r="CJ135" s="259" t="str">
        <f t="shared" ca="1" si="420"/>
        <v/>
      </c>
      <c r="CK135" s="259" t="str">
        <f t="shared" ca="1" si="372"/>
        <v/>
      </c>
      <c r="CL135" s="259">
        <f ca="1">IF(IFERROR(MATCH(CK135,DENOMINAZIONE_GIORNALE,0),0)&gt;0,MAX(CL$2:CL134)+1,0)</f>
        <v>0</v>
      </c>
      <c r="CM135" s="259" t="str">
        <f ca="1">IFERROR(INDEX($CK$3:$CL$220,MATCH(ROWS($CM$3:CM135),$CL$3:$CL$220,0),1),"")</f>
        <v/>
      </c>
      <c r="CN135" s="259" t="str">
        <f t="shared" ca="1" si="373"/>
        <v/>
      </c>
      <c r="CO135" s="259">
        <f ca="1">IF(IF(CN135&lt;&gt;0,MAX($CO$2:CO134)+1,0)=0,"",IF(CN135&lt;&gt;"",MAX($CO$2:CO134)+1,0))</f>
        <v>0</v>
      </c>
      <c r="CP135" s="259" t="str">
        <f ca="1">IFERROR(INDEX($CM$3:$CN$220,MATCH(ROWS(CP$3:CP135),$CO$3:$CO$220,0),1),"")</f>
        <v/>
      </c>
      <c r="CQ135" s="259" t="str">
        <f ca="1">IFERROR(INDEX($CM$3:$CN$220,MATCH(ROWS(CQ$3:CQ135),$CO$3:$CO$220,0),2),"")</f>
        <v/>
      </c>
      <c r="CS135" s="259">
        <f t="shared" ca="1" si="374"/>
        <v>0</v>
      </c>
      <c r="CT135" s="259">
        <f t="shared" ca="1" si="375"/>
        <v>0</v>
      </c>
      <c r="CU135" s="259">
        <f ca="1">IF(OR(CS135&gt;0,CT135&gt;0),MAX($CU$2:CU134)+1,0)</f>
        <v>0</v>
      </c>
      <c r="CV135" s="259" t="str">
        <f ca="1">IFERROR(INDEX(PIANO_DEI_CONTI,MATCH(ROWS($CV$3:CV135),$CU$3:$CU$200,0),2),"")</f>
        <v/>
      </c>
      <c r="CW135" s="259">
        <f ca="1">IFERROR(IF(CV135&lt;&gt;"",MAX($CW$2:CW134)+1,0),0)</f>
        <v>0</v>
      </c>
      <c r="CX135" s="259">
        <f t="shared" ca="1" si="364"/>
        <v>8</v>
      </c>
      <c r="CY135" s="259" t="str">
        <f t="shared" ref="CY135:CY167" ca="1" si="469">IF(ISERROR(INDEX($CV$3:$CX$2300,MATCH(CX135,$CW$3:$CW$2300,0),1)),"MASTRO",INDEX($CV$3:$CX$2300,MATCH(CX135,$CW$3:$CW$2300,0),1))</f>
        <v>MASTRO</v>
      </c>
      <c r="CZ135" s="259" t="e">
        <f t="shared" ca="1" si="376"/>
        <v>#N/A</v>
      </c>
      <c r="DA135" s="259" t="str">
        <f t="shared" ca="1" si="421"/>
        <v/>
      </c>
      <c r="DB135" s="259" t="str">
        <f t="shared" ca="1" si="377"/>
        <v/>
      </c>
      <c r="DC135" s="259" t="str">
        <f t="shared" ca="1" si="378"/>
        <v/>
      </c>
      <c r="DD135" s="259" t="str">
        <f t="shared" ca="1" si="379"/>
        <v/>
      </c>
      <c r="DE135" s="259" t="str">
        <f t="shared" ca="1" si="380"/>
        <v/>
      </c>
      <c r="DF135" s="259">
        <f ca="1">IF(AND(CX135=$DE$2,$DF$2&lt;&gt;0),0,IF(AND(DB135&lt;&gt;"",OR(DB134&lt;&gt;"",DB136&lt;&gt;"")),MAX($DF$2:DF134)+1,0))</f>
        <v>0</v>
      </c>
      <c r="DG135" s="259" t="str">
        <f>IF(IF(LIBRO_GIORNALE!E43="","",IFERROR(INDEX(PIANO_DEI_CONTI,MATCH(BB135,DENOMINAZIONE,0),1),0))=0,"",IF(LIBRO_GIORNALE!E43="","",IFERROR(INDEX(PIANO_DEI_CONTI,MATCH(BB135,DENOMINAZIONE,0),1),0)))</f>
        <v/>
      </c>
      <c r="DH135" s="259">
        <f ca="1">IFERROR(IF($J$1=1,IF(INDEX(PIANO_DEI_CONTI,MATCH($K135,DENOMINAZIONE,0),5)=$DF$1,MAX($DH$2:DH134)+1,0),IF($J$1=2,IF(INDEX(PIANO_DEI_CONTI,MATCH($K135,DENOMINAZIONE,0),7)=$DF$1,MAX($DH$2:DH134)+1,0))),0)</f>
        <v>0</v>
      </c>
      <c r="DI135" s="259">
        <f ca="1">IFERROR(INDEX($K$3:$K$220,MATCH(ROWS($DI$3:DI135),$DH$3:$DH$220,0),1),0)</f>
        <v>0</v>
      </c>
      <c r="DJ135" s="259">
        <f t="shared" ca="1" si="381"/>
        <v>0</v>
      </c>
      <c r="DK135" s="259">
        <f ca="1">IF(DJ135=0,0,MAX(DK$2:DK134)+1)</f>
        <v>0</v>
      </c>
      <c r="DL135" s="259">
        <f ca="1">IFERROR(INDEX(PIANO_DEI_CONTI,MATCH(ROWS(DL$3:DL135),$DK$3:DK362,0),2),0)</f>
        <v>0</v>
      </c>
      <c r="DM135" s="259">
        <f t="shared" ca="1" si="382"/>
        <v>0</v>
      </c>
      <c r="DN135" s="259">
        <f t="shared" ca="1" si="383"/>
        <v>0</v>
      </c>
      <c r="DO135" s="259">
        <f t="shared" ca="1" si="422"/>
        <v>0</v>
      </c>
      <c r="DP135" s="259">
        <f t="shared" ca="1" si="423"/>
        <v>0</v>
      </c>
      <c r="DQ135" s="259">
        <f ca="1">IF(OR($DQ$1="TOTALI",$DQ$1="TOTALI ED ECCEDENZE"),IF(OR(DM135&gt;0,DN135&gt;0),MAX(DQ$2:DQ134)+1,0),IF($DQ$1="ECCEDENZE",IF(OR(DO135&gt;0,DP135&gt;0),MAX(DQ$2:DQ134)+1,0),""))</f>
        <v>0</v>
      </c>
      <c r="DR135" s="259" t="str">
        <f ca="1">IFERROR(INDEX($DL$3:$DQ$230,MATCH(ROWS(DR$3:DR135),$DQ$3:$DQ$230,0),1),"")</f>
        <v/>
      </c>
      <c r="DS135" s="259" t="str">
        <f t="shared" ca="1" si="424"/>
        <v/>
      </c>
      <c r="DT135" s="259" t="str">
        <f t="shared" ca="1" si="425"/>
        <v/>
      </c>
      <c r="DU135" s="259" t="str">
        <f t="shared" ca="1" si="426"/>
        <v/>
      </c>
      <c r="DV135" s="259" t="str">
        <f t="shared" ca="1" si="427"/>
        <v/>
      </c>
      <c r="DW135" s="259">
        <f t="shared" ca="1" si="428"/>
        <v>0</v>
      </c>
      <c r="DX135" s="259" t="str">
        <f t="shared" ca="1" si="429"/>
        <v/>
      </c>
      <c r="DY135" s="259" t="str">
        <f t="shared" ca="1" si="430"/>
        <v/>
      </c>
      <c r="DZ135" s="259" t="str">
        <f t="shared" ca="1" si="431"/>
        <v/>
      </c>
      <c r="EB135" s="259" t="s">
        <v>369</v>
      </c>
      <c r="ED135" s="259">
        <f t="shared" ca="1" si="384"/>
        <v>0</v>
      </c>
      <c r="EH135" s="259" t="str">
        <f t="shared" ca="1" si="432"/>
        <v/>
      </c>
      <c r="EI135" s="260" t="b">
        <f t="shared" ca="1" si="466"/>
        <v>0</v>
      </c>
      <c r="EJ135" s="260" t="b">
        <f t="shared" ca="1" si="467"/>
        <v>0</v>
      </c>
      <c r="EK135" s="260" t="b">
        <f t="shared" ca="1" si="468"/>
        <v>0</v>
      </c>
      <c r="EL135" s="259">
        <f t="shared" si="433"/>
        <v>133</v>
      </c>
      <c r="EM135" s="259">
        <f ca="1">IF(AND(BA135&gt;0,BA135&lt;=$EM$1),MAX($EM$2:EM134)+1,0)</f>
        <v>0</v>
      </c>
      <c r="EN135" s="259">
        <f t="shared" ca="1" si="434"/>
        <v>135</v>
      </c>
      <c r="EP135" s="259" t="str">
        <f t="shared" ca="1" si="385"/>
        <v/>
      </c>
      <c r="EQ135" s="259">
        <f t="shared" ca="1" si="386"/>
        <v>0</v>
      </c>
      <c r="ER135" s="259">
        <f ca="1">IF(ISNA(EQ135),MAX(ER$2:ER134)+1,0)</f>
        <v>0</v>
      </c>
      <c r="ES135" s="259" t="str">
        <f t="shared" ca="1" si="435"/>
        <v/>
      </c>
      <c r="ET135" s="259" t="str">
        <f ca="1">IFERROR(UPPER(INDEX($ER$3:$ES$500,MATCH(ROWS(ET$3:ET135),$ER$3:$ER$500,0),2)),"")</f>
        <v/>
      </c>
      <c r="EW135" s="259">
        <f t="shared" ca="1" si="344"/>
        <v>1</v>
      </c>
      <c r="EX135" s="259">
        <v>33</v>
      </c>
      <c r="EY135" s="259">
        <f t="shared" ca="1" si="345"/>
        <v>0</v>
      </c>
      <c r="EZ135" s="259">
        <f t="shared" ca="1" si="346"/>
        <v>0</v>
      </c>
      <c r="FA135" s="259">
        <f t="shared" ca="1" si="347"/>
        <v>0</v>
      </c>
      <c r="FB135" s="259">
        <f t="shared" ca="1" si="348"/>
        <v>0</v>
      </c>
      <c r="FC135" s="259">
        <f t="shared" ca="1" si="349"/>
        <v>0</v>
      </c>
      <c r="FD135" s="259">
        <f t="shared" ca="1" si="387"/>
        <v>0</v>
      </c>
      <c r="FE135" s="259" t="str">
        <f t="shared" ca="1" si="388"/>
        <v/>
      </c>
      <c r="FF135" s="259" t="str">
        <f t="shared" ca="1" si="350"/>
        <v/>
      </c>
      <c r="FM135" s="259">
        <f t="shared" ca="1" si="389"/>
        <v>0</v>
      </c>
      <c r="FN135" s="259">
        <f ca="1">IF(FM135&lt;0,MAX($FN$2:FN134)+1,0)</f>
        <v>0</v>
      </c>
      <c r="FO135" s="259" t="str">
        <f t="shared" ca="1" si="436"/>
        <v/>
      </c>
      <c r="FP135" s="259" t="str">
        <f ca="1">IFERROR(INDEX($FN$3:$FO$400,MATCH(ROWS($FP$3:FP135),$FN$3:$FN$400,0),2),"")</f>
        <v/>
      </c>
      <c r="FQ135" s="259" t="str">
        <f>IF(AE135="SE AVERE",MAX($FQ$2:FQ134)+1,"")</f>
        <v/>
      </c>
      <c r="FR135" s="259">
        <f>IF(AE135="SE DARE",MAX($FR$2:FR134)+1,"")</f>
        <v>40</v>
      </c>
      <c r="FS135" s="259" t="str">
        <f ca="1">IF(AND(AE135="SP DARE",AA135&lt;&gt;$FS$1,AA135&lt;&gt;$FT$1),MAX($FS$2:FS134)+1,IF(AND(GQ135="SP DARE",AA135&lt;&gt;$FS$1,AA135&lt;&gt;$FT$1),MAX($FS$2:FS134)+1,""))</f>
        <v/>
      </c>
      <c r="FT135" s="259" t="str">
        <f ca="1">IF(AND(AE135="SP AVERE",AA135&lt;&gt;$FU$1),MAX($FT$2:FT134)+1,IF(AND(GQ135="SP AVERE",AA135&lt;&gt;$FU$1),MAX($FT$2:FT134)+1,""))</f>
        <v/>
      </c>
      <c r="FU135" s="259">
        <f t="shared" ca="1" si="437"/>
        <v>40</v>
      </c>
      <c r="FV135" s="259" t="str">
        <f t="shared" si="438"/>
        <v>COSTI DI INCASSO</v>
      </c>
      <c r="FW135" s="259" t="str">
        <f ca="1">IFERROR(INDEX($FU$3:$FV$500,MATCH(ROWS($FW$3:FW135),$FU$3:$FU$500,0),2),0)</f>
        <v>FONDO AMMORTAMENTO BREVETTI</v>
      </c>
      <c r="FX135" s="259">
        <f t="shared" ca="1" si="439"/>
        <v>133</v>
      </c>
      <c r="FY135" s="259">
        <f t="shared" ca="1" si="440"/>
        <v>0</v>
      </c>
      <c r="FZ135" s="259">
        <f ca="1">IF(FY135&gt;0,MAX($FZ$2:FZ134)+1,0)</f>
        <v>0</v>
      </c>
      <c r="GA135" s="259">
        <f ca="1">IFERROR(INDEX($FY$3:$FZ$500,MATCH(ROWS($GA$3:GA135),$FZ$3:$FZ$500,0),1),0)</f>
        <v>0</v>
      </c>
      <c r="GC135" s="259">
        <f t="shared" ca="1" si="441"/>
        <v>133</v>
      </c>
      <c r="GD135" s="259" t="str">
        <f t="shared" ca="1" si="442"/>
        <v>FONDO AMMORTAMENTO BREVETTI</v>
      </c>
      <c r="GG135" s="259">
        <f t="shared" ca="1" si="443"/>
        <v>0</v>
      </c>
      <c r="GH135" s="259">
        <f t="shared" ca="1" si="444"/>
        <v>0</v>
      </c>
      <c r="GI135" s="259">
        <f t="shared" ca="1" si="445"/>
        <v>0</v>
      </c>
      <c r="GJ135" s="259">
        <f t="shared" ca="1" si="446"/>
        <v>0</v>
      </c>
      <c r="GK135" s="259">
        <f t="shared" ca="1" si="447"/>
        <v>0</v>
      </c>
      <c r="GL135" s="259">
        <f t="shared" ca="1" si="447"/>
        <v>0</v>
      </c>
      <c r="GM135" s="259">
        <f ca="1">IF(OR(GK135&gt;0,GL135&gt;0),MAX($GM$2:GM134)+1,0)</f>
        <v>0</v>
      </c>
      <c r="GN135" s="259" t="str">
        <f ca="1">IFERROR(INDEX($GD$3:$GM$400,MATCH(ROWS($GN$3:GN135),$GM$3:$GM$400,0),1),"")</f>
        <v/>
      </c>
      <c r="GO135" s="259" t="str">
        <f ca="1">IFERROR(INDEX($GD$3:$GM$400,MATCH(ROWS($GO$3:GO135),$GM$3:$GM$400,0),8),"")</f>
        <v/>
      </c>
      <c r="GP135" s="259" t="str">
        <f ca="1">IFERROR(INDEX($GD$3:$GM$400,MATCH(ROWS($GP$3:GP135),$GM$3:$GM$400,0),9),"")</f>
        <v/>
      </c>
      <c r="GQ135" s="259">
        <f t="shared" ca="1" si="390"/>
        <v>0</v>
      </c>
      <c r="GR135" s="259">
        <f t="shared" ca="1" si="448"/>
        <v>0</v>
      </c>
      <c r="GS135" s="259" t="str">
        <f t="shared" ca="1" si="449"/>
        <v>chiusura del conto</v>
      </c>
      <c r="GT135" s="259" t="str">
        <f ca="1">IFERROR(INDEX($GD$3:$GS$400,MATCH(ROWS($GT$3:GT135),$GM$3:$GM$400,0),16),"")</f>
        <v/>
      </c>
      <c r="GU135" s="259">
        <f ca="1">IF(GQ135&lt;&gt;0,MAX($GU$2:$GU134)+1,0)</f>
        <v>0</v>
      </c>
      <c r="GV135" s="259">
        <f t="shared" ca="1" si="450"/>
        <v>0</v>
      </c>
      <c r="GW135" s="259" t="str">
        <f ca="1">IF(AND(IFERROR(INDEX($GU$3:$GV$400,MATCH(ROWS($GW$3:GW135),$GU$3:$GU$400,0),2),"")&lt;&gt;"",GW136&lt;&gt;""),CONCATENATE(IFERROR(INDEX($GU$3:$GV$400,MATCH(ROWS($GW$3:GW135),$GU$3:$GU$400,0),2),"")," - "),IFERROR(INDEX($GU$3:$GV$400,MATCH(ROWS($GW$3:GW135),$GU$3:$GU$400,0),2),""))</f>
        <v/>
      </c>
      <c r="GX135" s="259">
        <f ca="1">IF(OR(GN135="IVA NS/CREDITO",GN135="IVA NS/DEBITO",GN135="IVA C/ACCONTO",GN135="IMPOSTE C/ACCONTO"),MAX($GX$2:GX134)+1,0)</f>
        <v>0</v>
      </c>
      <c r="GY135" s="259" t="str">
        <f ca="1">IF(AND(IFERROR(INDEX($GN$3:$GX$200,MATCH(ROWS($GY$3:GY135),$GX$3:$GX$200,0),1),"")&lt;&gt;"",GY136&lt;&gt;""),CONCATENATE(IFERROR(INDEX($GN$3:$GX$200,MATCH(ROWS($GY$3:GY135),$GX$3:$GX$200,0),1),"")," - "),IFERROR(INDEX($GN$3:$GX$200,MATCH(ROWS($GY$3:GY135),$GX$3:$GX$200,0),1),""))</f>
        <v/>
      </c>
      <c r="GZ135" s="259" t="s">
        <v>138</v>
      </c>
      <c r="HA135" s="270" t="s">
        <v>660</v>
      </c>
      <c r="HV135" s="259" t="str">
        <f ca="1">CONCATENATE(IFERROR(INDEX($HS$3:$HT$102,MATCH(ROWS($HV$3:HV135),$HT$3:$HT$102,0),1),""),HR135)</f>
        <v/>
      </c>
      <c r="IC135" s="259">
        <f ca="1">IFERROR(INDEX(PIANO_DEI_CONTI,MATCH(ROWS(DL$3:DL135),$DK$3:DK362,0),2),0)</f>
        <v>0</v>
      </c>
      <c r="ID135" s="259">
        <f t="shared" ca="1" si="451"/>
        <v>0</v>
      </c>
      <c r="IE135" s="259">
        <f t="shared" ca="1" si="452"/>
        <v>0</v>
      </c>
      <c r="IF135" s="259">
        <f t="shared" ca="1" si="453"/>
        <v>0</v>
      </c>
      <c r="IG135" s="259">
        <f t="shared" ca="1" si="324"/>
        <v>0</v>
      </c>
      <c r="IH135" s="259">
        <f ca="1">IF(IG135&lt;&gt;0,MAX($IH$35:IH134)+1,0)</f>
        <v>0</v>
      </c>
      <c r="II135" s="259">
        <f>IF(AD135="costi pluriennali",MAX($II$2:II134)+1,0)</f>
        <v>0</v>
      </c>
      <c r="IJ135" s="259">
        <f>IF($AD135="rettifiche costi pluriennali",MAX($IJ$2:IJ134)+1,0)</f>
        <v>0</v>
      </c>
      <c r="IK135" s="259">
        <f t="shared" si="454"/>
        <v>0</v>
      </c>
      <c r="IL135" s="259" t="str">
        <f t="shared" si="455"/>
        <v/>
      </c>
      <c r="IM135" s="259">
        <f t="shared" ca="1" si="456"/>
        <v>0</v>
      </c>
      <c r="IN135" s="259">
        <f t="shared" ref="IN135:IN198" ca="1" si="470">IFERROR(INDEX($IC$3:$IK$200,MATCH(IL135,$IC$3:$IC$200,0),3),0)</f>
        <v>0</v>
      </c>
      <c r="IO135" s="259">
        <f>SUMIFS($IM$3:$IM$200,$IK$3:$IK$200,ROWS($IO$3:IO135))-SUMIFS($IN$3:$IN$200,$IK$3:$IK$200,ROWS($IO$3:IO135))</f>
        <v>0</v>
      </c>
      <c r="IP135" s="259" t="str">
        <f>IF(IO135&lt;0,INDEX($IJ$3:$IL$200,MATCH(ROWS($IP$3:IP135),$IJ$3:$IJ$200,0),3),"")</f>
        <v/>
      </c>
      <c r="IQ135" s="259">
        <f>IF(IP135&lt;&gt;"",MAX($IQ$2:IQ134)+1,0)</f>
        <v>0</v>
      </c>
      <c r="IR135" s="259" t="str">
        <f ca="1">IFERROR(INDEX($IP$3:$IQ$200,MATCH(ROWS($IR$3:IR135),$IQ$3:$IQ$200,0),1),"")</f>
        <v/>
      </c>
      <c r="IS135" s="259" t="str">
        <f t="shared" ca="1" si="457"/>
        <v/>
      </c>
      <c r="IT135" s="259" t="str">
        <f t="shared" ca="1" si="458"/>
        <v/>
      </c>
      <c r="IU135" s="259" t="str">
        <f t="shared" ca="1" si="459"/>
        <v/>
      </c>
      <c r="IV135" s="259" t="str">
        <f t="shared" ca="1" si="460"/>
        <v/>
      </c>
      <c r="IW135" s="259" t="str">
        <f t="shared" ca="1" si="461"/>
        <v/>
      </c>
      <c r="IX135" s="259" t="str">
        <f t="shared" ca="1" si="462"/>
        <v/>
      </c>
      <c r="IY135" s="259" t="str">
        <f t="shared" ca="1" si="463"/>
        <v/>
      </c>
      <c r="IZ135" s="259" t="str">
        <f t="shared" ca="1" si="464"/>
        <v/>
      </c>
      <c r="JA135" s="259" t="str">
        <f t="shared" ca="1" si="465"/>
        <v/>
      </c>
      <c r="JB135" s="259">
        <f t="shared" ca="1" si="391"/>
        <v>0</v>
      </c>
      <c r="JC135" s="259">
        <f t="shared" ca="1" si="351"/>
        <v>0</v>
      </c>
      <c r="JD135" s="259">
        <f t="shared" ca="1" si="352"/>
        <v>0</v>
      </c>
      <c r="JM135" s="259">
        <f t="shared" ca="1" si="353"/>
        <v>0</v>
      </c>
    </row>
    <row r="136" spans="1:273">
      <c r="A136" s="259" t="str">
        <f t="shared" si="392"/>
        <v>30.01</v>
      </c>
      <c r="B136" s="259" t="str">
        <f t="shared" si="393"/>
        <v>MERCI C/ACQUISTI</v>
      </c>
      <c r="C136" s="259" t="str">
        <f t="shared" si="394"/>
        <v>E</v>
      </c>
      <c r="D136" s="259" t="str">
        <f t="shared" si="395"/>
        <v>D</v>
      </c>
      <c r="E136" s="259" t="str">
        <f t="shared" si="396"/>
        <v>COSTI D'ESERCIZIO</v>
      </c>
      <c r="F136" s="259" t="str">
        <f t="shared" si="397"/>
        <v>SE DARE</v>
      </c>
      <c r="G136" s="259">
        <f t="shared" ca="1" si="398"/>
        <v>1</v>
      </c>
      <c r="H136" s="259">
        <f t="shared" ca="1" si="399"/>
        <v>1</v>
      </c>
      <c r="I136" s="259">
        <f t="shared" ca="1" si="400"/>
        <v>1</v>
      </c>
      <c r="K136" s="259" t="str">
        <f ca="1">IFERROR(IF($I$1=1,INDEX($AA$3:$AS$220,MATCH(ROWS($K$3:K136),$AQ$3:$AQ$220,0),1),IF($I$1=2,INDEX($AA$3:$AS$220,MATCH(ROWS($K$3:K136),$AR$3:$AR$220,0),1),IF($I$1=3,INDEX($AA$3:$AS$220,MATCH(ROWS($K$3:K136),$AS$3:$AS$220,0),1),""))),"")</f>
        <v>CANONI DI LEASING</v>
      </c>
      <c r="L136" s="259">
        <f ca="1">IF(AND($L$1="VISUALIZZA TUTTI I CONTI",K136&lt;&gt;""),MAX(L135:L135)+1,IFERROR(IF($J$1=1,IF(INDEX(PIANO_DEI_CONTI,MATCH($K136,DENOMINAZIONE,0),5)=$L$1,MAX($L$2:L135)+1,0),IF($J$1=2,IF(INDEX(PIANO_DEI_CONTI,MATCH($K136,DENOMINAZIONE,0),7)=$L$1,MAX($L$2:L135)+1,0))),0))</f>
        <v>134</v>
      </c>
      <c r="M136" s="259" t="str">
        <f ca="1">IFERROR(INDEX($K$3:$K$220,MATCH(ROWS($M$3:M136),$L$3:$L$220,0),1),"")</f>
        <v>CANONI DI LEASING</v>
      </c>
      <c r="Q136" s="259" t="str">
        <f ca="1">IF(IFERROR(INDEX($O$3:$P$220,MATCH(ROWS(Q$3:Q136),$P$3:$P$220,0),1),"")=0,"",IFERROR(INDEX($O$3:$P$220,MATCH(ROWS(Q$3:Q136),$P$3:$P$220,0),1),""))</f>
        <v/>
      </c>
      <c r="R136" s="259" t="str">
        <f t="shared" ca="1" si="366"/>
        <v/>
      </c>
      <c r="S136" s="259">
        <f ca="1">IF(IFERROR(MATCH(R136,DENOMINAZIONE_GIORNALE,0),0)&gt;0,MAX(S$2:S135)+1,0)</f>
        <v>0</v>
      </c>
      <c r="T136" s="259" t="str">
        <f ca="1">IFERROR(INDEX($R$3:$S$220,MATCH(ROWS($T$3:T136),$S$3:$S$220,0),1),"")</f>
        <v/>
      </c>
      <c r="U136" s="259">
        <f t="shared" ca="1" si="367"/>
        <v>0</v>
      </c>
      <c r="V136" s="259">
        <f ca="1">IF(IF(U136&lt;&gt;0,MAX($V$2:V135)+1,0)=0,0,IF(U136&lt;&gt;0,MAX($V$2:V135)+1,0))</f>
        <v>0</v>
      </c>
      <c r="W136" s="259" t="str">
        <f t="shared" si="401"/>
        <v>30.01</v>
      </c>
      <c r="X136" s="259" t="str">
        <f t="shared" si="402"/>
        <v>MERCI C/ACQUISTI</v>
      </c>
      <c r="Y136" s="259">
        <f>IF(W136="",0,MAX($Y$2:Y135)+1)</f>
        <v>115</v>
      </c>
      <c r="Z136" s="259" t="str">
        <f>IFERROR(INDEX($W$3:$Y$220,MATCH(ROWS($Z$2:Z135),$Y$3:$Y$220,0),1),"")</f>
        <v>31.15</v>
      </c>
      <c r="AA136" s="259" t="str">
        <f t="shared" si="403"/>
        <v>COMMISSIONI BANCARIE</v>
      </c>
      <c r="AB136" s="259" t="str">
        <f t="shared" si="404"/>
        <v>E</v>
      </c>
      <c r="AC136" s="259" t="str">
        <f t="shared" si="405"/>
        <v>D</v>
      </c>
      <c r="AD136" s="259" t="str">
        <f t="shared" si="406"/>
        <v>COSTI D'ESERCIZIO</v>
      </c>
      <c r="AE136" s="259" t="str">
        <f t="shared" si="407"/>
        <v>SE DARE</v>
      </c>
      <c r="AF136" s="259" t="str">
        <f t="shared" si="408"/>
        <v>COSTI PER SERVIZI</v>
      </c>
      <c r="AG136" s="259">
        <f t="shared" ca="1" si="409"/>
        <v>1</v>
      </c>
      <c r="AH136" s="259">
        <f t="shared" ca="1" si="410"/>
        <v>1</v>
      </c>
      <c r="AI136" s="259">
        <f t="shared" ca="1" si="411"/>
        <v>1</v>
      </c>
      <c r="AJ136" s="259" t="str">
        <f t="shared" si="412"/>
        <v>31</v>
      </c>
      <c r="AK136" s="259" t="str">
        <f t="shared" si="413"/>
        <v/>
      </c>
      <c r="AL136" s="259">
        <f>IF(AK136&lt;&gt;"",MAX($AL$2:AL135)+1,0)</f>
        <v>0</v>
      </c>
      <c r="AM136" s="259" t="str">
        <f>IFERROR(INDEX($AK$3:$AL$220,MATCH(ROWS($AM$3:AM136),$AL$3:$AL$220,0),1),"")</f>
        <v/>
      </c>
      <c r="AN136" s="259" t="str">
        <f t="shared" si="414"/>
        <v/>
      </c>
      <c r="AO136" s="259" t="str">
        <f t="shared" si="415"/>
        <v/>
      </c>
      <c r="AP136" s="259" t="str">
        <f t="shared" si="416"/>
        <v>COSTI PER SERVIZI</v>
      </c>
      <c r="AQ136" s="259">
        <f ca="1">IF(OR(AG136=0,AG136=""),0,MAX(AQ$2:AQ135)+1)</f>
        <v>75</v>
      </c>
      <c r="AR136" s="259">
        <f ca="1">IF(OR(AH136=0,AH136=""),0,MAX(AR$2:AR135)+1)</f>
        <v>100</v>
      </c>
      <c r="AS136" s="259">
        <f ca="1">IF(OR(AI136=0,AI136=""),0,MAX(AS$2:AS135)+1)</f>
        <v>130</v>
      </c>
      <c r="AT136" s="259" t="str">
        <f ca="1">IFERROR(INDEX($AD$3:$AS$220,MATCH(ROWS(AT$3:AT136),AQ$3:AQ$220,0),1),"")</f>
        <v/>
      </c>
      <c r="AU136" s="259" t="str">
        <f ca="1">IFERROR(INDEX($AD$3:$AS$220,MATCH(ROWS(AU$3:AU136),AR$3:AR$220,0),1),"")</f>
        <v/>
      </c>
      <c r="AV136" s="259" t="str">
        <f ca="1">IFERROR(INDEX($AD$3:$AS$220,MATCH(ROWS(AV$3:AV136),AS$3:AS$220,0),1),"")</f>
        <v>COSTI D'ESERCIZIO</v>
      </c>
      <c r="AW136" s="259" t="str">
        <f ca="1">IFERROR(INDEX($AP$3:$AS$220,MATCH(ROWS(AW$3:AW136),AQ$3:AQ$220,0),1),"")</f>
        <v/>
      </c>
      <c r="AX136" s="259" t="str">
        <f ca="1">IFERROR(INDEX($AP$3:$AS$220,MATCH(ROWS(AX$3:AX136),AR$3:AR$220,0),1),"")</f>
        <v/>
      </c>
      <c r="AY136" s="259" t="str">
        <f ca="1">IFERROR(INDEX($AP$3:$AS$220,MATCH(ROWS(AY$3:AY136),AS$3:AS$220,0),1),"")</f>
        <v>COSTI PER GODIMENTO BENI DI TERZI</v>
      </c>
      <c r="AZ136" s="259" t="str">
        <f t="shared" si="339"/>
        <v>34 V.I.</v>
      </c>
      <c r="BA136" s="259">
        <f t="shared" ca="1" si="338"/>
        <v>0</v>
      </c>
      <c r="BB136" s="259">
        <f t="shared" ca="1" si="340"/>
        <v>0</v>
      </c>
      <c r="BC136" s="259">
        <f t="shared" ca="1" si="341"/>
        <v>0</v>
      </c>
      <c r="BD136" s="259">
        <f t="shared" ca="1" si="342"/>
        <v>0</v>
      </c>
      <c r="BE136" s="259">
        <f t="shared" ca="1" si="343"/>
        <v>0</v>
      </c>
      <c r="BG136" s="259" t="str">
        <f t="shared" ca="1" si="368"/>
        <v/>
      </c>
      <c r="BH136" s="259">
        <f ca="1">IF(IFERROR(MATCH(BG136,DENOMINAZIONE_GIORNALE,0),0)&gt;0,MAX(BH$2:BH135)+1,0)</f>
        <v>0</v>
      </c>
      <c r="BI136" s="259" t="str">
        <f ca="1">IFERROR(INDEX($BG$3:$BH$220,MATCH(ROWS($BI$3:BI136),$BH$3:$BH$220,0),1),"")</f>
        <v/>
      </c>
      <c r="BJ136" s="259" t="str">
        <f t="shared" ca="1" si="369"/>
        <v/>
      </c>
      <c r="BK136" s="259" t="str">
        <f ca="1">IF(IF(BJ136&lt;&gt;"",MAX($BK$2:BK135)+1,0)=0,"",IF(BJ136&lt;&gt;"",MAX($BK$2:BK135)+1,0))</f>
        <v/>
      </c>
      <c r="BL136" s="259" t="str">
        <f ca="1">IFERROR(INDEX($T$3:$U$220, MATCH(ROWS(BL$3:BL136),$V$3:$V$220,0),1),"")</f>
        <v/>
      </c>
      <c r="BM136" s="259" t="str">
        <f ca="1">IFERROR(INDEX($T$3:$U$220, MATCH(ROWS(BM$3:BM136),$V$3:$V$220,0),2),"")</f>
        <v/>
      </c>
      <c r="BN136" s="259" t="str">
        <f ca="1">IF(IFERROR(INDEX($BI$3:$BJ$220,MATCH(ROWS(BN$3:BN136),$BK$3:$BK$220,0),1),"")="PATRIMONIO NETTO","",IFERROR(INDEX($BI$3:$BJ$220,MATCH(ROWS(BN$3:BN136),$BK$3:$BK$220,0),1),""))</f>
        <v/>
      </c>
      <c r="BO136" s="259" t="str">
        <f ca="1">IFERROR(INDEX($BI$3:$BJ$220,MATCH(ROWS(BO$3:BO136),$BK$3:$BK$220,0),2),"")</f>
        <v/>
      </c>
      <c r="BP136" s="259">
        <f ca="1">IF(BN136&lt;&gt;"",MAX(BP$2:$BP135)+1,0)</f>
        <v>0</v>
      </c>
      <c r="BQ136" s="259" t="str">
        <f ca="1">IFERROR(INDEX($BN$3:$BO$200,MATCH(ROWS(BQ$3:BQ136),$BP$3:$BP$220,0),1),"")</f>
        <v/>
      </c>
      <c r="BR136" s="259" t="str">
        <f ca="1">IFERROR(INDEX($BN$3:$BO$220,MATCH(ROWS(BR$3:BR136),$BP$3:$BP$220,0),2),"")</f>
        <v/>
      </c>
      <c r="BS136" s="259" t="str">
        <f ca="1">IFERROR(IF(OR(INDEX($T$3:$U$220,MATCH(ROWS(BL$3:BL136),$V$3:$V$220,0),1)="PRELEVAMENTI EXTRAGESTIONE",INDEX($T$3:$U$220,MATCH(ROWS(BL$3:BL136),$V$3:$V$220,0),1)="TITOLARE C/RITENUTE SUBITE"),"",INDEX($T$3:$U$220,MATCH(ROWS(BL$3:BL136),$V$3:$V$220,0),1)),"")</f>
        <v/>
      </c>
      <c r="BT136" s="259">
        <f t="shared" ca="1" si="417"/>
        <v>0</v>
      </c>
      <c r="BU136" s="259">
        <f ca="1">IF(BS136&lt;&gt;"",MAX(BU$2:BU135)+1,0)</f>
        <v>0</v>
      </c>
      <c r="BV136" s="259" t="str">
        <f ca="1">IFERROR(INDEX($BS$3:$BT$223,MATCH(ROWS(BV$3:BV136),$BU$3:$BU$223,0),1),"")</f>
        <v/>
      </c>
      <c r="BW136" s="259">
        <f t="shared" ca="1" si="418"/>
        <v>0</v>
      </c>
      <c r="CB136" s="259" t="str">
        <f ca="1">IFERROR(IF(OR($BB$1&lt;&gt;$BD$1,$BC$1&lt;&gt;$BE$1,$DS$231&lt;&gt;$DT$231,$DU$231&lt;&gt;$DV$231,$EO$25&lt;&gt;0,$EO$26&lt;&gt;0),INDEX($BI$3:$BK$220,MATCH(ROWS($CB$3:CB136),$BK$3:$BK$220,0),1),CONCATENATE(BQ136,BX136)),"")</f>
        <v/>
      </c>
      <c r="CC136" s="259" t="str">
        <f t="shared" ca="1" si="419"/>
        <v/>
      </c>
      <c r="CD136" s="259" t="str">
        <f t="shared" ca="1" si="370"/>
        <v>COMMISSIONI BANCARIE</v>
      </c>
      <c r="CE136" s="259">
        <f ca="1">IF(IFERROR(MATCH(CD136,DENOMINAZIONE_GIORNALE,0),0)&gt;0,MAX(CE$2:CE135)+1,0)</f>
        <v>0</v>
      </c>
      <c r="CF136" s="259" t="str">
        <f ca="1">IFERROR(INDEX($CD$3:$CE$220,MATCH(ROWS($CF$3:CF136),$CE$3:$CE$220,0),1),"")</f>
        <v/>
      </c>
      <c r="CG136" s="259">
        <f t="shared" ca="1" si="371"/>
        <v>0</v>
      </c>
      <c r="CH136" s="259" t="str">
        <f ca="1">IF(IF(CG136&lt;&gt;0,MAX($CH$2:CH135)+1,0)=0,"",IF(CG136&lt;&gt;"",MAX($CH$2:CH135)+1,0))</f>
        <v/>
      </c>
      <c r="CI136" s="259" t="str">
        <f ca="1">IFERROR(INDEX($CF$3:$CG$220,MATCH(ROWS($CI$3:CI136),$CH$3:$CH$220,0),1),"")</f>
        <v/>
      </c>
      <c r="CJ136" s="259" t="str">
        <f t="shared" ca="1" si="420"/>
        <v/>
      </c>
      <c r="CK136" s="259" t="str">
        <f t="shared" ca="1" si="372"/>
        <v/>
      </c>
      <c r="CL136" s="259">
        <f ca="1">IF(IFERROR(MATCH(CK136,DENOMINAZIONE_GIORNALE,0),0)&gt;0,MAX(CL$2:CL135)+1,0)</f>
        <v>0</v>
      </c>
      <c r="CM136" s="259" t="str">
        <f ca="1">IFERROR(INDEX($CK$3:$CL$220,MATCH(ROWS($CM$3:CM136),$CL$3:$CL$220,0),1),"")</f>
        <v/>
      </c>
      <c r="CN136" s="259" t="str">
        <f t="shared" ca="1" si="373"/>
        <v/>
      </c>
      <c r="CO136" s="259">
        <f ca="1">IF(IF(CN136&lt;&gt;0,MAX($CO$2:CO135)+1,0)=0,"",IF(CN136&lt;&gt;"",MAX($CO$2:CO135)+1,0))</f>
        <v>0</v>
      </c>
      <c r="CP136" s="259" t="str">
        <f ca="1">IFERROR(INDEX($CM$3:$CN$220,MATCH(ROWS(CP$3:CP136),$CO$3:$CO$220,0),1),"")</f>
        <v/>
      </c>
      <c r="CQ136" s="259" t="str">
        <f ca="1">IFERROR(INDEX($CM$3:$CN$220,MATCH(ROWS(CQ$3:CQ136),$CO$3:$CO$220,0),2),"")</f>
        <v/>
      </c>
      <c r="CS136" s="259">
        <f t="shared" ca="1" si="374"/>
        <v>0</v>
      </c>
      <c r="CT136" s="259">
        <f t="shared" ca="1" si="375"/>
        <v>0</v>
      </c>
      <c r="CU136" s="259">
        <f ca="1">IF(OR(CS136&gt;0,CT136&gt;0),MAX($CU$2:CU135)+1,0)</f>
        <v>0</v>
      </c>
      <c r="CV136" s="259" t="str">
        <f ca="1">IFERROR(INDEX(PIANO_DEI_CONTI,MATCH(ROWS($CV$3:CV136),$CU$3:$CU$200,0),2),"")</f>
        <v/>
      </c>
      <c r="CW136" s="259">
        <f ca="1">IFERROR(IF(CV136&lt;&gt;"",MAX($CW$2:CW135)+1,0),0)</f>
        <v>0</v>
      </c>
      <c r="CX136" s="259">
        <f t="shared" ca="1" si="364"/>
        <v>8</v>
      </c>
      <c r="CY136" s="259" t="str">
        <f t="shared" ca="1" si="469"/>
        <v>MASTRO</v>
      </c>
      <c r="CZ136" s="259" t="e">
        <f t="shared" ca="1" si="376"/>
        <v>#N/A</v>
      </c>
      <c r="DA136" s="259" t="str">
        <f t="shared" ca="1" si="421"/>
        <v/>
      </c>
      <c r="DB136" s="259" t="str">
        <f t="shared" ca="1" si="377"/>
        <v/>
      </c>
      <c r="DC136" s="259" t="str">
        <f t="shared" ca="1" si="378"/>
        <v/>
      </c>
      <c r="DD136" s="259" t="str">
        <f t="shared" ca="1" si="379"/>
        <v/>
      </c>
      <c r="DE136" s="259" t="str">
        <f t="shared" ca="1" si="380"/>
        <v/>
      </c>
      <c r="DF136" s="259">
        <f ca="1">IF(AND(CX136=$DE$2,$DF$2&lt;&gt;0),0,IF(AND(DB136&lt;&gt;"",OR(DB135&lt;&gt;"",DB137&lt;&gt;"")),MAX($DF$2:DF135)+1,0))</f>
        <v>0</v>
      </c>
      <c r="DG136" s="259" t="str">
        <f>IF(IF(LIBRO_GIORNALE!E44="","",IFERROR(INDEX(PIANO_DEI_CONTI,MATCH(BB136,DENOMINAZIONE,0),1),0))=0,"",IF(LIBRO_GIORNALE!E44="","",IFERROR(INDEX(PIANO_DEI_CONTI,MATCH(BB136,DENOMINAZIONE,0),1),0)))</f>
        <v/>
      </c>
      <c r="DH136" s="259">
        <f ca="1">IFERROR(IF($J$1=1,IF(INDEX(PIANO_DEI_CONTI,MATCH($K136,DENOMINAZIONE,0),5)=$DF$1,MAX($DH$2:DH135)+1,0),IF($J$1=2,IF(INDEX(PIANO_DEI_CONTI,MATCH($K136,DENOMINAZIONE,0),7)=$DF$1,MAX($DH$2:DH135)+1,0))),0)</f>
        <v>0</v>
      </c>
      <c r="DI136" s="259">
        <f ca="1">IFERROR(INDEX($K$3:$K$220,MATCH(ROWS($DI$3:DI136),$DH$3:$DH$220,0),1),0)</f>
        <v>0</v>
      </c>
      <c r="DJ136" s="259">
        <f t="shared" ca="1" si="381"/>
        <v>0</v>
      </c>
      <c r="DK136" s="259">
        <f ca="1">IF(DJ136=0,0,MAX(DK$2:DK135)+1)</f>
        <v>0</v>
      </c>
      <c r="DL136" s="259">
        <f ca="1">IFERROR(INDEX(PIANO_DEI_CONTI,MATCH(ROWS(DL$3:DL136),$DK$3:DK363,0),2),0)</f>
        <v>0</v>
      </c>
      <c r="DM136" s="259">
        <f t="shared" ca="1" si="382"/>
        <v>0</v>
      </c>
      <c r="DN136" s="259">
        <f t="shared" ca="1" si="383"/>
        <v>0</v>
      </c>
      <c r="DO136" s="259">
        <f t="shared" ca="1" si="422"/>
        <v>0</v>
      </c>
      <c r="DP136" s="259">
        <f t="shared" ca="1" si="423"/>
        <v>0</v>
      </c>
      <c r="DQ136" s="259">
        <f ca="1">IF(OR($DQ$1="TOTALI",$DQ$1="TOTALI ED ECCEDENZE"),IF(OR(DM136&gt;0,DN136&gt;0),MAX(DQ$2:DQ135)+1,0),IF($DQ$1="ECCEDENZE",IF(OR(DO136&gt;0,DP136&gt;0),MAX(DQ$2:DQ135)+1,0),""))</f>
        <v>0</v>
      </c>
      <c r="DR136" s="259" t="str">
        <f ca="1">IFERROR(INDEX($DL$3:$DQ$230,MATCH(ROWS(DR$3:DR136),$DQ$3:$DQ$230,0),1),"")</f>
        <v/>
      </c>
      <c r="DS136" s="259" t="str">
        <f t="shared" ca="1" si="424"/>
        <v/>
      </c>
      <c r="DT136" s="259" t="str">
        <f t="shared" ca="1" si="425"/>
        <v/>
      </c>
      <c r="DU136" s="259" t="str">
        <f t="shared" ca="1" si="426"/>
        <v/>
      </c>
      <c r="DV136" s="259" t="str">
        <f t="shared" ca="1" si="427"/>
        <v/>
      </c>
      <c r="DW136" s="259">
        <f t="shared" ca="1" si="428"/>
        <v>0</v>
      </c>
      <c r="DX136" s="259" t="str">
        <f t="shared" ca="1" si="429"/>
        <v/>
      </c>
      <c r="DY136" s="259" t="str">
        <f t="shared" ca="1" si="430"/>
        <v/>
      </c>
      <c r="DZ136" s="259" t="str">
        <f t="shared" ca="1" si="431"/>
        <v/>
      </c>
      <c r="EB136" s="259" t="s">
        <v>369</v>
      </c>
      <c r="ED136" s="259">
        <f t="shared" ca="1" si="384"/>
        <v>0</v>
      </c>
      <c r="EH136" s="259" t="str">
        <f t="shared" ca="1" si="432"/>
        <v/>
      </c>
      <c r="EI136" s="260" t="b">
        <f t="shared" ca="1" si="466"/>
        <v>1</v>
      </c>
      <c r="EJ136" s="260" t="b">
        <f t="shared" ca="1" si="467"/>
        <v>1</v>
      </c>
      <c r="EK136" s="260" t="b">
        <f t="shared" ca="1" si="468"/>
        <v>1</v>
      </c>
      <c r="EL136" s="259">
        <f t="shared" si="433"/>
        <v>134</v>
      </c>
      <c r="EM136" s="259">
        <f ca="1">IF(AND(BA136&gt;0,BA136&lt;=$EM$1),MAX($EM$2:EM135)+1,0)</f>
        <v>0</v>
      </c>
      <c r="EN136" s="259">
        <f t="shared" ca="1" si="434"/>
        <v>136</v>
      </c>
      <c r="EP136" s="259" t="str">
        <f t="shared" ca="1" si="385"/>
        <v/>
      </c>
      <c r="EQ136" s="259">
        <f t="shared" ca="1" si="386"/>
        <v>0</v>
      </c>
      <c r="ER136" s="259">
        <f ca="1">IF(ISNA(EQ136),MAX(ER$2:ER135)+1,0)</f>
        <v>0</v>
      </c>
      <c r="ES136" s="259" t="str">
        <f t="shared" ca="1" si="435"/>
        <v/>
      </c>
      <c r="ET136" s="259" t="str">
        <f ca="1">IFERROR(UPPER(INDEX($ER$3:$ES$500,MATCH(ROWS(ET$3:ET136),$ER$3:$ER$500,0),2)),"")</f>
        <v/>
      </c>
      <c r="EW136" s="259">
        <f t="shared" ca="1" si="344"/>
        <v>1</v>
      </c>
      <c r="EX136" s="259">
        <v>34</v>
      </c>
      <c r="EY136" s="259">
        <f t="shared" ca="1" si="345"/>
        <v>0</v>
      </c>
      <c r="EZ136" s="259">
        <f t="shared" ca="1" si="346"/>
        <v>0</v>
      </c>
      <c r="FA136" s="259">
        <f t="shared" ca="1" si="347"/>
        <v>0</v>
      </c>
      <c r="FB136" s="259">
        <f t="shared" ca="1" si="348"/>
        <v>0</v>
      </c>
      <c r="FC136" s="259">
        <f t="shared" ca="1" si="349"/>
        <v>0</v>
      </c>
      <c r="FD136" s="259">
        <f t="shared" ca="1" si="387"/>
        <v>0</v>
      </c>
      <c r="FE136" s="259" t="str">
        <f t="shared" ca="1" si="388"/>
        <v/>
      </c>
      <c r="FF136" s="259" t="str">
        <f t="shared" ca="1" si="350"/>
        <v/>
      </c>
      <c r="FM136" s="259">
        <f t="shared" ca="1" si="389"/>
        <v>0</v>
      </c>
      <c r="FN136" s="259">
        <f ca="1">IF(FM136&lt;0,MAX($FN$2:FN135)+1,0)</f>
        <v>0</v>
      </c>
      <c r="FO136" s="259" t="str">
        <f t="shared" ca="1" si="436"/>
        <v/>
      </c>
      <c r="FP136" s="259" t="str">
        <f ca="1">IFERROR(INDEX($FN$3:$FO$400,MATCH(ROWS($FP$3:FP136),$FN$3:$FN$400,0),2),"")</f>
        <v/>
      </c>
      <c r="FQ136" s="259" t="str">
        <f>IF(AE136="SE AVERE",MAX($FQ$2:FQ135)+1,"")</f>
        <v/>
      </c>
      <c r="FR136" s="259">
        <f>IF(AE136="SE DARE",MAX($FR$2:FR135)+1,"")</f>
        <v>41</v>
      </c>
      <c r="FS136" s="259" t="str">
        <f ca="1">IF(AND(AE136="SP DARE",AA136&lt;&gt;$FS$1,AA136&lt;&gt;$FT$1),MAX($FS$2:FS135)+1,IF(AND(GQ136="SP DARE",AA136&lt;&gt;$FS$1,AA136&lt;&gt;$FT$1),MAX($FS$2:FS135)+1,""))</f>
        <v/>
      </c>
      <c r="FT136" s="259" t="str">
        <f ca="1">IF(AND(AE136="SP AVERE",AA136&lt;&gt;$FU$1),MAX($FT$2:FT135)+1,IF(AND(GQ136="SP AVERE",AA136&lt;&gt;$FU$1),MAX($FT$2:FT135)+1,""))</f>
        <v/>
      </c>
      <c r="FU136" s="259">
        <f t="shared" ca="1" si="437"/>
        <v>41</v>
      </c>
      <c r="FV136" s="259" t="str">
        <f t="shared" si="438"/>
        <v>COMMISSIONI BANCARIE</v>
      </c>
      <c r="FW136" s="259" t="str">
        <f ca="1">IFERROR(INDEX($FU$3:$FV$500,MATCH(ROWS($FW$3:FW136),$FU$3:$FU$500,0),2),0)</f>
        <v>FONDO AMMORTAMENTO SOFTWARE</v>
      </c>
      <c r="FX136" s="259">
        <f t="shared" ca="1" si="439"/>
        <v>134</v>
      </c>
      <c r="FY136" s="259">
        <f t="shared" ca="1" si="440"/>
        <v>0</v>
      </c>
      <c r="FZ136" s="259">
        <f ca="1">IF(FY136&gt;0,MAX($FZ$2:FZ135)+1,0)</f>
        <v>0</v>
      </c>
      <c r="GA136" s="259">
        <f ca="1">IFERROR(INDEX($FY$3:$FZ$500,MATCH(ROWS($GA$3:GA136),$FZ$3:$FZ$500,0),1),0)</f>
        <v>0</v>
      </c>
      <c r="GC136" s="259">
        <f t="shared" ca="1" si="441"/>
        <v>134</v>
      </c>
      <c r="GD136" s="259" t="str">
        <f t="shared" ca="1" si="442"/>
        <v>FONDO AMMORTAMENTO SOFTWARE</v>
      </c>
      <c r="GG136" s="259">
        <f t="shared" ca="1" si="443"/>
        <v>0</v>
      </c>
      <c r="GH136" s="259">
        <f t="shared" ca="1" si="444"/>
        <v>0</v>
      </c>
      <c r="GI136" s="259">
        <f t="shared" ca="1" si="445"/>
        <v>0</v>
      </c>
      <c r="GJ136" s="259">
        <f t="shared" ca="1" si="446"/>
        <v>0</v>
      </c>
      <c r="GK136" s="259">
        <f t="shared" ca="1" si="447"/>
        <v>0</v>
      </c>
      <c r="GL136" s="259">
        <f t="shared" ca="1" si="447"/>
        <v>0</v>
      </c>
      <c r="GM136" s="259">
        <f ca="1">IF(OR(GK136&gt;0,GL136&gt;0),MAX($GM$2:GM135)+1,0)</f>
        <v>0</v>
      </c>
      <c r="GN136" s="259" t="str">
        <f ca="1">IFERROR(INDEX($GD$3:$GM$400,MATCH(ROWS($GN$3:GN136),$GM$3:$GM$400,0),1),"")</f>
        <v/>
      </c>
      <c r="GO136" s="259" t="str">
        <f ca="1">IFERROR(INDEX($GD$3:$GM$400,MATCH(ROWS($GO$3:GO136),$GM$3:$GM$400,0),8),"")</f>
        <v/>
      </c>
      <c r="GP136" s="259" t="str">
        <f ca="1">IFERROR(INDEX($GD$3:$GM$400,MATCH(ROWS($GP$3:GP136),$GM$3:$GM$400,0),9),"")</f>
        <v/>
      </c>
      <c r="GQ136" s="259">
        <f t="shared" ca="1" si="390"/>
        <v>0</v>
      </c>
      <c r="GR136" s="259">
        <f t="shared" ca="1" si="448"/>
        <v>0</v>
      </c>
      <c r="GS136" s="259" t="str">
        <f t="shared" ca="1" si="449"/>
        <v>chiusura del conto</v>
      </c>
      <c r="GT136" s="259" t="str">
        <f ca="1">IFERROR(INDEX($GD$3:$GS$400,MATCH(ROWS($GT$3:GT136),$GM$3:$GM$400,0),16),"")</f>
        <v/>
      </c>
      <c r="GU136" s="259">
        <f ca="1">IF(GQ136&lt;&gt;0,MAX($GU$2:$GU135)+1,0)</f>
        <v>0</v>
      </c>
      <c r="GV136" s="259">
        <f t="shared" ca="1" si="450"/>
        <v>0</v>
      </c>
      <c r="GW136" s="259" t="str">
        <f ca="1">IF(AND(IFERROR(INDEX($GU$3:$GV$400,MATCH(ROWS($GW$3:GW136),$GU$3:$GU$400,0),2),"")&lt;&gt;"",GW137&lt;&gt;""),CONCATENATE(IFERROR(INDEX($GU$3:$GV$400,MATCH(ROWS($GW$3:GW136),$GU$3:$GU$400,0),2),"")," - "),IFERROR(INDEX($GU$3:$GV$400,MATCH(ROWS($GW$3:GW136),$GU$3:$GU$400,0),2),""))</f>
        <v/>
      </c>
      <c r="GX136" s="259">
        <f ca="1">IF(OR(GN136="IVA NS/CREDITO",GN136="IVA NS/DEBITO",GN136="IVA C/ACCONTO",GN136="IMPOSTE C/ACCONTO"),MAX($GX$2:GX135)+1,0)</f>
        <v>0</v>
      </c>
      <c r="GY136" s="259" t="str">
        <f ca="1">IF(AND(IFERROR(INDEX($GN$3:$GX$200,MATCH(ROWS($GY$3:GY136),$GX$3:$GX$200,0),1),"")&lt;&gt;"",GY137&lt;&gt;""),CONCATENATE(IFERROR(INDEX($GN$3:$GX$200,MATCH(ROWS($GY$3:GY136),$GX$3:$GX$200,0),1),"")," - "),IFERROR(INDEX($GN$3:$GX$200,MATCH(ROWS($GY$3:GY136),$GX$3:$GX$200,0),1),""))</f>
        <v/>
      </c>
      <c r="GZ136" s="259" t="s">
        <v>140</v>
      </c>
      <c r="HA136" s="259" t="s">
        <v>565</v>
      </c>
      <c r="HB136" s="269" t="s">
        <v>256</v>
      </c>
      <c r="HC136" s="269" t="s">
        <v>276</v>
      </c>
      <c r="HD136" s="269" t="s">
        <v>7</v>
      </c>
      <c r="HE136" s="269" t="s">
        <v>214</v>
      </c>
      <c r="HV136" s="259" t="str">
        <f ca="1">CONCATENATE(IFERROR(INDEX($HS$3:$HT$102,MATCH(ROWS($HV$3:HV136),$HT$3:$HT$102,0),1),""),HR136)</f>
        <v/>
      </c>
      <c r="IC136" s="259">
        <f ca="1">IFERROR(INDEX(PIANO_DEI_CONTI,MATCH(ROWS(DL$3:DL136),$DK$3:DK363,0),2),0)</f>
        <v>0</v>
      </c>
      <c r="ID136" s="259">
        <f t="shared" ca="1" si="451"/>
        <v>0</v>
      </c>
      <c r="IE136" s="259">
        <f t="shared" ca="1" si="452"/>
        <v>0</v>
      </c>
      <c r="IF136" s="259">
        <f t="shared" ca="1" si="453"/>
        <v>0</v>
      </c>
      <c r="IG136" s="259">
        <f t="shared" ca="1" si="324"/>
        <v>0</v>
      </c>
      <c r="IH136" s="259">
        <f ca="1">IF(IG136&lt;&gt;0,MAX($IH$35:IH135)+1,0)</f>
        <v>0</v>
      </c>
      <c r="II136" s="259">
        <f>IF(AD136="costi pluriennali",MAX($II$2:II135)+1,0)</f>
        <v>0</v>
      </c>
      <c r="IJ136" s="259">
        <f>IF($AD136="rettifiche costi pluriennali",MAX($IJ$2:IJ135)+1,0)</f>
        <v>0</v>
      </c>
      <c r="IK136" s="259">
        <f t="shared" si="454"/>
        <v>0</v>
      </c>
      <c r="IL136" s="259" t="str">
        <f t="shared" si="455"/>
        <v/>
      </c>
      <c r="IM136" s="259">
        <f t="shared" ca="1" si="456"/>
        <v>0</v>
      </c>
      <c r="IN136" s="259">
        <f t="shared" ca="1" si="470"/>
        <v>0</v>
      </c>
      <c r="IO136" s="259">
        <f>SUMIFS($IM$3:$IM$200,$IK$3:$IK$200,ROWS($IO$3:IO136))-SUMIFS($IN$3:$IN$200,$IK$3:$IK$200,ROWS($IO$3:IO136))</f>
        <v>0</v>
      </c>
      <c r="IP136" s="259" t="str">
        <f>IF(IO136&lt;0,INDEX($IJ$3:$IL$200,MATCH(ROWS($IP$3:IP136),$IJ$3:$IJ$200,0),3),"")</f>
        <v/>
      </c>
      <c r="IQ136" s="259">
        <f>IF(IP136&lt;&gt;"",MAX($IQ$2:IQ135)+1,0)</f>
        <v>0</v>
      </c>
      <c r="IR136" s="259" t="str">
        <f ca="1">IFERROR(INDEX($IP$3:$IQ$200,MATCH(ROWS($IR$3:IR136),$IQ$3:$IQ$200,0),1),"")</f>
        <v/>
      </c>
      <c r="IS136" s="259" t="str">
        <f t="shared" ca="1" si="457"/>
        <v/>
      </c>
      <c r="IT136" s="259" t="str">
        <f t="shared" ca="1" si="458"/>
        <v/>
      </c>
      <c r="IU136" s="259" t="str">
        <f t="shared" ca="1" si="459"/>
        <v/>
      </c>
      <c r="IV136" s="259" t="str">
        <f t="shared" ca="1" si="460"/>
        <v/>
      </c>
      <c r="IW136" s="259" t="str">
        <f t="shared" ca="1" si="461"/>
        <v/>
      </c>
      <c r="IX136" s="259" t="str">
        <f t="shared" ca="1" si="462"/>
        <v/>
      </c>
      <c r="IY136" s="259" t="str">
        <f t="shared" ca="1" si="463"/>
        <v/>
      </c>
      <c r="IZ136" s="259" t="str">
        <f t="shared" ca="1" si="464"/>
        <v/>
      </c>
      <c r="JA136" s="259" t="str">
        <f t="shared" ca="1" si="465"/>
        <v/>
      </c>
      <c r="JB136" s="259">
        <f t="shared" ca="1" si="391"/>
        <v>0</v>
      </c>
      <c r="JC136" s="259">
        <f t="shared" ca="1" si="351"/>
        <v>0</v>
      </c>
      <c r="JD136" s="259">
        <f t="shared" ca="1" si="352"/>
        <v>0</v>
      </c>
      <c r="JM136" s="259">
        <f t="shared" ca="1" si="353"/>
        <v>0</v>
      </c>
    </row>
    <row r="137" spans="1:273">
      <c r="A137" s="259" t="str">
        <f t="shared" si="392"/>
        <v>30.02</v>
      </c>
      <c r="B137" s="259" t="str">
        <f t="shared" si="393"/>
        <v>MATERIE DI CONSUMO C/ACQUISTI</v>
      </c>
      <c r="C137" s="259" t="str">
        <f t="shared" si="394"/>
        <v>E</v>
      </c>
      <c r="D137" s="259" t="str">
        <f t="shared" si="395"/>
        <v>D</v>
      </c>
      <c r="E137" s="259" t="str">
        <f t="shared" si="396"/>
        <v>COSTI D'ESERCIZIO</v>
      </c>
      <c r="F137" s="259" t="str">
        <f t="shared" si="397"/>
        <v>SE DARE</v>
      </c>
      <c r="G137" s="259">
        <f t="shared" ca="1" si="398"/>
        <v>1</v>
      </c>
      <c r="H137" s="259">
        <f t="shared" ca="1" si="399"/>
        <v>1</v>
      </c>
      <c r="I137" s="259">
        <f t="shared" ca="1" si="400"/>
        <v>1</v>
      </c>
      <c r="K137" s="259" t="str">
        <f ca="1">IFERROR(IF($I$1=1,INDEX($AA$3:$AS$220,MATCH(ROWS($K$3:K137),$AQ$3:$AQ$220,0),1),IF($I$1=2,INDEX($AA$3:$AS$220,MATCH(ROWS($K$3:K137),$AR$3:$AR$220,0),1),IF($I$1=3,INDEX($AA$3:$AS$220,MATCH(ROWS($K$3:K137),$AS$3:$AS$220,0),1),""))),"")</f>
        <v>SALARI E STIPENDI</v>
      </c>
      <c r="L137" s="259">
        <f ca="1">IF(AND($L$1="VISUALIZZA TUTTI I CONTI",K137&lt;&gt;""),MAX(L136:L136)+1,IFERROR(IF($J$1=1,IF(INDEX(PIANO_DEI_CONTI,MATCH($K137,DENOMINAZIONE,0),5)=$L$1,MAX($L$2:L136)+1,0),IF($J$1=2,IF(INDEX(PIANO_DEI_CONTI,MATCH($K137,DENOMINAZIONE,0),7)=$L$1,MAX($L$2:L136)+1,0))),0))</f>
        <v>135</v>
      </c>
      <c r="M137" s="259" t="str">
        <f ca="1">IFERROR(INDEX($K$3:$K$220,MATCH(ROWS($M$3:M137),$L$3:$L$220,0),1),"")</f>
        <v>SALARI E STIPENDI</v>
      </c>
      <c r="Q137" s="259" t="str">
        <f ca="1">IF(IFERROR(INDEX($O$3:$P$220,MATCH(ROWS(Q$3:Q137),$P$3:$P$220,0),1),"")=0,"",IFERROR(INDEX($O$3:$P$220,MATCH(ROWS(Q$3:Q137),$P$3:$P$220,0),1),""))</f>
        <v/>
      </c>
      <c r="R137" s="259" t="str">
        <f t="shared" ca="1" si="366"/>
        <v/>
      </c>
      <c r="S137" s="259">
        <f ca="1">IF(IFERROR(MATCH(R137,DENOMINAZIONE_GIORNALE,0),0)&gt;0,MAX(S$2:S136)+1,0)</f>
        <v>0</v>
      </c>
      <c r="T137" s="259" t="str">
        <f ca="1">IFERROR(INDEX($R$3:$S$220,MATCH(ROWS($T$3:T137),$S$3:$S$220,0),1),"")</f>
        <v/>
      </c>
      <c r="U137" s="259">
        <f t="shared" ca="1" si="367"/>
        <v>0</v>
      </c>
      <c r="V137" s="259">
        <f ca="1">IF(IF(U137&lt;&gt;0,MAX($V$2:V136)+1,0)=0,0,IF(U137&lt;&gt;0,MAX($V$2:V136)+1,0))</f>
        <v>0</v>
      </c>
      <c r="W137" s="259" t="str">
        <f t="shared" si="401"/>
        <v>30.02</v>
      </c>
      <c r="X137" s="259" t="str">
        <f t="shared" si="402"/>
        <v>MATERIE DI CONSUMO C/ACQUISTI</v>
      </c>
      <c r="Y137" s="259">
        <f>IF(W137="",0,MAX($Y$2:Y136)+1)</f>
        <v>116</v>
      </c>
      <c r="Z137" s="259" t="str">
        <f>IFERROR(INDEX($W$3:$Y$220,MATCH(ROWS($Z$2:Z136),$Y$3:$Y$220,0),1),"")</f>
        <v>31.16</v>
      </c>
      <c r="AA137" s="259" t="str">
        <f t="shared" si="403"/>
        <v>COSTI DI TENUTA C/C</v>
      </c>
      <c r="AB137" s="259" t="str">
        <f t="shared" si="404"/>
        <v>E</v>
      </c>
      <c r="AC137" s="259" t="str">
        <f t="shared" si="405"/>
        <v>D</v>
      </c>
      <c r="AD137" s="259" t="str">
        <f t="shared" si="406"/>
        <v>COSTI D'ESERCIZIO</v>
      </c>
      <c r="AE137" s="259" t="str">
        <f t="shared" si="407"/>
        <v>SE DARE</v>
      </c>
      <c r="AF137" s="259" t="str">
        <f t="shared" si="408"/>
        <v>COSTI PER SERVIZI</v>
      </c>
      <c r="AG137" s="259">
        <f t="shared" ca="1" si="409"/>
        <v>1</v>
      </c>
      <c r="AH137" s="259">
        <f t="shared" ca="1" si="410"/>
        <v>1</v>
      </c>
      <c r="AI137" s="259">
        <f t="shared" ca="1" si="411"/>
        <v>1</v>
      </c>
      <c r="AJ137" s="259" t="str">
        <f t="shared" si="412"/>
        <v>31</v>
      </c>
      <c r="AK137" s="259" t="str">
        <f t="shared" si="413"/>
        <v/>
      </c>
      <c r="AL137" s="259">
        <f>IF(AK137&lt;&gt;"",MAX($AL$2:AL136)+1,0)</f>
        <v>0</v>
      </c>
      <c r="AM137" s="259" t="str">
        <f>IFERROR(INDEX($AK$3:$AL$220,MATCH(ROWS($AM$3:AM137),$AL$3:$AL$220,0),1),"")</f>
        <v/>
      </c>
      <c r="AN137" s="259" t="str">
        <f t="shared" si="414"/>
        <v/>
      </c>
      <c r="AO137" s="259" t="str">
        <f t="shared" si="415"/>
        <v/>
      </c>
      <c r="AP137" s="259" t="str">
        <f t="shared" si="416"/>
        <v>COSTI PER SERVIZI</v>
      </c>
      <c r="AQ137" s="259">
        <f ca="1">IF(OR(AG137=0,AG137=""),0,MAX(AQ$2:AQ136)+1)</f>
        <v>76</v>
      </c>
      <c r="AR137" s="259">
        <f ca="1">IF(OR(AH137=0,AH137=""),0,MAX(AR$2:AR136)+1)</f>
        <v>101</v>
      </c>
      <c r="AS137" s="259">
        <f ca="1">IF(OR(AI137=0,AI137=""),0,MAX(AS$2:AS136)+1)</f>
        <v>131</v>
      </c>
      <c r="AT137" s="259" t="str">
        <f ca="1">IFERROR(INDEX($AD$3:$AS$220,MATCH(ROWS(AT$3:AT137),AQ$3:AQ$220,0),1),"")</f>
        <v/>
      </c>
      <c r="AU137" s="259" t="str">
        <f ca="1">IFERROR(INDEX($AD$3:$AS$220,MATCH(ROWS(AU$3:AU137),AR$3:AR$220,0),1),"")</f>
        <v/>
      </c>
      <c r="AV137" s="259" t="str">
        <f ca="1">IFERROR(INDEX($AD$3:$AS$220,MATCH(ROWS(AV$3:AV137),AS$3:AS$220,0),1),"")</f>
        <v>COSTI D'ESERCIZIO</v>
      </c>
      <c r="AW137" s="259" t="str">
        <f ca="1">IFERROR(INDEX($AP$3:$AS$220,MATCH(ROWS(AW$3:AW137),AQ$3:AQ$220,0),1),"")</f>
        <v/>
      </c>
      <c r="AX137" s="259" t="str">
        <f ca="1">IFERROR(INDEX($AP$3:$AS$220,MATCH(ROWS(AX$3:AX137),AR$3:AR$220,0),1),"")</f>
        <v/>
      </c>
      <c r="AY137" s="259" t="str">
        <f ca="1">IFERROR(INDEX($AP$3:$AS$220,MATCH(ROWS(AY$3:AY137),AS$3:AS$220,0),1),"")</f>
        <v>COSTI PER IL PERSONALE</v>
      </c>
      <c r="AZ137" s="259" t="str">
        <f t="shared" si="339"/>
        <v>35 V.I.</v>
      </c>
      <c r="BA137" s="259">
        <f t="shared" ca="1" si="338"/>
        <v>0</v>
      </c>
      <c r="BB137" s="259">
        <f t="shared" ca="1" si="340"/>
        <v>0</v>
      </c>
      <c r="BC137" s="259">
        <f t="shared" ca="1" si="341"/>
        <v>0</v>
      </c>
      <c r="BD137" s="259">
        <f t="shared" ca="1" si="342"/>
        <v>0</v>
      </c>
      <c r="BE137" s="259">
        <f t="shared" ca="1" si="343"/>
        <v>0</v>
      </c>
      <c r="BG137" s="259" t="str">
        <f t="shared" ca="1" si="368"/>
        <v/>
      </c>
      <c r="BH137" s="259">
        <f ca="1">IF(IFERROR(MATCH(BG137,DENOMINAZIONE_GIORNALE,0),0)&gt;0,MAX(BH$2:BH136)+1,0)</f>
        <v>0</v>
      </c>
      <c r="BI137" s="259" t="str">
        <f ca="1">IFERROR(INDEX($BG$3:$BH$220,MATCH(ROWS($BI$3:BI137),$BH$3:$BH$220,0),1),"")</f>
        <v/>
      </c>
      <c r="BJ137" s="259" t="str">
        <f t="shared" ca="1" si="369"/>
        <v/>
      </c>
      <c r="BK137" s="259" t="str">
        <f ca="1">IF(IF(BJ137&lt;&gt;"",MAX($BK$2:BK136)+1,0)=0,"",IF(BJ137&lt;&gt;"",MAX($BK$2:BK136)+1,0))</f>
        <v/>
      </c>
      <c r="BL137" s="259" t="str">
        <f ca="1">IFERROR(INDEX($T$3:$U$220, MATCH(ROWS(BL$3:BL137),$V$3:$V$220,0),1),"")</f>
        <v/>
      </c>
      <c r="BM137" s="259" t="str">
        <f ca="1">IFERROR(INDEX($T$3:$U$220, MATCH(ROWS(BM$3:BM137),$V$3:$V$220,0),2),"")</f>
        <v/>
      </c>
      <c r="BN137" s="259" t="str">
        <f ca="1">IF(IFERROR(INDEX($BI$3:$BJ$220,MATCH(ROWS(BN$3:BN137),$BK$3:$BK$220,0),1),"")="PATRIMONIO NETTO","",IFERROR(INDEX($BI$3:$BJ$220,MATCH(ROWS(BN$3:BN137),$BK$3:$BK$220,0),1),""))</f>
        <v/>
      </c>
      <c r="BO137" s="259" t="str">
        <f ca="1">IFERROR(INDEX($BI$3:$BJ$220,MATCH(ROWS(BO$3:BO137),$BK$3:$BK$220,0),2),"")</f>
        <v/>
      </c>
      <c r="BP137" s="259">
        <f ca="1">IF(BN137&lt;&gt;"",MAX(BP$2:$BP136)+1,0)</f>
        <v>0</v>
      </c>
      <c r="BQ137" s="259" t="str">
        <f ca="1">IFERROR(INDEX($BN$3:$BO$200,MATCH(ROWS(BQ$3:BQ137),$BP$3:$BP$220,0),1),"")</f>
        <v/>
      </c>
      <c r="BR137" s="259" t="str">
        <f ca="1">IFERROR(INDEX($BN$3:$BO$220,MATCH(ROWS(BR$3:BR137),$BP$3:$BP$220,0),2),"")</f>
        <v/>
      </c>
      <c r="BS137" s="259" t="str">
        <f ca="1">IFERROR(IF(OR(INDEX($T$3:$U$220,MATCH(ROWS(BL$3:BL137),$V$3:$V$220,0),1)="PRELEVAMENTI EXTRAGESTIONE",INDEX($T$3:$U$220,MATCH(ROWS(BL$3:BL137),$V$3:$V$220,0),1)="TITOLARE C/RITENUTE SUBITE"),"",INDEX($T$3:$U$220,MATCH(ROWS(BL$3:BL137),$V$3:$V$220,0),1)),"")</f>
        <v/>
      </c>
      <c r="BT137" s="259">
        <f t="shared" ca="1" si="417"/>
        <v>0</v>
      </c>
      <c r="BU137" s="259">
        <f ca="1">IF(BS137&lt;&gt;"",MAX(BU$2:BU136)+1,0)</f>
        <v>0</v>
      </c>
      <c r="BV137" s="259" t="str">
        <f ca="1">IFERROR(INDEX($BS$3:$BT$223,MATCH(ROWS(BV$3:BV137),$BU$3:$BU$223,0),1),"")</f>
        <v/>
      </c>
      <c r="BW137" s="259">
        <f t="shared" ca="1" si="418"/>
        <v>0</v>
      </c>
      <c r="CB137" s="259" t="str">
        <f ca="1">IFERROR(IF(OR($BB$1&lt;&gt;$BD$1,$BC$1&lt;&gt;$BE$1,$DS$231&lt;&gt;$DT$231,$DU$231&lt;&gt;$DV$231,$EO$25&lt;&gt;0,$EO$26&lt;&gt;0),INDEX($BI$3:$BK$220,MATCH(ROWS($CB$3:CB137),$BK$3:$BK$220,0),1),CONCATENATE(BQ137,BX137)),"")</f>
        <v/>
      </c>
      <c r="CC137" s="259" t="str">
        <f t="shared" ca="1" si="419"/>
        <v/>
      </c>
      <c r="CD137" s="259" t="str">
        <f t="shared" ca="1" si="370"/>
        <v>COSTI DI TENUTA C/C</v>
      </c>
      <c r="CE137" s="259">
        <f ca="1">IF(IFERROR(MATCH(CD137,DENOMINAZIONE_GIORNALE,0),0)&gt;0,MAX(CE$2:CE136)+1,0)</f>
        <v>0</v>
      </c>
      <c r="CF137" s="259" t="str">
        <f ca="1">IFERROR(INDEX($CD$3:$CE$220,MATCH(ROWS($CF$3:CF137),$CE$3:$CE$220,0),1),"")</f>
        <v/>
      </c>
      <c r="CG137" s="259">
        <f t="shared" ca="1" si="371"/>
        <v>0</v>
      </c>
      <c r="CH137" s="259" t="str">
        <f ca="1">IF(IF(CG137&lt;&gt;0,MAX($CH$2:CH136)+1,0)=0,"",IF(CG137&lt;&gt;"",MAX($CH$2:CH136)+1,0))</f>
        <v/>
      </c>
      <c r="CI137" s="259" t="str">
        <f ca="1">IFERROR(INDEX($CF$3:$CG$220,MATCH(ROWS($CI$3:CI137),$CH$3:$CH$220,0),1),"")</f>
        <v/>
      </c>
      <c r="CJ137" s="259" t="str">
        <f t="shared" ca="1" si="420"/>
        <v/>
      </c>
      <c r="CK137" s="259" t="str">
        <f t="shared" ca="1" si="372"/>
        <v/>
      </c>
      <c r="CL137" s="259">
        <f ca="1">IF(IFERROR(MATCH(CK137,DENOMINAZIONE_GIORNALE,0),0)&gt;0,MAX(CL$2:CL136)+1,0)</f>
        <v>0</v>
      </c>
      <c r="CM137" s="259" t="str">
        <f ca="1">IFERROR(INDEX($CK$3:$CL$220,MATCH(ROWS($CM$3:CM137),$CL$3:$CL$220,0),1),"")</f>
        <v/>
      </c>
      <c r="CN137" s="259" t="str">
        <f t="shared" ca="1" si="373"/>
        <v/>
      </c>
      <c r="CO137" s="259">
        <f ca="1">IF(IF(CN137&lt;&gt;0,MAX($CO$2:CO136)+1,0)=0,"",IF(CN137&lt;&gt;"",MAX($CO$2:CO136)+1,0))</f>
        <v>0</v>
      </c>
      <c r="CP137" s="259" t="str">
        <f ca="1">IFERROR(INDEX($CM$3:$CN$220,MATCH(ROWS(CP$3:CP137),$CO$3:$CO$220,0),1),"")</f>
        <v/>
      </c>
      <c r="CQ137" s="259" t="str">
        <f ca="1">IFERROR(INDEX($CM$3:$CN$220,MATCH(ROWS(CQ$3:CQ137),$CO$3:$CO$220,0),2),"")</f>
        <v/>
      </c>
      <c r="CS137" s="259">
        <f t="shared" ca="1" si="374"/>
        <v>0</v>
      </c>
      <c r="CT137" s="259">
        <f t="shared" ca="1" si="375"/>
        <v>0</v>
      </c>
      <c r="CU137" s="259">
        <f ca="1">IF(OR(CS137&gt;0,CT137&gt;0),MAX($CU$2:CU136)+1,0)</f>
        <v>0</v>
      </c>
      <c r="CV137" s="259" t="str">
        <f ca="1">IFERROR(INDEX(PIANO_DEI_CONTI,MATCH(ROWS($CV$3:CV137),$CU$3:$CU$200,0),2),"")</f>
        <v/>
      </c>
      <c r="CW137" s="259">
        <f ca="1">IFERROR(IF(CV137&lt;&gt;"",MAX($CW$2:CW136)+1,0),0)</f>
        <v>0</v>
      </c>
      <c r="CX137" s="259">
        <f t="shared" ca="1" si="364"/>
        <v>8</v>
      </c>
      <c r="CY137" s="259" t="str">
        <f t="shared" ca="1" si="469"/>
        <v>MASTRO</v>
      </c>
      <c r="CZ137" s="259" t="e">
        <f t="shared" ca="1" si="376"/>
        <v>#N/A</v>
      </c>
      <c r="DA137" s="259" t="str">
        <f t="shared" ca="1" si="421"/>
        <v/>
      </c>
      <c r="DB137" s="259" t="str">
        <f t="shared" ca="1" si="377"/>
        <v/>
      </c>
      <c r="DC137" s="259" t="str">
        <f t="shared" ca="1" si="378"/>
        <v/>
      </c>
      <c r="DD137" s="259" t="str">
        <f t="shared" ca="1" si="379"/>
        <v/>
      </c>
      <c r="DE137" s="259" t="str">
        <f t="shared" ca="1" si="380"/>
        <v/>
      </c>
      <c r="DF137" s="259">
        <f ca="1">IF(AND(CX137=$DE$2,$DF$2&lt;&gt;0),0,IF(AND(DB137&lt;&gt;"",OR(DB136&lt;&gt;"",DB138&lt;&gt;"")),MAX($DF$2:DF136)+1,0))</f>
        <v>0</v>
      </c>
      <c r="DG137" s="259" t="str">
        <f>IF(IF(LIBRO_GIORNALE!E45="","",IFERROR(INDEX(PIANO_DEI_CONTI,MATCH(BB137,DENOMINAZIONE,0),1),0))=0,"",IF(LIBRO_GIORNALE!E45="","",IFERROR(INDEX(PIANO_DEI_CONTI,MATCH(BB137,DENOMINAZIONE,0),1),0)))</f>
        <v/>
      </c>
      <c r="DH137" s="259">
        <f ca="1">IFERROR(IF($J$1=1,IF(INDEX(PIANO_DEI_CONTI,MATCH($K137,DENOMINAZIONE,0),5)=$DF$1,MAX($DH$2:DH136)+1,0),IF($J$1=2,IF(INDEX(PIANO_DEI_CONTI,MATCH($K137,DENOMINAZIONE,0),7)=$DF$1,MAX($DH$2:DH136)+1,0))),0)</f>
        <v>0</v>
      </c>
      <c r="DI137" s="259">
        <f ca="1">IFERROR(INDEX($K$3:$K$220,MATCH(ROWS($DI$3:DI137),$DH$3:$DH$220,0),1),0)</f>
        <v>0</v>
      </c>
      <c r="DJ137" s="259">
        <f t="shared" ca="1" si="381"/>
        <v>0</v>
      </c>
      <c r="DK137" s="259">
        <f ca="1">IF(DJ137=0,0,MAX(DK$2:DK136)+1)</f>
        <v>0</v>
      </c>
      <c r="DL137" s="259">
        <f ca="1">IFERROR(INDEX(PIANO_DEI_CONTI,MATCH(ROWS(DL$3:DL137),$DK$3:DK364,0),2),0)</f>
        <v>0</v>
      </c>
      <c r="DM137" s="259">
        <f t="shared" ca="1" si="382"/>
        <v>0</v>
      </c>
      <c r="DN137" s="259">
        <f t="shared" ca="1" si="383"/>
        <v>0</v>
      </c>
      <c r="DO137" s="259">
        <f t="shared" ca="1" si="422"/>
        <v>0</v>
      </c>
      <c r="DP137" s="259">
        <f t="shared" ca="1" si="423"/>
        <v>0</v>
      </c>
      <c r="DQ137" s="259">
        <f ca="1">IF(OR($DQ$1="TOTALI",$DQ$1="TOTALI ED ECCEDENZE"),IF(OR(DM137&gt;0,DN137&gt;0),MAX(DQ$2:DQ136)+1,0),IF($DQ$1="ECCEDENZE",IF(OR(DO137&gt;0,DP137&gt;0),MAX(DQ$2:DQ136)+1,0),""))</f>
        <v>0</v>
      </c>
      <c r="DR137" s="259" t="str">
        <f ca="1">IFERROR(INDEX($DL$3:$DQ$230,MATCH(ROWS(DR$3:DR137),$DQ$3:$DQ$230,0),1),"")</f>
        <v/>
      </c>
      <c r="DS137" s="259" t="str">
        <f t="shared" ca="1" si="424"/>
        <v/>
      </c>
      <c r="DT137" s="259" t="str">
        <f t="shared" ca="1" si="425"/>
        <v/>
      </c>
      <c r="DU137" s="259" t="str">
        <f t="shared" ca="1" si="426"/>
        <v/>
      </c>
      <c r="DV137" s="259" t="str">
        <f t="shared" ca="1" si="427"/>
        <v/>
      </c>
      <c r="DW137" s="259">
        <f t="shared" ca="1" si="428"/>
        <v>0</v>
      </c>
      <c r="DX137" s="259" t="str">
        <f t="shared" ca="1" si="429"/>
        <v/>
      </c>
      <c r="DY137" s="259" t="str">
        <f t="shared" ca="1" si="430"/>
        <v/>
      </c>
      <c r="DZ137" s="259" t="str">
        <f t="shared" ca="1" si="431"/>
        <v/>
      </c>
      <c r="EB137" s="259" t="s">
        <v>369</v>
      </c>
      <c r="ED137" s="259">
        <f t="shared" ca="1" si="384"/>
        <v>0</v>
      </c>
      <c r="EH137" s="259" t="str">
        <f t="shared" ca="1" si="432"/>
        <v/>
      </c>
      <c r="EI137" s="260" t="b">
        <f t="shared" ca="1" si="466"/>
        <v>1</v>
      </c>
      <c r="EJ137" s="260" t="b">
        <f t="shared" ca="1" si="467"/>
        <v>1</v>
      </c>
      <c r="EK137" s="260" t="b">
        <f t="shared" ca="1" si="468"/>
        <v>1</v>
      </c>
      <c r="EL137" s="259">
        <f t="shared" si="433"/>
        <v>135</v>
      </c>
      <c r="EM137" s="259">
        <f ca="1">IF(AND(BA137&gt;0,BA137&lt;=$EM$1),MAX($EM$2:EM136)+1,0)</f>
        <v>0</v>
      </c>
      <c r="EN137" s="259">
        <f t="shared" ca="1" si="434"/>
        <v>137</v>
      </c>
      <c r="EP137" s="259" t="str">
        <f t="shared" ca="1" si="385"/>
        <v/>
      </c>
      <c r="EQ137" s="259">
        <f t="shared" ca="1" si="386"/>
        <v>0</v>
      </c>
      <c r="ER137" s="259">
        <f ca="1">IF(ISNA(EQ137),MAX(ER$2:ER136)+1,0)</f>
        <v>0</v>
      </c>
      <c r="ES137" s="259" t="str">
        <f t="shared" ca="1" si="435"/>
        <v/>
      </c>
      <c r="ET137" s="259" t="str">
        <f ca="1">IFERROR(UPPER(INDEX($ER$3:$ES$500,MATCH(ROWS(ET$3:ET137),$ER$3:$ER$500,0),2)),"")</f>
        <v/>
      </c>
      <c r="EW137" s="259">
        <f t="shared" ca="1" si="344"/>
        <v>1</v>
      </c>
      <c r="EX137" s="259">
        <v>35</v>
      </c>
      <c r="EY137" s="259">
        <f t="shared" ca="1" si="345"/>
        <v>0</v>
      </c>
      <c r="EZ137" s="259">
        <f t="shared" ca="1" si="346"/>
        <v>0</v>
      </c>
      <c r="FA137" s="259">
        <f t="shared" ca="1" si="347"/>
        <v>0</v>
      </c>
      <c r="FB137" s="259">
        <f t="shared" ca="1" si="348"/>
        <v>0</v>
      </c>
      <c r="FC137" s="259">
        <f t="shared" ca="1" si="349"/>
        <v>0</v>
      </c>
      <c r="FD137" s="259">
        <f t="shared" ca="1" si="387"/>
        <v>0</v>
      </c>
      <c r="FE137" s="259" t="str">
        <f t="shared" ca="1" si="388"/>
        <v/>
      </c>
      <c r="FF137" s="259" t="str">
        <f t="shared" ca="1" si="350"/>
        <v/>
      </c>
      <c r="FM137" s="259">
        <f t="shared" ca="1" si="389"/>
        <v>0</v>
      </c>
      <c r="FN137" s="259">
        <f ca="1">IF(FM137&lt;0,MAX($FN$2:FN136)+1,0)</f>
        <v>0</v>
      </c>
      <c r="FO137" s="259" t="str">
        <f t="shared" ca="1" si="436"/>
        <v/>
      </c>
      <c r="FP137" s="259" t="str">
        <f ca="1">IFERROR(INDEX($FN$3:$FO$400,MATCH(ROWS($FP$3:FP137),$FN$3:$FN$400,0),2),"")</f>
        <v/>
      </c>
      <c r="FQ137" s="259" t="str">
        <f>IF(AE137="SE AVERE",MAX($FQ$2:FQ136)+1,"")</f>
        <v/>
      </c>
      <c r="FR137" s="259">
        <f>IF(AE137="SE DARE",MAX($FR$2:FR136)+1,"")</f>
        <v>42</v>
      </c>
      <c r="FS137" s="259" t="str">
        <f ca="1">IF(AND(AE137="SP DARE",AA137&lt;&gt;$FS$1,AA137&lt;&gt;$FT$1),MAX($FS$2:FS136)+1,IF(AND(GQ137="SP DARE",AA137&lt;&gt;$FS$1,AA137&lt;&gt;$FT$1),MAX($FS$2:FS136)+1,""))</f>
        <v/>
      </c>
      <c r="FT137" s="259" t="str">
        <f ca="1">IF(AND(AE137="SP AVERE",AA137&lt;&gt;$FU$1),MAX($FT$2:FT136)+1,IF(AND(GQ137="SP AVERE",AA137&lt;&gt;$FU$1),MAX($FT$2:FT136)+1,""))</f>
        <v/>
      </c>
      <c r="FU137" s="259">
        <f t="shared" ca="1" si="437"/>
        <v>42</v>
      </c>
      <c r="FV137" s="259" t="str">
        <f t="shared" si="438"/>
        <v>COSTI DI TENUTA C/C</v>
      </c>
      <c r="FW137" s="259" t="str">
        <f ca="1">IFERROR(INDEX($FU$3:$FV$500,MATCH(ROWS($FW$3:FW137),$FU$3:$FU$500,0),2),0)</f>
        <v>FONDO AMMORTAMENTO AVVIAMENTO</v>
      </c>
      <c r="FX137" s="259">
        <f t="shared" ca="1" si="439"/>
        <v>135</v>
      </c>
      <c r="FY137" s="259">
        <f t="shared" ca="1" si="440"/>
        <v>0</v>
      </c>
      <c r="FZ137" s="259">
        <f ca="1">IF(FY137&gt;0,MAX($FZ$2:FZ136)+1,0)</f>
        <v>0</v>
      </c>
      <c r="GA137" s="259">
        <f ca="1">IFERROR(INDEX($FY$3:$FZ$500,MATCH(ROWS($GA$3:GA137),$FZ$3:$FZ$500,0),1),0)</f>
        <v>0</v>
      </c>
      <c r="GC137" s="259">
        <f t="shared" ca="1" si="441"/>
        <v>135</v>
      </c>
      <c r="GD137" s="259" t="str">
        <f t="shared" ca="1" si="442"/>
        <v>FONDO AMMORTAMENTO AVVIAMENTO</v>
      </c>
      <c r="GG137" s="259">
        <f t="shared" ca="1" si="443"/>
        <v>0</v>
      </c>
      <c r="GH137" s="259">
        <f t="shared" ca="1" si="444"/>
        <v>0</v>
      </c>
      <c r="GI137" s="259">
        <f t="shared" ca="1" si="445"/>
        <v>0</v>
      </c>
      <c r="GJ137" s="259">
        <f t="shared" ca="1" si="446"/>
        <v>0</v>
      </c>
      <c r="GK137" s="259">
        <f t="shared" ca="1" si="447"/>
        <v>0</v>
      </c>
      <c r="GL137" s="259">
        <f t="shared" ca="1" si="447"/>
        <v>0</v>
      </c>
      <c r="GM137" s="259">
        <f ca="1">IF(OR(GK137&gt;0,GL137&gt;0),MAX($GM$2:GM136)+1,0)</f>
        <v>0</v>
      </c>
      <c r="GN137" s="259" t="str">
        <f ca="1">IFERROR(INDEX($GD$3:$GM$400,MATCH(ROWS($GN$3:GN137),$GM$3:$GM$400,0),1),"")</f>
        <v/>
      </c>
      <c r="GO137" s="259" t="str">
        <f ca="1">IFERROR(INDEX($GD$3:$GM$400,MATCH(ROWS($GO$3:GO137),$GM$3:$GM$400,0),8),"")</f>
        <v/>
      </c>
      <c r="GP137" s="259" t="str">
        <f ca="1">IFERROR(INDEX($GD$3:$GM$400,MATCH(ROWS($GP$3:GP137),$GM$3:$GM$400,0),9),"")</f>
        <v/>
      </c>
      <c r="GQ137" s="259">
        <f t="shared" ca="1" si="390"/>
        <v>0</v>
      </c>
      <c r="GR137" s="259">
        <f t="shared" ca="1" si="448"/>
        <v>0</v>
      </c>
      <c r="GS137" s="259" t="str">
        <f t="shared" ca="1" si="449"/>
        <v>chiusura del conto</v>
      </c>
      <c r="GT137" s="259" t="str">
        <f ca="1">IFERROR(INDEX($GD$3:$GS$400,MATCH(ROWS($GT$3:GT137),$GM$3:$GM$400,0),16),"")</f>
        <v/>
      </c>
      <c r="GU137" s="259">
        <f ca="1">IF(GQ137&lt;&gt;0,MAX($GU$2:$GU136)+1,0)</f>
        <v>0</v>
      </c>
      <c r="GV137" s="259">
        <f t="shared" ca="1" si="450"/>
        <v>0</v>
      </c>
      <c r="GW137" s="259" t="str">
        <f ca="1">IF(AND(IFERROR(INDEX($GU$3:$GV$400,MATCH(ROWS($GW$3:GW137),$GU$3:$GU$400,0),2),"")&lt;&gt;"",GW138&lt;&gt;""),CONCATENATE(IFERROR(INDEX($GU$3:$GV$400,MATCH(ROWS($GW$3:GW137),$GU$3:$GU$400,0),2),"")," - "),IFERROR(INDEX($GU$3:$GV$400,MATCH(ROWS($GW$3:GW137),$GU$3:$GU$400,0),2),""))</f>
        <v/>
      </c>
      <c r="GX137" s="259">
        <f ca="1">IF(OR(GN137="IVA NS/CREDITO",GN137="IVA NS/DEBITO",GN137="IVA C/ACCONTO",GN137="IMPOSTE C/ACCONTO"),MAX($GX$2:GX136)+1,0)</f>
        <v>0</v>
      </c>
      <c r="GY137" s="259" t="str">
        <f ca="1">IF(AND(IFERROR(INDEX($GN$3:$GX$200,MATCH(ROWS($GY$3:GY137),$GX$3:$GX$200,0),1),"")&lt;&gt;"",GY138&lt;&gt;""),CONCATENATE(IFERROR(INDEX($GN$3:$GX$200,MATCH(ROWS($GY$3:GY137),$GX$3:$GX$200,0),1),"")," - "),IFERROR(INDEX($GN$3:$GX$200,MATCH(ROWS($GY$3:GY137),$GX$3:$GX$200,0),1),""))</f>
        <v/>
      </c>
      <c r="GZ137" s="259" t="s">
        <v>141</v>
      </c>
      <c r="HA137" s="259" t="s">
        <v>139</v>
      </c>
      <c r="HB137" s="269" t="s">
        <v>256</v>
      </c>
      <c r="HC137" s="269" t="s">
        <v>276</v>
      </c>
      <c r="HD137" s="269" t="s">
        <v>7</v>
      </c>
      <c r="HE137" s="269" t="s">
        <v>214</v>
      </c>
      <c r="HV137" s="259" t="str">
        <f ca="1">CONCATENATE(IFERROR(INDEX($HS$3:$HT$102,MATCH(ROWS($HV$3:HV137),$HT$3:$HT$102,0),1),""),HR137)</f>
        <v/>
      </c>
      <c r="IC137" s="259">
        <f ca="1">IFERROR(INDEX(PIANO_DEI_CONTI,MATCH(ROWS(DL$3:DL137),$DK$3:DK364,0),2),0)</f>
        <v>0</v>
      </c>
      <c r="ID137" s="259">
        <f t="shared" ca="1" si="451"/>
        <v>0</v>
      </c>
      <c r="IE137" s="259">
        <f t="shared" ca="1" si="452"/>
        <v>0</v>
      </c>
      <c r="IF137" s="259">
        <f t="shared" ca="1" si="453"/>
        <v>0</v>
      </c>
      <c r="IG137" s="259">
        <f t="shared" ca="1" si="324"/>
        <v>0</v>
      </c>
      <c r="IH137" s="259">
        <f ca="1">IF(IG137&lt;&gt;0,MAX($IH$35:IH136)+1,0)</f>
        <v>0</v>
      </c>
      <c r="II137" s="259">
        <f>IF(AD137="costi pluriennali",MAX($II$2:II136)+1,0)</f>
        <v>0</v>
      </c>
      <c r="IJ137" s="259">
        <f>IF($AD137="rettifiche costi pluriennali",MAX($IJ$2:IJ136)+1,0)</f>
        <v>0</v>
      </c>
      <c r="IK137" s="259">
        <f t="shared" si="454"/>
        <v>0</v>
      </c>
      <c r="IL137" s="259" t="str">
        <f t="shared" si="455"/>
        <v/>
      </c>
      <c r="IM137" s="259">
        <f t="shared" ca="1" si="456"/>
        <v>0</v>
      </c>
      <c r="IN137" s="259">
        <f t="shared" ca="1" si="470"/>
        <v>0</v>
      </c>
      <c r="IO137" s="259">
        <f>SUMIFS($IM$3:$IM$200,$IK$3:$IK$200,ROWS($IO$3:IO137))-SUMIFS($IN$3:$IN$200,$IK$3:$IK$200,ROWS($IO$3:IO137))</f>
        <v>0</v>
      </c>
      <c r="IP137" s="259" t="str">
        <f>IF(IO137&lt;0,INDEX($IJ$3:$IL$200,MATCH(ROWS($IP$3:IP137),$IJ$3:$IJ$200,0),3),"")</f>
        <v/>
      </c>
      <c r="IQ137" s="259">
        <f>IF(IP137&lt;&gt;"",MAX($IQ$2:IQ136)+1,0)</f>
        <v>0</v>
      </c>
      <c r="IR137" s="259" t="str">
        <f ca="1">IFERROR(INDEX($IP$3:$IQ$200,MATCH(ROWS($IR$3:IR137),$IQ$3:$IQ$200,0),1),"")</f>
        <v/>
      </c>
      <c r="IS137" s="259" t="str">
        <f t="shared" ca="1" si="457"/>
        <v/>
      </c>
      <c r="IT137" s="259" t="str">
        <f t="shared" ca="1" si="458"/>
        <v/>
      </c>
      <c r="IU137" s="259" t="str">
        <f t="shared" ca="1" si="459"/>
        <v/>
      </c>
      <c r="IV137" s="259" t="str">
        <f t="shared" ca="1" si="460"/>
        <v/>
      </c>
      <c r="IW137" s="259" t="str">
        <f t="shared" ca="1" si="461"/>
        <v/>
      </c>
      <c r="IX137" s="259" t="str">
        <f t="shared" ca="1" si="462"/>
        <v/>
      </c>
      <c r="IY137" s="259" t="str">
        <f t="shared" ca="1" si="463"/>
        <v/>
      </c>
      <c r="IZ137" s="259" t="str">
        <f t="shared" ca="1" si="464"/>
        <v/>
      </c>
      <c r="JA137" s="259" t="str">
        <f t="shared" ca="1" si="465"/>
        <v/>
      </c>
      <c r="JB137" s="259">
        <f t="shared" ca="1" si="391"/>
        <v>0</v>
      </c>
      <c r="JC137" s="259">
        <f t="shared" ca="1" si="351"/>
        <v>0</v>
      </c>
      <c r="JD137" s="259">
        <f t="shared" ca="1" si="352"/>
        <v>0</v>
      </c>
      <c r="JM137" s="259">
        <f t="shared" ca="1" si="353"/>
        <v>0</v>
      </c>
    </row>
    <row r="138" spans="1:273">
      <c r="A138" s="259" t="str">
        <f t="shared" si="392"/>
        <v>30.05</v>
      </c>
      <c r="B138" s="259" t="str">
        <f t="shared" si="393"/>
        <v>MERCI C/APPORTI</v>
      </c>
      <c r="C138" s="259" t="str">
        <f t="shared" si="394"/>
        <v>E</v>
      </c>
      <c r="D138" s="259" t="str">
        <f t="shared" si="395"/>
        <v>D</v>
      </c>
      <c r="E138" s="259" t="str">
        <f t="shared" si="396"/>
        <v>COSTI D'ESERCIZIO</v>
      </c>
      <c r="F138" s="259" t="str">
        <f t="shared" si="397"/>
        <v>SE DARE</v>
      </c>
      <c r="G138" s="259">
        <f t="shared" ca="1" si="398"/>
        <v>1</v>
      </c>
      <c r="H138" s="259">
        <f t="shared" ca="1" si="399"/>
        <v>1</v>
      </c>
      <c r="I138" s="259">
        <f t="shared" ca="1" si="400"/>
        <v>1</v>
      </c>
      <c r="K138" s="259" t="str">
        <f ca="1">IFERROR(IF($I$1=1,INDEX($AA$3:$AS$220,MATCH(ROWS($K$3:K138),$AQ$3:$AQ$220,0),1),IF($I$1=2,INDEX($AA$3:$AS$220,MATCH(ROWS($K$3:K138),$AR$3:$AR$220,0),1),IF($I$1=3,INDEX($AA$3:$AS$220,MATCH(ROWS($K$3:K138),$AS$3:$AS$220,0),1),""))),"")</f>
        <v>ONERI SOCIALI</v>
      </c>
      <c r="L138" s="259">
        <f ca="1">IF(AND($L$1="VISUALIZZA TUTTI I CONTI",K138&lt;&gt;""),MAX(L137:L137)+1,IFERROR(IF($J$1=1,IF(INDEX(PIANO_DEI_CONTI,MATCH($K138,DENOMINAZIONE,0),5)=$L$1,MAX($L$2:L137)+1,0),IF($J$1=2,IF(INDEX(PIANO_DEI_CONTI,MATCH($K138,DENOMINAZIONE,0),7)=$L$1,MAX($L$2:L137)+1,0))),0))</f>
        <v>136</v>
      </c>
      <c r="M138" s="259" t="str">
        <f ca="1">IFERROR(INDEX($K$3:$K$220,MATCH(ROWS($M$3:M138),$L$3:$L$220,0),1),"")</f>
        <v>ONERI SOCIALI</v>
      </c>
      <c r="Q138" s="259" t="str">
        <f ca="1">IF(IFERROR(INDEX($O$3:$P$220,MATCH(ROWS(Q$3:Q138),$P$3:$P$220,0),1),"")=0,"",IFERROR(INDEX($O$3:$P$220,MATCH(ROWS(Q$3:Q138),$P$3:$P$220,0),1),""))</f>
        <v/>
      </c>
      <c r="R138" s="259" t="str">
        <f t="shared" ca="1" si="366"/>
        <v/>
      </c>
      <c r="S138" s="259">
        <f ca="1">IF(IFERROR(MATCH(R138,DENOMINAZIONE_GIORNALE,0),0)&gt;0,MAX(S$2:S137)+1,0)</f>
        <v>0</v>
      </c>
      <c r="T138" s="259" t="str">
        <f ca="1">IFERROR(INDEX($R$3:$S$220,MATCH(ROWS($T$3:T138),$S$3:$S$220,0),1),"")</f>
        <v/>
      </c>
      <c r="U138" s="259">
        <f t="shared" ca="1" si="367"/>
        <v>0</v>
      </c>
      <c r="V138" s="259">
        <f ca="1">IF(IF(U138&lt;&gt;0,MAX($V$2:V137)+1,0)=0,0,IF(U138&lt;&gt;0,MAX($V$2:V137)+1,0))</f>
        <v>0</v>
      </c>
      <c r="W138" s="259" t="str">
        <f t="shared" si="401"/>
        <v>30.05</v>
      </c>
      <c r="X138" s="259" t="str">
        <f t="shared" si="402"/>
        <v>MERCI C/APPORTI</v>
      </c>
      <c r="Y138" s="259">
        <f>IF(W138="",0,MAX($Y$2:Y137)+1)</f>
        <v>117</v>
      </c>
      <c r="Z138" s="259" t="str">
        <f>IFERROR(INDEX($W$3:$Y$220,MATCH(ROWS($Z$2:Z137),$Y$3:$Y$220,0),1),"")</f>
        <v>31.90</v>
      </c>
      <c r="AA138" s="259" t="str">
        <f t="shared" si="403"/>
        <v>COSTI PER SERVIZI</v>
      </c>
      <c r="AB138" s="259" t="str">
        <f t="shared" si="404"/>
        <v>E</v>
      </c>
      <c r="AC138" s="259" t="str">
        <f t="shared" si="405"/>
        <v>D</v>
      </c>
      <c r="AD138" s="259" t="str">
        <f t="shared" si="406"/>
        <v>COSTI D'ESERCIZIO</v>
      </c>
      <c r="AE138" s="259" t="str">
        <f t="shared" si="407"/>
        <v>SE DARE</v>
      </c>
      <c r="AF138" s="259" t="str">
        <f t="shared" si="408"/>
        <v>COSTI PER SERVIZI</v>
      </c>
      <c r="AG138" s="259">
        <f t="shared" ca="1" si="409"/>
        <v>1</v>
      </c>
      <c r="AH138" s="259">
        <f t="shared" ca="1" si="410"/>
        <v>1</v>
      </c>
      <c r="AI138" s="259">
        <f t="shared" ca="1" si="411"/>
        <v>1</v>
      </c>
      <c r="AJ138" s="259" t="str">
        <f t="shared" si="412"/>
        <v>31</v>
      </c>
      <c r="AK138" s="259" t="str">
        <f t="shared" si="413"/>
        <v/>
      </c>
      <c r="AL138" s="259">
        <f>IF(AK138&lt;&gt;"",MAX($AL$2:AL137)+1,0)</f>
        <v>0</v>
      </c>
      <c r="AM138" s="259" t="str">
        <f>IFERROR(INDEX($AK$3:$AL$220,MATCH(ROWS($AM$3:AM138),$AL$3:$AL$220,0),1),"")</f>
        <v/>
      </c>
      <c r="AN138" s="259" t="str">
        <f t="shared" si="414"/>
        <v/>
      </c>
      <c r="AO138" s="259" t="str">
        <f t="shared" si="415"/>
        <v/>
      </c>
      <c r="AP138" s="259" t="str">
        <f t="shared" si="416"/>
        <v>COSTI PER SERVIZI</v>
      </c>
      <c r="AQ138" s="259">
        <f ca="1">IF(OR(AG138=0,AG138=""),0,MAX(AQ$2:AQ137)+1)</f>
        <v>77</v>
      </c>
      <c r="AR138" s="259">
        <f ca="1">IF(OR(AH138=0,AH138=""),0,MAX(AR$2:AR137)+1)</f>
        <v>102</v>
      </c>
      <c r="AS138" s="259">
        <f ca="1">IF(OR(AI138=0,AI138=""),0,MAX(AS$2:AS137)+1)</f>
        <v>132</v>
      </c>
      <c r="AT138" s="259" t="str">
        <f ca="1">IFERROR(INDEX($AD$3:$AS$220,MATCH(ROWS(AT$3:AT138),AQ$3:AQ$220,0),1),"")</f>
        <v/>
      </c>
      <c r="AU138" s="259" t="str">
        <f ca="1">IFERROR(INDEX($AD$3:$AS$220,MATCH(ROWS(AU$3:AU138),AR$3:AR$220,0),1),"")</f>
        <v/>
      </c>
      <c r="AV138" s="259" t="str">
        <f ca="1">IFERROR(INDEX($AD$3:$AS$220,MATCH(ROWS(AV$3:AV138),AS$3:AS$220,0),1),"")</f>
        <v>COSTI D'ESERCIZIO</v>
      </c>
      <c r="AW138" s="259" t="str">
        <f ca="1">IFERROR(INDEX($AP$3:$AS$220,MATCH(ROWS(AW$3:AW138),AQ$3:AQ$220,0),1),"")</f>
        <v/>
      </c>
      <c r="AX138" s="259" t="str">
        <f ca="1">IFERROR(INDEX($AP$3:$AS$220,MATCH(ROWS(AX$3:AX138),AR$3:AR$220,0),1),"")</f>
        <v/>
      </c>
      <c r="AY138" s="259" t="str">
        <f ca="1">IFERROR(INDEX($AP$3:$AS$220,MATCH(ROWS(AY$3:AY138),AS$3:AS$220,0),1),"")</f>
        <v>COSTI PER IL PERSONALE</v>
      </c>
      <c r="AZ138" s="259" t="str">
        <f t="shared" si="339"/>
        <v>36 V.I.</v>
      </c>
      <c r="BA138" s="259">
        <f t="shared" ca="1" si="338"/>
        <v>0</v>
      </c>
      <c r="BB138" s="259">
        <f t="shared" ca="1" si="340"/>
        <v>0</v>
      </c>
      <c r="BC138" s="259">
        <f t="shared" ca="1" si="341"/>
        <v>0</v>
      </c>
      <c r="BD138" s="259">
        <f t="shared" ca="1" si="342"/>
        <v>0</v>
      </c>
      <c r="BE138" s="259">
        <f t="shared" ca="1" si="343"/>
        <v>0</v>
      </c>
      <c r="BG138" s="259" t="str">
        <f t="shared" ca="1" si="368"/>
        <v/>
      </c>
      <c r="BH138" s="259">
        <f ca="1">IF(IFERROR(MATCH(BG138,DENOMINAZIONE_GIORNALE,0),0)&gt;0,MAX(BH$2:BH137)+1,0)</f>
        <v>0</v>
      </c>
      <c r="BI138" s="259" t="str">
        <f ca="1">IFERROR(INDEX($BG$3:$BH$220,MATCH(ROWS($BI$3:BI138),$BH$3:$BH$220,0),1),"")</f>
        <v/>
      </c>
      <c r="BJ138" s="259" t="str">
        <f t="shared" ca="1" si="369"/>
        <v/>
      </c>
      <c r="BK138" s="259" t="str">
        <f ca="1">IF(IF(BJ138&lt;&gt;"",MAX($BK$2:BK137)+1,0)=0,"",IF(BJ138&lt;&gt;"",MAX($BK$2:BK137)+1,0))</f>
        <v/>
      </c>
      <c r="BL138" s="259" t="str">
        <f ca="1">IFERROR(INDEX($T$3:$U$220, MATCH(ROWS(BL$3:BL138),$V$3:$V$220,0),1),"")</f>
        <v/>
      </c>
      <c r="BM138" s="259" t="str">
        <f ca="1">IFERROR(INDEX($T$3:$U$220, MATCH(ROWS(BM$3:BM138),$V$3:$V$220,0),2),"")</f>
        <v/>
      </c>
      <c r="BN138" s="259" t="str">
        <f ca="1">IF(IFERROR(INDEX($BI$3:$BJ$220,MATCH(ROWS(BN$3:BN138),$BK$3:$BK$220,0),1),"")="PATRIMONIO NETTO","",IFERROR(INDEX($BI$3:$BJ$220,MATCH(ROWS(BN$3:BN138),$BK$3:$BK$220,0),1),""))</f>
        <v/>
      </c>
      <c r="BO138" s="259" t="str">
        <f ca="1">IFERROR(INDEX($BI$3:$BJ$220,MATCH(ROWS(BO$3:BO138),$BK$3:$BK$220,0),2),"")</f>
        <v/>
      </c>
      <c r="BP138" s="259">
        <f ca="1">IF(BN138&lt;&gt;"",MAX(BP$2:$BP137)+1,0)</f>
        <v>0</v>
      </c>
      <c r="BQ138" s="259" t="str">
        <f ca="1">IFERROR(INDEX($BN$3:$BO$200,MATCH(ROWS(BQ$3:BQ138),$BP$3:$BP$220,0),1),"")</f>
        <v/>
      </c>
      <c r="BR138" s="259" t="str">
        <f ca="1">IFERROR(INDEX($BN$3:$BO$220,MATCH(ROWS(BR$3:BR138),$BP$3:$BP$220,0),2),"")</f>
        <v/>
      </c>
      <c r="BS138" s="259" t="str">
        <f ca="1">IFERROR(IF(OR(INDEX($T$3:$U$220,MATCH(ROWS(BL$3:BL138),$V$3:$V$220,0),1)="PRELEVAMENTI EXTRAGESTIONE",INDEX($T$3:$U$220,MATCH(ROWS(BL$3:BL138),$V$3:$V$220,0),1)="TITOLARE C/RITENUTE SUBITE"),"",INDEX($T$3:$U$220,MATCH(ROWS(BL$3:BL138),$V$3:$V$220,0),1)),"")</f>
        <v/>
      </c>
      <c r="BT138" s="259">
        <f t="shared" ca="1" si="417"/>
        <v>0</v>
      </c>
      <c r="BU138" s="259">
        <f ca="1">IF(BS138&lt;&gt;"",MAX(BU$2:BU137)+1,0)</f>
        <v>0</v>
      </c>
      <c r="BV138" s="259" t="str">
        <f ca="1">IFERROR(INDEX($BS$3:$BT$223,MATCH(ROWS(BV$3:BV138),$BU$3:$BU$223,0),1),"")</f>
        <v/>
      </c>
      <c r="BW138" s="259">
        <f t="shared" ca="1" si="418"/>
        <v>0</v>
      </c>
      <c r="CB138" s="259" t="str">
        <f ca="1">IFERROR(IF(OR($BB$1&lt;&gt;$BD$1,$BC$1&lt;&gt;$BE$1,$DS$231&lt;&gt;$DT$231,$DU$231&lt;&gt;$DV$231,$EO$25&lt;&gt;0,$EO$26&lt;&gt;0),INDEX($BI$3:$BK$220,MATCH(ROWS($CB$3:CB138),$BK$3:$BK$220,0),1),CONCATENATE(BQ138,BX138)),"")</f>
        <v/>
      </c>
      <c r="CC138" s="259" t="str">
        <f t="shared" ca="1" si="419"/>
        <v/>
      </c>
      <c r="CD138" s="259" t="str">
        <f t="shared" ca="1" si="370"/>
        <v>COSTI PER SERVIZI</v>
      </c>
      <c r="CE138" s="259">
        <f ca="1">IF(IFERROR(MATCH(CD138,DENOMINAZIONE_GIORNALE,0),0)&gt;0,MAX(CE$2:CE137)+1,0)</f>
        <v>0</v>
      </c>
      <c r="CF138" s="259" t="str">
        <f ca="1">IFERROR(INDEX($CD$3:$CE$220,MATCH(ROWS($CF$3:CF138),$CE$3:$CE$220,0),1),"")</f>
        <v/>
      </c>
      <c r="CG138" s="259">
        <f t="shared" ca="1" si="371"/>
        <v>0</v>
      </c>
      <c r="CH138" s="259" t="str">
        <f ca="1">IF(IF(CG138&lt;&gt;0,MAX($CH$2:CH137)+1,0)=0,"",IF(CG138&lt;&gt;"",MAX($CH$2:CH137)+1,0))</f>
        <v/>
      </c>
      <c r="CI138" s="259" t="str">
        <f ca="1">IFERROR(INDEX($CF$3:$CG$220,MATCH(ROWS($CI$3:CI138),$CH$3:$CH$220,0),1),"")</f>
        <v/>
      </c>
      <c r="CJ138" s="259" t="str">
        <f t="shared" ca="1" si="420"/>
        <v/>
      </c>
      <c r="CK138" s="259" t="str">
        <f t="shared" ca="1" si="372"/>
        <v/>
      </c>
      <c r="CL138" s="259">
        <f ca="1">IF(IFERROR(MATCH(CK138,DENOMINAZIONE_GIORNALE,0),0)&gt;0,MAX(CL$2:CL137)+1,0)</f>
        <v>0</v>
      </c>
      <c r="CM138" s="259" t="str">
        <f ca="1">IFERROR(INDEX($CK$3:$CL$220,MATCH(ROWS($CM$3:CM138),$CL$3:$CL$220,0),1),"")</f>
        <v/>
      </c>
      <c r="CN138" s="259" t="str">
        <f t="shared" ca="1" si="373"/>
        <v/>
      </c>
      <c r="CO138" s="259">
        <f ca="1">IF(IF(CN138&lt;&gt;0,MAX($CO$2:CO137)+1,0)=0,"",IF(CN138&lt;&gt;"",MAX($CO$2:CO137)+1,0))</f>
        <v>0</v>
      </c>
      <c r="CP138" s="259" t="str">
        <f ca="1">IFERROR(INDEX($CM$3:$CN$220,MATCH(ROWS(CP$3:CP138),$CO$3:$CO$220,0),1),"")</f>
        <v/>
      </c>
      <c r="CQ138" s="259" t="str">
        <f ca="1">IFERROR(INDEX($CM$3:$CN$220,MATCH(ROWS(CQ$3:CQ138),$CO$3:$CO$220,0),2),"")</f>
        <v/>
      </c>
      <c r="CS138" s="259">
        <f t="shared" ca="1" si="374"/>
        <v>0</v>
      </c>
      <c r="CT138" s="259">
        <f t="shared" ca="1" si="375"/>
        <v>0</v>
      </c>
      <c r="CU138" s="259">
        <f ca="1">IF(OR(CS138&gt;0,CT138&gt;0),MAX($CU$2:CU137)+1,0)</f>
        <v>0</v>
      </c>
      <c r="CV138" s="259" t="str">
        <f ca="1">IFERROR(INDEX(PIANO_DEI_CONTI,MATCH(ROWS($CV$3:CV138),$CU$3:$CU$200,0),2),"")</f>
        <v/>
      </c>
      <c r="CW138" s="259">
        <f ca="1">IFERROR(IF(CV138&lt;&gt;"",MAX($CW$2:CW137)+1,0),0)</f>
        <v>0</v>
      </c>
      <c r="CX138" s="259">
        <f t="shared" ca="1" si="364"/>
        <v>8</v>
      </c>
      <c r="CY138" s="259" t="str">
        <f t="shared" ca="1" si="469"/>
        <v>MASTRO</v>
      </c>
      <c r="CZ138" s="259" t="e">
        <f t="shared" ca="1" si="376"/>
        <v>#N/A</v>
      </c>
      <c r="DA138" s="259" t="str">
        <f t="shared" ca="1" si="421"/>
        <v/>
      </c>
      <c r="DB138" s="259" t="str">
        <f t="shared" ca="1" si="377"/>
        <v/>
      </c>
      <c r="DC138" s="259" t="str">
        <f t="shared" ca="1" si="378"/>
        <v/>
      </c>
      <c r="DD138" s="259" t="str">
        <f t="shared" ca="1" si="379"/>
        <v/>
      </c>
      <c r="DE138" s="259" t="str">
        <f t="shared" ca="1" si="380"/>
        <v/>
      </c>
      <c r="DF138" s="259">
        <f ca="1">IF(AND(CX138=$DE$2,$DF$2&lt;&gt;0),0,IF(AND(DB138&lt;&gt;"",OR(DB137&lt;&gt;"",DB139&lt;&gt;"")),MAX($DF$2:DF137)+1,0))</f>
        <v>0</v>
      </c>
      <c r="DG138" s="259" t="str">
        <f>IF(IF(LIBRO_GIORNALE!E46="","",IFERROR(INDEX(PIANO_DEI_CONTI,MATCH(BB138,DENOMINAZIONE,0),1),0))=0,"",IF(LIBRO_GIORNALE!E46="","",IFERROR(INDEX(PIANO_DEI_CONTI,MATCH(BB138,DENOMINAZIONE,0),1),0)))</f>
        <v/>
      </c>
      <c r="DH138" s="259">
        <f ca="1">IFERROR(IF($J$1=1,IF(INDEX(PIANO_DEI_CONTI,MATCH($K138,DENOMINAZIONE,0),5)=$DF$1,MAX($DH$2:DH137)+1,0),IF($J$1=2,IF(INDEX(PIANO_DEI_CONTI,MATCH($K138,DENOMINAZIONE,0),7)=$DF$1,MAX($DH$2:DH137)+1,0))),0)</f>
        <v>0</v>
      </c>
      <c r="DI138" s="259">
        <f ca="1">IFERROR(INDEX($K$3:$K$220,MATCH(ROWS($DI$3:DI138),$DH$3:$DH$220,0),1),0)</f>
        <v>0</v>
      </c>
      <c r="DJ138" s="259">
        <f t="shared" ca="1" si="381"/>
        <v>0</v>
      </c>
      <c r="DK138" s="259">
        <f ca="1">IF(DJ138=0,0,MAX(DK$2:DK137)+1)</f>
        <v>0</v>
      </c>
      <c r="DL138" s="259">
        <f ca="1">IFERROR(INDEX(PIANO_DEI_CONTI,MATCH(ROWS(DL$3:DL138),$DK$3:DK365,0),2),0)</f>
        <v>0</v>
      </c>
      <c r="DM138" s="259">
        <f t="shared" ca="1" si="382"/>
        <v>0</v>
      </c>
      <c r="DN138" s="259">
        <f t="shared" ca="1" si="383"/>
        <v>0</v>
      </c>
      <c r="DO138" s="259">
        <f t="shared" ca="1" si="422"/>
        <v>0</v>
      </c>
      <c r="DP138" s="259">
        <f t="shared" ca="1" si="423"/>
        <v>0</v>
      </c>
      <c r="DQ138" s="259">
        <f ca="1">IF(OR($DQ$1="TOTALI",$DQ$1="TOTALI ED ECCEDENZE"),IF(OR(DM138&gt;0,DN138&gt;0),MAX(DQ$2:DQ137)+1,0),IF($DQ$1="ECCEDENZE",IF(OR(DO138&gt;0,DP138&gt;0),MAX(DQ$2:DQ137)+1,0),""))</f>
        <v>0</v>
      </c>
      <c r="DR138" s="259" t="str">
        <f ca="1">IFERROR(INDEX($DL$3:$DQ$230,MATCH(ROWS(DR$3:DR138),$DQ$3:$DQ$230,0),1),"")</f>
        <v/>
      </c>
      <c r="DS138" s="259" t="str">
        <f t="shared" ca="1" si="424"/>
        <v/>
      </c>
      <c r="DT138" s="259" t="str">
        <f t="shared" ca="1" si="425"/>
        <v/>
      </c>
      <c r="DU138" s="259" t="str">
        <f t="shared" ca="1" si="426"/>
        <v/>
      </c>
      <c r="DV138" s="259" t="str">
        <f t="shared" ca="1" si="427"/>
        <v/>
      </c>
      <c r="DW138" s="259">
        <f t="shared" ca="1" si="428"/>
        <v>0</v>
      </c>
      <c r="DX138" s="259" t="str">
        <f t="shared" ca="1" si="429"/>
        <v/>
      </c>
      <c r="DY138" s="259" t="str">
        <f t="shared" ca="1" si="430"/>
        <v/>
      </c>
      <c r="DZ138" s="259" t="str">
        <f t="shared" ca="1" si="431"/>
        <v/>
      </c>
      <c r="EB138" s="259" t="s">
        <v>369</v>
      </c>
      <c r="ED138" s="259">
        <f t="shared" ca="1" si="384"/>
        <v>0</v>
      </c>
      <c r="EH138" s="259" t="str">
        <f t="shared" ca="1" si="432"/>
        <v/>
      </c>
      <c r="EI138" s="260" t="b">
        <f t="shared" ca="1" si="466"/>
        <v>1</v>
      </c>
      <c r="EJ138" s="260" t="b">
        <f t="shared" ca="1" si="467"/>
        <v>1</v>
      </c>
      <c r="EK138" s="260" t="b">
        <f t="shared" ca="1" si="468"/>
        <v>1</v>
      </c>
      <c r="EL138" s="259">
        <f t="shared" si="433"/>
        <v>136</v>
      </c>
      <c r="EM138" s="259">
        <f ca="1">IF(AND(BA138&gt;0,BA138&lt;=$EM$1),MAX($EM$2:EM137)+1,0)</f>
        <v>0</v>
      </c>
      <c r="EN138" s="259">
        <f t="shared" ca="1" si="434"/>
        <v>138</v>
      </c>
      <c r="EP138" s="259" t="str">
        <f t="shared" ca="1" si="385"/>
        <v/>
      </c>
      <c r="EQ138" s="259">
        <f t="shared" ca="1" si="386"/>
        <v>0</v>
      </c>
      <c r="ER138" s="259">
        <f ca="1">IF(ISNA(EQ138),MAX(ER$2:ER137)+1,0)</f>
        <v>0</v>
      </c>
      <c r="ES138" s="259" t="str">
        <f t="shared" ca="1" si="435"/>
        <v/>
      </c>
      <c r="ET138" s="259" t="str">
        <f ca="1">IFERROR(UPPER(INDEX($ER$3:$ES$500,MATCH(ROWS(ET$3:ET138),$ER$3:$ER$500,0),2)),"")</f>
        <v/>
      </c>
      <c r="EW138" s="259">
        <f t="shared" ca="1" si="344"/>
        <v>1</v>
      </c>
      <c r="EX138" s="259">
        <v>36</v>
      </c>
      <c r="EY138" s="259">
        <f t="shared" ca="1" si="345"/>
        <v>0</v>
      </c>
      <c r="EZ138" s="259">
        <f t="shared" ca="1" si="346"/>
        <v>0</v>
      </c>
      <c r="FA138" s="259">
        <f t="shared" ca="1" si="347"/>
        <v>0</v>
      </c>
      <c r="FB138" s="259">
        <f t="shared" ca="1" si="348"/>
        <v>0</v>
      </c>
      <c r="FC138" s="259">
        <f t="shared" ca="1" si="349"/>
        <v>0</v>
      </c>
      <c r="FD138" s="259">
        <f t="shared" ca="1" si="387"/>
        <v>0</v>
      </c>
      <c r="FE138" s="259" t="str">
        <f t="shared" ca="1" si="388"/>
        <v/>
      </c>
      <c r="FF138" s="259" t="str">
        <f t="shared" ca="1" si="350"/>
        <v/>
      </c>
      <c r="FM138" s="259">
        <f t="shared" ca="1" si="389"/>
        <v>0</v>
      </c>
      <c r="FN138" s="259">
        <f ca="1">IF(FM138&lt;0,MAX($FN$2:FN137)+1,0)</f>
        <v>0</v>
      </c>
      <c r="FO138" s="259" t="str">
        <f t="shared" ca="1" si="436"/>
        <v/>
      </c>
      <c r="FP138" s="259" t="str">
        <f ca="1">IFERROR(INDEX($FN$3:$FO$400,MATCH(ROWS($FP$3:FP138),$FN$3:$FN$400,0),2),"")</f>
        <v/>
      </c>
      <c r="FQ138" s="259" t="str">
        <f>IF(AE138="SE AVERE",MAX($FQ$2:FQ137)+1,"")</f>
        <v/>
      </c>
      <c r="FR138" s="259">
        <f>IF(AE138="SE DARE",MAX($FR$2:FR137)+1,"")</f>
        <v>43</v>
      </c>
      <c r="FS138" s="259" t="str">
        <f ca="1">IF(AND(AE138="SP DARE",AA138&lt;&gt;$FS$1,AA138&lt;&gt;$FT$1),MAX($FS$2:FS137)+1,IF(AND(GQ138="SP DARE",AA138&lt;&gt;$FS$1,AA138&lt;&gt;$FT$1),MAX($FS$2:FS137)+1,""))</f>
        <v/>
      </c>
      <c r="FT138" s="259" t="str">
        <f ca="1">IF(AND(AE138="SP AVERE",AA138&lt;&gt;$FU$1),MAX($FT$2:FT137)+1,IF(AND(GQ138="SP AVERE",AA138&lt;&gt;$FU$1),MAX($FT$2:FT137)+1,""))</f>
        <v/>
      </c>
      <c r="FU138" s="259">
        <f t="shared" ca="1" si="437"/>
        <v>43</v>
      </c>
      <c r="FV138" s="259" t="str">
        <f t="shared" si="438"/>
        <v>COSTI PER SERVIZI</v>
      </c>
      <c r="FW138" s="259" t="str">
        <f ca="1">IFERROR(INDEX($FU$3:$FV$500,MATCH(ROWS($FW$3:FW138),$FU$3:$FU$500,0),2),0)</f>
        <v>FONDO AMMORTAMENTO FABBRICATI</v>
      </c>
      <c r="FX138" s="259">
        <f t="shared" ca="1" si="439"/>
        <v>136</v>
      </c>
      <c r="FY138" s="259">
        <f t="shared" ca="1" si="440"/>
        <v>0</v>
      </c>
      <c r="FZ138" s="259">
        <f ca="1">IF(FY138&gt;0,MAX($FZ$2:FZ137)+1,0)</f>
        <v>0</v>
      </c>
      <c r="GA138" s="259">
        <f ca="1">IFERROR(INDEX($FY$3:$FZ$500,MATCH(ROWS($GA$3:GA138),$FZ$3:$FZ$500,0),1),0)</f>
        <v>0</v>
      </c>
      <c r="GC138" s="259">
        <f t="shared" ca="1" si="441"/>
        <v>136</v>
      </c>
      <c r="GD138" s="259" t="str">
        <f t="shared" ca="1" si="442"/>
        <v>FONDO AMMORTAMENTO FABBRICATI</v>
      </c>
      <c r="GG138" s="259">
        <f t="shared" ca="1" si="443"/>
        <v>0</v>
      </c>
      <c r="GH138" s="259">
        <f t="shared" ca="1" si="444"/>
        <v>0</v>
      </c>
      <c r="GI138" s="259">
        <f t="shared" ca="1" si="445"/>
        <v>0</v>
      </c>
      <c r="GJ138" s="259">
        <f t="shared" ca="1" si="446"/>
        <v>0</v>
      </c>
      <c r="GK138" s="259">
        <f t="shared" ca="1" si="447"/>
        <v>0</v>
      </c>
      <c r="GL138" s="259">
        <f t="shared" ca="1" si="447"/>
        <v>0</v>
      </c>
      <c r="GM138" s="259">
        <f ca="1">IF(OR(GK138&gt;0,GL138&gt;0),MAX($GM$2:GM137)+1,0)</f>
        <v>0</v>
      </c>
      <c r="GN138" s="259" t="str">
        <f ca="1">IFERROR(INDEX($GD$3:$GM$400,MATCH(ROWS($GN$3:GN138),$GM$3:$GM$400,0),1),"")</f>
        <v/>
      </c>
      <c r="GO138" s="259" t="str">
        <f ca="1">IFERROR(INDEX($GD$3:$GM$400,MATCH(ROWS($GO$3:GO138),$GM$3:$GM$400,0),8),"")</f>
        <v/>
      </c>
      <c r="GP138" s="259" t="str">
        <f ca="1">IFERROR(INDEX($GD$3:$GM$400,MATCH(ROWS($GP$3:GP138),$GM$3:$GM$400,0),9),"")</f>
        <v/>
      </c>
      <c r="GQ138" s="259">
        <f t="shared" ca="1" si="390"/>
        <v>0</v>
      </c>
      <c r="GR138" s="259">
        <f t="shared" ca="1" si="448"/>
        <v>0</v>
      </c>
      <c r="GS138" s="259" t="str">
        <f t="shared" ca="1" si="449"/>
        <v>chiusura del conto</v>
      </c>
      <c r="GT138" s="259" t="str">
        <f ca="1">IFERROR(INDEX($GD$3:$GS$400,MATCH(ROWS($GT$3:GT138),$GM$3:$GM$400,0),16),"")</f>
        <v/>
      </c>
      <c r="GU138" s="259">
        <f ca="1">IF(GQ138&lt;&gt;0,MAX($GU$2:$GU137)+1,0)</f>
        <v>0</v>
      </c>
      <c r="GV138" s="259">
        <f t="shared" ca="1" si="450"/>
        <v>0</v>
      </c>
      <c r="GW138" s="259" t="str">
        <f ca="1">IF(AND(IFERROR(INDEX($GU$3:$GV$400,MATCH(ROWS($GW$3:GW138),$GU$3:$GU$400,0),2),"")&lt;&gt;"",GW139&lt;&gt;""),CONCATENATE(IFERROR(INDEX($GU$3:$GV$400,MATCH(ROWS($GW$3:GW138),$GU$3:$GU$400,0),2),"")," - "),IFERROR(INDEX($GU$3:$GV$400,MATCH(ROWS($GW$3:GW138),$GU$3:$GU$400,0),2),""))</f>
        <v/>
      </c>
      <c r="GX138" s="259">
        <f ca="1">IF(OR(GN138="IVA NS/CREDITO",GN138="IVA NS/DEBITO",GN138="IVA C/ACCONTO",GN138="IMPOSTE C/ACCONTO"),MAX($GX$2:GX137)+1,0)</f>
        <v>0</v>
      </c>
      <c r="GY138" s="259" t="str">
        <f ca="1">IF(AND(IFERROR(INDEX($GN$3:$GX$200,MATCH(ROWS($GY$3:GY138),$GX$3:$GX$200,0),1),"")&lt;&gt;"",GY139&lt;&gt;""),CONCATENATE(IFERROR(INDEX($GN$3:$GX$200,MATCH(ROWS($GY$3:GY138),$GX$3:$GX$200,0),1),"")," - "),IFERROR(INDEX($GN$3:$GX$200,MATCH(ROWS($GY$3:GY138),$GX$3:$GX$200,0),1),""))</f>
        <v/>
      </c>
      <c r="GZ138" s="259" t="s">
        <v>142</v>
      </c>
      <c r="HA138" s="259" t="s">
        <v>566</v>
      </c>
      <c r="HB138" s="269" t="s">
        <v>256</v>
      </c>
      <c r="HC138" s="269" t="s">
        <v>276</v>
      </c>
      <c r="HD138" s="269" t="s">
        <v>7</v>
      </c>
      <c r="HE138" s="269" t="s">
        <v>214</v>
      </c>
      <c r="HV138" s="259" t="str">
        <f ca="1">CONCATENATE(IFERROR(INDEX($HS$3:$HT$102,MATCH(ROWS($HV$3:HV138),$HT$3:$HT$102,0),1),""),HR138)</f>
        <v/>
      </c>
      <c r="IC138" s="259">
        <f ca="1">IFERROR(INDEX(PIANO_DEI_CONTI,MATCH(ROWS(DL$3:DL138),$DK$3:DK365,0),2),0)</f>
        <v>0</v>
      </c>
      <c r="ID138" s="259">
        <f t="shared" ca="1" si="451"/>
        <v>0</v>
      </c>
      <c r="IE138" s="259">
        <f t="shared" ca="1" si="452"/>
        <v>0</v>
      </c>
      <c r="IF138" s="259">
        <f t="shared" ca="1" si="453"/>
        <v>0</v>
      </c>
      <c r="IG138" s="259">
        <f t="shared" ca="1" si="324"/>
        <v>0</v>
      </c>
      <c r="IH138" s="259">
        <f ca="1">IF(IG138&lt;&gt;0,MAX($IH$35:IH137)+1,0)</f>
        <v>0</v>
      </c>
      <c r="II138" s="259">
        <f>IF(AD138="costi pluriennali",MAX($II$2:II137)+1,0)</f>
        <v>0</v>
      </c>
      <c r="IJ138" s="259">
        <f>IF($AD138="rettifiche costi pluriennali",MAX($IJ$2:IJ137)+1,0)</f>
        <v>0</v>
      </c>
      <c r="IK138" s="259">
        <f t="shared" si="454"/>
        <v>0</v>
      </c>
      <c r="IL138" s="259" t="str">
        <f t="shared" si="455"/>
        <v/>
      </c>
      <c r="IM138" s="259">
        <f t="shared" ca="1" si="456"/>
        <v>0</v>
      </c>
      <c r="IN138" s="259">
        <f t="shared" ca="1" si="470"/>
        <v>0</v>
      </c>
      <c r="IO138" s="259">
        <f>SUMIFS($IM$3:$IM$200,$IK$3:$IK$200,ROWS($IO$3:IO138))-SUMIFS($IN$3:$IN$200,$IK$3:$IK$200,ROWS($IO$3:IO138))</f>
        <v>0</v>
      </c>
      <c r="IP138" s="259" t="str">
        <f>IF(IO138&lt;0,INDEX($IJ$3:$IL$200,MATCH(ROWS($IP$3:IP138),$IJ$3:$IJ$200,0),3),"")</f>
        <v/>
      </c>
      <c r="IQ138" s="259">
        <f>IF(IP138&lt;&gt;"",MAX($IQ$2:IQ137)+1,0)</f>
        <v>0</v>
      </c>
      <c r="IR138" s="259" t="str">
        <f ca="1">IFERROR(INDEX($IP$3:$IQ$200,MATCH(ROWS($IR$3:IR138),$IQ$3:$IQ$200,0),1),"")</f>
        <v/>
      </c>
      <c r="IS138" s="259" t="str">
        <f t="shared" ca="1" si="457"/>
        <v/>
      </c>
      <c r="IT138" s="259" t="str">
        <f t="shared" ca="1" si="458"/>
        <v/>
      </c>
      <c r="IU138" s="259" t="str">
        <f t="shared" ca="1" si="459"/>
        <v/>
      </c>
      <c r="IV138" s="259" t="str">
        <f t="shared" ca="1" si="460"/>
        <v/>
      </c>
      <c r="IW138" s="259" t="str">
        <f t="shared" ca="1" si="461"/>
        <v/>
      </c>
      <c r="IX138" s="259" t="str">
        <f t="shared" ca="1" si="462"/>
        <v/>
      </c>
      <c r="IY138" s="259" t="str">
        <f t="shared" ca="1" si="463"/>
        <v/>
      </c>
      <c r="IZ138" s="259" t="str">
        <f t="shared" ca="1" si="464"/>
        <v/>
      </c>
      <c r="JA138" s="259" t="str">
        <f t="shared" ca="1" si="465"/>
        <v/>
      </c>
      <c r="JB138" s="259">
        <f t="shared" ca="1" si="391"/>
        <v>0</v>
      </c>
      <c r="JC138" s="259">
        <f t="shared" ca="1" si="351"/>
        <v>0</v>
      </c>
      <c r="JD138" s="259">
        <f t="shared" ca="1" si="352"/>
        <v>0</v>
      </c>
      <c r="JM138" s="259">
        <f t="shared" ca="1" si="353"/>
        <v>0</v>
      </c>
    </row>
    <row r="139" spans="1:273">
      <c r="A139" s="259" t="str">
        <f t="shared" si="392"/>
        <v>30.10</v>
      </c>
      <c r="B139" s="259" t="str">
        <f t="shared" si="393"/>
        <v>RESI SU ACQUISTI</v>
      </c>
      <c r="C139" s="259" t="str">
        <f t="shared" si="394"/>
        <v>E</v>
      </c>
      <c r="D139" s="259" t="str">
        <f t="shared" si="395"/>
        <v>A</v>
      </c>
      <c r="E139" s="259" t="str">
        <f t="shared" si="396"/>
        <v>RETTIFICHE COSTI D'ESERCIZIO</v>
      </c>
      <c r="F139" s="259" t="str">
        <f t="shared" si="397"/>
        <v>SE AVERE</v>
      </c>
      <c r="G139" s="259">
        <f t="shared" ca="1" si="398"/>
        <v>1</v>
      </c>
      <c r="H139" s="259">
        <f t="shared" ca="1" si="399"/>
        <v>1</v>
      </c>
      <c r="I139" s="259">
        <f t="shared" ca="1" si="400"/>
        <v>1</v>
      </c>
      <c r="K139" s="259" t="str">
        <f ca="1">IFERROR(IF($I$1=1,INDEX($AA$3:$AS$220,MATCH(ROWS($K$3:K139),$AQ$3:$AQ$220,0),1),IF($I$1=2,INDEX($AA$3:$AS$220,MATCH(ROWS($K$3:K139),$AR$3:$AR$220,0),1),IF($I$1=3,INDEX($AA$3:$AS$220,MATCH(ROWS($K$3:K139),$AS$3:$AS$220,0),1),""))),"")</f>
        <v>TFR</v>
      </c>
      <c r="L139" s="259">
        <f ca="1">IF(AND($L$1="VISUALIZZA TUTTI I CONTI",K139&lt;&gt;""),MAX(L138:L138)+1,IFERROR(IF($J$1=1,IF(INDEX(PIANO_DEI_CONTI,MATCH($K139,DENOMINAZIONE,0),5)=$L$1,MAX($L$2:L138)+1,0),IF($J$1=2,IF(INDEX(PIANO_DEI_CONTI,MATCH($K139,DENOMINAZIONE,0),7)=$L$1,MAX($L$2:L138)+1,0))),0))</f>
        <v>137</v>
      </c>
      <c r="M139" s="259" t="str">
        <f ca="1">IFERROR(INDEX($K$3:$K$220,MATCH(ROWS($M$3:M139),$L$3:$L$220,0),1),"")</f>
        <v>TFR</v>
      </c>
      <c r="Q139" s="259" t="str">
        <f ca="1">IF(IFERROR(INDEX($O$3:$P$220,MATCH(ROWS(Q$3:Q139),$P$3:$P$220,0),1),"")=0,"",IFERROR(INDEX($O$3:$P$220,MATCH(ROWS(Q$3:Q139),$P$3:$P$220,0),1),""))</f>
        <v/>
      </c>
      <c r="R139" s="259" t="str">
        <f t="shared" ca="1" si="366"/>
        <v/>
      </c>
      <c r="S139" s="259">
        <f ca="1">IF(IFERROR(MATCH(R139,DENOMINAZIONE_GIORNALE,0),0)&gt;0,MAX(S$2:S138)+1,0)</f>
        <v>0</v>
      </c>
      <c r="T139" s="259" t="str">
        <f ca="1">IFERROR(INDEX($R$3:$S$220,MATCH(ROWS($T$3:T139),$S$3:$S$220,0),1),"")</f>
        <v/>
      </c>
      <c r="U139" s="259">
        <f t="shared" ca="1" si="367"/>
        <v>0</v>
      </c>
      <c r="V139" s="259">
        <f ca="1">IF(IF(U139&lt;&gt;0,MAX($V$2:V138)+1,0)=0,0,IF(U139&lt;&gt;0,MAX($V$2:V138)+1,0))</f>
        <v>0</v>
      </c>
      <c r="W139" s="259" t="str">
        <f t="shared" si="401"/>
        <v>30.10</v>
      </c>
      <c r="X139" s="259" t="str">
        <f t="shared" si="402"/>
        <v>RESI SU ACQUISTI</v>
      </c>
      <c r="Y139" s="259">
        <f>IF(W139="",0,MAX($Y$2:Y138)+1)</f>
        <v>118</v>
      </c>
      <c r="Z139" s="259" t="str">
        <f>IFERROR(INDEX($W$3:$Y$220,MATCH(ROWS($Z$2:Z138),$Y$3:$Y$220,0),1),"")</f>
        <v>32.01</v>
      </c>
      <c r="AA139" s="259" t="str">
        <f t="shared" si="403"/>
        <v>FITTI PASSIVI</v>
      </c>
      <c r="AB139" s="259" t="str">
        <f t="shared" si="404"/>
        <v>E</v>
      </c>
      <c r="AC139" s="259" t="str">
        <f t="shared" si="405"/>
        <v>D</v>
      </c>
      <c r="AD139" s="259" t="str">
        <f t="shared" si="406"/>
        <v>COSTI D'ESERCIZIO</v>
      </c>
      <c r="AE139" s="259" t="str">
        <f t="shared" si="407"/>
        <v>SE DARE</v>
      </c>
      <c r="AF139" s="259" t="str">
        <f t="shared" si="408"/>
        <v>COSTI PER GODIMENTO BENI DI TERZI</v>
      </c>
      <c r="AG139" s="259">
        <f t="shared" ca="1" si="409"/>
        <v>1</v>
      </c>
      <c r="AH139" s="259">
        <f t="shared" ca="1" si="410"/>
        <v>1</v>
      </c>
      <c r="AI139" s="259">
        <f t="shared" ca="1" si="411"/>
        <v>1</v>
      </c>
      <c r="AJ139" s="259" t="str">
        <f t="shared" si="412"/>
        <v>32</v>
      </c>
      <c r="AK139" s="259" t="str">
        <f t="shared" si="413"/>
        <v/>
      </c>
      <c r="AL139" s="259">
        <f>IF(AK139&lt;&gt;"",MAX($AL$2:AL138)+1,0)</f>
        <v>0</v>
      </c>
      <c r="AM139" s="259" t="str">
        <f>IFERROR(INDEX($AK$3:$AL$220,MATCH(ROWS($AM$3:AM139),$AL$3:$AL$220,0),1),"")</f>
        <v/>
      </c>
      <c r="AN139" s="259" t="str">
        <f t="shared" si="414"/>
        <v/>
      </c>
      <c r="AO139" s="259" t="str">
        <f t="shared" si="415"/>
        <v/>
      </c>
      <c r="AP139" s="259" t="str">
        <f t="shared" si="416"/>
        <v>COSTI PER GODIMENTO BENI DI TERZI</v>
      </c>
      <c r="AQ139" s="259">
        <f ca="1">IF(OR(AG139=0,AG139=""),0,MAX(AQ$2:AQ138)+1)</f>
        <v>78</v>
      </c>
      <c r="AR139" s="259">
        <f ca="1">IF(OR(AH139=0,AH139=""),0,MAX(AR$2:AR138)+1)</f>
        <v>103</v>
      </c>
      <c r="AS139" s="259">
        <f ca="1">IF(OR(AI139=0,AI139=""),0,MAX(AS$2:AS138)+1)</f>
        <v>133</v>
      </c>
      <c r="AT139" s="259" t="str">
        <f ca="1">IFERROR(INDEX($AD$3:$AS$220,MATCH(ROWS(AT$3:AT139),AQ$3:AQ$220,0),1),"")</f>
        <v/>
      </c>
      <c r="AU139" s="259" t="str">
        <f ca="1">IFERROR(INDEX($AD$3:$AS$220,MATCH(ROWS(AU$3:AU139),AR$3:AR$220,0),1),"")</f>
        <v/>
      </c>
      <c r="AV139" s="259" t="str">
        <f ca="1">IFERROR(INDEX($AD$3:$AS$220,MATCH(ROWS(AV$3:AV139),AS$3:AS$220,0),1),"")</f>
        <v>COSTI D'ESERCIZIO</v>
      </c>
      <c r="AW139" s="259" t="str">
        <f ca="1">IFERROR(INDEX($AP$3:$AS$220,MATCH(ROWS(AW$3:AW139),AQ$3:AQ$220,0),1),"")</f>
        <v/>
      </c>
      <c r="AX139" s="259" t="str">
        <f ca="1">IFERROR(INDEX($AP$3:$AS$220,MATCH(ROWS(AX$3:AX139),AR$3:AR$220,0),1),"")</f>
        <v/>
      </c>
      <c r="AY139" s="259" t="str">
        <f ca="1">IFERROR(INDEX($AP$3:$AS$220,MATCH(ROWS(AY$3:AY139),AS$3:AS$220,0),1),"")</f>
        <v>COSTI PER IL PERSONALE</v>
      </c>
      <c r="AZ139" s="259" t="str">
        <f t="shared" si="339"/>
        <v>37 V.I.</v>
      </c>
      <c r="BA139" s="259">
        <f t="shared" ca="1" si="338"/>
        <v>0</v>
      </c>
      <c r="BB139" s="259">
        <f t="shared" ca="1" si="340"/>
        <v>0</v>
      </c>
      <c r="BC139" s="259">
        <f t="shared" ca="1" si="341"/>
        <v>0</v>
      </c>
      <c r="BD139" s="259">
        <f t="shared" ca="1" si="342"/>
        <v>0</v>
      </c>
      <c r="BE139" s="259">
        <f t="shared" ca="1" si="343"/>
        <v>0</v>
      </c>
      <c r="BG139" s="259" t="str">
        <f t="shared" ca="1" si="368"/>
        <v/>
      </c>
      <c r="BH139" s="259">
        <f ca="1">IF(IFERROR(MATCH(BG139,DENOMINAZIONE_GIORNALE,0),0)&gt;0,MAX(BH$2:BH138)+1,0)</f>
        <v>0</v>
      </c>
      <c r="BI139" s="259" t="str">
        <f ca="1">IFERROR(INDEX($BG$3:$BH$220,MATCH(ROWS($BI$3:BI139),$BH$3:$BH$220,0),1),"")</f>
        <v/>
      </c>
      <c r="BJ139" s="259" t="str">
        <f t="shared" ca="1" si="369"/>
        <v/>
      </c>
      <c r="BK139" s="259" t="str">
        <f ca="1">IF(IF(BJ139&lt;&gt;"",MAX($BK$2:BK138)+1,0)=0,"",IF(BJ139&lt;&gt;"",MAX($BK$2:BK138)+1,0))</f>
        <v/>
      </c>
      <c r="BL139" s="259" t="str">
        <f ca="1">IFERROR(INDEX($T$3:$U$220, MATCH(ROWS(BL$3:BL139),$V$3:$V$220,0),1),"")</f>
        <v/>
      </c>
      <c r="BM139" s="259" t="str">
        <f ca="1">IFERROR(INDEX($T$3:$U$220, MATCH(ROWS(BM$3:BM139),$V$3:$V$220,0),2),"")</f>
        <v/>
      </c>
      <c r="BN139" s="259" t="str">
        <f ca="1">IF(IFERROR(INDEX($BI$3:$BJ$220,MATCH(ROWS(BN$3:BN139),$BK$3:$BK$220,0),1),"")="PATRIMONIO NETTO","",IFERROR(INDEX($BI$3:$BJ$220,MATCH(ROWS(BN$3:BN139),$BK$3:$BK$220,0),1),""))</f>
        <v/>
      </c>
      <c r="BO139" s="259" t="str">
        <f ca="1">IFERROR(INDEX($BI$3:$BJ$220,MATCH(ROWS(BO$3:BO139),$BK$3:$BK$220,0),2),"")</f>
        <v/>
      </c>
      <c r="BP139" s="259">
        <f ca="1">IF(BN139&lt;&gt;"",MAX(BP$2:$BP138)+1,0)</f>
        <v>0</v>
      </c>
      <c r="BQ139" s="259" t="str">
        <f ca="1">IFERROR(INDEX($BN$3:$BO$200,MATCH(ROWS(BQ$3:BQ139),$BP$3:$BP$220,0),1),"")</f>
        <v/>
      </c>
      <c r="BR139" s="259" t="str">
        <f ca="1">IFERROR(INDEX($BN$3:$BO$220,MATCH(ROWS(BR$3:BR139),$BP$3:$BP$220,0),2),"")</f>
        <v/>
      </c>
      <c r="BS139" s="259" t="str">
        <f ca="1">IFERROR(IF(OR(INDEX($T$3:$U$220,MATCH(ROWS(BL$3:BL139),$V$3:$V$220,0),1)="PRELEVAMENTI EXTRAGESTIONE",INDEX($T$3:$U$220,MATCH(ROWS(BL$3:BL139),$V$3:$V$220,0),1)="TITOLARE C/RITENUTE SUBITE"),"",INDEX($T$3:$U$220,MATCH(ROWS(BL$3:BL139),$V$3:$V$220,0),1)),"")</f>
        <v/>
      </c>
      <c r="BT139" s="259">
        <f t="shared" ca="1" si="417"/>
        <v>0</v>
      </c>
      <c r="BU139" s="259">
        <f ca="1">IF(BS139&lt;&gt;"",MAX(BU$2:BU138)+1,0)</f>
        <v>0</v>
      </c>
      <c r="BV139" s="259" t="str">
        <f ca="1">IFERROR(INDEX($BS$3:$BT$223,MATCH(ROWS(BV$3:BV139),$BU$3:$BU$223,0),1),"")</f>
        <v/>
      </c>
      <c r="BW139" s="259">
        <f t="shared" ca="1" si="418"/>
        <v>0</v>
      </c>
      <c r="CB139" s="259" t="str">
        <f ca="1">IFERROR(IF(OR($BB$1&lt;&gt;$BD$1,$BC$1&lt;&gt;$BE$1,$DS$231&lt;&gt;$DT$231,$DU$231&lt;&gt;$DV$231,$EO$25&lt;&gt;0,$EO$26&lt;&gt;0),INDEX($BI$3:$BK$220,MATCH(ROWS($CB$3:CB139),$BK$3:$BK$220,0),1),CONCATENATE(BQ139,BX139)),"")</f>
        <v/>
      </c>
      <c r="CC139" s="259" t="str">
        <f t="shared" ca="1" si="419"/>
        <v/>
      </c>
      <c r="CD139" s="259" t="str">
        <f t="shared" ca="1" si="370"/>
        <v>FITTI PASSIVI</v>
      </c>
      <c r="CE139" s="259">
        <f ca="1">IF(IFERROR(MATCH(CD139,DENOMINAZIONE_GIORNALE,0),0)&gt;0,MAX(CE$2:CE138)+1,0)</f>
        <v>0</v>
      </c>
      <c r="CF139" s="259" t="str">
        <f ca="1">IFERROR(INDEX($CD$3:$CE$220,MATCH(ROWS($CF$3:CF139),$CE$3:$CE$220,0),1),"")</f>
        <v/>
      </c>
      <c r="CG139" s="259">
        <f t="shared" ca="1" si="371"/>
        <v>0</v>
      </c>
      <c r="CH139" s="259" t="str">
        <f ca="1">IF(IF(CG139&lt;&gt;0,MAX($CH$2:CH138)+1,0)=0,"",IF(CG139&lt;&gt;"",MAX($CH$2:CH138)+1,0))</f>
        <v/>
      </c>
      <c r="CI139" s="259" t="str">
        <f ca="1">IFERROR(INDEX($CF$3:$CG$220,MATCH(ROWS($CI$3:CI139),$CH$3:$CH$220,0),1),"")</f>
        <v/>
      </c>
      <c r="CJ139" s="259" t="str">
        <f t="shared" ca="1" si="420"/>
        <v/>
      </c>
      <c r="CK139" s="259" t="str">
        <f t="shared" ca="1" si="372"/>
        <v/>
      </c>
      <c r="CL139" s="259">
        <f ca="1">IF(IFERROR(MATCH(CK139,DENOMINAZIONE_GIORNALE,0),0)&gt;0,MAX(CL$2:CL138)+1,0)</f>
        <v>0</v>
      </c>
      <c r="CM139" s="259" t="str">
        <f ca="1">IFERROR(INDEX($CK$3:$CL$220,MATCH(ROWS($CM$3:CM139),$CL$3:$CL$220,0),1),"")</f>
        <v/>
      </c>
      <c r="CN139" s="259" t="str">
        <f t="shared" ca="1" si="373"/>
        <v/>
      </c>
      <c r="CO139" s="259">
        <f ca="1">IF(IF(CN139&lt;&gt;0,MAX($CO$2:CO138)+1,0)=0,"",IF(CN139&lt;&gt;"",MAX($CO$2:CO138)+1,0))</f>
        <v>0</v>
      </c>
      <c r="CP139" s="259" t="str">
        <f ca="1">IFERROR(INDEX($CM$3:$CN$220,MATCH(ROWS(CP$3:CP139),$CO$3:$CO$220,0),1),"")</f>
        <v/>
      </c>
      <c r="CQ139" s="259" t="str">
        <f ca="1">IFERROR(INDEX($CM$3:$CN$220,MATCH(ROWS(CQ$3:CQ139),$CO$3:$CO$220,0),2),"")</f>
        <v/>
      </c>
      <c r="CS139" s="259">
        <f t="shared" ca="1" si="374"/>
        <v>0</v>
      </c>
      <c r="CT139" s="259">
        <f t="shared" ca="1" si="375"/>
        <v>0</v>
      </c>
      <c r="CU139" s="259">
        <f ca="1">IF(OR(CS139&gt;0,CT139&gt;0),MAX($CU$2:CU138)+1,0)</f>
        <v>0</v>
      </c>
      <c r="CV139" s="259" t="str">
        <f ca="1">IFERROR(INDEX(PIANO_DEI_CONTI,MATCH(ROWS($CV$3:CV139),$CU$3:$CU$200,0),2),"")</f>
        <v/>
      </c>
      <c r="CW139" s="259">
        <f ca="1">IFERROR(IF(CV139&lt;&gt;"",MAX($CW$2:CW138)+1,0),0)</f>
        <v>0</v>
      </c>
      <c r="CX139" s="259">
        <f t="shared" ca="1" si="364"/>
        <v>8</v>
      </c>
      <c r="CY139" s="259" t="str">
        <f t="shared" ca="1" si="469"/>
        <v>MASTRO</v>
      </c>
      <c r="CZ139" s="259" t="e">
        <f t="shared" ca="1" si="376"/>
        <v>#N/A</v>
      </c>
      <c r="DA139" s="259" t="str">
        <f t="shared" ca="1" si="421"/>
        <v/>
      </c>
      <c r="DB139" s="259" t="str">
        <f t="shared" ca="1" si="377"/>
        <v/>
      </c>
      <c r="DC139" s="259" t="str">
        <f t="shared" ca="1" si="378"/>
        <v/>
      </c>
      <c r="DD139" s="259" t="str">
        <f t="shared" ca="1" si="379"/>
        <v/>
      </c>
      <c r="DE139" s="259" t="str">
        <f t="shared" ca="1" si="380"/>
        <v/>
      </c>
      <c r="DF139" s="259">
        <f ca="1">IF(AND(CX139=$DE$2,$DF$2&lt;&gt;0),0,IF(AND(DB139&lt;&gt;"",OR(DB138&lt;&gt;"",DB140&lt;&gt;"")),MAX($DF$2:DF138)+1,0))</f>
        <v>0</v>
      </c>
      <c r="DG139" s="259" t="str">
        <f>IF(IF(LIBRO_GIORNALE!E47="","",IFERROR(INDEX(PIANO_DEI_CONTI,MATCH(BB139,DENOMINAZIONE,0),1),0))=0,"",IF(LIBRO_GIORNALE!E47="","",IFERROR(INDEX(PIANO_DEI_CONTI,MATCH(BB139,DENOMINAZIONE,0),1),0)))</f>
        <v/>
      </c>
      <c r="DH139" s="259">
        <f ca="1">IFERROR(IF($J$1=1,IF(INDEX(PIANO_DEI_CONTI,MATCH($K139,DENOMINAZIONE,0),5)=$DF$1,MAX($DH$2:DH138)+1,0),IF($J$1=2,IF(INDEX(PIANO_DEI_CONTI,MATCH($K139,DENOMINAZIONE,0),7)=$DF$1,MAX($DH$2:DH138)+1,0))),0)</f>
        <v>0</v>
      </c>
      <c r="DI139" s="259">
        <f ca="1">IFERROR(INDEX($K$3:$K$220,MATCH(ROWS($DI$3:DI139),$DH$3:$DH$220,0),1),0)</f>
        <v>0</v>
      </c>
      <c r="DJ139" s="259">
        <f t="shared" ca="1" si="381"/>
        <v>0</v>
      </c>
      <c r="DK139" s="259">
        <f ca="1">IF(DJ139=0,0,MAX(DK$2:DK138)+1)</f>
        <v>0</v>
      </c>
      <c r="DL139" s="259">
        <f ca="1">IFERROR(INDEX(PIANO_DEI_CONTI,MATCH(ROWS(DL$3:DL139),$DK$3:DK366,0),2),0)</f>
        <v>0</v>
      </c>
      <c r="DM139" s="259">
        <f t="shared" ca="1" si="382"/>
        <v>0</v>
      </c>
      <c r="DN139" s="259">
        <f t="shared" ca="1" si="383"/>
        <v>0</v>
      </c>
      <c r="DO139" s="259">
        <f t="shared" ca="1" si="422"/>
        <v>0</v>
      </c>
      <c r="DP139" s="259">
        <f t="shared" ca="1" si="423"/>
        <v>0</v>
      </c>
      <c r="DQ139" s="259">
        <f ca="1">IF(OR($DQ$1="TOTALI",$DQ$1="TOTALI ED ECCEDENZE"),IF(OR(DM139&gt;0,DN139&gt;0),MAX(DQ$2:DQ138)+1,0),IF($DQ$1="ECCEDENZE",IF(OR(DO139&gt;0,DP139&gt;0),MAX(DQ$2:DQ138)+1,0),""))</f>
        <v>0</v>
      </c>
      <c r="DR139" s="259" t="str">
        <f ca="1">IFERROR(INDEX($DL$3:$DQ$230,MATCH(ROWS(DR$3:DR139),$DQ$3:$DQ$230,0),1),"")</f>
        <v/>
      </c>
      <c r="DS139" s="259" t="str">
        <f t="shared" ca="1" si="424"/>
        <v/>
      </c>
      <c r="DT139" s="259" t="str">
        <f t="shared" ca="1" si="425"/>
        <v/>
      </c>
      <c r="DU139" s="259" t="str">
        <f t="shared" ca="1" si="426"/>
        <v/>
      </c>
      <c r="DV139" s="259" t="str">
        <f t="shared" ca="1" si="427"/>
        <v/>
      </c>
      <c r="DW139" s="259">
        <f t="shared" ca="1" si="428"/>
        <v>0</v>
      </c>
      <c r="DX139" s="259" t="str">
        <f t="shared" ca="1" si="429"/>
        <v/>
      </c>
      <c r="DY139" s="259" t="str">
        <f t="shared" ca="1" si="430"/>
        <v/>
      </c>
      <c r="DZ139" s="259" t="str">
        <f t="shared" ca="1" si="431"/>
        <v/>
      </c>
      <c r="EB139" s="259" t="s">
        <v>370</v>
      </c>
      <c r="ED139" s="259">
        <f t="shared" ca="1" si="384"/>
        <v>0</v>
      </c>
      <c r="EH139" s="259" t="str">
        <f t="shared" ca="1" si="432"/>
        <v/>
      </c>
      <c r="EI139" s="260" t="b">
        <f t="shared" ca="1" si="466"/>
        <v>1</v>
      </c>
      <c r="EJ139" s="260" t="b">
        <f t="shared" ca="1" si="467"/>
        <v>1</v>
      </c>
      <c r="EK139" s="260" t="b">
        <f t="shared" ca="1" si="468"/>
        <v>1</v>
      </c>
      <c r="EL139" s="259">
        <f t="shared" si="433"/>
        <v>137</v>
      </c>
      <c r="EM139" s="259">
        <f ca="1">IF(AND(BA139&gt;0,BA139&lt;=$EM$1),MAX($EM$2:EM138)+1,0)</f>
        <v>0</v>
      </c>
      <c r="EN139" s="259">
        <f t="shared" ca="1" si="434"/>
        <v>139</v>
      </c>
      <c r="EP139" s="259" t="str">
        <f t="shared" ca="1" si="385"/>
        <v/>
      </c>
      <c r="EQ139" s="259">
        <f t="shared" ca="1" si="386"/>
        <v>0</v>
      </c>
      <c r="ER139" s="259">
        <f ca="1">IF(ISNA(EQ139),MAX(ER$2:ER138)+1,0)</f>
        <v>0</v>
      </c>
      <c r="ES139" s="259" t="str">
        <f t="shared" ca="1" si="435"/>
        <v/>
      </c>
      <c r="ET139" s="259" t="str">
        <f ca="1">IFERROR(UPPER(INDEX($ER$3:$ES$500,MATCH(ROWS(ET$3:ET139),$ER$3:$ER$500,0),2)),"")</f>
        <v/>
      </c>
      <c r="EW139" s="259">
        <f t="shared" ca="1" si="344"/>
        <v>1</v>
      </c>
      <c r="EX139" s="259">
        <v>37</v>
      </c>
      <c r="EY139" s="259">
        <f t="shared" ca="1" si="345"/>
        <v>0</v>
      </c>
      <c r="EZ139" s="259">
        <f t="shared" ca="1" si="346"/>
        <v>0</v>
      </c>
      <c r="FA139" s="259">
        <f t="shared" ca="1" si="347"/>
        <v>0</v>
      </c>
      <c r="FB139" s="259">
        <f t="shared" ca="1" si="348"/>
        <v>0</v>
      </c>
      <c r="FC139" s="259">
        <f t="shared" ca="1" si="349"/>
        <v>0</v>
      </c>
      <c r="FD139" s="259">
        <f t="shared" ca="1" si="387"/>
        <v>0</v>
      </c>
      <c r="FE139" s="259" t="str">
        <f t="shared" ca="1" si="388"/>
        <v/>
      </c>
      <c r="FF139" s="259" t="str">
        <f t="shared" ca="1" si="350"/>
        <v/>
      </c>
      <c r="FM139" s="259">
        <f t="shared" ca="1" si="389"/>
        <v>0</v>
      </c>
      <c r="FN139" s="259">
        <f ca="1">IF(FM139&lt;0,MAX($FN$2:FN138)+1,0)</f>
        <v>0</v>
      </c>
      <c r="FO139" s="259" t="str">
        <f t="shared" ca="1" si="436"/>
        <v/>
      </c>
      <c r="FP139" s="259" t="str">
        <f ca="1">IFERROR(INDEX($FN$3:$FO$400,MATCH(ROWS($FP$3:FP139),$FN$3:$FN$400,0),2),"")</f>
        <v/>
      </c>
      <c r="FQ139" s="259" t="str">
        <f>IF(AE139="SE AVERE",MAX($FQ$2:FQ138)+1,"")</f>
        <v/>
      </c>
      <c r="FR139" s="259">
        <f>IF(AE139="SE DARE",MAX($FR$2:FR138)+1,"")</f>
        <v>44</v>
      </c>
      <c r="FS139" s="259" t="str">
        <f ca="1">IF(AND(AE139="SP DARE",AA139&lt;&gt;$FS$1,AA139&lt;&gt;$FT$1),MAX($FS$2:FS138)+1,IF(AND(GQ139="SP DARE",AA139&lt;&gt;$FS$1,AA139&lt;&gt;$FT$1),MAX($FS$2:FS138)+1,""))</f>
        <v/>
      </c>
      <c r="FT139" s="259" t="str">
        <f ca="1">IF(AND(AE139="SP AVERE",AA139&lt;&gt;$FU$1),MAX($FT$2:FT138)+1,IF(AND(GQ139="SP AVERE",AA139&lt;&gt;$FU$1),MAX($FT$2:FT138)+1,""))</f>
        <v/>
      </c>
      <c r="FU139" s="259">
        <f t="shared" ca="1" si="437"/>
        <v>44</v>
      </c>
      <c r="FV139" s="259" t="str">
        <f t="shared" si="438"/>
        <v>FITTI PASSIVI</v>
      </c>
      <c r="FW139" s="259" t="str">
        <f ca="1">IFERROR(INDEX($FU$3:$FV$500,MATCH(ROWS($FW$3:FW139),$FU$3:$FU$500,0),2),0)</f>
        <v>FONDO AMMORT. IMPIANTI E MACCHINARI</v>
      </c>
      <c r="FX139" s="259">
        <f t="shared" ca="1" si="439"/>
        <v>137</v>
      </c>
      <c r="FY139" s="259">
        <f t="shared" ca="1" si="440"/>
        <v>0</v>
      </c>
      <c r="FZ139" s="259">
        <f ca="1">IF(FY139&gt;0,MAX($FZ$2:FZ138)+1,0)</f>
        <v>0</v>
      </c>
      <c r="GA139" s="259">
        <f ca="1">IFERROR(INDEX($FY$3:$FZ$500,MATCH(ROWS($GA$3:GA139),$FZ$3:$FZ$500,0),1),0)</f>
        <v>0</v>
      </c>
      <c r="GC139" s="259">
        <f t="shared" ca="1" si="441"/>
        <v>137</v>
      </c>
      <c r="GD139" s="259" t="str">
        <f t="shared" ca="1" si="442"/>
        <v>FONDO AMMORT. IMPIANTI E MACCHINARI</v>
      </c>
      <c r="GG139" s="259">
        <f t="shared" ca="1" si="443"/>
        <v>0</v>
      </c>
      <c r="GH139" s="259">
        <f t="shared" ca="1" si="444"/>
        <v>0</v>
      </c>
      <c r="GI139" s="259">
        <f t="shared" ca="1" si="445"/>
        <v>0</v>
      </c>
      <c r="GJ139" s="259">
        <f t="shared" ca="1" si="446"/>
        <v>0</v>
      </c>
      <c r="GK139" s="259">
        <f t="shared" ca="1" si="447"/>
        <v>0</v>
      </c>
      <c r="GL139" s="259">
        <f t="shared" ca="1" si="447"/>
        <v>0</v>
      </c>
      <c r="GM139" s="259">
        <f ca="1">IF(OR(GK139&gt;0,GL139&gt;0),MAX($GM$2:GM138)+1,0)</f>
        <v>0</v>
      </c>
      <c r="GN139" s="259" t="str">
        <f ca="1">IFERROR(INDEX($GD$3:$GM$400,MATCH(ROWS($GN$3:GN139),$GM$3:$GM$400,0),1),"")</f>
        <v/>
      </c>
      <c r="GO139" s="259" t="str">
        <f ca="1">IFERROR(INDEX($GD$3:$GM$400,MATCH(ROWS($GO$3:GO139),$GM$3:$GM$400,0),8),"")</f>
        <v/>
      </c>
      <c r="GP139" s="259" t="str">
        <f ca="1">IFERROR(INDEX($GD$3:$GM$400,MATCH(ROWS($GP$3:GP139),$GM$3:$GM$400,0),9),"")</f>
        <v/>
      </c>
      <c r="GQ139" s="259">
        <f t="shared" ca="1" si="390"/>
        <v>0</v>
      </c>
      <c r="GR139" s="259">
        <f t="shared" ca="1" si="448"/>
        <v>0</v>
      </c>
      <c r="GS139" s="259" t="str">
        <f t="shared" ca="1" si="449"/>
        <v>chiusura del conto</v>
      </c>
      <c r="GT139" s="259" t="str">
        <f ca="1">IFERROR(INDEX($GD$3:$GS$400,MATCH(ROWS($GT$3:GT139),$GM$3:$GM$400,0),16),"")</f>
        <v/>
      </c>
      <c r="GU139" s="259">
        <f ca="1">IF(GQ139&lt;&gt;0,MAX($GU$2:$GU138)+1,0)</f>
        <v>0</v>
      </c>
      <c r="GV139" s="259">
        <f t="shared" ca="1" si="450"/>
        <v>0</v>
      </c>
      <c r="GW139" s="259" t="str">
        <f ca="1">IF(AND(IFERROR(INDEX($GU$3:$GV$400,MATCH(ROWS($GW$3:GW139),$GU$3:$GU$400,0),2),"")&lt;&gt;"",GW140&lt;&gt;""),CONCATENATE(IFERROR(INDEX($GU$3:$GV$400,MATCH(ROWS($GW$3:GW139),$GU$3:$GU$400,0),2),"")," - "),IFERROR(INDEX($GU$3:$GV$400,MATCH(ROWS($GW$3:GW139),$GU$3:$GU$400,0),2),""))</f>
        <v/>
      </c>
      <c r="GX139" s="259">
        <f ca="1">IF(OR(GN139="IVA NS/CREDITO",GN139="IVA NS/DEBITO",GN139="IVA C/ACCONTO",GN139="IMPOSTE C/ACCONTO"),MAX($GX$2:GX138)+1,0)</f>
        <v>0</v>
      </c>
      <c r="GY139" s="259" t="str">
        <f ca="1">IF(AND(IFERROR(INDEX($GN$3:$GX$200,MATCH(ROWS($GY$3:GY139),$GX$3:$GX$200,0),1),"")&lt;&gt;"",GY140&lt;&gt;""),CONCATENATE(IFERROR(INDEX($GN$3:$GX$200,MATCH(ROWS($GY$3:GY139),$GX$3:$GX$200,0),1),"")," - "),IFERROR(INDEX($GN$3:$GX$200,MATCH(ROWS($GY$3:GY139),$GX$3:$GX$200,0),1),""))</f>
        <v/>
      </c>
      <c r="GZ139" s="259" t="s">
        <v>143</v>
      </c>
      <c r="HA139" s="259" t="s">
        <v>567</v>
      </c>
      <c r="HB139" s="269" t="s">
        <v>256</v>
      </c>
      <c r="HC139" s="269" t="s">
        <v>211</v>
      </c>
      <c r="HD139" s="269" t="s">
        <v>268</v>
      </c>
      <c r="HE139" s="269" t="s">
        <v>213</v>
      </c>
      <c r="HV139" s="259" t="str">
        <f ca="1">CONCATENATE(IFERROR(INDEX($HS$3:$HT$102,MATCH(ROWS($HV$3:HV139),$HT$3:$HT$102,0),1),""),HR139)</f>
        <v/>
      </c>
      <c r="IC139" s="259">
        <f ca="1">IFERROR(INDEX(PIANO_DEI_CONTI,MATCH(ROWS(DL$3:DL139),$DK$3:DK366,0),2),0)</f>
        <v>0</v>
      </c>
      <c r="ID139" s="259">
        <f t="shared" ca="1" si="451"/>
        <v>0</v>
      </c>
      <c r="IE139" s="259">
        <f t="shared" ca="1" si="452"/>
        <v>0</v>
      </c>
      <c r="IF139" s="259">
        <f t="shared" ca="1" si="453"/>
        <v>0</v>
      </c>
      <c r="IG139" s="259">
        <f t="shared" ca="1" si="324"/>
        <v>0</v>
      </c>
      <c r="IH139" s="259">
        <f ca="1">IF(IG139&lt;&gt;0,MAX($IH$35:IH138)+1,0)</f>
        <v>0</v>
      </c>
      <c r="II139" s="259">
        <f>IF(AD139="costi pluriennali",MAX($II$2:II138)+1,0)</f>
        <v>0</v>
      </c>
      <c r="IJ139" s="259">
        <f>IF($AD139="rettifiche costi pluriennali",MAX($IJ$2:IJ138)+1,0)</f>
        <v>0</v>
      </c>
      <c r="IK139" s="259">
        <f t="shared" si="454"/>
        <v>0</v>
      </c>
      <c r="IL139" s="259" t="str">
        <f t="shared" si="455"/>
        <v/>
      </c>
      <c r="IM139" s="259">
        <f t="shared" ca="1" si="456"/>
        <v>0</v>
      </c>
      <c r="IN139" s="259">
        <f t="shared" ca="1" si="470"/>
        <v>0</v>
      </c>
      <c r="IO139" s="259">
        <f>SUMIFS($IM$3:$IM$200,$IK$3:$IK$200,ROWS($IO$3:IO139))-SUMIFS($IN$3:$IN$200,$IK$3:$IK$200,ROWS($IO$3:IO139))</f>
        <v>0</v>
      </c>
      <c r="IP139" s="259" t="str">
        <f>IF(IO139&lt;0,INDEX($IJ$3:$IL$200,MATCH(ROWS($IP$3:IP139),$IJ$3:$IJ$200,0),3),"")</f>
        <v/>
      </c>
      <c r="IQ139" s="259">
        <f>IF(IP139&lt;&gt;"",MAX($IQ$2:IQ138)+1,0)</f>
        <v>0</v>
      </c>
      <c r="IR139" s="259" t="str">
        <f ca="1">IFERROR(INDEX($IP$3:$IQ$200,MATCH(ROWS($IR$3:IR139),$IQ$3:$IQ$200,0),1),"")</f>
        <v/>
      </c>
      <c r="IS139" s="259" t="str">
        <f t="shared" ca="1" si="457"/>
        <v/>
      </c>
      <c r="IT139" s="259" t="str">
        <f t="shared" ca="1" si="458"/>
        <v/>
      </c>
      <c r="IU139" s="259" t="str">
        <f t="shared" ca="1" si="459"/>
        <v/>
      </c>
      <c r="IV139" s="259" t="str">
        <f t="shared" ca="1" si="460"/>
        <v/>
      </c>
      <c r="IW139" s="259" t="str">
        <f t="shared" ca="1" si="461"/>
        <v/>
      </c>
      <c r="IX139" s="259" t="str">
        <f t="shared" ca="1" si="462"/>
        <v/>
      </c>
      <c r="IY139" s="259" t="str">
        <f t="shared" ca="1" si="463"/>
        <v/>
      </c>
      <c r="IZ139" s="259" t="str">
        <f t="shared" ca="1" si="464"/>
        <v/>
      </c>
      <c r="JA139" s="259" t="str">
        <f t="shared" ca="1" si="465"/>
        <v/>
      </c>
      <c r="JB139" s="259">
        <f t="shared" ca="1" si="391"/>
        <v>0</v>
      </c>
      <c r="JC139" s="259">
        <f t="shared" ca="1" si="351"/>
        <v>0</v>
      </c>
      <c r="JD139" s="259">
        <f t="shared" ca="1" si="352"/>
        <v>0</v>
      </c>
      <c r="JM139" s="259">
        <f t="shared" ca="1" si="353"/>
        <v>0</v>
      </c>
    </row>
    <row r="140" spans="1:273">
      <c r="A140" s="259" t="str">
        <f t="shared" si="392"/>
        <v>30.11</v>
      </c>
      <c r="B140" s="259" t="str">
        <f t="shared" si="393"/>
        <v>RIBASSI E ABBUONI ATTIVI</v>
      </c>
      <c r="C140" s="259" t="str">
        <f t="shared" si="394"/>
        <v>E</v>
      </c>
      <c r="D140" s="259" t="str">
        <f t="shared" si="395"/>
        <v>A</v>
      </c>
      <c r="E140" s="259" t="str">
        <f t="shared" si="396"/>
        <v>RETTIFICHE COSTI D'ESERCIZIO</v>
      </c>
      <c r="F140" s="259" t="str">
        <f t="shared" si="397"/>
        <v>SE AVERE</v>
      </c>
      <c r="G140" s="259">
        <f t="shared" ca="1" si="398"/>
        <v>1</v>
      </c>
      <c r="H140" s="259">
        <f t="shared" ca="1" si="399"/>
        <v>1</v>
      </c>
      <c r="I140" s="259">
        <f t="shared" ca="1" si="400"/>
        <v>1</v>
      </c>
      <c r="K140" s="259" t="str">
        <f ca="1">IFERROR(IF($I$1=1,INDEX($AA$3:$AS$220,MATCH(ROWS($K$3:K140),$AQ$3:$AQ$220,0),1),IF($I$1=2,INDEX($AA$3:$AS$220,MATCH(ROWS($K$3:K140),$AR$3:$AR$220,0),1),IF($I$1=3,INDEX($AA$3:$AS$220,MATCH(ROWS($K$3:K140),$AS$3:$AS$220,0),1),""))),"")</f>
        <v>AMMORTAMENTO COSTI DI IMPIANTO</v>
      </c>
      <c r="L140" s="259">
        <f ca="1">IF(AND($L$1="VISUALIZZA TUTTI I CONTI",K140&lt;&gt;""),MAX(L139:L139)+1,IFERROR(IF($J$1=1,IF(INDEX(PIANO_DEI_CONTI,MATCH($K140,DENOMINAZIONE,0),5)=$L$1,MAX($L$2:L139)+1,0),IF($J$1=2,IF(INDEX(PIANO_DEI_CONTI,MATCH($K140,DENOMINAZIONE,0),7)=$L$1,MAX($L$2:L139)+1,0))),0))</f>
        <v>138</v>
      </c>
      <c r="M140" s="259" t="str">
        <f ca="1">IFERROR(INDEX($K$3:$K$220,MATCH(ROWS($M$3:M140),$L$3:$L$220,0),1),"")</f>
        <v>AMMORTAMENTO COSTI DI IMPIANTO</v>
      </c>
      <c r="Q140" s="259" t="str">
        <f ca="1">IF(IFERROR(INDEX($O$3:$P$220,MATCH(ROWS(Q$3:Q140),$P$3:$P$220,0),1),"")=0,"",IFERROR(INDEX($O$3:$P$220,MATCH(ROWS(Q$3:Q140),$P$3:$P$220,0),1),""))</f>
        <v/>
      </c>
      <c r="R140" s="259" t="str">
        <f t="shared" ca="1" si="366"/>
        <v/>
      </c>
      <c r="S140" s="259">
        <f ca="1">IF(IFERROR(MATCH(R140,DENOMINAZIONE_GIORNALE,0),0)&gt;0,MAX(S$2:S139)+1,0)</f>
        <v>0</v>
      </c>
      <c r="T140" s="259" t="str">
        <f ca="1">IFERROR(INDEX($R$3:$S$220,MATCH(ROWS($T$3:T140),$S$3:$S$220,0),1),"")</f>
        <v/>
      </c>
      <c r="U140" s="259">
        <f t="shared" ca="1" si="367"/>
        <v>0</v>
      </c>
      <c r="V140" s="259">
        <f ca="1">IF(IF(U140&lt;&gt;0,MAX($V$2:V139)+1,0)=0,0,IF(U140&lt;&gt;0,MAX($V$2:V139)+1,0))</f>
        <v>0</v>
      </c>
      <c r="W140" s="259" t="str">
        <f t="shared" si="401"/>
        <v>30.11</v>
      </c>
      <c r="X140" s="259" t="str">
        <f t="shared" si="402"/>
        <v>RIBASSI E ABBUONI ATTIVI</v>
      </c>
      <c r="Y140" s="259">
        <f>IF(W140="",0,MAX($Y$2:Y139)+1)</f>
        <v>119</v>
      </c>
      <c r="Z140" s="259" t="str">
        <f>IFERROR(INDEX($W$3:$Y$220,MATCH(ROWS($Z$2:Z139),$Y$3:$Y$220,0),1),"")</f>
        <v>32.02</v>
      </c>
      <c r="AA140" s="259" t="str">
        <f t="shared" si="403"/>
        <v>CANONI DI LEASING</v>
      </c>
      <c r="AB140" s="259" t="str">
        <f t="shared" si="404"/>
        <v>E</v>
      </c>
      <c r="AC140" s="259" t="str">
        <f t="shared" si="405"/>
        <v>D</v>
      </c>
      <c r="AD140" s="259" t="str">
        <f t="shared" si="406"/>
        <v>COSTI D'ESERCIZIO</v>
      </c>
      <c r="AE140" s="259" t="str">
        <f t="shared" si="407"/>
        <v>SE DARE</v>
      </c>
      <c r="AF140" s="259" t="str">
        <f t="shared" si="408"/>
        <v>COSTI PER GODIMENTO BENI DI TERZI</v>
      </c>
      <c r="AG140" s="259">
        <f t="shared" ca="1" si="409"/>
        <v>1</v>
      </c>
      <c r="AH140" s="259">
        <f t="shared" ca="1" si="410"/>
        <v>1</v>
      </c>
      <c r="AI140" s="259">
        <f t="shared" ca="1" si="411"/>
        <v>1</v>
      </c>
      <c r="AJ140" s="259" t="str">
        <f t="shared" si="412"/>
        <v>32</v>
      </c>
      <c r="AK140" s="259" t="str">
        <f t="shared" si="413"/>
        <v/>
      </c>
      <c r="AL140" s="259">
        <f>IF(AK140&lt;&gt;"",MAX($AL$2:AL139)+1,0)</f>
        <v>0</v>
      </c>
      <c r="AM140" s="259" t="str">
        <f>IFERROR(INDEX($AK$3:$AL$220,MATCH(ROWS($AM$3:AM140),$AL$3:$AL$220,0),1),"")</f>
        <v/>
      </c>
      <c r="AN140" s="259" t="str">
        <f t="shared" si="414"/>
        <v/>
      </c>
      <c r="AO140" s="259" t="str">
        <f t="shared" si="415"/>
        <v/>
      </c>
      <c r="AP140" s="259" t="str">
        <f t="shared" si="416"/>
        <v>COSTI PER GODIMENTO BENI DI TERZI</v>
      </c>
      <c r="AQ140" s="259">
        <f ca="1">IF(OR(AG140=0,AG140=""),0,MAX(AQ$2:AQ139)+1)</f>
        <v>79</v>
      </c>
      <c r="AR140" s="259">
        <f ca="1">IF(OR(AH140=0,AH140=""),0,MAX(AR$2:AR139)+1)</f>
        <v>104</v>
      </c>
      <c r="AS140" s="259">
        <f ca="1">IF(OR(AI140=0,AI140=""),0,MAX(AS$2:AS139)+1)</f>
        <v>134</v>
      </c>
      <c r="AT140" s="259" t="str">
        <f ca="1">IFERROR(INDEX($AD$3:$AS$220,MATCH(ROWS(AT$3:AT140),AQ$3:AQ$220,0),1),"")</f>
        <v/>
      </c>
      <c r="AU140" s="259" t="str">
        <f ca="1">IFERROR(INDEX($AD$3:$AS$220,MATCH(ROWS(AU$3:AU140),AR$3:AR$220,0),1),"")</f>
        <v/>
      </c>
      <c r="AV140" s="259" t="str">
        <f ca="1">IFERROR(INDEX($AD$3:$AS$220,MATCH(ROWS(AV$3:AV140),AS$3:AS$220,0),1),"")</f>
        <v>COSTI D'ESERCIZIO</v>
      </c>
      <c r="AW140" s="259" t="str">
        <f ca="1">IFERROR(INDEX($AP$3:$AS$220,MATCH(ROWS(AW$3:AW140),AQ$3:AQ$220,0),1),"")</f>
        <v/>
      </c>
      <c r="AX140" s="259" t="str">
        <f ca="1">IFERROR(INDEX($AP$3:$AS$220,MATCH(ROWS(AX$3:AX140),AR$3:AR$220,0),1),"")</f>
        <v/>
      </c>
      <c r="AY140" s="259" t="str">
        <f ca="1">IFERROR(INDEX($AP$3:$AS$220,MATCH(ROWS(AY$3:AY140),AS$3:AS$220,0),1),"")</f>
        <v>AMMORTAMENTI IMMOBILIZZAZIONI IMMATERIALI</v>
      </c>
      <c r="AZ140" s="259" t="str">
        <f t="shared" si="339"/>
        <v>38 V.I.</v>
      </c>
      <c r="BA140" s="259">
        <f t="shared" ca="1" si="338"/>
        <v>0</v>
      </c>
      <c r="BB140" s="259">
        <f t="shared" ca="1" si="340"/>
        <v>0</v>
      </c>
      <c r="BC140" s="259">
        <f t="shared" ca="1" si="341"/>
        <v>0</v>
      </c>
      <c r="BD140" s="259">
        <f t="shared" ca="1" si="342"/>
        <v>0</v>
      </c>
      <c r="BE140" s="259">
        <f t="shared" ca="1" si="343"/>
        <v>0</v>
      </c>
      <c r="BG140" s="259" t="str">
        <f t="shared" ca="1" si="368"/>
        <v/>
      </c>
      <c r="BH140" s="259">
        <f ca="1">IF(IFERROR(MATCH(BG140,DENOMINAZIONE_GIORNALE,0),0)&gt;0,MAX(BH$2:BH139)+1,0)</f>
        <v>0</v>
      </c>
      <c r="BI140" s="259" t="str">
        <f ca="1">IFERROR(INDEX($BG$3:$BH$220,MATCH(ROWS($BI$3:BI140),$BH$3:$BH$220,0),1),"")</f>
        <v/>
      </c>
      <c r="BJ140" s="259" t="str">
        <f t="shared" ca="1" si="369"/>
        <v/>
      </c>
      <c r="BK140" s="259" t="str">
        <f ca="1">IF(IF(BJ140&lt;&gt;"",MAX($BK$2:BK139)+1,0)=0,"",IF(BJ140&lt;&gt;"",MAX($BK$2:BK139)+1,0))</f>
        <v/>
      </c>
      <c r="BL140" s="259" t="str">
        <f ca="1">IFERROR(INDEX($T$3:$U$220, MATCH(ROWS(BL$3:BL140),$V$3:$V$220,0),1),"")</f>
        <v/>
      </c>
      <c r="BM140" s="259" t="str">
        <f ca="1">IFERROR(INDEX($T$3:$U$220, MATCH(ROWS(BM$3:BM140),$V$3:$V$220,0),2),"")</f>
        <v/>
      </c>
      <c r="BN140" s="259" t="str">
        <f ca="1">IF(IFERROR(INDEX($BI$3:$BJ$220,MATCH(ROWS(BN$3:BN140),$BK$3:$BK$220,0),1),"")="PATRIMONIO NETTO","",IFERROR(INDEX($BI$3:$BJ$220,MATCH(ROWS(BN$3:BN140),$BK$3:$BK$220,0),1),""))</f>
        <v/>
      </c>
      <c r="BO140" s="259" t="str">
        <f ca="1">IFERROR(INDEX($BI$3:$BJ$220,MATCH(ROWS(BO$3:BO140),$BK$3:$BK$220,0),2),"")</f>
        <v/>
      </c>
      <c r="BP140" s="259">
        <f ca="1">IF(BN140&lt;&gt;"",MAX(BP$2:$BP139)+1,0)</f>
        <v>0</v>
      </c>
      <c r="BQ140" s="259" t="str">
        <f ca="1">IFERROR(INDEX($BN$3:$BO$200,MATCH(ROWS(BQ$3:BQ140),$BP$3:$BP$220,0),1),"")</f>
        <v/>
      </c>
      <c r="BR140" s="259" t="str">
        <f ca="1">IFERROR(INDEX($BN$3:$BO$220,MATCH(ROWS(BR$3:BR140),$BP$3:$BP$220,0),2),"")</f>
        <v/>
      </c>
      <c r="BS140" s="259" t="str">
        <f ca="1">IFERROR(IF(OR(INDEX($T$3:$U$220,MATCH(ROWS(BL$3:BL140),$V$3:$V$220,0),1)="PRELEVAMENTI EXTRAGESTIONE",INDEX($T$3:$U$220,MATCH(ROWS(BL$3:BL140),$V$3:$V$220,0),1)="TITOLARE C/RITENUTE SUBITE"),"",INDEX($T$3:$U$220,MATCH(ROWS(BL$3:BL140),$V$3:$V$220,0),1)),"")</f>
        <v/>
      </c>
      <c r="BT140" s="259">
        <f t="shared" ca="1" si="417"/>
        <v>0</v>
      </c>
      <c r="BU140" s="259">
        <f ca="1">IF(BS140&lt;&gt;"",MAX(BU$2:BU139)+1,0)</f>
        <v>0</v>
      </c>
      <c r="BV140" s="259" t="str">
        <f ca="1">IFERROR(INDEX($BS$3:$BT$223,MATCH(ROWS(BV$3:BV140),$BU$3:$BU$223,0),1),"")</f>
        <v/>
      </c>
      <c r="BW140" s="259">
        <f t="shared" ca="1" si="418"/>
        <v>0</v>
      </c>
      <c r="CB140" s="259" t="str">
        <f ca="1">IFERROR(IF(OR($BB$1&lt;&gt;$BD$1,$BC$1&lt;&gt;$BE$1,$DS$231&lt;&gt;$DT$231,$DU$231&lt;&gt;$DV$231,$EO$25&lt;&gt;0,$EO$26&lt;&gt;0),INDEX($BI$3:$BK$220,MATCH(ROWS($CB$3:CB140),$BK$3:$BK$220,0),1),CONCATENATE(BQ140,BX140)),"")</f>
        <v/>
      </c>
      <c r="CC140" s="259" t="str">
        <f t="shared" ca="1" si="419"/>
        <v/>
      </c>
      <c r="CD140" s="259" t="str">
        <f t="shared" ca="1" si="370"/>
        <v>CANONI DI LEASING</v>
      </c>
      <c r="CE140" s="259">
        <f ca="1">IF(IFERROR(MATCH(CD140,DENOMINAZIONE_GIORNALE,0),0)&gt;0,MAX(CE$2:CE139)+1,0)</f>
        <v>0</v>
      </c>
      <c r="CF140" s="259" t="str">
        <f ca="1">IFERROR(INDEX($CD$3:$CE$220,MATCH(ROWS($CF$3:CF140),$CE$3:$CE$220,0),1),"")</f>
        <v/>
      </c>
      <c r="CG140" s="259">
        <f t="shared" ca="1" si="371"/>
        <v>0</v>
      </c>
      <c r="CH140" s="259" t="str">
        <f ca="1">IF(IF(CG140&lt;&gt;0,MAX($CH$2:CH139)+1,0)=0,"",IF(CG140&lt;&gt;"",MAX($CH$2:CH139)+1,0))</f>
        <v/>
      </c>
      <c r="CI140" s="259" t="str">
        <f ca="1">IFERROR(INDEX($CF$3:$CG$220,MATCH(ROWS($CI$3:CI140),$CH$3:$CH$220,0),1),"")</f>
        <v/>
      </c>
      <c r="CJ140" s="259" t="str">
        <f t="shared" ca="1" si="420"/>
        <v/>
      </c>
      <c r="CK140" s="259" t="str">
        <f t="shared" ca="1" si="372"/>
        <v/>
      </c>
      <c r="CL140" s="259">
        <f ca="1">IF(IFERROR(MATCH(CK140,DENOMINAZIONE_GIORNALE,0),0)&gt;0,MAX(CL$2:CL139)+1,0)</f>
        <v>0</v>
      </c>
      <c r="CM140" s="259" t="str">
        <f ca="1">IFERROR(INDEX($CK$3:$CL$220,MATCH(ROWS($CM$3:CM140),$CL$3:$CL$220,0),1),"")</f>
        <v/>
      </c>
      <c r="CN140" s="259" t="str">
        <f t="shared" ca="1" si="373"/>
        <v/>
      </c>
      <c r="CO140" s="259">
        <f ca="1">IF(IF(CN140&lt;&gt;0,MAX($CO$2:CO139)+1,0)=0,"",IF(CN140&lt;&gt;"",MAX($CO$2:CO139)+1,0))</f>
        <v>0</v>
      </c>
      <c r="CP140" s="259" t="str">
        <f ca="1">IFERROR(INDEX($CM$3:$CN$220,MATCH(ROWS(CP$3:CP140),$CO$3:$CO$220,0),1),"")</f>
        <v/>
      </c>
      <c r="CQ140" s="259" t="str">
        <f ca="1">IFERROR(INDEX($CM$3:$CN$220,MATCH(ROWS(CQ$3:CQ140),$CO$3:$CO$220,0),2),"")</f>
        <v/>
      </c>
      <c r="CS140" s="259">
        <f t="shared" ca="1" si="374"/>
        <v>0</v>
      </c>
      <c r="CT140" s="259">
        <f t="shared" ca="1" si="375"/>
        <v>0</v>
      </c>
      <c r="CU140" s="259">
        <f ca="1">IF(OR(CS140&gt;0,CT140&gt;0),MAX($CU$2:CU139)+1,0)</f>
        <v>0</v>
      </c>
      <c r="CV140" s="259" t="str">
        <f ca="1">IFERROR(INDEX(PIANO_DEI_CONTI,MATCH(ROWS($CV$3:CV140),$CU$3:$CU$200,0),2),"")</f>
        <v/>
      </c>
      <c r="CW140" s="259">
        <f ca="1">IFERROR(IF(CV140&lt;&gt;"",MAX($CW$2:CW139)+1,0),0)</f>
        <v>0</v>
      </c>
      <c r="CX140" s="259">
        <f t="shared" ca="1" si="364"/>
        <v>8</v>
      </c>
      <c r="CY140" s="259" t="str">
        <f t="shared" ca="1" si="469"/>
        <v>MASTRO</v>
      </c>
      <c r="CZ140" s="259" t="e">
        <f t="shared" ca="1" si="376"/>
        <v>#N/A</v>
      </c>
      <c r="DA140" s="259" t="str">
        <f t="shared" ca="1" si="421"/>
        <v/>
      </c>
      <c r="DB140" s="259" t="str">
        <f t="shared" ca="1" si="377"/>
        <v/>
      </c>
      <c r="DC140" s="259" t="str">
        <f t="shared" ca="1" si="378"/>
        <v/>
      </c>
      <c r="DD140" s="259" t="str">
        <f t="shared" ca="1" si="379"/>
        <v/>
      </c>
      <c r="DE140" s="259" t="str">
        <f t="shared" ca="1" si="380"/>
        <v/>
      </c>
      <c r="DF140" s="259">
        <f ca="1">IF(AND(CX140=$DE$2,$DF$2&lt;&gt;0),0,IF(AND(DB140&lt;&gt;"",OR(DB139&lt;&gt;"",DB141&lt;&gt;"")),MAX($DF$2:DF139)+1,0))</f>
        <v>0</v>
      </c>
      <c r="DG140" s="259" t="str">
        <f>IF(IF(LIBRO_GIORNALE!E48="","",IFERROR(INDEX(PIANO_DEI_CONTI,MATCH(BB140,DENOMINAZIONE,0),1),0))=0,"",IF(LIBRO_GIORNALE!E48="","",IFERROR(INDEX(PIANO_DEI_CONTI,MATCH(BB140,DENOMINAZIONE,0),1),0)))</f>
        <v/>
      </c>
      <c r="DH140" s="259">
        <f ca="1">IFERROR(IF($J$1=1,IF(INDEX(PIANO_DEI_CONTI,MATCH($K140,DENOMINAZIONE,0),5)=$DF$1,MAX($DH$2:DH139)+1,0),IF($J$1=2,IF(INDEX(PIANO_DEI_CONTI,MATCH($K140,DENOMINAZIONE,0),7)=$DF$1,MAX($DH$2:DH139)+1,0))),0)</f>
        <v>0</v>
      </c>
      <c r="DI140" s="259">
        <f ca="1">IFERROR(INDEX($K$3:$K$220,MATCH(ROWS($DI$3:DI140),$DH$3:$DH$220,0),1),0)</f>
        <v>0</v>
      </c>
      <c r="DJ140" s="259">
        <f t="shared" ca="1" si="381"/>
        <v>0</v>
      </c>
      <c r="DK140" s="259">
        <f ca="1">IF(DJ140=0,0,MAX(DK$2:DK139)+1)</f>
        <v>0</v>
      </c>
      <c r="DL140" s="259">
        <f ca="1">IFERROR(INDEX(PIANO_DEI_CONTI,MATCH(ROWS(DL$3:DL140),$DK$3:DK367,0),2),0)</f>
        <v>0</v>
      </c>
      <c r="DM140" s="259">
        <f t="shared" ca="1" si="382"/>
        <v>0</v>
      </c>
      <c r="DN140" s="259">
        <f t="shared" ca="1" si="383"/>
        <v>0</v>
      </c>
      <c r="DO140" s="259">
        <f t="shared" ca="1" si="422"/>
        <v>0</v>
      </c>
      <c r="DP140" s="259">
        <f t="shared" ca="1" si="423"/>
        <v>0</v>
      </c>
      <c r="DQ140" s="259">
        <f ca="1">IF(OR($DQ$1="TOTALI",$DQ$1="TOTALI ED ECCEDENZE"),IF(OR(DM140&gt;0,DN140&gt;0),MAX(DQ$2:DQ139)+1,0),IF($DQ$1="ECCEDENZE",IF(OR(DO140&gt;0,DP140&gt;0),MAX(DQ$2:DQ139)+1,0),""))</f>
        <v>0</v>
      </c>
      <c r="DR140" s="259" t="str">
        <f ca="1">IFERROR(INDEX($DL$3:$DQ$230,MATCH(ROWS(DR$3:DR140),$DQ$3:$DQ$230,0),1),"")</f>
        <v/>
      </c>
      <c r="DS140" s="259" t="str">
        <f t="shared" ca="1" si="424"/>
        <v/>
      </c>
      <c r="DT140" s="259" t="str">
        <f t="shared" ca="1" si="425"/>
        <v/>
      </c>
      <c r="DU140" s="259" t="str">
        <f t="shared" ca="1" si="426"/>
        <v/>
      </c>
      <c r="DV140" s="259" t="str">
        <f t="shared" ca="1" si="427"/>
        <v/>
      </c>
      <c r="DW140" s="259">
        <f t="shared" ca="1" si="428"/>
        <v>0</v>
      </c>
      <c r="DX140" s="259" t="str">
        <f t="shared" ca="1" si="429"/>
        <v/>
      </c>
      <c r="DY140" s="259" t="str">
        <f t="shared" ca="1" si="430"/>
        <v/>
      </c>
      <c r="DZ140" s="259" t="str">
        <f t="shared" ca="1" si="431"/>
        <v/>
      </c>
      <c r="EB140" s="259" t="s">
        <v>370</v>
      </c>
      <c r="ED140" s="259">
        <f t="shared" ca="1" si="384"/>
        <v>0</v>
      </c>
      <c r="EH140" s="259" t="str">
        <f t="shared" ca="1" si="432"/>
        <v/>
      </c>
      <c r="EI140" s="260" t="b">
        <f t="shared" ca="1" si="466"/>
        <v>1</v>
      </c>
      <c r="EJ140" s="260" t="b">
        <f t="shared" ca="1" si="467"/>
        <v>1</v>
      </c>
      <c r="EK140" s="260" t="b">
        <f t="shared" ca="1" si="468"/>
        <v>1</v>
      </c>
      <c r="EL140" s="259">
        <f t="shared" si="433"/>
        <v>138</v>
      </c>
      <c r="EM140" s="259">
        <f ca="1">IF(AND(BA140&gt;0,BA140&lt;=$EM$1),MAX($EM$2:EM139)+1,0)</f>
        <v>0</v>
      </c>
      <c r="EN140" s="259">
        <f t="shared" ca="1" si="434"/>
        <v>140</v>
      </c>
      <c r="EP140" s="259" t="str">
        <f t="shared" ca="1" si="385"/>
        <v/>
      </c>
      <c r="EQ140" s="259">
        <f t="shared" ca="1" si="386"/>
        <v>0</v>
      </c>
      <c r="ER140" s="259">
        <f ca="1">IF(ISNA(EQ140),MAX(ER$2:ER139)+1,0)</f>
        <v>0</v>
      </c>
      <c r="ES140" s="259" t="str">
        <f t="shared" ca="1" si="435"/>
        <v/>
      </c>
      <c r="ET140" s="259" t="str">
        <f ca="1">IFERROR(UPPER(INDEX($ER$3:$ES$500,MATCH(ROWS(ET$3:ET140),$ER$3:$ER$500,0),2)),"")</f>
        <v/>
      </c>
      <c r="EW140" s="259">
        <f t="shared" ca="1" si="344"/>
        <v>1</v>
      </c>
      <c r="EX140" s="259">
        <v>38</v>
      </c>
      <c r="EY140" s="259">
        <f t="shared" ca="1" si="345"/>
        <v>0</v>
      </c>
      <c r="EZ140" s="259">
        <f t="shared" ca="1" si="346"/>
        <v>0</v>
      </c>
      <c r="FA140" s="259">
        <f t="shared" ca="1" si="347"/>
        <v>0</v>
      </c>
      <c r="FB140" s="259">
        <f t="shared" ca="1" si="348"/>
        <v>0</v>
      </c>
      <c r="FC140" s="259">
        <f t="shared" ca="1" si="349"/>
        <v>0</v>
      </c>
      <c r="FD140" s="259">
        <f t="shared" ca="1" si="387"/>
        <v>0</v>
      </c>
      <c r="FE140" s="259" t="str">
        <f t="shared" ca="1" si="388"/>
        <v/>
      </c>
      <c r="FF140" s="259" t="str">
        <f t="shared" ca="1" si="350"/>
        <v/>
      </c>
      <c r="FM140" s="259">
        <f t="shared" ca="1" si="389"/>
        <v>0</v>
      </c>
      <c r="FN140" s="259">
        <f ca="1">IF(FM140&lt;0,MAX($FN$2:FN139)+1,0)</f>
        <v>0</v>
      </c>
      <c r="FO140" s="259" t="str">
        <f t="shared" ca="1" si="436"/>
        <v/>
      </c>
      <c r="FP140" s="259" t="str">
        <f ca="1">IFERROR(INDEX($FN$3:$FO$400,MATCH(ROWS($FP$3:FP140),$FN$3:$FN$400,0),2),"")</f>
        <v/>
      </c>
      <c r="FQ140" s="259" t="str">
        <f>IF(AE140="SE AVERE",MAX($FQ$2:FQ139)+1,"")</f>
        <v/>
      </c>
      <c r="FR140" s="259">
        <f>IF(AE140="SE DARE",MAX($FR$2:FR139)+1,"")</f>
        <v>45</v>
      </c>
      <c r="FS140" s="259" t="str">
        <f ca="1">IF(AND(AE140="SP DARE",AA140&lt;&gt;$FS$1,AA140&lt;&gt;$FT$1),MAX($FS$2:FS139)+1,IF(AND(GQ140="SP DARE",AA140&lt;&gt;$FS$1,AA140&lt;&gt;$FT$1),MAX($FS$2:FS139)+1,""))</f>
        <v/>
      </c>
      <c r="FT140" s="259" t="str">
        <f ca="1">IF(AND(AE140="SP AVERE",AA140&lt;&gt;$FU$1),MAX($FT$2:FT139)+1,IF(AND(GQ140="SP AVERE",AA140&lt;&gt;$FU$1),MAX($FT$2:FT139)+1,""))</f>
        <v/>
      </c>
      <c r="FU140" s="259">
        <f t="shared" ca="1" si="437"/>
        <v>45</v>
      </c>
      <c r="FV140" s="259" t="str">
        <f t="shared" si="438"/>
        <v>CANONI DI LEASING</v>
      </c>
      <c r="FW140" s="259" t="str">
        <f ca="1">IFERROR(INDEX($FU$3:$FV$500,MATCH(ROWS($FW$3:FW140),$FU$3:$FU$500,0),2),0)</f>
        <v>FONDO AMMORT. ATTREZZATURE COMMERCIALI</v>
      </c>
      <c r="FX140" s="259">
        <f t="shared" ca="1" si="439"/>
        <v>138</v>
      </c>
      <c r="FY140" s="259">
        <f t="shared" ca="1" si="440"/>
        <v>0</v>
      </c>
      <c r="FZ140" s="259">
        <f ca="1">IF(FY140&gt;0,MAX($FZ$2:FZ139)+1,0)</f>
        <v>0</v>
      </c>
      <c r="GA140" s="259">
        <f ca="1">IFERROR(INDEX($FY$3:$FZ$500,MATCH(ROWS($GA$3:GA140),$FZ$3:$FZ$500,0),1),0)</f>
        <v>0</v>
      </c>
      <c r="GC140" s="259">
        <f t="shared" ca="1" si="441"/>
        <v>138</v>
      </c>
      <c r="GD140" s="259" t="str">
        <f t="shared" ca="1" si="442"/>
        <v>FONDO AMMORT. ATTREZZATURE COMMERCIALI</v>
      </c>
      <c r="GG140" s="259">
        <f t="shared" ca="1" si="443"/>
        <v>0</v>
      </c>
      <c r="GH140" s="259">
        <f t="shared" ca="1" si="444"/>
        <v>0</v>
      </c>
      <c r="GI140" s="259">
        <f t="shared" ca="1" si="445"/>
        <v>0</v>
      </c>
      <c r="GJ140" s="259">
        <f t="shared" ca="1" si="446"/>
        <v>0</v>
      </c>
      <c r="GK140" s="259">
        <f t="shared" ca="1" si="447"/>
        <v>0</v>
      </c>
      <c r="GL140" s="259">
        <f t="shared" ca="1" si="447"/>
        <v>0</v>
      </c>
      <c r="GM140" s="259">
        <f ca="1">IF(OR(GK140&gt;0,GL140&gt;0),MAX($GM$2:GM139)+1,0)</f>
        <v>0</v>
      </c>
      <c r="GN140" s="259" t="str">
        <f ca="1">IFERROR(INDEX($GD$3:$GM$400,MATCH(ROWS($GN$3:GN140),$GM$3:$GM$400,0),1),"")</f>
        <v/>
      </c>
      <c r="GO140" s="259" t="str">
        <f ca="1">IFERROR(INDEX($GD$3:$GM$400,MATCH(ROWS($GO$3:GO140),$GM$3:$GM$400,0),8),"")</f>
        <v/>
      </c>
      <c r="GP140" s="259" t="str">
        <f ca="1">IFERROR(INDEX($GD$3:$GM$400,MATCH(ROWS($GP$3:GP140),$GM$3:$GM$400,0),9),"")</f>
        <v/>
      </c>
      <c r="GQ140" s="259">
        <f t="shared" ca="1" si="390"/>
        <v>0</v>
      </c>
      <c r="GR140" s="259">
        <f t="shared" ca="1" si="448"/>
        <v>0</v>
      </c>
      <c r="GS140" s="259" t="str">
        <f t="shared" ca="1" si="449"/>
        <v>chiusura del conto</v>
      </c>
      <c r="GT140" s="259" t="str">
        <f ca="1">IFERROR(INDEX($GD$3:$GS$400,MATCH(ROWS($GT$3:GT140),$GM$3:$GM$400,0),16),"")</f>
        <v/>
      </c>
      <c r="GU140" s="259">
        <f ca="1">IF(GQ140&lt;&gt;0,MAX($GU$2:$GU139)+1,0)</f>
        <v>0</v>
      </c>
      <c r="GV140" s="259">
        <f t="shared" ca="1" si="450"/>
        <v>0</v>
      </c>
      <c r="GW140" s="259" t="str">
        <f ca="1">IF(AND(IFERROR(INDEX($GU$3:$GV$400,MATCH(ROWS($GW$3:GW140),$GU$3:$GU$400,0),2),"")&lt;&gt;"",GW141&lt;&gt;""),CONCATENATE(IFERROR(INDEX($GU$3:$GV$400,MATCH(ROWS($GW$3:GW140),$GU$3:$GU$400,0),2),"")," - "),IFERROR(INDEX($GU$3:$GV$400,MATCH(ROWS($GW$3:GW140),$GU$3:$GU$400,0),2),""))</f>
        <v/>
      </c>
      <c r="GX140" s="259">
        <f ca="1">IF(OR(GN140="IVA NS/CREDITO",GN140="IVA NS/DEBITO",GN140="IVA C/ACCONTO",GN140="IMPOSTE C/ACCONTO"),MAX($GX$2:GX139)+1,0)</f>
        <v>0</v>
      </c>
      <c r="GY140" s="259" t="str">
        <f ca="1">IF(AND(IFERROR(INDEX($GN$3:$GX$200,MATCH(ROWS($GY$3:GY140),$GX$3:$GX$200,0),1),"")&lt;&gt;"",GY141&lt;&gt;""),CONCATENATE(IFERROR(INDEX($GN$3:$GX$200,MATCH(ROWS($GY$3:GY140),$GX$3:$GX$200,0),1),"")," - "),IFERROR(INDEX($GN$3:$GX$200,MATCH(ROWS($GY$3:GY140),$GX$3:$GX$200,0),1),""))</f>
        <v/>
      </c>
      <c r="GZ140" s="259" t="s">
        <v>144</v>
      </c>
      <c r="HA140" s="259" t="s">
        <v>568</v>
      </c>
      <c r="HB140" s="269" t="s">
        <v>256</v>
      </c>
      <c r="HC140" s="269" t="s">
        <v>211</v>
      </c>
      <c r="HD140" s="269" t="s">
        <v>268</v>
      </c>
      <c r="HE140" s="269" t="s">
        <v>213</v>
      </c>
      <c r="HG140" s="270"/>
      <c r="HV140" s="259" t="str">
        <f ca="1">CONCATENATE(IFERROR(INDEX($HS$3:$HT$102,MATCH(ROWS($HV$3:HV140),$HT$3:$HT$102,0),1),""),HR140)</f>
        <v/>
      </c>
      <c r="IC140" s="259">
        <f ca="1">IFERROR(INDEX(PIANO_DEI_CONTI,MATCH(ROWS(DL$3:DL140),$DK$3:DK367,0),2),0)</f>
        <v>0</v>
      </c>
      <c r="ID140" s="259">
        <f t="shared" ca="1" si="451"/>
        <v>0</v>
      </c>
      <c r="IE140" s="259">
        <f t="shared" ca="1" si="452"/>
        <v>0</v>
      </c>
      <c r="IF140" s="259">
        <f t="shared" ca="1" si="453"/>
        <v>0</v>
      </c>
      <c r="IG140" s="259">
        <f t="shared" ca="1" si="324"/>
        <v>0</v>
      </c>
      <c r="IH140" s="259">
        <f ca="1">IF(IG140&lt;&gt;0,MAX($IH$35:IH139)+1,0)</f>
        <v>0</v>
      </c>
      <c r="II140" s="259">
        <f>IF(AD140="costi pluriennali",MAX($II$2:II139)+1,0)</f>
        <v>0</v>
      </c>
      <c r="IJ140" s="259">
        <f>IF($AD140="rettifiche costi pluriennali",MAX($IJ$2:IJ139)+1,0)</f>
        <v>0</v>
      </c>
      <c r="IK140" s="259">
        <f t="shared" si="454"/>
        <v>0</v>
      </c>
      <c r="IL140" s="259" t="str">
        <f t="shared" si="455"/>
        <v/>
      </c>
      <c r="IM140" s="259">
        <f t="shared" ca="1" si="456"/>
        <v>0</v>
      </c>
      <c r="IN140" s="259">
        <f t="shared" ca="1" si="470"/>
        <v>0</v>
      </c>
      <c r="IO140" s="259">
        <f>SUMIFS($IM$3:$IM$200,$IK$3:$IK$200,ROWS($IO$3:IO140))-SUMIFS($IN$3:$IN$200,$IK$3:$IK$200,ROWS($IO$3:IO140))</f>
        <v>0</v>
      </c>
      <c r="IP140" s="259" t="str">
        <f>IF(IO140&lt;0,INDEX($IJ$3:$IL$200,MATCH(ROWS($IP$3:IP140),$IJ$3:$IJ$200,0),3),"")</f>
        <v/>
      </c>
      <c r="IQ140" s="259">
        <f>IF(IP140&lt;&gt;"",MAX($IQ$2:IQ139)+1,0)</f>
        <v>0</v>
      </c>
      <c r="IR140" s="259" t="str">
        <f ca="1">IFERROR(INDEX($IP$3:$IQ$200,MATCH(ROWS($IR$3:IR140),$IQ$3:$IQ$200,0),1),"")</f>
        <v/>
      </c>
      <c r="IS140" s="259" t="str">
        <f t="shared" ca="1" si="457"/>
        <v/>
      </c>
      <c r="IT140" s="259" t="str">
        <f t="shared" ca="1" si="458"/>
        <v/>
      </c>
      <c r="IU140" s="259" t="str">
        <f t="shared" ca="1" si="459"/>
        <v/>
      </c>
      <c r="IV140" s="259" t="str">
        <f t="shared" ca="1" si="460"/>
        <v/>
      </c>
      <c r="IW140" s="259" t="str">
        <f t="shared" ca="1" si="461"/>
        <v/>
      </c>
      <c r="IX140" s="259" t="str">
        <f t="shared" ca="1" si="462"/>
        <v/>
      </c>
      <c r="IY140" s="259" t="str">
        <f t="shared" ca="1" si="463"/>
        <v/>
      </c>
      <c r="IZ140" s="259" t="str">
        <f t="shared" ca="1" si="464"/>
        <v/>
      </c>
      <c r="JA140" s="259" t="str">
        <f t="shared" ca="1" si="465"/>
        <v/>
      </c>
      <c r="JB140" s="259">
        <f t="shared" ca="1" si="391"/>
        <v>0</v>
      </c>
      <c r="JC140" s="259">
        <f t="shared" ca="1" si="351"/>
        <v>0</v>
      </c>
      <c r="JD140" s="259">
        <f t="shared" ca="1" si="352"/>
        <v>0</v>
      </c>
      <c r="JM140" s="259">
        <f t="shared" ca="1" si="353"/>
        <v>0</v>
      </c>
    </row>
    <row r="141" spans="1:273">
      <c r="A141" s="259" t="str">
        <f t="shared" si="392"/>
        <v>30.12</v>
      </c>
      <c r="B141" s="259" t="str">
        <f t="shared" si="393"/>
        <v>PREMI SU ACQUISTI</v>
      </c>
      <c r="C141" s="259" t="str">
        <f t="shared" si="394"/>
        <v>E</v>
      </c>
      <c r="D141" s="259" t="str">
        <f t="shared" si="395"/>
        <v>A</v>
      </c>
      <c r="E141" s="259" t="str">
        <f t="shared" si="396"/>
        <v>RETTIFICHE COSTI D'ESERCIZIO</v>
      </c>
      <c r="F141" s="259" t="str">
        <f t="shared" si="397"/>
        <v>SE AVERE</v>
      </c>
      <c r="G141" s="259">
        <f t="shared" ca="1" si="398"/>
        <v>1</v>
      </c>
      <c r="H141" s="259">
        <f t="shared" ca="1" si="399"/>
        <v>1</v>
      </c>
      <c r="I141" s="259">
        <f t="shared" ca="1" si="400"/>
        <v>1</v>
      </c>
      <c r="K141" s="259" t="str">
        <f ca="1">IFERROR(IF($I$1=1,INDEX($AA$3:$AS$220,MATCH(ROWS($K$3:K141),$AQ$3:$AQ$220,0),1),IF($I$1=2,INDEX($AA$3:$AS$220,MATCH(ROWS($K$3:K141),$AR$3:$AR$220,0),1),IF($I$1=3,INDEX($AA$3:$AS$220,MATCH(ROWS($K$3:K141),$AS$3:$AS$220,0),1),""))),"")</f>
        <v>AMMORTAMENTO BREVETTI</v>
      </c>
      <c r="L141" s="259">
        <f ca="1">IF(AND($L$1="VISUALIZZA TUTTI I CONTI",K141&lt;&gt;""),MAX(L140:L140)+1,IFERROR(IF($J$1=1,IF(INDEX(PIANO_DEI_CONTI,MATCH($K141,DENOMINAZIONE,0),5)=$L$1,MAX($L$2:L140)+1,0),IF($J$1=2,IF(INDEX(PIANO_DEI_CONTI,MATCH($K141,DENOMINAZIONE,0),7)=$L$1,MAX($L$2:L140)+1,0))),0))</f>
        <v>139</v>
      </c>
      <c r="M141" s="259" t="str">
        <f ca="1">IFERROR(INDEX($K$3:$K$220,MATCH(ROWS($M$3:M141),$L$3:$L$220,0),1),"")</f>
        <v>AMMORTAMENTO BREVETTI</v>
      </c>
      <c r="Q141" s="259" t="str">
        <f ca="1">IF(IFERROR(INDEX($O$3:$P$220,MATCH(ROWS(Q$3:Q141),$P$3:$P$220,0),1),"")=0,"",IFERROR(INDEX($O$3:$P$220,MATCH(ROWS(Q$3:Q141),$P$3:$P$220,0),1),""))</f>
        <v/>
      </c>
      <c r="R141" s="259" t="str">
        <f t="shared" ca="1" si="366"/>
        <v/>
      </c>
      <c r="S141" s="259">
        <f ca="1">IF(IFERROR(MATCH(R141,DENOMINAZIONE_GIORNALE,0),0)&gt;0,MAX(S$2:S140)+1,0)</f>
        <v>0</v>
      </c>
      <c r="T141" s="259" t="str">
        <f ca="1">IFERROR(INDEX($R$3:$S$220,MATCH(ROWS($T$3:T141),$S$3:$S$220,0),1),"")</f>
        <v/>
      </c>
      <c r="U141" s="259">
        <f t="shared" ca="1" si="367"/>
        <v>0</v>
      </c>
      <c r="V141" s="259">
        <f ca="1">IF(IF(U141&lt;&gt;0,MAX($V$2:V140)+1,0)=0,0,IF(U141&lt;&gt;0,MAX($V$2:V140)+1,0))</f>
        <v>0</v>
      </c>
      <c r="W141" s="259" t="str">
        <f t="shared" si="401"/>
        <v>30.12</v>
      </c>
      <c r="X141" s="259" t="str">
        <f t="shared" si="402"/>
        <v>PREMI SU ACQUISTI</v>
      </c>
      <c r="Y141" s="259">
        <f>IF(W141="",0,MAX($Y$2:Y140)+1)</f>
        <v>120</v>
      </c>
      <c r="Z141" s="259" t="str">
        <f>IFERROR(INDEX($W$3:$Y$220,MATCH(ROWS($Z$2:Z140),$Y$3:$Y$220,0),1),"")</f>
        <v>33.01</v>
      </c>
      <c r="AA141" s="259" t="str">
        <f t="shared" si="403"/>
        <v>SALARI E STIPENDI</v>
      </c>
      <c r="AB141" s="259" t="str">
        <f t="shared" si="404"/>
        <v>E</v>
      </c>
      <c r="AC141" s="259" t="str">
        <f t="shared" si="405"/>
        <v>D</v>
      </c>
      <c r="AD141" s="259" t="str">
        <f t="shared" si="406"/>
        <v>COSTI D'ESERCIZIO</v>
      </c>
      <c r="AE141" s="259" t="str">
        <f t="shared" si="407"/>
        <v>SE DARE</v>
      </c>
      <c r="AF141" s="259" t="str">
        <f t="shared" si="408"/>
        <v>COSTI PER IL PERSONALE</v>
      </c>
      <c r="AG141" s="259">
        <f t="shared" ca="1" si="409"/>
        <v>0</v>
      </c>
      <c r="AH141" s="259">
        <f t="shared" ca="1" si="410"/>
        <v>1</v>
      </c>
      <c r="AI141" s="259">
        <f t="shared" ca="1" si="411"/>
        <v>1</v>
      </c>
      <c r="AJ141" s="259" t="str">
        <f t="shared" si="412"/>
        <v>33</v>
      </c>
      <c r="AK141" s="259" t="str">
        <f t="shared" si="413"/>
        <v/>
      </c>
      <c r="AL141" s="259">
        <f>IF(AK141&lt;&gt;"",MAX($AL$2:AL140)+1,0)</f>
        <v>0</v>
      </c>
      <c r="AM141" s="259" t="str">
        <f>IFERROR(INDEX($AK$3:$AL$220,MATCH(ROWS($AM$3:AM141),$AL$3:$AL$220,0),1),"")</f>
        <v/>
      </c>
      <c r="AN141" s="259" t="str">
        <f t="shared" si="414"/>
        <v/>
      </c>
      <c r="AO141" s="259" t="str">
        <f t="shared" si="415"/>
        <v/>
      </c>
      <c r="AP141" s="259" t="str">
        <f t="shared" si="416"/>
        <v>COSTI PER IL PERSONALE</v>
      </c>
      <c r="AQ141" s="259">
        <f ca="1">IF(OR(AG141=0,AG141=""),0,MAX(AQ$2:AQ140)+1)</f>
        <v>0</v>
      </c>
      <c r="AR141" s="259">
        <f ca="1">IF(OR(AH141=0,AH141=""),0,MAX(AR$2:AR140)+1)</f>
        <v>105</v>
      </c>
      <c r="AS141" s="259">
        <f ca="1">IF(OR(AI141=0,AI141=""),0,MAX(AS$2:AS140)+1)</f>
        <v>135</v>
      </c>
      <c r="AT141" s="259" t="str">
        <f ca="1">IFERROR(INDEX($AD$3:$AS$220,MATCH(ROWS(AT$3:AT141),AQ$3:AQ$220,0),1),"")</f>
        <v/>
      </c>
      <c r="AU141" s="259" t="str">
        <f ca="1">IFERROR(INDEX($AD$3:$AS$220,MATCH(ROWS(AU$3:AU141),AR$3:AR$220,0),1),"")</f>
        <v/>
      </c>
      <c r="AV141" s="259" t="str">
        <f ca="1">IFERROR(INDEX($AD$3:$AS$220,MATCH(ROWS(AV$3:AV141),AS$3:AS$220,0),1),"")</f>
        <v>COSTI D'ESERCIZIO</v>
      </c>
      <c r="AW141" s="259" t="str">
        <f ca="1">IFERROR(INDEX($AP$3:$AS$220,MATCH(ROWS(AW$3:AW141),AQ$3:AQ$220,0),1),"")</f>
        <v/>
      </c>
      <c r="AX141" s="259" t="str">
        <f ca="1">IFERROR(INDEX($AP$3:$AS$220,MATCH(ROWS(AX$3:AX141),AR$3:AR$220,0),1),"")</f>
        <v/>
      </c>
      <c r="AY141" s="259" t="str">
        <f ca="1">IFERROR(INDEX($AP$3:$AS$220,MATCH(ROWS(AY$3:AY141),AS$3:AS$220,0),1),"")</f>
        <v>AMMORTAMENTI IMMOBILIZZAZIONI IMMATERIALI</v>
      </c>
      <c r="AZ141" s="259" t="str">
        <f t="shared" si="339"/>
        <v>39 V.I.</v>
      </c>
      <c r="BA141" s="259">
        <f t="shared" ca="1" si="338"/>
        <v>0</v>
      </c>
      <c r="BB141" s="259">
        <f t="shared" ca="1" si="340"/>
        <v>0</v>
      </c>
      <c r="BC141" s="259">
        <f t="shared" ca="1" si="341"/>
        <v>0</v>
      </c>
      <c r="BD141" s="259">
        <f t="shared" ca="1" si="342"/>
        <v>0</v>
      </c>
      <c r="BE141" s="259">
        <f t="shared" ca="1" si="343"/>
        <v>0</v>
      </c>
      <c r="BG141" s="259" t="str">
        <f t="shared" ca="1" si="368"/>
        <v/>
      </c>
      <c r="BH141" s="259">
        <f ca="1">IF(IFERROR(MATCH(BG141,DENOMINAZIONE_GIORNALE,0),0)&gt;0,MAX(BH$2:BH140)+1,0)</f>
        <v>0</v>
      </c>
      <c r="BI141" s="259" t="str">
        <f ca="1">IFERROR(INDEX($BG$3:$BH$220,MATCH(ROWS($BI$3:BI141),$BH$3:$BH$220,0),1),"")</f>
        <v/>
      </c>
      <c r="BJ141" s="259" t="str">
        <f t="shared" ca="1" si="369"/>
        <v/>
      </c>
      <c r="BK141" s="259" t="str">
        <f ca="1">IF(IF(BJ141&lt;&gt;"",MAX($BK$2:BK140)+1,0)=0,"",IF(BJ141&lt;&gt;"",MAX($BK$2:BK140)+1,0))</f>
        <v/>
      </c>
      <c r="BL141" s="259" t="str">
        <f ca="1">IFERROR(INDEX($T$3:$U$220, MATCH(ROWS(BL$3:BL141),$V$3:$V$220,0),1),"")</f>
        <v/>
      </c>
      <c r="BM141" s="259" t="str">
        <f ca="1">IFERROR(INDEX($T$3:$U$220, MATCH(ROWS(BM$3:BM141),$V$3:$V$220,0),2),"")</f>
        <v/>
      </c>
      <c r="BN141" s="259" t="str">
        <f ca="1">IF(IFERROR(INDEX($BI$3:$BJ$220,MATCH(ROWS(BN$3:BN141),$BK$3:$BK$220,0),1),"")="PATRIMONIO NETTO","",IFERROR(INDEX($BI$3:$BJ$220,MATCH(ROWS(BN$3:BN141),$BK$3:$BK$220,0),1),""))</f>
        <v/>
      </c>
      <c r="BO141" s="259" t="str">
        <f ca="1">IFERROR(INDEX($BI$3:$BJ$220,MATCH(ROWS(BO$3:BO141),$BK$3:$BK$220,0),2),"")</f>
        <v/>
      </c>
      <c r="BP141" s="259">
        <f ca="1">IF(BN141&lt;&gt;"",MAX(BP$2:$BP140)+1,0)</f>
        <v>0</v>
      </c>
      <c r="BQ141" s="259" t="str">
        <f ca="1">IFERROR(INDEX($BN$3:$BO$200,MATCH(ROWS(BQ$3:BQ141),$BP$3:$BP$220,0),1),"")</f>
        <v/>
      </c>
      <c r="BR141" s="259" t="str">
        <f ca="1">IFERROR(INDEX($BN$3:$BO$220,MATCH(ROWS(BR$3:BR141),$BP$3:$BP$220,0),2),"")</f>
        <v/>
      </c>
      <c r="BS141" s="259" t="str">
        <f ca="1">IFERROR(IF(OR(INDEX($T$3:$U$220,MATCH(ROWS(BL$3:BL141),$V$3:$V$220,0),1)="PRELEVAMENTI EXTRAGESTIONE",INDEX($T$3:$U$220,MATCH(ROWS(BL$3:BL141),$V$3:$V$220,0),1)="TITOLARE C/RITENUTE SUBITE"),"",INDEX($T$3:$U$220,MATCH(ROWS(BL$3:BL141),$V$3:$V$220,0),1)),"")</f>
        <v/>
      </c>
      <c r="BT141" s="259">
        <f t="shared" ca="1" si="417"/>
        <v>0</v>
      </c>
      <c r="BU141" s="259">
        <f ca="1">IF(BS141&lt;&gt;"",MAX(BU$2:BU140)+1,0)</f>
        <v>0</v>
      </c>
      <c r="BV141" s="259" t="str">
        <f ca="1">IFERROR(INDEX($BS$3:$BT$223,MATCH(ROWS(BV$3:BV141),$BU$3:$BU$223,0),1),"")</f>
        <v/>
      </c>
      <c r="BW141" s="259">
        <f t="shared" ca="1" si="418"/>
        <v>0</v>
      </c>
      <c r="CB141" s="259" t="str">
        <f ca="1">IFERROR(IF(OR($BB$1&lt;&gt;$BD$1,$BC$1&lt;&gt;$BE$1,$DS$231&lt;&gt;$DT$231,$DU$231&lt;&gt;$DV$231,$EO$25&lt;&gt;0,$EO$26&lt;&gt;0),INDEX($BI$3:$BK$220,MATCH(ROWS($CB$3:CB141),$BK$3:$BK$220,0),1),CONCATENATE(BQ141,BX141)),"")</f>
        <v/>
      </c>
      <c r="CC141" s="259" t="str">
        <f t="shared" ca="1" si="419"/>
        <v/>
      </c>
      <c r="CD141" s="259" t="str">
        <f t="shared" ca="1" si="370"/>
        <v>SALARI E STIPENDI</v>
      </c>
      <c r="CE141" s="259">
        <f ca="1">IF(IFERROR(MATCH(CD141,DENOMINAZIONE_GIORNALE,0),0)&gt;0,MAX(CE$2:CE140)+1,0)</f>
        <v>0</v>
      </c>
      <c r="CF141" s="259" t="str">
        <f ca="1">IFERROR(INDEX($CD$3:$CE$220,MATCH(ROWS($CF$3:CF141),$CE$3:$CE$220,0),1),"")</f>
        <v/>
      </c>
      <c r="CG141" s="259">
        <f t="shared" ca="1" si="371"/>
        <v>0</v>
      </c>
      <c r="CH141" s="259" t="str">
        <f ca="1">IF(IF(CG141&lt;&gt;0,MAX($CH$2:CH140)+1,0)=0,"",IF(CG141&lt;&gt;"",MAX($CH$2:CH140)+1,0))</f>
        <v/>
      </c>
      <c r="CI141" s="259" t="str">
        <f ca="1">IFERROR(INDEX($CF$3:$CG$220,MATCH(ROWS($CI$3:CI141),$CH$3:$CH$220,0),1),"")</f>
        <v/>
      </c>
      <c r="CJ141" s="259" t="str">
        <f t="shared" ca="1" si="420"/>
        <v/>
      </c>
      <c r="CK141" s="259" t="str">
        <f t="shared" ca="1" si="372"/>
        <v/>
      </c>
      <c r="CL141" s="259">
        <f ca="1">IF(IFERROR(MATCH(CK141,DENOMINAZIONE_GIORNALE,0),0)&gt;0,MAX(CL$2:CL140)+1,0)</f>
        <v>0</v>
      </c>
      <c r="CM141" s="259" t="str">
        <f ca="1">IFERROR(INDEX($CK$3:$CL$220,MATCH(ROWS($CM$3:CM141),$CL$3:$CL$220,0),1),"")</f>
        <v/>
      </c>
      <c r="CN141" s="259" t="str">
        <f t="shared" ca="1" si="373"/>
        <v/>
      </c>
      <c r="CO141" s="259">
        <f ca="1">IF(IF(CN141&lt;&gt;0,MAX($CO$2:CO140)+1,0)=0,"",IF(CN141&lt;&gt;"",MAX($CO$2:CO140)+1,0))</f>
        <v>0</v>
      </c>
      <c r="CP141" s="259" t="str">
        <f ca="1">IFERROR(INDEX($CM$3:$CN$220,MATCH(ROWS(CP$3:CP141),$CO$3:$CO$220,0),1),"")</f>
        <v/>
      </c>
      <c r="CQ141" s="259" t="str">
        <f ca="1">IFERROR(INDEX($CM$3:$CN$220,MATCH(ROWS(CQ$3:CQ141),$CO$3:$CO$220,0),2),"")</f>
        <v/>
      </c>
      <c r="CS141" s="259">
        <f t="shared" ca="1" si="374"/>
        <v>0</v>
      </c>
      <c r="CT141" s="259">
        <f t="shared" ca="1" si="375"/>
        <v>0</v>
      </c>
      <c r="CU141" s="259">
        <f ca="1">IF(OR(CS141&gt;0,CT141&gt;0),MAX($CU$2:CU140)+1,0)</f>
        <v>0</v>
      </c>
      <c r="CV141" s="259" t="str">
        <f ca="1">IFERROR(INDEX(PIANO_DEI_CONTI,MATCH(ROWS($CV$3:CV141),$CU$3:$CU$200,0),2),"")</f>
        <v/>
      </c>
      <c r="CW141" s="259">
        <f ca="1">IFERROR(IF(CV141&lt;&gt;"",MAX($CW$2:CW140)+1,0),0)</f>
        <v>0</v>
      </c>
      <c r="CX141" s="259">
        <f t="shared" ca="1" si="364"/>
        <v>8</v>
      </c>
      <c r="CY141" s="259" t="str">
        <f t="shared" ca="1" si="469"/>
        <v>MASTRO</v>
      </c>
      <c r="CZ141" s="259" t="e">
        <f t="shared" ca="1" si="376"/>
        <v>#N/A</v>
      </c>
      <c r="DA141" s="259" t="str">
        <f t="shared" ca="1" si="421"/>
        <v/>
      </c>
      <c r="DB141" s="259" t="str">
        <f t="shared" ca="1" si="377"/>
        <v/>
      </c>
      <c r="DC141" s="259" t="str">
        <f t="shared" ca="1" si="378"/>
        <v/>
      </c>
      <c r="DD141" s="259" t="str">
        <f t="shared" ca="1" si="379"/>
        <v/>
      </c>
      <c r="DE141" s="259" t="str">
        <f t="shared" ca="1" si="380"/>
        <v/>
      </c>
      <c r="DF141" s="259">
        <f ca="1">IF(AND(CX141=$DE$2,$DF$2&lt;&gt;0),0,IF(AND(DB141&lt;&gt;"",OR(DB140&lt;&gt;"",DB142&lt;&gt;"")),MAX($DF$2:DF140)+1,0))</f>
        <v>0</v>
      </c>
      <c r="DG141" s="259" t="str">
        <f>IF(IF(LIBRO_GIORNALE!E49="","",IFERROR(INDEX(PIANO_DEI_CONTI,MATCH(BB141,DENOMINAZIONE,0),1),0))=0,"",IF(LIBRO_GIORNALE!E49="","",IFERROR(INDEX(PIANO_DEI_CONTI,MATCH(BB141,DENOMINAZIONE,0),1),0)))</f>
        <v/>
      </c>
      <c r="DH141" s="259">
        <f ca="1">IFERROR(IF($J$1=1,IF(INDEX(PIANO_DEI_CONTI,MATCH($K141,DENOMINAZIONE,0),5)=$DF$1,MAX($DH$2:DH140)+1,0),IF($J$1=2,IF(INDEX(PIANO_DEI_CONTI,MATCH($K141,DENOMINAZIONE,0),7)=$DF$1,MAX($DH$2:DH140)+1,0))),0)</f>
        <v>0</v>
      </c>
      <c r="DI141" s="259">
        <f ca="1">IFERROR(INDEX($K$3:$K$220,MATCH(ROWS($DI$3:DI141),$DH$3:$DH$220,0),1),0)</f>
        <v>0</v>
      </c>
      <c r="DJ141" s="259">
        <f t="shared" ca="1" si="381"/>
        <v>0</v>
      </c>
      <c r="DK141" s="259">
        <f ca="1">IF(DJ141=0,0,MAX(DK$2:DK140)+1)</f>
        <v>0</v>
      </c>
      <c r="DL141" s="259">
        <f ca="1">IFERROR(INDEX(PIANO_DEI_CONTI,MATCH(ROWS(DL$3:DL141),$DK$3:DK368,0),2),0)</f>
        <v>0</v>
      </c>
      <c r="DM141" s="259">
        <f t="shared" ca="1" si="382"/>
        <v>0</v>
      </c>
      <c r="DN141" s="259">
        <f t="shared" ca="1" si="383"/>
        <v>0</v>
      </c>
      <c r="DO141" s="259">
        <f t="shared" ca="1" si="422"/>
        <v>0</v>
      </c>
      <c r="DP141" s="259">
        <f t="shared" ca="1" si="423"/>
        <v>0</v>
      </c>
      <c r="DQ141" s="259">
        <f ca="1">IF(OR($DQ$1="TOTALI",$DQ$1="TOTALI ED ECCEDENZE"),IF(OR(DM141&gt;0,DN141&gt;0),MAX(DQ$2:DQ140)+1,0),IF($DQ$1="ECCEDENZE",IF(OR(DO141&gt;0,DP141&gt;0),MAX(DQ$2:DQ140)+1,0),""))</f>
        <v>0</v>
      </c>
      <c r="DR141" s="259" t="str">
        <f ca="1">IFERROR(INDEX($DL$3:$DQ$230,MATCH(ROWS(DR$3:DR141),$DQ$3:$DQ$230,0),1),"")</f>
        <v/>
      </c>
      <c r="DS141" s="259" t="str">
        <f t="shared" ca="1" si="424"/>
        <v/>
      </c>
      <c r="DT141" s="259" t="str">
        <f t="shared" ca="1" si="425"/>
        <v/>
      </c>
      <c r="DU141" s="259" t="str">
        <f t="shared" ca="1" si="426"/>
        <v/>
      </c>
      <c r="DV141" s="259" t="str">
        <f t="shared" ca="1" si="427"/>
        <v/>
      </c>
      <c r="DW141" s="259">
        <f t="shared" ca="1" si="428"/>
        <v>0</v>
      </c>
      <c r="DX141" s="259" t="str">
        <f t="shared" ca="1" si="429"/>
        <v/>
      </c>
      <c r="DY141" s="259" t="str">
        <f t="shared" ca="1" si="430"/>
        <v/>
      </c>
      <c r="DZ141" s="259" t="str">
        <f t="shared" ca="1" si="431"/>
        <v/>
      </c>
      <c r="EB141" s="259" t="s">
        <v>372</v>
      </c>
      <c r="ED141" s="259">
        <f t="shared" ca="1" si="384"/>
        <v>0</v>
      </c>
      <c r="EH141" s="259" t="str">
        <f t="shared" ca="1" si="432"/>
        <v/>
      </c>
      <c r="EI141" s="260" t="b">
        <f t="shared" ca="1" si="466"/>
        <v>1</v>
      </c>
      <c r="EJ141" s="260" t="b">
        <f t="shared" ca="1" si="467"/>
        <v>1</v>
      </c>
      <c r="EK141" s="260" t="b">
        <f t="shared" ca="1" si="468"/>
        <v>1</v>
      </c>
      <c r="EL141" s="259">
        <f t="shared" si="433"/>
        <v>139</v>
      </c>
      <c r="EM141" s="259">
        <f ca="1">IF(AND(BA141&gt;0,BA141&lt;=$EM$1),MAX($EM$2:EM140)+1,0)</f>
        <v>0</v>
      </c>
      <c r="EN141" s="259">
        <f t="shared" ca="1" si="434"/>
        <v>141</v>
      </c>
      <c r="EP141" s="259" t="str">
        <f t="shared" ca="1" si="385"/>
        <v/>
      </c>
      <c r="EQ141" s="259">
        <f t="shared" ca="1" si="386"/>
        <v>0</v>
      </c>
      <c r="ER141" s="259">
        <f ca="1">IF(ISNA(EQ141),MAX(ER$2:ER140)+1,0)</f>
        <v>0</v>
      </c>
      <c r="ES141" s="259" t="str">
        <f t="shared" ca="1" si="435"/>
        <v/>
      </c>
      <c r="ET141" s="259" t="str">
        <f ca="1">IFERROR(UPPER(INDEX($ER$3:$ES$500,MATCH(ROWS(ET$3:ET141),$ER$3:$ER$500,0),2)),"")</f>
        <v/>
      </c>
      <c r="EW141" s="259">
        <f t="shared" ca="1" si="344"/>
        <v>1</v>
      </c>
      <c r="EX141" s="259">
        <v>39</v>
      </c>
      <c r="EY141" s="259">
        <f t="shared" ca="1" si="345"/>
        <v>0</v>
      </c>
      <c r="EZ141" s="259">
        <f t="shared" ca="1" si="346"/>
        <v>0</v>
      </c>
      <c r="FA141" s="259">
        <f t="shared" ca="1" si="347"/>
        <v>0</v>
      </c>
      <c r="FB141" s="259">
        <f t="shared" ca="1" si="348"/>
        <v>0</v>
      </c>
      <c r="FC141" s="259">
        <f t="shared" ca="1" si="349"/>
        <v>0</v>
      </c>
      <c r="FD141" s="259">
        <f t="shared" ca="1" si="387"/>
        <v>0</v>
      </c>
      <c r="FE141" s="259" t="str">
        <f t="shared" ca="1" si="388"/>
        <v/>
      </c>
      <c r="FF141" s="259" t="str">
        <f t="shared" ca="1" si="350"/>
        <v/>
      </c>
      <c r="FM141" s="259">
        <f t="shared" ca="1" si="389"/>
        <v>0</v>
      </c>
      <c r="FN141" s="259">
        <f ca="1">IF(FM141&lt;0,MAX($FN$2:FN140)+1,0)</f>
        <v>0</v>
      </c>
      <c r="FO141" s="259" t="str">
        <f t="shared" ca="1" si="436"/>
        <v/>
      </c>
      <c r="FP141" s="259" t="str">
        <f ca="1">IFERROR(INDEX($FN$3:$FO$400,MATCH(ROWS($FP$3:FP141),$FN$3:$FN$400,0),2),"")</f>
        <v/>
      </c>
      <c r="FQ141" s="259" t="str">
        <f>IF(AE141="SE AVERE",MAX($FQ$2:FQ140)+1,"")</f>
        <v/>
      </c>
      <c r="FR141" s="259">
        <f>IF(AE141="SE DARE",MAX($FR$2:FR140)+1,"")</f>
        <v>46</v>
      </c>
      <c r="FS141" s="259" t="str">
        <f ca="1">IF(AND(AE141="SP DARE",AA141&lt;&gt;$FS$1,AA141&lt;&gt;$FT$1),MAX($FS$2:FS140)+1,IF(AND(GQ141="SP DARE",AA141&lt;&gt;$FS$1,AA141&lt;&gt;$FT$1),MAX($FS$2:FS140)+1,""))</f>
        <v/>
      </c>
      <c r="FT141" s="259" t="str">
        <f ca="1">IF(AND(AE141="SP AVERE",AA141&lt;&gt;$FU$1),MAX($FT$2:FT140)+1,IF(AND(GQ141="SP AVERE",AA141&lt;&gt;$FU$1),MAX($FT$2:FT140)+1,""))</f>
        <v/>
      </c>
      <c r="FU141" s="259">
        <f t="shared" ca="1" si="437"/>
        <v>46</v>
      </c>
      <c r="FV141" s="259" t="str">
        <f t="shared" si="438"/>
        <v>SALARI E STIPENDI</v>
      </c>
      <c r="FW141" s="259" t="str">
        <f ca="1">IFERROR(INDEX($FU$3:$FV$500,MATCH(ROWS($FW$3:FW141),$FU$3:$FU$500,0),2),0)</f>
        <v>FONDO AMMORT. MACCHINE D'UFFICIO</v>
      </c>
      <c r="FX141" s="259">
        <f t="shared" ca="1" si="439"/>
        <v>139</v>
      </c>
      <c r="FY141" s="259">
        <f t="shared" ca="1" si="440"/>
        <v>0</v>
      </c>
      <c r="FZ141" s="259">
        <f ca="1">IF(FY141&gt;0,MAX($FZ$2:FZ140)+1,0)</f>
        <v>0</v>
      </c>
      <c r="GA141" s="259">
        <f ca="1">IFERROR(INDEX($FY$3:$FZ$500,MATCH(ROWS($GA$3:GA141),$FZ$3:$FZ$500,0),1),0)</f>
        <v>0</v>
      </c>
      <c r="GC141" s="259">
        <f t="shared" ca="1" si="441"/>
        <v>139</v>
      </c>
      <c r="GD141" s="259" t="str">
        <f t="shared" ca="1" si="442"/>
        <v>FONDO AMMORT. MACCHINE D'UFFICIO</v>
      </c>
      <c r="GG141" s="259">
        <f t="shared" ca="1" si="443"/>
        <v>0</v>
      </c>
      <c r="GH141" s="259">
        <f t="shared" ca="1" si="444"/>
        <v>0</v>
      </c>
      <c r="GI141" s="259">
        <f t="shared" ca="1" si="445"/>
        <v>0</v>
      </c>
      <c r="GJ141" s="259">
        <f t="shared" ca="1" si="446"/>
        <v>0</v>
      </c>
      <c r="GK141" s="259">
        <f t="shared" ca="1" si="447"/>
        <v>0</v>
      </c>
      <c r="GL141" s="259">
        <f t="shared" ca="1" si="447"/>
        <v>0</v>
      </c>
      <c r="GM141" s="259">
        <f ca="1">IF(OR(GK141&gt;0,GL141&gt;0),MAX($GM$2:GM140)+1,0)</f>
        <v>0</v>
      </c>
      <c r="GN141" s="259" t="str">
        <f ca="1">IFERROR(INDEX($GD$3:$GM$400,MATCH(ROWS($GN$3:GN141),$GM$3:$GM$400,0),1),"")</f>
        <v/>
      </c>
      <c r="GO141" s="259" t="str">
        <f ca="1">IFERROR(INDEX($GD$3:$GM$400,MATCH(ROWS($GO$3:GO141),$GM$3:$GM$400,0),8),"")</f>
        <v/>
      </c>
      <c r="GP141" s="259" t="str">
        <f ca="1">IFERROR(INDEX($GD$3:$GM$400,MATCH(ROWS($GP$3:GP141),$GM$3:$GM$400,0),9),"")</f>
        <v/>
      </c>
      <c r="GQ141" s="259">
        <f t="shared" ca="1" si="390"/>
        <v>0</v>
      </c>
      <c r="GR141" s="259">
        <f t="shared" ca="1" si="448"/>
        <v>0</v>
      </c>
      <c r="GS141" s="259" t="str">
        <f t="shared" ca="1" si="449"/>
        <v>chiusura del conto</v>
      </c>
      <c r="GT141" s="259" t="str">
        <f ca="1">IFERROR(INDEX($GD$3:$GS$400,MATCH(ROWS($GT$3:GT141),$GM$3:$GM$400,0),16),"")</f>
        <v/>
      </c>
      <c r="GU141" s="259">
        <f ca="1">IF(GQ141&lt;&gt;0,MAX($GU$2:$GU140)+1,0)</f>
        <v>0</v>
      </c>
      <c r="GV141" s="259">
        <f t="shared" ca="1" si="450"/>
        <v>0</v>
      </c>
      <c r="GW141" s="259" t="str">
        <f ca="1">IF(AND(IFERROR(INDEX($GU$3:$GV$400,MATCH(ROWS($GW$3:GW141),$GU$3:$GU$400,0),2),"")&lt;&gt;"",GW142&lt;&gt;""),CONCATENATE(IFERROR(INDEX($GU$3:$GV$400,MATCH(ROWS($GW$3:GW141),$GU$3:$GU$400,0),2),"")," - "),IFERROR(INDEX($GU$3:$GV$400,MATCH(ROWS($GW$3:GW141),$GU$3:$GU$400,0),2),""))</f>
        <v/>
      </c>
      <c r="GX141" s="259">
        <f ca="1">IF(OR(GN141="IVA NS/CREDITO",GN141="IVA NS/DEBITO",GN141="IVA C/ACCONTO",GN141="IMPOSTE C/ACCONTO"),MAX($GX$2:GX140)+1,0)</f>
        <v>0</v>
      </c>
      <c r="GY141" s="259" t="str">
        <f ca="1">IF(AND(IFERROR(INDEX($GN$3:$GX$200,MATCH(ROWS($GY$3:GY141),$GX$3:$GX$200,0),1),"")&lt;&gt;"",GY142&lt;&gt;""),CONCATENATE(IFERROR(INDEX($GN$3:$GX$200,MATCH(ROWS($GY$3:GY141),$GX$3:$GX$200,0),1),"")," - "),IFERROR(INDEX($GN$3:$GX$200,MATCH(ROWS($GY$3:GY141),$GX$3:$GX$200,0),1),""))</f>
        <v/>
      </c>
      <c r="GZ141" s="259" t="s">
        <v>145</v>
      </c>
      <c r="HA141" s="259" t="s">
        <v>569</v>
      </c>
      <c r="HB141" s="269" t="s">
        <v>256</v>
      </c>
      <c r="HC141" s="269" t="s">
        <v>211</v>
      </c>
      <c r="HD141" s="269" t="s">
        <v>268</v>
      </c>
      <c r="HE141" s="269" t="s">
        <v>213</v>
      </c>
      <c r="HV141" s="259" t="str">
        <f ca="1">CONCATENATE(IFERROR(INDEX($HS$3:$HT$102,MATCH(ROWS($HV$3:HV141),$HT$3:$HT$102,0),1),""),HR141)</f>
        <v/>
      </c>
      <c r="IC141" s="259">
        <f ca="1">IFERROR(INDEX(PIANO_DEI_CONTI,MATCH(ROWS(DL$3:DL141),$DK$3:DK368,0),2),0)</f>
        <v>0</v>
      </c>
      <c r="ID141" s="259">
        <f t="shared" ca="1" si="451"/>
        <v>0</v>
      </c>
      <c r="IE141" s="259">
        <f t="shared" ca="1" si="452"/>
        <v>0</v>
      </c>
      <c r="IF141" s="259">
        <f t="shared" ca="1" si="453"/>
        <v>0</v>
      </c>
      <c r="IG141" s="259">
        <f t="shared" ca="1" si="324"/>
        <v>0</v>
      </c>
      <c r="IH141" s="259">
        <f ca="1">IF(IG141&lt;&gt;0,MAX($IH$35:IH140)+1,0)</f>
        <v>0</v>
      </c>
      <c r="II141" s="259">
        <f>IF(AD141="costi pluriennali",MAX($II$2:II140)+1,0)</f>
        <v>0</v>
      </c>
      <c r="IJ141" s="259">
        <f>IF($AD141="rettifiche costi pluriennali",MAX($IJ$2:IJ140)+1,0)</f>
        <v>0</v>
      </c>
      <c r="IK141" s="259">
        <f t="shared" si="454"/>
        <v>0</v>
      </c>
      <c r="IL141" s="259" t="str">
        <f t="shared" si="455"/>
        <v/>
      </c>
      <c r="IM141" s="259">
        <f t="shared" ca="1" si="456"/>
        <v>0</v>
      </c>
      <c r="IN141" s="259">
        <f t="shared" ca="1" si="470"/>
        <v>0</v>
      </c>
      <c r="IO141" s="259">
        <f>SUMIFS($IM$3:$IM$200,$IK$3:$IK$200,ROWS($IO$3:IO141))-SUMIFS($IN$3:$IN$200,$IK$3:$IK$200,ROWS($IO$3:IO141))</f>
        <v>0</v>
      </c>
      <c r="IP141" s="259" t="str">
        <f>IF(IO141&lt;0,INDEX($IJ$3:$IL$200,MATCH(ROWS($IP$3:IP141),$IJ$3:$IJ$200,0),3),"")</f>
        <v/>
      </c>
      <c r="IQ141" s="259">
        <f>IF(IP141&lt;&gt;"",MAX($IQ$2:IQ140)+1,0)</f>
        <v>0</v>
      </c>
      <c r="IR141" s="259" t="str">
        <f ca="1">IFERROR(INDEX($IP$3:$IQ$200,MATCH(ROWS($IR$3:IR141),$IQ$3:$IQ$200,0),1),"")</f>
        <v/>
      </c>
      <c r="IS141" s="259" t="str">
        <f t="shared" ca="1" si="457"/>
        <v/>
      </c>
      <c r="IT141" s="259" t="str">
        <f t="shared" ca="1" si="458"/>
        <v/>
      </c>
      <c r="IU141" s="259" t="str">
        <f t="shared" ca="1" si="459"/>
        <v/>
      </c>
      <c r="IV141" s="259" t="str">
        <f t="shared" ca="1" si="460"/>
        <v/>
      </c>
      <c r="IW141" s="259" t="str">
        <f t="shared" ca="1" si="461"/>
        <v/>
      </c>
      <c r="IX141" s="259" t="str">
        <f t="shared" ca="1" si="462"/>
        <v/>
      </c>
      <c r="IY141" s="259" t="str">
        <f t="shared" ca="1" si="463"/>
        <v/>
      </c>
      <c r="IZ141" s="259" t="str">
        <f t="shared" ca="1" si="464"/>
        <v/>
      </c>
      <c r="JA141" s="259" t="str">
        <f t="shared" ca="1" si="465"/>
        <v/>
      </c>
      <c r="JB141" s="259">
        <f t="shared" ca="1" si="391"/>
        <v>0</v>
      </c>
      <c r="JC141" s="259">
        <f t="shared" ca="1" si="351"/>
        <v>0</v>
      </c>
      <c r="JD141" s="259">
        <f t="shared" ca="1" si="352"/>
        <v>0</v>
      </c>
      <c r="JM141" s="259">
        <f t="shared" ca="1" si="353"/>
        <v>0</v>
      </c>
    </row>
    <row r="142" spans="1:273">
      <c r="A142" s="259" t="str">
        <f t="shared" si="392"/>
        <v>31.00</v>
      </c>
      <c r="B142" s="259" t="str">
        <f t="shared" si="393"/>
        <v>COSTI PER SERVIZI</v>
      </c>
      <c r="C142" s="259">
        <f t="shared" si="394"/>
        <v>0</v>
      </c>
      <c r="D142" s="259">
        <f t="shared" si="395"/>
        <v>0</v>
      </c>
      <c r="E142" s="259">
        <f t="shared" si="396"/>
        <v>0</v>
      </c>
      <c r="F142" s="259">
        <f t="shared" si="397"/>
        <v>0</v>
      </c>
      <c r="G142" s="259">
        <f t="shared" ca="1" si="398"/>
        <v>0</v>
      </c>
      <c r="H142" s="259">
        <f t="shared" ca="1" si="399"/>
        <v>0</v>
      </c>
      <c r="I142" s="259">
        <f t="shared" ca="1" si="400"/>
        <v>0</v>
      </c>
      <c r="K142" s="259" t="str">
        <f ca="1">IFERROR(IF($I$1=1,INDEX($AA$3:$AS$220,MATCH(ROWS($K$3:K142),$AQ$3:$AQ$220,0),1),IF($I$1=2,INDEX($AA$3:$AS$220,MATCH(ROWS($K$3:K142),$AR$3:$AR$220,0),1),IF($I$1=3,INDEX($AA$3:$AS$220,MATCH(ROWS($K$3:K142),$AS$3:$AS$220,0),1),""))),"")</f>
        <v>AMMORTAMENTO SOFTWARE</v>
      </c>
      <c r="L142" s="259">
        <f ca="1">IF(AND($L$1="VISUALIZZA TUTTI I CONTI",K142&lt;&gt;""),MAX(L141:L141)+1,IFERROR(IF($J$1=1,IF(INDEX(PIANO_DEI_CONTI,MATCH($K142,DENOMINAZIONE,0),5)=$L$1,MAX($L$2:L141)+1,0),IF($J$1=2,IF(INDEX(PIANO_DEI_CONTI,MATCH($K142,DENOMINAZIONE,0),7)=$L$1,MAX($L$2:L141)+1,0))),0))</f>
        <v>140</v>
      </c>
      <c r="M142" s="259" t="str">
        <f ca="1">IFERROR(INDEX($K$3:$K$220,MATCH(ROWS($M$3:M142),$L$3:$L$220,0),1),"")</f>
        <v>AMMORTAMENTO SOFTWARE</v>
      </c>
      <c r="Q142" s="259" t="str">
        <f ca="1">IF(IFERROR(INDEX($O$3:$P$220,MATCH(ROWS(Q$3:Q142),$P$3:$P$220,0),1),"")=0,"",IFERROR(INDEX($O$3:$P$220,MATCH(ROWS(Q$3:Q142),$P$3:$P$220,0),1),""))</f>
        <v/>
      </c>
      <c r="R142" s="259" t="str">
        <f t="shared" ca="1" si="366"/>
        <v/>
      </c>
      <c r="S142" s="259">
        <f ca="1">IF(IFERROR(MATCH(R142,DENOMINAZIONE_GIORNALE,0),0)&gt;0,MAX(S$2:S141)+1,0)</f>
        <v>0</v>
      </c>
      <c r="T142" s="259" t="str">
        <f ca="1">IFERROR(INDEX($R$3:$S$220,MATCH(ROWS($T$3:T142),$S$3:$S$220,0),1),"")</f>
        <v/>
      </c>
      <c r="U142" s="259">
        <f t="shared" ca="1" si="367"/>
        <v>0</v>
      </c>
      <c r="V142" s="259">
        <f ca="1">IF(IF(U142&lt;&gt;0,MAX($V$2:V141)+1,0)=0,0,IF(U142&lt;&gt;0,MAX($V$2:V141)+1,0))</f>
        <v>0</v>
      </c>
      <c r="W142" s="259" t="str">
        <f t="shared" si="401"/>
        <v/>
      </c>
      <c r="X142" s="259" t="str">
        <f t="shared" si="402"/>
        <v/>
      </c>
      <c r="Y142" s="259">
        <f>IF(W142="",0,MAX($Y$2:Y141)+1)</f>
        <v>0</v>
      </c>
      <c r="Z142" s="259" t="str">
        <f>IFERROR(INDEX($W$3:$Y$220,MATCH(ROWS($Z$2:Z141),$Y$3:$Y$220,0),1),"")</f>
        <v>33.02</v>
      </c>
      <c r="AA142" s="259" t="str">
        <f t="shared" si="403"/>
        <v>ONERI SOCIALI</v>
      </c>
      <c r="AB142" s="259" t="str">
        <f t="shared" si="404"/>
        <v>E</v>
      </c>
      <c r="AC142" s="259" t="str">
        <f t="shared" si="405"/>
        <v>D</v>
      </c>
      <c r="AD142" s="259" t="str">
        <f t="shared" si="406"/>
        <v>COSTI D'ESERCIZIO</v>
      </c>
      <c r="AE142" s="259" t="str">
        <f t="shared" si="407"/>
        <v>SE DARE</v>
      </c>
      <c r="AF142" s="259" t="str">
        <f t="shared" si="408"/>
        <v>COSTI PER IL PERSONALE</v>
      </c>
      <c r="AG142" s="259">
        <f t="shared" ca="1" si="409"/>
        <v>0</v>
      </c>
      <c r="AH142" s="259">
        <f t="shared" ca="1" si="410"/>
        <v>1</v>
      </c>
      <c r="AI142" s="259">
        <f t="shared" ca="1" si="411"/>
        <v>1</v>
      </c>
      <c r="AJ142" s="259" t="str">
        <f t="shared" si="412"/>
        <v>33</v>
      </c>
      <c r="AK142" s="259" t="str">
        <f t="shared" si="413"/>
        <v>31</v>
      </c>
      <c r="AL142" s="259">
        <f>IF(AK142&lt;&gt;"",MAX($AL$2:AL141)+1,0)</f>
        <v>20</v>
      </c>
      <c r="AM142" s="259" t="str">
        <f>IFERROR(INDEX($AK$3:$AL$220,MATCH(ROWS($AM$3:AM142),$AL$3:$AL$220,0),1),"")</f>
        <v/>
      </c>
      <c r="AN142" s="259" t="str">
        <f t="shared" si="414"/>
        <v/>
      </c>
      <c r="AO142" s="259" t="str">
        <f t="shared" si="415"/>
        <v/>
      </c>
      <c r="AP142" s="259" t="str">
        <f t="shared" si="416"/>
        <v>COSTI PER IL PERSONALE</v>
      </c>
      <c r="AQ142" s="259">
        <f ca="1">IF(OR(AG142=0,AG142=""),0,MAX(AQ$2:AQ141)+1)</f>
        <v>0</v>
      </c>
      <c r="AR142" s="259">
        <f ca="1">IF(OR(AH142=0,AH142=""),0,MAX(AR$2:AR141)+1)</f>
        <v>106</v>
      </c>
      <c r="AS142" s="259">
        <f ca="1">IF(OR(AI142=0,AI142=""),0,MAX(AS$2:AS141)+1)</f>
        <v>136</v>
      </c>
      <c r="AT142" s="259" t="str">
        <f ca="1">IFERROR(INDEX($AD$3:$AS$220,MATCH(ROWS(AT$3:AT142),AQ$3:AQ$220,0),1),"")</f>
        <v/>
      </c>
      <c r="AU142" s="259" t="str">
        <f ca="1">IFERROR(INDEX($AD$3:$AS$220,MATCH(ROWS(AU$3:AU142),AR$3:AR$220,0),1),"")</f>
        <v/>
      </c>
      <c r="AV142" s="259" t="str">
        <f ca="1">IFERROR(INDEX($AD$3:$AS$220,MATCH(ROWS(AV$3:AV142),AS$3:AS$220,0),1),"")</f>
        <v>COSTI D'ESERCIZIO</v>
      </c>
      <c r="AW142" s="259" t="str">
        <f ca="1">IFERROR(INDEX($AP$3:$AS$220,MATCH(ROWS(AW$3:AW142),AQ$3:AQ$220,0),1),"")</f>
        <v/>
      </c>
      <c r="AX142" s="259" t="str">
        <f ca="1">IFERROR(INDEX($AP$3:$AS$220,MATCH(ROWS(AX$3:AX142),AR$3:AR$220,0),1),"")</f>
        <v/>
      </c>
      <c r="AY142" s="259" t="str">
        <f ca="1">IFERROR(INDEX($AP$3:$AS$220,MATCH(ROWS(AY$3:AY142),AS$3:AS$220,0),1),"")</f>
        <v>AMMORTAMENTI IMMOBILIZZAZIONI IMMATERIALI</v>
      </c>
      <c r="AZ142" s="259" t="str">
        <f t="shared" si="339"/>
        <v>40 V.I.</v>
      </c>
      <c r="BA142" s="259">
        <f t="shared" ca="1" si="338"/>
        <v>0</v>
      </c>
      <c r="BB142" s="259">
        <f t="shared" ca="1" si="340"/>
        <v>0</v>
      </c>
      <c r="BC142" s="259">
        <f t="shared" ca="1" si="341"/>
        <v>0</v>
      </c>
      <c r="BD142" s="259">
        <f t="shared" ca="1" si="342"/>
        <v>0</v>
      </c>
      <c r="BE142" s="259">
        <f t="shared" ca="1" si="343"/>
        <v>0</v>
      </c>
      <c r="BG142" s="259" t="str">
        <f t="shared" ca="1" si="368"/>
        <v/>
      </c>
      <c r="BH142" s="259">
        <f ca="1">IF(IFERROR(MATCH(BG142,DENOMINAZIONE_GIORNALE,0),0)&gt;0,MAX(BH$2:BH141)+1,0)</f>
        <v>0</v>
      </c>
      <c r="BI142" s="259" t="str">
        <f ca="1">IFERROR(INDEX($BG$3:$BH$220,MATCH(ROWS($BI$3:BI142),$BH$3:$BH$220,0),1),"")</f>
        <v/>
      </c>
      <c r="BJ142" s="259" t="str">
        <f t="shared" ca="1" si="369"/>
        <v/>
      </c>
      <c r="BK142" s="259" t="str">
        <f ca="1">IF(IF(BJ142&lt;&gt;"",MAX($BK$2:BK141)+1,0)=0,"",IF(BJ142&lt;&gt;"",MAX($BK$2:BK141)+1,0))</f>
        <v/>
      </c>
      <c r="BL142" s="259" t="str">
        <f ca="1">IFERROR(INDEX($T$3:$U$220, MATCH(ROWS(BL$3:BL142),$V$3:$V$220,0),1),"")</f>
        <v/>
      </c>
      <c r="BM142" s="259" t="str">
        <f ca="1">IFERROR(INDEX($T$3:$U$220, MATCH(ROWS(BM$3:BM142),$V$3:$V$220,0),2),"")</f>
        <v/>
      </c>
      <c r="BN142" s="259" t="str">
        <f ca="1">IF(IFERROR(INDEX($BI$3:$BJ$220,MATCH(ROWS(BN$3:BN142),$BK$3:$BK$220,0),1),"")="PATRIMONIO NETTO","",IFERROR(INDEX($BI$3:$BJ$220,MATCH(ROWS(BN$3:BN142),$BK$3:$BK$220,0),1),""))</f>
        <v/>
      </c>
      <c r="BO142" s="259" t="str">
        <f ca="1">IFERROR(INDEX($BI$3:$BJ$220,MATCH(ROWS(BO$3:BO142),$BK$3:$BK$220,0),2),"")</f>
        <v/>
      </c>
      <c r="BP142" s="259">
        <f ca="1">IF(BN142&lt;&gt;"",MAX(BP$2:$BP141)+1,0)</f>
        <v>0</v>
      </c>
      <c r="BQ142" s="259" t="str">
        <f ca="1">IFERROR(INDEX($BN$3:$BO$200,MATCH(ROWS(BQ$3:BQ142),$BP$3:$BP$220,0),1),"")</f>
        <v/>
      </c>
      <c r="BR142" s="259" t="str">
        <f ca="1">IFERROR(INDEX($BN$3:$BO$220,MATCH(ROWS(BR$3:BR142),$BP$3:$BP$220,0),2),"")</f>
        <v/>
      </c>
      <c r="BS142" s="259" t="str">
        <f ca="1">IFERROR(IF(OR(INDEX($T$3:$U$220,MATCH(ROWS(BL$3:BL142),$V$3:$V$220,0),1)="PRELEVAMENTI EXTRAGESTIONE",INDEX($T$3:$U$220,MATCH(ROWS(BL$3:BL142),$V$3:$V$220,0),1)="TITOLARE C/RITENUTE SUBITE"),"",INDEX($T$3:$U$220,MATCH(ROWS(BL$3:BL142),$V$3:$V$220,0),1)),"")</f>
        <v/>
      </c>
      <c r="BT142" s="259">
        <f t="shared" ca="1" si="417"/>
        <v>0</v>
      </c>
      <c r="BU142" s="259">
        <f ca="1">IF(BS142&lt;&gt;"",MAX(BU$2:BU141)+1,0)</f>
        <v>0</v>
      </c>
      <c r="BV142" s="259" t="str">
        <f ca="1">IFERROR(INDEX($BS$3:$BT$223,MATCH(ROWS(BV$3:BV142),$BU$3:$BU$223,0),1),"")</f>
        <v/>
      </c>
      <c r="BW142" s="259">
        <f t="shared" ca="1" si="418"/>
        <v>0</v>
      </c>
      <c r="CB142" s="259" t="str">
        <f ca="1">IFERROR(IF(OR($BB$1&lt;&gt;$BD$1,$BC$1&lt;&gt;$BE$1,$DS$231&lt;&gt;$DT$231,$DU$231&lt;&gt;$DV$231,$EO$25&lt;&gt;0,$EO$26&lt;&gt;0),INDEX($BI$3:$BK$220,MATCH(ROWS($CB$3:CB142),$BK$3:$BK$220,0),1),CONCATENATE(BQ142,BX142)),"")</f>
        <v/>
      </c>
      <c r="CC142" s="259" t="str">
        <f t="shared" ca="1" si="419"/>
        <v/>
      </c>
      <c r="CD142" s="259" t="str">
        <f t="shared" ca="1" si="370"/>
        <v>ONERI SOCIALI</v>
      </c>
      <c r="CE142" s="259">
        <f ca="1">IF(IFERROR(MATCH(CD142,DENOMINAZIONE_GIORNALE,0),0)&gt;0,MAX(CE$2:CE141)+1,0)</f>
        <v>0</v>
      </c>
      <c r="CF142" s="259" t="str">
        <f ca="1">IFERROR(INDEX($CD$3:$CE$220,MATCH(ROWS($CF$3:CF142),$CE$3:$CE$220,0),1),"")</f>
        <v/>
      </c>
      <c r="CG142" s="259">
        <f t="shared" ca="1" si="371"/>
        <v>0</v>
      </c>
      <c r="CH142" s="259" t="str">
        <f ca="1">IF(IF(CG142&lt;&gt;0,MAX($CH$2:CH141)+1,0)=0,"",IF(CG142&lt;&gt;"",MAX($CH$2:CH141)+1,0))</f>
        <v/>
      </c>
      <c r="CI142" s="259" t="str">
        <f ca="1">IFERROR(INDEX($CF$3:$CG$220,MATCH(ROWS($CI$3:CI142),$CH$3:$CH$220,0),1),"")</f>
        <v/>
      </c>
      <c r="CJ142" s="259" t="str">
        <f t="shared" ca="1" si="420"/>
        <v/>
      </c>
      <c r="CK142" s="259" t="str">
        <f t="shared" ca="1" si="372"/>
        <v/>
      </c>
      <c r="CL142" s="259">
        <f ca="1">IF(IFERROR(MATCH(CK142,DENOMINAZIONE_GIORNALE,0),0)&gt;0,MAX(CL$2:CL141)+1,0)</f>
        <v>0</v>
      </c>
      <c r="CM142" s="259" t="str">
        <f ca="1">IFERROR(INDEX($CK$3:$CL$220,MATCH(ROWS($CM$3:CM142),$CL$3:$CL$220,0),1),"")</f>
        <v/>
      </c>
      <c r="CN142" s="259" t="str">
        <f t="shared" ca="1" si="373"/>
        <v/>
      </c>
      <c r="CO142" s="259">
        <f ca="1">IF(IF(CN142&lt;&gt;0,MAX($CO$2:CO141)+1,0)=0,"",IF(CN142&lt;&gt;"",MAX($CO$2:CO141)+1,0))</f>
        <v>0</v>
      </c>
      <c r="CP142" s="259" t="str">
        <f ca="1">IFERROR(INDEX($CM$3:$CN$220,MATCH(ROWS(CP$3:CP142),$CO$3:$CO$220,0),1),"")</f>
        <v/>
      </c>
      <c r="CQ142" s="259" t="str">
        <f ca="1">IFERROR(INDEX($CM$3:$CN$220,MATCH(ROWS(CQ$3:CQ142),$CO$3:$CO$220,0),2),"")</f>
        <v/>
      </c>
      <c r="CS142" s="259">
        <f t="shared" ca="1" si="374"/>
        <v>0</v>
      </c>
      <c r="CT142" s="259">
        <f t="shared" ca="1" si="375"/>
        <v>0</v>
      </c>
      <c r="CU142" s="259">
        <f ca="1">IF(OR(CS142&gt;0,CT142&gt;0),MAX($CU$2:CU141)+1,0)</f>
        <v>0</v>
      </c>
      <c r="CV142" s="259" t="str">
        <f ca="1">IFERROR(INDEX(PIANO_DEI_CONTI,MATCH(ROWS($CV$3:CV142),$CU$3:$CU$200,0),2),"")</f>
        <v/>
      </c>
      <c r="CW142" s="259">
        <f ca="1">IFERROR(IF(CV142&lt;&gt;"",MAX($CW$2:CW141)+1,0),0)</f>
        <v>0</v>
      </c>
      <c r="CX142" s="259">
        <f t="shared" ca="1" si="364"/>
        <v>8</v>
      </c>
      <c r="CY142" s="259" t="str">
        <f t="shared" ca="1" si="469"/>
        <v>MASTRO</v>
      </c>
      <c r="CZ142" s="259" t="e">
        <f t="shared" ca="1" si="376"/>
        <v>#N/A</v>
      </c>
      <c r="DA142" s="259" t="str">
        <f t="shared" ca="1" si="421"/>
        <v/>
      </c>
      <c r="DB142" s="259" t="str">
        <f t="shared" ca="1" si="377"/>
        <v/>
      </c>
      <c r="DC142" s="259" t="str">
        <f t="shared" ca="1" si="378"/>
        <v/>
      </c>
      <c r="DD142" s="259" t="str">
        <f t="shared" ca="1" si="379"/>
        <v/>
      </c>
      <c r="DE142" s="259" t="str">
        <f t="shared" ca="1" si="380"/>
        <v/>
      </c>
      <c r="DF142" s="259">
        <f ca="1">IF(AND(CX142=$DE$2,$DF$2&lt;&gt;0),0,IF(AND(DB142&lt;&gt;"",OR(DB141&lt;&gt;"",DB143&lt;&gt;"")),MAX($DF$2:DF141)+1,0))</f>
        <v>0</v>
      </c>
      <c r="DG142" s="259" t="str">
        <f>IF(IF(LIBRO_GIORNALE!E50="","",IFERROR(INDEX(PIANO_DEI_CONTI,MATCH(BB142,DENOMINAZIONE,0),1),0))=0,"",IF(LIBRO_GIORNALE!E50="","",IFERROR(INDEX(PIANO_DEI_CONTI,MATCH(BB142,DENOMINAZIONE,0),1),0)))</f>
        <v/>
      </c>
      <c r="DH142" s="259">
        <f ca="1">IFERROR(IF($J$1=1,IF(INDEX(PIANO_DEI_CONTI,MATCH($K142,DENOMINAZIONE,0),5)=$DF$1,MAX($DH$2:DH141)+1,0),IF($J$1=2,IF(INDEX(PIANO_DEI_CONTI,MATCH($K142,DENOMINAZIONE,0),7)=$DF$1,MAX($DH$2:DH141)+1,0))),0)</f>
        <v>0</v>
      </c>
      <c r="DI142" s="259">
        <f ca="1">IFERROR(INDEX($K$3:$K$220,MATCH(ROWS($DI$3:DI142),$DH$3:$DH$220,0),1),0)</f>
        <v>0</v>
      </c>
      <c r="DJ142" s="259">
        <f t="shared" ca="1" si="381"/>
        <v>0</v>
      </c>
      <c r="DK142" s="259">
        <f ca="1">IF(DJ142=0,0,MAX(DK$2:DK141)+1)</f>
        <v>0</v>
      </c>
      <c r="DL142" s="259">
        <f ca="1">IFERROR(INDEX(PIANO_DEI_CONTI,MATCH(ROWS(DL$3:DL142),$DK$3:DK369,0),2),0)</f>
        <v>0</v>
      </c>
      <c r="DM142" s="259">
        <f t="shared" ca="1" si="382"/>
        <v>0</v>
      </c>
      <c r="DN142" s="259">
        <f t="shared" ca="1" si="383"/>
        <v>0</v>
      </c>
      <c r="DO142" s="259">
        <f t="shared" ca="1" si="422"/>
        <v>0</v>
      </c>
      <c r="DP142" s="259">
        <f t="shared" ca="1" si="423"/>
        <v>0</v>
      </c>
      <c r="DQ142" s="259">
        <f ca="1">IF(OR($DQ$1="TOTALI",$DQ$1="TOTALI ED ECCEDENZE"),IF(OR(DM142&gt;0,DN142&gt;0),MAX(DQ$2:DQ141)+1,0),IF($DQ$1="ECCEDENZE",IF(OR(DO142&gt;0,DP142&gt;0),MAX(DQ$2:DQ141)+1,0),""))</f>
        <v>0</v>
      </c>
      <c r="DR142" s="259" t="str">
        <f ca="1">IFERROR(INDEX($DL$3:$DQ$230,MATCH(ROWS(DR$3:DR142),$DQ$3:$DQ$230,0),1),"")</f>
        <v/>
      </c>
      <c r="DS142" s="259" t="str">
        <f t="shared" ca="1" si="424"/>
        <v/>
      </c>
      <c r="DT142" s="259" t="str">
        <f t="shared" ca="1" si="425"/>
        <v/>
      </c>
      <c r="DU142" s="259" t="str">
        <f t="shared" ca="1" si="426"/>
        <v/>
      </c>
      <c r="DV142" s="259" t="str">
        <f t="shared" ca="1" si="427"/>
        <v/>
      </c>
      <c r="DW142" s="259">
        <f t="shared" ca="1" si="428"/>
        <v>0</v>
      </c>
      <c r="DX142" s="259" t="str">
        <f t="shared" ca="1" si="429"/>
        <v/>
      </c>
      <c r="DY142" s="259" t="str">
        <f t="shared" ca="1" si="430"/>
        <v/>
      </c>
      <c r="DZ142" s="259" t="str">
        <f t="shared" ca="1" si="431"/>
        <v/>
      </c>
      <c r="EB142" s="259" t="s">
        <v>373</v>
      </c>
      <c r="ED142" s="259">
        <f t="shared" ca="1" si="384"/>
        <v>0</v>
      </c>
      <c r="EH142" s="259" t="str">
        <f t="shared" ca="1" si="432"/>
        <v/>
      </c>
      <c r="EI142" s="260" t="b">
        <f t="shared" ca="1" si="466"/>
        <v>0</v>
      </c>
      <c r="EJ142" s="260" t="b">
        <f t="shared" ca="1" si="467"/>
        <v>0</v>
      </c>
      <c r="EK142" s="260" t="b">
        <f t="shared" ca="1" si="468"/>
        <v>0</v>
      </c>
      <c r="EL142" s="259">
        <f t="shared" si="433"/>
        <v>140</v>
      </c>
      <c r="EM142" s="259">
        <f ca="1">IF(AND(BA142&gt;0,BA142&lt;=$EM$1),MAX($EM$2:EM141)+1,0)</f>
        <v>0</v>
      </c>
      <c r="EN142" s="259">
        <f t="shared" ca="1" si="434"/>
        <v>142</v>
      </c>
      <c r="EP142" s="259" t="str">
        <f t="shared" ca="1" si="385"/>
        <v/>
      </c>
      <c r="EQ142" s="259">
        <f t="shared" ca="1" si="386"/>
        <v>0</v>
      </c>
      <c r="ER142" s="259">
        <f ca="1">IF(ISNA(EQ142),MAX(ER$2:ER141)+1,0)</f>
        <v>0</v>
      </c>
      <c r="ES142" s="259" t="str">
        <f t="shared" ca="1" si="435"/>
        <v/>
      </c>
      <c r="ET142" s="259" t="str">
        <f ca="1">IFERROR(UPPER(INDEX($ER$3:$ES$500,MATCH(ROWS(ET$3:ET142),$ER$3:$ER$500,0),2)),"")</f>
        <v/>
      </c>
      <c r="EW142" s="259">
        <f t="shared" ca="1" si="344"/>
        <v>1</v>
      </c>
      <c r="EX142" s="259">
        <v>40</v>
      </c>
      <c r="EY142" s="259">
        <f t="shared" ca="1" si="345"/>
        <v>0</v>
      </c>
      <c r="EZ142" s="259">
        <f t="shared" ca="1" si="346"/>
        <v>0</v>
      </c>
      <c r="FA142" s="259">
        <f t="shared" ca="1" si="347"/>
        <v>0</v>
      </c>
      <c r="FB142" s="259">
        <f t="shared" ca="1" si="348"/>
        <v>0</v>
      </c>
      <c r="FC142" s="259">
        <f t="shared" ca="1" si="349"/>
        <v>0</v>
      </c>
      <c r="FD142" s="259">
        <f t="shared" ca="1" si="387"/>
        <v>0</v>
      </c>
      <c r="FE142" s="259" t="str">
        <f t="shared" ca="1" si="388"/>
        <v/>
      </c>
      <c r="FF142" s="259" t="str">
        <f t="shared" ca="1" si="350"/>
        <v/>
      </c>
      <c r="FM142" s="259">
        <f t="shared" ca="1" si="389"/>
        <v>0</v>
      </c>
      <c r="FN142" s="259">
        <f ca="1">IF(FM142&lt;0,MAX($FN$2:FN141)+1,0)</f>
        <v>0</v>
      </c>
      <c r="FO142" s="259" t="str">
        <f t="shared" ca="1" si="436"/>
        <v/>
      </c>
      <c r="FP142" s="259" t="str">
        <f ca="1">IFERROR(INDEX($FN$3:$FO$400,MATCH(ROWS($FP$3:FP142),$FN$3:$FN$400,0),2),"")</f>
        <v/>
      </c>
      <c r="FQ142" s="259" t="str">
        <f>IF(AE142="SE AVERE",MAX($FQ$2:FQ141)+1,"")</f>
        <v/>
      </c>
      <c r="FR142" s="259">
        <f>IF(AE142="SE DARE",MAX($FR$2:FR141)+1,"")</f>
        <v>47</v>
      </c>
      <c r="FS142" s="259" t="str">
        <f ca="1">IF(AND(AE142="SP DARE",AA142&lt;&gt;$FS$1,AA142&lt;&gt;$FT$1),MAX($FS$2:FS141)+1,IF(AND(GQ142="SP DARE",AA142&lt;&gt;$FS$1,AA142&lt;&gt;$FT$1),MAX($FS$2:FS141)+1,""))</f>
        <v/>
      </c>
      <c r="FT142" s="259" t="str">
        <f ca="1">IF(AND(AE142="SP AVERE",AA142&lt;&gt;$FU$1),MAX($FT$2:FT141)+1,IF(AND(GQ142="SP AVERE",AA142&lt;&gt;$FU$1),MAX($FT$2:FT141)+1,""))</f>
        <v/>
      </c>
      <c r="FU142" s="259">
        <f t="shared" ca="1" si="437"/>
        <v>47</v>
      </c>
      <c r="FV142" s="259" t="str">
        <f t="shared" si="438"/>
        <v>ONERI SOCIALI</v>
      </c>
      <c r="FW142" s="259" t="str">
        <f ca="1">IFERROR(INDEX($FU$3:$FV$500,MATCH(ROWS($FW$3:FW142),$FU$3:$FU$500,0),2),0)</f>
        <v>FONDO AMMORT. ARREDAMENTO</v>
      </c>
      <c r="FX142" s="259">
        <f t="shared" ca="1" si="439"/>
        <v>140</v>
      </c>
      <c r="FY142" s="259">
        <f t="shared" ca="1" si="440"/>
        <v>0</v>
      </c>
      <c r="FZ142" s="259">
        <f ca="1">IF(FY142&gt;0,MAX($FZ$2:FZ141)+1,0)</f>
        <v>0</v>
      </c>
      <c r="GA142" s="259">
        <f ca="1">IFERROR(INDEX($FY$3:$FZ$500,MATCH(ROWS($GA$3:GA142),$FZ$3:$FZ$500,0),1),0)</f>
        <v>0</v>
      </c>
      <c r="GC142" s="259">
        <f t="shared" ca="1" si="441"/>
        <v>140</v>
      </c>
      <c r="GD142" s="259" t="str">
        <f t="shared" ca="1" si="442"/>
        <v>FONDO AMMORT. ARREDAMENTO</v>
      </c>
      <c r="GG142" s="259">
        <f t="shared" ca="1" si="443"/>
        <v>0</v>
      </c>
      <c r="GH142" s="259">
        <f t="shared" ca="1" si="444"/>
        <v>0</v>
      </c>
      <c r="GI142" s="259">
        <f t="shared" ca="1" si="445"/>
        <v>0</v>
      </c>
      <c r="GJ142" s="259">
        <f t="shared" ca="1" si="446"/>
        <v>0</v>
      </c>
      <c r="GK142" s="259">
        <f t="shared" ca="1" si="447"/>
        <v>0</v>
      </c>
      <c r="GL142" s="259">
        <f t="shared" ca="1" si="447"/>
        <v>0</v>
      </c>
      <c r="GM142" s="259">
        <f ca="1">IF(OR(GK142&gt;0,GL142&gt;0),MAX($GM$2:GM141)+1,0)</f>
        <v>0</v>
      </c>
      <c r="GN142" s="259" t="str">
        <f ca="1">IFERROR(INDEX($GD$3:$GM$400,MATCH(ROWS($GN$3:GN142),$GM$3:$GM$400,0),1),"")</f>
        <v/>
      </c>
      <c r="GO142" s="259" t="str">
        <f ca="1">IFERROR(INDEX($GD$3:$GM$400,MATCH(ROWS($GO$3:GO142),$GM$3:$GM$400,0),8),"")</f>
        <v/>
      </c>
      <c r="GP142" s="259" t="str">
        <f ca="1">IFERROR(INDEX($GD$3:$GM$400,MATCH(ROWS($GP$3:GP142),$GM$3:$GM$400,0),9),"")</f>
        <v/>
      </c>
      <c r="GQ142" s="259">
        <f t="shared" ca="1" si="390"/>
        <v>0</v>
      </c>
      <c r="GR142" s="259">
        <f t="shared" ca="1" si="448"/>
        <v>0</v>
      </c>
      <c r="GS142" s="259" t="str">
        <f t="shared" ca="1" si="449"/>
        <v>chiusura del conto</v>
      </c>
      <c r="GT142" s="259" t="str">
        <f ca="1">IFERROR(INDEX($GD$3:$GS$400,MATCH(ROWS($GT$3:GT142),$GM$3:$GM$400,0),16),"")</f>
        <v/>
      </c>
      <c r="GU142" s="259">
        <f ca="1">IF(GQ142&lt;&gt;0,MAX($GU$2:$GU141)+1,0)</f>
        <v>0</v>
      </c>
      <c r="GV142" s="259">
        <f t="shared" ca="1" si="450"/>
        <v>0</v>
      </c>
      <c r="GW142" s="259" t="str">
        <f ca="1">IF(AND(IFERROR(INDEX($GU$3:$GV$400,MATCH(ROWS($GW$3:GW142),$GU$3:$GU$400,0),2),"")&lt;&gt;"",GW143&lt;&gt;""),CONCATENATE(IFERROR(INDEX($GU$3:$GV$400,MATCH(ROWS($GW$3:GW142),$GU$3:$GU$400,0),2),"")," - "),IFERROR(INDEX($GU$3:$GV$400,MATCH(ROWS($GW$3:GW142),$GU$3:$GU$400,0),2),""))</f>
        <v/>
      </c>
      <c r="GX142" s="259">
        <f ca="1">IF(OR(GN142="IVA NS/CREDITO",GN142="IVA NS/DEBITO",GN142="IVA C/ACCONTO",GN142="IMPOSTE C/ACCONTO"),MAX($GX$2:GX141)+1,0)</f>
        <v>0</v>
      </c>
      <c r="GY142" s="259" t="str">
        <f ca="1">IF(AND(IFERROR(INDEX($GN$3:$GX$200,MATCH(ROWS($GY$3:GY142),$GX$3:$GX$200,0),1),"")&lt;&gt;"",GY143&lt;&gt;""),CONCATENATE(IFERROR(INDEX($GN$3:$GX$200,MATCH(ROWS($GY$3:GY142),$GX$3:$GX$200,0),1),"")," - "),IFERROR(INDEX($GN$3:$GX$200,MATCH(ROWS($GY$3:GY142),$GX$3:$GX$200,0),1),""))</f>
        <v/>
      </c>
      <c r="GZ142" s="259" t="s">
        <v>146</v>
      </c>
      <c r="HA142" s="270" t="s">
        <v>147</v>
      </c>
      <c r="HV142" s="259" t="str">
        <f ca="1">CONCATENATE(IFERROR(INDEX($HS$3:$HT$102,MATCH(ROWS($HV$3:HV142),$HT$3:$HT$102,0),1),""),HR142)</f>
        <v/>
      </c>
      <c r="IC142" s="259">
        <f ca="1">IFERROR(INDEX(PIANO_DEI_CONTI,MATCH(ROWS(DL$3:DL142),$DK$3:DK369,0),2),0)</f>
        <v>0</v>
      </c>
      <c r="ID142" s="259">
        <f t="shared" ca="1" si="451"/>
        <v>0</v>
      </c>
      <c r="IE142" s="259">
        <f t="shared" ca="1" si="452"/>
        <v>0</v>
      </c>
      <c r="IF142" s="259">
        <f t="shared" ca="1" si="453"/>
        <v>0</v>
      </c>
      <c r="IG142" s="259">
        <f t="shared" ca="1" si="324"/>
        <v>0</v>
      </c>
      <c r="IH142" s="259">
        <f ca="1">IF(IG142&lt;&gt;0,MAX($IH$35:IH141)+1,0)</f>
        <v>0</v>
      </c>
      <c r="II142" s="259">
        <f>IF(AD142="costi pluriennali",MAX($II$2:II141)+1,0)</f>
        <v>0</v>
      </c>
      <c r="IJ142" s="259">
        <f>IF($AD142="rettifiche costi pluriennali",MAX($IJ$2:IJ141)+1,0)</f>
        <v>0</v>
      </c>
      <c r="IK142" s="259">
        <f t="shared" si="454"/>
        <v>0</v>
      </c>
      <c r="IL142" s="259" t="str">
        <f t="shared" si="455"/>
        <v/>
      </c>
      <c r="IM142" s="259">
        <f t="shared" ca="1" si="456"/>
        <v>0</v>
      </c>
      <c r="IN142" s="259">
        <f t="shared" ca="1" si="470"/>
        <v>0</v>
      </c>
      <c r="IO142" s="259">
        <f>SUMIFS($IM$3:$IM$200,$IK$3:$IK$200,ROWS($IO$3:IO142))-SUMIFS($IN$3:$IN$200,$IK$3:$IK$200,ROWS($IO$3:IO142))</f>
        <v>0</v>
      </c>
      <c r="IP142" s="259" t="str">
        <f>IF(IO142&lt;0,INDEX($IJ$3:$IL$200,MATCH(ROWS($IP$3:IP142),$IJ$3:$IJ$200,0),3),"")</f>
        <v/>
      </c>
      <c r="IQ142" s="259">
        <f>IF(IP142&lt;&gt;"",MAX($IQ$2:IQ141)+1,0)</f>
        <v>0</v>
      </c>
      <c r="IR142" s="259" t="str">
        <f ca="1">IFERROR(INDEX($IP$3:$IQ$200,MATCH(ROWS($IR$3:IR142),$IQ$3:$IQ$200,0),1),"")</f>
        <v/>
      </c>
      <c r="IS142" s="259" t="str">
        <f t="shared" ca="1" si="457"/>
        <v/>
      </c>
      <c r="IT142" s="259" t="str">
        <f t="shared" ca="1" si="458"/>
        <v/>
      </c>
      <c r="IU142" s="259" t="str">
        <f t="shared" ca="1" si="459"/>
        <v/>
      </c>
      <c r="IV142" s="259" t="str">
        <f t="shared" ca="1" si="460"/>
        <v/>
      </c>
      <c r="IW142" s="259" t="str">
        <f t="shared" ca="1" si="461"/>
        <v/>
      </c>
      <c r="IX142" s="259" t="str">
        <f t="shared" ca="1" si="462"/>
        <v/>
      </c>
      <c r="IY142" s="259" t="str">
        <f t="shared" ca="1" si="463"/>
        <v/>
      </c>
      <c r="IZ142" s="259" t="str">
        <f t="shared" ca="1" si="464"/>
        <v/>
      </c>
      <c r="JA142" s="259" t="str">
        <f t="shared" ca="1" si="465"/>
        <v/>
      </c>
      <c r="JB142" s="259">
        <f t="shared" ca="1" si="391"/>
        <v>0</v>
      </c>
      <c r="JC142" s="259">
        <f t="shared" ca="1" si="351"/>
        <v>0</v>
      </c>
      <c r="JD142" s="259">
        <f t="shared" ca="1" si="352"/>
        <v>0</v>
      </c>
      <c r="JM142" s="259">
        <f t="shared" ca="1" si="353"/>
        <v>0</v>
      </c>
    </row>
    <row r="143" spans="1:273">
      <c r="A143" s="259" t="str">
        <f t="shared" si="392"/>
        <v>31.01</v>
      </c>
      <c r="B143" s="259" t="str">
        <f t="shared" si="393"/>
        <v>COSTI DI TRASPORTO</v>
      </c>
      <c r="C143" s="259" t="str">
        <f t="shared" si="394"/>
        <v>E</v>
      </c>
      <c r="D143" s="259" t="str">
        <f t="shared" si="395"/>
        <v>D</v>
      </c>
      <c r="E143" s="259" t="str">
        <f t="shared" si="396"/>
        <v>COSTI D'ESERCIZIO</v>
      </c>
      <c r="F143" s="259" t="str">
        <f t="shared" si="397"/>
        <v>SE DARE</v>
      </c>
      <c r="G143" s="259">
        <f t="shared" ca="1" si="398"/>
        <v>1</v>
      </c>
      <c r="H143" s="259">
        <f t="shared" ca="1" si="399"/>
        <v>1</v>
      </c>
      <c r="I143" s="259">
        <f t="shared" ca="1" si="400"/>
        <v>1</v>
      </c>
      <c r="K143" s="259" t="str">
        <f ca="1">IFERROR(IF($I$1=1,INDEX($AA$3:$AS$220,MATCH(ROWS($K$3:K143),$AQ$3:$AQ$220,0),1),IF($I$1=2,INDEX($AA$3:$AS$220,MATCH(ROWS($K$3:K143),$AR$3:$AR$220,0),1),IF($I$1=3,INDEX($AA$3:$AS$220,MATCH(ROWS($K$3:K143),$AS$3:$AS$220,0),1),""))),"")</f>
        <v>AMMORTAMENTO AVVIAMENTO</v>
      </c>
      <c r="L143" s="259">
        <f ca="1">IF(AND($L$1="VISUALIZZA TUTTI I CONTI",K143&lt;&gt;""),MAX(L142:L142)+1,IFERROR(IF($J$1=1,IF(INDEX(PIANO_DEI_CONTI,MATCH($K143,DENOMINAZIONE,0),5)=$L$1,MAX($L$2:L142)+1,0),IF($J$1=2,IF(INDEX(PIANO_DEI_CONTI,MATCH($K143,DENOMINAZIONE,0),7)=$L$1,MAX($L$2:L142)+1,0))),0))</f>
        <v>141</v>
      </c>
      <c r="M143" s="259" t="str">
        <f ca="1">IFERROR(INDEX($K$3:$K$220,MATCH(ROWS($M$3:M143),$L$3:$L$220,0),1),"")</f>
        <v>AMMORTAMENTO AVVIAMENTO</v>
      </c>
      <c r="Q143" s="259" t="str">
        <f ca="1">IF(IFERROR(INDEX($O$3:$P$220,MATCH(ROWS(Q$3:Q143),$P$3:$P$220,0),1),"")=0,"",IFERROR(INDEX($O$3:$P$220,MATCH(ROWS(Q$3:Q143),$P$3:$P$220,0),1),""))</f>
        <v/>
      </c>
      <c r="R143" s="259" t="str">
        <f t="shared" ca="1" si="366"/>
        <v/>
      </c>
      <c r="S143" s="259">
        <f ca="1">IF(IFERROR(MATCH(R143,DENOMINAZIONE_GIORNALE,0),0)&gt;0,MAX(S$2:S142)+1,0)</f>
        <v>0</v>
      </c>
      <c r="T143" s="259" t="str">
        <f ca="1">IFERROR(INDEX($R$3:$S$220,MATCH(ROWS($T$3:T143),$S$3:$S$220,0),1),"")</f>
        <v/>
      </c>
      <c r="U143" s="259">
        <f t="shared" ca="1" si="367"/>
        <v>0</v>
      </c>
      <c r="V143" s="259">
        <f ca="1">IF(IF(U143&lt;&gt;0,MAX($V$2:V142)+1,0)=0,0,IF(U143&lt;&gt;0,MAX($V$2:V142)+1,0))</f>
        <v>0</v>
      </c>
      <c r="W143" s="259" t="str">
        <f t="shared" si="401"/>
        <v>31.01</v>
      </c>
      <c r="X143" s="259" t="str">
        <f t="shared" si="402"/>
        <v>COSTI DI TRASPORTO</v>
      </c>
      <c r="Y143" s="259">
        <f>IF(W143="",0,MAX($Y$2:Y142)+1)</f>
        <v>121</v>
      </c>
      <c r="Z143" s="259" t="str">
        <f>IFERROR(INDEX($W$3:$Y$220,MATCH(ROWS($Z$2:Z142),$Y$3:$Y$220,0),1),"")</f>
        <v>33.03</v>
      </c>
      <c r="AA143" s="259" t="str">
        <f t="shared" si="403"/>
        <v>TFR</v>
      </c>
      <c r="AB143" s="259" t="str">
        <f t="shared" si="404"/>
        <v>E</v>
      </c>
      <c r="AC143" s="259" t="str">
        <f t="shared" si="405"/>
        <v>D</v>
      </c>
      <c r="AD143" s="259" t="str">
        <f t="shared" si="406"/>
        <v>COSTI D'ESERCIZIO</v>
      </c>
      <c r="AE143" s="259" t="str">
        <f t="shared" si="407"/>
        <v>SE DARE</v>
      </c>
      <c r="AF143" s="259" t="str">
        <f t="shared" si="408"/>
        <v>COSTI PER IL PERSONALE</v>
      </c>
      <c r="AG143" s="259">
        <f t="shared" ca="1" si="409"/>
        <v>0</v>
      </c>
      <c r="AH143" s="259">
        <f t="shared" ca="1" si="410"/>
        <v>0</v>
      </c>
      <c r="AI143" s="259">
        <f t="shared" ca="1" si="411"/>
        <v>1</v>
      </c>
      <c r="AJ143" s="259" t="str">
        <f t="shared" si="412"/>
        <v>33</v>
      </c>
      <c r="AK143" s="259" t="str">
        <f t="shared" si="413"/>
        <v/>
      </c>
      <c r="AL143" s="259">
        <f>IF(AK143&lt;&gt;"",MAX($AL$2:AL142)+1,0)</f>
        <v>0</v>
      </c>
      <c r="AM143" s="259" t="str">
        <f>IFERROR(INDEX($AK$3:$AL$220,MATCH(ROWS($AM$3:AM143),$AL$3:$AL$220,0),1),"")</f>
        <v/>
      </c>
      <c r="AN143" s="259" t="str">
        <f t="shared" si="414"/>
        <v/>
      </c>
      <c r="AO143" s="259" t="str">
        <f t="shared" si="415"/>
        <v/>
      </c>
      <c r="AP143" s="259" t="str">
        <f t="shared" si="416"/>
        <v>COSTI PER IL PERSONALE</v>
      </c>
      <c r="AQ143" s="259">
        <f ca="1">IF(OR(AG143=0,AG143=""),0,MAX(AQ$2:AQ142)+1)</f>
        <v>0</v>
      </c>
      <c r="AR143" s="259">
        <f ca="1">IF(OR(AH143=0,AH143=""),0,MAX(AR$2:AR142)+1)</f>
        <v>0</v>
      </c>
      <c r="AS143" s="259">
        <f ca="1">IF(OR(AI143=0,AI143=""),0,MAX(AS$2:AS142)+1)</f>
        <v>137</v>
      </c>
      <c r="AT143" s="259" t="str">
        <f ca="1">IFERROR(INDEX($AD$3:$AS$220,MATCH(ROWS(AT$3:AT143),AQ$3:AQ$220,0),1),"")</f>
        <v/>
      </c>
      <c r="AU143" s="259" t="str">
        <f ca="1">IFERROR(INDEX($AD$3:$AS$220,MATCH(ROWS(AU$3:AU143),AR$3:AR$220,0),1),"")</f>
        <v/>
      </c>
      <c r="AV143" s="259" t="str">
        <f ca="1">IFERROR(INDEX($AD$3:$AS$220,MATCH(ROWS(AV$3:AV143),AS$3:AS$220,0),1),"")</f>
        <v>COSTI D'ESERCIZIO</v>
      </c>
      <c r="AW143" s="259" t="str">
        <f ca="1">IFERROR(INDEX($AP$3:$AS$220,MATCH(ROWS(AW$3:AW143),AQ$3:AQ$220,0),1),"")</f>
        <v/>
      </c>
      <c r="AX143" s="259" t="str">
        <f ca="1">IFERROR(INDEX($AP$3:$AS$220,MATCH(ROWS(AX$3:AX143),AR$3:AR$220,0),1),"")</f>
        <v/>
      </c>
      <c r="AY143" s="259" t="str">
        <f ca="1">IFERROR(INDEX($AP$3:$AS$220,MATCH(ROWS(AY$3:AY143),AS$3:AS$220,0),1),"")</f>
        <v>AMMORTAMENTI IMMOBILIZZAZIONI IMMATERIALI</v>
      </c>
      <c r="AZ143" s="259" t="str">
        <f t="shared" si="339"/>
        <v>41 V.I.</v>
      </c>
      <c r="BA143" s="259">
        <f t="shared" ca="1" si="338"/>
        <v>0</v>
      </c>
      <c r="BB143" s="259">
        <f t="shared" ca="1" si="340"/>
        <v>0</v>
      </c>
      <c r="BC143" s="259">
        <f t="shared" ca="1" si="341"/>
        <v>0</v>
      </c>
      <c r="BD143" s="259">
        <f t="shared" ca="1" si="342"/>
        <v>0</v>
      </c>
      <c r="BE143" s="259">
        <f t="shared" ca="1" si="343"/>
        <v>0</v>
      </c>
      <c r="BG143" s="259" t="str">
        <f t="shared" ca="1" si="368"/>
        <v/>
      </c>
      <c r="BH143" s="259">
        <f ca="1">IF(IFERROR(MATCH(BG143,DENOMINAZIONE_GIORNALE,0),0)&gt;0,MAX(BH$2:BH142)+1,0)</f>
        <v>0</v>
      </c>
      <c r="BI143" s="259" t="str">
        <f ca="1">IFERROR(INDEX($BG$3:$BH$220,MATCH(ROWS($BI$3:BI143),$BH$3:$BH$220,0),1),"")</f>
        <v/>
      </c>
      <c r="BJ143" s="259" t="str">
        <f t="shared" ca="1" si="369"/>
        <v/>
      </c>
      <c r="BK143" s="259" t="str">
        <f ca="1">IF(IF(BJ143&lt;&gt;"",MAX($BK$2:BK142)+1,0)=0,"",IF(BJ143&lt;&gt;"",MAX($BK$2:BK142)+1,0))</f>
        <v/>
      </c>
      <c r="BL143" s="259" t="str">
        <f ca="1">IFERROR(INDEX($T$3:$U$220, MATCH(ROWS(BL$3:BL143),$V$3:$V$220,0),1),"")</f>
        <v/>
      </c>
      <c r="BM143" s="259" t="str">
        <f ca="1">IFERROR(INDEX($T$3:$U$220, MATCH(ROWS(BM$3:BM143),$V$3:$V$220,0),2),"")</f>
        <v/>
      </c>
      <c r="BN143" s="259" t="str">
        <f ca="1">IF(IFERROR(INDEX($BI$3:$BJ$220,MATCH(ROWS(BN$3:BN143),$BK$3:$BK$220,0),1),"")="PATRIMONIO NETTO","",IFERROR(INDEX($BI$3:$BJ$220,MATCH(ROWS(BN$3:BN143),$BK$3:$BK$220,0),1),""))</f>
        <v/>
      </c>
      <c r="BO143" s="259" t="str">
        <f ca="1">IFERROR(INDEX($BI$3:$BJ$220,MATCH(ROWS(BO$3:BO143),$BK$3:$BK$220,0),2),"")</f>
        <v/>
      </c>
      <c r="BP143" s="259">
        <f ca="1">IF(BN143&lt;&gt;"",MAX(BP$2:$BP142)+1,0)</f>
        <v>0</v>
      </c>
      <c r="BQ143" s="259" t="str">
        <f ca="1">IFERROR(INDEX($BN$3:$BO$200,MATCH(ROWS(BQ$3:BQ143),$BP$3:$BP$220,0),1),"")</f>
        <v/>
      </c>
      <c r="BR143" s="259" t="str">
        <f ca="1">IFERROR(INDEX($BN$3:$BO$220,MATCH(ROWS(BR$3:BR143),$BP$3:$BP$220,0),2),"")</f>
        <v/>
      </c>
      <c r="BS143" s="259" t="str">
        <f ca="1">IFERROR(IF(OR(INDEX($T$3:$U$220,MATCH(ROWS(BL$3:BL143),$V$3:$V$220,0),1)="PRELEVAMENTI EXTRAGESTIONE",INDEX($T$3:$U$220,MATCH(ROWS(BL$3:BL143),$V$3:$V$220,0),1)="TITOLARE C/RITENUTE SUBITE"),"",INDEX($T$3:$U$220,MATCH(ROWS(BL$3:BL143),$V$3:$V$220,0),1)),"")</f>
        <v/>
      </c>
      <c r="BT143" s="259">
        <f t="shared" ca="1" si="417"/>
        <v>0</v>
      </c>
      <c r="BU143" s="259">
        <f ca="1">IF(BS143&lt;&gt;"",MAX(BU$2:BU142)+1,0)</f>
        <v>0</v>
      </c>
      <c r="BV143" s="259" t="str">
        <f ca="1">IFERROR(INDEX($BS$3:$BT$223,MATCH(ROWS(BV$3:BV143),$BU$3:$BU$223,0),1),"")</f>
        <v/>
      </c>
      <c r="BW143" s="259">
        <f t="shared" ca="1" si="418"/>
        <v>0</v>
      </c>
      <c r="CB143" s="259" t="str">
        <f ca="1">IFERROR(IF(OR($BB$1&lt;&gt;$BD$1,$BC$1&lt;&gt;$BE$1,$DS$231&lt;&gt;$DT$231,$DU$231&lt;&gt;$DV$231,$EO$25&lt;&gt;0,$EO$26&lt;&gt;0),INDEX($BI$3:$BK$220,MATCH(ROWS($CB$3:CB143),$BK$3:$BK$220,0),1),CONCATENATE(BQ143,BX143)),"")</f>
        <v/>
      </c>
      <c r="CC143" s="259" t="str">
        <f t="shared" ca="1" si="419"/>
        <v/>
      </c>
      <c r="CD143" s="259" t="str">
        <f t="shared" ca="1" si="370"/>
        <v>TFR</v>
      </c>
      <c r="CE143" s="259">
        <f ca="1">IF(IFERROR(MATCH(CD143,DENOMINAZIONE_GIORNALE,0),0)&gt;0,MAX(CE$2:CE142)+1,0)</f>
        <v>0</v>
      </c>
      <c r="CF143" s="259" t="str">
        <f ca="1">IFERROR(INDEX($CD$3:$CE$220,MATCH(ROWS($CF$3:CF143),$CE$3:$CE$220,0),1),"")</f>
        <v/>
      </c>
      <c r="CG143" s="259">
        <f t="shared" ca="1" si="371"/>
        <v>0</v>
      </c>
      <c r="CH143" s="259" t="str">
        <f ca="1">IF(IF(CG143&lt;&gt;0,MAX($CH$2:CH142)+1,0)=0,"",IF(CG143&lt;&gt;"",MAX($CH$2:CH142)+1,0))</f>
        <v/>
      </c>
      <c r="CI143" s="259" t="str">
        <f ca="1">IFERROR(INDEX($CF$3:$CG$220,MATCH(ROWS($CI$3:CI143),$CH$3:$CH$220,0),1),"")</f>
        <v/>
      </c>
      <c r="CJ143" s="259" t="str">
        <f t="shared" ca="1" si="420"/>
        <v/>
      </c>
      <c r="CK143" s="259" t="str">
        <f t="shared" ca="1" si="372"/>
        <v/>
      </c>
      <c r="CL143" s="259">
        <f ca="1">IF(IFERROR(MATCH(CK143,DENOMINAZIONE_GIORNALE,0),0)&gt;0,MAX(CL$2:CL142)+1,0)</f>
        <v>0</v>
      </c>
      <c r="CM143" s="259" t="str">
        <f ca="1">IFERROR(INDEX($CK$3:$CL$220,MATCH(ROWS($CM$3:CM143),$CL$3:$CL$220,0),1),"")</f>
        <v/>
      </c>
      <c r="CN143" s="259" t="str">
        <f t="shared" ca="1" si="373"/>
        <v/>
      </c>
      <c r="CO143" s="259">
        <f ca="1">IF(IF(CN143&lt;&gt;0,MAX($CO$2:CO142)+1,0)=0,"",IF(CN143&lt;&gt;"",MAX($CO$2:CO142)+1,0))</f>
        <v>0</v>
      </c>
      <c r="CP143" s="259" t="str">
        <f ca="1">IFERROR(INDEX($CM$3:$CN$220,MATCH(ROWS(CP$3:CP143),$CO$3:$CO$220,0),1),"")</f>
        <v/>
      </c>
      <c r="CQ143" s="259" t="str">
        <f ca="1">IFERROR(INDEX($CM$3:$CN$220,MATCH(ROWS(CQ$3:CQ143),$CO$3:$CO$220,0),2),"")</f>
        <v/>
      </c>
      <c r="CS143" s="259">
        <f t="shared" ca="1" si="374"/>
        <v>0</v>
      </c>
      <c r="CT143" s="259">
        <f t="shared" ca="1" si="375"/>
        <v>0</v>
      </c>
      <c r="CU143" s="259">
        <f ca="1">IF(OR(CS143&gt;0,CT143&gt;0),MAX($CU$2:CU142)+1,0)</f>
        <v>0</v>
      </c>
      <c r="CV143" s="259" t="str">
        <f ca="1">IFERROR(INDEX(PIANO_DEI_CONTI,MATCH(ROWS($CV$3:CV143),$CU$3:$CU$200,0),2),"")</f>
        <v/>
      </c>
      <c r="CW143" s="259">
        <f ca="1">IFERROR(IF(CV143&lt;&gt;"",MAX($CW$2:CW142)+1,0),0)</f>
        <v>0</v>
      </c>
      <c r="CX143" s="259">
        <f t="shared" ca="1" si="364"/>
        <v>8</v>
      </c>
      <c r="CY143" s="259" t="str">
        <f t="shared" ca="1" si="469"/>
        <v>MASTRO</v>
      </c>
      <c r="CZ143" s="259" t="e">
        <f t="shared" ca="1" si="376"/>
        <v>#N/A</v>
      </c>
      <c r="DA143" s="259" t="str">
        <f t="shared" ca="1" si="421"/>
        <v/>
      </c>
      <c r="DB143" s="259" t="str">
        <f t="shared" ca="1" si="377"/>
        <v/>
      </c>
      <c r="DC143" s="259" t="str">
        <f t="shared" ca="1" si="378"/>
        <v/>
      </c>
      <c r="DD143" s="259" t="str">
        <f t="shared" ca="1" si="379"/>
        <v/>
      </c>
      <c r="DE143" s="259" t="str">
        <f t="shared" ca="1" si="380"/>
        <v/>
      </c>
      <c r="DF143" s="259">
        <f ca="1">IF(AND(CX143=$DE$2,$DF$2&lt;&gt;0),0,IF(AND(DB143&lt;&gt;"",OR(DB142&lt;&gt;"",DB144&lt;&gt;"")),MAX($DF$2:DF142)+1,0))</f>
        <v>0</v>
      </c>
      <c r="DG143" s="259" t="str">
        <f>IF(IF(LIBRO_GIORNALE!E51="","",IFERROR(INDEX(PIANO_DEI_CONTI,MATCH(BB143,DENOMINAZIONE,0),1),0))=0,"",IF(LIBRO_GIORNALE!E51="","",IFERROR(INDEX(PIANO_DEI_CONTI,MATCH(BB143,DENOMINAZIONE,0),1),0)))</f>
        <v/>
      </c>
      <c r="DH143" s="259">
        <f ca="1">IFERROR(IF($J$1=1,IF(INDEX(PIANO_DEI_CONTI,MATCH($K143,DENOMINAZIONE,0),5)=$DF$1,MAX($DH$2:DH142)+1,0),IF($J$1=2,IF(INDEX(PIANO_DEI_CONTI,MATCH($K143,DENOMINAZIONE,0),7)=$DF$1,MAX($DH$2:DH142)+1,0))),0)</f>
        <v>0</v>
      </c>
      <c r="DI143" s="259">
        <f ca="1">IFERROR(INDEX($K$3:$K$220,MATCH(ROWS($DI$3:DI143),$DH$3:$DH$220,0),1),0)</f>
        <v>0</v>
      </c>
      <c r="DJ143" s="259">
        <f t="shared" ca="1" si="381"/>
        <v>0</v>
      </c>
      <c r="DK143" s="259">
        <f ca="1">IF(DJ143=0,0,MAX(DK$2:DK142)+1)</f>
        <v>0</v>
      </c>
      <c r="DL143" s="259">
        <f ca="1">IFERROR(INDEX(PIANO_DEI_CONTI,MATCH(ROWS(DL$3:DL143),$DK$3:DK370,0),2),0)</f>
        <v>0</v>
      </c>
      <c r="DM143" s="259">
        <f t="shared" ca="1" si="382"/>
        <v>0</v>
      </c>
      <c r="DN143" s="259">
        <f t="shared" ca="1" si="383"/>
        <v>0</v>
      </c>
      <c r="DO143" s="259">
        <f t="shared" ca="1" si="422"/>
        <v>0</v>
      </c>
      <c r="DP143" s="259">
        <f t="shared" ca="1" si="423"/>
        <v>0</v>
      </c>
      <c r="DQ143" s="259">
        <f ca="1">IF(OR($DQ$1="TOTALI",$DQ$1="TOTALI ED ECCEDENZE"),IF(OR(DM143&gt;0,DN143&gt;0),MAX(DQ$2:DQ142)+1,0),IF($DQ$1="ECCEDENZE",IF(OR(DO143&gt;0,DP143&gt;0),MAX(DQ$2:DQ142)+1,0),""))</f>
        <v>0</v>
      </c>
      <c r="DR143" s="259" t="str">
        <f ca="1">IFERROR(INDEX($DL$3:$DQ$230,MATCH(ROWS(DR$3:DR143),$DQ$3:$DQ$230,0),1),"")</f>
        <v/>
      </c>
      <c r="DS143" s="259" t="str">
        <f t="shared" ca="1" si="424"/>
        <v/>
      </c>
      <c r="DT143" s="259" t="str">
        <f t="shared" ca="1" si="425"/>
        <v/>
      </c>
      <c r="DU143" s="259" t="str">
        <f t="shared" ca="1" si="426"/>
        <v/>
      </c>
      <c r="DV143" s="259" t="str">
        <f t="shared" ca="1" si="427"/>
        <v/>
      </c>
      <c r="DW143" s="259">
        <f t="shared" ca="1" si="428"/>
        <v>0</v>
      </c>
      <c r="DX143" s="259" t="str">
        <f t="shared" ca="1" si="429"/>
        <v/>
      </c>
      <c r="DY143" s="259" t="str">
        <f t="shared" ca="1" si="430"/>
        <v/>
      </c>
      <c r="DZ143" s="259" t="str">
        <f t="shared" ca="1" si="431"/>
        <v/>
      </c>
      <c r="EB143" s="259" t="s">
        <v>374</v>
      </c>
      <c r="ED143" s="259">
        <f t="shared" ca="1" si="384"/>
        <v>0</v>
      </c>
      <c r="EH143" s="259" t="str">
        <f t="shared" ca="1" si="432"/>
        <v/>
      </c>
      <c r="EI143" s="260" t="b">
        <f t="shared" ca="1" si="466"/>
        <v>1</v>
      </c>
      <c r="EJ143" s="260" t="b">
        <f t="shared" ca="1" si="467"/>
        <v>1</v>
      </c>
      <c r="EK143" s="260" t="b">
        <f t="shared" ca="1" si="468"/>
        <v>1</v>
      </c>
      <c r="EL143" s="259">
        <f t="shared" si="433"/>
        <v>141</v>
      </c>
      <c r="EM143" s="259">
        <f ca="1">IF(AND(BA143&gt;0,BA143&lt;=$EM$1),MAX($EM$2:EM142)+1,0)</f>
        <v>0</v>
      </c>
      <c r="EN143" s="259">
        <f t="shared" ca="1" si="434"/>
        <v>143</v>
      </c>
      <c r="EP143" s="259" t="str">
        <f t="shared" ca="1" si="385"/>
        <v/>
      </c>
      <c r="EQ143" s="259">
        <f t="shared" ca="1" si="386"/>
        <v>0</v>
      </c>
      <c r="ER143" s="259">
        <f ca="1">IF(ISNA(EQ143),MAX(ER$2:ER142)+1,0)</f>
        <v>0</v>
      </c>
      <c r="ES143" s="259" t="str">
        <f t="shared" ca="1" si="435"/>
        <v/>
      </c>
      <c r="ET143" s="259" t="str">
        <f ca="1">IFERROR(UPPER(INDEX($ER$3:$ES$500,MATCH(ROWS(ET$3:ET143),$ER$3:$ER$500,0),2)),"")</f>
        <v/>
      </c>
      <c r="EW143" s="259">
        <f t="shared" ca="1" si="344"/>
        <v>1</v>
      </c>
      <c r="EX143" s="259">
        <v>41</v>
      </c>
      <c r="EY143" s="259">
        <f t="shared" ca="1" si="345"/>
        <v>0</v>
      </c>
      <c r="EZ143" s="259">
        <f t="shared" ca="1" si="346"/>
        <v>0</v>
      </c>
      <c r="FA143" s="259">
        <f t="shared" ca="1" si="347"/>
        <v>0</v>
      </c>
      <c r="FB143" s="259">
        <f t="shared" ca="1" si="348"/>
        <v>0</v>
      </c>
      <c r="FC143" s="259">
        <f t="shared" ca="1" si="349"/>
        <v>0</v>
      </c>
      <c r="FD143" s="259">
        <f t="shared" ca="1" si="387"/>
        <v>0</v>
      </c>
      <c r="FE143" s="259" t="str">
        <f t="shared" ca="1" si="388"/>
        <v/>
      </c>
      <c r="FF143" s="259" t="str">
        <f t="shared" ca="1" si="350"/>
        <v/>
      </c>
      <c r="FM143" s="259">
        <f t="shared" ca="1" si="389"/>
        <v>0</v>
      </c>
      <c r="FN143" s="259">
        <f ca="1">IF(FM143&lt;0,MAX($FN$2:FN142)+1,0)</f>
        <v>0</v>
      </c>
      <c r="FO143" s="259" t="str">
        <f t="shared" ca="1" si="436"/>
        <v/>
      </c>
      <c r="FP143" s="259" t="str">
        <f ca="1">IFERROR(INDEX($FN$3:$FO$400,MATCH(ROWS($FP$3:FP143),$FN$3:$FN$400,0),2),"")</f>
        <v/>
      </c>
      <c r="FQ143" s="259" t="str">
        <f>IF(AE143="SE AVERE",MAX($FQ$2:FQ142)+1,"")</f>
        <v/>
      </c>
      <c r="FR143" s="259">
        <f>IF(AE143="SE DARE",MAX($FR$2:FR142)+1,"")</f>
        <v>48</v>
      </c>
      <c r="FS143" s="259" t="str">
        <f ca="1">IF(AND(AE143="SP DARE",AA143&lt;&gt;$FS$1,AA143&lt;&gt;$FT$1),MAX($FS$2:FS142)+1,IF(AND(GQ143="SP DARE",AA143&lt;&gt;$FS$1,AA143&lt;&gt;$FT$1),MAX($FS$2:FS142)+1,""))</f>
        <v/>
      </c>
      <c r="FT143" s="259" t="str">
        <f ca="1">IF(AND(AE143="SP AVERE",AA143&lt;&gt;$FU$1),MAX($FT$2:FT142)+1,IF(AND(GQ143="SP AVERE",AA143&lt;&gt;$FU$1),MAX($FT$2:FT142)+1,""))</f>
        <v/>
      </c>
      <c r="FU143" s="259">
        <f t="shared" ca="1" si="437"/>
        <v>48</v>
      </c>
      <c r="FV143" s="259" t="str">
        <f t="shared" si="438"/>
        <v>TFR</v>
      </c>
      <c r="FW143" s="259" t="str">
        <f ca="1">IFERROR(INDEX($FU$3:$FV$500,MATCH(ROWS($FW$3:FW143),$FU$3:$FU$500,0),2),0)</f>
        <v>FONDO AMMORT. AUTOMEZZI</v>
      </c>
      <c r="FX143" s="259">
        <f t="shared" ca="1" si="439"/>
        <v>141</v>
      </c>
      <c r="FY143" s="259">
        <f t="shared" ca="1" si="440"/>
        <v>0</v>
      </c>
      <c r="FZ143" s="259">
        <f ca="1">IF(FY143&gt;0,MAX($FZ$2:FZ142)+1,0)</f>
        <v>0</v>
      </c>
      <c r="GA143" s="259">
        <f ca="1">IFERROR(INDEX($FY$3:$FZ$500,MATCH(ROWS($GA$3:GA143),$FZ$3:$FZ$500,0),1),0)</f>
        <v>0</v>
      </c>
      <c r="GC143" s="259">
        <f t="shared" ca="1" si="441"/>
        <v>141</v>
      </c>
      <c r="GD143" s="259" t="str">
        <f t="shared" ca="1" si="442"/>
        <v>FONDO AMMORT. AUTOMEZZI</v>
      </c>
      <c r="GG143" s="259">
        <f t="shared" ca="1" si="443"/>
        <v>0</v>
      </c>
      <c r="GH143" s="259">
        <f t="shared" ca="1" si="444"/>
        <v>0</v>
      </c>
      <c r="GI143" s="259">
        <f t="shared" ca="1" si="445"/>
        <v>0</v>
      </c>
      <c r="GJ143" s="259">
        <f t="shared" ca="1" si="446"/>
        <v>0</v>
      </c>
      <c r="GK143" s="259">
        <f t="shared" ca="1" si="447"/>
        <v>0</v>
      </c>
      <c r="GL143" s="259">
        <f t="shared" ca="1" si="447"/>
        <v>0</v>
      </c>
      <c r="GM143" s="259">
        <f ca="1">IF(OR(GK143&gt;0,GL143&gt;0),MAX($GM$2:GM142)+1,0)</f>
        <v>0</v>
      </c>
      <c r="GN143" s="259" t="str">
        <f ca="1">IFERROR(INDEX($GD$3:$GM$400,MATCH(ROWS($GN$3:GN143),$GM$3:$GM$400,0),1),"")</f>
        <v/>
      </c>
      <c r="GO143" s="259" t="str">
        <f ca="1">IFERROR(INDEX($GD$3:$GM$400,MATCH(ROWS($GO$3:GO143),$GM$3:$GM$400,0),8),"")</f>
        <v/>
      </c>
      <c r="GP143" s="259" t="str">
        <f ca="1">IFERROR(INDEX($GD$3:$GM$400,MATCH(ROWS($GP$3:GP143),$GM$3:$GM$400,0),9),"")</f>
        <v/>
      </c>
      <c r="GQ143" s="259">
        <f t="shared" ca="1" si="390"/>
        <v>0</v>
      </c>
      <c r="GR143" s="259">
        <f t="shared" ca="1" si="448"/>
        <v>0</v>
      </c>
      <c r="GS143" s="259" t="str">
        <f t="shared" ca="1" si="449"/>
        <v>chiusura del conto</v>
      </c>
      <c r="GT143" s="259" t="str">
        <f ca="1">IFERROR(INDEX($GD$3:$GS$400,MATCH(ROWS($GT$3:GT143),$GM$3:$GM$400,0),16),"")</f>
        <v/>
      </c>
      <c r="GU143" s="259">
        <f ca="1">IF(GQ143&lt;&gt;0,MAX($GU$2:$GU142)+1,0)</f>
        <v>0</v>
      </c>
      <c r="GV143" s="259">
        <f t="shared" ca="1" si="450"/>
        <v>0</v>
      </c>
      <c r="GW143" s="259" t="str">
        <f ca="1">IF(AND(IFERROR(INDEX($GU$3:$GV$400,MATCH(ROWS($GW$3:GW143),$GU$3:$GU$400,0),2),"")&lt;&gt;"",GW144&lt;&gt;""),CONCATENATE(IFERROR(INDEX($GU$3:$GV$400,MATCH(ROWS($GW$3:GW143),$GU$3:$GU$400,0),2),"")," - "),IFERROR(INDEX($GU$3:$GV$400,MATCH(ROWS($GW$3:GW143),$GU$3:$GU$400,0),2),""))</f>
        <v/>
      </c>
      <c r="GX143" s="259">
        <f ca="1">IF(OR(GN143="IVA NS/CREDITO",GN143="IVA NS/DEBITO",GN143="IVA C/ACCONTO",GN143="IMPOSTE C/ACCONTO"),MAX($GX$2:GX142)+1,0)</f>
        <v>0</v>
      </c>
      <c r="GY143" s="259" t="str">
        <f ca="1">IF(AND(IFERROR(INDEX($GN$3:$GX$200,MATCH(ROWS($GY$3:GY143),$GX$3:$GX$200,0),1),"")&lt;&gt;"",GY144&lt;&gt;""),CONCATENATE(IFERROR(INDEX($GN$3:$GX$200,MATCH(ROWS($GY$3:GY143),$GX$3:$GX$200,0),1),"")," - "),IFERROR(INDEX($GN$3:$GX$200,MATCH(ROWS($GY$3:GY143),$GX$3:$GX$200,0),1),""))</f>
        <v/>
      </c>
      <c r="GZ143" s="259" t="s">
        <v>160</v>
      </c>
      <c r="HA143" s="259" t="s">
        <v>148</v>
      </c>
      <c r="HB143" s="269" t="s">
        <v>256</v>
      </c>
      <c r="HC143" s="269" t="s">
        <v>276</v>
      </c>
      <c r="HD143" s="269" t="s">
        <v>7</v>
      </c>
      <c r="HE143" s="269" t="s">
        <v>214</v>
      </c>
      <c r="HV143" s="259" t="str">
        <f ca="1">CONCATENATE(IFERROR(INDEX($HS$3:$HT$102,MATCH(ROWS($HV$3:HV143),$HT$3:$HT$102,0),1),""),HR143)</f>
        <v/>
      </c>
      <c r="IC143" s="259">
        <f ca="1">IFERROR(INDEX(PIANO_DEI_CONTI,MATCH(ROWS(DL$3:DL143),$DK$3:DK370,0),2),0)</f>
        <v>0</v>
      </c>
      <c r="ID143" s="259">
        <f t="shared" ca="1" si="451"/>
        <v>0</v>
      </c>
      <c r="IE143" s="259">
        <f t="shared" ca="1" si="452"/>
        <v>0</v>
      </c>
      <c r="IF143" s="259">
        <f t="shared" ca="1" si="453"/>
        <v>0</v>
      </c>
      <c r="IG143" s="259">
        <f t="shared" ca="1" si="324"/>
        <v>0</v>
      </c>
      <c r="IH143" s="259">
        <f ca="1">IF(IG143&lt;&gt;0,MAX($IH$35:IH142)+1,0)</f>
        <v>0</v>
      </c>
      <c r="II143" s="259">
        <f>IF(AD143="costi pluriennali",MAX($II$2:II142)+1,0)</f>
        <v>0</v>
      </c>
      <c r="IJ143" s="259">
        <f>IF($AD143="rettifiche costi pluriennali",MAX($IJ$2:IJ142)+1,0)</f>
        <v>0</v>
      </c>
      <c r="IK143" s="259">
        <f t="shared" si="454"/>
        <v>0</v>
      </c>
      <c r="IL143" s="259" t="str">
        <f t="shared" si="455"/>
        <v/>
      </c>
      <c r="IM143" s="259">
        <f t="shared" ca="1" si="456"/>
        <v>0</v>
      </c>
      <c r="IN143" s="259">
        <f t="shared" ca="1" si="470"/>
        <v>0</v>
      </c>
      <c r="IO143" s="259">
        <f>SUMIFS($IM$3:$IM$200,$IK$3:$IK$200,ROWS($IO$3:IO143))-SUMIFS($IN$3:$IN$200,$IK$3:$IK$200,ROWS($IO$3:IO143))</f>
        <v>0</v>
      </c>
      <c r="IP143" s="259" t="str">
        <f>IF(IO143&lt;0,INDEX($IJ$3:$IL$200,MATCH(ROWS($IP$3:IP143),$IJ$3:$IJ$200,0),3),"")</f>
        <v/>
      </c>
      <c r="IQ143" s="259">
        <f>IF(IP143&lt;&gt;"",MAX($IQ$2:IQ142)+1,0)</f>
        <v>0</v>
      </c>
      <c r="IR143" s="259" t="str">
        <f ca="1">IFERROR(INDEX($IP$3:$IQ$200,MATCH(ROWS($IR$3:IR143),$IQ$3:$IQ$200,0),1),"")</f>
        <v/>
      </c>
      <c r="IS143" s="259" t="str">
        <f t="shared" ca="1" si="457"/>
        <v/>
      </c>
      <c r="IT143" s="259" t="str">
        <f t="shared" ca="1" si="458"/>
        <v/>
      </c>
      <c r="IU143" s="259" t="str">
        <f t="shared" ca="1" si="459"/>
        <v/>
      </c>
      <c r="IV143" s="259" t="str">
        <f t="shared" ca="1" si="460"/>
        <v/>
      </c>
      <c r="IW143" s="259" t="str">
        <f t="shared" ca="1" si="461"/>
        <v/>
      </c>
      <c r="IX143" s="259" t="str">
        <f t="shared" ca="1" si="462"/>
        <v/>
      </c>
      <c r="IY143" s="259" t="str">
        <f t="shared" ca="1" si="463"/>
        <v/>
      </c>
      <c r="IZ143" s="259" t="str">
        <f t="shared" ca="1" si="464"/>
        <v/>
      </c>
      <c r="JA143" s="259" t="str">
        <f t="shared" ca="1" si="465"/>
        <v/>
      </c>
      <c r="JB143" s="259">
        <f t="shared" ca="1" si="391"/>
        <v>0</v>
      </c>
      <c r="JC143" s="259">
        <f t="shared" ca="1" si="351"/>
        <v>0</v>
      </c>
      <c r="JD143" s="259">
        <f t="shared" ca="1" si="352"/>
        <v>0</v>
      </c>
      <c r="JM143" s="259">
        <f t="shared" ca="1" si="353"/>
        <v>0</v>
      </c>
    </row>
    <row r="144" spans="1:273">
      <c r="A144" s="259" t="str">
        <f t="shared" si="392"/>
        <v>31.02</v>
      </c>
      <c r="B144" s="259" t="str">
        <f t="shared" si="393"/>
        <v>COSTI PER ENERGIA</v>
      </c>
      <c r="C144" s="259" t="str">
        <f t="shared" si="394"/>
        <v>E</v>
      </c>
      <c r="D144" s="259" t="str">
        <f t="shared" si="395"/>
        <v>D</v>
      </c>
      <c r="E144" s="259" t="str">
        <f t="shared" si="396"/>
        <v>COSTI D'ESERCIZIO</v>
      </c>
      <c r="F144" s="259" t="str">
        <f t="shared" si="397"/>
        <v>SE DARE</v>
      </c>
      <c r="G144" s="259">
        <f t="shared" ca="1" si="398"/>
        <v>1</v>
      </c>
      <c r="H144" s="259">
        <f t="shared" ca="1" si="399"/>
        <v>1</v>
      </c>
      <c r="I144" s="259">
        <f t="shared" ca="1" si="400"/>
        <v>1</v>
      </c>
      <c r="K144" s="259" t="str">
        <f ca="1">IFERROR(IF($I$1=1,INDEX($AA$3:$AS$220,MATCH(ROWS($K$3:K144),$AQ$3:$AQ$220,0),1),IF($I$1=2,INDEX($AA$3:$AS$220,MATCH(ROWS($K$3:K144),$AR$3:$AR$220,0),1),IF($I$1=3,INDEX($AA$3:$AS$220,MATCH(ROWS($K$3:K144),$AS$3:$AS$220,0),1),""))),"")</f>
        <v>AMMORTAMENTO FABBRICATI</v>
      </c>
      <c r="L144" s="259">
        <f ca="1">IF(AND($L$1="VISUALIZZA TUTTI I CONTI",K144&lt;&gt;""),MAX(L143:L143)+1,IFERROR(IF($J$1=1,IF(INDEX(PIANO_DEI_CONTI,MATCH($K144,DENOMINAZIONE,0),5)=$L$1,MAX($L$2:L143)+1,0),IF($J$1=2,IF(INDEX(PIANO_DEI_CONTI,MATCH($K144,DENOMINAZIONE,0),7)=$L$1,MAX($L$2:L143)+1,0))),0))</f>
        <v>142</v>
      </c>
      <c r="M144" s="259" t="str">
        <f ca="1">IFERROR(INDEX($K$3:$K$220,MATCH(ROWS($M$3:M144),$L$3:$L$220,0),1),"")</f>
        <v>AMMORTAMENTO FABBRICATI</v>
      </c>
      <c r="Q144" s="259" t="str">
        <f ca="1">IF(IFERROR(INDEX($O$3:$P$220,MATCH(ROWS(Q$3:Q144),$P$3:$P$220,0),1),"")=0,"",IFERROR(INDEX($O$3:$P$220,MATCH(ROWS(Q$3:Q144),$P$3:$P$220,0),1),""))</f>
        <v/>
      </c>
      <c r="R144" s="259" t="str">
        <f t="shared" ca="1" si="366"/>
        <v/>
      </c>
      <c r="S144" s="259">
        <f ca="1">IF(IFERROR(MATCH(R144,DENOMINAZIONE_GIORNALE,0),0)&gt;0,MAX(S$2:S143)+1,0)</f>
        <v>0</v>
      </c>
      <c r="T144" s="259" t="str">
        <f ca="1">IFERROR(INDEX($R$3:$S$220,MATCH(ROWS($T$3:T144),$S$3:$S$220,0),1),"")</f>
        <v/>
      </c>
      <c r="U144" s="259">
        <f t="shared" ca="1" si="367"/>
        <v>0</v>
      </c>
      <c r="V144" s="259">
        <f ca="1">IF(IF(U144&lt;&gt;0,MAX($V$2:V143)+1,0)=0,0,IF(U144&lt;&gt;0,MAX($V$2:V143)+1,0))</f>
        <v>0</v>
      </c>
      <c r="W144" s="259" t="str">
        <f t="shared" si="401"/>
        <v>31.02</v>
      </c>
      <c r="X144" s="259" t="str">
        <f t="shared" si="402"/>
        <v>COSTI PER ENERGIA</v>
      </c>
      <c r="Y144" s="259">
        <f>IF(W144="",0,MAX($Y$2:Y143)+1)</f>
        <v>122</v>
      </c>
      <c r="Z144" s="259" t="str">
        <f>IFERROR(INDEX($W$3:$Y$220,MATCH(ROWS($Z$2:Z143),$Y$3:$Y$220,0),1),"")</f>
        <v>34.01</v>
      </c>
      <c r="AA144" s="259" t="str">
        <f t="shared" si="403"/>
        <v>AMMORTAMENTO COSTI DI IMPIANTO</v>
      </c>
      <c r="AB144" s="259" t="str">
        <f t="shared" si="404"/>
        <v>E</v>
      </c>
      <c r="AC144" s="259" t="str">
        <f t="shared" si="405"/>
        <v>D</v>
      </c>
      <c r="AD144" s="259" t="str">
        <f t="shared" si="406"/>
        <v>COSTI D'ESERCIZIO</v>
      </c>
      <c r="AE144" s="259" t="str">
        <f t="shared" si="407"/>
        <v>SE DARE</v>
      </c>
      <c r="AF144" s="259" t="str">
        <f t="shared" si="408"/>
        <v>AMMORTAMENTI IMMOBILIZZAZIONI IMMATERIALI</v>
      </c>
      <c r="AG144" s="259">
        <f t="shared" ca="1" si="409"/>
        <v>0</v>
      </c>
      <c r="AH144" s="259">
        <f t="shared" ca="1" si="410"/>
        <v>0</v>
      </c>
      <c r="AI144" s="259">
        <f t="shared" ca="1" si="411"/>
        <v>1</v>
      </c>
      <c r="AJ144" s="259" t="str">
        <f t="shared" si="412"/>
        <v>34</v>
      </c>
      <c r="AK144" s="259" t="str">
        <f t="shared" si="413"/>
        <v/>
      </c>
      <c r="AL144" s="259">
        <f>IF(AK144&lt;&gt;"",MAX($AL$2:AL143)+1,0)</f>
        <v>0</v>
      </c>
      <c r="AM144" s="259" t="str">
        <f>IFERROR(INDEX($AK$3:$AL$220,MATCH(ROWS($AM$3:AM144),$AL$3:$AL$220,0),1),"")</f>
        <v/>
      </c>
      <c r="AN144" s="259" t="str">
        <f t="shared" si="414"/>
        <v/>
      </c>
      <c r="AO144" s="259" t="str">
        <f t="shared" si="415"/>
        <v/>
      </c>
      <c r="AP144" s="259" t="str">
        <f t="shared" si="416"/>
        <v>AMMORTAMENTI IMMOBILIZZAZIONI IMMATERIALI</v>
      </c>
      <c r="AQ144" s="259">
        <f ca="1">IF(OR(AG144=0,AG144=""),0,MAX(AQ$2:AQ143)+1)</f>
        <v>0</v>
      </c>
      <c r="AR144" s="259">
        <f ca="1">IF(OR(AH144=0,AH144=""),0,MAX(AR$2:AR143)+1)</f>
        <v>0</v>
      </c>
      <c r="AS144" s="259">
        <f ca="1">IF(OR(AI144=0,AI144=""),0,MAX(AS$2:AS143)+1)</f>
        <v>138</v>
      </c>
      <c r="AT144" s="259" t="str">
        <f ca="1">IFERROR(INDEX($AD$3:$AS$220,MATCH(ROWS(AT$3:AT144),AQ$3:AQ$220,0),1),"")</f>
        <v/>
      </c>
      <c r="AU144" s="259" t="str">
        <f ca="1">IFERROR(INDEX($AD$3:$AS$220,MATCH(ROWS(AU$3:AU144),AR$3:AR$220,0),1),"")</f>
        <v/>
      </c>
      <c r="AV144" s="259" t="str">
        <f ca="1">IFERROR(INDEX($AD$3:$AS$220,MATCH(ROWS(AV$3:AV144),AS$3:AS$220,0),1),"")</f>
        <v>COSTI D'ESERCIZIO</v>
      </c>
      <c r="AW144" s="259" t="str">
        <f ca="1">IFERROR(INDEX($AP$3:$AS$220,MATCH(ROWS(AW$3:AW144),AQ$3:AQ$220,0),1),"")</f>
        <v/>
      </c>
      <c r="AX144" s="259" t="str">
        <f ca="1">IFERROR(INDEX($AP$3:$AS$220,MATCH(ROWS(AX$3:AX144),AR$3:AR$220,0),1),"")</f>
        <v/>
      </c>
      <c r="AY144" s="259" t="str">
        <f ca="1">IFERROR(INDEX($AP$3:$AS$220,MATCH(ROWS(AY$3:AY144),AS$3:AS$220,0),1),"")</f>
        <v>AMMORTAMENTI IMMOBILIZZAZIONI MATERIALI</v>
      </c>
      <c r="AZ144" s="259" t="str">
        <f t="shared" si="339"/>
        <v>42 V.I.</v>
      </c>
      <c r="BA144" s="259">
        <f t="shared" ca="1" si="338"/>
        <v>0</v>
      </c>
      <c r="BB144" s="259">
        <f t="shared" ca="1" si="340"/>
        <v>0</v>
      </c>
      <c r="BC144" s="259">
        <f t="shared" ca="1" si="341"/>
        <v>0</v>
      </c>
      <c r="BD144" s="259">
        <f t="shared" ca="1" si="342"/>
        <v>0</v>
      </c>
      <c r="BE144" s="259">
        <f t="shared" ca="1" si="343"/>
        <v>0</v>
      </c>
      <c r="BG144" s="259" t="str">
        <f t="shared" ca="1" si="368"/>
        <v/>
      </c>
      <c r="BH144" s="259">
        <f ca="1">IF(IFERROR(MATCH(BG144,DENOMINAZIONE_GIORNALE,0),0)&gt;0,MAX(BH$2:BH143)+1,0)</f>
        <v>0</v>
      </c>
      <c r="BI144" s="259" t="str">
        <f ca="1">IFERROR(INDEX($BG$3:$BH$220,MATCH(ROWS($BI$3:BI144),$BH$3:$BH$220,0),1),"")</f>
        <v/>
      </c>
      <c r="BJ144" s="259" t="str">
        <f t="shared" ca="1" si="369"/>
        <v/>
      </c>
      <c r="BK144" s="259" t="str">
        <f ca="1">IF(IF(BJ144&lt;&gt;"",MAX($BK$2:BK143)+1,0)=0,"",IF(BJ144&lt;&gt;"",MAX($BK$2:BK143)+1,0))</f>
        <v/>
      </c>
      <c r="BL144" s="259" t="str">
        <f ca="1">IFERROR(INDEX($T$3:$U$220, MATCH(ROWS(BL$3:BL144),$V$3:$V$220,0),1),"")</f>
        <v/>
      </c>
      <c r="BM144" s="259" t="str">
        <f ca="1">IFERROR(INDEX($T$3:$U$220, MATCH(ROWS(BM$3:BM144),$V$3:$V$220,0),2),"")</f>
        <v/>
      </c>
      <c r="BN144" s="259" t="str">
        <f ca="1">IF(IFERROR(INDEX($BI$3:$BJ$220,MATCH(ROWS(BN$3:BN144),$BK$3:$BK$220,0),1),"")="PATRIMONIO NETTO","",IFERROR(INDEX($BI$3:$BJ$220,MATCH(ROWS(BN$3:BN144),$BK$3:$BK$220,0),1),""))</f>
        <v/>
      </c>
      <c r="BO144" s="259" t="str">
        <f ca="1">IFERROR(INDEX($BI$3:$BJ$220,MATCH(ROWS(BO$3:BO144),$BK$3:$BK$220,0),2),"")</f>
        <v/>
      </c>
      <c r="BP144" s="259">
        <f ca="1">IF(BN144&lt;&gt;"",MAX(BP$2:$BP143)+1,0)</f>
        <v>0</v>
      </c>
      <c r="BQ144" s="259" t="str">
        <f ca="1">IFERROR(INDEX($BN$3:$BO$200,MATCH(ROWS(BQ$3:BQ144),$BP$3:$BP$220,0),1),"")</f>
        <v/>
      </c>
      <c r="BR144" s="259" t="str">
        <f ca="1">IFERROR(INDEX($BN$3:$BO$220,MATCH(ROWS(BR$3:BR144),$BP$3:$BP$220,0),2),"")</f>
        <v/>
      </c>
      <c r="BS144" s="259" t="str">
        <f ca="1">IFERROR(IF(OR(INDEX($T$3:$U$220,MATCH(ROWS(BL$3:BL144),$V$3:$V$220,0),1)="PRELEVAMENTI EXTRAGESTIONE",INDEX($T$3:$U$220,MATCH(ROWS(BL$3:BL144),$V$3:$V$220,0),1)="TITOLARE C/RITENUTE SUBITE"),"",INDEX($T$3:$U$220,MATCH(ROWS(BL$3:BL144),$V$3:$V$220,0),1)),"")</f>
        <v/>
      </c>
      <c r="BT144" s="259">
        <f t="shared" ca="1" si="417"/>
        <v>0</v>
      </c>
      <c r="BU144" s="259">
        <f ca="1">IF(BS144&lt;&gt;"",MAX(BU$2:BU143)+1,0)</f>
        <v>0</v>
      </c>
      <c r="BV144" s="259" t="str">
        <f ca="1">IFERROR(INDEX($BS$3:$BT$223,MATCH(ROWS(BV$3:BV144),$BU$3:$BU$223,0),1),"")</f>
        <v/>
      </c>
      <c r="BW144" s="259">
        <f t="shared" ca="1" si="418"/>
        <v>0</v>
      </c>
      <c r="CB144" s="259" t="str">
        <f ca="1">IFERROR(IF(OR($BB$1&lt;&gt;$BD$1,$BC$1&lt;&gt;$BE$1,$DS$231&lt;&gt;$DT$231,$DU$231&lt;&gt;$DV$231,$EO$25&lt;&gt;0,$EO$26&lt;&gt;0),INDEX($BI$3:$BK$220,MATCH(ROWS($CB$3:CB144),$BK$3:$BK$220,0),1),CONCATENATE(BQ144,BX144)),"")</f>
        <v/>
      </c>
      <c r="CC144" s="259" t="str">
        <f t="shared" ca="1" si="419"/>
        <v/>
      </c>
      <c r="CD144" s="259" t="str">
        <f t="shared" ca="1" si="370"/>
        <v>AMMORTAMENTO COSTI DI IMPIANTO</v>
      </c>
      <c r="CE144" s="259">
        <f ca="1">IF(IFERROR(MATCH(CD144,DENOMINAZIONE_GIORNALE,0),0)&gt;0,MAX(CE$2:CE143)+1,0)</f>
        <v>0</v>
      </c>
      <c r="CF144" s="259" t="str">
        <f ca="1">IFERROR(INDEX($CD$3:$CE$220,MATCH(ROWS($CF$3:CF144),$CE$3:$CE$220,0),1),"")</f>
        <v/>
      </c>
      <c r="CG144" s="259">
        <f t="shared" ca="1" si="371"/>
        <v>0</v>
      </c>
      <c r="CH144" s="259" t="str">
        <f ca="1">IF(IF(CG144&lt;&gt;0,MAX($CH$2:CH143)+1,0)=0,"",IF(CG144&lt;&gt;"",MAX($CH$2:CH143)+1,0))</f>
        <v/>
      </c>
      <c r="CI144" s="259" t="str">
        <f ca="1">IFERROR(INDEX($CF$3:$CG$220,MATCH(ROWS($CI$3:CI144),$CH$3:$CH$220,0),1),"")</f>
        <v/>
      </c>
      <c r="CJ144" s="259" t="str">
        <f t="shared" ca="1" si="420"/>
        <v/>
      </c>
      <c r="CK144" s="259" t="str">
        <f t="shared" ca="1" si="372"/>
        <v/>
      </c>
      <c r="CL144" s="259">
        <f ca="1">IF(IFERROR(MATCH(CK144,DENOMINAZIONE_GIORNALE,0),0)&gt;0,MAX(CL$2:CL143)+1,0)</f>
        <v>0</v>
      </c>
      <c r="CM144" s="259" t="str">
        <f ca="1">IFERROR(INDEX($CK$3:$CL$220,MATCH(ROWS($CM$3:CM144),$CL$3:$CL$220,0),1),"")</f>
        <v/>
      </c>
      <c r="CN144" s="259" t="str">
        <f t="shared" ca="1" si="373"/>
        <v/>
      </c>
      <c r="CO144" s="259">
        <f ca="1">IF(IF(CN144&lt;&gt;0,MAX($CO$2:CO143)+1,0)=0,"",IF(CN144&lt;&gt;"",MAX($CO$2:CO143)+1,0))</f>
        <v>0</v>
      </c>
      <c r="CP144" s="259" t="str">
        <f ca="1">IFERROR(INDEX($CM$3:$CN$220,MATCH(ROWS(CP$3:CP144),$CO$3:$CO$220,0),1),"")</f>
        <v/>
      </c>
      <c r="CQ144" s="259" t="str">
        <f ca="1">IFERROR(INDEX($CM$3:$CN$220,MATCH(ROWS(CQ$3:CQ144),$CO$3:$CO$220,0),2),"")</f>
        <v/>
      </c>
      <c r="CS144" s="259">
        <f t="shared" ca="1" si="374"/>
        <v>0</v>
      </c>
      <c r="CT144" s="259">
        <f t="shared" ca="1" si="375"/>
        <v>0</v>
      </c>
      <c r="CU144" s="259">
        <f ca="1">IF(OR(CS144&gt;0,CT144&gt;0),MAX($CU$2:CU143)+1,0)</f>
        <v>0</v>
      </c>
      <c r="CV144" s="259" t="str">
        <f ca="1">IFERROR(INDEX(PIANO_DEI_CONTI,MATCH(ROWS($CV$3:CV144),$CU$3:$CU$200,0),2),"")</f>
        <v/>
      </c>
      <c r="CW144" s="259">
        <f ca="1">IFERROR(IF(CV144&lt;&gt;"",MAX($CW$2:CW143)+1,0),0)</f>
        <v>0</v>
      </c>
      <c r="CX144" s="259">
        <f t="shared" ca="1" si="364"/>
        <v>8</v>
      </c>
      <c r="CY144" s="259" t="str">
        <f t="shared" ca="1" si="469"/>
        <v>MASTRO</v>
      </c>
      <c r="CZ144" s="259" t="e">
        <f t="shared" ca="1" si="376"/>
        <v>#N/A</v>
      </c>
      <c r="DA144" s="259" t="str">
        <f t="shared" ca="1" si="421"/>
        <v/>
      </c>
      <c r="DB144" s="259" t="str">
        <f t="shared" ca="1" si="377"/>
        <v/>
      </c>
      <c r="DC144" s="259" t="str">
        <f t="shared" ca="1" si="378"/>
        <v/>
      </c>
      <c r="DD144" s="259" t="str">
        <f t="shared" ca="1" si="379"/>
        <v/>
      </c>
      <c r="DE144" s="259" t="str">
        <f t="shared" ca="1" si="380"/>
        <v/>
      </c>
      <c r="DF144" s="259">
        <f ca="1">IF(AND(CX144=$DE$2,$DF$2&lt;&gt;0),0,IF(AND(DB144&lt;&gt;"",OR(DB143&lt;&gt;"",DB145&lt;&gt;"")),MAX($DF$2:DF143)+1,0))</f>
        <v>0</v>
      </c>
      <c r="DG144" s="259" t="str">
        <f>IF(IF(LIBRO_GIORNALE!E52="","",IFERROR(INDEX(PIANO_DEI_CONTI,MATCH(BB144,DENOMINAZIONE,0),1),0))=0,"",IF(LIBRO_GIORNALE!E52="","",IFERROR(INDEX(PIANO_DEI_CONTI,MATCH(BB144,DENOMINAZIONE,0),1),0)))</f>
        <v/>
      </c>
      <c r="DH144" s="259">
        <f ca="1">IFERROR(IF($J$1=1,IF(INDEX(PIANO_DEI_CONTI,MATCH($K144,DENOMINAZIONE,0),5)=$DF$1,MAX($DH$2:DH143)+1,0),IF($J$1=2,IF(INDEX(PIANO_DEI_CONTI,MATCH($K144,DENOMINAZIONE,0),7)=$DF$1,MAX($DH$2:DH143)+1,0))),0)</f>
        <v>0</v>
      </c>
      <c r="DI144" s="259">
        <f ca="1">IFERROR(INDEX($K$3:$K$220,MATCH(ROWS($DI$3:DI144),$DH$3:$DH$220,0),1),0)</f>
        <v>0</v>
      </c>
      <c r="DJ144" s="259">
        <f t="shared" ca="1" si="381"/>
        <v>0</v>
      </c>
      <c r="DK144" s="259">
        <f ca="1">IF(DJ144=0,0,MAX(DK$2:DK143)+1)</f>
        <v>0</v>
      </c>
      <c r="DL144" s="259">
        <f ca="1">IFERROR(INDEX(PIANO_DEI_CONTI,MATCH(ROWS(DL$3:DL144),$DK$3:DK371,0),2),0)</f>
        <v>0</v>
      </c>
      <c r="DM144" s="259">
        <f t="shared" ca="1" si="382"/>
        <v>0</v>
      </c>
      <c r="DN144" s="259">
        <f t="shared" ca="1" si="383"/>
        <v>0</v>
      </c>
      <c r="DO144" s="259">
        <f t="shared" ca="1" si="422"/>
        <v>0</v>
      </c>
      <c r="DP144" s="259">
        <f t="shared" ca="1" si="423"/>
        <v>0</v>
      </c>
      <c r="DQ144" s="259">
        <f ca="1">IF(OR($DQ$1="TOTALI",$DQ$1="TOTALI ED ECCEDENZE"),IF(OR(DM144&gt;0,DN144&gt;0),MAX(DQ$2:DQ143)+1,0),IF($DQ$1="ECCEDENZE",IF(OR(DO144&gt;0,DP144&gt;0),MAX(DQ$2:DQ143)+1,0),""))</f>
        <v>0</v>
      </c>
      <c r="DR144" s="259" t="str">
        <f ca="1">IFERROR(INDEX($DL$3:$DQ$230,MATCH(ROWS(DR$3:DR144),$DQ$3:$DQ$230,0),1),"")</f>
        <v/>
      </c>
      <c r="DS144" s="259" t="str">
        <f t="shared" ca="1" si="424"/>
        <v/>
      </c>
      <c r="DT144" s="259" t="str">
        <f t="shared" ca="1" si="425"/>
        <v/>
      </c>
      <c r="DU144" s="259" t="str">
        <f t="shared" ca="1" si="426"/>
        <v/>
      </c>
      <c r="DV144" s="259" t="str">
        <f t="shared" ca="1" si="427"/>
        <v/>
      </c>
      <c r="DW144" s="259">
        <f t="shared" ca="1" si="428"/>
        <v>0</v>
      </c>
      <c r="DX144" s="259" t="str">
        <f t="shared" ca="1" si="429"/>
        <v/>
      </c>
      <c r="DY144" s="259" t="str">
        <f t="shared" ca="1" si="430"/>
        <v/>
      </c>
      <c r="DZ144" s="259" t="str">
        <f t="shared" ca="1" si="431"/>
        <v/>
      </c>
      <c r="EB144" s="259" t="s">
        <v>378</v>
      </c>
      <c r="ED144" s="259">
        <f t="shared" ca="1" si="384"/>
        <v>0</v>
      </c>
      <c r="EH144" s="259" t="str">
        <f t="shared" ca="1" si="432"/>
        <v/>
      </c>
      <c r="EI144" s="260" t="b">
        <f t="shared" ca="1" si="466"/>
        <v>1</v>
      </c>
      <c r="EJ144" s="260" t="b">
        <f t="shared" ca="1" si="467"/>
        <v>1</v>
      </c>
      <c r="EK144" s="260" t="b">
        <f t="shared" ca="1" si="468"/>
        <v>1</v>
      </c>
      <c r="EL144" s="259">
        <f t="shared" si="433"/>
        <v>142</v>
      </c>
      <c r="EM144" s="259">
        <f ca="1">IF(AND(BA144&gt;0,BA144&lt;=$EM$1),MAX($EM$2:EM143)+1,0)</f>
        <v>0</v>
      </c>
      <c r="EN144" s="259">
        <f t="shared" ca="1" si="434"/>
        <v>144</v>
      </c>
      <c r="EP144" s="259" t="str">
        <f t="shared" ca="1" si="385"/>
        <v/>
      </c>
      <c r="EQ144" s="259">
        <f t="shared" ca="1" si="386"/>
        <v>0</v>
      </c>
      <c r="ER144" s="259">
        <f ca="1">IF(ISNA(EQ144),MAX(ER$2:ER143)+1,0)</f>
        <v>0</v>
      </c>
      <c r="ES144" s="259" t="str">
        <f t="shared" ca="1" si="435"/>
        <v/>
      </c>
      <c r="ET144" s="259" t="str">
        <f ca="1">IFERROR(UPPER(INDEX($ER$3:$ES$500,MATCH(ROWS(ET$3:ET144),$ER$3:$ER$500,0),2)),"")</f>
        <v/>
      </c>
      <c r="EW144" s="259">
        <f t="shared" ca="1" si="344"/>
        <v>1</v>
      </c>
      <c r="EX144" s="259">
        <v>42</v>
      </c>
      <c r="EY144" s="259">
        <f t="shared" ca="1" si="345"/>
        <v>0</v>
      </c>
      <c r="EZ144" s="259">
        <f t="shared" ca="1" si="346"/>
        <v>0</v>
      </c>
      <c r="FA144" s="259">
        <f t="shared" ca="1" si="347"/>
        <v>0</v>
      </c>
      <c r="FB144" s="259">
        <f t="shared" ca="1" si="348"/>
        <v>0</v>
      </c>
      <c r="FC144" s="259">
        <f t="shared" ca="1" si="349"/>
        <v>0</v>
      </c>
      <c r="FD144" s="259">
        <f t="shared" ca="1" si="387"/>
        <v>0</v>
      </c>
      <c r="FE144" s="259" t="str">
        <f t="shared" ca="1" si="388"/>
        <v/>
      </c>
      <c r="FF144" s="259" t="str">
        <f t="shared" ca="1" si="350"/>
        <v/>
      </c>
      <c r="FM144" s="259">
        <f t="shared" ca="1" si="389"/>
        <v>0</v>
      </c>
      <c r="FN144" s="259">
        <f ca="1">IF(FM144&lt;0,MAX($FN$2:FN143)+1,0)</f>
        <v>0</v>
      </c>
      <c r="FO144" s="259" t="str">
        <f t="shared" ca="1" si="436"/>
        <v/>
      </c>
      <c r="FP144" s="259" t="str">
        <f ca="1">IFERROR(INDEX($FN$3:$FO$400,MATCH(ROWS($FP$3:FP144),$FN$3:$FN$400,0),2),"")</f>
        <v/>
      </c>
      <c r="FQ144" s="259" t="str">
        <f>IF(AE144="SE AVERE",MAX($FQ$2:FQ143)+1,"")</f>
        <v/>
      </c>
      <c r="FR144" s="259">
        <f>IF(AE144="SE DARE",MAX($FR$2:FR143)+1,"")</f>
        <v>49</v>
      </c>
      <c r="FS144" s="259" t="str">
        <f ca="1">IF(AND(AE144="SP DARE",AA144&lt;&gt;$FS$1,AA144&lt;&gt;$FT$1),MAX($FS$2:FS143)+1,IF(AND(GQ144="SP DARE",AA144&lt;&gt;$FS$1,AA144&lt;&gt;$FT$1),MAX($FS$2:FS143)+1,""))</f>
        <v/>
      </c>
      <c r="FT144" s="259" t="str">
        <f ca="1">IF(AND(AE144="SP AVERE",AA144&lt;&gt;$FU$1),MAX($FT$2:FT143)+1,IF(AND(GQ144="SP AVERE",AA144&lt;&gt;$FU$1),MAX($FT$2:FT143)+1,""))</f>
        <v/>
      </c>
      <c r="FU144" s="259">
        <f t="shared" ca="1" si="437"/>
        <v>49</v>
      </c>
      <c r="FV144" s="259" t="str">
        <f t="shared" si="438"/>
        <v>AMMORTAMENTO COSTI DI IMPIANTO</v>
      </c>
      <c r="FW144" s="259" t="str">
        <f ca="1">IFERROR(INDEX($FU$3:$FV$500,MATCH(ROWS($FW$3:FW144),$FU$3:$FU$500,0),2),0)</f>
        <v>FONDO AMMORT. IMBALLAGGI DUREVOLI</v>
      </c>
      <c r="FX144" s="259">
        <f t="shared" ca="1" si="439"/>
        <v>142</v>
      </c>
      <c r="FY144" s="259">
        <f t="shared" ca="1" si="440"/>
        <v>0</v>
      </c>
      <c r="FZ144" s="259">
        <f ca="1">IF(FY144&gt;0,MAX($FZ$2:FZ143)+1,0)</f>
        <v>0</v>
      </c>
      <c r="GA144" s="259">
        <f ca="1">IFERROR(INDEX($FY$3:$FZ$500,MATCH(ROWS($GA$3:GA144),$FZ$3:$FZ$500,0),1),0)</f>
        <v>0</v>
      </c>
      <c r="GC144" s="259">
        <f t="shared" ca="1" si="441"/>
        <v>142</v>
      </c>
      <c r="GD144" s="259" t="str">
        <f t="shared" ca="1" si="442"/>
        <v>FONDO AMMORT. IMBALLAGGI DUREVOLI</v>
      </c>
      <c r="GG144" s="259">
        <f t="shared" ca="1" si="443"/>
        <v>0</v>
      </c>
      <c r="GH144" s="259">
        <f t="shared" ca="1" si="444"/>
        <v>0</v>
      </c>
      <c r="GI144" s="259">
        <f t="shared" ca="1" si="445"/>
        <v>0</v>
      </c>
      <c r="GJ144" s="259">
        <f t="shared" ca="1" si="446"/>
        <v>0</v>
      </c>
      <c r="GK144" s="259">
        <f t="shared" ca="1" si="447"/>
        <v>0</v>
      </c>
      <c r="GL144" s="259">
        <f t="shared" ca="1" si="447"/>
        <v>0</v>
      </c>
      <c r="GM144" s="259">
        <f ca="1">IF(OR(GK144&gt;0,GL144&gt;0),MAX($GM$2:GM143)+1,0)</f>
        <v>0</v>
      </c>
      <c r="GN144" s="259" t="str">
        <f ca="1">IFERROR(INDEX($GD$3:$GM$400,MATCH(ROWS($GN$3:GN144),$GM$3:$GM$400,0),1),"")</f>
        <v/>
      </c>
      <c r="GO144" s="259" t="str">
        <f ca="1">IFERROR(INDEX($GD$3:$GM$400,MATCH(ROWS($GO$3:GO144),$GM$3:$GM$400,0),8),"")</f>
        <v/>
      </c>
      <c r="GP144" s="259" t="str">
        <f ca="1">IFERROR(INDEX($GD$3:$GM$400,MATCH(ROWS($GP$3:GP144),$GM$3:$GM$400,0),9),"")</f>
        <v/>
      </c>
      <c r="GQ144" s="259">
        <f t="shared" ca="1" si="390"/>
        <v>0</v>
      </c>
      <c r="GR144" s="259">
        <f t="shared" ca="1" si="448"/>
        <v>0</v>
      </c>
      <c r="GS144" s="259" t="str">
        <f t="shared" ca="1" si="449"/>
        <v>chiusura del conto</v>
      </c>
      <c r="GT144" s="259" t="str">
        <f ca="1">IFERROR(INDEX($GD$3:$GS$400,MATCH(ROWS($GT$3:GT144),$GM$3:$GM$400,0),16),"")</f>
        <v/>
      </c>
      <c r="GU144" s="259">
        <f ca="1">IF(GQ144&lt;&gt;0,MAX($GU$2:$GU143)+1,0)</f>
        <v>0</v>
      </c>
      <c r="GV144" s="259">
        <f t="shared" ca="1" si="450"/>
        <v>0</v>
      </c>
      <c r="GW144" s="259" t="str">
        <f ca="1">IF(AND(IFERROR(INDEX($GU$3:$GV$400,MATCH(ROWS($GW$3:GW144),$GU$3:$GU$400,0),2),"")&lt;&gt;"",GW145&lt;&gt;""),CONCATENATE(IFERROR(INDEX($GU$3:$GV$400,MATCH(ROWS($GW$3:GW144),$GU$3:$GU$400,0),2),"")," - "),IFERROR(INDEX($GU$3:$GV$400,MATCH(ROWS($GW$3:GW144),$GU$3:$GU$400,0),2),""))</f>
        <v/>
      </c>
      <c r="GX144" s="259">
        <f ca="1">IF(OR(GN144="IVA NS/CREDITO",GN144="IVA NS/DEBITO",GN144="IVA C/ACCONTO",GN144="IMPOSTE C/ACCONTO"),MAX($GX$2:GX143)+1,0)</f>
        <v>0</v>
      </c>
      <c r="GY144" s="259" t="str">
        <f ca="1">IF(AND(IFERROR(INDEX($GN$3:$GX$200,MATCH(ROWS($GY$3:GY144),$GX$3:$GX$200,0),1),"")&lt;&gt;"",GY145&lt;&gt;""),CONCATENATE(IFERROR(INDEX($GN$3:$GX$200,MATCH(ROWS($GY$3:GY144),$GX$3:$GX$200,0),1),"")," - "),IFERROR(INDEX($GN$3:$GX$200,MATCH(ROWS($GY$3:GY144),$GX$3:$GX$200,0),1),""))</f>
        <v/>
      </c>
      <c r="GZ144" s="259" t="s">
        <v>161</v>
      </c>
      <c r="HA144" s="259" t="s">
        <v>149</v>
      </c>
      <c r="HB144" s="269" t="s">
        <v>256</v>
      </c>
      <c r="HC144" s="269" t="s">
        <v>276</v>
      </c>
      <c r="HD144" s="269" t="s">
        <v>7</v>
      </c>
      <c r="HE144" s="269" t="s">
        <v>214</v>
      </c>
      <c r="HV144" s="259" t="str">
        <f ca="1">CONCATENATE(IFERROR(INDEX($HS$3:$HT$102,MATCH(ROWS($HV$3:HV144),$HT$3:$HT$102,0),1),""),HR144)</f>
        <v/>
      </c>
      <c r="IC144" s="259">
        <f ca="1">IFERROR(INDEX(PIANO_DEI_CONTI,MATCH(ROWS(DL$3:DL144),$DK$3:DK371,0),2),0)</f>
        <v>0</v>
      </c>
      <c r="ID144" s="259">
        <f t="shared" ca="1" si="451"/>
        <v>0</v>
      </c>
      <c r="IE144" s="259">
        <f t="shared" ca="1" si="452"/>
        <v>0</v>
      </c>
      <c r="IF144" s="259">
        <f t="shared" ca="1" si="453"/>
        <v>0</v>
      </c>
      <c r="IG144" s="259">
        <f t="shared" ca="1" si="324"/>
        <v>0</v>
      </c>
      <c r="IH144" s="259">
        <f ca="1">IF(IG144&lt;&gt;0,MAX($IH$35:IH143)+1,0)</f>
        <v>0</v>
      </c>
      <c r="II144" s="259">
        <f>IF(AD144="costi pluriennali",MAX($II$2:II143)+1,0)</f>
        <v>0</v>
      </c>
      <c r="IJ144" s="259">
        <f>IF($AD144="rettifiche costi pluriennali",MAX($IJ$2:IJ143)+1,0)</f>
        <v>0</v>
      </c>
      <c r="IK144" s="259">
        <f t="shared" si="454"/>
        <v>0</v>
      </c>
      <c r="IL144" s="259" t="str">
        <f t="shared" si="455"/>
        <v/>
      </c>
      <c r="IM144" s="259">
        <f t="shared" ca="1" si="456"/>
        <v>0</v>
      </c>
      <c r="IN144" s="259">
        <f t="shared" ca="1" si="470"/>
        <v>0</v>
      </c>
      <c r="IO144" s="259">
        <f>SUMIFS($IM$3:$IM$200,$IK$3:$IK$200,ROWS($IO$3:IO144))-SUMIFS($IN$3:$IN$200,$IK$3:$IK$200,ROWS($IO$3:IO144))</f>
        <v>0</v>
      </c>
      <c r="IP144" s="259" t="str">
        <f>IF(IO144&lt;0,INDEX($IJ$3:$IL$200,MATCH(ROWS($IP$3:IP144),$IJ$3:$IJ$200,0),3),"")</f>
        <v/>
      </c>
      <c r="IQ144" s="259">
        <f>IF(IP144&lt;&gt;"",MAX($IQ$2:IQ143)+1,0)</f>
        <v>0</v>
      </c>
      <c r="IR144" s="259" t="str">
        <f ca="1">IFERROR(INDEX($IP$3:$IQ$200,MATCH(ROWS($IR$3:IR144),$IQ$3:$IQ$200,0),1),"")</f>
        <v/>
      </c>
      <c r="IS144" s="259" t="str">
        <f t="shared" ca="1" si="457"/>
        <v/>
      </c>
      <c r="IT144" s="259" t="str">
        <f t="shared" ca="1" si="458"/>
        <v/>
      </c>
      <c r="IU144" s="259" t="str">
        <f t="shared" ca="1" si="459"/>
        <v/>
      </c>
      <c r="IV144" s="259" t="str">
        <f t="shared" ca="1" si="460"/>
        <v/>
      </c>
      <c r="IW144" s="259" t="str">
        <f t="shared" ca="1" si="461"/>
        <v/>
      </c>
      <c r="IX144" s="259" t="str">
        <f t="shared" ca="1" si="462"/>
        <v/>
      </c>
      <c r="IY144" s="259" t="str">
        <f t="shared" ca="1" si="463"/>
        <v/>
      </c>
      <c r="IZ144" s="259" t="str">
        <f t="shared" ca="1" si="464"/>
        <v/>
      </c>
      <c r="JA144" s="259" t="str">
        <f t="shared" ca="1" si="465"/>
        <v/>
      </c>
      <c r="JB144" s="259">
        <f t="shared" ca="1" si="391"/>
        <v>0</v>
      </c>
      <c r="JC144" s="259">
        <f t="shared" ca="1" si="351"/>
        <v>0</v>
      </c>
      <c r="JD144" s="259">
        <f t="shared" ca="1" si="352"/>
        <v>0</v>
      </c>
      <c r="JM144" s="259">
        <f t="shared" ca="1" si="353"/>
        <v>0</v>
      </c>
    </row>
    <row r="145" spans="1:273">
      <c r="A145" s="259" t="str">
        <f t="shared" si="392"/>
        <v>31.03</v>
      </c>
      <c r="B145" s="259" t="str">
        <f t="shared" si="393"/>
        <v>PUBBLICITÀ</v>
      </c>
      <c r="C145" s="259" t="str">
        <f t="shared" si="394"/>
        <v>E</v>
      </c>
      <c r="D145" s="259" t="str">
        <f t="shared" si="395"/>
        <v>D</v>
      </c>
      <c r="E145" s="259" t="str">
        <f t="shared" si="396"/>
        <v>COSTI D'ESERCIZIO</v>
      </c>
      <c r="F145" s="259" t="str">
        <f t="shared" si="397"/>
        <v>SE DARE</v>
      </c>
      <c r="G145" s="259">
        <f t="shared" ca="1" si="398"/>
        <v>1</v>
      </c>
      <c r="H145" s="259">
        <f t="shared" ca="1" si="399"/>
        <v>1</v>
      </c>
      <c r="I145" s="259">
        <f t="shared" ca="1" si="400"/>
        <v>1</v>
      </c>
      <c r="K145" s="259" t="str">
        <f ca="1">IFERROR(IF($I$1=1,INDEX($AA$3:$AS$220,MATCH(ROWS($K$3:K145),$AQ$3:$AQ$220,0),1),IF($I$1=2,INDEX($AA$3:$AS$220,MATCH(ROWS($K$3:K145),$AR$3:$AR$220,0),1),IF($I$1=3,INDEX($AA$3:$AS$220,MATCH(ROWS($K$3:K145),$AS$3:$AS$220,0),1),""))),"")</f>
        <v>AMMORTAMENTO IMPIANTI E MACCHINARI</v>
      </c>
      <c r="L145" s="259">
        <f ca="1">IF(AND($L$1="VISUALIZZA TUTTI I CONTI",K145&lt;&gt;""),MAX(L144:L144)+1,IFERROR(IF($J$1=1,IF(INDEX(PIANO_DEI_CONTI,MATCH($K145,DENOMINAZIONE,0),5)=$L$1,MAX($L$2:L144)+1,0),IF($J$1=2,IF(INDEX(PIANO_DEI_CONTI,MATCH($K145,DENOMINAZIONE,0),7)=$L$1,MAX($L$2:L144)+1,0))),0))</f>
        <v>143</v>
      </c>
      <c r="M145" s="259" t="str">
        <f ca="1">IFERROR(INDEX($K$3:$K$220,MATCH(ROWS($M$3:M145),$L$3:$L$220,0),1),"")</f>
        <v>AMMORTAMENTO IMPIANTI E MACCHINARI</v>
      </c>
      <c r="Q145" s="259" t="str">
        <f ca="1">IF(IFERROR(INDEX($O$3:$P$220,MATCH(ROWS(Q$3:Q145),$P$3:$P$220,0),1),"")=0,"",IFERROR(INDEX($O$3:$P$220,MATCH(ROWS(Q$3:Q145),$P$3:$P$220,0),1),""))</f>
        <v/>
      </c>
      <c r="R145" s="259" t="str">
        <f t="shared" ca="1" si="366"/>
        <v/>
      </c>
      <c r="S145" s="259">
        <f ca="1">IF(IFERROR(MATCH(R145,DENOMINAZIONE_GIORNALE,0),0)&gt;0,MAX(S$2:S144)+1,0)</f>
        <v>0</v>
      </c>
      <c r="T145" s="259" t="str">
        <f ca="1">IFERROR(INDEX($R$3:$S$220,MATCH(ROWS($T$3:T145),$S$3:$S$220,0),1),"")</f>
        <v/>
      </c>
      <c r="U145" s="259">
        <f t="shared" ca="1" si="367"/>
        <v>0</v>
      </c>
      <c r="V145" s="259">
        <f ca="1">IF(IF(U145&lt;&gt;0,MAX($V$2:V144)+1,0)=0,0,IF(U145&lt;&gt;0,MAX($V$2:V144)+1,0))</f>
        <v>0</v>
      </c>
      <c r="W145" s="259" t="str">
        <f t="shared" si="401"/>
        <v>31.03</v>
      </c>
      <c r="X145" s="259" t="str">
        <f t="shared" si="402"/>
        <v>PUBBLICITÀ</v>
      </c>
      <c r="Y145" s="259">
        <f>IF(W145="",0,MAX($Y$2:Y144)+1)</f>
        <v>123</v>
      </c>
      <c r="Z145" s="259" t="str">
        <f>IFERROR(INDEX($W$3:$Y$220,MATCH(ROWS($Z$2:Z144),$Y$3:$Y$220,0),1),"")</f>
        <v>34.03</v>
      </c>
      <c r="AA145" s="259" t="str">
        <f t="shared" si="403"/>
        <v>AMMORTAMENTO BREVETTI</v>
      </c>
      <c r="AB145" s="259" t="str">
        <f t="shared" si="404"/>
        <v>E</v>
      </c>
      <c r="AC145" s="259" t="str">
        <f t="shared" si="405"/>
        <v>D</v>
      </c>
      <c r="AD145" s="259" t="str">
        <f t="shared" si="406"/>
        <v>COSTI D'ESERCIZIO</v>
      </c>
      <c r="AE145" s="259" t="str">
        <f t="shared" si="407"/>
        <v>SE DARE</v>
      </c>
      <c r="AF145" s="259" t="str">
        <f t="shared" si="408"/>
        <v>AMMORTAMENTI IMMOBILIZZAZIONI IMMATERIALI</v>
      </c>
      <c r="AG145" s="259">
        <f t="shared" ca="1" si="409"/>
        <v>0</v>
      </c>
      <c r="AH145" s="259">
        <f t="shared" ca="1" si="410"/>
        <v>0</v>
      </c>
      <c r="AI145" s="259">
        <f t="shared" ca="1" si="411"/>
        <v>1</v>
      </c>
      <c r="AJ145" s="259" t="str">
        <f t="shared" si="412"/>
        <v>34</v>
      </c>
      <c r="AK145" s="259" t="str">
        <f t="shared" si="413"/>
        <v/>
      </c>
      <c r="AL145" s="259">
        <f>IF(AK145&lt;&gt;"",MAX($AL$2:AL144)+1,0)</f>
        <v>0</v>
      </c>
      <c r="AM145" s="259" t="str">
        <f>IFERROR(INDEX($AK$3:$AL$220,MATCH(ROWS($AM$3:AM145),$AL$3:$AL$220,0),1),"")</f>
        <v/>
      </c>
      <c r="AN145" s="259" t="str">
        <f t="shared" si="414"/>
        <v/>
      </c>
      <c r="AO145" s="259" t="str">
        <f t="shared" si="415"/>
        <v/>
      </c>
      <c r="AP145" s="259" t="str">
        <f t="shared" si="416"/>
        <v>AMMORTAMENTI IMMOBILIZZAZIONI IMMATERIALI</v>
      </c>
      <c r="AQ145" s="259">
        <f ca="1">IF(OR(AG145=0,AG145=""),0,MAX(AQ$2:AQ144)+1)</f>
        <v>0</v>
      </c>
      <c r="AR145" s="259">
        <f ca="1">IF(OR(AH145=0,AH145=""),0,MAX(AR$2:AR144)+1)</f>
        <v>0</v>
      </c>
      <c r="AS145" s="259">
        <f ca="1">IF(OR(AI145=0,AI145=""),0,MAX(AS$2:AS144)+1)</f>
        <v>139</v>
      </c>
      <c r="AT145" s="259" t="str">
        <f ca="1">IFERROR(INDEX($AD$3:$AS$220,MATCH(ROWS(AT$3:AT145),AQ$3:AQ$220,0),1),"")</f>
        <v/>
      </c>
      <c r="AU145" s="259" t="str">
        <f ca="1">IFERROR(INDEX($AD$3:$AS$220,MATCH(ROWS(AU$3:AU145),AR$3:AR$220,0),1),"")</f>
        <v/>
      </c>
      <c r="AV145" s="259" t="str">
        <f ca="1">IFERROR(INDEX($AD$3:$AS$220,MATCH(ROWS(AV$3:AV145),AS$3:AS$220,0),1),"")</f>
        <v>COSTI D'ESERCIZIO</v>
      </c>
      <c r="AW145" s="259" t="str">
        <f ca="1">IFERROR(INDEX($AP$3:$AS$220,MATCH(ROWS(AW$3:AW145),AQ$3:AQ$220,0),1),"")</f>
        <v/>
      </c>
      <c r="AX145" s="259" t="str">
        <f ca="1">IFERROR(INDEX($AP$3:$AS$220,MATCH(ROWS(AX$3:AX145),AR$3:AR$220,0),1),"")</f>
        <v/>
      </c>
      <c r="AY145" s="259" t="str">
        <f ca="1">IFERROR(INDEX($AP$3:$AS$220,MATCH(ROWS(AY$3:AY145),AS$3:AS$220,0),1),"")</f>
        <v>AMMORTAMENTI IMMOBILIZZAZIONI MATERIALI</v>
      </c>
      <c r="AZ145" s="259" t="str">
        <f t="shared" si="339"/>
        <v>43 V.I.</v>
      </c>
      <c r="BA145" s="259">
        <f t="shared" ca="1" si="338"/>
        <v>0</v>
      </c>
      <c r="BB145" s="259">
        <f t="shared" ca="1" si="340"/>
        <v>0</v>
      </c>
      <c r="BC145" s="259">
        <f t="shared" ca="1" si="341"/>
        <v>0</v>
      </c>
      <c r="BD145" s="259">
        <f t="shared" ca="1" si="342"/>
        <v>0</v>
      </c>
      <c r="BE145" s="259">
        <f t="shared" ca="1" si="343"/>
        <v>0</v>
      </c>
      <c r="BG145" s="259" t="str">
        <f t="shared" ca="1" si="368"/>
        <v/>
      </c>
      <c r="BH145" s="259">
        <f ca="1">IF(IFERROR(MATCH(BG145,DENOMINAZIONE_GIORNALE,0),0)&gt;0,MAX(BH$2:BH144)+1,0)</f>
        <v>0</v>
      </c>
      <c r="BI145" s="259" t="str">
        <f ca="1">IFERROR(INDEX($BG$3:$BH$220,MATCH(ROWS($BI$3:BI145),$BH$3:$BH$220,0),1),"")</f>
        <v/>
      </c>
      <c r="BJ145" s="259" t="str">
        <f t="shared" ca="1" si="369"/>
        <v/>
      </c>
      <c r="BK145" s="259" t="str">
        <f ca="1">IF(IF(BJ145&lt;&gt;"",MAX($BK$2:BK144)+1,0)=0,"",IF(BJ145&lt;&gt;"",MAX($BK$2:BK144)+1,0))</f>
        <v/>
      </c>
      <c r="BL145" s="259" t="str">
        <f ca="1">IFERROR(INDEX($T$3:$U$220, MATCH(ROWS(BL$3:BL145),$V$3:$V$220,0),1),"")</f>
        <v/>
      </c>
      <c r="BM145" s="259" t="str">
        <f ca="1">IFERROR(INDEX($T$3:$U$220, MATCH(ROWS(BM$3:BM145),$V$3:$V$220,0),2),"")</f>
        <v/>
      </c>
      <c r="BN145" s="259" t="str">
        <f ca="1">IF(IFERROR(INDEX($BI$3:$BJ$220,MATCH(ROWS(BN$3:BN145),$BK$3:$BK$220,0),1),"")="PATRIMONIO NETTO","",IFERROR(INDEX($BI$3:$BJ$220,MATCH(ROWS(BN$3:BN145),$BK$3:$BK$220,0),1),""))</f>
        <v/>
      </c>
      <c r="BO145" s="259" t="str">
        <f ca="1">IFERROR(INDEX($BI$3:$BJ$220,MATCH(ROWS(BO$3:BO145),$BK$3:$BK$220,0),2),"")</f>
        <v/>
      </c>
      <c r="BP145" s="259">
        <f ca="1">IF(BN145&lt;&gt;"",MAX(BP$2:$BP144)+1,0)</f>
        <v>0</v>
      </c>
      <c r="BQ145" s="259" t="str">
        <f ca="1">IFERROR(INDEX($BN$3:$BO$200,MATCH(ROWS(BQ$3:BQ145),$BP$3:$BP$220,0),1),"")</f>
        <v/>
      </c>
      <c r="BR145" s="259" t="str">
        <f ca="1">IFERROR(INDEX($BN$3:$BO$220,MATCH(ROWS(BR$3:BR145),$BP$3:$BP$220,0),2),"")</f>
        <v/>
      </c>
      <c r="BS145" s="259" t="str">
        <f ca="1">IFERROR(IF(OR(INDEX($T$3:$U$220,MATCH(ROWS(BL$3:BL145),$V$3:$V$220,0),1)="PRELEVAMENTI EXTRAGESTIONE",INDEX($T$3:$U$220,MATCH(ROWS(BL$3:BL145),$V$3:$V$220,0),1)="TITOLARE C/RITENUTE SUBITE"),"",INDEX($T$3:$U$220,MATCH(ROWS(BL$3:BL145),$V$3:$V$220,0),1)),"")</f>
        <v/>
      </c>
      <c r="BT145" s="259">
        <f t="shared" ca="1" si="417"/>
        <v>0</v>
      </c>
      <c r="BU145" s="259">
        <f ca="1">IF(BS145&lt;&gt;"",MAX(BU$2:BU144)+1,0)</f>
        <v>0</v>
      </c>
      <c r="BV145" s="259" t="str">
        <f ca="1">IFERROR(INDEX($BS$3:$BT$223,MATCH(ROWS(BV$3:BV145),$BU$3:$BU$223,0),1),"")</f>
        <v/>
      </c>
      <c r="BW145" s="259">
        <f t="shared" ca="1" si="418"/>
        <v>0</v>
      </c>
      <c r="CB145" s="259" t="str">
        <f ca="1">IFERROR(IF(OR($BB$1&lt;&gt;$BD$1,$BC$1&lt;&gt;$BE$1,$DS$231&lt;&gt;$DT$231,$DU$231&lt;&gt;$DV$231,$EO$25&lt;&gt;0,$EO$26&lt;&gt;0),INDEX($BI$3:$BK$220,MATCH(ROWS($CB$3:CB145),$BK$3:$BK$220,0),1),CONCATENATE(BQ145,BX145)),"")</f>
        <v/>
      </c>
      <c r="CC145" s="259" t="str">
        <f t="shared" ca="1" si="419"/>
        <v/>
      </c>
      <c r="CD145" s="259" t="str">
        <f t="shared" ca="1" si="370"/>
        <v>AMMORTAMENTO BREVETTI</v>
      </c>
      <c r="CE145" s="259">
        <f ca="1">IF(IFERROR(MATCH(CD145,DENOMINAZIONE_GIORNALE,0),0)&gt;0,MAX(CE$2:CE144)+1,0)</f>
        <v>0</v>
      </c>
      <c r="CF145" s="259" t="str">
        <f ca="1">IFERROR(INDEX($CD$3:$CE$220,MATCH(ROWS($CF$3:CF145),$CE$3:$CE$220,0),1),"")</f>
        <v/>
      </c>
      <c r="CG145" s="259">
        <f t="shared" ca="1" si="371"/>
        <v>0</v>
      </c>
      <c r="CH145" s="259" t="str">
        <f ca="1">IF(IF(CG145&lt;&gt;0,MAX($CH$2:CH144)+1,0)=0,"",IF(CG145&lt;&gt;"",MAX($CH$2:CH144)+1,0))</f>
        <v/>
      </c>
      <c r="CI145" s="259" t="str">
        <f ca="1">IFERROR(INDEX($CF$3:$CG$220,MATCH(ROWS($CI$3:CI145),$CH$3:$CH$220,0),1),"")</f>
        <v/>
      </c>
      <c r="CJ145" s="259" t="str">
        <f t="shared" ca="1" si="420"/>
        <v/>
      </c>
      <c r="CK145" s="259" t="str">
        <f t="shared" ca="1" si="372"/>
        <v/>
      </c>
      <c r="CL145" s="259">
        <f ca="1">IF(IFERROR(MATCH(CK145,DENOMINAZIONE_GIORNALE,0),0)&gt;0,MAX(CL$2:CL144)+1,0)</f>
        <v>0</v>
      </c>
      <c r="CM145" s="259" t="str">
        <f ca="1">IFERROR(INDEX($CK$3:$CL$220,MATCH(ROWS($CM$3:CM145),$CL$3:$CL$220,0),1),"")</f>
        <v/>
      </c>
      <c r="CN145" s="259" t="str">
        <f t="shared" ca="1" si="373"/>
        <v/>
      </c>
      <c r="CO145" s="259">
        <f ca="1">IF(IF(CN145&lt;&gt;0,MAX($CO$2:CO144)+1,0)=0,"",IF(CN145&lt;&gt;"",MAX($CO$2:CO144)+1,0))</f>
        <v>0</v>
      </c>
      <c r="CP145" s="259" t="str">
        <f ca="1">IFERROR(INDEX($CM$3:$CN$220,MATCH(ROWS(CP$3:CP145),$CO$3:$CO$220,0),1),"")</f>
        <v/>
      </c>
      <c r="CQ145" s="259" t="str">
        <f ca="1">IFERROR(INDEX($CM$3:$CN$220,MATCH(ROWS(CQ$3:CQ145),$CO$3:$CO$220,0),2),"")</f>
        <v/>
      </c>
      <c r="CS145" s="259">
        <f t="shared" ca="1" si="374"/>
        <v>0</v>
      </c>
      <c r="CT145" s="259">
        <f t="shared" ca="1" si="375"/>
        <v>0</v>
      </c>
      <c r="CU145" s="259">
        <f ca="1">IF(OR(CS145&gt;0,CT145&gt;0),MAX($CU$2:CU144)+1,0)</f>
        <v>0</v>
      </c>
      <c r="CV145" s="259" t="str">
        <f ca="1">IFERROR(INDEX(PIANO_DEI_CONTI,MATCH(ROWS($CV$3:CV145),$CU$3:$CU$200,0),2),"")</f>
        <v/>
      </c>
      <c r="CW145" s="259">
        <f ca="1">IFERROR(IF(CV145&lt;&gt;"",MAX($CW$2:CW144)+1,0),0)</f>
        <v>0</v>
      </c>
      <c r="CX145" s="259">
        <f t="shared" ca="1" si="364"/>
        <v>8</v>
      </c>
      <c r="CY145" s="259" t="str">
        <f t="shared" ca="1" si="469"/>
        <v>MASTRO</v>
      </c>
      <c r="CZ145" s="259" t="e">
        <f t="shared" ca="1" si="376"/>
        <v>#N/A</v>
      </c>
      <c r="DA145" s="259" t="str">
        <f t="shared" ca="1" si="421"/>
        <v/>
      </c>
      <c r="DB145" s="259" t="str">
        <f t="shared" ca="1" si="377"/>
        <v/>
      </c>
      <c r="DC145" s="259" t="str">
        <f t="shared" ca="1" si="378"/>
        <v/>
      </c>
      <c r="DD145" s="259" t="str">
        <f t="shared" ca="1" si="379"/>
        <v/>
      </c>
      <c r="DE145" s="259" t="str">
        <f t="shared" ca="1" si="380"/>
        <v/>
      </c>
      <c r="DF145" s="259">
        <f ca="1">IF(AND(CX145=$DE$2,$DF$2&lt;&gt;0),0,IF(AND(DB145&lt;&gt;"",OR(DB144&lt;&gt;"",DB146&lt;&gt;"")),MAX($DF$2:DF144)+1,0))</f>
        <v>0</v>
      </c>
      <c r="DG145" s="259" t="str">
        <f>IF(IF(LIBRO_GIORNALE!E53="","",IFERROR(INDEX(PIANO_DEI_CONTI,MATCH(BB145,DENOMINAZIONE,0),1),0))=0,"",IF(LIBRO_GIORNALE!E53="","",IFERROR(INDEX(PIANO_DEI_CONTI,MATCH(BB145,DENOMINAZIONE,0),1),0)))</f>
        <v/>
      </c>
      <c r="DH145" s="259">
        <f ca="1">IFERROR(IF($J$1=1,IF(INDEX(PIANO_DEI_CONTI,MATCH($K145,DENOMINAZIONE,0),5)=$DF$1,MAX($DH$2:DH144)+1,0),IF($J$1=2,IF(INDEX(PIANO_DEI_CONTI,MATCH($K145,DENOMINAZIONE,0),7)=$DF$1,MAX($DH$2:DH144)+1,0))),0)</f>
        <v>0</v>
      </c>
      <c r="DI145" s="259">
        <f ca="1">IFERROR(INDEX($K$3:$K$220,MATCH(ROWS($DI$3:DI145),$DH$3:$DH$220,0),1),0)</f>
        <v>0</v>
      </c>
      <c r="DJ145" s="259">
        <f t="shared" ca="1" si="381"/>
        <v>0</v>
      </c>
      <c r="DK145" s="259">
        <f ca="1">IF(DJ145=0,0,MAX(DK$2:DK144)+1)</f>
        <v>0</v>
      </c>
      <c r="DL145" s="259">
        <f ca="1">IFERROR(INDEX(PIANO_DEI_CONTI,MATCH(ROWS(DL$3:DL145),$DK$3:DK372,0),2),0)</f>
        <v>0</v>
      </c>
      <c r="DM145" s="259">
        <f t="shared" ca="1" si="382"/>
        <v>0</v>
      </c>
      <c r="DN145" s="259">
        <f t="shared" ca="1" si="383"/>
        <v>0</v>
      </c>
      <c r="DO145" s="259">
        <f t="shared" ca="1" si="422"/>
        <v>0</v>
      </c>
      <c r="DP145" s="259">
        <f t="shared" ca="1" si="423"/>
        <v>0</v>
      </c>
      <c r="DQ145" s="259">
        <f ca="1">IF(OR($DQ$1="TOTALI",$DQ$1="TOTALI ED ECCEDENZE"),IF(OR(DM145&gt;0,DN145&gt;0),MAX(DQ$2:DQ144)+1,0),IF($DQ$1="ECCEDENZE",IF(OR(DO145&gt;0,DP145&gt;0),MAX(DQ$2:DQ144)+1,0),""))</f>
        <v>0</v>
      </c>
      <c r="DR145" s="259" t="str">
        <f ca="1">IFERROR(INDEX($DL$3:$DQ$230,MATCH(ROWS(DR$3:DR145),$DQ$3:$DQ$230,0),1),"")</f>
        <v/>
      </c>
      <c r="DS145" s="259" t="str">
        <f t="shared" ca="1" si="424"/>
        <v/>
      </c>
      <c r="DT145" s="259" t="str">
        <f t="shared" ca="1" si="425"/>
        <v/>
      </c>
      <c r="DU145" s="259" t="str">
        <f t="shared" ca="1" si="426"/>
        <v/>
      </c>
      <c r="DV145" s="259" t="str">
        <f t="shared" ca="1" si="427"/>
        <v/>
      </c>
      <c r="DW145" s="259">
        <f t="shared" ca="1" si="428"/>
        <v>0</v>
      </c>
      <c r="DX145" s="259" t="str">
        <f t="shared" ca="1" si="429"/>
        <v/>
      </c>
      <c r="DY145" s="259" t="str">
        <f t="shared" ca="1" si="430"/>
        <v/>
      </c>
      <c r="DZ145" s="259" t="str">
        <f t="shared" ca="1" si="431"/>
        <v/>
      </c>
      <c r="EB145" s="259" t="s">
        <v>378</v>
      </c>
      <c r="ED145" s="259">
        <f t="shared" ca="1" si="384"/>
        <v>0</v>
      </c>
      <c r="EH145" s="259" t="str">
        <f t="shared" ca="1" si="432"/>
        <v/>
      </c>
      <c r="EI145" s="260" t="b">
        <f t="shared" ca="1" si="466"/>
        <v>1</v>
      </c>
      <c r="EJ145" s="260" t="b">
        <f t="shared" ca="1" si="467"/>
        <v>1</v>
      </c>
      <c r="EK145" s="260" t="b">
        <f t="shared" ca="1" si="468"/>
        <v>1</v>
      </c>
      <c r="EL145" s="259">
        <f t="shared" si="433"/>
        <v>143</v>
      </c>
      <c r="EM145" s="259">
        <f ca="1">IF(AND(BA145&gt;0,BA145&lt;=$EM$1),MAX($EM$2:EM144)+1,0)</f>
        <v>0</v>
      </c>
      <c r="EN145" s="259">
        <f t="shared" ca="1" si="434"/>
        <v>145</v>
      </c>
      <c r="EP145" s="259" t="str">
        <f t="shared" ca="1" si="385"/>
        <v/>
      </c>
      <c r="EQ145" s="259">
        <f t="shared" ca="1" si="386"/>
        <v>0</v>
      </c>
      <c r="ER145" s="259">
        <f ca="1">IF(ISNA(EQ145),MAX(ER$2:ER144)+1,0)</f>
        <v>0</v>
      </c>
      <c r="ES145" s="259" t="str">
        <f t="shared" ca="1" si="435"/>
        <v/>
      </c>
      <c r="ET145" s="259" t="str">
        <f ca="1">IFERROR(UPPER(INDEX($ER$3:$ES$500,MATCH(ROWS(ET$3:ET145),$ER$3:$ER$500,0),2)),"")</f>
        <v/>
      </c>
      <c r="EW145" s="259">
        <f t="shared" ca="1" si="344"/>
        <v>1</v>
      </c>
      <c r="EX145" s="259">
        <v>43</v>
      </c>
      <c r="EY145" s="259">
        <f t="shared" ca="1" si="345"/>
        <v>0</v>
      </c>
      <c r="EZ145" s="259">
        <f t="shared" ca="1" si="346"/>
        <v>0</v>
      </c>
      <c r="FA145" s="259">
        <f t="shared" ca="1" si="347"/>
        <v>0</v>
      </c>
      <c r="FB145" s="259">
        <f t="shared" ca="1" si="348"/>
        <v>0</v>
      </c>
      <c r="FC145" s="259">
        <f t="shared" ca="1" si="349"/>
        <v>0</v>
      </c>
      <c r="FD145" s="259">
        <f t="shared" ca="1" si="387"/>
        <v>0</v>
      </c>
      <c r="FE145" s="259" t="str">
        <f t="shared" ca="1" si="388"/>
        <v/>
      </c>
      <c r="FF145" s="259" t="str">
        <f t="shared" ca="1" si="350"/>
        <v/>
      </c>
      <c r="FM145" s="259">
        <f t="shared" ca="1" si="389"/>
        <v>0</v>
      </c>
      <c r="FN145" s="259">
        <f ca="1">IF(FM145&lt;0,MAX($FN$2:FN144)+1,0)</f>
        <v>0</v>
      </c>
      <c r="FO145" s="259" t="str">
        <f t="shared" ca="1" si="436"/>
        <v/>
      </c>
      <c r="FP145" s="259" t="str">
        <f ca="1">IFERROR(INDEX($FN$3:$FO$400,MATCH(ROWS($FP$3:FP145),$FN$3:$FN$400,0),2),"")</f>
        <v/>
      </c>
      <c r="FQ145" s="259" t="str">
        <f>IF(AE145="SE AVERE",MAX($FQ$2:FQ144)+1,"")</f>
        <v/>
      </c>
      <c r="FR145" s="259">
        <f>IF(AE145="SE DARE",MAX($FR$2:FR144)+1,"")</f>
        <v>50</v>
      </c>
      <c r="FS145" s="259" t="str">
        <f ca="1">IF(AND(AE145="SP DARE",AA145&lt;&gt;$FS$1,AA145&lt;&gt;$FT$1),MAX($FS$2:FS144)+1,IF(AND(GQ145="SP DARE",AA145&lt;&gt;$FS$1,AA145&lt;&gt;$FT$1),MAX($FS$2:FS144)+1,""))</f>
        <v/>
      </c>
      <c r="FT145" s="259" t="str">
        <f ca="1">IF(AND(AE145="SP AVERE",AA145&lt;&gt;$FU$1),MAX($FT$2:FT144)+1,IF(AND(GQ145="SP AVERE",AA145&lt;&gt;$FU$1),MAX($FT$2:FT144)+1,""))</f>
        <v/>
      </c>
      <c r="FU145" s="259">
        <f t="shared" ca="1" si="437"/>
        <v>50</v>
      </c>
      <c r="FV145" s="259" t="str">
        <f t="shared" si="438"/>
        <v>AMMORTAMENTO BREVETTI</v>
      </c>
      <c r="FW145" s="259" t="str">
        <f ca="1">IFERROR(INDEX($FU$3:$FV$500,MATCH(ROWS($FW$3:FW145),$FU$3:$FU$500,0),2),0)</f>
        <v>FONDO SVALUTAZIONE CREDITI</v>
      </c>
      <c r="FX145" s="259">
        <f t="shared" ca="1" si="439"/>
        <v>143</v>
      </c>
      <c r="FY145" s="259">
        <f t="shared" ca="1" si="440"/>
        <v>0</v>
      </c>
      <c r="FZ145" s="259">
        <f ca="1">IF(FY145&gt;0,MAX($FZ$2:FZ144)+1,0)</f>
        <v>0</v>
      </c>
      <c r="GA145" s="259">
        <f ca="1">IFERROR(INDEX($FY$3:$FZ$500,MATCH(ROWS($GA$3:GA145),$FZ$3:$FZ$500,0),1),0)</f>
        <v>0</v>
      </c>
      <c r="GC145" s="259">
        <f t="shared" ca="1" si="441"/>
        <v>143</v>
      </c>
      <c r="GD145" s="259" t="str">
        <f t="shared" ca="1" si="442"/>
        <v>FONDO SVALUTAZIONE CREDITI</v>
      </c>
      <c r="GG145" s="259">
        <f t="shared" ca="1" si="443"/>
        <v>0</v>
      </c>
      <c r="GH145" s="259">
        <f t="shared" ca="1" si="444"/>
        <v>0</v>
      </c>
      <c r="GI145" s="259">
        <f t="shared" ca="1" si="445"/>
        <v>0</v>
      </c>
      <c r="GJ145" s="259">
        <f t="shared" ca="1" si="446"/>
        <v>0</v>
      </c>
      <c r="GK145" s="259">
        <f t="shared" ca="1" si="447"/>
        <v>0</v>
      </c>
      <c r="GL145" s="259">
        <f t="shared" ca="1" si="447"/>
        <v>0</v>
      </c>
      <c r="GM145" s="259">
        <f ca="1">IF(OR(GK145&gt;0,GL145&gt;0),MAX($GM$2:GM144)+1,0)</f>
        <v>0</v>
      </c>
      <c r="GN145" s="259" t="str">
        <f ca="1">IFERROR(INDEX($GD$3:$GM$400,MATCH(ROWS($GN$3:GN145),$GM$3:$GM$400,0),1),"")</f>
        <v/>
      </c>
      <c r="GO145" s="259" t="str">
        <f ca="1">IFERROR(INDEX($GD$3:$GM$400,MATCH(ROWS($GO$3:GO145),$GM$3:$GM$400,0),8),"")</f>
        <v/>
      </c>
      <c r="GP145" s="259" t="str">
        <f ca="1">IFERROR(INDEX($GD$3:$GM$400,MATCH(ROWS($GP$3:GP145),$GM$3:$GM$400,0),9),"")</f>
        <v/>
      </c>
      <c r="GQ145" s="259">
        <f t="shared" ca="1" si="390"/>
        <v>0</v>
      </c>
      <c r="GR145" s="259">
        <f t="shared" ca="1" si="448"/>
        <v>0</v>
      </c>
      <c r="GS145" s="259" t="str">
        <f t="shared" ca="1" si="449"/>
        <v>chiusura del conto</v>
      </c>
      <c r="GT145" s="259" t="str">
        <f ca="1">IFERROR(INDEX($GD$3:$GS$400,MATCH(ROWS($GT$3:GT145),$GM$3:$GM$400,0),16),"")</f>
        <v/>
      </c>
      <c r="GU145" s="259">
        <f ca="1">IF(GQ145&lt;&gt;0,MAX($GU$2:$GU144)+1,0)</f>
        <v>0</v>
      </c>
      <c r="GV145" s="259">
        <f t="shared" ca="1" si="450"/>
        <v>0</v>
      </c>
      <c r="GW145" s="259" t="str">
        <f ca="1">IF(AND(IFERROR(INDEX($GU$3:$GV$400,MATCH(ROWS($GW$3:GW145),$GU$3:$GU$400,0),2),"")&lt;&gt;"",GW146&lt;&gt;""),CONCATENATE(IFERROR(INDEX($GU$3:$GV$400,MATCH(ROWS($GW$3:GW145),$GU$3:$GU$400,0),2),"")," - "),IFERROR(INDEX($GU$3:$GV$400,MATCH(ROWS($GW$3:GW145),$GU$3:$GU$400,0),2),""))</f>
        <v/>
      </c>
      <c r="GX145" s="259">
        <f ca="1">IF(OR(GN145="IVA NS/CREDITO",GN145="IVA NS/DEBITO",GN145="IVA C/ACCONTO",GN145="IMPOSTE C/ACCONTO"),MAX($GX$2:GX144)+1,0)</f>
        <v>0</v>
      </c>
      <c r="GY145" s="259" t="str">
        <f ca="1">IF(AND(IFERROR(INDEX($GN$3:$GX$200,MATCH(ROWS($GY$3:GY145),$GX$3:$GX$200,0),1),"")&lt;&gt;"",GY146&lt;&gt;""),CONCATENATE(IFERROR(INDEX($GN$3:$GX$200,MATCH(ROWS($GY$3:GY145),$GX$3:$GX$200,0),1),"")," - "),IFERROR(INDEX($GN$3:$GX$200,MATCH(ROWS($GY$3:GY145),$GX$3:$GX$200,0),1),""))</f>
        <v/>
      </c>
      <c r="GZ145" s="259" t="s">
        <v>162</v>
      </c>
      <c r="HA145" s="259" t="s">
        <v>150</v>
      </c>
      <c r="HB145" s="269" t="s">
        <v>256</v>
      </c>
      <c r="HC145" s="269" t="s">
        <v>276</v>
      </c>
      <c r="HD145" s="269" t="s">
        <v>7</v>
      </c>
      <c r="HE145" s="269" t="s">
        <v>214</v>
      </c>
      <c r="HG145" s="270"/>
      <c r="HV145" s="259" t="str">
        <f ca="1">CONCATENATE(IFERROR(INDEX($HS$3:$HT$102,MATCH(ROWS($HV$3:HV145),$HT$3:$HT$102,0),1),""),HR145)</f>
        <v/>
      </c>
      <c r="IC145" s="259">
        <f ca="1">IFERROR(INDEX(PIANO_DEI_CONTI,MATCH(ROWS(DL$3:DL145),$DK$3:DK372,0),2),0)</f>
        <v>0</v>
      </c>
      <c r="ID145" s="259">
        <f t="shared" ca="1" si="451"/>
        <v>0</v>
      </c>
      <c r="IE145" s="259">
        <f t="shared" ca="1" si="452"/>
        <v>0</v>
      </c>
      <c r="IF145" s="259">
        <f t="shared" ca="1" si="453"/>
        <v>0</v>
      </c>
      <c r="IG145" s="259">
        <f t="shared" ca="1" si="324"/>
        <v>0</v>
      </c>
      <c r="IH145" s="259">
        <f ca="1">IF(IG145&lt;&gt;0,MAX($IH$35:IH144)+1,0)</f>
        <v>0</v>
      </c>
      <c r="II145" s="259">
        <f>IF(AD145="costi pluriennali",MAX($II$2:II144)+1,0)</f>
        <v>0</v>
      </c>
      <c r="IJ145" s="259">
        <f>IF($AD145="rettifiche costi pluriennali",MAX($IJ$2:IJ144)+1,0)</f>
        <v>0</v>
      </c>
      <c r="IK145" s="259">
        <f t="shared" si="454"/>
        <v>0</v>
      </c>
      <c r="IL145" s="259" t="str">
        <f t="shared" si="455"/>
        <v/>
      </c>
      <c r="IM145" s="259">
        <f t="shared" ca="1" si="456"/>
        <v>0</v>
      </c>
      <c r="IN145" s="259">
        <f t="shared" ca="1" si="470"/>
        <v>0</v>
      </c>
      <c r="IO145" s="259">
        <f>SUMIFS($IM$3:$IM$200,$IK$3:$IK$200,ROWS($IO$3:IO145))-SUMIFS($IN$3:$IN$200,$IK$3:$IK$200,ROWS($IO$3:IO145))</f>
        <v>0</v>
      </c>
      <c r="IP145" s="259" t="str">
        <f>IF(IO145&lt;0,INDEX($IJ$3:$IL$200,MATCH(ROWS($IP$3:IP145),$IJ$3:$IJ$200,0),3),"")</f>
        <v/>
      </c>
      <c r="IQ145" s="259">
        <f>IF(IP145&lt;&gt;"",MAX($IQ$2:IQ144)+1,0)</f>
        <v>0</v>
      </c>
      <c r="IR145" s="259" t="str">
        <f ca="1">IFERROR(INDEX($IP$3:$IQ$200,MATCH(ROWS($IR$3:IR145),$IQ$3:$IQ$200,0),1),"")</f>
        <v/>
      </c>
      <c r="IS145" s="259" t="str">
        <f t="shared" ca="1" si="457"/>
        <v/>
      </c>
      <c r="IT145" s="259" t="str">
        <f t="shared" ca="1" si="458"/>
        <v/>
      </c>
      <c r="IU145" s="259" t="str">
        <f t="shared" ca="1" si="459"/>
        <v/>
      </c>
      <c r="IV145" s="259" t="str">
        <f t="shared" ca="1" si="460"/>
        <v/>
      </c>
      <c r="IW145" s="259" t="str">
        <f t="shared" ca="1" si="461"/>
        <v/>
      </c>
      <c r="IX145" s="259" t="str">
        <f t="shared" ca="1" si="462"/>
        <v/>
      </c>
      <c r="IY145" s="259" t="str">
        <f t="shared" ca="1" si="463"/>
        <v/>
      </c>
      <c r="IZ145" s="259" t="str">
        <f t="shared" ca="1" si="464"/>
        <v/>
      </c>
      <c r="JA145" s="259" t="str">
        <f t="shared" ca="1" si="465"/>
        <v/>
      </c>
      <c r="JB145" s="259">
        <f t="shared" ca="1" si="391"/>
        <v>0</v>
      </c>
      <c r="JC145" s="259">
        <f t="shared" ca="1" si="351"/>
        <v>0</v>
      </c>
      <c r="JD145" s="259">
        <f t="shared" ca="1" si="352"/>
        <v>0</v>
      </c>
      <c r="JM145" s="259">
        <f t="shared" ca="1" si="353"/>
        <v>0</v>
      </c>
    </row>
    <row r="146" spans="1:273">
      <c r="A146" s="259" t="str">
        <f t="shared" si="392"/>
        <v>31.04</v>
      </c>
      <c r="B146" s="259" t="str">
        <f t="shared" si="393"/>
        <v>CONSULENZE</v>
      </c>
      <c r="C146" s="259" t="str">
        <f t="shared" si="394"/>
        <v>E</v>
      </c>
      <c r="D146" s="259" t="str">
        <f t="shared" si="395"/>
        <v>D</v>
      </c>
      <c r="E146" s="259" t="str">
        <f t="shared" si="396"/>
        <v>COSTI D'ESERCIZIO</v>
      </c>
      <c r="F146" s="259" t="str">
        <f t="shared" si="397"/>
        <v>SE DARE</v>
      </c>
      <c r="G146" s="259">
        <f t="shared" ca="1" si="398"/>
        <v>1</v>
      </c>
      <c r="H146" s="259">
        <f t="shared" ca="1" si="399"/>
        <v>1</v>
      </c>
      <c r="I146" s="259">
        <f t="shared" ca="1" si="400"/>
        <v>1</v>
      </c>
      <c r="K146" s="259" t="str">
        <f ca="1">IFERROR(IF($I$1=1,INDEX($AA$3:$AS$220,MATCH(ROWS($K$3:K146),$AQ$3:$AQ$220,0),1),IF($I$1=2,INDEX($AA$3:$AS$220,MATCH(ROWS($K$3:K146),$AR$3:$AR$220,0),1),IF($I$1=3,INDEX($AA$3:$AS$220,MATCH(ROWS($K$3:K146),$AS$3:$AS$220,0),1),""))),"")</f>
        <v>AMMORTAMENTO ATTREZZATURE COMMERCIALI</v>
      </c>
      <c r="L146" s="259">
        <f ca="1">IF(AND($L$1="VISUALIZZA TUTTI I CONTI",K146&lt;&gt;""),MAX(L145:L145)+1,IFERROR(IF($J$1=1,IF(INDEX(PIANO_DEI_CONTI,MATCH($K146,DENOMINAZIONE,0),5)=$L$1,MAX($L$2:L145)+1,0),IF($J$1=2,IF(INDEX(PIANO_DEI_CONTI,MATCH($K146,DENOMINAZIONE,0),7)=$L$1,MAX($L$2:L145)+1,0))),0))</f>
        <v>144</v>
      </c>
      <c r="M146" s="259" t="str">
        <f ca="1">IFERROR(INDEX($K$3:$K$220,MATCH(ROWS($M$3:M146),$L$3:$L$220,0),1),"")</f>
        <v>AMMORTAMENTO ATTREZZATURE COMMERCIALI</v>
      </c>
      <c r="Q146" s="259" t="str">
        <f ca="1">IF(IFERROR(INDEX($O$3:$P$220,MATCH(ROWS(Q$3:Q146),$P$3:$P$220,0),1),"")=0,"",IFERROR(INDEX($O$3:$P$220,MATCH(ROWS(Q$3:Q146),$P$3:$P$220,0),1),""))</f>
        <v/>
      </c>
      <c r="R146" s="259" t="str">
        <f t="shared" ca="1" si="366"/>
        <v/>
      </c>
      <c r="S146" s="259">
        <f ca="1">IF(IFERROR(MATCH(R146,DENOMINAZIONE_GIORNALE,0),0)&gt;0,MAX(S$2:S145)+1,0)</f>
        <v>0</v>
      </c>
      <c r="T146" s="259" t="str">
        <f ca="1">IFERROR(INDEX($R$3:$S$220,MATCH(ROWS($T$3:T146),$S$3:$S$220,0),1),"")</f>
        <v/>
      </c>
      <c r="U146" s="259">
        <f t="shared" ca="1" si="367"/>
        <v>0</v>
      </c>
      <c r="V146" s="259">
        <f ca="1">IF(IF(U146&lt;&gt;0,MAX($V$2:V145)+1,0)=0,0,IF(U146&lt;&gt;0,MAX($V$2:V145)+1,0))</f>
        <v>0</v>
      </c>
      <c r="W146" s="259" t="str">
        <f t="shared" si="401"/>
        <v>31.04</v>
      </c>
      <c r="X146" s="259" t="str">
        <f t="shared" si="402"/>
        <v>CONSULENZE</v>
      </c>
      <c r="Y146" s="259">
        <f>IF(W146="",0,MAX($Y$2:Y145)+1)</f>
        <v>124</v>
      </c>
      <c r="Z146" s="259" t="str">
        <f>IFERROR(INDEX($W$3:$Y$220,MATCH(ROWS($Z$2:Z145),$Y$3:$Y$220,0),1),"")</f>
        <v>34.04</v>
      </c>
      <c r="AA146" s="259" t="str">
        <f t="shared" si="403"/>
        <v>AMMORTAMENTO SOFTWARE</v>
      </c>
      <c r="AB146" s="259" t="str">
        <f t="shared" si="404"/>
        <v>E</v>
      </c>
      <c r="AC146" s="259" t="str">
        <f t="shared" si="405"/>
        <v>D</v>
      </c>
      <c r="AD146" s="259" t="str">
        <f t="shared" si="406"/>
        <v>COSTI D'ESERCIZIO</v>
      </c>
      <c r="AE146" s="259" t="str">
        <f t="shared" si="407"/>
        <v>SE DARE</v>
      </c>
      <c r="AF146" s="259" t="str">
        <f t="shared" si="408"/>
        <v>AMMORTAMENTI IMMOBILIZZAZIONI IMMATERIALI</v>
      </c>
      <c r="AG146" s="259">
        <f t="shared" ca="1" si="409"/>
        <v>0</v>
      </c>
      <c r="AH146" s="259">
        <f t="shared" ca="1" si="410"/>
        <v>0</v>
      </c>
      <c r="AI146" s="259">
        <f t="shared" ca="1" si="411"/>
        <v>1</v>
      </c>
      <c r="AJ146" s="259" t="str">
        <f t="shared" si="412"/>
        <v>34</v>
      </c>
      <c r="AK146" s="259" t="str">
        <f t="shared" si="413"/>
        <v/>
      </c>
      <c r="AL146" s="259">
        <f>IF(AK146&lt;&gt;"",MAX($AL$2:AL145)+1,0)</f>
        <v>0</v>
      </c>
      <c r="AM146" s="259" t="str">
        <f>IFERROR(INDEX($AK$3:$AL$220,MATCH(ROWS($AM$3:AM146),$AL$3:$AL$220,0),1),"")</f>
        <v/>
      </c>
      <c r="AN146" s="259" t="str">
        <f t="shared" si="414"/>
        <v/>
      </c>
      <c r="AO146" s="259" t="str">
        <f t="shared" si="415"/>
        <v/>
      </c>
      <c r="AP146" s="259" t="str">
        <f t="shared" si="416"/>
        <v>AMMORTAMENTI IMMOBILIZZAZIONI IMMATERIALI</v>
      </c>
      <c r="AQ146" s="259">
        <f ca="1">IF(OR(AG146=0,AG146=""),0,MAX(AQ$2:AQ145)+1)</f>
        <v>0</v>
      </c>
      <c r="AR146" s="259">
        <f ca="1">IF(OR(AH146=0,AH146=""),0,MAX(AR$2:AR145)+1)</f>
        <v>0</v>
      </c>
      <c r="AS146" s="259">
        <f ca="1">IF(OR(AI146=0,AI146=""),0,MAX(AS$2:AS145)+1)</f>
        <v>140</v>
      </c>
      <c r="AT146" s="259" t="str">
        <f ca="1">IFERROR(INDEX($AD$3:$AS$220,MATCH(ROWS(AT$3:AT146),AQ$3:AQ$220,0),1),"")</f>
        <v/>
      </c>
      <c r="AU146" s="259" t="str">
        <f ca="1">IFERROR(INDEX($AD$3:$AS$220,MATCH(ROWS(AU$3:AU146),AR$3:AR$220,0),1),"")</f>
        <v/>
      </c>
      <c r="AV146" s="259" t="str">
        <f ca="1">IFERROR(INDEX($AD$3:$AS$220,MATCH(ROWS(AV$3:AV146),AS$3:AS$220,0),1),"")</f>
        <v>COSTI D'ESERCIZIO</v>
      </c>
      <c r="AW146" s="259" t="str">
        <f ca="1">IFERROR(INDEX($AP$3:$AS$220,MATCH(ROWS(AW$3:AW146),AQ$3:AQ$220,0),1),"")</f>
        <v/>
      </c>
      <c r="AX146" s="259" t="str">
        <f ca="1">IFERROR(INDEX($AP$3:$AS$220,MATCH(ROWS(AX$3:AX146),AR$3:AR$220,0),1),"")</f>
        <v/>
      </c>
      <c r="AY146" s="259" t="str">
        <f ca="1">IFERROR(INDEX($AP$3:$AS$220,MATCH(ROWS(AY$3:AY146),AS$3:AS$220,0),1),"")</f>
        <v>AMMORTAMENTI IMMOBILIZZAZIONI MATERIALI</v>
      </c>
      <c r="AZ146" s="259" t="str">
        <f t="shared" si="339"/>
        <v>44 V.I.</v>
      </c>
      <c r="BA146" s="259">
        <f t="shared" ca="1" si="338"/>
        <v>0</v>
      </c>
      <c r="BB146" s="259">
        <f t="shared" ca="1" si="340"/>
        <v>0</v>
      </c>
      <c r="BC146" s="259">
        <f t="shared" ca="1" si="341"/>
        <v>0</v>
      </c>
      <c r="BD146" s="259">
        <f t="shared" ca="1" si="342"/>
        <v>0</v>
      </c>
      <c r="BE146" s="259">
        <f t="shared" ca="1" si="343"/>
        <v>0</v>
      </c>
      <c r="BG146" s="259" t="str">
        <f t="shared" ca="1" si="368"/>
        <v/>
      </c>
      <c r="BH146" s="259">
        <f ca="1">IF(IFERROR(MATCH(BG146,DENOMINAZIONE_GIORNALE,0),0)&gt;0,MAX(BH$2:BH145)+1,0)</f>
        <v>0</v>
      </c>
      <c r="BI146" s="259" t="str">
        <f ca="1">IFERROR(INDEX($BG$3:$BH$220,MATCH(ROWS($BI$3:BI146),$BH$3:$BH$220,0),1),"")</f>
        <v/>
      </c>
      <c r="BJ146" s="259" t="str">
        <f t="shared" ca="1" si="369"/>
        <v/>
      </c>
      <c r="BK146" s="259" t="str">
        <f ca="1">IF(IF(BJ146&lt;&gt;"",MAX($BK$2:BK145)+1,0)=0,"",IF(BJ146&lt;&gt;"",MAX($BK$2:BK145)+1,0))</f>
        <v/>
      </c>
      <c r="BL146" s="259" t="str">
        <f ca="1">IFERROR(INDEX($T$3:$U$220, MATCH(ROWS(BL$3:BL146),$V$3:$V$220,0),1),"")</f>
        <v/>
      </c>
      <c r="BM146" s="259" t="str">
        <f ca="1">IFERROR(INDEX($T$3:$U$220, MATCH(ROWS(BM$3:BM146),$V$3:$V$220,0),2),"")</f>
        <v/>
      </c>
      <c r="BN146" s="259" t="str">
        <f ca="1">IF(IFERROR(INDEX($BI$3:$BJ$220,MATCH(ROWS(BN$3:BN146),$BK$3:$BK$220,0),1),"")="PATRIMONIO NETTO","",IFERROR(INDEX($BI$3:$BJ$220,MATCH(ROWS(BN$3:BN146),$BK$3:$BK$220,0),1),""))</f>
        <v/>
      </c>
      <c r="BO146" s="259" t="str">
        <f ca="1">IFERROR(INDEX($BI$3:$BJ$220,MATCH(ROWS(BO$3:BO146),$BK$3:$BK$220,0),2),"")</f>
        <v/>
      </c>
      <c r="BP146" s="259">
        <f ca="1">IF(BN146&lt;&gt;"",MAX(BP$2:$BP145)+1,0)</f>
        <v>0</v>
      </c>
      <c r="BQ146" s="259" t="str">
        <f ca="1">IFERROR(INDEX($BN$3:$BO$200,MATCH(ROWS(BQ$3:BQ146),$BP$3:$BP$220,0),1),"")</f>
        <v/>
      </c>
      <c r="BR146" s="259" t="str">
        <f ca="1">IFERROR(INDEX($BN$3:$BO$220,MATCH(ROWS(BR$3:BR146),$BP$3:$BP$220,0),2),"")</f>
        <v/>
      </c>
      <c r="BS146" s="259" t="str">
        <f ca="1">IFERROR(IF(OR(INDEX($T$3:$U$220,MATCH(ROWS(BL$3:BL146),$V$3:$V$220,0),1)="PRELEVAMENTI EXTRAGESTIONE",INDEX($T$3:$U$220,MATCH(ROWS(BL$3:BL146),$V$3:$V$220,0),1)="TITOLARE C/RITENUTE SUBITE"),"",INDEX($T$3:$U$220,MATCH(ROWS(BL$3:BL146),$V$3:$V$220,0),1)),"")</f>
        <v/>
      </c>
      <c r="BT146" s="259">
        <f t="shared" ca="1" si="417"/>
        <v>0</v>
      </c>
      <c r="BU146" s="259">
        <f ca="1">IF(BS146&lt;&gt;"",MAX(BU$2:BU145)+1,0)</f>
        <v>0</v>
      </c>
      <c r="BV146" s="259" t="str">
        <f ca="1">IFERROR(INDEX($BS$3:$BT$223,MATCH(ROWS(BV$3:BV146),$BU$3:$BU$223,0),1),"")</f>
        <v/>
      </c>
      <c r="BW146" s="259">
        <f t="shared" ca="1" si="418"/>
        <v>0</v>
      </c>
      <c r="CB146" s="259" t="str">
        <f ca="1">IFERROR(IF(OR($BB$1&lt;&gt;$BD$1,$BC$1&lt;&gt;$BE$1,$DS$231&lt;&gt;$DT$231,$DU$231&lt;&gt;$DV$231,$EO$25&lt;&gt;0,$EO$26&lt;&gt;0),INDEX($BI$3:$BK$220,MATCH(ROWS($CB$3:CB146),$BK$3:$BK$220,0),1),CONCATENATE(BQ146,BX146)),"")</f>
        <v/>
      </c>
      <c r="CC146" s="259" t="str">
        <f t="shared" ca="1" si="419"/>
        <v/>
      </c>
      <c r="CD146" s="259" t="str">
        <f t="shared" ca="1" si="370"/>
        <v>AMMORTAMENTO SOFTWARE</v>
      </c>
      <c r="CE146" s="259">
        <f ca="1">IF(IFERROR(MATCH(CD146,DENOMINAZIONE_GIORNALE,0),0)&gt;0,MAX(CE$2:CE145)+1,0)</f>
        <v>0</v>
      </c>
      <c r="CF146" s="259" t="str">
        <f ca="1">IFERROR(INDEX($CD$3:$CE$220,MATCH(ROWS($CF$3:CF146),$CE$3:$CE$220,0),1),"")</f>
        <v/>
      </c>
      <c r="CG146" s="259">
        <f t="shared" ca="1" si="371"/>
        <v>0</v>
      </c>
      <c r="CH146" s="259" t="str">
        <f ca="1">IF(IF(CG146&lt;&gt;0,MAX($CH$2:CH145)+1,0)=0,"",IF(CG146&lt;&gt;"",MAX($CH$2:CH145)+1,0))</f>
        <v/>
      </c>
      <c r="CI146" s="259" t="str">
        <f ca="1">IFERROR(INDEX($CF$3:$CG$220,MATCH(ROWS($CI$3:CI146),$CH$3:$CH$220,0),1),"")</f>
        <v/>
      </c>
      <c r="CJ146" s="259" t="str">
        <f t="shared" ca="1" si="420"/>
        <v/>
      </c>
      <c r="CK146" s="259" t="str">
        <f t="shared" ca="1" si="372"/>
        <v/>
      </c>
      <c r="CL146" s="259">
        <f ca="1">IF(IFERROR(MATCH(CK146,DENOMINAZIONE_GIORNALE,0),0)&gt;0,MAX(CL$2:CL145)+1,0)</f>
        <v>0</v>
      </c>
      <c r="CM146" s="259" t="str">
        <f ca="1">IFERROR(INDEX($CK$3:$CL$220,MATCH(ROWS($CM$3:CM146),$CL$3:$CL$220,0),1),"")</f>
        <v/>
      </c>
      <c r="CN146" s="259" t="str">
        <f t="shared" ca="1" si="373"/>
        <v/>
      </c>
      <c r="CO146" s="259">
        <f ca="1">IF(IF(CN146&lt;&gt;0,MAX($CO$2:CO145)+1,0)=0,"",IF(CN146&lt;&gt;"",MAX($CO$2:CO145)+1,0))</f>
        <v>0</v>
      </c>
      <c r="CP146" s="259" t="str">
        <f ca="1">IFERROR(INDEX($CM$3:$CN$220,MATCH(ROWS(CP$3:CP146),$CO$3:$CO$220,0),1),"")</f>
        <v/>
      </c>
      <c r="CQ146" s="259" t="str">
        <f ca="1">IFERROR(INDEX($CM$3:$CN$220,MATCH(ROWS(CQ$3:CQ146),$CO$3:$CO$220,0),2),"")</f>
        <v/>
      </c>
      <c r="CS146" s="259">
        <f t="shared" ca="1" si="374"/>
        <v>0</v>
      </c>
      <c r="CT146" s="259">
        <f t="shared" ca="1" si="375"/>
        <v>0</v>
      </c>
      <c r="CU146" s="259">
        <f ca="1">IF(OR(CS146&gt;0,CT146&gt;0),MAX($CU$2:CU145)+1,0)</f>
        <v>0</v>
      </c>
      <c r="CV146" s="259" t="str">
        <f ca="1">IFERROR(INDEX(PIANO_DEI_CONTI,MATCH(ROWS($CV$3:CV146),$CU$3:$CU$200,0),2),"")</f>
        <v/>
      </c>
      <c r="CW146" s="259">
        <f ca="1">IFERROR(IF(CV146&lt;&gt;"",MAX($CW$2:CW145)+1,0),0)</f>
        <v>0</v>
      </c>
      <c r="CX146" s="259" t="str">
        <f>IFERROR(IF(CX128+1=1,"",(CX128+1)),"")</f>
        <v/>
      </c>
      <c r="CY146" s="259" t="str">
        <f t="shared" ca="1" si="469"/>
        <v>MASTRO</v>
      </c>
      <c r="DB146" s="259" t="str">
        <f t="shared" ref="DB146" ca="1" si="471">CY146</f>
        <v>MASTRO</v>
      </c>
      <c r="DF146" s="259">
        <f ca="1">IF(AND(CX146=$DE$2,$DF$2&lt;&gt;0),0,IF(AND(DB146&lt;&gt;"",OR(DB145&lt;&gt;"",DB147&lt;&gt;"")),MAX($DF$2:DF145)+1,0))</f>
        <v>0</v>
      </c>
      <c r="DG146" s="259" t="str">
        <f>IF(IF(LIBRO_GIORNALE!E54="","",IFERROR(INDEX(PIANO_DEI_CONTI,MATCH(BB146,DENOMINAZIONE,0),1),0))=0,"",IF(LIBRO_GIORNALE!E54="","",IFERROR(INDEX(PIANO_DEI_CONTI,MATCH(BB146,DENOMINAZIONE,0),1),0)))</f>
        <v/>
      </c>
      <c r="DH146" s="259">
        <f ca="1">IFERROR(IF($J$1=1,IF(INDEX(PIANO_DEI_CONTI,MATCH($K146,DENOMINAZIONE,0),5)=$DF$1,MAX($DH$2:DH145)+1,0),IF($J$1=2,IF(INDEX(PIANO_DEI_CONTI,MATCH($K146,DENOMINAZIONE,0),7)=$DF$1,MAX($DH$2:DH145)+1,0))),0)</f>
        <v>0</v>
      </c>
      <c r="DI146" s="259">
        <f ca="1">IFERROR(INDEX($K$3:$K$220,MATCH(ROWS($DI$3:DI146),$DH$3:$DH$220,0),1),0)</f>
        <v>0</v>
      </c>
      <c r="DJ146" s="259">
        <f t="shared" ca="1" si="381"/>
        <v>0</v>
      </c>
      <c r="DK146" s="259">
        <f ca="1">IF(DJ146=0,0,MAX(DK$2:DK145)+1)</f>
        <v>0</v>
      </c>
      <c r="DL146" s="259">
        <f ca="1">IFERROR(INDEX(PIANO_DEI_CONTI,MATCH(ROWS(DL$3:DL146),$DK$3:DK373,0),2),0)</f>
        <v>0</v>
      </c>
      <c r="DM146" s="259">
        <f t="shared" ca="1" si="382"/>
        <v>0</v>
      </c>
      <c r="DN146" s="259">
        <f t="shared" ca="1" si="383"/>
        <v>0</v>
      </c>
      <c r="DO146" s="259">
        <f t="shared" ca="1" si="422"/>
        <v>0</v>
      </c>
      <c r="DP146" s="259">
        <f t="shared" ca="1" si="423"/>
        <v>0</v>
      </c>
      <c r="DQ146" s="259">
        <f ca="1">IF(OR($DQ$1="TOTALI",$DQ$1="TOTALI ED ECCEDENZE"),IF(OR(DM146&gt;0,DN146&gt;0),MAX(DQ$2:DQ145)+1,0),IF($DQ$1="ECCEDENZE",IF(OR(DO146&gt;0,DP146&gt;0),MAX(DQ$2:DQ145)+1,0),""))</f>
        <v>0</v>
      </c>
      <c r="DR146" s="259" t="str">
        <f ca="1">IFERROR(INDEX($DL$3:$DQ$230,MATCH(ROWS(DR$3:DR146),$DQ$3:$DQ$230,0),1),"")</f>
        <v/>
      </c>
      <c r="DS146" s="259" t="str">
        <f t="shared" ca="1" si="424"/>
        <v/>
      </c>
      <c r="DT146" s="259" t="str">
        <f t="shared" ca="1" si="425"/>
        <v/>
      </c>
      <c r="DU146" s="259" t="str">
        <f t="shared" ca="1" si="426"/>
        <v/>
      </c>
      <c r="DV146" s="259" t="str">
        <f t="shared" ca="1" si="427"/>
        <v/>
      </c>
      <c r="DW146" s="259">
        <f t="shared" ca="1" si="428"/>
        <v>0</v>
      </c>
      <c r="DX146" s="259" t="str">
        <f t="shared" ca="1" si="429"/>
        <v/>
      </c>
      <c r="DY146" s="259" t="str">
        <f t="shared" ca="1" si="430"/>
        <v/>
      </c>
      <c r="DZ146" s="259" t="str">
        <f t="shared" ca="1" si="431"/>
        <v/>
      </c>
      <c r="EB146" s="259" t="s">
        <v>378</v>
      </c>
      <c r="ED146" s="259">
        <f t="shared" ca="1" si="384"/>
        <v>0</v>
      </c>
      <c r="EH146" s="259" t="str">
        <f t="shared" ca="1" si="432"/>
        <v/>
      </c>
      <c r="EI146" s="260" t="b">
        <f t="shared" ca="1" si="466"/>
        <v>1</v>
      </c>
      <c r="EJ146" s="260" t="b">
        <f t="shared" ca="1" si="467"/>
        <v>1</v>
      </c>
      <c r="EK146" s="260" t="b">
        <f t="shared" ca="1" si="468"/>
        <v>1</v>
      </c>
      <c r="EL146" s="259">
        <f t="shared" si="433"/>
        <v>144</v>
      </c>
      <c r="EM146" s="259">
        <f ca="1">IF(AND(BA146&gt;0,BA146&lt;=$EM$1),MAX($EM$2:EM145)+1,0)</f>
        <v>0</v>
      </c>
      <c r="EN146" s="259">
        <f t="shared" ca="1" si="434"/>
        <v>146</v>
      </c>
      <c r="EP146" s="259" t="str">
        <f t="shared" ca="1" si="385"/>
        <v/>
      </c>
      <c r="EQ146" s="259">
        <f t="shared" ca="1" si="386"/>
        <v>0</v>
      </c>
      <c r="ER146" s="259">
        <f ca="1">IF(ISNA(EQ146),MAX(ER$2:ER145)+1,0)</f>
        <v>0</v>
      </c>
      <c r="ES146" s="259" t="str">
        <f t="shared" ca="1" si="435"/>
        <v/>
      </c>
      <c r="ET146" s="259" t="str">
        <f ca="1">IFERROR(UPPER(INDEX($ER$3:$ES$500,MATCH(ROWS(ET$3:ET146),$ER$3:$ER$500,0),2)),"")</f>
        <v/>
      </c>
      <c r="EW146" s="259">
        <f t="shared" ca="1" si="344"/>
        <v>1</v>
      </c>
      <c r="EX146" s="259">
        <v>44</v>
      </c>
      <c r="EY146" s="259">
        <f t="shared" ca="1" si="345"/>
        <v>0</v>
      </c>
      <c r="EZ146" s="259">
        <f t="shared" ca="1" si="346"/>
        <v>0</v>
      </c>
      <c r="FA146" s="259">
        <f t="shared" ca="1" si="347"/>
        <v>0</v>
      </c>
      <c r="FB146" s="259">
        <f t="shared" ca="1" si="348"/>
        <v>0</v>
      </c>
      <c r="FC146" s="259">
        <f t="shared" ca="1" si="349"/>
        <v>0</v>
      </c>
      <c r="FD146" s="259">
        <f t="shared" ca="1" si="387"/>
        <v>0</v>
      </c>
      <c r="FE146" s="259" t="str">
        <f t="shared" ca="1" si="388"/>
        <v/>
      </c>
      <c r="FF146" s="259" t="str">
        <f t="shared" ca="1" si="350"/>
        <v/>
      </c>
      <c r="FM146" s="259">
        <f t="shared" ca="1" si="389"/>
        <v>0</v>
      </c>
      <c r="FN146" s="259">
        <f ca="1">IF(FM146&lt;0,MAX($FN$2:FN145)+1,0)</f>
        <v>0</v>
      </c>
      <c r="FO146" s="259" t="str">
        <f t="shared" ca="1" si="436"/>
        <v/>
      </c>
      <c r="FP146" s="259" t="str">
        <f ca="1">IFERROR(INDEX($FN$3:$FO$400,MATCH(ROWS($FP$3:FP146),$FN$3:$FN$400,0),2),"")</f>
        <v/>
      </c>
      <c r="FQ146" s="259" t="str">
        <f>IF(AE146="SE AVERE",MAX($FQ$2:FQ145)+1,"")</f>
        <v/>
      </c>
      <c r="FR146" s="259">
        <f>IF(AE146="SE DARE",MAX($FR$2:FR145)+1,"")</f>
        <v>51</v>
      </c>
      <c r="FS146" s="259" t="str">
        <f ca="1">IF(AND(AE146="SP DARE",AA146&lt;&gt;$FS$1,AA146&lt;&gt;$FT$1),MAX($FS$2:FS145)+1,IF(AND(GQ146="SP DARE",AA146&lt;&gt;$FS$1,AA146&lt;&gt;$FT$1),MAX($FS$2:FS145)+1,""))</f>
        <v/>
      </c>
      <c r="FT146" s="259" t="str">
        <f ca="1">IF(AND(AE146="SP AVERE",AA146&lt;&gt;$FU$1),MAX($FT$2:FT145)+1,IF(AND(GQ146="SP AVERE",AA146&lt;&gt;$FU$1),MAX($FT$2:FT145)+1,""))</f>
        <v/>
      </c>
      <c r="FU146" s="259">
        <f t="shared" ca="1" si="437"/>
        <v>51</v>
      </c>
      <c r="FV146" s="259" t="str">
        <f t="shared" si="438"/>
        <v>AMMORTAMENTO SOFTWARE</v>
      </c>
      <c r="FW146" s="259" t="str">
        <f ca="1">IFERROR(INDEX($FU$3:$FV$500,MATCH(ROWS($FW$3:FW146),$FU$3:$FU$500,0),2),0)</f>
        <v>FONDO RESPONSABILITÀ CIVILE</v>
      </c>
      <c r="FX146" s="259">
        <f t="shared" ca="1" si="439"/>
        <v>144</v>
      </c>
      <c r="FY146" s="259">
        <f t="shared" ca="1" si="440"/>
        <v>0</v>
      </c>
      <c r="FZ146" s="259">
        <f ca="1">IF(FY146&gt;0,MAX($FZ$2:FZ145)+1,0)</f>
        <v>0</v>
      </c>
      <c r="GA146" s="259">
        <f ca="1">IFERROR(INDEX($FY$3:$FZ$500,MATCH(ROWS($GA$3:GA146),$FZ$3:$FZ$500,0),1),0)</f>
        <v>0</v>
      </c>
      <c r="GC146" s="259">
        <f t="shared" ca="1" si="441"/>
        <v>144</v>
      </c>
      <c r="GD146" s="259" t="str">
        <f t="shared" ca="1" si="442"/>
        <v>FONDO RESPONSABILITÀ CIVILE</v>
      </c>
      <c r="GG146" s="259">
        <f t="shared" ca="1" si="443"/>
        <v>0</v>
      </c>
      <c r="GH146" s="259">
        <f t="shared" ca="1" si="444"/>
        <v>0</v>
      </c>
      <c r="GI146" s="259">
        <f t="shared" ca="1" si="445"/>
        <v>0</v>
      </c>
      <c r="GJ146" s="259">
        <f t="shared" ca="1" si="446"/>
        <v>0</v>
      </c>
      <c r="GK146" s="259">
        <f t="shared" ca="1" si="447"/>
        <v>0</v>
      </c>
      <c r="GL146" s="259">
        <f t="shared" ca="1" si="447"/>
        <v>0</v>
      </c>
      <c r="GM146" s="259">
        <f ca="1">IF(OR(GK146&gt;0,GL146&gt;0),MAX($GM$2:GM145)+1,0)</f>
        <v>0</v>
      </c>
      <c r="GN146" s="259" t="str">
        <f ca="1">IFERROR(INDEX($GD$3:$GM$400,MATCH(ROWS($GN$3:GN146),$GM$3:$GM$400,0),1),"")</f>
        <v/>
      </c>
      <c r="GO146" s="259" t="str">
        <f ca="1">IFERROR(INDEX($GD$3:$GM$400,MATCH(ROWS($GO$3:GO146),$GM$3:$GM$400,0),8),"")</f>
        <v/>
      </c>
      <c r="GP146" s="259" t="str">
        <f ca="1">IFERROR(INDEX($GD$3:$GM$400,MATCH(ROWS($GP$3:GP146),$GM$3:$GM$400,0),9),"")</f>
        <v/>
      </c>
      <c r="GQ146" s="259">
        <f t="shared" ca="1" si="390"/>
        <v>0</v>
      </c>
      <c r="GR146" s="259">
        <f t="shared" ca="1" si="448"/>
        <v>0</v>
      </c>
      <c r="GS146" s="259" t="str">
        <f t="shared" ca="1" si="449"/>
        <v>chiusura del conto</v>
      </c>
      <c r="GT146" s="259" t="str">
        <f ca="1">IFERROR(INDEX($GD$3:$GS$400,MATCH(ROWS($GT$3:GT146),$GM$3:$GM$400,0),16),"")</f>
        <v/>
      </c>
      <c r="GU146" s="259">
        <f ca="1">IF(GQ146&lt;&gt;0,MAX($GU$2:$GU145)+1,0)</f>
        <v>0</v>
      </c>
      <c r="GV146" s="259">
        <f t="shared" ca="1" si="450"/>
        <v>0</v>
      </c>
      <c r="GW146" s="259" t="str">
        <f ca="1">IF(AND(IFERROR(INDEX($GU$3:$GV$400,MATCH(ROWS($GW$3:GW146),$GU$3:$GU$400,0),2),"")&lt;&gt;"",GW147&lt;&gt;""),CONCATENATE(IFERROR(INDEX($GU$3:$GV$400,MATCH(ROWS($GW$3:GW146),$GU$3:$GU$400,0),2),"")," - "),IFERROR(INDEX($GU$3:$GV$400,MATCH(ROWS($GW$3:GW146),$GU$3:$GU$400,0),2),""))</f>
        <v/>
      </c>
      <c r="GX146" s="259">
        <f ca="1">IF(OR(GN146="IVA NS/CREDITO",GN146="IVA NS/DEBITO",GN146="IVA C/ACCONTO",GN146="IMPOSTE C/ACCONTO"),MAX($GX$2:GX145)+1,0)</f>
        <v>0</v>
      </c>
      <c r="GY146" s="259" t="str">
        <f ca="1">IF(AND(IFERROR(INDEX($GN$3:$GX$200,MATCH(ROWS($GY$3:GY146),$GX$3:$GX$200,0),1),"")&lt;&gt;"",GY147&lt;&gt;""),CONCATENATE(IFERROR(INDEX($GN$3:$GX$200,MATCH(ROWS($GY$3:GY146),$GX$3:$GX$200,0),1),"")," - "),IFERROR(INDEX($GN$3:$GX$200,MATCH(ROWS($GY$3:GY146),$GX$3:$GX$200,0),1),""))</f>
        <v/>
      </c>
      <c r="GZ146" s="259" t="s">
        <v>163</v>
      </c>
      <c r="HA146" s="259" t="s">
        <v>151</v>
      </c>
      <c r="HB146" s="269" t="s">
        <v>256</v>
      </c>
      <c r="HC146" s="269" t="s">
        <v>276</v>
      </c>
      <c r="HD146" s="269" t="s">
        <v>7</v>
      </c>
      <c r="HE146" s="269" t="s">
        <v>214</v>
      </c>
      <c r="HV146" s="259" t="str">
        <f ca="1">CONCATENATE(IFERROR(INDEX($HS$3:$HT$102,MATCH(ROWS($HV$3:HV146),$HT$3:$HT$102,0),1),""),HR146)</f>
        <v/>
      </c>
      <c r="IC146" s="259">
        <f ca="1">IFERROR(INDEX(PIANO_DEI_CONTI,MATCH(ROWS(DL$3:DL146),$DK$3:DK373,0),2),0)</f>
        <v>0</v>
      </c>
      <c r="ID146" s="259">
        <f t="shared" ca="1" si="451"/>
        <v>0</v>
      </c>
      <c r="IE146" s="259">
        <f t="shared" ca="1" si="452"/>
        <v>0</v>
      </c>
      <c r="IF146" s="259">
        <f t="shared" ca="1" si="453"/>
        <v>0</v>
      </c>
      <c r="IG146" s="259">
        <f t="shared" ca="1" si="324"/>
        <v>0</v>
      </c>
      <c r="IH146" s="259">
        <f ca="1">IF(IG146&lt;&gt;0,MAX($IH$35:IH145)+1,0)</f>
        <v>0</v>
      </c>
      <c r="II146" s="259">
        <f>IF(AD146="costi pluriennali",MAX($II$2:II145)+1,0)</f>
        <v>0</v>
      </c>
      <c r="IJ146" s="259">
        <f>IF($AD146="rettifiche costi pluriennali",MAX($IJ$2:IJ145)+1,0)</f>
        <v>0</v>
      </c>
      <c r="IK146" s="259">
        <f t="shared" si="454"/>
        <v>0</v>
      </c>
      <c r="IL146" s="259" t="str">
        <f t="shared" si="455"/>
        <v/>
      </c>
      <c r="IM146" s="259">
        <f t="shared" ca="1" si="456"/>
        <v>0</v>
      </c>
      <c r="IN146" s="259">
        <f t="shared" ca="1" si="470"/>
        <v>0</v>
      </c>
      <c r="IO146" s="259">
        <f>SUMIFS($IM$3:$IM$200,$IK$3:$IK$200,ROWS($IO$3:IO146))-SUMIFS($IN$3:$IN$200,$IK$3:$IK$200,ROWS($IO$3:IO146))</f>
        <v>0</v>
      </c>
      <c r="IP146" s="259" t="str">
        <f>IF(IO146&lt;0,INDEX($IJ$3:$IL$200,MATCH(ROWS($IP$3:IP146),$IJ$3:$IJ$200,0),3),"")</f>
        <v/>
      </c>
      <c r="IQ146" s="259">
        <f>IF(IP146&lt;&gt;"",MAX($IQ$2:IQ145)+1,0)</f>
        <v>0</v>
      </c>
      <c r="IR146" s="259" t="str">
        <f ca="1">IFERROR(INDEX($IP$3:$IQ$200,MATCH(ROWS($IR$3:IR146),$IQ$3:$IQ$200,0),1),"")</f>
        <v/>
      </c>
      <c r="IS146" s="259" t="str">
        <f t="shared" ca="1" si="457"/>
        <v/>
      </c>
      <c r="IT146" s="259" t="str">
        <f t="shared" ca="1" si="458"/>
        <v/>
      </c>
      <c r="IU146" s="259" t="str">
        <f t="shared" ca="1" si="459"/>
        <v/>
      </c>
      <c r="IV146" s="259" t="str">
        <f t="shared" ca="1" si="460"/>
        <v/>
      </c>
      <c r="IW146" s="259" t="str">
        <f t="shared" ca="1" si="461"/>
        <v/>
      </c>
      <c r="IX146" s="259" t="str">
        <f t="shared" ca="1" si="462"/>
        <v/>
      </c>
      <c r="IY146" s="259" t="str">
        <f t="shared" ca="1" si="463"/>
        <v/>
      </c>
      <c r="IZ146" s="259" t="str">
        <f t="shared" ca="1" si="464"/>
        <v/>
      </c>
      <c r="JA146" s="259" t="str">
        <f t="shared" ca="1" si="465"/>
        <v/>
      </c>
      <c r="JB146" s="259">
        <f t="shared" ca="1" si="391"/>
        <v>0</v>
      </c>
      <c r="JC146" s="259">
        <f t="shared" ca="1" si="351"/>
        <v>0</v>
      </c>
      <c r="JD146" s="259">
        <f t="shared" ca="1" si="352"/>
        <v>0</v>
      </c>
      <c r="JM146" s="259">
        <f t="shared" ca="1" si="353"/>
        <v>0</v>
      </c>
    </row>
    <row r="147" spans="1:273">
      <c r="A147" s="259" t="str">
        <f t="shared" si="392"/>
        <v>31.05</v>
      </c>
      <c r="B147" s="259" t="str">
        <f t="shared" si="393"/>
        <v>COSTI TELEFONICI</v>
      </c>
      <c r="C147" s="259" t="str">
        <f t="shared" si="394"/>
        <v>E</v>
      </c>
      <c r="D147" s="259" t="str">
        <f t="shared" si="395"/>
        <v>D</v>
      </c>
      <c r="E147" s="259" t="str">
        <f t="shared" si="396"/>
        <v>COSTI D'ESERCIZIO</v>
      </c>
      <c r="F147" s="259" t="str">
        <f t="shared" si="397"/>
        <v>SE DARE</v>
      </c>
      <c r="G147" s="259">
        <f t="shared" ca="1" si="398"/>
        <v>1</v>
      </c>
      <c r="H147" s="259">
        <f t="shared" ca="1" si="399"/>
        <v>1</v>
      </c>
      <c r="I147" s="259">
        <f t="shared" ca="1" si="400"/>
        <v>1</v>
      </c>
      <c r="K147" s="259" t="str">
        <f ca="1">IFERROR(IF($I$1=1,INDEX($AA$3:$AS$220,MATCH(ROWS($K$3:K147),$AQ$3:$AQ$220,0),1),IF($I$1=2,INDEX($AA$3:$AS$220,MATCH(ROWS($K$3:K147),$AR$3:$AR$220,0),1),IF($I$1=3,INDEX($AA$3:$AS$220,MATCH(ROWS($K$3:K147),$AS$3:$AS$220,0),1),""))),"")</f>
        <v>AMMORTAMENTO MACCHINE D'UFFICIO</v>
      </c>
      <c r="L147" s="259">
        <f ca="1">IF(AND($L$1="VISUALIZZA TUTTI I CONTI",K147&lt;&gt;""),MAX(L146:L146)+1,IFERROR(IF($J$1=1,IF(INDEX(PIANO_DEI_CONTI,MATCH($K147,DENOMINAZIONE,0),5)=$L$1,MAX($L$2:L146)+1,0),IF($J$1=2,IF(INDEX(PIANO_DEI_CONTI,MATCH($K147,DENOMINAZIONE,0),7)=$L$1,MAX($L$2:L146)+1,0))),0))</f>
        <v>145</v>
      </c>
      <c r="M147" s="259" t="str">
        <f ca="1">IFERROR(INDEX($K$3:$K$220,MATCH(ROWS($M$3:M147),$L$3:$L$220,0),1),"")</f>
        <v>AMMORTAMENTO MACCHINE D'UFFICIO</v>
      </c>
      <c r="Q147" s="259" t="str">
        <f ca="1">IF(IFERROR(INDEX($O$3:$P$220,MATCH(ROWS(Q$3:Q147),$P$3:$P$220,0),1),"")=0,"",IFERROR(INDEX($O$3:$P$220,MATCH(ROWS(Q$3:Q147),$P$3:$P$220,0),1),""))</f>
        <v/>
      </c>
      <c r="R147" s="259" t="str">
        <f t="shared" ca="1" si="366"/>
        <v/>
      </c>
      <c r="S147" s="259">
        <f ca="1">IF(IFERROR(MATCH(R147,DENOMINAZIONE_GIORNALE,0),0)&gt;0,MAX(S$2:S146)+1,0)</f>
        <v>0</v>
      </c>
      <c r="T147" s="259" t="str">
        <f ca="1">IFERROR(INDEX($R$3:$S$220,MATCH(ROWS($T$3:T147),$S$3:$S$220,0),1),"")</f>
        <v/>
      </c>
      <c r="U147" s="259">
        <f t="shared" ca="1" si="367"/>
        <v>0</v>
      </c>
      <c r="V147" s="259">
        <f ca="1">IF(IF(U147&lt;&gt;0,MAX($V$2:V146)+1,0)=0,0,IF(U147&lt;&gt;0,MAX($V$2:V146)+1,0))</f>
        <v>0</v>
      </c>
      <c r="W147" s="259" t="str">
        <f t="shared" si="401"/>
        <v>31.05</v>
      </c>
      <c r="X147" s="259" t="str">
        <f t="shared" si="402"/>
        <v>COSTI TELEFONICI</v>
      </c>
      <c r="Y147" s="259">
        <f>IF(W147="",0,MAX($Y$2:Y146)+1)</f>
        <v>125</v>
      </c>
      <c r="Z147" s="259" t="str">
        <f>IFERROR(INDEX($W$3:$Y$220,MATCH(ROWS($Z$2:Z146),$Y$3:$Y$220,0),1),"")</f>
        <v>34.05</v>
      </c>
      <c r="AA147" s="259" t="str">
        <f t="shared" si="403"/>
        <v>AMMORTAMENTO AVVIAMENTO</v>
      </c>
      <c r="AB147" s="259" t="str">
        <f t="shared" si="404"/>
        <v>E</v>
      </c>
      <c r="AC147" s="259" t="str">
        <f t="shared" si="405"/>
        <v>D</v>
      </c>
      <c r="AD147" s="259" t="str">
        <f t="shared" si="406"/>
        <v>COSTI D'ESERCIZIO</v>
      </c>
      <c r="AE147" s="259" t="str">
        <f t="shared" si="407"/>
        <v>SE DARE</v>
      </c>
      <c r="AF147" s="259" t="str">
        <f t="shared" si="408"/>
        <v>AMMORTAMENTI IMMOBILIZZAZIONI IMMATERIALI</v>
      </c>
      <c r="AG147" s="259">
        <f t="shared" ca="1" si="409"/>
        <v>0</v>
      </c>
      <c r="AH147" s="259">
        <f t="shared" ca="1" si="410"/>
        <v>0</v>
      </c>
      <c r="AI147" s="259">
        <f t="shared" ca="1" si="411"/>
        <v>1</v>
      </c>
      <c r="AJ147" s="259" t="str">
        <f t="shared" si="412"/>
        <v>34</v>
      </c>
      <c r="AK147" s="259" t="str">
        <f t="shared" si="413"/>
        <v/>
      </c>
      <c r="AL147" s="259">
        <f>IF(AK147&lt;&gt;"",MAX($AL$2:AL146)+1,0)</f>
        <v>0</v>
      </c>
      <c r="AM147" s="259" t="str">
        <f>IFERROR(INDEX($AK$3:$AL$220,MATCH(ROWS($AM$3:AM147),$AL$3:$AL$220,0),1),"")</f>
        <v/>
      </c>
      <c r="AN147" s="259" t="str">
        <f t="shared" si="414"/>
        <v/>
      </c>
      <c r="AO147" s="259" t="str">
        <f t="shared" si="415"/>
        <v/>
      </c>
      <c r="AP147" s="259" t="str">
        <f t="shared" si="416"/>
        <v>AMMORTAMENTI IMMOBILIZZAZIONI IMMATERIALI</v>
      </c>
      <c r="AQ147" s="259">
        <f ca="1">IF(OR(AG147=0,AG147=""),0,MAX(AQ$2:AQ146)+1)</f>
        <v>0</v>
      </c>
      <c r="AR147" s="259">
        <f ca="1">IF(OR(AH147=0,AH147=""),0,MAX(AR$2:AR146)+1)</f>
        <v>0</v>
      </c>
      <c r="AS147" s="259">
        <f ca="1">IF(OR(AI147=0,AI147=""),0,MAX(AS$2:AS146)+1)</f>
        <v>141</v>
      </c>
      <c r="AT147" s="259" t="str">
        <f ca="1">IFERROR(INDEX($AD$3:$AS$220,MATCH(ROWS(AT$3:AT147),AQ$3:AQ$220,0),1),"")</f>
        <v/>
      </c>
      <c r="AU147" s="259" t="str">
        <f ca="1">IFERROR(INDEX($AD$3:$AS$220,MATCH(ROWS(AU$3:AU147),AR$3:AR$220,0),1),"")</f>
        <v/>
      </c>
      <c r="AV147" s="259" t="str">
        <f ca="1">IFERROR(INDEX($AD$3:$AS$220,MATCH(ROWS(AV$3:AV147),AS$3:AS$220,0),1),"")</f>
        <v>COSTI D'ESERCIZIO</v>
      </c>
      <c r="AW147" s="259" t="str">
        <f ca="1">IFERROR(INDEX($AP$3:$AS$220,MATCH(ROWS(AW$3:AW147),AQ$3:AQ$220,0),1),"")</f>
        <v/>
      </c>
      <c r="AX147" s="259" t="str">
        <f ca="1">IFERROR(INDEX($AP$3:$AS$220,MATCH(ROWS(AX$3:AX147),AR$3:AR$220,0),1),"")</f>
        <v/>
      </c>
      <c r="AY147" s="259" t="str">
        <f ca="1">IFERROR(INDEX($AP$3:$AS$220,MATCH(ROWS(AY$3:AY147),AS$3:AS$220,0),1),"")</f>
        <v>AMMORTAMENTI IMMOBILIZZAZIONI MATERIALI</v>
      </c>
      <c r="AZ147" s="259" t="str">
        <f t="shared" si="339"/>
        <v>45 V.I.</v>
      </c>
      <c r="BA147" s="259">
        <f t="shared" ca="1" si="338"/>
        <v>0</v>
      </c>
      <c r="BB147" s="259">
        <f t="shared" ca="1" si="340"/>
        <v>0</v>
      </c>
      <c r="BC147" s="259">
        <f t="shared" ca="1" si="341"/>
        <v>0</v>
      </c>
      <c r="BD147" s="259">
        <f t="shared" ca="1" si="342"/>
        <v>0</v>
      </c>
      <c r="BE147" s="259">
        <f t="shared" ca="1" si="343"/>
        <v>0</v>
      </c>
      <c r="BG147" s="259" t="str">
        <f t="shared" ca="1" si="368"/>
        <v/>
      </c>
      <c r="BH147" s="259">
        <f ca="1">IF(IFERROR(MATCH(BG147,DENOMINAZIONE_GIORNALE,0),0)&gt;0,MAX(BH$2:BH146)+1,0)</f>
        <v>0</v>
      </c>
      <c r="BI147" s="259" t="str">
        <f ca="1">IFERROR(INDEX($BG$3:$BH$220,MATCH(ROWS($BI$3:BI147),$BH$3:$BH$220,0),1),"")</f>
        <v/>
      </c>
      <c r="BJ147" s="259" t="str">
        <f t="shared" ca="1" si="369"/>
        <v/>
      </c>
      <c r="BK147" s="259" t="str">
        <f ca="1">IF(IF(BJ147&lt;&gt;"",MAX($BK$2:BK146)+1,0)=0,"",IF(BJ147&lt;&gt;"",MAX($BK$2:BK146)+1,0))</f>
        <v/>
      </c>
      <c r="BL147" s="259" t="str">
        <f ca="1">IFERROR(INDEX($T$3:$U$220, MATCH(ROWS(BL$3:BL147),$V$3:$V$220,0),1),"")</f>
        <v/>
      </c>
      <c r="BM147" s="259" t="str">
        <f ca="1">IFERROR(INDEX($T$3:$U$220, MATCH(ROWS(BM$3:BM147),$V$3:$V$220,0),2),"")</f>
        <v/>
      </c>
      <c r="BN147" s="259" t="str">
        <f ca="1">IF(IFERROR(INDEX($BI$3:$BJ$220,MATCH(ROWS(BN$3:BN147),$BK$3:$BK$220,0),1),"")="PATRIMONIO NETTO","",IFERROR(INDEX($BI$3:$BJ$220,MATCH(ROWS(BN$3:BN147),$BK$3:$BK$220,0),1),""))</f>
        <v/>
      </c>
      <c r="BO147" s="259" t="str">
        <f ca="1">IFERROR(INDEX($BI$3:$BJ$220,MATCH(ROWS(BO$3:BO147),$BK$3:$BK$220,0),2),"")</f>
        <v/>
      </c>
      <c r="BP147" s="259">
        <f ca="1">IF(BN147&lt;&gt;"",MAX(BP$2:$BP146)+1,0)</f>
        <v>0</v>
      </c>
      <c r="BQ147" s="259" t="str">
        <f ca="1">IFERROR(INDEX($BN$3:$BO$200,MATCH(ROWS(BQ$3:BQ147),$BP$3:$BP$220,0),1),"")</f>
        <v/>
      </c>
      <c r="BR147" s="259" t="str">
        <f ca="1">IFERROR(INDEX($BN$3:$BO$220,MATCH(ROWS(BR$3:BR147),$BP$3:$BP$220,0),2),"")</f>
        <v/>
      </c>
      <c r="BS147" s="259" t="str">
        <f ca="1">IFERROR(IF(OR(INDEX($T$3:$U$220,MATCH(ROWS(BL$3:BL147),$V$3:$V$220,0),1)="PRELEVAMENTI EXTRAGESTIONE",INDEX($T$3:$U$220,MATCH(ROWS(BL$3:BL147),$V$3:$V$220,0),1)="TITOLARE C/RITENUTE SUBITE"),"",INDEX($T$3:$U$220,MATCH(ROWS(BL$3:BL147),$V$3:$V$220,0),1)),"")</f>
        <v/>
      </c>
      <c r="BT147" s="259">
        <f t="shared" ca="1" si="417"/>
        <v>0</v>
      </c>
      <c r="BU147" s="259">
        <f ca="1">IF(BS147&lt;&gt;"",MAX(BU$2:BU146)+1,0)</f>
        <v>0</v>
      </c>
      <c r="BV147" s="259" t="str">
        <f ca="1">IFERROR(INDEX($BS$3:$BT$223,MATCH(ROWS(BV$3:BV147),$BU$3:$BU$223,0),1),"")</f>
        <v/>
      </c>
      <c r="BW147" s="259">
        <f t="shared" ca="1" si="418"/>
        <v>0</v>
      </c>
      <c r="CB147" s="259" t="str">
        <f ca="1">IFERROR(IF(OR($BB$1&lt;&gt;$BD$1,$BC$1&lt;&gt;$BE$1,$DS$231&lt;&gt;$DT$231,$DU$231&lt;&gt;$DV$231,$EO$25&lt;&gt;0,$EO$26&lt;&gt;0),INDEX($BI$3:$BK$220,MATCH(ROWS($CB$3:CB147),$BK$3:$BK$220,0),1),CONCATENATE(BQ147,BX147)),"")</f>
        <v/>
      </c>
      <c r="CC147" s="259" t="str">
        <f t="shared" ca="1" si="419"/>
        <v/>
      </c>
      <c r="CD147" s="259" t="str">
        <f t="shared" ca="1" si="370"/>
        <v>AMMORTAMENTO AVVIAMENTO</v>
      </c>
      <c r="CE147" s="259">
        <f ca="1">IF(IFERROR(MATCH(CD147,DENOMINAZIONE_GIORNALE,0),0)&gt;0,MAX(CE$2:CE146)+1,0)</f>
        <v>0</v>
      </c>
      <c r="CF147" s="259" t="str">
        <f ca="1">IFERROR(INDEX($CD$3:$CE$220,MATCH(ROWS($CF$3:CF147),$CE$3:$CE$220,0),1),"")</f>
        <v/>
      </c>
      <c r="CG147" s="259">
        <f t="shared" ca="1" si="371"/>
        <v>0</v>
      </c>
      <c r="CH147" s="259" t="str">
        <f ca="1">IF(IF(CG147&lt;&gt;0,MAX($CH$2:CH146)+1,0)=0,"",IF(CG147&lt;&gt;"",MAX($CH$2:CH146)+1,0))</f>
        <v/>
      </c>
      <c r="CI147" s="259" t="str">
        <f ca="1">IFERROR(INDEX($CF$3:$CG$220,MATCH(ROWS($CI$3:CI147),$CH$3:$CH$220,0),1),"")</f>
        <v/>
      </c>
      <c r="CJ147" s="259" t="str">
        <f t="shared" ca="1" si="420"/>
        <v/>
      </c>
      <c r="CK147" s="259" t="str">
        <f t="shared" ca="1" si="372"/>
        <v/>
      </c>
      <c r="CL147" s="259">
        <f ca="1">IF(IFERROR(MATCH(CK147,DENOMINAZIONE_GIORNALE,0),0)&gt;0,MAX(CL$2:CL146)+1,0)</f>
        <v>0</v>
      </c>
      <c r="CM147" s="259" t="str">
        <f ca="1">IFERROR(INDEX($CK$3:$CL$220,MATCH(ROWS($CM$3:CM147),$CL$3:$CL$220,0),1),"")</f>
        <v/>
      </c>
      <c r="CN147" s="259" t="str">
        <f t="shared" ca="1" si="373"/>
        <v/>
      </c>
      <c r="CO147" s="259">
        <f ca="1">IF(IF(CN147&lt;&gt;0,MAX($CO$2:CO146)+1,0)=0,"",IF(CN147&lt;&gt;"",MAX($CO$2:CO146)+1,0))</f>
        <v>0</v>
      </c>
      <c r="CP147" s="259" t="str">
        <f ca="1">IFERROR(INDEX($CM$3:$CN$220,MATCH(ROWS(CP$3:CP147),$CO$3:$CO$220,0),1),"")</f>
        <v/>
      </c>
      <c r="CQ147" s="259" t="str">
        <f ca="1">IFERROR(INDEX($CM$3:$CN$220,MATCH(ROWS(CQ$3:CQ147),$CO$3:$CO$220,0),2),"")</f>
        <v/>
      </c>
      <c r="CS147" s="259">
        <f t="shared" ca="1" si="374"/>
        <v>0</v>
      </c>
      <c r="CT147" s="259">
        <f t="shared" ca="1" si="375"/>
        <v>0</v>
      </c>
      <c r="CU147" s="259">
        <f ca="1">IF(OR(CS147&gt;0,CT147&gt;0),MAX($CU$2:CU146)+1,0)</f>
        <v>0</v>
      </c>
      <c r="CV147" s="259" t="str">
        <f ca="1">IFERROR(INDEX(PIANO_DEI_CONTI,MATCH(ROWS($CV$3:CV147),$CU$3:$CU$200,0),2),"")</f>
        <v/>
      </c>
      <c r="CW147" s="259">
        <f ca="1">IFERROR(IF(CV147&lt;&gt;"",MAX($CW$2:CW146)+1,0),0)</f>
        <v>0</v>
      </c>
      <c r="CX147" s="259">
        <f ca="1">$EA$11</f>
        <v>9</v>
      </c>
      <c r="CY147" s="259" t="str">
        <f t="shared" ca="1" si="469"/>
        <v>MASTRO</v>
      </c>
      <c r="DA147" s="259" t="str">
        <f ca="1">IF(CY146="MASTRO","Conto n.","")</f>
        <v>Conto n.</v>
      </c>
      <c r="DB147" s="259" t="str">
        <f ca="1">IF(CY147=0,"",INDEX(PIANO_DEI_CONTI,MATCH(DC147,DENOMINAZIONE,0),1))</f>
        <v/>
      </c>
      <c r="DC147" s="259" t="str">
        <f ca="1">IF(OR(CY147=0,CY147="mastro"),"",CY147)</f>
        <v/>
      </c>
      <c r="DD147" s="259" t="str">
        <f ca="1">IF(AND($DA$2=TRUE,OR(INDEX(PIANO_DEI_CONTI,MATCH($DC147,DENOMINAZIONE,0),4)="A",INDEX(PIANO_DEI_CONTI,MATCH($DC147,DENOMINAZIONE,0),4)="D/A"),SUMIFS(AVERE,DENOMINAZIONE_GIORNALE,"="&amp;$DC147)&gt;SUMIFS(DARE,DENOMINAZIONE_GIORNALE,"="&amp;$DC147)),CONCATENATE("s ",FIXED(ABS(SUMIFS(AVERE,DENOMINAZIONE_GIORNALE,"="&amp;$DC147)-SUMIFS(DARE,DENOMINAZIONE_GIORNALE,"="&amp;$DC147)),2)),"")</f>
        <v/>
      </c>
      <c r="DE147" s="259" t="str">
        <f ca="1">IF(AND($DA$2=TRUE,OR(INDEX(PIANO_DEI_CONTI,MATCH($DC147,DENOMINAZIONE,0),4)="D",INDEX(PIANO_DEI_CONTI,MATCH($DC147,DENOMINAZIONE,0),4)="D/A"),SUMIFS(DARE,DENOMINAZIONE_GIORNALE,"="&amp;$DC147)&gt;SUMIFS(AVERE,DENOMINAZIONE_GIORNALE,"="&amp;$DC147)),CONCATENATE("s ",FIXED(ABS(SUMIFS(DARE,DENOMINAZIONE_GIORNALE,"="&amp;$DC147)-SUMIFS(AVERE,DENOMINAZIONE_GIORNALE,"="&amp;$DC147)),2)),"")</f>
        <v/>
      </c>
      <c r="DF147" s="259">
        <f ca="1">IF(AND(CX147=$DE$2,$DF$2&lt;&gt;0),0,IF(AND(DB147&lt;&gt;"",OR(DB146&lt;&gt;"",DB148&lt;&gt;"")),MAX($DF$2:DF146)+1,0))</f>
        <v>0</v>
      </c>
      <c r="DG147" s="259" t="str">
        <f>IF(IF(LIBRO_GIORNALE!E55="","",IFERROR(INDEX(PIANO_DEI_CONTI,MATCH(BB147,DENOMINAZIONE,0),1),0))=0,"",IF(LIBRO_GIORNALE!E55="","",IFERROR(INDEX(PIANO_DEI_CONTI,MATCH(BB147,DENOMINAZIONE,0),1),0)))</f>
        <v/>
      </c>
      <c r="DH147" s="259">
        <f ca="1">IFERROR(IF($J$1=1,IF(INDEX(PIANO_DEI_CONTI,MATCH($K147,DENOMINAZIONE,0),5)=$DF$1,MAX($DH$2:DH146)+1,0),IF($J$1=2,IF(INDEX(PIANO_DEI_CONTI,MATCH($K147,DENOMINAZIONE,0),7)=$DF$1,MAX($DH$2:DH146)+1,0))),0)</f>
        <v>0</v>
      </c>
      <c r="DI147" s="259">
        <f ca="1">IFERROR(INDEX($K$3:$K$220,MATCH(ROWS($DI$3:DI147),$DH$3:$DH$220,0),1),0)</f>
        <v>0</v>
      </c>
      <c r="DJ147" s="259">
        <f t="shared" ca="1" si="381"/>
        <v>0</v>
      </c>
      <c r="DK147" s="259">
        <f ca="1">IF(DJ147=0,0,MAX(DK$2:DK146)+1)</f>
        <v>0</v>
      </c>
      <c r="DL147" s="259">
        <f ca="1">IFERROR(INDEX(PIANO_DEI_CONTI,MATCH(ROWS(DL$3:DL147),$DK$3:DK374,0),2),0)</f>
        <v>0</v>
      </c>
      <c r="DM147" s="259">
        <f t="shared" ca="1" si="382"/>
        <v>0</v>
      </c>
      <c r="DN147" s="259">
        <f t="shared" ca="1" si="383"/>
        <v>0</v>
      </c>
      <c r="DO147" s="259">
        <f t="shared" ca="1" si="422"/>
        <v>0</v>
      </c>
      <c r="DP147" s="259">
        <f t="shared" ca="1" si="423"/>
        <v>0</v>
      </c>
      <c r="DQ147" s="259">
        <f ca="1">IF(OR($DQ$1="TOTALI",$DQ$1="TOTALI ED ECCEDENZE"),IF(OR(DM147&gt;0,DN147&gt;0),MAX(DQ$2:DQ146)+1,0),IF($DQ$1="ECCEDENZE",IF(OR(DO147&gt;0,DP147&gt;0),MAX(DQ$2:DQ146)+1,0),""))</f>
        <v>0</v>
      </c>
      <c r="DR147" s="259" t="str">
        <f ca="1">IFERROR(INDEX($DL$3:$DQ$230,MATCH(ROWS(DR$3:DR147),$DQ$3:$DQ$230,0),1),"")</f>
        <v/>
      </c>
      <c r="DS147" s="259" t="str">
        <f t="shared" ca="1" si="424"/>
        <v/>
      </c>
      <c r="DT147" s="259" t="str">
        <f t="shared" ca="1" si="425"/>
        <v/>
      </c>
      <c r="DU147" s="259" t="str">
        <f t="shared" ca="1" si="426"/>
        <v/>
      </c>
      <c r="DV147" s="259" t="str">
        <f t="shared" ca="1" si="427"/>
        <v/>
      </c>
      <c r="DW147" s="259">
        <f t="shared" ca="1" si="428"/>
        <v>0</v>
      </c>
      <c r="DX147" s="259" t="str">
        <f t="shared" ca="1" si="429"/>
        <v/>
      </c>
      <c r="DY147" s="259" t="str">
        <f t="shared" ca="1" si="430"/>
        <v/>
      </c>
      <c r="DZ147" s="259" t="str">
        <f t="shared" ca="1" si="431"/>
        <v/>
      </c>
      <c r="EB147" s="259" t="s">
        <v>378</v>
      </c>
      <c r="ED147" s="259">
        <f t="shared" ca="1" si="384"/>
        <v>0</v>
      </c>
      <c r="EH147" s="259" t="str">
        <f t="shared" ca="1" si="432"/>
        <v/>
      </c>
      <c r="EI147" s="260" t="b">
        <f t="shared" ca="1" si="466"/>
        <v>1</v>
      </c>
      <c r="EJ147" s="260" t="b">
        <f t="shared" ca="1" si="467"/>
        <v>1</v>
      </c>
      <c r="EK147" s="260" t="b">
        <f t="shared" ca="1" si="468"/>
        <v>1</v>
      </c>
      <c r="EL147" s="259">
        <f t="shared" si="433"/>
        <v>145</v>
      </c>
      <c r="EM147" s="259">
        <f ca="1">IF(AND(BA147&gt;0,BA147&lt;=$EM$1),MAX($EM$2:EM146)+1,0)</f>
        <v>0</v>
      </c>
      <c r="EN147" s="259">
        <f t="shared" ca="1" si="434"/>
        <v>147</v>
      </c>
      <c r="EP147" s="259" t="str">
        <f t="shared" ca="1" si="385"/>
        <v/>
      </c>
      <c r="EQ147" s="259">
        <f t="shared" ca="1" si="386"/>
        <v>0</v>
      </c>
      <c r="ER147" s="259">
        <f ca="1">IF(ISNA(EQ147),MAX(ER$2:ER146)+1,0)</f>
        <v>0</v>
      </c>
      <c r="ES147" s="259" t="str">
        <f t="shared" ca="1" si="435"/>
        <v/>
      </c>
      <c r="ET147" s="259" t="str">
        <f ca="1">IFERROR(UPPER(INDEX($ER$3:$ES$500,MATCH(ROWS(ET$3:ET147),$ER$3:$ER$500,0),2)),"")</f>
        <v/>
      </c>
      <c r="EW147" s="259">
        <f t="shared" ca="1" si="344"/>
        <v>1</v>
      </c>
      <c r="EX147" s="259">
        <v>45</v>
      </c>
      <c r="EY147" s="259">
        <f t="shared" ca="1" si="345"/>
        <v>0</v>
      </c>
      <c r="EZ147" s="259">
        <f t="shared" ca="1" si="346"/>
        <v>0</v>
      </c>
      <c r="FA147" s="259">
        <f t="shared" ca="1" si="347"/>
        <v>0</v>
      </c>
      <c r="FB147" s="259">
        <f t="shared" ca="1" si="348"/>
        <v>0</v>
      </c>
      <c r="FC147" s="259">
        <f t="shared" ca="1" si="349"/>
        <v>0</v>
      </c>
      <c r="FD147" s="259">
        <f t="shared" ca="1" si="387"/>
        <v>0</v>
      </c>
      <c r="FE147" s="259" t="str">
        <f t="shared" ca="1" si="388"/>
        <v/>
      </c>
      <c r="FF147" s="259" t="str">
        <f t="shared" ca="1" si="350"/>
        <v/>
      </c>
      <c r="FM147" s="259">
        <f t="shared" ca="1" si="389"/>
        <v>0</v>
      </c>
      <c r="FN147" s="259">
        <f ca="1">IF(FM147&lt;0,MAX($FN$2:FN146)+1,0)</f>
        <v>0</v>
      </c>
      <c r="FO147" s="259" t="str">
        <f t="shared" ca="1" si="436"/>
        <v/>
      </c>
      <c r="FP147" s="259" t="str">
        <f ca="1">IFERROR(INDEX($FN$3:$FO$400,MATCH(ROWS($FP$3:FP147),$FN$3:$FN$400,0),2),"")</f>
        <v/>
      </c>
      <c r="FQ147" s="259" t="str">
        <f>IF(AE147="SE AVERE",MAX($FQ$2:FQ146)+1,"")</f>
        <v/>
      </c>
      <c r="FR147" s="259">
        <f>IF(AE147="SE DARE",MAX($FR$2:FR146)+1,"")</f>
        <v>52</v>
      </c>
      <c r="FS147" s="259" t="str">
        <f ca="1">IF(AND(AE147="SP DARE",AA147&lt;&gt;$FS$1,AA147&lt;&gt;$FT$1),MAX($FS$2:FS146)+1,IF(AND(GQ147="SP DARE",AA147&lt;&gt;$FS$1,AA147&lt;&gt;$FT$1),MAX($FS$2:FS146)+1,""))</f>
        <v/>
      </c>
      <c r="FT147" s="259" t="str">
        <f ca="1">IF(AND(AE147="SP AVERE",AA147&lt;&gt;$FU$1),MAX($FT$2:FT146)+1,IF(AND(GQ147="SP AVERE",AA147&lt;&gt;$FU$1),MAX($FT$2:FT146)+1,""))</f>
        <v/>
      </c>
      <c r="FU147" s="259">
        <f t="shared" ca="1" si="437"/>
        <v>52</v>
      </c>
      <c r="FV147" s="259" t="str">
        <f t="shared" si="438"/>
        <v>AMMORTAMENTO AVVIAMENTO</v>
      </c>
      <c r="FW147" s="259" t="str">
        <f ca="1">IFERROR(INDEX($FU$3:$FV$500,MATCH(ROWS($FW$3:FW147),$FU$3:$FU$500,0),2),0)</f>
        <v>FONDO MANUTENZIONI PROGRAMMATE</v>
      </c>
      <c r="FX147" s="259">
        <f t="shared" ca="1" si="439"/>
        <v>145</v>
      </c>
      <c r="FY147" s="259">
        <f t="shared" ca="1" si="440"/>
        <v>0</v>
      </c>
      <c r="FZ147" s="259">
        <f ca="1">IF(FY147&gt;0,MAX($FZ$2:FZ146)+1,0)</f>
        <v>0</v>
      </c>
      <c r="GA147" s="259">
        <f ca="1">IFERROR(INDEX($FY$3:$FZ$500,MATCH(ROWS($GA$3:GA147),$FZ$3:$FZ$500,0),1),0)</f>
        <v>0</v>
      </c>
      <c r="GC147" s="259">
        <f t="shared" ca="1" si="441"/>
        <v>145</v>
      </c>
      <c r="GD147" s="259" t="str">
        <f t="shared" ca="1" si="442"/>
        <v>FONDO MANUTENZIONI PROGRAMMATE</v>
      </c>
      <c r="GG147" s="259">
        <f t="shared" ca="1" si="443"/>
        <v>0</v>
      </c>
      <c r="GH147" s="259">
        <f t="shared" ca="1" si="444"/>
        <v>0</v>
      </c>
      <c r="GI147" s="259">
        <f t="shared" ca="1" si="445"/>
        <v>0</v>
      </c>
      <c r="GJ147" s="259">
        <f t="shared" ca="1" si="446"/>
        <v>0</v>
      </c>
      <c r="GK147" s="259">
        <f t="shared" ca="1" si="447"/>
        <v>0</v>
      </c>
      <c r="GL147" s="259">
        <f t="shared" ca="1" si="447"/>
        <v>0</v>
      </c>
      <c r="GM147" s="259">
        <f ca="1">IF(OR(GK147&gt;0,GL147&gt;0),MAX($GM$2:GM146)+1,0)</f>
        <v>0</v>
      </c>
      <c r="GN147" s="259" t="str">
        <f ca="1">IFERROR(INDEX($GD$3:$GM$400,MATCH(ROWS($GN$3:GN147),$GM$3:$GM$400,0),1),"")</f>
        <v/>
      </c>
      <c r="GO147" s="259" t="str">
        <f ca="1">IFERROR(INDEX($GD$3:$GM$400,MATCH(ROWS($GO$3:GO147),$GM$3:$GM$400,0),8),"")</f>
        <v/>
      </c>
      <c r="GP147" s="259" t="str">
        <f ca="1">IFERROR(INDEX($GD$3:$GM$400,MATCH(ROWS($GP$3:GP147),$GM$3:$GM$400,0),9),"")</f>
        <v/>
      </c>
      <c r="GQ147" s="259">
        <f t="shared" ca="1" si="390"/>
        <v>0</v>
      </c>
      <c r="GR147" s="259">
        <f t="shared" ca="1" si="448"/>
        <v>0</v>
      </c>
      <c r="GS147" s="259" t="str">
        <f t="shared" ca="1" si="449"/>
        <v>chiusura del conto</v>
      </c>
      <c r="GT147" s="259" t="str">
        <f ca="1">IFERROR(INDEX($GD$3:$GS$400,MATCH(ROWS($GT$3:GT147),$GM$3:$GM$400,0),16),"")</f>
        <v/>
      </c>
      <c r="GU147" s="259">
        <f ca="1">IF(GQ147&lt;&gt;0,MAX($GU$2:$GU146)+1,0)</f>
        <v>0</v>
      </c>
      <c r="GV147" s="259">
        <f t="shared" ca="1" si="450"/>
        <v>0</v>
      </c>
      <c r="GW147" s="259" t="str">
        <f ca="1">IF(AND(IFERROR(INDEX($GU$3:$GV$400,MATCH(ROWS($GW$3:GW147),$GU$3:$GU$400,0),2),"")&lt;&gt;"",GW148&lt;&gt;""),CONCATENATE(IFERROR(INDEX($GU$3:$GV$400,MATCH(ROWS($GW$3:GW147),$GU$3:$GU$400,0),2),"")," - "),IFERROR(INDEX($GU$3:$GV$400,MATCH(ROWS($GW$3:GW147),$GU$3:$GU$400,0),2),""))</f>
        <v/>
      </c>
      <c r="GX147" s="259">
        <f ca="1">IF(OR(GN147="IVA NS/CREDITO",GN147="IVA NS/DEBITO",GN147="IVA C/ACCONTO",GN147="IMPOSTE C/ACCONTO"),MAX($GX$2:GX146)+1,0)</f>
        <v>0</v>
      </c>
      <c r="GY147" s="259" t="str">
        <f ca="1">IF(AND(IFERROR(INDEX($GN$3:$GX$200,MATCH(ROWS($GY$3:GY147),$GX$3:$GX$200,0),1),"")&lt;&gt;"",GY148&lt;&gt;""),CONCATENATE(IFERROR(INDEX($GN$3:$GX$200,MATCH(ROWS($GY$3:GY147),$GX$3:$GX$200,0),1),"")," - "),IFERROR(INDEX($GN$3:$GX$200,MATCH(ROWS($GY$3:GY147),$GX$3:$GX$200,0),1),""))</f>
        <v/>
      </c>
      <c r="GZ147" s="259" t="s">
        <v>572</v>
      </c>
      <c r="HA147" s="259" t="s">
        <v>152</v>
      </c>
      <c r="HB147" s="269" t="s">
        <v>256</v>
      </c>
      <c r="HC147" s="269" t="s">
        <v>276</v>
      </c>
      <c r="HD147" s="269" t="s">
        <v>7</v>
      </c>
      <c r="HE147" s="269" t="s">
        <v>214</v>
      </c>
      <c r="HV147" s="259" t="str">
        <f ca="1">CONCATENATE(IFERROR(INDEX($HS$3:$HT$102,MATCH(ROWS($HV$3:HV147),$HT$3:$HT$102,0),1),""),HR147)</f>
        <v/>
      </c>
      <c r="IC147" s="259">
        <f ca="1">IFERROR(INDEX(PIANO_DEI_CONTI,MATCH(ROWS(DL$3:DL147),$DK$3:DK374,0),2),0)</f>
        <v>0</v>
      </c>
      <c r="ID147" s="259">
        <f t="shared" ca="1" si="451"/>
        <v>0</v>
      </c>
      <c r="IE147" s="259">
        <f t="shared" ca="1" si="452"/>
        <v>0</v>
      </c>
      <c r="IF147" s="259">
        <f t="shared" ca="1" si="453"/>
        <v>0</v>
      </c>
      <c r="IG147" s="259">
        <f t="shared" ca="1" si="324"/>
        <v>0</v>
      </c>
      <c r="IH147" s="259">
        <f ca="1">IF(IG147&lt;&gt;0,MAX($IH$35:IH146)+1,0)</f>
        <v>0</v>
      </c>
      <c r="II147" s="259">
        <f>IF(AD147="costi pluriennali",MAX($II$2:II146)+1,0)</f>
        <v>0</v>
      </c>
      <c r="IJ147" s="259">
        <f>IF($AD147="rettifiche costi pluriennali",MAX($IJ$2:IJ146)+1,0)</f>
        <v>0</v>
      </c>
      <c r="IK147" s="259">
        <f t="shared" si="454"/>
        <v>0</v>
      </c>
      <c r="IL147" s="259" t="str">
        <f t="shared" si="455"/>
        <v/>
      </c>
      <c r="IM147" s="259">
        <f t="shared" ca="1" si="456"/>
        <v>0</v>
      </c>
      <c r="IN147" s="259">
        <f t="shared" ca="1" si="470"/>
        <v>0</v>
      </c>
      <c r="IO147" s="259">
        <f>SUMIFS($IM$3:$IM$200,$IK$3:$IK$200,ROWS($IO$3:IO147))-SUMIFS($IN$3:$IN$200,$IK$3:$IK$200,ROWS($IO$3:IO147))</f>
        <v>0</v>
      </c>
      <c r="IP147" s="259" t="str">
        <f>IF(IO147&lt;0,INDEX($IJ$3:$IL$200,MATCH(ROWS($IP$3:IP147),$IJ$3:$IJ$200,0),3),"")</f>
        <v/>
      </c>
      <c r="IQ147" s="259">
        <f>IF(IP147&lt;&gt;"",MAX($IQ$2:IQ146)+1,0)</f>
        <v>0</v>
      </c>
      <c r="IR147" s="259" t="str">
        <f ca="1">IFERROR(INDEX($IP$3:$IQ$200,MATCH(ROWS($IR$3:IR147),$IQ$3:$IQ$200,0),1),"")</f>
        <v/>
      </c>
      <c r="IS147" s="259" t="str">
        <f t="shared" ca="1" si="457"/>
        <v/>
      </c>
      <c r="IT147" s="259" t="str">
        <f t="shared" ca="1" si="458"/>
        <v/>
      </c>
      <c r="IU147" s="259" t="str">
        <f t="shared" ca="1" si="459"/>
        <v/>
      </c>
      <c r="IV147" s="259" t="str">
        <f t="shared" ca="1" si="460"/>
        <v/>
      </c>
      <c r="IW147" s="259" t="str">
        <f t="shared" ca="1" si="461"/>
        <v/>
      </c>
      <c r="IX147" s="259" t="str">
        <f t="shared" ca="1" si="462"/>
        <v/>
      </c>
      <c r="IY147" s="259" t="str">
        <f t="shared" ca="1" si="463"/>
        <v/>
      </c>
      <c r="IZ147" s="259" t="str">
        <f t="shared" ca="1" si="464"/>
        <v/>
      </c>
      <c r="JA147" s="259" t="str">
        <f t="shared" ca="1" si="465"/>
        <v/>
      </c>
      <c r="JB147" s="259">
        <f t="shared" ca="1" si="391"/>
        <v>0</v>
      </c>
      <c r="JC147" s="259">
        <f t="shared" ca="1" si="351"/>
        <v>0</v>
      </c>
      <c r="JD147" s="259">
        <f t="shared" ca="1" si="352"/>
        <v>0</v>
      </c>
      <c r="JM147" s="259">
        <f t="shared" ca="1" si="353"/>
        <v>0</v>
      </c>
    </row>
    <row r="148" spans="1:273">
      <c r="A148" s="259" t="str">
        <f t="shared" si="392"/>
        <v>31.06</v>
      </c>
      <c r="B148" s="259" t="str">
        <f t="shared" si="393"/>
        <v>COSTI DI VIGILANZA</v>
      </c>
      <c r="C148" s="259" t="str">
        <f t="shared" si="394"/>
        <v>E</v>
      </c>
      <c r="D148" s="259" t="str">
        <f t="shared" si="395"/>
        <v>D</v>
      </c>
      <c r="E148" s="259" t="str">
        <f t="shared" si="396"/>
        <v>COSTI D'ESERCIZIO</v>
      </c>
      <c r="F148" s="259" t="str">
        <f t="shared" si="397"/>
        <v>SE DARE</v>
      </c>
      <c r="G148" s="259">
        <f t="shared" ca="1" si="398"/>
        <v>1</v>
      </c>
      <c r="H148" s="259">
        <f t="shared" ca="1" si="399"/>
        <v>1</v>
      </c>
      <c r="I148" s="259">
        <f t="shared" ca="1" si="400"/>
        <v>1</v>
      </c>
      <c r="K148" s="259" t="str">
        <f ca="1">IFERROR(IF($I$1=1,INDEX($AA$3:$AS$220,MATCH(ROWS($K$3:K148),$AQ$3:$AQ$220,0),1),IF($I$1=2,INDEX($AA$3:$AS$220,MATCH(ROWS($K$3:K148),$AR$3:$AR$220,0),1),IF($I$1=3,INDEX($AA$3:$AS$220,MATCH(ROWS($K$3:K148),$AS$3:$AS$220,0),1),""))),"")</f>
        <v>AMMORTAMENTO ARREDAMENTO</v>
      </c>
      <c r="L148" s="259">
        <f ca="1">IF(AND($L$1="VISUALIZZA TUTTI I CONTI",K148&lt;&gt;""),MAX(L147:L147)+1,IFERROR(IF($J$1=1,IF(INDEX(PIANO_DEI_CONTI,MATCH($K148,DENOMINAZIONE,0),5)=$L$1,MAX($L$2:L147)+1,0),IF($J$1=2,IF(INDEX(PIANO_DEI_CONTI,MATCH($K148,DENOMINAZIONE,0),7)=$L$1,MAX($L$2:L147)+1,0))),0))</f>
        <v>146</v>
      </c>
      <c r="M148" s="259" t="str">
        <f ca="1">IFERROR(INDEX($K$3:$K$220,MATCH(ROWS($M$3:M148),$L$3:$L$220,0),1),"")</f>
        <v>AMMORTAMENTO ARREDAMENTO</v>
      </c>
      <c r="Q148" s="259" t="str">
        <f ca="1">IF(IFERROR(INDEX($O$3:$P$220,MATCH(ROWS(Q$3:Q148),$P$3:$P$220,0),1),"")=0,"",IFERROR(INDEX($O$3:$P$220,MATCH(ROWS(Q$3:Q148),$P$3:$P$220,0),1),""))</f>
        <v/>
      </c>
      <c r="R148" s="259" t="str">
        <f t="shared" ca="1" si="366"/>
        <v/>
      </c>
      <c r="S148" s="259">
        <f ca="1">IF(IFERROR(MATCH(R148,DENOMINAZIONE_GIORNALE,0),0)&gt;0,MAX(S$2:S147)+1,0)</f>
        <v>0</v>
      </c>
      <c r="T148" s="259" t="str">
        <f ca="1">IFERROR(INDEX($R$3:$S$220,MATCH(ROWS($T$3:T148),$S$3:$S$220,0),1),"")</f>
        <v/>
      </c>
      <c r="U148" s="259">
        <f t="shared" ca="1" si="367"/>
        <v>0</v>
      </c>
      <c r="V148" s="259">
        <f ca="1">IF(IF(U148&lt;&gt;0,MAX($V$2:V147)+1,0)=0,0,IF(U148&lt;&gt;0,MAX($V$2:V147)+1,0))</f>
        <v>0</v>
      </c>
      <c r="W148" s="259" t="str">
        <f t="shared" si="401"/>
        <v>31.06</v>
      </c>
      <c r="X148" s="259" t="str">
        <f t="shared" si="402"/>
        <v>COSTI DI VIGILANZA</v>
      </c>
      <c r="Y148" s="259">
        <f>IF(W148="",0,MAX($Y$2:Y147)+1)</f>
        <v>126</v>
      </c>
      <c r="Z148" s="259" t="str">
        <f>IFERROR(INDEX($W$3:$Y$220,MATCH(ROWS($Z$2:Z147),$Y$3:$Y$220,0),1),"")</f>
        <v>35.01</v>
      </c>
      <c r="AA148" s="259" t="str">
        <f t="shared" si="403"/>
        <v>AMMORTAMENTO FABBRICATI</v>
      </c>
      <c r="AB148" s="259" t="str">
        <f t="shared" si="404"/>
        <v>E</v>
      </c>
      <c r="AC148" s="259" t="str">
        <f t="shared" si="405"/>
        <v>D</v>
      </c>
      <c r="AD148" s="259" t="str">
        <f t="shared" si="406"/>
        <v>COSTI D'ESERCIZIO</v>
      </c>
      <c r="AE148" s="259" t="str">
        <f t="shared" si="407"/>
        <v>SE DARE</v>
      </c>
      <c r="AF148" s="259" t="str">
        <f t="shared" si="408"/>
        <v>AMMORTAMENTI IMMOBILIZZAZIONI MATERIALI</v>
      </c>
      <c r="AG148" s="259">
        <f t="shared" ca="1" si="409"/>
        <v>0</v>
      </c>
      <c r="AH148" s="259">
        <f t="shared" ca="1" si="410"/>
        <v>0</v>
      </c>
      <c r="AI148" s="259">
        <f t="shared" ca="1" si="411"/>
        <v>1</v>
      </c>
      <c r="AJ148" s="259" t="str">
        <f t="shared" si="412"/>
        <v>35</v>
      </c>
      <c r="AK148" s="259" t="str">
        <f t="shared" si="413"/>
        <v/>
      </c>
      <c r="AL148" s="259">
        <f>IF(AK148&lt;&gt;"",MAX($AL$2:AL147)+1,0)</f>
        <v>0</v>
      </c>
      <c r="AM148" s="259" t="str">
        <f>IFERROR(INDEX($AK$3:$AL$220,MATCH(ROWS($AM$3:AM148),$AL$3:$AL$220,0),1),"")</f>
        <v/>
      </c>
      <c r="AN148" s="259" t="str">
        <f t="shared" si="414"/>
        <v/>
      </c>
      <c r="AO148" s="259" t="str">
        <f t="shared" si="415"/>
        <v/>
      </c>
      <c r="AP148" s="259" t="str">
        <f t="shared" si="416"/>
        <v>AMMORTAMENTI IMMOBILIZZAZIONI MATERIALI</v>
      </c>
      <c r="AQ148" s="259">
        <f ca="1">IF(OR(AG148=0,AG148=""),0,MAX(AQ$2:AQ147)+1)</f>
        <v>0</v>
      </c>
      <c r="AR148" s="259">
        <f ca="1">IF(OR(AH148=0,AH148=""),0,MAX(AR$2:AR147)+1)</f>
        <v>0</v>
      </c>
      <c r="AS148" s="259">
        <f ca="1">IF(OR(AI148=0,AI148=""),0,MAX(AS$2:AS147)+1)</f>
        <v>142</v>
      </c>
      <c r="AT148" s="259" t="str">
        <f ca="1">IFERROR(INDEX($AD$3:$AS$220,MATCH(ROWS(AT$3:AT148),AQ$3:AQ$220,0),1),"")</f>
        <v/>
      </c>
      <c r="AU148" s="259" t="str">
        <f ca="1">IFERROR(INDEX($AD$3:$AS$220,MATCH(ROWS(AU$3:AU148),AR$3:AR$220,0),1),"")</f>
        <v/>
      </c>
      <c r="AV148" s="259" t="str">
        <f ca="1">IFERROR(INDEX($AD$3:$AS$220,MATCH(ROWS(AV$3:AV148),AS$3:AS$220,0),1),"")</f>
        <v>COSTI D'ESERCIZIO</v>
      </c>
      <c r="AW148" s="259" t="str">
        <f ca="1">IFERROR(INDEX($AP$3:$AS$220,MATCH(ROWS(AW$3:AW148),AQ$3:AQ$220,0),1),"")</f>
        <v/>
      </c>
      <c r="AX148" s="259" t="str">
        <f ca="1">IFERROR(INDEX($AP$3:$AS$220,MATCH(ROWS(AX$3:AX148),AR$3:AR$220,0),1),"")</f>
        <v/>
      </c>
      <c r="AY148" s="259" t="str">
        <f ca="1">IFERROR(INDEX($AP$3:$AS$220,MATCH(ROWS(AY$3:AY148),AS$3:AS$220,0),1),"")</f>
        <v>AMMORTAMENTI IMMOBILIZZAZIONI MATERIALI</v>
      </c>
      <c r="AZ148" s="259" t="str">
        <f t="shared" si="339"/>
        <v>46 V.I.</v>
      </c>
      <c r="BA148" s="259">
        <f t="shared" ca="1" si="338"/>
        <v>0</v>
      </c>
      <c r="BB148" s="259">
        <f t="shared" ca="1" si="340"/>
        <v>0</v>
      </c>
      <c r="BC148" s="259">
        <f t="shared" ca="1" si="341"/>
        <v>0</v>
      </c>
      <c r="BD148" s="259">
        <f t="shared" ca="1" si="342"/>
        <v>0</v>
      </c>
      <c r="BE148" s="259">
        <f t="shared" ca="1" si="343"/>
        <v>0</v>
      </c>
      <c r="BG148" s="259" t="str">
        <f t="shared" ca="1" si="368"/>
        <v/>
      </c>
      <c r="BH148" s="259">
        <f ca="1">IF(IFERROR(MATCH(BG148,DENOMINAZIONE_GIORNALE,0),0)&gt;0,MAX(BH$2:BH147)+1,0)</f>
        <v>0</v>
      </c>
      <c r="BI148" s="259" t="str">
        <f ca="1">IFERROR(INDEX($BG$3:$BH$220,MATCH(ROWS($BI$3:BI148),$BH$3:$BH$220,0),1),"")</f>
        <v/>
      </c>
      <c r="BJ148" s="259" t="str">
        <f t="shared" ca="1" si="369"/>
        <v/>
      </c>
      <c r="BK148" s="259" t="str">
        <f ca="1">IF(IF(BJ148&lt;&gt;"",MAX($BK$2:BK147)+1,0)=0,"",IF(BJ148&lt;&gt;"",MAX($BK$2:BK147)+1,0))</f>
        <v/>
      </c>
      <c r="BL148" s="259" t="str">
        <f ca="1">IFERROR(INDEX($T$3:$U$220, MATCH(ROWS(BL$3:BL148),$V$3:$V$220,0),1),"")</f>
        <v/>
      </c>
      <c r="BM148" s="259" t="str">
        <f ca="1">IFERROR(INDEX($T$3:$U$220, MATCH(ROWS(BM$3:BM148),$V$3:$V$220,0),2),"")</f>
        <v/>
      </c>
      <c r="BN148" s="259" t="str">
        <f ca="1">IF(IFERROR(INDEX($BI$3:$BJ$220,MATCH(ROWS(BN$3:BN148),$BK$3:$BK$220,0),1),"")="PATRIMONIO NETTO","",IFERROR(INDEX($BI$3:$BJ$220,MATCH(ROWS(BN$3:BN148),$BK$3:$BK$220,0),1),""))</f>
        <v/>
      </c>
      <c r="BO148" s="259" t="str">
        <f ca="1">IFERROR(INDEX($BI$3:$BJ$220,MATCH(ROWS(BO$3:BO148),$BK$3:$BK$220,0),2),"")</f>
        <v/>
      </c>
      <c r="BP148" s="259">
        <f ca="1">IF(BN148&lt;&gt;"",MAX(BP$2:$BP147)+1,0)</f>
        <v>0</v>
      </c>
      <c r="BQ148" s="259" t="str">
        <f ca="1">IFERROR(INDEX($BN$3:$BO$200,MATCH(ROWS(BQ$3:BQ148),$BP$3:$BP$220,0),1),"")</f>
        <v/>
      </c>
      <c r="BR148" s="259" t="str">
        <f ca="1">IFERROR(INDEX($BN$3:$BO$220,MATCH(ROWS(BR$3:BR148),$BP$3:$BP$220,0),2),"")</f>
        <v/>
      </c>
      <c r="BS148" s="259" t="str">
        <f ca="1">IFERROR(IF(OR(INDEX($T$3:$U$220,MATCH(ROWS(BL$3:BL148),$V$3:$V$220,0),1)="PRELEVAMENTI EXTRAGESTIONE",INDEX($T$3:$U$220,MATCH(ROWS(BL$3:BL148),$V$3:$V$220,0),1)="TITOLARE C/RITENUTE SUBITE"),"",INDEX($T$3:$U$220,MATCH(ROWS(BL$3:BL148),$V$3:$V$220,0),1)),"")</f>
        <v/>
      </c>
      <c r="BT148" s="259">
        <f t="shared" ca="1" si="417"/>
        <v>0</v>
      </c>
      <c r="BU148" s="259">
        <f ca="1">IF(BS148&lt;&gt;"",MAX(BU$2:BU147)+1,0)</f>
        <v>0</v>
      </c>
      <c r="BV148" s="259" t="str">
        <f ca="1">IFERROR(INDEX($BS$3:$BT$223,MATCH(ROWS(BV$3:BV148),$BU$3:$BU$223,0),1),"")</f>
        <v/>
      </c>
      <c r="BW148" s="259">
        <f t="shared" ca="1" si="418"/>
        <v>0</v>
      </c>
      <c r="CB148" s="259" t="str">
        <f ca="1">IFERROR(IF(OR($BB$1&lt;&gt;$BD$1,$BC$1&lt;&gt;$BE$1,$DS$231&lt;&gt;$DT$231,$DU$231&lt;&gt;$DV$231,$EO$25&lt;&gt;0,$EO$26&lt;&gt;0),INDEX($BI$3:$BK$220,MATCH(ROWS($CB$3:CB148),$BK$3:$BK$220,0),1),CONCATENATE(BQ148,BX148)),"")</f>
        <v/>
      </c>
      <c r="CC148" s="259" t="str">
        <f t="shared" ca="1" si="419"/>
        <v/>
      </c>
      <c r="CD148" s="259" t="str">
        <f t="shared" ca="1" si="370"/>
        <v>AMMORTAMENTO FABBRICATI</v>
      </c>
      <c r="CE148" s="259">
        <f ca="1">IF(IFERROR(MATCH(CD148,DENOMINAZIONE_GIORNALE,0),0)&gt;0,MAX(CE$2:CE147)+1,0)</f>
        <v>0</v>
      </c>
      <c r="CF148" s="259" t="str">
        <f ca="1">IFERROR(INDEX($CD$3:$CE$220,MATCH(ROWS($CF$3:CF148),$CE$3:$CE$220,0),1),"")</f>
        <v/>
      </c>
      <c r="CG148" s="259">
        <f t="shared" ca="1" si="371"/>
        <v>0</v>
      </c>
      <c r="CH148" s="259" t="str">
        <f ca="1">IF(IF(CG148&lt;&gt;0,MAX($CH$2:CH147)+1,0)=0,"",IF(CG148&lt;&gt;"",MAX($CH$2:CH147)+1,0))</f>
        <v/>
      </c>
      <c r="CI148" s="259" t="str">
        <f ca="1">IFERROR(INDEX($CF$3:$CG$220,MATCH(ROWS($CI$3:CI148),$CH$3:$CH$220,0),1),"")</f>
        <v/>
      </c>
      <c r="CJ148" s="259" t="str">
        <f t="shared" ca="1" si="420"/>
        <v/>
      </c>
      <c r="CK148" s="259" t="str">
        <f t="shared" ca="1" si="372"/>
        <v/>
      </c>
      <c r="CL148" s="259">
        <f ca="1">IF(IFERROR(MATCH(CK148,DENOMINAZIONE_GIORNALE,0),0)&gt;0,MAX(CL$2:CL147)+1,0)</f>
        <v>0</v>
      </c>
      <c r="CM148" s="259" t="str">
        <f ca="1">IFERROR(INDEX($CK$3:$CL$220,MATCH(ROWS($CM$3:CM148),$CL$3:$CL$220,0),1),"")</f>
        <v/>
      </c>
      <c r="CN148" s="259" t="str">
        <f t="shared" ca="1" si="373"/>
        <v/>
      </c>
      <c r="CO148" s="259">
        <f ca="1">IF(IF(CN148&lt;&gt;0,MAX($CO$2:CO147)+1,0)=0,"",IF(CN148&lt;&gt;"",MAX($CO$2:CO147)+1,0))</f>
        <v>0</v>
      </c>
      <c r="CP148" s="259" t="str">
        <f ca="1">IFERROR(INDEX($CM$3:$CN$220,MATCH(ROWS(CP$3:CP148),$CO$3:$CO$220,0),1),"")</f>
        <v/>
      </c>
      <c r="CQ148" s="259" t="str">
        <f ca="1">IFERROR(INDEX($CM$3:$CN$220,MATCH(ROWS(CQ$3:CQ148),$CO$3:$CO$220,0),2),"")</f>
        <v/>
      </c>
      <c r="CS148" s="259">
        <f t="shared" ca="1" si="374"/>
        <v>0</v>
      </c>
      <c r="CT148" s="259">
        <f t="shared" ca="1" si="375"/>
        <v>0</v>
      </c>
      <c r="CU148" s="259">
        <f ca="1">IF(OR(CS148&gt;0,CT148&gt;0),MAX($CU$2:CU147)+1,0)</f>
        <v>0</v>
      </c>
      <c r="CV148" s="259" t="str">
        <f ca="1">IFERROR(INDEX(PIANO_DEI_CONTI,MATCH(ROWS($CV$3:CV148),$CU$3:$CU$200,0),2),"")</f>
        <v/>
      </c>
      <c r="CW148" s="259">
        <f ca="1">IFERROR(IF(CV148&lt;&gt;"",MAX($CW$2:CW147)+1,0),0)</f>
        <v>0</v>
      </c>
      <c r="CX148" s="259">
        <f t="shared" ref="CX148:CX163" ca="1" si="472">$EA$11</f>
        <v>9</v>
      </c>
      <c r="CY148" s="259" t="str">
        <f t="shared" ca="1" si="469"/>
        <v>MASTRO</v>
      </c>
      <c r="DA148" s="259" t="str">
        <f ca="1">IF(DB147="","","Num. riga")</f>
        <v/>
      </c>
      <c r="DB148" s="259" t="str">
        <f t="shared" ref="DB148" ca="1" si="473">IF(DB147="","","Data")</f>
        <v/>
      </c>
      <c r="DC148" s="259" t="str">
        <f ca="1">IF(DB147="","","Operazioni")</f>
        <v/>
      </c>
      <c r="DD148" s="259" t="str">
        <f ca="1">IF(DB147="","","Dare        ")</f>
        <v/>
      </c>
      <c r="DE148" s="259" t="str">
        <f ca="1">IF(DB147="","","Avere        ")</f>
        <v/>
      </c>
      <c r="DF148" s="259">
        <f ca="1">IF(AND(CX148=$DE$2,$DF$2&lt;&gt;0),0,IF(AND(DB148&lt;&gt;"",OR(DB147&lt;&gt;"",DB149&lt;&gt;"")),MAX($DF$2:DF147)+1,0))</f>
        <v>0</v>
      </c>
      <c r="DG148" s="259" t="str">
        <f>IF(IF(LIBRO_GIORNALE!E56="","",IFERROR(INDEX(PIANO_DEI_CONTI,MATCH(BB148,DENOMINAZIONE,0),1),0))=0,"",IF(LIBRO_GIORNALE!E56="","",IFERROR(INDEX(PIANO_DEI_CONTI,MATCH(BB148,DENOMINAZIONE,0),1),0)))</f>
        <v/>
      </c>
      <c r="DH148" s="259">
        <f ca="1">IFERROR(IF($J$1=1,IF(INDEX(PIANO_DEI_CONTI,MATCH($K148,DENOMINAZIONE,0),5)=$DF$1,MAX($DH$2:DH147)+1,0),IF($J$1=2,IF(INDEX(PIANO_DEI_CONTI,MATCH($K148,DENOMINAZIONE,0),7)=$DF$1,MAX($DH$2:DH147)+1,0))),0)</f>
        <v>0</v>
      </c>
      <c r="DI148" s="259">
        <f ca="1">IFERROR(INDEX($K$3:$K$220,MATCH(ROWS($DI$3:DI148),$DH$3:$DH$220,0),1),0)</f>
        <v>0</v>
      </c>
      <c r="DJ148" s="259">
        <f t="shared" ca="1" si="381"/>
        <v>0</v>
      </c>
      <c r="DK148" s="259">
        <f ca="1">IF(DJ148=0,0,MAX(DK$2:DK147)+1)</f>
        <v>0</v>
      </c>
      <c r="DL148" s="259">
        <f ca="1">IFERROR(INDEX(PIANO_DEI_CONTI,MATCH(ROWS(DL$3:DL148),$DK$3:DK375,0),2),0)</f>
        <v>0</v>
      </c>
      <c r="DM148" s="259">
        <f t="shared" ca="1" si="382"/>
        <v>0</v>
      </c>
      <c r="DN148" s="259">
        <f t="shared" ca="1" si="383"/>
        <v>0</v>
      </c>
      <c r="DO148" s="259">
        <f t="shared" ca="1" si="422"/>
        <v>0</v>
      </c>
      <c r="DP148" s="259">
        <f t="shared" ca="1" si="423"/>
        <v>0</v>
      </c>
      <c r="DQ148" s="259">
        <f ca="1">IF(OR($DQ$1="TOTALI",$DQ$1="TOTALI ED ECCEDENZE"),IF(OR(DM148&gt;0,DN148&gt;0),MAX(DQ$2:DQ147)+1,0),IF($DQ$1="ECCEDENZE",IF(OR(DO148&gt;0,DP148&gt;0),MAX(DQ$2:DQ147)+1,0),""))</f>
        <v>0</v>
      </c>
      <c r="DR148" s="259" t="str">
        <f ca="1">IFERROR(INDEX($DL$3:$DQ$230,MATCH(ROWS(DR$3:DR148),$DQ$3:$DQ$230,0),1),"")</f>
        <v/>
      </c>
      <c r="DS148" s="259" t="str">
        <f t="shared" ca="1" si="424"/>
        <v/>
      </c>
      <c r="DT148" s="259" t="str">
        <f t="shared" ca="1" si="425"/>
        <v/>
      </c>
      <c r="DU148" s="259" t="str">
        <f t="shared" ca="1" si="426"/>
        <v/>
      </c>
      <c r="DV148" s="259" t="str">
        <f t="shared" ca="1" si="427"/>
        <v/>
      </c>
      <c r="DW148" s="259">
        <f t="shared" ca="1" si="428"/>
        <v>0</v>
      </c>
      <c r="DX148" s="259" t="str">
        <f t="shared" ca="1" si="429"/>
        <v/>
      </c>
      <c r="DY148" s="259" t="str">
        <f t="shared" ca="1" si="430"/>
        <v/>
      </c>
      <c r="DZ148" s="259" t="str">
        <f t="shared" ca="1" si="431"/>
        <v/>
      </c>
      <c r="EB148" s="259" t="s">
        <v>378</v>
      </c>
      <c r="ED148" s="259">
        <f t="shared" ca="1" si="384"/>
        <v>0</v>
      </c>
      <c r="EH148" s="259" t="str">
        <f t="shared" ca="1" si="432"/>
        <v/>
      </c>
      <c r="EI148" s="260" t="b">
        <f t="shared" ca="1" si="466"/>
        <v>1</v>
      </c>
      <c r="EJ148" s="260" t="b">
        <f t="shared" ca="1" si="467"/>
        <v>1</v>
      </c>
      <c r="EK148" s="260" t="b">
        <f t="shared" ca="1" si="468"/>
        <v>1</v>
      </c>
      <c r="EL148" s="259">
        <f t="shared" si="433"/>
        <v>146</v>
      </c>
      <c r="EM148" s="259">
        <f ca="1">IF(AND(BA148&gt;0,BA148&lt;=$EM$1),MAX($EM$2:EM147)+1,0)</f>
        <v>0</v>
      </c>
      <c r="EN148" s="259">
        <f t="shared" ca="1" si="434"/>
        <v>148</v>
      </c>
      <c r="EP148" s="259" t="str">
        <f t="shared" ca="1" si="385"/>
        <v/>
      </c>
      <c r="EQ148" s="259">
        <f t="shared" ca="1" si="386"/>
        <v>0</v>
      </c>
      <c r="ER148" s="259">
        <f ca="1">IF(ISNA(EQ148),MAX(ER$2:ER147)+1,0)</f>
        <v>0</v>
      </c>
      <c r="ES148" s="259" t="str">
        <f t="shared" ca="1" si="435"/>
        <v/>
      </c>
      <c r="ET148" s="259" t="str">
        <f ca="1">IFERROR(UPPER(INDEX($ER$3:$ES$500,MATCH(ROWS(ET$3:ET148),$ER$3:$ER$500,0),2)),"")</f>
        <v/>
      </c>
      <c r="EW148" s="259">
        <f t="shared" ca="1" si="344"/>
        <v>1</v>
      </c>
      <c r="EX148" s="259">
        <v>46</v>
      </c>
      <c r="EY148" s="259">
        <f t="shared" ca="1" si="345"/>
        <v>0</v>
      </c>
      <c r="EZ148" s="259">
        <f t="shared" ca="1" si="346"/>
        <v>0</v>
      </c>
      <c r="FA148" s="259">
        <f t="shared" ca="1" si="347"/>
        <v>0</v>
      </c>
      <c r="FB148" s="259">
        <f t="shared" ca="1" si="348"/>
        <v>0</v>
      </c>
      <c r="FC148" s="259">
        <f t="shared" ca="1" si="349"/>
        <v>0</v>
      </c>
      <c r="FD148" s="259">
        <f t="shared" ca="1" si="387"/>
        <v>0</v>
      </c>
      <c r="FE148" s="259" t="str">
        <f t="shared" ca="1" si="388"/>
        <v/>
      </c>
      <c r="FF148" s="259" t="str">
        <f t="shared" ca="1" si="350"/>
        <v/>
      </c>
      <c r="FM148" s="259">
        <f t="shared" ca="1" si="389"/>
        <v>0</v>
      </c>
      <c r="FN148" s="259">
        <f ca="1">IF(FM148&lt;0,MAX($FN$2:FN147)+1,0)</f>
        <v>0</v>
      </c>
      <c r="FO148" s="259" t="str">
        <f t="shared" ca="1" si="436"/>
        <v/>
      </c>
      <c r="FP148" s="259" t="str">
        <f ca="1">IFERROR(INDEX($FN$3:$FO$400,MATCH(ROWS($FP$3:FP148),$FN$3:$FN$400,0),2),"")</f>
        <v/>
      </c>
      <c r="FQ148" s="259" t="str">
        <f>IF(AE148="SE AVERE",MAX($FQ$2:FQ147)+1,"")</f>
        <v/>
      </c>
      <c r="FR148" s="259">
        <f>IF(AE148="SE DARE",MAX($FR$2:FR147)+1,"")</f>
        <v>53</v>
      </c>
      <c r="FS148" s="259" t="str">
        <f ca="1">IF(AND(AE148="SP DARE",AA148&lt;&gt;$FS$1,AA148&lt;&gt;$FT$1),MAX($FS$2:FS147)+1,IF(AND(GQ148="SP DARE",AA148&lt;&gt;$FS$1,AA148&lt;&gt;$FT$1),MAX($FS$2:FS147)+1,""))</f>
        <v/>
      </c>
      <c r="FT148" s="259" t="str">
        <f ca="1">IF(AND(AE148="SP AVERE",AA148&lt;&gt;$FU$1),MAX($FT$2:FT147)+1,IF(AND(GQ148="SP AVERE",AA148&lt;&gt;$FU$1),MAX($FT$2:FT147)+1,""))</f>
        <v/>
      </c>
      <c r="FU148" s="259">
        <f t="shared" ca="1" si="437"/>
        <v>53</v>
      </c>
      <c r="FV148" s="259" t="str">
        <f t="shared" si="438"/>
        <v>AMMORTAMENTO FABBRICATI</v>
      </c>
      <c r="FW148" s="259" t="str">
        <f ca="1">IFERROR(INDEX($FU$3:$FV$500,MATCH(ROWS($FW$3:FW148),$FU$3:$FU$500,0),2),0)</f>
        <v>DEBITI PER TFR</v>
      </c>
      <c r="FX148" s="259">
        <f t="shared" ca="1" si="439"/>
        <v>146</v>
      </c>
      <c r="FY148" s="259">
        <f t="shared" ca="1" si="440"/>
        <v>0</v>
      </c>
      <c r="FZ148" s="259">
        <f ca="1">IF(FY148&gt;0,MAX($FZ$2:FZ147)+1,0)</f>
        <v>0</v>
      </c>
      <c r="GA148" s="259">
        <f ca="1">IFERROR(INDEX($FY$3:$FZ$500,MATCH(ROWS($GA$3:GA148),$FZ$3:$FZ$500,0),1),0)</f>
        <v>0</v>
      </c>
      <c r="GC148" s="259">
        <f t="shared" ca="1" si="441"/>
        <v>146</v>
      </c>
      <c r="GD148" s="259" t="str">
        <f t="shared" ca="1" si="442"/>
        <v>DEBITI PER TFR</v>
      </c>
      <c r="GG148" s="259">
        <f t="shared" ca="1" si="443"/>
        <v>0</v>
      </c>
      <c r="GH148" s="259">
        <f t="shared" ca="1" si="444"/>
        <v>0</v>
      </c>
      <c r="GI148" s="259">
        <f t="shared" ca="1" si="445"/>
        <v>0</v>
      </c>
      <c r="GJ148" s="259">
        <f t="shared" ca="1" si="446"/>
        <v>0</v>
      </c>
      <c r="GK148" s="259">
        <f t="shared" ca="1" si="447"/>
        <v>0</v>
      </c>
      <c r="GL148" s="259">
        <f t="shared" ca="1" si="447"/>
        <v>0</v>
      </c>
      <c r="GM148" s="259">
        <f ca="1">IF(OR(GK148&gt;0,GL148&gt;0),MAX($GM$2:GM147)+1,0)</f>
        <v>0</v>
      </c>
      <c r="GN148" s="259" t="str">
        <f ca="1">IFERROR(INDEX($GD$3:$GM$400,MATCH(ROWS($GN$3:GN148),$GM$3:$GM$400,0),1),"")</f>
        <v/>
      </c>
      <c r="GO148" s="259" t="str">
        <f ca="1">IFERROR(INDEX($GD$3:$GM$400,MATCH(ROWS($GO$3:GO148),$GM$3:$GM$400,0),8),"")</f>
        <v/>
      </c>
      <c r="GP148" s="259" t="str">
        <f ca="1">IFERROR(INDEX($GD$3:$GM$400,MATCH(ROWS($GP$3:GP148),$GM$3:$GM$400,0),9),"")</f>
        <v/>
      </c>
      <c r="GQ148" s="259">
        <f t="shared" ca="1" si="390"/>
        <v>0</v>
      </c>
      <c r="GR148" s="259">
        <f t="shared" ca="1" si="448"/>
        <v>0</v>
      </c>
      <c r="GS148" s="259" t="str">
        <f t="shared" ca="1" si="449"/>
        <v>chiusura del conto</v>
      </c>
      <c r="GT148" s="259" t="str">
        <f ca="1">IFERROR(INDEX($GD$3:$GS$400,MATCH(ROWS($GT$3:GT148),$GM$3:$GM$400,0),16),"")</f>
        <v/>
      </c>
      <c r="GU148" s="259">
        <f ca="1">IF(GQ148&lt;&gt;0,MAX($GU$2:$GU147)+1,0)</f>
        <v>0</v>
      </c>
      <c r="GV148" s="259">
        <f t="shared" ca="1" si="450"/>
        <v>0</v>
      </c>
      <c r="GW148" s="259" t="str">
        <f ca="1">IF(AND(IFERROR(INDEX($GU$3:$GV$400,MATCH(ROWS($GW$3:GW148),$GU$3:$GU$400,0),2),"")&lt;&gt;"",GW149&lt;&gt;""),CONCATENATE(IFERROR(INDEX($GU$3:$GV$400,MATCH(ROWS($GW$3:GW148),$GU$3:$GU$400,0),2),"")," - "),IFERROR(INDEX($GU$3:$GV$400,MATCH(ROWS($GW$3:GW148),$GU$3:$GU$400,0),2),""))</f>
        <v/>
      </c>
      <c r="GX148" s="259">
        <f ca="1">IF(OR(GN148="IVA NS/CREDITO",GN148="IVA NS/DEBITO",GN148="IVA C/ACCONTO",GN148="IMPOSTE C/ACCONTO"),MAX($GX$2:GX147)+1,0)</f>
        <v>0</v>
      </c>
      <c r="GY148" s="259" t="str">
        <f ca="1">IF(AND(IFERROR(INDEX($GN$3:$GX$200,MATCH(ROWS($GY$3:GY148),$GX$3:$GX$200,0),1),"")&lt;&gt;"",GY149&lt;&gt;""),CONCATENATE(IFERROR(INDEX($GN$3:$GX$200,MATCH(ROWS($GY$3:GY148),$GX$3:$GX$200,0),1),"")," - "),IFERROR(INDEX($GN$3:$GX$200,MATCH(ROWS($GY$3:GY148),$GX$3:$GX$200,0),1),""))</f>
        <v/>
      </c>
      <c r="GZ148" s="259" t="s">
        <v>573</v>
      </c>
      <c r="HA148" s="259" t="s">
        <v>153</v>
      </c>
      <c r="HB148" s="269" t="s">
        <v>256</v>
      </c>
      <c r="HC148" s="269" t="s">
        <v>276</v>
      </c>
      <c r="HD148" s="269" t="s">
        <v>7</v>
      </c>
      <c r="HE148" s="269" t="s">
        <v>214</v>
      </c>
      <c r="HG148" s="270"/>
      <c r="HV148" s="259" t="str">
        <f ca="1">CONCATENATE(IFERROR(INDEX($HS$3:$HT$102,MATCH(ROWS($HV$3:HV148),$HT$3:$HT$102,0),1),""),HR148)</f>
        <v/>
      </c>
      <c r="IC148" s="259">
        <f ca="1">IFERROR(INDEX(PIANO_DEI_CONTI,MATCH(ROWS(DL$3:DL148),$DK$3:DK375,0),2),0)</f>
        <v>0</v>
      </c>
      <c r="ID148" s="259">
        <f t="shared" ca="1" si="451"/>
        <v>0</v>
      </c>
      <c r="IE148" s="259">
        <f t="shared" ca="1" si="452"/>
        <v>0</v>
      </c>
      <c r="IF148" s="259">
        <f t="shared" ca="1" si="453"/>
        <v>0</v>
      </c>
      <c r="IG148" s="259">
        <f t="shared" ca="1" si="324"/>
        <v>0</v>
      </c>
      <c r="IH148" s="259">
        <f ca="1">IF(IG148&lt;&gt;0,MAX($IH$35:IH147)+1,0)</f>
        <v>0</v>
      </c>
      <c r="II148" s="259">
        <f>IF(AD148="costi pluriennali",MAX($II$2:II147)+1,0)</f>
        <v>0</v>
      </c>
      <c r="IJ148" s="259">
        <f>IF($AD148="rettifiche costi pluriennali",MAX($IJ$2:IJ147)+1,0)</f>
        <v>0</v>
      </c>
      <c r="IK148" s="259">
        <f t="shared" si="454"/>
        <v>0</v>
      </c>
      <c r="IL148" s="259" t="str">
        <f t="shared" si="455"/>
        <v/>
      </c>
      <c r="IM148" s="259">
        <f t="shared" ca="1" si="456"/>
        <v>0</v>
      </c>
      <c r="IN148" s="259">
        <f t="shared" ca="1" si="470"/>
        <v>0</v>
      </c>
      <c r="IO148" s="259">
        <f>SUMIFS($IM$3:$IM$200,$IK$3:$IK$200,ROWS($IO$3:IO148))-SUMIFS($IN$3:$IN$200,$IK$3:$IK$200,ROWS($IO$3:IO148))</f>
        <v>0</v>
      </c>
      <c r="IP148" s="259" t="str">
        <f>IF(IO148&lt;0,INDEX($IJ$3:$IL$200,MATCH(ROWS($IP$3:IP148),$IJ$3:$IJ$200,0),3),"")</f>
        <v/>
      </c>
      <c r="IQ148" s="259">
        <f>IF(IP148&lt;&gt;"",MAX($IQ$2:IQ147)+1,0)</f>
        <v>0</v>
      </c>
      <c r="IR148" s="259" t="str">
        <f ca="1">IFERROR(INDEX($IP$3:$IQ$200,MATCH(ROWS($IR$3:IR148),$IQ$3:$IQ$200,0),1),"")</f>
        <v/>
      </c>
      <c r="IS148" s="259" t="str">
        <f t="shared" ca="1" si="457"/>
        <v/>
      </c>
      <c r="IT148" s="259" t="str">
        <f t="shared" ca="1" si="458"/>
        <v/>
      </c>
      <c r="IU148" s="259" t="str">
        <f t="shared" ca="1" si="459"/>
        <v/>
      </c>
      <c r="IV148" s="259" t="str">
        <f t="shared" ca="1" si="460"/>
        <v/>
      </c>
      <c r="IW148" s="259" t="str">
        <f t="shared" ca="1" si="461"/>
        <v/>
      </c>
      <c r="IX148" s="259" t="str">
        <f t="shared" ca="1" si="462"/>
        <v/>
      </c>
      <c r="IY148" s="259" t="str">
        <f t="shared" ca="1" si="463"/>
        <v/>
      </c>
      <c r="IZ148" s="259" t="str">
        <f t="shared" ca="1" si="464"/>
        <v/>
      </c>
      <c r="JA148" s="259" t="str">
        <f t="shared" ca="1" si="465"/>
        <v/>
      </c>
      <c r="JB148" s="259">
        <f t="shared" ca="1" si="391"/>
        <v>0</v>
      </c>
      <c r="JC148" s="259">
        <f t="shared" ca="1" si="351"/>
        <v>0</v>
      </c>
      <c r="JD148" s="259">
        <f t="shared" ca="1" si="352"/>
        <v>0</v>
      </c>
      <c r="JM148" s="259">
        <f t="shared" ca="1" si="353"/>
        <v>0</v>
      </c>
    </row>
    <row r="149" spans="1:273">
      <c r="A149" s="259" t="str">
        <f t="shared" si="392"/>
        <v>31.07</v>
      </c>
      <c r="B149" s="259" t="str">
        <f t="shared" si="393"/>
        <v>COSTI POSTALI</v>
      </c>
      <c r="C149" s="259" t="str">
        <f t="shared" si="394"/>
        <v>E</v>
      </c>
      <c r="D149" s="259" t="str">
        <f t="shared" si="395"/>
        <v>D</v>
      </c>
      <c r="E149" s="259" t="str">
        <f t="shared" si="396"/>
        <v>COSTI D'ESERCIZIO</v>
      </c>
      <c r="F149" s="259" t="str">
        <f t="shared" si="397"/>
        <v>SE DARE</v>
      </c>
      <c r="G149" s="259">
        <f t="shared" ca="1" si="398"/>
        <v>1</v>
      </c>
      <c r="H149" s="259">
        <f t="shared" ca="1" si="399"/>
        <v>1</v>
      </c>
      <c r="I149" s="259">
        <f t="shared" ca="1" si="400"/>
        <v>1</v>
      </c>
      <c r="K149" s="259" t="str">
        <f ca="1">IFERROR(IF($I$1=1,INDEX($AA$3:$AS$220,MATCH(ROWS($K$3:K149),$AQ$3:$AQ$220,0),1),IF($I$1=2,INDEX($AA$3:$AS$220,MATCH(ROWS($K$3:K149),$AR$3:$AR$220,0),1),IF($I$1=3,INDEX($AA$3:$AS$220,MATCH(ROWS($K$3:K149),$AS$3:$AS$220,0),1),""))),"")</f>
        <v>AMMORTAMENTO AUTOMEZZI</v>
      </c>
      <c r="L149" s="259">
        <f ca="1">IF(AND($L$1="VISUALIZZA TUTTI I CONTI",K149&lt;&gt;""),MAX(L148:L148)+1,IFERROR(IF($J$1=1,IF(INDEX(PIANO_DEI_CONTI,MATCH($K149,DENOMINAZIONE,0),5)=$L$1,MAX($L$2:L148)+1,0),IF($J$1=2,IF(INDEX(PIANO_DEI_CONTI,MATCH($K149,DENOMINAZIONE,0),7)=$L$1,MAX($L$2:L148)+1,0))),0))</f>
        <v>147</v>
      </c>
      <c r="M149" s="259" t="str">
        <f ca="1">IFERROR(INDEX($K$3:$K$220,MATCH(ROWS($M$3:M149),$L$3:$L$220,0),1),"")</f>
        <v>AMMORTAMENTO AUTOMEZZI</v>
      </c>
      <c r="Q149" s="259" t="str">
        <f ca="1">IF(IFERROR(INDEX($O$3:$P$220,MATCH(ROWS(Q$3:Q149),$P$3:$P$220,0),1),"")=0,"",IFERROR(INDEX($O$3:$P$220,MATCH(ROWS(Q$3:Q149),$P$3:$P$220,0),1),""))</f>
        <v/>
      </c>
      <c r="R149" s="259" t="str">
        <f t="shared" ca="1" si="366"/>
        <v/>
      </c>
      <c r="S149" s="259">
        <f ca="1">IF(IFERROR(MATCH(R149,DENOMINAZIONE_GIORNALE,0),0)&gt;0,MAX(S$2:S148)+1,0)</f>
        <v>0</v>
      </c>
      <c r="T149" s="259" t="str">
        <f ca="1">IFERROR(INDEX($R$3:$S$220,MATCH(ROWS($T$3:T149),$S$3:$S$220,0),1),"")</f>
        <v/>
      </c>
      <c r="U149" s="259">
        <f t="shared" ca="1" si="367"/>
        <v>0</v>
      </c>
      <c r="V149" s="259">
        <f ca="1">IF(IF(U149&lt;&gt;0,MAX($V$2:V148)+1,0)=0,0,IF(U149&lt;&gt;0,MAX($V$2:V148)+1,0))</f>
        <v>0</v>
      </c>
      <c r="W149" s="259" t="str">
        <f t="shared" si="401"/>
        <v>31.07</v>
      </c>
      <c r="X149" s="259" t="str">
        <f t="shared" si="402"/>
        <v>COSTI POSTALI</v>
      </c>
      <c r="Y149" s="259">
        <f>IF(W149="",0,MAX($Y$2:Y148)+1)</f>
        <v>127</v>
      </c>
      <c r="Z149" s="259" t="str">
        <f>IFERROR(INDEX($W$3:$Y$220,MATCH(ROWS($Z$2:Z148),$Y$3:$Y$220,0),1),"")</f>
        <v>35.02</v>
      </c>
      <c r="AA149" s="259" t="str">
        <f t="shared" si="403"/>
        <v>AMMORTAMENTO IMPIANTI E MACCHINARI</v>
      </c>
      <c r="AB149" s="259" t="str">
        <f t="shared" si="404"/>
        <v>E</v>
      </c>
      <c r="AC149" s="259" t="str">
        <f t="shared" si="405"/>
        <v>D</v>
      </c>
      <c r="AD149" s="259" t="str">
        <f t="shared" si="406"/>
        <v>COSTI D'ESERCIZIO</v>
      </c>
      <c r="AE149" s="259" t="str">
        <f t="shared" si="407"/>
        <v>SE DARE</v>
      </c>
      <c r="AF149" s="259" t="str">
        <f t="shared" si="408"/>
        <v>AMMORTAMENTI IMMOBILIZZAZIONI MATERIALI</v>
      </c>
      <c r="AG149" s="259">
        <f t="shared" ca="1" si="409"/>
        <v>0</v>
      </c>
      <c r="AH149" s="259">
        <f t="shared" ca="1" si="410"/>
        <v>0</v>
      </c>
      <c r="AI149" s="259">
        <f t="shared" ca="1" si="411"/>
        <v>1</v>
      </c>
      <c r="AJ149" s="259" t="str">
        <f t="shared" si="412"/>
        <v>35</v>
      </c>
      <c r="AK149" s="259" t="str">
        <f t="shared" si="413"/>
        <v/>
      </c>
      <c r="AL149" s="259">
        <f>IF(AK149&lt;&gt;"",MAX($AL$2:AL148)+1,0)</f>
        <v>0</v>
      </c>
      <c r="AM149" s="259" t="str">
        <f>IFERROR(INDEX($AK$3:$AL$220,MATCH(ROWS($AM$3:AM149),$AL$3:$AL$220,0),1),"")</f>
        <v/>
      </c>
      <c r="AN149" s="259" t="str">
        <f t="shared" si="414"/>
        <v/>
      </c>
      <c r="AO149" s="259" t="str">
        <f t="shared" si="415"/>
        <v/>
      </c>
      <c r="AP149" s="259" t="str">
        <f t="shared" si="416"/>
        <v>AMMORTAMENTI IMMOBILIZZAZIONI MATERIALI</v>
      </c>
      <c r="AQ149" s="259">
        <f ca="1">IF(OR(AG149=0,AG149=""),0,MAX(AQ$2:AQ148)+1)</f>
        <v>0</v>
      </c>
      <c r="AR149" s="259">
        <f ca="1">IF(OR(AH149=0,AH149=""),0,MAX(AR$2:AR148)+1)</f>
        <v>0</v>
      </c>
      <c r="AS149" s="259">
        <f ca="1">IF(OR(AI149=0,AI149=""),0,MAX(AS$2:AS148)+1)</f>
        <v>143</v>
      </c>
      <c r="AT149" s="259" t="str">
        <f ca="1">IFERROR(INDEX($AD$3:$AS$220,MATCH(ROWS(AT$3:AT149),AQ$3:AQ$220,0),1),"")</f>
        <v/>
      </c>
      <c r="AU149" s="259" t="str">
        <f ca="1">IFERROR(INDEX($AD$3:$AS$220,MATCH(ROWS(AU$3:AU149),AR$3:AR$220,0),1),"")</f>
        <v/>
      </c>
      <c r="AV149" s="259" t="str">
        <f ca="1">IFERROR(INDEX($AD$3:$AS$220,MATCH(ROWS(AV$3:AV149),AS$3:AS$220,0),1),"")</f>
        <v>COSTI D'ESERCIZIO</v>
      </c>
      <c r="AW149" s="259" t="str">
        <f ca="1">IFERROR(INDEX($AP$3:$AS$220,MATCH(ROWS(AW$3:AW149),AQ$3:AQ$220,0),1),"")</f>
        <v/>
      </c>
      <c r="AX149" s="259" t="str">
        <f ca="1">IFERROR(INDEX($AP$3:$AS$220,MATCH(ROWS(AX$3:AX149),AR$3:AR$220,0),1),"")</f>
        <v/>
      </c>
      <c r="AY149" s="259" t="str">
        <f ca="1">IFERROR(INDEX($AP$3:$AS$220,MATCH(ROWS(AY$3:AY149),AS$3:AS$220,0),1),"")</f>
        <v>AMMORTAMENTI IMMOBILIZZAZIONI MATERIALI</v>
      </c>
      <c r="AZ149" s="259" t="str">
        <f t="shared" si="339"/>
        <v>47 V.I.</v>
      </c>
      <c r="BA149" s="259">
        <f t="shared" ca="1" si="338"/>
        <v>0</v>
      </c>
      <c r="BB149" s="259">
        <f t="shared" ca="1" si="340"/>
        <v>0</v>
      </c>
      <c r="BC149" s="259">
        <f t="shared" ca="1" si="341"/>
        <v>0</v>
      </c>
      <c r="BD149" s="259">
        <f t="shared" ca="1" si="342"/>
        <v>0</v>
      </c>
      <c r="BE149" s="259">
        <f t="shared" ca="1" si="343"/>
        <v>0</v>
      </c>
      <c r="BG149" s="259" t="str">
        <f t="shared" ca="1" si="368"/>
        <v/>
      </c>
      <c r="BH149" s="259">
        <f ca="1">IF(IFERROR(MATCH(BG149,DENOMINAZIONE_GIORNALE,0),0)&gt;0,MAX(BH$2:BH148)+1,0)</f>
        <v>0</v>
      </c>
      <c r="BI149" s="259" t="str">
        <f ca="1">IFERROR(INDEX($BG$3:$BH$220,MATCH(ROWS($BI$3:BI149),$BH$3:$BH$220,0),1),"")</f>
        <v/>
      </c>
      <c r="BJ149" s="259" t="str">
        <f t="shared" ca="1" si="369"/>
        <v/>
      </c>
      <c r="BK149" s="259" t="str">
        <f ca="1">IF(IF(BJ149&lt;&gt;"",MAX($BK$2:BK148)+1,0)=0,"",IF(BJ149&lt;&gt;"",MAX($BK$2:BK148)+1,0))</f>
        <v/>
      </c>
      <c r="BL149" s="259" t="str">
        <f ca="1">IFERROR(INDEX($T$3:$U$220, MATCH(ROWS(BL$3:BL149),$V$3:$V$220,0),1),"")</f>
        <v/>
      </c>
      <c r="BM149" s="259" t="str">
        <f ca="1">IFERROR(INDEX($T$3:$U$220, MATCH(ROWS(BM$3:BM149),$V$3:$V$220,0),2),"")</f>
        <v/>
      </c>
      <c r="BN149" s="259" t="str">
        <f ca="1">IF(IFERROR(INDEX($BI$3:$BJ$220,MATCH(ROWS(BN$3:BN149),$BK$3:$BK$220,0),1),"")="PATRIMONIO NETTO","",IFERROR(INDEX($BI$3:$BJ$220,MATCH(ROWS(BN$3:BN149),$BK$3:$BK$220,0),1),""))</f>
        <v/>
      </c>
      <c r="BO149" s="259" t="str">
        <f ca="1">IFERROR(INDEX($BI$3:$BJ$220,MATCH(ROWS(BO$3:BO149),$BK$3:$BK$220,0),2),"")</f>
        <v/>
      </c>
      <c r="BP149" s="259">
        <f ca="1">IF(BN149&lt;&gt;"",MAX(BP$2:$BP148)+1,0)</f>
        <v>0</v>
      </c>
      <c r="BQ149" s="259" t="str">
        <f ca="1">IFERROR(INDEX($BN$3:$BO$200,MATCH(ROWS(BQ$3:BQ149),$BP$3:$BP$220,0),1),"")</f>
        <v/>
      </c>
      <c r="BR149" s="259" t="str">
        <f ca="1">IFERROR(INDEX($BN$3:$BO$220,MATCH(ROWS(BR$3:BR149),$BP$3:$BP$220,0),2),"")</f>
        <v/>
      </c>
      <c r="BS149" s="259" t="str">
        <f ca="1">IFERROR(IF(OR(INDEX($T$3:$U$220,MATCH(ROWS(BL$3:BL149),$V$3:$V$220,0),1)="PRELEVAMENTI EXTRAGESTIONE",INDEX($T$3:$U$220,MATCH(ROWS(BL$3:BL149),$V$3:$V$220,0),1)="TITOLARE C/RITENUTE SUBITE"),"",INDEX($T$3:$U$220,MATCH(ROWS(BL$3:BL149),$V$3:$V$220,0),1)),"")</f>
        <v/>
      </c>
      <c r="BT149" s="259">
        <f t="shared" ca="1" si="417"/>
        <v>0</v>
      </c>
      <c r="BU149" s="259">
        <f ca="1">IF(BS149&lt;&gt;"",MAX(BU$2:BU148)+1,0)</f>
        <v>0</v>
      </c>
      <c r="BV149" s="259" t="str">
        <f ca="1">IFERROR(INDEX($BS$3:$BT$223,MATCH(ROWS(BV$3:BV149),$BU$3:$BU$223,0),1),"")</f>
        <v/>
      </c>
      <c r="BW149" s="259">
        <f t="shared" ca="1" si="418"/>
        <v>0</v>
      </c>
      <c r="CB149" s="259" t="str">
        <f ca="1">IFERROR(IF(OR($BB$1&lt;&gt;$BD$1,$BC$1&lt;&gt;$BE$1,$DS$231&lt;&gt;$DT$231,$DU$231&lt;&gt;$DV$231,$EO$25&lt;&gt;0,$EO$26&lt;&gt;0),INDEX($BI$3:$BK$220,MATCH(ROWS($CB$3:CB149),$BK$3:$BK$220,0),1),CONCATENATE(BQ149,BX149)),"")</f>
        <v/>
      </c>
      <c r="CC149" s="259" t="str">
        <f t="shared" ca="1" si="419"/>
        <v/>
      </c>
      <c r="CD149" s="259" t="str">
        <f t="shared" ca="1" si="370"/>
        <v>AMMORTAMENTO IMPIANTI E MACCHINARI</v>
      </c>
      <c r="CE149" s="259">
        <f ca="1">IF(IFERROR(MATCH(CD149,DENOMINAZIONE_GIORNALE,0),0)&gt;0,MAX(CE$2:CE148)+1,0)</f>
        <v>0</v>
      </c>
      <c r="CF149" s="259" t="str">
        <f ca="1">IFERROR(INDEX($CD$3:$CE$220,MATCH(ROWS($CF$3:CF149),$CE$3:$CE$220,0),1),"")</f>
        <v/>
      </c>
      <c r="CG149" s="259">
        <f t="shared" ca="1" si="371"/>
        <v>0</v>
      </c>
      <c r="CH149" s="259" t="str">
        <f ca="1">IF(IF(CG149&lt;&gt;0,MAX($CH$2:CH148)+1,0)=0,"",IF(CG149&lt;&gt;"",MAX($CH$2:CH148)+1,0))</f>
        <v/>
      </c>
      <c r="CI149" s="259" t="str">
        <f ca="1">IFERROR(INDEX($CF$3:$CG$220,MATCH(ROWS($CI$3:CI149),$CH$3:$CH$220,0),1),"")</f>
        <v/>
      </c>
      <c r="CJ149" s="259" t="str">
        <f t="shared" ca="1" si="420"/>
        <v/>
      </c>
      <c r="CK149" s="259" t="str">
        <f t="shared" ca="1" si="372"/>
        <v/>
      </c>
      <c r="CL149" s="259">
        <f ca="1">IF(IFERROR(MATCH(CK149,DENOMINAZIONE_GIORNALE,0),0)&gt;0,MAX(CL$2:CL148)+1,0)</f>
        <v>0</v>
      </c>
      <c r="CM149" s="259" t="str">
        <f ca="1">IFERROR(INDEX($CK$3:$CL$220,MATCH(ROWS($CM$3:CM149),$CL$3:$CL$220,0),1),"")</f>
        <v/>
      </c>
      <c r="CN149" s="259" t="str">
        <f t="shared" ca="1" si="373"/>
        <v/>
      </c>
      <c r="CO149" s="259">
        <f ca="1">IF(IF(CN149&lt;&gt;0,MAX($CO$2:CO148)+1,0)=0,"",IF(CN149&lt;&gt;"",MAX($CO$2:CO148)+1,0))</f>
        <v>0</v>
      </c>
      <c r="CP149" s="259" t="str">
        <f ca="1">IFERROR(INDEX($CM$3:$CN$220,MATCH(ROWS(CP$3:CP149),$CO$3:$CO$220,0),1),"")</f>
        <v/>
      </c>
      <c r="CQ149" s="259" t="str">
        <f ca="1">IFERROR(INDEX($CM$3:$CN$220,MATCH(ROWS(CQ$3:CQ149),$CO$3:$CO$220,0),2),"")</f>
        <v/>
      </c>
      <c r="CS149" s="259">
        <f t="shared" ca="1" si="374"/>
        <v>0</v>
      </c>
      <c r="CT149" s="259">
        <f t="shared" ca="1" si="375"/>
        <v>0</v>
      </c>
      <c r="CU149" s="259">
        <f ca="1">IF(OR(CS149&gt;0,CT149&gt;0),MAX($CU$2:CU148)+1,0)</f>
        <v>0</v>
      </c>
      <c r="CV149" s="259" t="str">
        <f ca="1">IFERROR(INDEX(PIANO_DEI_CONTI,MATCH(ROWS($CV$3:CV149),$CU$3:$CU$200,0),2),"")</f>
        <v/>
      </c>
      <c r="CW149" s="259">
        <f ca="1">IFERROR(IF(CV149&lt;&gt;"",MAX($CW$2:CW148)+1,0),0)</f>
        <v>0</v>
      </c>
      <c r="CX149" s="259">
        <f t="shared" ca="1" si="472"/>
        <v>9</v>
      </c>
      <c r="CY149" s="259" t="str">
        <f t="shared" ca="1" si="469"/>
        <v>MASTRO</v>
      </c>
      <c r="CZ149" s="259" t="e">
        <f t="shared" ref="CZ149:CZ163" ca="1" si="474">SUM(MATCH($CY149,INDIRECT(ADDRESS(SUM(CZ148)+3,54)&amp;":"&amp;ADDRESS(400,54)),0),CZ148)</f>
        <v>#N/A</v>
      </c>
      <c r="DA149" s="259" t="str">
        <f ca="1">IFERROR(INDEX(LIBRO_GIORNALE,CZ149,1),"")</f>
        <v/>
      </c>
      <c r="DB149" s="259" t="str">
        <f t="shared" ref="DB149:DB163" ca="1" si="475">IF(RIGHT(TEXT(IFERROR(INDEX(LIBRO_GIORNALE,CZ149,2),""),"gg/mm/aa"),1)="a",TEXT(IFERROR(INDEX(LIBRO_GIORNALE,CZ149,2),""),"dd/mm/yy"),TEXT(IFERROR(INDEX(LIBRO_GIORNALE,CZ149,2),""),"gg/mm/aa"))</f>
        <v/>
      </c>
      <c r="DC149" s="259" t="str">
        <f t="shared" ref="DC149:DC163" ca="1" si="476">IF(IFERROR(INDEX(LIBRO_GIORNALE,CZ149,4),"")=0,"manca la descrizione dell'operazione",IFERROR(INDEX(LIBRO_GIORNALE,CZ149,4),""))</f>
        <v/>
      </c>
      <c r="DD149" s="259" t="str">
        <f t="shared" ref="DD149:DD163" ca="1" si="477">IFERROR(IF(INDEX(LIBRO_GIORNALE,CZ149,5)&gt;0,INDEX(LIBRO_GIORNALE,CZ149,5),""),"")</f>
        <v/>
      </c>
      <c r="DE149" s="259" t="str">
        <f t="shared" ref="DE149:DE163" ca="1" si="478">IFERROR(IF(INDEX(LIBRO_GIORNALE,CZ149,6)&gt;0,INDEX(LIBRO_GIORNALE,CZ149,6),""),"")</f>
        <v/>
      </c>
      <c r="DF149" s="259">
        <f ca="1">IF(AND(CX149=$DE$2,$DF$2&lt;&gt;0),0,IF(AND(DB149&lt;&gt;"",OR(DB148&lt;&gt;"",DB150&lt;&gt;"")),MAX($DF$2:DF148)+1,0))</f>
        <v>0</v>
      </c>
      <c r="DG149" s="259" t="str">
        <f>IF(IF(LIBRO_GIORNALE!E57="","",IFERROR(INDEX(PIANO_DEI_CONTI,MATCH(BB149,DENOMINAZIONE,0),1),0))=0,"",IF(LIBRO_GIORNALE!E57="","",IFERROR(INDEX(PIANO_DEI_CONTI,MATCH(BB149,DENOMINAZIONE,0),1),0)))</f>
        <v/>
      </c>
      <c r="DH149" s="259">
        <f ca="1">IFERROR(IF($J$1=1,IF(INDEX(PIANO_DEI_CONTI,MATCH($K149,DENOMINAZIONE,0),5)=$DF$1,MAX($DH$2:DH148)+1,0),IF($J$1=2,IF(INDEX(PIANO_DEI_CONTI,MATCH($K149,DENOMINAZIONE,0),7)=$DF$1,MAX($DH$2:DH148)+1,0))),0)</f>
        <v>0</v>
      </c>
      <c r="DI149" s="259">
        <f ca="1">IFERROR(INDEX($K$3:$K$220,MATCH(ROWS($DI$3:DI149),$DH$3:$DH$220,0),1),0)</f>
        <v>0</v>
      </c>
      <c r="DJ149" s="259">
        <f t="shared" ca="1" si="381"/>
        <v>0</v>
      </c>
      <c r="DK149" s="259">
        <f ca="1">IF(DJ149=0,0,MAX(DK$2:DK148)+1)</f>
        <v>0</v>
      </c>
      <c r="DL149" s="259">
        <f ca="1">IFERROR(INDEX(PIANO_DEI_CONTI,MATCH(ROWS(DL$3:DL149),$DK$3:DK376,0),2),0)</f>
        <v>0</v>
      </c>
      <c r="DM149" s="259">
        <f t="shared" ca="1" si="382"/>
        <v>0</v>
      </c>
      <c r="DN149" s="259">
        <f t="shared" ca="1" si="383"/>
        <v>0</v>
      </c>
      <c r="DO149" s="259">
        <f t="shared" ca="1" si="422"/>
        <v>0</v>
      </c>
      <c r="DP149" s="259">
        <f t="shared" ca="1" si="423"/>
        <v>0</v>
      </c>
      <c r="DQ149" s="259">
        <f ca="1">IF(OR($DQ$1="TOTALI",$DQ$1="TOTALI ED ECCEDENZE"),IF(OR(DM149&gt;0,DN149&gt;0),MAX(DQ$2:DQ148)+1,0),IF($DQ$1="ECCEDENZE",IF(OR(DO149&gt;0,DP149&gt;0),MAX(DQ$2:DQ148)+1,0),""))</f>
        <v>0</v>
      </c>
      <c r="DR149" s="259" t="str">
        <f ca="1">IFERROR(INDEX($DL$3:$DQ$230,MATCH(ROWS(DR$3:DR149),$DQ$3:$DQ$230,0),1),"")</f>
        <v/>
      </c>
      <c r="DS149" s="259" t="str">
        <f t="shared" ca="1" si="424"/>
        <v/>
      </c>
      <c r="DT149" s="259" t="str">
        <f t="shared" ca="1" si="425"/>
        <v/>
      </c>
      <c r="DU149" s="259" t="str">
        <f t="shared" ca="1" si="426"/>
        <v/>
      </c>
      <c r="DV149" s="259" t="str">
        <f t="shared" ca="1" si="427"/>
        <v/>
      </c>
      <c r="DW149" s="259">
        <f t="shared" ca="1" si="428"/>
        <v>0</v>
      </c>
      <c r="DX149" s="259" t="str">
        <f t="shared" ca="1" si="429"/>
        <v/>
      </c>
      <c r="DY149" s="259" t="str">
        <f t="shared" ca="1" si="430"/>
        <v/>
      </c>
      <c r="DZ149" s="259" t="str">
        <f t="shared" ca="1" si="431"/>
        <v/>
      </c>
      <c r="EB149" s="259" t="s">
        <v>378</v>
      </c>
      <c r="ED149" s="259">
        <f t="shared" ca="1" si="384"/>
        <v>0</v>
      </c>
      <c r="EH149" s="259" t="str">
        <f t="shared" ca="1" si="432"/>
        <v/>
      </c>
      <c r="EI149" s="260" t="b">
        <f t="shared" ca="1" si="466"/>
        <v>1</v>
      </c>
      <c r="EJ149" s="260" t="b">
        <f t="shared" ca="1" si="467"/>
        <v>1</v>
      </c>
      <c r="EK149" s="260" t="b">
        <f t="shared" ca="1" si="468"/>
        <v>1</v>
      </c>
      <c r="EL149" s="259">
        <f t="shared" si="433"/>
        <v>147</v>
      </c>
      <c r="EM149" s="259">
        <f ca="1">IF(AND(BA149&gt;0,BA149&lt;=$EM$1),MAX($EM$2:EM148)+1,0)</f>
        <v>0</v>
      </c>
      <c r="EN149" s="259">
        <f t="shared" ca="1" si="434"/>
        <v>149</v>
      </c>
      <c r="EP149" s="259" t="str">
        <f t="shared" ca="1" si="385"/>
        <v/>
      </c>
      <c r="EQ149" s="259">
        <f t="shared" ca="1" si="386"/>
        <v>0</v>
      </c>
      <c r="ER149" s="259">
        <f ca="1">IF(ISNA(EQ149),MAX(ER$2:ER148)+1,0)</f>
        <v>0</v>
      </c>
      <c r="ES149" s="259" t="str">
        <f t="shared" ca="1" si="435"/>
        <v/>
      </c>
      <c r="ET149" s="259" t="str">
        <f ca="1">IFERROR(UPPER(INDEX($ER$3:$ES$500,MATCH(ROWS(ET$3:ET149),$ER$3:$ER$500,0),2)),"")</f>
        <v/>
      </c>
      <c r="EW149" s="259">
        <f t="shared" ca="1" si="344"/>
        <v>1</v>
      </c>
      <c r="EX149" s="259">
        <v>47</v>
      </c>
      <c r="EY149" s="259">
        <f t="shared" ca="1" si="345"/>
        <v>0</v>
      </c>
      <c r="EZ149" s="259">
        <f t="shared" ca="1" si="346"/>
        <v>0</v>
      </c>
      <c r="FA149" s="259">
        <f t="shared" ca="1" si="347"/>
        <v>0</v>
      </c>
      <c r="FB149" s="259">
        <f t="shared" ca="1" si="348"/>
        <v>0</v>
      </c>
      <c r="FC149" s="259">
        <f t="shared" ca="1" si="349"/>
        <v>0</v>
      </c>
      <c r="FD149" s="259">
        <f t="shared" ca="1" si="387"/>
        <v>0</v>
      </c>
      <c r="FE149" s="259" t="str">
        <f t="shared" ca="1" si="388"/>
        <v/>
      </c>
      <c r="FF149" s="259" t="str">
        <f t="shared" ca="1" si="350"/>
        <v/>
      </c>
      <c r="FM149" s="259">
        <f t="shared" ca="1" si="389"/>
        <v>0</v>
      </c>
      <c r="FN149" s="259">
        <f ca="1">IF(FM149&lt;0,MAX($FN$2:FN148)+1,0)</f>
        <v>0</v>
      </c>
      <c r="FO149" s="259" t="str">
        <f t="shared" ca="1" si="436"/>
        <v/>
      </c>
      <c r="FP149" s="259" t="str">
        <f ca="1">IFERROR(INDEX($FN$3:$FO$400,MATCH(ROWS($FP$3:FP149),$FN$3:$FN$400,0),2),"")</f>
        <v/>
      </c>
      <c r="FQ149" s="259" t="str">
        <f>IF(AE149="SE AVERE",MAX($FQ$2:FQ148)+1,"")</f>
        <v/>
      </c>
      <c r="FR149" s="259">
        <f>IF(AE149="SE DARE",MAX($FR$2:FR148)+1,"")</f>
        <v>54</v>
      </c>
      <c r="FS149" s="259" t="str">
        <f ca="1">IF(AND(AE149="SP DARE",AA149&lt;&gt;$FS$1,AA149&lt;&gt;$FT$1),MAX($FS$2:FS148)+1,IF(AND(GQ149="SP DARE",AA149&lt;&gt;$FS$1,AA149&lt;&gt;$FT$1),MAX($FS$2:FS148)+1,""))</f>
        <v/>
      </c>
      <c r="FT149" s="259" t="str">
        <f ca="1">IF(AND(AE149="SP AVERE",AA149&lt;&gt;$FU$1),MAX($FT$2:FT148)+1,IF(AND(GQ149="SP AVERE",AA149&lt;&gt;$FU$1),MAX($FT$2:FT148)+1,""))</f>
        <v/>
      </c>
      <c r="FU149" s="259">
        <f t="shared" ca="1" si="437"/>
        <v>54</v>
      </c>
      <c r="FV149" s="259" t="str">
        <f t="shared" si="438"/>
        <v>AMMORTAMENTO IMPIANTI E MACCHINARI</v>
      </c>
      <c r="FW149" s="259" t="str">
        <f ca="1">IFERROR(INDEX($FU$3:$FV$500,MATCH(ROWS($FW$3:FW149),$FU$3:$FU$500,0),2),0)</f>
        <v>MUTUI PASSIVI</v>
      </c>
      <c r="FX149" s="259">
        <f t="shared" ca="1" si="439"/>
        <v>147</v>
      </c>
      <c r="FY149" s="259">
        <f t="shared" ca="1" si="440"/>
        <v>0</v>
      </c>
      <c r="FZ149" s="259">
        <f ca="1">IF(FY149&gt;0,MAX($FZ$2:FZ148)+1,0)</f>
        <v>0</v>
      </c>
      <c r="GA149" s="259">
        <f ca="1">IFERROR(INDEX($FY$3:$FZ$500,MATCH(ROWS($GA$3:GA149),$FZ$3:$FZ$500,0),1),0)</f>
        <v>0</v>
      </c>
      <c r="GC149" s="259">
        <f t="shared" ca="1" si="441"/>
        <v>147</v>
      </c>
      <c r="GD149" s="259" t="str">
        <f t="shared" ca="1" si="442"/>
        <v>MUTUI PASSIVI</v>
      </c>
      <c r="GG149" s="259">
        <f t="shared" ca="1" si="443"/>
        <v>0</v>
      </c>
      <c r="GH149" s="259">
        <f t="shared" ca="1" si="444"/>
        <v>0</v>
      </c>
      <c r="GI149" s="259">
        <f t="shared" ca="1" si="445"/>
        <v>0</v>
      </c>
      <c r="GJ149" s="259">
        <f t="shared" ca="1" si="446"/>
        <v>0</v>
      </c>
      <c r="GK149" s="259">
        <f t="shared" ca="1" si="447"/>
        <v>0</v>
      </c>
      <c r="GL149" s="259">
        <f t="shared" ca="1" si="447"/>
        <v>0</v>
      </c>
      <c r="GM149" s="259">
        <f ca="1">IF(OR(GK149&gt;0,GL149&gt;0),MAX($GM$2:GM148)+1,0)</f>
        <v>0</v>
      </c>
      <c r="GN149" s="259" t="str">
        <f ca="1">IFERROR(INDEX($GD$3:$GM$400,MATCH(ROWS($GN$3:GN149),$GM$3:$GM$400,0),1),"")</f>
        <v/>
      </c>
      <c r="GO149" s="259" t="str">
        <f ca="1">IFERROR(INDEX($GD$3:$GM$400,MATCH(ROWS($GO$3:GO149),$GM$3:$GM$400,0),8),"")</f>
        <v/>
      </c>
      <c r="GP149" s="259" t="str">
        <f ca="1">IFERROR(INDEX($GD$3:$GM$400,MATCH(ROWS($GP$3:GP149),$GM$3:$GM$400,0),9),"")</f>
        <v/>
      </c>
      <c r="GQ149" s="259">
        <f t="shared" ca="1" si="390"/>
        <v>0</v>
      </c>
      <c r="GR149" s="259">
        <f t="shared" ca="1" si="448"/>
        <v>0</v>
      </c>
      <c r="GS149" s="259" t="str">
        <f t="shared" ca="1" si="449"/>
        <v>chiusura del conto</v>
      </c>
      <c r="GT149" s="259" t="str">
        <f ca="1">IFERROR(INDEX($GD$3:$GS$400,MATCH(ROWS($GT$3:GT149),$GM$3:$GM$400,0),16),"")</f>
        <v/>
      </c>
      <c r="GU149" s="259">
        <f ca="1">IF(GQ149&lt;&gt;0,MAX($GU$2:$GU148)+1,0)</f>
        <v>0</v>
      </c>
      <c r="GV149" s="259">
        <f t="shared" ca="1" si="450"/>
        <v>0</v>
      </c>
      <c r="GW149" s="259" t="str">
        <f ca="1">IF(AND(IFERROR(INDEX($GU$3:$GV$400,MATCH(ROWS($GW$3:GW149),$GU$3:$GU$400,0),2),"")&lt;&gt;"",GW150&lt;&gt;""),CONCATENATE(IFERROR(INDEX($GU$3:$GV$400,MATCH(ROWS($GW$3:GW149),$GU$3:$GU$400,0),2),"")," - "),IFERROR(INDEX($GU$3:$GV$400,MATCH(ROWS($GW$3:GW149),$GU$3:$GU$400,0),2),""))</f>
        <v/>
      </c>
      <c r="GX149" s="259">
        <f ca="1">IF(OR(GN149="IVA NS/CREDITO",GN149="IVA NS/DEBITO",GN149="IVA C/ACCONTO",GN149="IMPOSTE C/ACCONTO"),MAX($GX$2:GX148)+1,0)</f>
        <v>0</v>
      </c>
      <c r="GY149" s="259" t="str">
        <f ca="1">IF(AND(IFERROR(INDEX($GN$3:$GX$200,MATCH(ROWS($GY$3:GY149),$GX$3:$GX$200,0),1),"")&lt;&gt;"",GY150&lt;&gt;""),CONCATENATE(IFERROR(INDEX($GN$3:$GX$200,MATCH(ROWS($GY$3:GY149),$GX$3:$GX$200,0),1),"")," - "),IFERROR(INDEX($GN$3:$GX$200,MATCH(ROWS($GY$3:GY149),$GX$3:$GX$200,0),1),""))</f>
        <v/>
      </c>
      <c r="GZ149" s="259" t="s">
        <v>574</v>
      </c>
      <c r="HA149" s="259" t="s">
        <v>154</v>
      </c>
      <c r="HB149" s="269" t="s">
        <v>256</v>
      </c>
      <c r="HC149" s="269" t="s">
        <v>276</v>
      </c>
      <c r="HD149" s="269" t="s">
        <v>7</v>
      </c>
      <c r="HE149" s="269" t="s">
        <v>214</v>
      </c>
      <c r="HV149" s="259" t="str">
        <f ca="1">CONCATENATE(IFERROR(INDEX($HS$3:$HT$102,MATCH(ROWS($HV$3:HV149),$HT$3:$HT$102,0),1),""),HR149)</f>
        <v/>
      </c>
      <c r="IC149" s="259">
        <f ca="1">IFERROR(INDEX(PIANO_DEI_CONTI,MATCH(ROWS(DL$3:DL149),$DK$3:DK376,0),2),0)</f>
        <v>0</v>
      </c>
      <c r="ID149" s="259">
        <f t="shared" ca="1" si="451"/>
        <v>0</v>
      </c>
      <c r="IE149" s="259">
        <f t="shared" ca="1" si="452"/>
        <v>0</v>
      </c>
      <c r="IF149" s="259">
        <f t="shared" ca="1" si="453"/>
        <v>0</v>
      </c>
      <c r="IG149" s="259">
        <f t="shared" ref="IG149:IG200" ca="1" si="479">IF(SUMIFS($ID$3:$ID$200,$IF$3:$IF$200,IA149)&lt;=SUMIFS($IE$3:$IE$200,$IF$3:$IF$200,IA149),SUMIFS($IE$3:$IE$200,$IF$3:$IF$200,IA149)-SUMIFS($ID$3:$ID$200,$IF$3:$IF$200,IA149),0)</f>
        <v>0</v>
      </c>
      <c r="IH149" s="259">
        <f ca="1">IF(IG149&lt;&gt;0,MAX($IH$35:IH148)+1,0)</f>
        <v>0</v>
      </c>
      <c r="II149" s="259">
        <f>IF(AD149="costi pluriennali",MAX($II$2:II148)+1,0)</f>
        <v>0</v>
      </c>
      <c r="IJ149" s="259">
        <f>IF($AD149="rettifiche costi pluriennali",MAX($IJ$2:IJ148)+1,0)</f>
        <v>0</v>
      </c>
      <c r="IK149" s="259">
        <f t="shared" si="454"/>
        <v>0</v>
      </c>
      <c r="IL149" s="259" t="str">
        <f t="shared" si="455"/>
        <v/>
      </c>
      <c r="IM149" s="259">
        <f t="shared" ca="1" si="456"/>
        <v>0</v>
      </c>
      <c r="IN149" s="259">
        <f t="shared" ca="1" si="470"/>
        <v>0</v>
      </c>
      <c r="IO149" s="259">
        <f>SUMIFS($IM$3:$IM$200,$IK$3:$IK$200,ROWS($IO$3:IO149))-SUMIFS($IN$3:$IN$200,$IK$3:$IK$200,ROWS($IO$3:IO149))</f>
        <v>0</v>
      </c>
      <c r="IP149" s="259" t="str">
        <f>IF(IO149&lt;0,INDEX($IJ$3:$IL$200,MATCH(ROWS($IP$3:IP149),$IJ$3:$IJ$200,0),3),"")</f>
        <v/>
      </c>
      <c r="IQ149" s="259">
        <f>IF(IP149&lt;&gt;"",MAX($IQ$2:IQ148)+1,0)</f>
        <v>0</v>
      </c>
      <c r="IR149" s="259" t="str">
        <f ca="1">IFERROR(INDEX($IP$3:$IQ$200,MATCH(ROWS($IR$3:IR149),$IQ$3:$IQ$200,0),1),"")</f>
        <v/>
      </c>
      <c r="IS149" s="259" t="str">
        <f t="shared" ca="1" si="457"/>
        <v/>
      </c>
      <c r="IT149" s="259" t="str">
        <f t="shared" ca="1" si="458"/>
        <v/>
      </c>
      <c r="IU149" s="259" t="str">
        <f t="shared" ca="1" si="459"/>
        <v/>
      </c>
      <c r="IV149" s="259" t="str">
        <f t="shared" ca="1" si="460"/>
        <v/>
      </c>
      <c r="IW149" s="259" t="str">
        <f t="shared" ca="1" si="461"/>
        <v/>
      </c>
      <c r="IX149" s="259" t="str">
        <f t="shared" ca="1" si="462"/>
        <v/>
      </c>
      <c r="IY149" s="259" t="str">
        <f t="shared" ca="1" si="463"/>
        <v/>
      </c>
      <c r="IZ149" s="259" t="str">
        <f t="shared" ca="1" si="464"/>
        <v/>
      </c>
      <c r="JA149" s="259" t="str">
        <f t="shared" ca="1" si="465"/>
        <v/>
      </c>
      <c r="JB149" s="259">
        <f t="shared" ca="1" si="391"/>
        <v>0</v>
      </c>
      <c r="JC149" s="259">
        <f t="shared" ca="1" si="351"/>
        <v>0</v>
      </c>
      <c r="JD149" s="259">
        <f t="shared" ca="1" si="352"/>
        <v>0</v>
      </c>
      <c r="JM149" s="259">
        <f t="shared" ca="1" si="353"/>
        <v>0</v>
      </c>
    </row>
    <row r="150" spans="1:273">
      <c r="A150" s="259" t="str">
        <f t="shared" si="392"/>
        <v>31.08</v>
      </c>
      <c r="B150" s="259" t="str">
        <f t="shared" si="393"/>
        <v>ASSICURAZIONI</v>
      </c>
      <c r="C150" s="259" t="str">
        <f t="shared" si="394"/>
        <v>E</v>
      </c>
      <c r="D150" s="259" t="str">
        <f t="shared" si="395"/>
        <v>D</v>
      </c>
      <c r="E150" s="259" t="str">
        <f t="shared" si="396"/>
        <v>COSTI D'ESERCIZIO</v>
      </c>
      <c r="F150" s="259" t="str">
        <f t="shared" si="397"/>
        <v>SE DARE</v>
      </c>
      <c r="G150" s="259">
        <f t="shared" ca="1" si="398"/>
        <v>1</v>
      </c>
      <c r="H150" s="259">
        <f t="shared" ca="1" si="399"/>
        <v>1</v>
      </c>
      <c r="I150" s="259">
        <f t="shared" ca="1" si="400"/>
        <v>1</v>
      </c>
      <c r="K150" s="259" t="str">
        <f ca="1">IFERROR(IF($I$1=1,INDEX($AA$3:$AS$220,MATCH(ROWS($K$3:K150),$AQ$3:$AQ$220,0),1),IF($I$1=2,INDEX($AA$3:$AS$220,MATCH(ROWS($K$3:K150),$AR$3:$AR$220,0),1),IF($I$1=3,INDEX($AA$3:$AS$220,MATCH(ROWS($K$3:K150),$AS$3:$AS$220,0),1),""))),"")</f>
        <v>AMMORTAMENTO IMBALLAGGI DUREVOLI</v>
      </c>
      <c r="L150" s="259">
        <f ca="1">IF(AND($L$1="VISUALIZZA TUTTI I CONTI",K150&lt;&gt;""),MAX(L149:L149)+1,IFERROR(IF($J$1=1,IF(INDEX(PIANO_DEI_CONTI,MATCH($K150,DENOMINAZIONE,0),5)=$L$1,MAX($L$2:L149)+1,0),IF($J$1=2,IF(INDEX(PIANO_DEI_CONTI,MATCH($K150,DENOMINAZIONE,0),7)=$L$1,MAX($L$2:L149)+1,0))),0))</f>
        <v>148</v>
      </c>
      <c r="M150" s="259" t="str">
        <f ca="1">IFERROR(INDEX($K$3:$K$220,MATCH(ROWS($M$3:M150),$L$3:$L$220,0),1),"")</f>
        <v>AMMORTAMENTO IMBALLAGGI DUREVOLI</v>
      </c>
      <c r="Q150" s="259" t="str">
        <f ca="1">IF(IFERROR(INDEX($O$3:$P$220,MATCH(ROWS(Q$3:Q150),$P$3:$P$220,0),1),"")=0,"",IFERROR(INDEX($O$3:$P$220,MATCH(ROWS(Q$3:Q150),$P$3:$P$220,0),1),""))</f>
        <v/>
      </c>
      <c r="R150" s="259" t="str">
        <f t="shared" ca="1" si="366"/>
        <v/>
      </c>
      <c r="S150" s="259">
        <f ca="1">IF(IFERROR(MATCH(R150,DENOMINAZIONE_GIORNALE,0),0)&gt;0,MAX(S$2:S149)+1,0)</f>
        <v>0</v>
      </c>
      <c r="T150" s="259" t="str">
        <f ca="1">IFERROR(INDEX($R$3:$S$220,MATCH(ROWS($T$3:T150),$S$3:$S$220,0),1),"")</f>
        <v/>
      </c>
      <c r="U150" s="259">
        <f t="shared" ca="1" si="367"/>
        <v>0</v>
      </c>
      <c r="V150" s="259">
        <f ca="1">IF(IF(U150&lt;&gt;0,MAX($V$2:V149)+1,0)=0,0,IF(U150&lt;&gt;0,MAX($V$2:V149)+1,0))</f>
        <v>0</v>
      </c>
      <c r="W150" s="259" t="str">
        <f t="shared" si="401"/>
        <v>31.08</v>
      </c>
      <c r="X150" s="259" t="str">
        <f t="shared" si="402"/>
        <v>ASSICURAZIONI</v>
      </c>
      <c r="Y150" s="259">
        <f>IF(W150="",0,MAX($Y$2:Y149)+1)</f>
        <v>128</v>
      </c>
      <c r="Z150" s="259" t="str">
        <f>IFERROR(INDEX($W$3:$Y$220,MATCH(ROWS($Z$2:Z149),$Y$3:$Y$220,0),1),"")</f>
        <v>35.04</v>
      </c>
      <c r="AA150" s="259" t="str">
        <f t="shared" si="403"/>
        <v>AMMORTAMENTO ATTREZZATURE COMMERCIALI</v>
      </c>
      <c r="AB150" s="259" t="str">
        <f t="shared" si="404"/>
        <v>E</v>
      </c>
      <c r="AC150" s="259" t="str">
        <f t="shared" si="405"/>
        <v>D</v>
      </c>
      <c r="AD150" s="259" t="str">
        <f t="shared" si="406"/>
        <v>COSTI D'ESERCIZIO</v>
      </c>
      <c r="AE150" s="259" t="str">
        <f t="shared" si="407"/>
        <v>SE DARE</v>
      </c>
      <c r="AF150" s="259" t="str">
        <f t="shared" si="408"/>
        <v>AMMORTAMENTI IMMOBILIZZAZIONI MATERIALI</v>
      </c>
      <c r="AG150" s="259">
        <f t="shared" ca="1" si="409"/>
        <v>0</v>
      </c>
      <c r="AH150" s="259">
        <f t="shared" ca="1" si="410"/>
        <v>0</v>
      </c>
      <c r="AI150" s="259">
        <f t="shared" ca="1" si="411"/>
        <v>1</v>
      </c>
      <c r="AJ150" s="259" t="str">
        <f t="shared" si="412"/>
        <v>35</v>
      </c>
      <c r="AK150" s="259" t="str">
        <f t="shared" si="413"/>
        <v/>
      </c>
      <c r="AL150" s="259">
        <f>IF(AK150&lt;&gt;"",MAX($AL$2:AL149)+1,0)</f>
        <v>0</v>
      </c>
      <c r="AM150" s="259" t="str">
        <f>IFERROR(INDEX($AK$3:$AL$220,MATCH(ROWS($AM$3:AM150),$AL$3:$AL$220,0),1),"")</f>
        <v/>
      </c>
      <c r="AN150" s="259" t="str">
        <f t="shared" si="414"/>
        <v/>
      </c>
      <c r="AO150" s="259" t="str">
        <f t="shared" si="415"/>
        <v/>
      </c>
      <c r="AP150" s="259" t="str">
        <f t="shared" si="416"/>
        <v>AMMORTAMENTI IMMOBILIZZAZIONI MATERIALI</v>
      </c>
      <c r="AQ150" s="259">
        <f ca="1">IF(OR(AG150=0,AG150=""),0,MAX(AQ$2:AQ149)+1)</f>
        <v>0</v>
      </c>
      <c r="AR150" s="259">
        <f ca="1">IF(OR(AH150=0,AH150=""),0,MAX(AR$2:AR149)+1)</f>
        <v>0</v>
      </c>
      <c r="AS150" s="259">
        <f ca="1">IF(OR(AI150=0,AI150=""),0,MAX(AS$2:AS149)+1)</f>
        <v>144</v>
      </c>
      <c r="AT150" s="259" t="str">
        <f ca="1">IFERROR(INDEX($AD$3:$AS$220,MATCH(ROWS(AT$3:AT150),AQ$3:AQ$220,0),1),"")</f>
        <v/>
      </c>
      <c r="AU150" s="259" t="str">
        <f ca="1">IFERROR(INDEX($AD$3:$AS$220,MATCH(ROWS(AU$3:AU150),AR$3:AR$220,0),1),"")</f>
        <v/>
      </c>
      <c r="AV150" s="259" t="str">
        <f ca="1">IFERROR(INDEX($AD$3:$AS$220,MATCH(ROWS(AV$3:AV150),AS$3:AS$220,0),1),"")</f>
        <v>COSTI D'ESERCIZIO</v>
      </c>
      <c r="AW150" s="259" t="str">
        <f ca="1">IFERROR(INDEX($AP$3:$AS$220,MATCH(ROWS(AW$3:AW150),AQ$3:AQ$220,0),1),"")</f>
        <v/>
      </c>
      <c r="AX150" s="259" t="str">
        <f ca="1">IFERROR(INDEX($AP$3:$AS$220,MATCH(ROWS(AX$3:AX150),AR$3:AR$220,0),1),"")</f>
        <v/>
      </c>
      <c r="AY150" s="259" t="str">
        <f ca="1">IFERROR(INDEX($AP$3:$AS$220,MATCH(ROWS(AY$3:AY150),AS$3:AS$220,0),1),"")</f>
        <v>AMMORTAMENTI IMMOBILIZZAZIONI MATERIALI</v>
      </c>
      <c r="AZ150" s="259" t="str">
        <f t="shared" si="339"/>
        <v>48 V.I.</v>
      </c>
      <c r="BA150" s="259">
        <f t="shared" ca="1" si="338"/>
        <v>0</v>
      </c>
      <c r="BB150" s="259">
        <f t="shared" ca="1" si="340"/>
        <v>0</v>
      </c>
      <c r="BC150" s="259">
        <f t="shared" ca="1" si="341"/>
        <v>0</v>
      </c>
      <c r="BD150" s="259">
        <f t="shared" ca="1" si="342"/>
        <v>0</v>
      </c>
      <c r="BE150" s="259">
        <f t="shared" ca="1" si="343"/>
        <v>0</v>
      </c>
      <c r="BG150" s="259" t="str">
        <f t="shared" ca="1" si="368"/>
        <v/>
      </c>
      <c r="BH150" s="259">
        <f ca="1">IF(IFERROR(MATCH(BG150,DENOMINAZIONE_GIORNALE,0),0)&gt;0,MAX(BH$2:BH149)+1,0)</f>
        <v>0</v>
      </c>
      <c r="BI150" s="259" t="str">
        <f ca="1">IFERROR(INDEX($BG$3:$BH$220,MATCH(ROWS($BI$3:BI150),$BH$3:$BH$220,0),1),"")</f>
        <v/>
      </c>
      <c r="BJ150" s="259" t="str">
        <f t="shared" ca="1" si="369"/>
        <v/>
      </c>
      <c r="BK150" s="259" t="str">
        <f ca="1">IF(IF(BJ150&lt;&gt;"",MAX($BK$2:BK149)+1,0)=0,"",IF(BJ150&lt;&gt;"",MAX($BK$2:BK149)+1,0))</f>
        <v/>
      </c>
      <c r="BL150" s="259" t="str">
        <f ca="1">IFERROR(INDEX($T$3:$U$220, MATCH(ROWS(BL$3:BL150),$V$3:$V$220,0),1),"")</f>
        <v/>
      </c>
      <c r="BM150" s="259" t="str">
        <f ca="1">IFERROR(INDEX($T$3:$U$220, MATCH(ROWS(BM$3:BM150),$V$3:$V$220,0),2),"")</f>
        <v/>
      </c>
      <c r="BN150" s="259" t="str">
        <f ca="1">IF(IFERROR(INDEX($BI$3:$BJ$220,MATCH(ROWS(BN$3:BN150),$BK$3:$BK$220,0),1),"")="PATRIMONIO NETTO","",IFERROR(INDEX($BI$3:$BJ$220,MATCH(ROWS(BN$3:BN150),$BK$3:$BK$220,0),1),""))</f>
        <v/>
      </c>
      <c r="BO150" s="259" t="str">
        <f ca="1">IFERROR(INDEX($BI$3:$BJ$220,MATCH(ROWS(BO$3:BO150),$BK$3:$BK$220,0),2),"")</f>
        <v/>
      </c>
      <c r="BP150" s="259">
        <f ca="1">IF(BN150&lt;&gt;"",MAX(BP$2:$BP149)+1,0)</f>
        <v>0</v>
      </c>
      <c r="BQ150" s="259" t="str">
        <f ca="1">IFERROR(INDEX($BN$3:$BO$200,MATCH(ROWS(BQ$3:BQ150),$BP$3:$BP$220,0),1),"")</f>
        <v/>
      </c>
      <c r="BR150" s="259" t="str">
        <f ca="1">IFERROR(INDEX($BN$3:$BO$220,MATCH(ROWS(BR$3:BR150),$BP$3:$BP$220,0),2),"")</f>
        <v/>
      </c>
      <c r="BS150" s="259" t="str">
        <f ca="1">IFERROR(IF(OR(INDEX($T$3:$U$220,MATCH(ROWS(BL$3:BL150),$V$3:$V$220,0),1)="PRELEVAMENTI EXTRAGESTIONE",INDEX($T$3:$U$220,MATCH(ROWS(BL$3:BL150),$V$3:$V$220,0),1)="TITOLARE C/RITENUTE SUBITE"),"",INDEX($T$3:$U$220,MATCH(ROWS(BL$3:BL150),$V$3:$V$220,0),1)),"")</f>
        <v/>
      </c>
      <c r="BT150" s="259">
        <f t="shared" ca="1" si="417"/>
        <v>0</v>
      </c>
      <c r="BU150" s="259">
        <f ca="1">IF(BS150&lt;&gt;"",MAX(BU$2:BU149)+1,0)</f>
        <v>0</v>
      </c>
      <c r="BV150" s="259" t="str">
        <f ca="1">IFERROR(INDEX($BS$3:$BT$223,MATCH(ROWS(BV$3:BV150),$BU$3:$BU$223,0),1),"")</f>
        <v/>
      </c>
      <c r="BW150" s="259">
        <f t="shared" ca="1" si="418"/>
        <v>0</v>
      </c>
      <c r="CB150" s="259" t="str">
        <f ca="1">IFERROR(IF(OR($BB$1&lt;&gt;$BD$1,$BC$1&lt;&gt;$BE$1,$DS$231&lt;&gt;$DT$231,$DU$231&lt;&gt;$DV$231,$EO$25&lt;&gt;0,$EO$26&lt;&gt;0),INDEX($BI$3:$BK$220,MATCH(ROWS($CB$3:CB150),$BK$3:$BK$220,0),1),CONCATENATE(BQ150,BX150)),"")</f>
        <v/>
      </c>
      <c r="CC150" s="259" t="str">
        <f t="shared" ca="1" si="419"/>
        <v/>
      </c>
      <c r="CD150" s="259" t="str">
        <f t="shared" ca="1" si="370"/>
        <v>AMMORTAMENTO ATTREZZATURE COMMERCIALI</v>
      </c>
      <c r="CE150" s="259">
        <f ca="1">IF(IFERROR(MATCH(CD150,DENOMINAZIONE_GIORNALE,0),0)&gt;0,MAX(CE$2:CE149)+1,0)</f>
        <v>0</v>
      </c>
      <c r="CF150" s="259" t="str">
        <f ca="1">IFERROR(INDEX($CD$3:$CE$220,MATCH(ROWS($CF$3:CF150),$CE$3:$CE$220,0),1),"")</f>
        <v/>
      </c>
      <c r="CG150" s="259">
        <f t="shared" ca="1" si="371"/>
        <v>0</v>
      </c>
      <c r="CH150" s="259" t="str">
        <f ca="1">IF(IF(CG150&lt;&gt;0,MAX($CH$2:CH149)+1,0)=0,"",IF(CG150&lt;&gt;"",MAX($CH$2:CH149)+1,0))</f>
        <v/>
      </c>
      <c r="CI150" s="259" t="str">
        <f ca="1">IFERROR(INDEX($CF$3:$CG$220,MATCH(ROWS($CI$3:CI150),$CH$3:$CH$220,0),1),"")</f>
        <v/>
      </c>
      <c r="CJ150" s="259" t="str">
        <f t="shared" ca="1" si="420"/>
        <v/>
      </c>
      <c r="CK150" s="259" t="str">
        <f t="shared" ca="1" si="372"/>
        <v/>
      </c>
      <c r="CL150" s="259">
        <f ca="1">IF(IFERROR(MATCH(CK150,DENOMINAZIONE_GIORNALE,0),0)&gt;0,MAX(CL$2:CL149)+1,0)</f>
        <v>0</v>
      </c>
      <c r="CM150" s="259" t="str">
        <f ca="1">IFERROR(INDEX($CK$3:$CL$220,MATCH(ROWS($CM$3:CM150),$CL$3:$CL$220,0),1),"")</f>
        <v/>
      </c>
      <c r="CN150" s="259" t="str">
        <f t="shared" ca="1" si="373"/>
        <v/>
      </c>
      <c r="CO150" s="259">
        <f ca="1">IF(IF(CN150&lt;&gt;0,MAX($CO$2:CO149)+1,0)=0,"",IF(CN150&lt;&gt;"",MAX($CO$2:CO149)+1,0))</f>
        <v>0</v>
      </c>
      <c r="CP150" s="259" t="str">
        <f ca="1">IFERROR(INDEX($CM$3:$CN$220,MATCH(ROWS(CP$3:CP150),$CO$3:$CO$220,0),1),"")</f>
        <v/>
      </c>
      <c r="CQ150" s="259" t="str">
        <f ca="1">IFERROR(INDEX($CM$3:$CN$220,MATCH(ROWS(CQ$3:CQ150),$CO$3:$CO$220,0),2),"")</f>
        <v/>
      </c>
      <c r="CS150" s="259">
        <f t="shared" ca="1" si="374"/>
        <v>0</v>
      </c>
      <c r="CT150" s="259">
        <f t="shared" ca="1" si="375"/>
        <v>0</v>
      </c>
      <c r="CU150" s="259">
        <f ca="1">IF(OR(CS150&gt;0,CT150&gt;0),MAX($CU$2:CU149)+1,0)</f>
        <v>0</v>
      </c>
      <c r="CV150" s="259" t="str">
        <f ca="1">IFERROR(INDEX(PIANO_DEI_CONTI,MATCH(ROWS($CV$3:CV150),$CU$3:$CU$200,0),2),"")</f>
        <v/>
      </c>
      <c r="CW150" s="259">
        <f ca="1">IFERROR(IF(CV150&lt;&gt;"",MAX($CW$2:CW149)+1,0),0)</f>
        <v>0</v>
      </c>
      <c r="CX150" s="259">
        <f t="shared" ca="1" si="472"/>
        <v>9</v>
      </c>
      <c r="CY150" s="259" t="str">
        <f t="shared" ca="1" si="469"/>
        <v>MASTRO</v>
      </c>
      <c r="CZ150" s="259" t="e">
        <f t="shared" ca="1" si="474"/>
        <v>#N/A</v>
      </c>
      <c r="DA150" s="259" t="str">
        <f t="shared" ref="DA150:DA163" ca="1" si="480">IFERROR(INDEX(LIBRO_GIORNALE,CZ150,1),"")</f>
        <v/>
      </c>
      <c r="DB150" s="259" t="str">
        <f t="shared" ca="1" si="475"/>
        <v/>
      </c>
      <c r="DC150" s="259" t="str">
        <f t="shared" ca="1" si="476"/>
        <v/>
      </c>
      <c r="DD150" s="259" t="str">
        <f t="shared" ca="1" si="477"/>
        <v/>
      </c>
      <c r="DE150" s="259" t="str">
        <f t="shared" ca="1" si="478"/>
        <v/>
      </c>
      <c r="DF150" s="259">
        <f ca="1">IF(AND(CX150=$DE$2,$DF$2&lt;&gt;0),0,IF(AND(DB150&lt;&gt;"",OR(DB149&lt;&gt;"",DB151&lt;&gt;"")),MAX($DF$2:DF149)+1,0))</f>
        <v>0</v>
      </c>
      <c r="DG150" s="259" t="str">
        <f>IF(IF(LIBRO_GIORNALE!E58="","",IFERROR(INDEX(PIANO_DEI_CONTI,MATCH(BB150,DENOMINAZIONE,0),1),0))=0,"",IF(LIBRO_GIORNALE!E58="","",IFERROR(INDEX(PIANO_DEI_CONTI,MATCH(BB150,DENOMINAZIONE,0),1),0)))</f>
        <v/>
      </c>
      <c r="DH150" s="259">
        <f ca="1">IFERROR(IF($J$1=1,IF(INDEX(PIANO_DEI_CONTI,MATCH($K150,DENOMINAZIONE,0),5)=$DF$1,MAX($DH$2:DH149)+1,0),IF($J$1=2,IF(INDEX(PIANO_DEI_CONTI,MATCH($K150,DENOMINAZIONE,0),7)=$DF$1,MAX($DH$2:DH149)+1,0))),0)</f>
        <v>0</v>
      </c>
      <c r="DI150" s="259">
        <f ca="1">IFERROR(INDEX($K$3:$K$220,MATCH(ROWS($DI$3:DI150),$DH$3:$DH$220,0),1),0)</f>
        <v>0</v>
      </c>
      <c r="DJ150" s="259">
        <f t="shared" ca="1" si="381"/>
        <v>0</v>
      </c>
      <c r="DK150" s="259">
        <f ca="1">IF(DJ150=0,0,MAX(DK$2:DK149)+1)</f>
        <v>0</v>
      </c>
      <c r="DL150" s="259">
        <f ca="1">IFERROR(INDEX(PIANO_DEI_CONTI,MATCH(ROWS(DL$3:DL150),$DK$3:DK377,0),2),0)</f>
        <v>0</v>
      </c>
      <c r="DM150" s="259">
        <f t="shared" ca="1" si="382"/>
        <v>0</v>
      </c>
      <c r="DN150" s="259">
        <f t="shared" ca="1" si="383"/>
        <v>0</v>
      </c>
      <c r="DO150" s="259">
        <f t="shared" ca="1" si="422"/>
        <v>0</v>
      </c>
      <c r="DP150" s="259">
        <f t="shared" ca="1" si="423"/>
        <v>0</v>
      </c>
      <c r="DQ150" s="259">
        <f ca="1">IF(OR($DQ$1="TOTALI",$DQ$1="TOTALI ED ECCEDENZE"),IF(OR(DM150&gt;0,DN150&gt;0),MAX(DQ$2:DQ149)+1,0),IF($DQ$1="ECCEDENZE",IF(OR(DO150&gt;0,DP150&gt;0),MAX(DQ$2:DQ149)+1,0),""))</f>
        <v>0</v>
      </c>
      <c r="DR150" s="259" t="str">
        <f ca="1">IFERROR(INDEX($DL$3:$DQ$230,MATCH(ROWS(DR$3:DR150),$DQ$3:$DQ$230,0),1),"")</f>
        <v/>
      </c>
      <c r="DS150" s="259" t="str">
        <f t="shared" ca="1" si="424"/>
        <v/>
      </c>
      <c r="DT150" s="259" t="str">
        <f t="shared" ca="1" si="425"/>
        <v/>
      </c>
      <c r="DU150" s="259" t="str">
        <f t="shared" ca="1" si="426"/>
        <v/>
      </c>
      <c r="DV150" s="259" t="str">
        <f t="shared" ca="1" si="427"/>
        <v/>
      </c>
      <c r="DW150" s="259">
        <f t="shared" ca="1" si="428"/>
        <v>0</v>
      </c>
      <c r="DX150" s="259" t="str">
        <f t="shared" ca="1" si="429"/>
        <v/>
      </c>
      <c r="DY150" s="259" t="str">
        <f t="shared" ca="1" si="430"/>
        <v/>
      </c>
      <c r="DZ150" s="259" t="str">
        <f t="shared" ca="1" si="431"/>
        <v/>
      </c>
      <c r="EB150" s="259" t="s">
        <v>378</v>
      </c>
      <c r="ED150" s="259">
        <f t="shared" ca="1" si="384"/>
        <v>0</v>
      </c>
      <c r="EH150" s="259" t="str">
        <f t="shared" ca="1" si="432"/>
        <v/>
      </c>
      <c r="EI150" s="260" t="b">
        <f t="shared" ca="1" si="466"/>
        <v>1</v>
      </c>
      <c r="EJ150" s="260" t="b">
        <f t="shared" ca="1" si="467"/>
        <v>1</v>
      </c>
      <c r="EK150" s="260" t="b">
        <f t="shared" ca="1" si="468"/>
        <v>1</v>
      </c>
      <c r="EL150" s="259">
        <f t="shared" si="433"/>
        <v>148</v>
      </c>
      <c r="EM150" s="259">
        <f ca="1">IF(AND(BA150&gt;0,BA150&lt;=$EM$1),MAX($EM$2:EM149)+1,0)</f>
        <v>0</v>
      </c>
      <c r="EN150" s="259">
        <f t="shared" ca="1" si="434"/>
        <v>150</v>
      </c>
      <c r="EP150" s="259" t="str">
        <f t="shared" ca="1" si="385"/>
        <v/>
      </c>
      <c r="EQ150" s="259">
        <f t="shared" ca="1" si="386"/>
        <v>0</v>
      </c>
      <c r="ER150" s="259">
        <f ca="1">IF(ISNA(EQ150),MAX(ER$2:ER149)+1,0)</f>
        <v>0</v>
      </c>
      <c r="ES150" s="259" t="str">
        <f t="shared" ca="1" si="435"/>
        <v/>
      </c>
      <c r="ET150" s="259" t="str">
        <f ca="1">IFERROR(UPPER(INDEX($ER$3:$ES$500,MATCH(ROWS(ET$3:ET150),$ER$3:$ER$500,0),2)),"")</f>
        <v/>
      </c>
      <c r="EW150" s="259">
        <f t="shared" ca="1" si="344"/>
        <v>1</v>
      </c>
      <c r="EX150" s="259">
        <v>48</v>
      </c>
      <c r="EY150" s="259">
        <f t="shared" ca="1" si="345"/>
        <v>0</v>
      </c>
      <c r="EZ150" s="259">
        <f t="shared" ca="1" si="346"/>
        <v>0</v>
      </c>
      <c r="FA150" s="259">
        <f t="shared" ca="1" si="347"/>
        <v>0</v>
      </c>
      <c r="FB150" s="259">
        <f t="shared" ca="1" si="348"/>
        <v>0</v>
      </c>
      <c r="FC150" s="259">
        <f t="shared" ca="1" si="349"/>
        <v>0</v>
      </c>
      <c r="FD150" s="259">
        <f t="shared" ca="1" si="387"/>
        <v>0</v>
      </c>
      <c r="FE150" s="259" t="str">
        <f t="shared" ca="1" si="388"/>
        <v/>
      </c>
      <c r="FF150" s="259" t="str">
        <f t="shared" ca="1" si="350"/>
        <v/>
      </c>
      <c r="FM150" s="259">
        <f t="shared" ca="1" si="389"/>
        <v>0</v>
      </c>
      <c r="FN150" s="259">
        <f ca="1">IF(FM150&lt;0,MAX($FN$2:FN149)+1,0)</f>
        <v>0</v>
      </c>
      <c r="FO150" s="259" t="str">
        <f t="shared" ca="1" si="436"/>
        <v/>
      </c>
      <c r="FP150" s="259" t="str">
        <f ca="1">IFERROR(INDEX($FN$3:$FO$400,MATCH(ROWS($FP$3:FP150),$FN$3:$FN$400,0),2),"")</f>
        <v/>
      </c>
      <c r="FQ150" s="259" t="str">
        <f>IF(AE150="SE AVERE",MAX($FQ$2:FQ149)+1,"")</f>
        <v/>
      </c>
      <c r="FR150" s="259">
        <f>IF(AE150="SE DARE",MAX($FR$2:FR149)+1,"")</f>
        <v>55</v>
      </c>
      <c r="FS150" s="259" t="str">
        <f ca="1">IF(AND(AE150="SP DARE",AA150&lt;&gt;$FS$1,AA150&lt;&gt;$FT$1),MAX($FS$2:FS149)+1,IF(AND(GQ150="SP DARE",AA150&lt;&gt;$FS$1,AA150&lt;&gt;$FT$1),MAX($FS$2:FS149)+1,""))</f>
        <v/>
      </c>
      <c r="FT150" s="259" t="str">
        <f ca="1">IF(AND(AE150="SP AVERE",AA150&lt;&gt;$FU$1),MAX($FT$2:FT149)+1,IF(AND(GQ150="SP AVERE",AA150&lt;&gt;$FU$1),MAX($FT$2:FT149)+1,""))</f>
        <v/>
      </c>
      <c r="FU150" s="259">
        <f t="shared" ca="1" si="437"/>
        <v>55</v>
      </c>
      <c r="FV150" s="259" t="str">
        <f t="shared" si="438"/>
        <v>AMMORTAMENTO ATTREZZATURE COMMERCIALI</v>
      </c>
      <c r="FW150" s="259" t="str">
        <f ca="1">IFERROR(INDEX($FU$3:$FV$500,MATCH(ROWS($FW$3:FW150),$FU$3:$FU$500,0),2),0)</f>
        <v>BANCHE C/RI.BA. SBF</v>
      </c>
      <c r="FX150" s="259">
        <f t="shared" ca="1" si="439"/>
        <v>148</v>
      </c>
      <c r="FY150" s="259">
        <f t="shared" ca="1" si="440"/>
        <v>0</v>
      </c>
      <c r="FZ150" s="259">
        <f ca="1">IF(FY150&gt;0,MAX($FZ$2:FZ149)+1,0)</f>
        <v>0</v>
      </c>
      <c r="GA150" s="259">
        <f ca="1">IFERROR(INDEX($FY$3:$FZ$500,MATCH(ROWS($GA$3:GA150),$FZ$3:$FZ$500,0),1),0)</f>
        <v>0</v>
      </c>
      <c r="GC150" s="259">
        <f t="shared" ca="1" si="441"/>
        <v>148</v>
      </c>
      <c r="GD150" s="259" t="str">
        <f t="shared" ca="1" si="442"/>
        <v>BANCHE C/RI.BA. SBF</v>
      </c>
      <c r="GG150" s="259">
        <f t="shared" ca="1" si="443"/>
        <v>0</v>
      </c>
      <c r="GH150" s="259">
        <f t="shared" ca="1" si="444"/>
        <v>0</v>
      </c>
      <c r="GI150" s="259">
        <f t="shared" ca="1" si="445"/>
        <v>0</v>
      </c>
      <c r="GJ150" s="259">
        <f t="shared" ca="1" si="446"/>
        <v>0</v>
      </c>
      <c r="GK150" s="259">
        <f t="shared" ca="1" si="447"/>
        <v>0</v>
      </c>
      <c r="GL150" s="259">
        <f t="shared" ca="1" si="447"/>
        <v>0</v>
      </c>
      <c r="GM150" s="259">
        <f ca="1">IF(OR(GK150&gt;0,GL150&gt;0),MAX($GM$2:GM149)+1,0)</f>
        <v>0</v>
      </c>
      <c r="GN150" s="259" t="str">
        <f ca="1">IFERROR(INDEX($GD$3:$GM$400,MATCH(ROWS($GN$3:GN150),$GM$3:$GM$400,0),1),"")</f>
        <v/>
      </c>
      <c r="GO150" s="259" t="str">
        <f ca="1">IFERROR(INDEX($GD$3:$GM$400,MATCH(ROWS($GO$3:GO150),$GM$3:$GM$400,0),8),"")</f>
        <v/>
      </c>
      <c r="GP150" s="259" t="str">
        <f ca="1">IFERROR(INDEX($GD$3:$GM$400,MATCH(ROWS($GP$3:GP150),$GM$3:$GM$400,0),9),"")</f>
        <v/>
      </c>
      <c r="GQ150" s="259">
        <f t="shared" ca="1" si="390"/>
        <v>0</v>
      </c>
      <c r="GR150" s="259">
        <f t="shared" ca="1" si="448"/>
        <v>0</v>
      </c>
      <c r="GS150" s="259" t="str">
        <f t="shared" ca="1" si="449"/>
        <v>chiusura del conto</v>
      </c>
      <c r="GT150" s="259" t="str">
        <f ca="1">IFERROR(INDEX($GD$3:$GS$400,MATCH(ROWS($GT$3:GT150),$GM$3:$GM$400,0),16),"")</f>
        <v/>
      </c>
      <c r="GU150" s="259">
        <f ca="1">IF(GQ150&lt;&gt;0,MAX($GU$2:$GU149)+1,0)</f>
        <v>0</v>
      </c>
      <c r="GV150" s="259">
        <f t="shared" ca="1" si="450"/>
        <v>0</v>
      </c>
      <c r="GW150" s="259" t="str">
        <f ca="1">IF(AND(IFERROR(INDEX($GU$3:$GV$400,MATCH(ROWS($GW$3:GW150),$GU$3:$GU$400,0),2),"")&lt;&gt;"",GW151&lt;&gt;""),CONCATENATE(IFERROR(INDEX($GU$3:$GV$400,MATCH(ROWS($GW$3:GW150),$GU$3:$GU$400,0),2),"")," - "),IFERROR(INDEX($GU$3:$GV$400,MATCH(ROWS($GW$3:GW150),$GU$3:$GU$400,0),2),""))</f>
        <v/>
      </c>
      <c r="GX150" s="259">
        <f ca="1">IF(OR(GN150="IVA NS/CREDITO",GN150="IVA NS/DEBITO",GN150="IVA C/ACCONTO",GN150="IMPOSTE C/ACCONTO"),MAX($GX$2:GX149)+1,0)</f>
        <v>0</v>
      </c>
      <c r="GY150" s="259" t="str">
        <f ca="1">IF(AND(IFERROR(INDEX($GN$3:$GX$200,MATCH(ROWS($GY$3:GY150),$GX$3:$GX$200,0),1),"")&lt;&gt;"",GY151&lt;&gt;""),CONCATENATE(IFERROR(INDEX($GN$3:$GX$200,MATCH(ROWS($GY$3:GY150),$GX$3:$GX$200,0),1),"")," - "),IFERROR(INDEX($GN$3:$GX$200,MATCH(ROWS($GY$3:GY150),$GX$3:$GX$200,0),1),""))</f>
        <v/>
      </c>
      <c r="GZ150" s="259" t="s">
        <v>575</v>
      </c>
      <c r="HA150" s="259" t="s">
        <v>155</v>
      </c>
      <c r="HB150" s="269" t="s">
        <v>256</v>
      </c>
      <c r="HC150" s="269" t="s">
        <v>276</v>
      </c>
      <c r="HD150" s="269" t="s">
        <v>7</v>
      </c>
      <c r="HE150" s="269" t="s">
        <v>214</v>
      </c>
      <c r="HV150" s="259" t="str">
        <f ca="1">CONCATENATE(IFERROR(INDEX($HS$3:$HT$102,MATCH(ROWS($HV$3:HV150),$HT$3:$HT$102,0),1),""),HR150)</f>
        <v/>
      </c>
      <c r="IC150" s="259">
        <f ca="1">IFERROR(INDEX(PIANO_DEI_CONTI,MATCH(ROWS(DL$3:DL150),$DK$3:DK377,0),2),0)</f>
        <v>0</v>
      </c>
      <c r="ID150" s="259">
        <f t="shared" ca="1" si="451"/>
        <v>0</v>
      </c>
      <c r="IE150" s="259">
        <f t="shared" ca="1" si="452"/>
        <v>0</v>
      </c>
      <c r="IF150" s="259">
        <f t="shared" ca="1" si="453"/>
        <v>0</v>
      </c>
      <c r="IG150" s="259">
        <f t="shared" ca="1" si="479"/>
        <v>0</v>
      </c>
      <c r="IH150" s="259">
        <f ca="1">IF(IG150&lt;&gt;0,MAX($IH$35:IH149)+1,0)</f>
        <v>0</v>
      </c>
      <c r="II150" s="259">
        <f>IF(AD150="costi pluriennali",MAX($II$2:II149)+1,0)</f>
        <v>0</v>
      </c>
      <c r="IJ150" s="259">
        <f>IF($AD150="rettifiche costi pluriennali",MAX($IJ$2:IJ149)+1,0)</f>
        <v>0</v>
      </c>
      <c r="IK150" s="259">
        <f t="shared" si="454"/>
        <v>0</v>
      </c>
      <c r="IL150" s="259" t="str">
        <f t="shared" si="455"/>
        <v/>
      </c>
      <c r="IM150" s="259">
        <f t="shared" ca="1" si="456"/>
        <v>0</v>
      </c>
      <c r="IN150" s="259">
        <f t="shared" ca="1" si="470"/>
        <v>0</v>
      </c>
      <c r="IO150" s="259">
        <f>SUMIFS($IM$3:$IM$200,$IK$3:$IK$200,ROWS($IO$3:IO150))-SUMIFS($IN$3:$IN$200,$IK$3:$IK$200,ROWS($IO$3:IO150))</f>
        <v>0</v>
      </c>
      <c r="IP150" s="259" t="str">
        <f>IF(IO150&lt;0,INDEX($IJ$3:$IL$200,MATCH(ROWS($IP$3:IP150),$IJ$3:$IJ$200,0),3),"")</f>
        <v/>
      </c>
      <c r="IQ150" s="259">
        <f>IF(IP150&lt;&gt;"",MAX($IQ$2:IQ149)+1,0)</f>
        <v>0</v>
      </c>
      <c r="IR150" s="259" t="str">
        <f ca="1">IFERROR(INDEX($IP$3:$IQ$200,MATCH(ROWS($IR$3:IR150),$IQ$3:$IQ$200,0),1),"")</f>
        <v/>
      </c>
      <c r="IS150" s="259" t="str">
        <f t="shared" ca="1" si="457"/>
        <v/>
      </c>
      <c r="IT150" s="259" t="str">
        <f t="shared" ca="1" si="458"/>
        <v/>
      </c>
      <c r="IU150" s="259" t="str">
        <f t="shared" ca="1" si="459"/>
        <v/>
      </c>
      <c r="IV150" s="259" t="str">
        <f t="shared" ca="1" si="460"/>
        <v/>
      </c>
      <c r="IW150" s="259" t="str">
        <f t="shared" ca="1" si="461"/>
        <v/>
      </c>
      <c r="IX150" s="259" t="str">
        <f t="shared" ca="1" si="462"/>
        <v/>
      </c>
      <c r="IY150" s="259" t="str">
        <f t="shared" ca="1" si="463"/>
        <v/>
      </c>
      <c r="IZ150" s="259" t="str">
        <f t="shared" ca="1" si="464"/>
        <v/>
      </c>
      <c r="JA150" s="259" t="str">
        <f t="shared" ca="1" si="465"/>
        <v/>
      </c>
      <c r="JB150" s="259">
        <f t="shared" ca="1" si="391"/>
        <v>0</v>
      </c>
      <c r="JC150" s="259">
        <f t="shared" ca="1" si="351"/>
        <v>0</v>
      </c>
      <c r="JD150" s="259">
        <f t="shared" ca="1" si="352"/>
        <v>0</v>
      </c>
      <c r="JM150" s="259">
        <f t="shared" ca="1" si="353"/>
        <v>0</v>
      </c>
    </row>
    <row r="151" spans="1:273">
      <c r="A151" s="259" t="str">
        <f t="shared" si="392"/>
        <v>31.09</v>
      </c>
      <c r="B151" s="259" t="str">
        <f t="shared" si="393"/>
        <v>COSTI PER I LOCALI</v>
      </c>
      <c r="C151" s="259" t="str">
        <f t="shared" si="394"/>
        <v>E</v>
      </c>
      <c r="D151" s="259" t="str">
        <f t="shared" si="395"/>
        <v>D</v>
      </c>
      <c r="E151" s="259" t="str">
        <f t="shared" si="396"/>
        <v>COSTI D'ESERCIZIO</v>
      </c>
      <c r="F151" s="259" t="str">
        <f t="shared" si="397"/>
        <v>SE DARE</v>
      </c>
      <c r="G151" s="259">
        <f t="shared" ca="1" si="398"/>
        <v>1</v>
      </c>
      <c r="H151" s="259">
        <f t="shared" ca="1" si="399"/>
        <v>1</v>
      </c>
      <c r="I151" s="259">
        <f t="shared" ca="1" si="400"/>
        <v>1</v>
      </c>
      <c r="K151" s="259" t="str">
        <f ca="1">IFERROR(IF($I$1=1,INDEX($AA$3:$AS$220,MATCH(ROWS($K$3:K151),$AQ$3:$AQ$220,0),1),IF($I$1=2,INDEX($AA$3:$AS$220,MATCH(ROWS($K$3:K151),$AR$3:$AR$220,0),1),IF($I$1=3,INDEX($AA$3:$AS$220,MATCH(ROWS($K$3:K151),$AS$3:$AS$220,0),1),""))),"")</f>
        <v>SVALUTAZIONE CREDITI</v>
      </c>
      <c r="L151" s="259">
        <f ca="1">IF(AND($L$1="VISUALIZZA TUTTI I CONTI",K151&lt;&gt;""),MAX(L150:L150)+1,IFERROR(IF($J$1=1,IF(INDEX(PIANO_DEI_CONTI,MATCH($K151,DENOMINAZIONE,0),5)=$L$1,MAX($L$2:L150)+1,0),IF($J$1=2,IF(INDEX(PIANO_DEI_CONTI,MATCH($K151,DENOMINAZIONE,0),7)=$L$1,MAX($L$2:L150)+1,0))),0))</f>
        <v>149</v>
      </c>
      <c r="M151" s="259" t="str">
        <f ca="1">IFERROR(INDEX($K$3:$K$220,MATCH(ROWS($M$3:M151),$L$3:$L$220,0),1),"")</f>
        <v>SVALUTAZIONE CREDITI</v>
      </c>
      <c r="R151" s="259" t="str">
        <f t="shared" ca="1" si="366"/>
        <v/>
      </c>
      <c r="S151" s="259">
        <f ca="1">IF(IFERROR(MATCH(R151,DENOMINAZIONE_GIORNALE,0),0)&gt;0,MAX(S$2:S150)+1,0)</f>
        <v>0</v>
      </c>
      <c r="T151" s="259" t="str">
        <f ca="1">IFERROR(INDEX($R$3:$S$220,MATCH(ROWS($T$3:T151),$S$3:$S$220,0),1),"")</f>
        <v/>
      </c>
      <c r="U151" s="259">
        <f t="shared" ca="1" si="367"/>
        <v>0</v>
      </c>
      <c r="V151" s="259">
        <f ca="1">IF(IF(U151&lt;&gt;0,MAX($V$2:V150)+1,0)=0,0,IF(U151&lt;&gt;0,MAX($V$2:V150)+1,0))</f>
        <v>0</v>
      </c>
      <c r="W151" s="259" t="str">
        <f t="shared" si="401"/>
        <v>31.09</v>
      </c>
      <c r="X151" s="259" t="str">
        <f t="shared" si="402"/>
        <v>COSTI PER I LOCALI</v>
      </c>
      <c r="Y151" s="259">
        <f>IF(W151="",0,MAX($Y$2:Y150)+1)</f>
        <v>129</v>
      </c>
      <c r="Z151" s="259" t="str">
        <f>IFERROR(INDEX($W$3:$Y$220,MATCH(ROWS($Z$2:Z150),$Y$3:$Y$220,0),1),"")</f>
        <v>35.05</v>
      </c>
      <c r="AA151" s="259" t="str">
        <f t="shared" si="403"/>
        <v>AMMORTAMENTO MACCHINE D'UFFICIO</v>
      </c>
      <c r="AB151" s="259" t="str">
        <f t="shared" si="404"/>
        <v>E</v>
      </c>
      <c r="AC151" s="259" t="str">
        <f t="shared" si="405"/>
        <v>D</v>
      </c>
      <c r="AD151" s="259" t="str">
        <f t="shared" si="406"/>
        <v>COSTI D'ESERCIZIO</v>
      </c>
      <c r="AE151" s="259" t="str">
        <f t="shared" si="407"/>
        <v>SE DARE</v>
      </c>
      <c r="AF151" s="259" t="str">
        <f t="shared" si="408"/>
        <v>AMMORTAMENTI IMMOBILIZZAZIONI MATERIALI</v>
      </c>
      <c r="AG151" s="259">
        <f t="shared" ca="1" si="409"/>
        <v>0</v>
      </c>
      <c r="AH151" s="259">
        <f t="shared" ca="1" si="410"/>
        <v>0</v>
      </c>
      <c r="AI151" s="259">
        <f t="shared" ca="1" si="411"/>
        <v>1</v>
      </c>
      <c r="AJ151" s="259" t="str">
        <f t="shared" si="412"/>
        <v>35</v>
      </c>
      <c r="AK151" s="259" t="str">
        <f t="shared" si="413"/>
        <v/>
      </c>
      <c r="AL151" s="259">
        <f>IF(AK151&lt;&gt;"",MAX($AL$2:AL150)+1,0)</f>
        <v>0</v>
      </c>
      <c r="AM151" s="259" t="str">
        <f>IFERROR(INDEX($AK$3:$AL$220,MATCH(ROWS($AM$3:AM151),$AL$3:$AL$220,0),1),"")</f>
        <v/>
      </c>
      <c r="AN151" s="259" t="str">
        <f t="shared" si="414"/>
        <v/>
      </c>
      <c r="AO151" s="259" t="str">
        <f t="shared" si="415"/>
        <v/>
      </c>
      <c r="AP151" s="259" t="str">
        <f t="shared" si="416"/>
        <v>AMMORTAMENTI IMMOBILIZZAZIONI MATERIALI</v>
      </c>
      <c r="AQ151" s="259">
        <f ca="1">IF(OR(AG151=0,AG151=""),0,MAX(AQ$2:AQ150)+1)</f>
        <v>0</v>
      </c>
      <c r="AR151" s="259">
        <f ca="1">IF(OR(AH151=0,AH151=""),0,MAX(AR$2:AR150)+1)</f>
        <v>0</v>
      </c>
      <c r="AS151" s="259">
        <f ca="1">IF(OR(AI151=0,AI151=""),0,MAX(AS$2:AS150)+1)</f>
        <v>145</v>
      </c>
      <c r="AT151" s="259" t="str">
        <f ca="1">IFERROR(INDEX($AD$3:$AS$220,MATCH(ROWS(AT$3:AT151),AQ$3:AQ$220,0),1),"")</f>
        <v/>
      </c>
      <c r="AU151" s="259" t="str">
        <f ca="1">IFERROR(INDEX($AD$3:$AS$220,MATCH(ROWS(AU$3:AU151),AR$3:AR$220,0),1),"")</f>
        <v/>
      </c>
      <c r="AV151" s="259" t="str">
        <f ca="1">IFERROR(INDEX($AD$3:$AS$220,MATCH(ROWS(AV$3:AV151),AS$3:AS$220,0),1),"")</f>
        <v>COSTI D'ESERCIZIO</v>
      </c>
      <c r="AW151" s="259" t="str">
        <f ca="1">IFERROR(INDEX($AP$3:$AS$220,MATCH(ROWS(AW$3:AW151),AQ$3:AQ$220,0),1),"")</f>
        <v/>
      </c>
      <c r="AX151" s="259" t="str">
        <f ca="1">IFERROR(INDEX($AP$3:$AS$220,MATCH(ROWS(AX$3:AX151),AR$3:AR$220,0),1),"")</f>
        <v/>
      </c>
      <c r="AY151" s="259" t="str">
        <f ca="1">IFERROR(INDEX($AP$3:$AS$220,MATCH(ROWS(AY$3:AY151),AS$3:AS$220,0),1),"")</f>
        <v>SVALUTAZIONI</v>
      </c>
      <c r="AZ151" s="259" t="str">
        <f t="shared" si="339"/>
        <v>49 V.I.</v>
      </c>
      <c r="BA151" s="259">
        <f t="shared" ca="1" si="338"/>
        <v>0</v>
      </c>
      <c r="BB151" s="259">
        <f t="shared" ca="1" si="340"/>
        <v>0</v>
      </c>
      <c r="BC151" s="259">
        <f t="shared" ca="1" si="341"/>
        <v>0</v>
      </c>
      <c r="BD151" s="259">
        <f t="shared" ca="1" si="342"/>
        <v>0</v>
      </c>
      <c r="BE151" s="259">
        <f t="shared" ca="1" si="343"/>
        <v>0</v>
      </c>
      <c r="BG151" s="259" t="str">
        <f t="shared" ca="1" si="368"/>
        <v/>
      </c>
      <c r="BH151" s="259">
        <f ca="1">IF(IFERROR(MATCH(BG151,DENOMINAZIONE_GIORNALE,0),0)&gt;0,MAX(BH$2:BH150)+1,0)</f>
        <v>0</v>
      </c>
      <c r="BI151" s="259" t="str">
        <f ca="1">IFERROR(INDEX($BG$3:$BH$220,MATCH(ROWS($BI$3:BI151),$BH$3:$BH$220,0),1),"")</f>
        <v/>
      </c>
      <c r="BJ151" s="259" t="str">
        <f t="shared" ca="1" si="369"/>
        <v/>
      </c>
      <c r="BK151" s="259" t="str">
        <f ca="1">IF(IF(BJ151&lt;&gt;"",MAX($BK$2:BK150)+1,0)=0,"",IF(BJ151&lt;&gt;"",MAX($BK$2:BK150)+1,0))</f>
        <v/>
      </c>
      <c r="BL151" s="259" t="str">
        <f ca="1">IFERROR(INDEX($T$3:$U$220, MATCH(ROWS(BL$3:BL151),$V$3:$V$220,0),1),"")</f>
        <v/>
      </c>
      <c r="BM151" s="259" t="str">
        <f ca="1">IFERROR(INDEX($T$3:$U$220, MATCH(ROWS(BM$3:BM151),$V$3:$V$220,0),2),"")</f>
        <v/>
      </c>
      <c r="BN151" s="259" t="str">
        <f ca="1">IF(IFERROR(INDEX($BI$3:$BJ$220,MATCH(ROWS(BN$3:BN151),$BK$3:$BK$220,0),1),"")="PATRIMONIO NETTO","",IFERROR(INDEX($BI$3:$BJ$220,MATCH(ROWS(BN$3:BN151),$BK$3:$BK$220,0),1),""))</f>
        <v/>
      </c>
      <c r="BO151" s="259" t="str">
        <f ca="1">IFERROR(INDEX($BI$3:$BJ$220,MATCH(ROWS(BO$3:BO151),$BK$3:$BK$220,0),2),"")</f>
        <v/>
      </c>
      <c r="BP151" s="259">
        <f ca="1">IF(BN151&lt;&gt;"",MAX(BP$2:$BP150)+1,0)</f>
        <v>0</v>
      </c>
      <c r="BQ151" s="259" t="str">
        <f ca="1">IFERROR(INDEX($BN$3:$BO$200,MATCH(ROWS(BQ$3:BQ151),$BP$3:$BP$220,0),1),"")</f>
        <v/>
      </c>
      <c r="BR151" s="259" t="str">
        <f ca="1">IFERROR(INDEX($BN$3:$BO$220,MATCH(ROWS(BR$3:BR151),$BP$3:$BP$220,0),2),"")</f>
        <v/>
      </c>
      <c r="BS151" s="259" t="str">
        <f ca="1">IFERROR(IF(OR(INDEX($T$3:$U$220,MATCH(ROWS(BL$3:BL151),$V$3:$V$220,0),1)="PRELEVAMENTI EXTRAGESTIONE",INDEX($T$3:$U$220,MATCH(ROWS(BL$3:BL151),$V$3:$V$220,0),1)="TITOLARE C/RITENUTE SUBITE"),"",INDEX($T$3:$U$220,MATCH(ROWS(BL$3:BL151),$V$3:$V$220,0),1)),"")</f>
        <v/>
      </c>
      <c r="BT151" s="259">
        <f t="shared" ca="1" si="417"/>
        <v>0</v>
      </c>
      <c r="BU151" s="259">
        <f ca="1">IF(BS151&lt;&gt;"",MAX(BU$2:BU150)+1,0)</f>
        <v>0</v>
      </c>
      <c r="BV151" s="259" t="str">
        <f ca="1">IFERROR(INDEX($BS$3:$BT$223,MATCH(ROWS(BV$3:BV151),$BU$3:$BU$223,0),1),"")</f>
        <v/>
      </c>
      <c r="BW151" s="259">
        <f t="shared" ca="1" si="418"/>
        <v>0</v>
      </c>
      <c r="CB151" s="259" t="str">
        <f ca="1">IFERROR(IF(OR($BB$1&lt;&gt;$BD$1,$BC$1&lt;&gt;$BE$1,$DS$231&lt;&gt;$DT$231,$DU$231&lt;&gt;$DV$231,$EO$25&lt;&gt;0,$EO$26&lt;&gt;0),INDEX($BI$3:$BK$220,MATCH(ROWS($CB$3:CB151),$BK$3:$BK$220,0),1),CONCATENATE(BQ151,BX151)),"")</f>
        <v/>
      </c>
      <c r="CC151" s="259" t="str">
        <f t="shared" ca="1" si="419"/>
        <v/>
      </c>
      <c r="CD151" s="259" t="str">
        <f t="shared" ca="1" si="370"/>
        <v>AMMORTAMENTO MACCHINE D'UFFICIO</v>
      </c>
      <c r="CE151" s="259">
        <f ca="1">IF(IFERROR(MATCH(CD151,DENOMINAZIONE_GIORNALE,0),0)&gt;0,MAX(CE$2:CE150)+1,0)</f>
        <v>0</v>
      </c>
      <c r="CF151" s="259" t="str">
        <f ca="1">IFERROR(INDEX($CD$3:$CE$220,MATCH(ROWS($CF$3:CF151),$CE$3:$CE$220,0),1),"")</f>
        <v/>
      </c>
      <c r="CG151" s="259">
        <f t="shared" ca="1" si="371"/>
        <v>0</v>
      </c>
      <c r="CH151" s="259" t="str">
        <f ca="1">IF(IF(CG151&lt;&gt;0,MAX($CH$2:CH150)+1,0)=0,"",IF(CG151&lt;&gt;"",MAX($CH$2:CH150)+1,0))</f>
        <v/>
      </c>
      <c r="CI151" s="259" t="str">
        <f ca="1">IFERROR(INDEX($CF$3:$CG$220,MATCH(ROWS($CI$3:CI151),$CH$3:$CH$220,0),1),"")</f>
        <v/>
      </c>
      <c r="CJ151" s="259" t="str">
        <f t="shared" ca="1" si="420"/>
        <v/>
      </c>
      <c r="CK151" s="259" t="str">
        <f t="shared" ca="1" si="372"/>
        <v/>
      </c>
      <c r="CL151" s="259">
        <f ca="1">IF(IFERROR(MATCH(CK151,DENOMINAZIONE_GIORNALE,0),0)&gt;0,MAX(CL$2:CL150)+1,0)</f>
        <v>0</v>
      </c>
      <c r="CM151" s="259" t="str">
        <f ca="1">IFERROR(INDEX($CK$3:$CL$220,MATCH(ROWS($CM$3:CM151),$CL$3:$CL$220,0),1),"")</f>
        <v/>
      </c>
      <c r="CN151" s="259" t="str">
        <f t="shared" ca="1" si="373"/>
        <v/>
      </c>
      <c r="CO151" s="259">
        <f ca="1">IF(IF(CN151&lt;&gt;0,MAX($CO$2:CO150)+1,0)=0,"",IF(CN151&lt;&gt;"",MAX($CO$2:CO150)+1,0))</f>
        <v>0</v>
      </c>
      <c r="CP151" s="259" t="str">
        <f ca="1">IFERROR(INDEX($CM$3:$CN$220,MATCH(ROWS(CP$3:CP151),$CO$3:$CO$220,0),1),"")</f>
        <v/>
      </c>
      <c r="CQ151" s="259" t="str">
        <f ca="1">IFERROR(INDEX($CM$3:$CN$220,MATCH(ROWS(CQ$3:CQ151),$CO$3:$CO$220,0),2),"")</f>
        <v/>
      </c>
      <c r="CS151" s="259">
        <f t="shared" ca="1" si="374"/>
        <v>0</v>
      </c>
      <c r="CT151" s="259">
        <f t="shared" ca="1" si="375"/>
        <v>0</v>
      </c>
      <c r="CU151" s="259">
        <f ca="1">IF(OR(CS151&gt;0,CT151&gt;0),MAX($CU$2:CU150)+1,0)</f>
        <v>0</v>
      </c>
      <c r="CV151" s="259" t="str">
        <f ca="1">IFERROR(INDEX(PIANO_DEI_CONTI,MATCH(ROWS($CV$3:CV151),$CU$3:$CU$200,0),2),"")</f>
        <v/>
      </c>
      <c r="CW151" s="259">
        <f ca="1">IFERROR(IF(CV151&lt;&gt;"",MAX($CW$2:CW150)+1,0),0)</f>
        <v>0</v>
      </c>
      <c r="CX151" s="259">
        <f t="shared" ca="1" si="472"/>
        <v>9</v>
      </c>
      <c r="CY151" s="259" t="str">
        <f t="shared" ca="1" si="469"/>
        <v>MASTRO</v>
      </c>
      <c r="CZ151" s="259" t="e">
        <f t="shared" ca="1" si="474"/>
        <v>#N/A</v>
      </c>
      <c r="DA151" s="259" t="str">
        <f t="shared" ca="1" si="480"/>
        <v/>
      </c>
      <c r="DB151" s="259" t="str">
        <f t="shared" ca="1" si="475"/>
        <v/>
      </c>
      <c r="DC151" s="259" t="str">
        <f t="shared" ca="1" si="476"/>
        <v/>
      </c>
      <c r="DD151" s="259" t="str">
        <f t="shared" ca="1" si="477"/>
        <v/>
      </c>
      <c r="DE151" s="259" t="str">
        <f t="shared" ca="1" si="478"/>
        <v/>
      </c>
      <c r="DF151" s="259">
        <f ca="1">IF(AND(CX151=$DE$2,$DF$2&lt;&gt;0),0,IF(AND(DB151&lt;&gt;"",OR(DB150&lt;&gt;"",DB152&lt;&gt;"")),MAX($DF$2:DF150)+1,0))</f>
        <v>0</v>
      </c>
      <c r="DG151" s="259" t="str">
        <f>IF(IF(LIBRO_GIORNALE!E59="","",IFERROR(INDEX(PIANO_DEI_CONTI,MATCH(BB151,DENOMINAZIONE,0),1),0))=0,"",IF(LIBRO_GIORNALE!E59="","",IFERROR(INDEX(PIANO_DEI_CONTI,MATCH(BB151,DENOMINAZIONE,0),1),0)))</f>
        <v/>
      </c>
      <c r="DH151" s="259">
        <f ca="1">IFERROR(IF($J$1=1,IF(INDEX(PIANO_DEI_CONTI,MATCH($K151,DENOMINAZIONE,0),5)=$DF$1,MAX($DH$2:DH150)+1,0),IF($J$1=2,IF(INDEX(PIANO_DEI_CONTI,MATCH($K151,DENOMINAZIONE,0),7)=$DF$1,MAX($DH$2:DH150)+1,0))),0)</f>
        <v>0</v>
      </c>
      <c r="DI151" s="259">
        <f ca="1">IFERROR(INDEX($K$3:$K$220,MATCH(ROWS($DI$3:DI151),$DH$3:$DH$220,0),1),0)</f>
        <v>0</v>
      </c>
      <c r="DJ151" s="259">
        <f t="shared" ca="1" si="381"/>
        <v>0</v>
      </c>
      <c r="DK151" s="259">
        <f ca="1">IF(DJ151=0,0,MAX(DK$2:DK150)+1)</f>
        <v>0</v>
      </c>
      <c r="DL151" s="259">
        <f ca="1">IFERROR(INDEX(PIANO_DEI_CONTI,MATCH(ROWS(DL$3:DL151),$DK$3:DK378,0),2),0)</f>
        <v>0</v>
      </c>
      <c r="DM151" s="259">
        <f t="shared" ca="1" si="382"/>
        <v>0</v>
      </c>
      <c r="DN151" s="259">
        <f t="shared" ca="1" si="383"/>
        <v>0</v>
      </c>
      <c r="DO151" s="259">
        <f t="shared" ca="1" si="422"/>
        <v>0</v>
      </c>
      <c r="DP151" s="259">
        <f t="shared" ca="1" si="423"/>
        <v>0</v>
      </c>
      <c r="DQ151" s="259">
        <f ca="1">IF(OR($DQ$1="TOTALI",$DQ$1="TOTALI ED ECCEDENZE"),IF(OR(DM151&gt;0,DN151&gt;0),MAX(DQ$2:DQ150)+1,0),IF($DQ$1="ECCEDENZE",IF(OR(DO151&gt;0,DP151&gt;0),MAX(DQ$2:DQ150)+1,0),""))</f>
        <v>0</v>
      </c>
      <c r="DR151" s="259" t="str">
        <f ca="1">IFERROR(INDEX($DL$3:$DQ$230,MATCH(ROWS(DR$3:DR151),$DQ$3:$DQ$230,0),1),"")</f>
        <v/>
      </c>
      <c r="DS151" s="259" t="str">
        <f t="shared" ca="1" si="424"/>
        <v/>
      </c>
      <c r="DT151" s="259" t="str">
        <f t="shared" ca="1" si="425"/>
        <v/>
      </c>
      <c r="DU151" s="259" t="str">
        <f t="shared" ca="1" si="426"/>
        <v/>
      </c>
      <c r="DV151" s="259" t="str">
        <f t="shared" ca="1" si="427"/>
        <v/>
      </c>
      <c r="DW151" s="259">
        <f t="shared" ca="1" si="428"/>
        <v>0</v>
      </c>
      <c r="DX151" s="259" t="str">
        <f t="shared" ca="1" si="429"/>
        <v/>
      </c>
      <c r="DY151" s="259" t="str">
        <f t="shared" ca="1" si="430"/>
        <v/>
      </c>
      <c r="DZ151" s="259" t="str">
        <f t="shared" ca="1" si="431"/>
        <v/>
      </c>
      <c r="EB151" s="259" t="s">
        <v>378</v>
      </c>
      <c r="ED151" s="259">
        <f t="shared" ca="1" si="384"/>
        <v>0</v>
      </c>
      <c r="EH151" s="259" t="str">
        <f t="shared" ca="1" si="432"/>
        <v/>
      </c>
      <c r="EI151" s="260" t="b">
        <f t="shared" ca="1" si="466"/>
        <v>1</v>
      </c>
      <c r="EJ151" s="260" t="b">
        <f t="shared" ca="1" si="467"/>
        <v>1</v>
      </c>
      <c r="EK151" s="260" t="b">
        <f t="shared" ca="1" si="468"/>
        <v>1</v>
      </c>
      <c r="EL151" s="259">
        <f t="shared" si="433"/>
        <v>149</v>
      </c>
      <c r="EM151" s="259">
        <f ca="1">IF(AND(BA151&gt;0,BA151&lt;=$EM$1),MAX($EM$2:EM150)+1,0)</f>
        <v>0</v>
      </c>
      <c r="EN151" s="259">
        <f t="shared" ca="1" si="434"/>
        <v>151</v>
      </c>
      <c r="EP151" s="259" t="str">
        <f t="shared" ca="1" si="385"/>
        <v/>
      </c>
      <c r="EQ151" s="259">
        <f t="shared" ca="1" si="386"/>
        <v>0</v>
      </c>
      <c r="ER151" s="259">
        <f ca="1">IF(ISNA(EQ151),MAX(ER$2:ER150)+1,0)</f>
        <v>0</v>
      </c>
      <c r="ES151" s="259" t="str">
        <f t="shared" ca="1" si="435"/>
        <v/>
      </c>
      <c r="ET151" s="259" t="str">
        <f ca="1">IFERROR(UPPER(INDEX($ER$3:$ES$500,MATCH(ROWS(ET$3:ET151),$ER$3:$ER$500,0),2)),"")</f>
        <v/>
      </c>
      <c r="EW151" s="259">
        <f t="shared" ca="1" si="344"/>
        <v>1</v>
      </c>
      <c r="EX151" s="259">
        <v>49</v>
      </c>
      <c r="EY151" s="259">
        <f t="shared" ca="1" si="345"/>
        <v>0</v>
      </c>
      <c r="EZ151" s="259">
        <f t="shared" ca="1" si="346"/>
        <v>0</v>
      </c>
      <c r="FA151" s="259">
        <f t="shared" ca="1" si="347"/>
        <v>0</v>
      </c>
      <c r="FB151" s="259">
        <f t="shared" ca="1" si="348"/>
        <v>0</v>
      </c>
      <c r="FC151" s="259">
        <f t="shared" ca="1" si="349"/>
        <v>0</v>
      </c>
      <c r="FD151" s="259">
        <f t="shared" ca="1" si="387"/>
        <v>0</v>
      </c>
      <c r="FE151" s="259" t="str">
        <f t="shared" ca="1" si="388"/>
        <v/>
      </c>
      <c r="FF151" s="259" t="str">
        <f t="shared" ca="1" si="350"/>
        <v/>
      </c>
      <c r="FM151" s="259">
        <f t="shared" ca="1" si="389"/>
        <v>0</v>
      </c>
      <c r="FN151" s="259">
        <f ca="1">IF(FM151&lt;0,MAX($FN$2:FN150)+1,0)</f>
        <v>0</v>
      </c>
      <c r="FO151" s="259" t="str">
        <f t="shared" ca="1" si="436"/>
        <v/>
      </c>
      <c r="FP151" s="259" t="str">
        <f ca="1">IFERROR(INDEX($FN$3:$FO$400,MATCH(ROWS($FP$3:FP151),$FN$3:$FN$400,0),2),"")</f>
        <v/>
      </c>
      <c r="FQ151" s="259" t="str">
        <f>IF(AE151="SE AVERE",MAX($FQ$2:FQ150)+1,"")</f>
        <v/>
      </c>
      <c r="FR151" s="259">
        <f>IF(AE151="SE DARE",MAX($FR$2:FR150)+1,"")</f>
        <v>56</v>
      </c>
      <c r="FS151" s="259" t="str">
        <f ca="1">IF(AND(AE151="SP DARE",AA151&lt;&gt;$FS$1,AA151&lt;&gt;$FT$1),MAX($FS$2:FS150)+1,IF(AND(GQ151="SP DARE",AA151&lt;&gt;$FS$1,AA151&lt;&gt;$FT$1),MAX($FS$2:FS150)+1,""))</f>
        <v/>
      </c>
      <c r="FT151" s="259" t="str">
        <f ca="1">IF(AND(AE151="SP AVERE",AA151&lt;&gt;$FU$1),MAX($FT$2:FT150)+1,IF(AND(GQ151="SP AVERE",AA151&lt;&gt;$FU$1),MAX($FT$2:FT150)+1,""))</f>
        <v/>
      </c>
      <c r="FU151" s="259">
        <f t="shared" ca="1" si="437"/>
        <v>56</v>
      </c>
      <c r="FV151" s="259" t="str">
        <f t="shared" si="438"/>
        <v>AMMORTAMENTO MACCHINE D'UFFICIO</v>
      </c>
      <c r="FW151" s="259" t="str">
        <f ca="1">IFERROR(INDEX($FU$3:$FV$500,MATCH(ROWS($FW$3:FW151),$FU$3:$FU$500,0),2),0)</f>
        <v>BANCHE C/ANTICIPI SU FATTURE</v>
      </c>
      <c r="FX151" s="259">
        <f t="shared" ca="1" si="439"/>
        <v>149</v>
      </c>
      <c r="FY151" s="259">
        <f t="shared" ca="1" si="440"/>
        <v>0</v>
      </c>
      <c r="FZ151" s="259">
        <f ca="1">IF(FY151&gt;0,MAX($FZ$2:FZ150)+1,0)</f>
        <v>0</v>
      </c>
      <c r="GA151" s="259">
        <f ca="1">IFERROR(INDEX($FY$3:$FZ$500,MATCH(ROWS($GA$3:GA151),$FZ$3:$FZ$500,0),1),0)</f>
        <v>0</v>
      </c>
      <c r="GC151" s="259">
        <f t="shared" ca="1" si="441"/>
        <v>149</v>
      </c>
      <c r="GD151" s="259" t="str">
        <f t="shared" ca="1" si="442"/>
        <v>BANCHE C/ANTICIPI SU FATTURE</v>
      </c>
      <c r="GG151" s="259">
        <f t="shared" ca="1" si="443"/>
        <v>0</v>
      </c>
      <c r="GH151" s="259">
        <f t="shared" ca="1" si="444"/>
        <v>0</v>
      </c>
      <c r="GI151" s="259">
        <f t="shared" ca="1" si="445"/>
        <v>0</v>
      </c>
      <c r="GJ151" s="259">
        <f t="shared" ca="1" si="446"/>
        <v>0</v>
      </c>
      <c r="GK151" s="259">
        <f t="shared" ca="1" si="447"/>
        <v>0</v>
      </c>
      <c r="GL151" s="259">
        <f t="shared" ca="1" si="447"/>
        <v>0</v>
      </c>
      <c r="GM151" s="259">
        <f ca="1">IF(OR(GK151&gt;0,GL151&gt;0),MAX($GM$2:GM150)+1,0)</f>
        <v>0</v>
      </c>
      <c r="GN151" s="259" t="str">
        <f ca="1">IFERROR(INDEX($GD$3:$GM$400,MATCH(ROWS($GN$3:GN151),$GM$3:$GM$400,0),1),"")</f>
        <v/>
      </c>
      <c r="GO151" s="259" t="str">
        <f ca="1">IFERROR(INDEX($GD$3:$GM$400,MATCH(ROWS($GO$3:GO151),$GM$3:$GM$400,0),8),"")</f>
        <v/>
      </c>
      <c r="GP151" s="259" t="str">
        <f ca="1">IFERROR(INDEX($GD$3:$GM$400,MATCH(ROWS($GP$3:GP151),$GM$3:$GM$400,0),9),"")</f>
        <v/>
      </c>
      <c r="GQ151" s="259">
        <f t="shared" ca="1" si="390"/>
        <v>0</v>
      </c>
      <c r="GR151" s="259">
        <f t="shared" ca="1" si="448"/>
        <v>0</v>
      </c>
      <c r="GS151" s="259" t="str">
        <f t="shared" ca="1" si="449"/>
        <v>chiusura del conto</v>
      </c>
      <c r="GT151" s="259" t="str">
        <f ca="1">IFERROR(INDEX($GD$3:$GS$400,MATCH(ROWS($GT$3:GT151),$GM$3:$GM$400,0),16),"")</f>
        <v/>
      </c>
      <c r="GU151" s="259">
        <f ca="1">IF(GQ151&lt;&gt;0,MAX($GU$2:$GU150)+1,0)</f>
        <v>0</v>
      </c>
      <c r="GV151" s="259">
        <f t="shared" ca="1" si="450"/>
        <v>0</v>
      </c>
      <c r="GW151" s="259" t="str">
        <f ca="1">IF(AND(IFERROR(INDEX($GU$3:$GV$400,MATCH(ROWS($GW$3:GW151),$GU$3:$GU$400,0),2),"")&lt;&gt;"",GW152&lt;&gt;""),CONCATENATE(IFERROR(INDEX($GU$3:$GV$400,MATCH(ROWS($GW$3:GW151),$GU$3:$GU$400,0),2),"")," - "),IFERROR(INDEX($GU$3:$GV$400,MATCH(ROWS($GW$3:GW151),$GU$3:$GU$400,0),2),""))</f>
        <v/>
      </c>
      <c r="GX151" s="259">
        <f ca="1">IF(OR(GN151="IVA NS/CREDITO",GN151="IVA NS/DEBITO",GN151="IVA C/ACCONTO",GN151="IMPOSTE C/ACCONTO"),MAX($GX$2:GX150)+1,0)</f>
        <v>0</v>
      </c>
      <c r="GY151" s="259" t="str">
        <f ca="1">IF(AND(IFERROR(INDEX($GN$3:$GX$200,MATCH(ROWS($GY$3:GY151),$GX$3:$GX$200,0),1),"")&lt;&gt;"",GY152&lt;&gt;""),CONCATENATE(IFERROR(INDEX($GN$3:$GX$200,MATCH(ROWS($GY$3:GY151),$GX$3:$GX$200,0),1),"")," - "),IFERROR(INDEX($GN$3:$GX$200,MATCH(ROWS($GY$3:GY151),$GX$3:$GX$200,0),1),""))</f>
        <v/>
      </c>
      <c r="GZ151" s="259" t="s">
        <v>576</v>
      </c>
      <c r="HA151" s="259" t="s">
        <v>156</v>
      </c>
      <c r="HB151" s="269" t="s">
        <v>256</v>
      </c>
      <c r="HC151" s="269" t="s">
        <v>276</v>
      </c>
      <c r="HD151" s="269" t="s">
        <v>7</v>
      </c>
      <c r="HE151" s="269" t="s">
        <v>214</v>
      </c>
      <c r="HV151" s="259" t="str">
        <f ca="1">CONCATENATE(IFERROR(INDEX($HS$3:$HT$102,MATCH(ROWS($HV$3:HV151),$HT$3:$HT$102,0),1),""),HR151)</f>
        <v/>
      </c>
      <c r="IC151" s="259">
        <f ca="1">IFERROR(INDEX(PIANO_DEI_CONTI,MATCH(ROWS(DL$3:DL151),$DK$3:DK378,0),2),0)</f>
        <v>0</v>
      </c>
      <c r="ID151" s="259">
        <f t="shared" ca="1" si="451"/>
        <v>0</v>
      </c>
      <c r="IE151" s="259">
        <f t="shared" ca="1" si="452"/>
        <v>0</v>
      </c>
      <c r="IF151" s="259">
        <f t="shared" ca="1" si="453"/>
        <v>0</v>
      </c>
      <c r="IG151" s="259">
        <f t="shared" ca="1" si="479"/>
        <v>0</v>
      </c>
      <c r="IH151" s="259">
        <f ca="1">IF(IG151&lt;&gt;0,MAX($IH$35:IH150)+1,0)</f>
        <v>0</v>
      </c>
      <c r="II151" s="259">
        <f>IF(AD151="costi pluriennali",MAX($II$2:II150)+1,0)</f>
        <v>0</v>
      </c>
      <c r="IJ151" s="259">
        <f>IF($AD151="rettifiche costi pluriennali",MAX($IJ$2:IJ150)+1,0)</f>
        <v>0</v>
      </c>
      <c r="IK151" s="259">
        <f t="shared" si="454"/>
        <v>0</v>
      </c>
      <c r="IL151" s="259" t="str">
        <f t="shared" si="455"/>
        <v/>
      </c>
      <c r="IM151" s="259">
        <f t="shared" ca="1" si="456"/>
        <v>0</v>
      </c>
      <c r="IN151" s="259">
        <f t="shared" ca="1" si="470"/>
        <v>0</v>
      </c>
      <c r="IO151" s="259">
        <f>SUMIFS($IM$3:$IM$200,$IK$3:$IK$200,ROWS($IO$3:IO151))-SUMIFS($IN$3:$IN$200,$IK$3:$IK$200,ROWS($IO$3:IO151))</f>
        <v>0</v>
      </c>
      <c r="IP151" s="259" t="str">
        <f>IF(IO151&lt;0,INDEX($IJ$3:$IL$200,MATCH(ROWS($IP$3:IP151),$IJ$3:$IJ$200,0),3),"")</f>
        <v/>
      </c>
      <c r="IQ151" s="259">
        <f>IF(IP151&lt;&gt;"",MAX($IQ$2:IQ150)+1,0)</f>
        <v>0</v>
      </c>
      <c r="IR151" s="259" t="str">
        <f ca="1">IFERROR(INDEX($IP$3:$IQ$200,MATCH(ROWS($IR$3:IR151),$IQ$3:$IQ$200,0),1),"")</f>
        <v/>
      </c>
      <c r="IS151" s="259" t="str">
        <f t="shared" ca="1" si="457"/>
        <v/>
      </c>
      <c r="IT151" s="259" t="str">
        <f t="shared" ca="1" si="458"/>
        <v/>
      </c>
      <c r="IU151" s="259" t="str">
        <f t="shared" ca="1" si="459"/>
        <v/>
      </c>
      <c r="IV151" s="259" t="str">
        <f t="shared" ca="1" si="460"/>
        <v/>
      </c>
      <c r="IW151" s="259" t="str">
        <f t="shared" ca="1" si="461"/>
        <v/>
      </c>
      <c r="IX151" s="259" t="str">
        <f t="shared" ca="1" si="462"/>
        <v/>
      </c>
      <c r="IY151" s="259" t="str">
        <f t="shared" ca="1" si="463"/>
        <v/>
      </c>
      <c r="IZ151" s="259" t="str">
        <f t="shared" ca="1" si="464"/>
        <v/>
      </c>
      <c r="JA151" s="259" t="str">
        <f t="shared" ca="1" si="465"/>
        <v/>
      </c>
      <c r="JB151" s="259">
        <f t="shared" ca="1" si="391"/>
        <v>0</v>
      </c>
      <c r="JC151" s="259">
        <f t="shared" ca="1" si="351"/>
        <v>0</v>
      </c>
      <c r="JD151" s="259">
        <f t="shared" ca="1" si="352"/>
        <v>0</v>
      </c>
      <c r="JM151" s="259">
        <f t="shared" ca="1" si="353"/>
        <v>0</v>
      </c>
    </row>
    <row r="152" spans="1:273">
      <c r="A152" s="259" t="str">
        <f t="shared" si="392"/>
        <v>31.10</v>
      </c>
      <c r="B152" s="259" t="str">
        <f t="shared" si="393"/>
        <v>MANUTENZIONI E RIPARAZIONI</v>
      </c>
      <c r="C152" s="259" t="str">
        <f t="shared" si="394"/>
        <v>E</v>
      </c>
      <c r="D152" s="259" t="str">
        <f t="shared" si="395"/>
        <v>D</v>
      </c>
      <c r="E152" s="259" t="str">
        <f t="shared" si="396"/>
        <v>COSTI D'ESERCIZIO</v>
      </c>
      <c r="F152" s="259" t="str">
        <f t="shared" si="397"/>
        <v>SE DARE</v>
      </c>
      <c r="G152" s="259">
        <f t="shared" ca="1" si="398"/>
        <v>1</v>
      </c>
      <c r="H152" s="259">
        <f t="shared" ca="1" si="399"/>
        <v>1</v>
      </c>
      <c r="I152" s="259">
        <f t="shared" ca="1" si="400"/>
        <v>1</v>
      </c>
      <c r="K152" s="259" t="str">
        <f ca="1">IFERROR(IF($I$1=1,INDEX($AA$3:$AS$220,MATCH(ROWS($K$3:K152),$AQ$3:$AQ$220,0),1),IF($I$1=2,INDEX($AA$3:$AS$220,MATCH(ROWS($K$3:K152),$AR$3:$AR$220,0),1),IF($I$1=3,INDEX($AA$3:$AS$220,MATCH(ROWS($K$3:K152),$AS$3:$AS$220,0),1),""))),"")</f>
        <v>MERCI C/ESISTENZE INIZIALI</v>
      </c>
      <c r="L152" s="259">
        <f ca="1">IF(AND($L$1="VISUALIZZA TUTTI I CONTI",K152&lt;&gt;""),MAX(L151:L151)+1,IFERROR(IF($J$1=1,IF(INDEX(PIANO_DEI_CONTI,MATCH($K152,DENOMINAZIONE,0),5)=$L$1,MAX($L$2:L151)+1,0),IF($J$1=2,IF(INDEX(PIANO_DEI_CONTI,MATCH($K152,DENOMINAZIONE,0),7)=$L$1,MAX($L$2:L151)+1,0))),0))</f>
        <v>150</v>
      </c>
      <c r="M152" s="259" t="str">
        <f ca="1">IFERROR(INDEX($K$3:$K$220,MATCH(ROWS($M$3:M152),$L$3:$L$220,0),1),"")</f>
        <v>MERCI C/ESISTENZE INIZIALI</v>
      </c>
      <c r="R152" s="259" t="str">
        <f t="shared" ca="1" si="366"/>
        <v/>
      </c>
      <c r="S152" s="259">
        <f ca="1">IF(IFERROR(MATCH(R152,DENOMINAZIONE_GIORNALE,0),0)&gt;0,MAX(S$2:S151)+1,0)</f>
        <v>0</v>
      </c>
      <c r="T152" s="259" t="str">
        <f ca="1">IFERROR(INDEX($R$3:$S$220,MATCH(ROWS($T$3:T152),$S$3:$S$220,0),1),"")</f>
        <v/>
      </c>
      <c r="U152" s="259">
        <f t="shared" ca="1" si="367"/>
        <v>0</v>
      </c>
      <c r="V152" s="259">
        <f ca="1">IF(IF(U152&lt;&gt;0,MAX($V$2:V151)+1,0)=0,0,IF(U152&lt;&gt;0,MAX($V$2:V151)+1,0))</f>
        <v>0</v>
      </c>
      <c r="W152" s="259" t="str">
        <f t="shared" si="401"/>
        <v>31.10</v>
      </c>
      <c r="X152" s="259" t="str">
        <f t="shared" si="402"/>
        <v>MANUTENZIONI E RIPARAZIONI</v>
      </c>
      <c r="Y152" s="259">
        <f>IF(W152="",0,MAX($Y$2:Y151)+1)</f>
        <v>130</v>
      </c>
      <c r="Z152" s="259" t="str">
        <f>IFERROR(INDEX($W$3:$Y$220,MATCH(ROWS($Z$2:Z151),$Y$3:$Y$220,0),1),"")</f>
        <v>35.06</v>
      </c>
      <c r="AA152" s="259" t="str">
        <f t="shared" si="403"/>
        <v>AMMORTAMENTO ARREDAMENTO</v>
      </c>
      <c r="AB152" s="259" t="str">
        <f t="shared" si="404"/>
        <v>E</v>
      </c>
      <c r="AC152" s="259" t="str">
        <f t="shared" si="405"/>
        <v>D</v>
      </c>
      <c r="AD152" s="259" t="str">
        <f t="shared" si="406"/>
        <v>COSTI D'ESERCIZIO</v>
      </c>
      <c r="AE152" s="259" t="str">
        <f t="shared" si="407"/>
        <v>SE DARE</v>
      </c>
      <c r="AF152" s="259" t="str">
        <f t="shared" si="408"/>
        <v>AMMORTAMENTI IMMOBILIZZAZIONI MATERIALI</v>
      </c>
      <c r="AG152" s="259">
        <f t="shared" ca="1" si="409"/>
        <v>0</v>
      </c>
      <c r="AH152" s="259">
        <f t="shared" ca="1" si="410"/>
        <v>0</v>
      </c>
      <c r="AI152" s="259">
        <f t="shared" ca="1" si="411"/>
        <v>1</v>
      </c>
      <c r="AJ152" s="259" t="str">
        <f t="shared" si="412"/>
        <v>35</v>
      </c>
      <c r="AK152" s="259" t="str">
        <f t="shared" si="413"/>
        <v/>
      </c>
      <c r="AL152" s="259">
        <f>IF(AK152&lt;&gt;"",MAX($AL$2:AL151)+1,0)</f>
        <v>0</v>
      </c>
      <c r="AM152" s="259" t="str">
        <f>IFERROR(INDEX($AK$3:$AL$220,MATCH(ROWS($AM$3:AM152),$AL$3:$AL$220,0),1),"")</f>
        <v/>
      </c>
      <c r="AN152" s="259" t="str">
        <f t="shared" si="414"/>
        <v/>
      </c>
      <c r="AO152" s="259" t="str">
        <f t="shared" si="415"/>
        <v/>
      </c>
      <c r="AP152" s="259" t="str">
        <f t="shared" si="416"/>
        <v>AMMORTAMENTI IMMOBILIZZAZIONI MATERIALI</v>
      </c>
      <c r="AQ152" s="259">
        <f ca="1">IF(OR(AG152=0,AG152=""),0,MAX(AQ$2:AQ151)+1)</f>
        <v>0</v>
      </c>
      <c r="AR152" s="259">
        <f ca="1">IF(OR(AH152=0,AH152=""),0,MAX(AR$2:AR151)+1)</f>
        <v>0</v>
      </c>
      <c r="AS152" s="259">
        <f ca="1">IF(OR(AI152=0,AI152=""),0,MAX(AS$2:AS151)+1)</f>
        <v>146</v>
      </c>
      <c r="AT152" s="259" t="str">
        <f ca="1">IFERROR(INDEX($AD$3:$AS$220,MATCH(ROWS(AT$3:AT152),AQ$3:AQ$220,0),1),"")</f>
        <v/>
      </c>
      <c r="AU152" s="259" t="str">
        <f ca="1">IFERROR(INDEX($AD$3:$AS$220,MATCH(ROWS(AU$3:AU152),AR$3:AR$220,0),1),"")</f>
        <v/>
      </c>
      <c r="AV152" s="259" t="str">
        <f ca="1">IFERROR(INDEX($AD$3:$AS$220,MATCH(ROWS(AV$3:AV152),AS$3:AS$220,0),1),"")</f>
        <v>COSTI D'ESERCIZIO</v>
      </c>
      <c r="AW152" s="259" t="str">
        <f ca="1">IFERROR(INDEX($AP$3:$AS$220,MATCH(ROWS(AW$3:AW152),AQ$3:AQ$220,0),1),"")</f>
        <v/>
      </c>
      <c r="AX152" s="259" t="str">
        <f ca="1">IFERROR(INDEX($AP$3:$AS$220,MATCH(ROWS(AX$3:AX152),AR$3:AR$220,0),1),"")</f>
        <v/>
      </c>
      <c r="AY152" s="259" t="str">
        <f ca="1">IFERROR(INDEX($AP$3:$AS$220,MATCH(ROWS(AY$3:AY152),AS$3:AS$220,0),1),"")</f>
        <v>VARIAZIONI RIMANENZE MERCI E MATERIE DI CONSUMO</v>
      </c>
      <c r="AZ152" s="259" t="str">
        <f t="shared" si="339"/>
        <v>50 V.I.</v>
      </c>
      <c r="BA152" s="259">
        <f t="shared" ca="1" si="338"/>
        <v>0</v>
      </c>
      <c r="BB152" s="259">
        <f t="shared" ca="1" si="340"/>
        <v>0</v>
      </c>
      <c r="BC152" s="259">
        <f t="shared" ca="1" si="341"/>
        <v>0</v>
      </c>
      <c r="BD152" s="259">
        <f t="shared" ca="1" si="342"/>
        <v>0</v>
      </c>
      <c r="BE152" s="259">
        <f t="shared" ca="1" si="343"/>
        <v>0</v>
      </c>
      <c r="BG152" s="259" t="str">
        <f t="shared" ca="1" si="368"/>
        <v/>
      </c>
      <c r="BH152" s="259">
        <f ca="1">IF(IFERROR(MATCH(BG152,DENOMINAZIONE_GIORNALE,0),0)&gt;0,MAX(BH$2:BH151)+1,0)</f>
        <v>0</v>
      </c>
      <c r="BI152" s="259" t="str">
        <f ca="1">IFERROR(INDEX($BG$3:$BH$220,MATCH(ROWS($BI$3:BI152),$BH$3:$BH$220,0),1),"")</f>
        <v/>
      </c>
      <c r="BJ152" s="259" t="str">
        <f t="shared" ca="1" si="369"/>
        <v/>
      </c>
      <c r="BK152" s="259" t="str">
        <f ca="1">IF(IF(BJ152&lt;&gt;"",MAX($BK$2:BK151)+1,0)=0,"",IF(BJ152&lt;&gt;"",MAX($BK$2:BK151)+1,0))</f>
        <v/>
      </c>
      <c r="BL152" s="259" t="str">
        <f ca="1">IFERROR(INDEX($T$3:$U$220, MATCH(ROWS(BL$3:BL152),$V$3:$V$220,0),1),"")</f>
        <v/>
      </c>
      <c r="BM152" s="259" t="str">
        <f ca="1">IFERROR(INDEX($T$3:$U$220, MATCH(ROWS(BM$3:BM152),$V$3:$V$220,0),2),"")</f>
        <v/>
      </c>
      <c r="BN152" s="259" t="str">
        <f ca="1">IF(IFERROR(INDEX($BI$3:$BJ$220,MATCH(ROWS(BN$3:BN152),$BK$3:$BK$220,0),1),"")="PATRIMONIO NETTO","",IFERROR(INDEX($BI$3:$BJ$220,MATCH(ROWS(BN$3:BN152),$BK$3:$BK$220,0),1),""))</f>
        <v/>
      </c>
      <c r="BO152" s="259" t="str">
        <f ca="1">IFERROR(INDEX($BI$3:$BJ$220,MATCH(ROWS(BO$3:BO152),$BK$3:$BK$220,0),2),"")</f>
        <v/>
      </c>
      <c r="BP152" s="259">
        <f ca="1">IF(BN152&lt;&gt;"",MAX(BP$2:$BP151)+1,0)</f>
        <v>0</v>
      </c>
      <c r="BQ152" s="259" t="str">
        <f ca="1">IFERROR(INDEX($BN$3:$BO$200,MATCH(ROWS(BQ$3:BQ152),$BP$3:$BP$220,0),1),"")</f>
        <v/>
      </c>
      <c r="BR152" s="259" t="str">
        <f ca="1">IFERROR(INDEX($BN$3:$BO$220,MATCH(ROWS(BR$3:BR152),$BP$3:$BP$220,0),2),"")</f>
        <v/>
      </c>
      <c r="BS152" s="259" t="str">
        <f ca="1">IFERROR(IF(OR(INDEX($T$3:$U$220,MATCH(ROWS(BL$3:BL152),$V$3:$V$220,0),1)="PRELEVAMENTI EXTRAGESTIONE",INDEX($T$3:$U$220,MATCH(ROWS(BL$3:BL152),$V$3:$V$220,0),1)="TITOLARE C/RITENUTE SUBITE"),"",INDEX($T$3:$U$220,MATCH(ROWS(BL$3:BL152),$V$3:$V$220,0),1)),"")</f>
        <v/>
      </c>
      <c r="BT152" s="259">
        <f t="shared" ca="1" si="417"/>
        <v>0</v>
      </c>
      <c r="BU152" s="259">
        <f ca="1">IF(BS152&lt;&gt;"",MAX(BU$2:BU151)+1,0)</f>
        <v>0</v>
      </c>
      <c r="BV152" s="259" t="str">
        <f ca="1">IFERROR(INDEX($BS$3:$BT$223,MATCH(ROWS(BV$3:BV152),$BU$3:$BU$223,0),1),"")</f>
        <v/>
      </c>
      <c r="BW152" s="259">
        <f t="shared" ca="1" si="418"/>
        <v>0</v>
      </c>
      <c r="CB152" s="259" t="str">
        <f ca="1">IFERROR(IF(OR($BB$1&lt;&gt;$BD$1,$BC$1&lt;&gt;$BE$1,$DS$231&lt;&gt;$DT$231,$DU$231&lt;&gt;$DV$231,$EO$25&lt;&gt;0,$EO$26&lt;&gt;0),INDEX($BI$3:$BK$220,MATCH(ROWS($CB$3:CB152),$BK$3:$BK$220,0),1),CONCATENATE(BQ152,BX152)),"")</f>
        <v/>
      </c>
      <c r="CC152" s="259" t="str">
        <f t="shared" ca="1" si="419"/>
        <v/>
      </c>
      <c r="CD152" s="259" t="str">
        <f t="shared" ca="1" si="370"/>
        <v>AMMORTAMENTO ARREDAMENTO</v>
      </c>
      <c r="CE152" s="259">
        <f ca="1">IF(IFERROR(MATCH(CD152,DENOMINAZIONE_GIORNALE,0),0)&gt;0,MAX(CE$2:CE151)+1,0)</f>
        <v>0</v>
      </c>
      <c r="CF152" s="259" t="str">
        <f ca="1">IFERROR(INDEX($CD$3:$CE$220,MATCH(ROWS($CF$3:CF152),$CE$3:$CE$220,0),1),"")</f>
        <v/>
      </c>
      <c r="CG152" s="259">
        <f t="shared" ca="1" si="371"/>
        <v>0</v>
      </c>
      <c r="CH152" s="259" t="str">
        <f ca="1">IF(IF(CG152&lt;&gt;0,MAX($CH$2:CH151)+1,0)=0,"",IF(CG152&lt;&gt;"",MAX($CH$2:CH151)+1,0))</f>
        <v/>
      </c>
      <c r="CI152" s="259" t="str">
        <f ca="1">IFERROR(INDEX($CF$3:$CG$220,MATCH(ROWS($CI$3:CI152),$CH$3:$CH$220,0),1),"")</f>
        <v/>
      </c>
      <c r="CJ152" s="259" t="str">
        <f t="shared" ca="1" si="420"/>
        <v/>
      </c>
      <c r="CK152" s="259" t="str">
        <f t="shared" ca="1" si="372"/>
        <v/>
      </c>
      <c r="CL152" s="259">
        <f ca="1">IF(IFERROR(MATCH(CK152,DENOMINAZIONE_GIORNALE,0),0)&gt;0,MAX(CL$2:CL151)+1,0)</f>
        <v>0</v>
      </c>
      <c r="CM152" s="259" t="str">
        <f ca="1">IFERROR(INDEX($CK$3:$CL$220,MATCH(ROWS($CM$3:CM152),$CL$3:$CL$220,0),1),"")</f>
        <v/>
      </c>
      <c r="CN152" s="259" t="str">
        <f t="shared" ca="1" si="373"/>
        <v/>
      </c>
      <c r="CO152" s="259">
        <f ca="1">IF(IF(CN152&lt;&gt;0,MAX($CO$2:CO151)+1,0)=0,"",IF(CN152&lt;&gt;"",MAX($CO$2:CO151)+1,0))</f>
        <v>0</v>
      </c>
      <c r="CP152" s="259" t="str">
        <f ca="1">IFERROR(INDEX($CM$3:$CN$220,MATCH(ROWS(CP$3:CP152),$CO$3:$CO$220,0),1),"")</f>
        <v/>
      </c>
      <c r="CQ152" s="259" t="str">
        <f ca="1">IFERROR(INDEX($CM$3:$CN$220,MATCH(ROWS(CQ$3:CQ152),$CO$3:$CO$220,0),2),"")</f>
        <v/>
      </c>
      <c r="CS152" s="259">
        <f t="shared" ca="1" si="374"/>
        <v>0</v>
      </c>
      <c r="CT152" s="259">
        <f t="shared" ca="1" si="375"/>
        <v>0</v>
      </c>
      <c r="CU152" s="259">
        <f ca="1">IF(OR(CS152&gt;0,CT152&gt;0),MAX($CU$2:CU151)+1,0)</f>
        <v>0</v>
      </c>
      <c r="CV152" s="259" t="str">
        <f ca="1">IFERROR(INDEX(PIANO_DEI_CONTI,MATCH(ROWS($CV$3:CV152),$CU$3:$CU$200,0),2),"")</f>
        <v/>
      </c>
      <c r="CW152" s="259">
        <f ca="1">IFERROR(IF(CV152&lt;&gt;"",MAX($CW$2:CW151)+1,0),0)</f>
        <v>0</v>
      </c>
      <c r="CX152" s="259">
        <f t="shared" ca="1" si="472"/>
        <v>9</v>
      </c>
      <c r="CY152" s="259" t="str">
        <f t="shared" ca="1" si="469"/>
        <v>MASTRO</v>
      </c>
      <c r="CZ152" s="259" t="e">
        <f t="shared" ca="1" si="474"/>
        <v>#N/A</v>
      </c>
      <c r="DA152" s="259" t="str">
        <f t="shared" ca="1" si="480"/>
        <v/>
      </c>
      <c r="DB152" s="259" t="str">
        <f t="shared" ca="1" si="475"/>
        <v/>
      </c>
      <c r="DC152" s="259" t="str">
        <f t="shared" ca="1" si="476"/>
        <v/>
      </c>
      <c r="DD152" s="259" t="str">
        <f t="shared" ca="1" si="477"/>
        <v/>
      </c>
      <c r="DE152" s="259" t="str">
        <f t="shared" ca="1" si="478"/>
        <v/>
      </c>
      <c r="DF152" s="259">
        <f ca="1">IF(AND(CX152=$DE$2,$DF$2&lt;&gt;0),0,IF(AND(DB152&lt;&gt;"",OR(DB151&lt;&gt;"",DB153&lt;&gt;"")),MAX($DF$2:DF151)+1,0))</f>
        <v>0</v>
      </c>
      <c r="DG152" s="259" t="str">
        <f>IF(IF(LIBRO_GIORNALE!E60="","",IFERROR(INDEX(PIANO_DEI_CONTI,MATCH(BB152,DENOMINAZIONE,0),1),0))=0,"",IF(LIBRO_GIORNALE!E60="","",IFERROR(INDEX(PIANO_DEI_CONTI,MATCH(BB152,DENOMINAZIONE,0),1),0)))</f>
        <v/>
      </c>
      <c r="DH152" s="259">
        <f ca="1">IFERROR(IF($J$1=1,IF(INDEX(PIANO_DEI_CONTI,MATCH($K152,DENOMINAZIONE,0),5)=$DF$1,MAX($DH$2:DH151)+1,0),IF($J$1=2,IF(INDEX(PIANO_DEI_CONTI,MATCH($K152,DENOMINAZIONE,0),7)=$DF$1,MAX($DH$2:DH151)+1,0))),0)</f>
        <v>0</v>
      </c>
      <c r="DI152" s="259">
        <f ca="1">IFERROR(INDEX($K$3:$K$220,MATCH(ROWS($DI$3:DI152),$DH$3:$DH$220,0),1),0)</f>
        <v>0</v>
      </c>
      <c r="DJ152" s="259">
        <f t="shared" ca="1" si="381"/>
        <v>0</v>
      </c>
      <c r="DK152" s="259">
        <f ca="1">IF(DJ152=0,0,MAX(DK$2:DK151)+1)</f>
        <v>0</v>
      </c>
      <c r="DL152" s="259">
        <f ca="1">IFERROR(INDEX(PIANO_DEI_CONTI,MATCH(ROWS(DL$3:DL152),$DK$3:DK379,0),2),0)</f>
        <v>0</v>
      </c>
      <c r="DM152" s="259">
        <f t="shared" ca="1" si="382"/>
        <v>0</v>
      </c>
      <c r="DN152" s="259">
        <f t="shared" ca="1" si="383"/>
        <v>0</v>
      </c>
      <c r="DO152" s="259">
        <f t="shared" ca="1" si="422"/>
        <v>0</v>
      </c>
      <c r="DP152" s="259">
        <f t="shared" ca="1" si="423"/>
        <v>0</v>
      </c>
      <c r="DQ152" s="259">
        <f ca="1">IF(OR($DQ$1="TOTALI",$DQ$1="TOTALI ED ECCEDENZE"),IF(OR(DM152&gt;0,DN152&gt;0),MAX(DQ$2:DQ151)+1,0),IF($DQ$1="ECCEDENZE",IF(OR(DO152&gt;0,DP152&gt;0),MAX(DQ$2:DQ151)+1,0),""))</f>
        <v>0</v>
      </c>
      <c r="DR152" s="259" t="str">
        <f ca="1">IFERROR(INDEX($DL$3:$DQ$230,MATCH(ROWS(DR$3:DR152),$DQ$3:$DQ$230,0),1),"")</f>
        <v/>
      </c>
      <c r="DS152" s="259" t="str">
        <f t="shared" ca="1" si="424"/>
        <v/>
      </c>
      <c r="DT152" s="259" t="str">
        <f t="shared" ca="1" si="425"/>
        <v/>
      </c>
      <c r="DU152" s="259" t="str">
        <f t="shared" ca="1" si="426"/>
        <v/>
      </c>
      <c r="DV152" s="259" t="str">
        <f t="shared" ca="1" si="427"/>
        <v/>
      </c>
      <c r="DW152" s="259">
        <f t="shared" ca="1" si="428"/>
        <v>0</v>
      </c>
      <c r="DX152" s="259" t="str">
        <f t="shared" ca="1" si="429"/>
        <v/>
      </c>
      <c r="DY152" s="259" t="str">
        <f t="shared" ca="1" si="430"/>
        <v/>
      </c>
      <c r="DZ152" s="259" t="str">
        <f t="shared" ca="1" si="431"/>
        <v/>
      </c>
      <c r="EB152" s="259" t="s">
        <v>378</v>
      </c>
      <c r="ED152" s="259">
        <f t="shared" ca="1" si="384"/>
        <v>0</v>
      </c>
      <c r="EH152" s="259" t="str">
        <f t="shared" ca="1" si="432"/>
        <v/>
      </c>
      <c r="EI152" s="260" t="b">
        <f t="shared" ca="1" si="466"/>
        <v>1</v>
      </c>
      <c r="EJ152" s="260" t="b">
        <f t="shared" ca="1" si="467"/>
        <v>1</v>
      </c>
      <c r="EK152" s="260" t="b">
        <f t="shared" ca="1" si="468"/>
        <v>1</v>
      </c>
      <c r="EL152" s="259">
        <f t="shared" si="433"/>
        <v>150</v>
      </c>
      <c r="EM152" s="259">
        <f ca="1">IF(AND(BA152&gt;0,BA152&lt;=$EM$1),MAX($EM$2:EM151)+1,0)</f>
        <v>0</v>
      </c>
      <c r="EN152" s="259">
        <f t="shared" ca="1" si="434"/>
        <v>152</v>
      </c>
      <c r="EP152" s="259" t="str">
        <f t="shared" ca="1" si="385"/>
        <v/>
      </c>
      <c r="EQ152" s="259">
        <f t="shared" ca="1" si="386"/>
        <v>0</v>
      </c>
      <c r="ER152" s="259">
        <f ca="1">IF(ISNA(EQ152),MAX(ER$2:ER151)+1,0)</f>
        <v>0</v>
      </c>
      <c r="ES152" s="259" t="str">
        <f t="shared" ca="1" si="435"/>
        <v/>
      </c>
      <c r="ET152" s="259" t="str">
        <f ca="1">IFERROR(UPPER(INDEX($ER$3:$ES$500,MATCH(ROWS(ET$3:ET152),$ER$3:$ER$500,0),2)),"")</f>
        <v/>
      </c>
      <c r="EW152" s="259">
        <f t="shared" ca="1" si="344"/>
        <v>1</v>
      </c>
      <c r="EX152" s="259">
        <v>50</v>
      </c>
      <c r="EY152" s="259">
        <f t="shared" ca="1" si="345"/>
        <v>0</v>
      </c>
      <c r="EZ152" s="259">
        <f t="shared" ca="1" si="346"/>
        <v>0</v>
      </c>
      <c r="FA152" s="259">
        <f t="shared" ca="1" si="347"/>
        <v>0</v>
      </c>
      <c r="FB152" s="259">
        <f t="shared" ca="1" si="348"/>
        <v>0</v>
      </c>
      <c r="FC152" s="259">
        <f t="shared" ca="1" si="349"/>
        <v>0</v>
      </c>
      <c r="FD152" s="259">
        <f t="shared" ca="1" si="387"/>
        <v>0</v>
      </c>
      <c r="FE152" s="259" t="str">
        <f t="shared" ca="1" si="388"/>
        <v/>
      </c>
      <c r="FF152" s="259" t="str">
        <f t="shared" ca="1" si="350"/>
        <v/>
      </c>
      <c r="FM152" s="259">
        <f t="shared" ca="1" si="389"/>
        <v>0</v>
      </c>
      <c r="FN152" s="259">
        <f ca="1">IF(FM152&lt;0,MAX($FN$2:FN151)+1,0)</f>
        <v>0</v>
      </c>
      <c r="FO152" s="259" t="str">
        <f t="shared" ca="1" si="436"/>
        <v/>
      </c>
      <c r="FP152" s="259" t="str">
        <f ca="1">IFERROR(INDEX($FN$3:$FO$400,MATCH(ROWS($FP$3:FP152),$FN$3:$FN$400,0),2),"")</f>
        <v/>
      </c>
      <c r="FQ152" s="259" t="str">
        <f>IF(AE152="SE AVERE",MAX($FQ$2:FQ151)+1,"")</f>
        <v/>
      </c>
      <c r="FR152" s="259">
        <f>IF(AE152="SE DARE",MAX($FR$2:FR151)+1,"")</f>
        <v>57</v>
      </c>
      <c r="FS152" s="259" t="str">
        <f ca="1">IF(AND(AE152="SP DARE",AA152&lt;&gt;$FS$1,AA152&lt;&gt;$FT$1),MAX($FS$2:FS151)+1,IF(AND(GQ152="SP DARE",AA152&lt;&gt;$FS$1,AA152&lt;&gt;$FT$1),MAX($FS$2:FS151)+1,""))</f>
        <v/>
      </c>
      <c r="FT152" s="259" t="str">
        <f ca="1">IF(AND(AE152="SP AVERE",AA152&lt;&gt;$FU$1),MAX($FT$2:FT151)+1,IF(AND(GQ152="SP AVERE",AA152&lt;&gt;$FU$1),MAX($FT$2:FT151)+1,""))</f>
        <v/>
      </c>
      <c r="FU152" s="259">
        <f t="shared" ca="1" si="437"/>
        <v>57</v>
      </c>
      <c r="FV152" s="259" t="str">
        <f t="shared" si="438"/>
        <v>AMMORTAMENTO ARREDAMENTO</v>
      </c>
      <c r="FW152" s="259" t="str">
        <f ca="1">IFERROR(INDEX($FU$3:$FV$500,MATCH(ROWS($FW$3:FW152),$FU$3:$FU$500,0),2),0)</f>
        <v>SOVVENZIONI BANCARIE</v>
      </c>
      <c r="FX152" s="259">
        <f t="shared" ca="1" si="439"/>
        <v>150</v>
      </c>
      <c r="FY152" s="259">
        <f t="shared" ca="1" si="440"/>
        <v>0</v>
      </c>
      <c r="FZ152" s="259">
        <f ca="1">IF(FY152&gt;0,MAX($FZ$2:FZ151)+1,0)</f>
        <v>0</v>
      </c>
      <c r="GA152" s="259">
        <f ca="1">IFERROR(INDEX($FY$3:$FZ$500,MATCH(ROWS($GA$3:GA152),$FZ$3:$FZ$500,0),1),0)</f>
        <v>0</v>
      </c>
      <c r="GC152" s="259">
        <f t="shared" ca="1" si="441"/>
        <v>150</v>
      </c>
      <c r="GD152" s="259" t="str">
        <f t="shared" ca="1" si="442"/>
        <v>SOVVENZIONI BANCARIE</v>
      </c>
      <c r="GG152" s="259">
        <f t="shared" ca="1" si="443"/>
        <v>0</v>
      </c>
      <c r="GH152" s="259">
        <f t="shared" ca="1" si="444"/>
        <v>0</v>
      </c>
      <c r="GI152" s="259">
        <f t="shared" ca="1" si="445"/>
        <v>0</v>
      </c>
      <c r="GJ152" s="259">
        <f t="shared" ca="1" si="446"/>
        <v>0</v>
      </c>
      <c r="GK152" s="259">
        <f t="shared" ca="1" si="447"/>
        <v>0</v>
      </c>
      <c r="GL152" s="259">
        <f t="shared" ca="1" si="447"/>
        <v>0</v>
      </c>
      <c r="GM152" s="259">
        <f ca="1">IF(OR(GK152&gt;0,GL152&gt;0),MAX($GM$2:GM151)+1,0)</f>
        <v>0</v>
      </c>
      <c r="GN152" s="259" t="str">
        <f ca="1">IFERROR(INDEX($GD$3:$GM$400,MATCH(ROWS($GN$3:GN152),$GM$3:$GM$400,0),1),"")</f>
        <v/>
      </c>
      <c r="GO152" s="259" t="str">
        <f ca="1">IFERROR(INDEX($GD$3:$GM$400,MATCH(ROWS($GO$3:GO152),$GM$3:$GM$400,0),8),"")</f>
        <v/>
      </c>
      <c r="GP152" s="259" t="str">
        <f ca="1">IFERROR(INDEX($GD$3:$GM$400,MATCH(ROWS($GP$3:GP152),$GM$3:$GM$400,0),9),"")</f>
        <v/>
      </c>
      <c r="GQ152" s="259">
        <f t="shared" ca="1" si="390"/>
        <v>0</v>
      </c>
      <c r="GR152" s="259">
        <f t="shared" ca="1" si="448"/>
        <v>0</v>
      </c>
      <c r="GS152" s="259" t="str">
        <f t="shared" ca="1" si="449"/>
        <v>chiusura del conto</v>
      </c>
      <c r="GT152" s="259" t="str">
        <f ca="1">IFERROR(INDEX($GD$3:$GS$400,MATCH(ROWS($GT$3:GT152),$GM$3:$GM$400,0),16),"")</f>
        <v/>
      </c>
      <c r="GU152" s="259">
        <f ca="1">IF(GQ152&lt;&gt;0,MAX($GU$2:$GU151)+1,0)</f>
        <v>0</v>
      </c>
      <c r="GV152" s="259">
        <f t="shared" ca="1" si="450"/>
        <v>0</v>
      </c>
      <c r="GW152" s="259" t="str">
        <f ca="1">IF(AND(IFERROR(INDEX($GU$3:$GV$400,MATCH(ROWS($GW$3:GW152),$GU$3:$GU$400,0),2),"")&lt;&gt;"",GW153&lt;&gt;""),CONCATENATE(IFERROR(INDEX($GU$3:$GV$400,MATCH(ROWS($GW$3:GW152),$GU$3:$GU$400,0),2),"")," - "),IFERROR(INDEX($GU$3:$GV$400,MATCH(ROWS($GW$3:GW152),$GU$3:$GU$400,0),2),""))</f>
        <v/>
      </c>
      <c r="GX152" s="259">
        <f ca="1">IF(OR(GN152="IVA NS/CREDITO",GN152="IVA NS/DEBITO",GN152="IVA C/ACCONTO",GN152="IMPOSTE C/ACCONTO"),MAX($GX$2:GX151)+1,0)</f>
        <v>0</v>
      </c>
      <c r="GY152" s="259" t="str">
        <f ca="1">IF(AND(IFERROR(INDEX($GN$3:$GX$200,MATCH(ROWS($GY$3:GY152),$GX$3:$GX$200,0),1),"")&lt;&gt;"",GY153&lt;&gt;""),CONCATENATE(IFERROR(INDEX($GN$3:$GX$200,MATCH(ROWS($GY$3:GY152),$GX$3:$GX$200,0),1),"")," - "),IFERROR(INDEX($GN$3:$GX$200,MATCH(ROWS($GY$3:GY152),$GX$3:$GX$200,0),1),""))</f>
        <v/>
      </c>
      <c r="GZ152" s="259" t="s">
        <v>577</v>
      </c>
      <c r="HA152" s="259" t="s">
        <v>157</v>
      </c>
      <c r="HB152" s="269" t="s">
        <v>256</v>
      </c>
      <c r="HC152" s="269" t="s">
        <v>276</v>
      </c>
      <c r="HD152" s="269" t="s">
        <v>7</v>
      </c>
      <c r="HE152" s="269" t="s">
        <v>214</v>
      </c>
      <c r="HV152" s="259" t="str">
        <f ca="1">CONCATENATE(IFERROR(INDEX($HS$3:$HT$102,MATCH(ROWS($HV$3:HV152),$HT$3:$HT$102,0),1),""),HR152)</f>
        <v/>
      </c>
      <c r="IC152" s="259">
        <f ca="1">IFERROR(INDEX(PIANO_DEI_CONTI,MATCH(ROWS(DL$3:DL152),$DK$3:DK379,0),2),0)</f>
        <v>0</v>
      </c>
      <c r="ID152" s="259">
        <f t="shared" ca="1" si="451"/>
        <v>0</v>
      </c>
      <c r="IE152" s="259">
        <f t="shared" ca="1" si="452"/>
        <v>0</v>
      </c>
      <c r="IF152" s="259">
        <f t="shared" ca="1" si="453"/>
        <v>0</v>
      </c>
      <c r="IG152" s="259">
        <f t="shared" ca="1" si="479"/>
        <v>0</v>
      </c>
      <c r="IH152" s="259">
        <f ca="1">IF(IG152&lt;&gt;0,MAX($IH$35:IH151)+1,0)</f>
        <v>0</v>
      </c>
      <c r="II152" s="259">
        <f>IF(AD152="costi pluriennali",MAX($II$2:II151)+1,0)</f>
        <v>0</v>
      </c>
      <c r="IJ152" s="259">
        <f>IF($AD152="rettifiche costi pluriennali",MAX($IJ$2:IJ151)+1,0)</f>
        <v>0</v>
      </c>
      <c r="IK152" s="259">
        <f t="shared" si="454"/>
        <v>0</v>
      </c>
      <c r="IL152" s="259" t="str">
        <f t="shared" si="455"/>
        <v/>
      </c>
      <c r="IM152" s="259">
        <f t="shared" ca="1" si="456"/>
        <v>0</v>
      </c>
      <c r="IN152" s="259">
        <f t="shared" ca="1" si="470"/>
        <v>0</v>
      </c>
      <c r="IO152" s="259">
        <f>SUMIFS($IM$3:$IM$200,$IK$3:$IK$200,ROWS($IO$3:IO152))-SUMIFS($IN$3:$IN$200,$IK$3:$IK$200,ROWS($IO$3:IO152))</f>
        <v>0</v>
      </c>
      <c r="IP152" s="259" t="str">
        <f>IF(IO152&lt;0,INDEX($IJ$3:$IL$200,MATCH(ROWS($IP$3:IP152),$IJ$3:$IJ$200,0),3),"")</f>
        <v/>
      </c>
      <c r="IQ152" s="259">
        <f>IF(IP152&lt;&gt;"",MAX($IQ$2:IQ151)+1,0)</f>
        <v>0</v>
      </c>
      <c r="IR152" s="259" t="str">
        <f ca="1">IFERROR(INDEX($IP$3:$IQ$200,MATCH(ROWS($IR$3:IR152),$IQ$3:$IQ$200,0),1),"")</f>
        <v/>
      </c>
      <c r="IS152" s="259" t="str">
        <f t="shared" ca="1" si="457"/>
        <v/>
      </c>
      <c r="IT152" s="259" t="str">
        <f t="shared" ca="1" si="458"/>
        <v/>
      </c>
      <c r="IU152" s="259" t="str">
        <f t="shared" ca="1" si="459"/>
        <v/>
      </c>
      <c r="IV152" s="259" t="str">
        <f t="shared" ca="1" si="460"/>
        <v/>
      </c>
      <c r="IW152" s="259" t="str">
        <f t="shared" ca="1" si="461"/>
        <v/>
      </c>
      <c r="IX152" s="259" t="str">
        <f t="shared" ca="1" si="462"/>
        <v/>
      </c>
      <c r="IY152" s="259" t="str">
        <f t="shared" ca="1" si="463"/>
        <v/>
      </c>
      <c r="IZ152" s="259" t="str">
        <f t="shared" ca="1" si="464"/>
        <v/>
      </c>
      <c r="JA152" s="259" t="str">
        <f t="shared" ca="1" si="465"/>
        <v/>
      </c>
      <c r="JB152" s="259">
        <f t="shared" ca="1" si="391"/>
        <v>0</v>
      </c>
      <c r="JC152" s="259">
        <f t="shared" ca="1" si="351"/>
        <v>0</v>
      </c>
      <c r="JD152" s="259">
        <f t="shared" ca="1" si="352"/>
        <v>0</v>
      </c>
      <c r="JM152" s="259">
        <f t="shared" ca="1" si="353"/>
        <v>0</v>
      </c>
    </row>
    <row r="153" spans="1:273">
      <c r="A153" s="259" t="str">
        <f t="shared" si="392"/>
        <v>31.11</v>
      </c>
      <c r="B153" s="259" t="str">
        <f t="shared" si="393"/>
        <v>COSTI DI ETICHETTATURA</v>
      </c>
      <c r="C153" s="259" t="str">
        <f t="shared" si="394"/>
        <v>E</v>
      </c>
      <c r="D153" s="259" t="str">
        <f t="shared" si="395"/>
        <v>D</v>
      </c>
      <c r="E153" s="259" t="str">
        <f t="shared" si="396"/>
        <v>COSTI D'ESERCIZIO</v>
      </c>
      <c r="F153" s="259" t="str">
        <f t="shared" si="397"/>
        <v>SE DARE</v>
      </c>
      <c r="G153" s="259">
        <f t="shared" ca="1" si="398"/>
        <v>1</v>
      </c>
      <c r="H153" s="259">
        <f t="shared" ca="1" si="399"/>
        <v>1</v>
      </c>
      <c r="I153" s="259">
        <f t="shared" ca="1" si="400"/>
        <v>1</v>
      </c>
      <c r="K153" s="259" t="str">
        <f ca="1">IFERROR(IF($I$1=1,INDEX($AA$3:$AS$220,MATCH(ROWS($K$3:K153),$AQ$3:$AQ$220,0),1),IF($I$1=2,INDEX($AA$3:$AS$220,MATCH(ROWS($K$3:K153),$AR$3:$AR$220,0),1),IF($I$1=3,INDEX($AA$3:$AS$220,MATCH(ROWS($K$3:K153),$AS$3:$AS$220,0),1),""))),"")</f>
        <v>MATERIE DI CONSUMO C/ESISTENZE INIZIALI</v>
      </c>
      <c r="L153" s="259">
        <f ca="1">IF(AND($L$1="VISUALIZZA TUTTI I CONTI",K153&lt;&gt;""),MAX(L152:L152)+1,IFERROR(IF($J$1=1,IF(INDEX(PIANO_DEI_CONTI,MATCH($K153,DENOMINAZIONE,0),5)=$L$1,MAX($L$2:L152)+1,0),IF($J$1=2,IF(INDEX(PIANO_DEI_CONTI,MATCH($K153,DENOMINAZIONE,0),7)=$L$1,MAX($L$2:L152)+1,0))),0))</f>
        <v>151</v>
      </c>
      <c r="M153" s="259" t="str">
        <f ca="1">IFERROR(INDEX($K$3:$K$220,MATCH(ROWS($M$3:M153),$L$3:$L$220,0),1),"")</f>
        <v>MATERIE DI CONSUMO C/ESISTENZE INIZIALI</v>
      </c>
      <c r="R153" s="259" t="str">
        <f t="shared" ca="1" si="366"/>
        <v/>
      </c>
      <c r="S153" s="259">
        <f ca="1">IF(IFERROR(MATCH(R153,DENOMINAZIONE_GIORNALE,0),0)&gt;0,MAX(S$2:S152)+1,0)</f>
        <v>0</v>
      </c>
      <c r="T153" s="259" t="str">
        <f ca="1">IFERROR(INDEX($R$3:$S$220,MATCH(ROWS($T$3:T153),$S$3:$S$220,0),1),"")</f>
        <v/>
      </c>
      <c r="U153" s="259">
        <f t="shared" ca="1" si="367"/>
        <v>0</v>
      </c>
      <c r="V153" s="259">
        <f ca="1">IF(IF(U153&lt;&gt;0,MAX($V$2:V152)+1,0)=0,0,IF(U153&lt;&gt;0,MAX($V$2:V152)+1,0))</f>
        <v>0</v>
      </c>
      <c r="W153" s="259" t="str">
        <f t="shared" si="401"/>
        <v>31.11</v>
      </c>
      <c r="X153" s="259" t="str">
        <f t="shared" si="402"/>
        <v>COSTI DI ETICHETTATURA</v>
      </c>
      <c r="Y153" s="259">
        <f>IF(W153="",0,MAX($Y$2:Y152)+1)</f>
        <v>131</v>
      </c>
      <c r="Z153" s="259" t="str">
        <f>IFERROR(INDEX($W$3:$Y$220,MATCH(ROWS($Z$2:Z152),$Y$3:$Y$220,0),1),"")</f>
        <v>35.07</v>
      </c>
      <c r="AA153" s="259" t="str">
        <f t="shared" si="403"/>
        <v>AMMORTAMENTO AUTOMEZZI</v>
      </c>
      <c r="AB153" s="259" t="str">
        <f t="shared" si="404"/>
        <v>E</v>
      </c>
      <c r="AC153" s="259" t="str">
        <f t="shared" si="405"/>
        <v>D</v>
      </c>
      <c r="AD153" s="259" t="str">
        <f t="shared" si="406"/>
        <v>COSTI D'ESERCIZIO</v>
      </c>
      <c r="AE153" s="259" t="str">
        <f t="shared" si="407"/>
        <v>SE DARE</v>
      </c>
      <c r="AF153" s="259" t="str">
        <f t="shared" si="408"/>
        <v>AMMORTAMENTI IMMOBILIZZAZIONI MATERIALI</v>
      </c>
      <c r="AG153" s="259">
        <f t="shared" ca="1" si="409"/>
        <v>0</v>
      </c>
      <c r="AH153" s="259">
        <f t="shared" ca="1" si="410"/>
        <v>0</v>
      </c>
      <c r="AI153" s="259">
        <f t="shared" ca="1" si="411"/>
        <v>1</v>
      </c>
      <c r="AJ153" s="259" t="str">
        <f t="shared" si="412"/>
        <v>35</v>
      </c>
      <c r="AK153" s="259" t="str">
        <f t="shared" si="413"/>
        <v/>
      </c>
      <c r="AL153" s="259">
        <f>IF(AK153&lt;&gt;"",MAX($AL$2:AL152)+1,0)</f>
        <v>0</v>
      </c>
      <c r="AM153" s="259" t="str">
        <f>IFERROR(INDEX($AK$3:$AL$220,MATCH(ROWS($AM$3:AM153),$AL$3:$AL$220,0),1),"")</f>
        <v/>
      </c>
      <c r="AN153" s="259" t="str">
        <f t="shared" si="414"/>
        <v/>
      </c>
      <c r="AO153" s="259" t="str">
        <f t="shared" si="415"/>
        <v/>
      </c>
      <c r="AP153" s="259" t="str">
        <f t="shared" si="416"/>
        <v>AMMORTAMENTI IMMOBILIZZAZIONI MATERIALI</v>
      </c>
      <c r="AQ153" s="259">
        <f ca="1">IF(OR(AG153=0,AG153=""),0,MAX(AQ$2:AQ152)+1)</f>
        <v>0</v>
      </c>
      <c r="AR153" s="259">
        <f ca="1">IF(OR(AH153=0,AH153=""),0,MAX(AR$2:AR152)+1)</f>
        <v>0</v>
      </c>
      <c r="AS153" s="259">
        <f ca="1">IF(OR(AI153=0,AI153=""),0,MAX(AS$2:AS152)+1)</f>
        <v>147</v>
      </c>
      <c r="AT153" s="259" t="str">
        <f ca="1">IFERROR(INDEX($AD$3:$AS$220,MATCH(ROWS(AT$3:AT153),AQ$3:AQ$220,0),1),"")</f>
        <v/>
      </c>
      <c r="AU153" s="259" t="str">
        <f ca="1">IFERROR(INDEX($AD$3:$AS$220,MATCH(ROWS(AU$3:AU153),AR$3:AR$220,0),1),"")</f>
        <v/>
      </c>
      <c r="AV153" s="259" t="str">
        <f ca="1">IFERROR(INDEX($AD$3:$AS$220,MATCH(ROWS(AV$3:AV153),AS$3:AS$220,0),1),"")</f>
        <v>COSTI D'ESERCIZIO</v>
      </c>
      <c r="AW153" s="259" t="str">
        <f ca="1">IFERROR(INDEX($AP$3:$AS$220,MATCH(ROWS(AW$3:AW153),AQ$3:AQ$220,0),1),"")</f>
        <v/>
      </c>
      <c r="AX153" s="259" t="str">
        <f ca="1">IFERROR(INDEX($AP$3:$AS$220,MATCH(ROWS(AX$3:AX153),AR$3:AR$220,0),1),"")</f>
        <v/>
      </c>
      <c r="AY153" s="259" t="str">
        <f ca="1">IFERROR(INDEX($AP$3:$AS$220,MATCH(ROWS(AY$3:AY153),AS$3:AS$220,0),1),"")</f>
        <v>VARIAZIONI RIMANENZE MERCI E MATERIE DI CONSUMO</v>
      </c>
      <c r="AZ153" s="259" t="str">
        <f t="shared" si="339"/>
        <v>51 V.I.</v>
      </c>
      <c r="BA153" s="259">
        <f t="shared" ca="1" si="338"/>
        <v>0</v>
      </c>
      <c r="BB153" s="259">
        <f t="shared" ca="1" si="340"/>
        <v>0</v>
      </c>
      <c r="BC153" s="259">
        <f t="shared" ca="1" si="341"/>
        <v>0</v>
      </c>
      <c r="BD153" s="259">
        <f t="shared" ca="1" si="342"/>
        <v>0</v>
      </c>
      <c r="BE153" s="259">
        <f t="shared" ca="1" si="343"/>
        <v>0</v>
      </c>
      <c r="BG153" s="259" t="str">
        <f t="shared" ca="1" si="368"/>
        <v/>
      </c>
      <c r="BH153" s="259">
        <f ca="1">IF(IFERROR(MATCH(BG153,DENOMINAZIONE_GIORNALE,0),0)&gt;0,MAX(BH$2:BH152)+1,0)</f>
        <v>0</v>
      </c>
      <c r="BI153" s="259" t="str">
        <f ca="1">IFERROR(INDEX($BG$3:$BH$220,MATCH(ROWS($BI$3:BI153),$BH$3:$BH$220,0),1),"")</f>
        <v/>
      </c>
      <c r="BJ153" s="259" t="str">
        <f t="shared" ca="1" si="369"/>
        <v/>
      </c>
      <c r="BK153" s="259" t="str">
        <f ca="1">IF(IF(BJ153&lt;&gt;"",MAX($BK$2:BK152)+1,0)=0,"",IF(BJ153&lt;&gt;"",MAX($BK$2:BK152)+1,0))</f>
        <v/>
      </c>
      <c r="BL153" s="259" t="str">
        <f ca="1">IFERROR(INDEX($T$3:$U$220, MATCH(ROWS(BL$3:BL153),$V$3:$V$220,0),1),"")</f>
        <v/>
      </c>
      <c r="BM153" s="259" t="str">
        <f ca="1">IFERROR(INDEX($T$3:$U$220, MATCH(ROWS(BM$3:BM153),$V$3:$V$220,0),2),"")</f>
        <v/>
      </c>
      <c r="BN153" s="259" t="str">
        <f ca="1">IF(IFERROR(INDEX($BI$3:$BJ$220,MATCH(ROWS(BN$3:BN153),$BK$3:$BK$220,0),1),"")="PATRIMONIO NETTO","",IFERROR(INDEX($BI$3:$BJ$220,MATCH(ROWS(BN$3:BN153),$BK$3:$BK$220,0),1),""))</f>
        <v/>
      </c>
      <c r="BO153" s="259" t="str">
        <f ca="1">IFERROR(INDEX($BI$3:$BJ$220,MATCH(ROWS(BO$3:BO153),$BK$3:$BK$220,0),2),"")</f>
        <v/>
      </c>
      <c r="BP153" s="259">
        <f ca="1">IF(BN153&lt;&gt;"",MAX(BP$2:$BP152)+1,0)</f>
        <v>0</v>
      </c>
      <c r="BQ153" s="259" t="str">
        <f ca="1">IFERROR(INDEX($BN$3:$BO$200,MATCH(ROWS(BQ$3:BQ153),$BP$3:$BP$220,0),1),"")</f>
        <v/>
      </c>
      <c r="BR153" s="259" t="str">
        <f ca="1">IFERROR(INDEX($BN$3:$BO$220,MATCH(ROWS(BR$3:BR153),$BP$3:$BP$220,0),2),"")</f>
        <v/>
      </c>
      <c r="BS153" s="259" t="str">
        <f ca="1">IFERROR(IF(OR(INDEX($T$3:$U$220,MATCH(ROWS(BL$3:BL153),$V$3:$V$220,0),1)="PRELEVAMENTI EXTRAGESTIONE",INDEX($T$3:$U$220,MATCH(ROWS(BL$3:BL153),$V$3:$V$220,0),1)="TITOLARE C/RITENUTE SUBITE"),"",INDEX($T$3:$U$220,MATCH(ROWS(BL$3:BL153),$V$3:$V$220,0),1)),"")</f>
        <v/>
      </c>
      <c r="BT153" s="259">
        <f t="shared" ca="1" si="417"/>
        <v>0</v>
      </c>
      <c r="BU153" s="259">
        <f ca="1">IF(BS153&lt;&gt;"",MAX(BU$2:BU152)+1,0)</f>
        <v>0</v>
      </c>
      <c r="BV153" s="259" t="str">
        <f ca="1">IFERROR(INDEX($BS$3:$BT$223,MATCH(ROWS(BV$3:BV153),$BU$3:$BU$223,0),1),"")</f>
        <v/>
      </c>
      <c r="BW153" s="259">
        <f t="shared" ca="1" si="418"/>
        <v>0</v>
      </c>
      <c r="CB153" s="259" t="str">
        <f ca="1">IFERROR(IF(OR($BB$1&lt;&gt;$BD$1,$BC$1&lt;&gt;$BE$1,$DS$231&lt;&gt;$DT$231,$DU$231&lt;&gt;$DV$231,$EO$25&lt;&gt;0,$EO$26&lt;&gt;0),INDEX($BI$3:$BK$220,MATCH(ROWS($CB$3:CB153),$BK$3:$BK$220,0),1),CONCATENATE(BQ153,BX153)),"")</f>
        <v/>
      </c>
      <c r="CC153" s="259" t="str">
        <f t="shared" ca="1" si="419"/>
        <v/>
      </c>
      <c r="CD153" s="259" t="str">
        <f t="shared" ca="1" si="370"/>
        <v>AMMORTAMENTO AUTOMEZZI</v>
      </c>
      <c r="CE153" s="259">
        <f ca="1">IF(IFERROR(MATCH(CD153,DENOMINAZIONE_GIORNALE,0),0)&gt;0,MAX(CE$2:CE152)+1,0)</f>
        <v>0</v>
      </c>
      <c r="CF153" s="259" t="str">
        <f ca="1">IFERROR(INDEX($CD$3:$CE$220,MATCH(ROWS($CF$3:CF153),$CE$3:$CE$220,0),1),"")</f>
        <v/>
      </c>
      <c r="CG153" s="259">
        <f t="shared" ca="1" si="371"/>
        <v>0</v>
      </c>
      <c r="CH153" s="259" t="str">
        <f ca="1">IF(IF(CG153&lt;&gt;0,MAX($CH$2:CH152)+1,0)=0,"",IF(CG153&lt;&gt;"",MAX($CH$2:CH152)+1,0))</f>
        <v/>
      </c>
      <c r="CI153" s="259" t="str">
        <f ca="1">IFERROR(INDEX($CF$3:$CG$220,MATCH(ROWS($CI$3:CI153),$CH$3:$CH$220,0),1),"")</f>
        <v/>
      </c>
      <c r="CJ153" s="259" t="str">
        <f t="shared" ca="1" si="420"/>
        <v/>
      </c>
      <c r="CK153" s="259" t="str">
        <f t="shared" ca="1" si="372"/>
        <v/>
      </c>
      <c r="CL153" s="259">
        <f ca="1">IF(IFERROR(MATCH(CK153,DENOMINAZIONE_GIORNALE,0),0)&gt;0,MAX(CL$2:CL152)+1,0)</f>
        <v>0</v>
      </c>
      <c r="CM153" s="259" t="str">
        <f ca="1">IFERROR(INDEX($CK$3:$CL$220,MATCH(ROWS($CM$3:CM153),$CL$3:$CL$220,0),1),"")</f>
        <v/>
      </c>
      <c r="CN153" s="259" t="str">
        <f t="shared" ca="1" si="373"/>
        <v/>
      </c>
      <c r="CO153" s="259">
        <f ca="1">IF(IF(CN153&lt;&gt;0,MAX($CO$2:CO152)+1,0)=0,"",IF(CN153&lt;&gt;"",MAX($CO$2:CO152)+1,0))</f>
        <v>0</v>
      </c>
      <c r="CP153" s="259" t="str">
        <f ca="1">IFERROR(INDEX($CM$3:$CN$220,MATCH(ROWS(CP$3:CP153),$CO$3:$CO$220,0),1),"")</f>
        <v/>
      </c>
      <c r="CQ153" s="259" t="str">
        <f ca="1">IFERROR(INDEX($CM$3:$CN$220,MATCH(ROWS(CQ$3:CQ153),$CO$3:$CO$220,0),2),"")</f>
        <v/>
      </c>
      <c r="CS153" s="259">
        <f t="shared" ca="1" si="374"/>
        <v>0</v>
      </c>
      <c r="CT153" s="259">
        <f t="shared" ca="1" si="375"/>
        <v>0</v>
      </c>
      <c r="CU153" s="259">
        <f ca="1">IF(OR(CS153&gt;0,CT153&gt;0),MAX($CU$2:CU152)+1,0)</f>
        <v>0</v>
      </c>
      <c r="CV153" s="259" t="str">
        <f ca="1">IFERROR(INDEX(PIANO_DEI_CONTI,MATCH(ROWS($CV$3:CV153),$CU$3:$CU$200,0),2),"")</f>
        <v/>
      </c>
      <c r="CW153" s="259">
        <f ca="1">IFERROR(IF(CV153&lt;&gt;"",MAX($CW$2:CW152)+1,0),0)</f>
        <v>0</v>
      </c>
      <c r="CX153" s="259">
        <f t="shared" ca="1" si="472"/>
        <v>9</v>
      </c>
      <c r="CY153" s="259" t="str">
        <f t="shared" ca="1" si="469"/>
        <v>MASTRO</v>
      </c>
      <c r="CZ153" s="259" t="e">
        <f t="shared" ca="1" si="474"/>
        <v>#N/A</v>
      </c>
      <c r="DA153" s="259" t="str">
        <f t="shared" ca="1" si="480"/>
        <v/>
      </c>
      <c r="DB153" s="259" t="str">
        <f t="shared" ca="1" si="475"/>
        <v/>
      </c>
      <c r="DC153" s="259" t="str">
        <f t="shared" ca="1" si="476"/>
        <v/>
      </c>
      <c r="DD153" s="259" t="str">
        <f t="shared" ca="1" si="477"/>
        <v/>
      </c>
      <c r="DE153" s="259" t="str">
        <f t="shared" ca="1" si="478"/>
        <v/>
      </c>
      <c r="DF153" s="259">
        <f ca="1">IF(AND(CX153=$DE$2,$DF$2&lt;&gt;0),0,IF(AND(DB153&lt;&gt;"",OR(DB152&lt;&gt;"",DB154&lt;&gt;"")),MAX($DF$2:DF152)+1,0))</f>
        <v>0</v>
      </c>
      <c r="DG153" s="259" t="str">
        <f>IF(IF(LIBRO_GIORNALE!E61="","",IFERROR(INDEX(PIANO_DEI_CONTI,MATCH(BB153,DENOMINAZIONE,0),1),0))=0,"",IF(LIBRO_GIORNALE!E61="","",IFERROR(INDEX(PIANO_DEI_CONTI,MATCH(BB153,DENOMINAZIONE,0),1),0)))</f>
        <v/>
      </c>
      <c r="DH153" s="259">
        <f ca="1">IFERROR(IF($J$1=1,IF(INDEX(PIANO_DEI_CONTI,MATCH($K153,DENOMINAZIONE,0),5)=$DF$1,MAX($DH$2:DH152)+1,0),IF($J$1=2,IF(INDEX(PIANO_DEI_CONTI,MATCH($K153,DENOMINAZIONE,0),7)=$DF$1,MAX($DH$2:DH152)+1,0))),0)</f>
        <v>0</v>
      </c>
      <c r="DI153" s="259">
        <f ca="1">IFERROR(INDEX($K$3:$K$220,MATCH(ROWS($DI$3:DI153),$DH$3:$DH$220,0),1),0)</f>
        <v>0</v>
      </c>
      <c r="DJ153" s="259">
        <f t="shared" ca="1" si="381"/>
        <v>0</v>
      </c>
      <c r="DK153" s="259">
        <f ca="1">IF(DJ153=0,0,MAX(DK$2:DK152)+1)</f>
        <v>0</v>
      </c>
      <c r="DL153" s="259">
        <f ca="1">IFERROR(INDEX(PIANO_DEI_CONTI,MATCH(ROWS(DL$3:DL153),$DK$3:DK380,0),2),0)</f>
        <v>0</v>
      </c>
      <c r="DM153" s="259">
        <f t="shared" ca="1" si="382"/>
        <v>0</v>
      </c>
      <c r="DN153" s="259">
        <f t="shared" ca="1" si="383"/>
        <v>0</v>
      </c>
      <c r="DO153" s="259">
        <f t="shared" ca="1" si="422"/>
        <v>0</v>
      </c>
      <c r="DP153" s="259">
        <f t="shared" ca="1" si="423"/>
        <v>0</v>
      </c>
      <c r="DQ153" s="259">
        <f ca="1">IF(OR($DQ$1="TOTALI",$DQ$1="TOTALI ED ECCEDENZE"),IF(OR(DM153&gt;0,DN153&gt;0),MAX(DQ$2:DQ152)+1,0),IF($DQ$1="ECCEDENZE",IF(OR(DO153&gt;0,DP153&gt;0),MAX(DQ$2:DQ152)+1,0),""))</f>
        <v>0</v>
      </c>
      <c r="DR153" s="259" t="str">
        <f ca="1">IFERROR(INDEX($DL$3:$DQ$230,MATCH(ROWS(DR$3:DR153),$DQ$3:$DQ$230,0),1),"")</f>
        <v/>
      </c>
      <c r="DS153" s="259" t="str">
        <f t="shared" ca="1" si="424"/>
        <v/>
      </c>
      <c r="DT153" s="259" t="str">
        <f t="shared" ca="1" si="425"/>
        <v/>
      </c>
      <c r="DU153" s="259" t="str">
        <f t="shared" ca="1" si="426"/>
        <v/>
      </c>
      <c r="DV153" s="259" t="str">
        <f t="shared" ca="1" si="427"/>
        <v/>
      </c>
      <c r="DW153" s="259">
        <f t="shared" ca="1" si="428"/>
        <v>0</v>
      </c>
      <c r="DX153" s="259" t="str">
        <f t="shared" ca="1" si="429"/>
        <v/>
      </c>
      <c r="DY153" s="259" t="str">
        <f t="shared" ca="1" si="430"/>
        <v/>
      </c>
      <c r="DZ153" s="259" t="str">
        <f t="shared" ca="1" si="431"/>
        <v/>
      </c>
      <c r="EB153" s="259" t="s">
        <v>378</v>
      </c>
      <c r="ED153" s="259">
        <f t="shared" ca="1" si="384"/>
        <v>0</v>
      </c>
      <c r="EH153" s="259" t="str">
        <f t="shared" ca="1" si="432"/>
        <v/>
      </c>
      <c r="EI153" s="260" t="b">
        <f t="shared" ca="1" si="466"/>
        <v>1</v>
      </c>
      <c r="EJ153" s="260" t="b">
        <f t="shared" ca="1" si="467"/>
        <v>1</v>
      </c>
      <c r="EK153" s="260" t="b">
        <f t="shared" ca="1" si="468"/>
        <v>1</v>
      </c>
      <c r="EL153" s="259">
        <f t="shared" si="433"/>
        <v>151</v>
      </c>
      <c r="EM153" s="259">
        <f ca="1">IF(AND(BA153&gt;0,BA153&lt;=$EM$1),MAX($EM$2:EM152)+1,0)</f>
        <v>0</v>
      </c>
      <c r="EN153" s="259">
        <f t="shared" ca="1" si="434"/>
        <v>153</v>
      </c>
      <c r="EP153" s="259" t="str">
        <f t="shared" ca="1" si="385"/>
        <v/>
      </c>
      <c r="EQ153" s="259">
        <f t="shared" ca="1" si="386"/>
        <v>0</v>
      </c>
      <c r="ER153" s="259">
        <f ca="1">IF(ISNA(EQ153),MAX(ER$2:ER152)+1,0)</f>
        <v>0</v>
      </c>
      <c r="ES153" s="259" t="str">
        <f t="shared" ca="1" si="435"/>
        <v/>
      </c>
      <c r="ET153" s="259" t="str">
        <f ca="1">IFERROR(UPPER(INDEX($ER$3:$ES$500,MATCH(ROWS(ET$3:ET153),$ER$3:$ER$500,0),2)),"")</f>
        <v/>
      </c>
      <c r="EW153" s="259">
        <f t="shared" ca="1" si="344"/>
        <v>1</v>
      </c>
      <c r="EX153" s="259">
        <v>51</v>
      </c>
      <c r="EY153" s="259">
        <f t="shared" ca="1" si="345"/>
        <v>0</v>
      </c>
      <c r="EZ153" s="259">
        <f t="shared" ca="1" si="346"/>
        <v>0</v>
      </c>
      <c r="FA153" s="259">
        <f t="shared" ca="1" si="347"/>
        <v>0</v>
      </c>
      <c r="FB153" s="259">
        <f t="shared" ca="1" si="348"/>
        <v>0</v>
      </c>
      <c r="FC153" s="259">
        <f t="shared" ca="1" si="349"/>
        <v>0</v>
      </c>
      <c r="FD153" s="259">
        <f t="shared" ca="1" si="387"/>
        <v>0</v>
      </c>
      <c r="FE153" s="259" t="str">
        <f t="shared" ca="1" si="388"/>
        <v/>
      </c>
      <c r="FF153" s="259" t="str">
        <f t="shared" ca="1" si="350"/>
        <v/>
      </c>
      <c r="FM153" s="259">
        <f t="shared" ca="1" si="389"/>
        <v>0</v>
      </c>
      <c r="FN153" s="259">
        <f ca="1">IF(FM153&lt;0,MAX($FN$2:FN152)+1,0)</f>
        <v>0</v>
      </c>
      <c r="FO153" s="259" t="str">
        <f t="shared" ca="1" si="436"/>
        <v/>
      </c>
      <c r="FP153" s="259" t="str">
        <f ca="1">IFERROR(INDEX($FN$3:$FO$400,MATCH(ROWS($FP$3:FP153),$FN$3:$FN$400,0),2),"")</f>
        <v/>
      </c>
      <c r="FQ153" s="259" t="str">
        <f>IF(AE153="SE AVERE",MAX($FQ$2:FQ152)+1,"")</f>
        <v/>
      </c>
      <c r="FR153" s="259">
        <f>IF(AE153="SE DARE",MAX($FR$2:FR152)+1,"")</f>
        <v>58</v>
      </c>
      <c r="FS153" s="259" t="str">
        <f ca="1">IF(AND(AE153="SP DARE",AA153&lt;&gt;$FS$1,AA153&lt;&gt;$FT$1),MAX($FS$2:FS152)+1,IF(AND(GQ153="SP DARE",AA153&lt;&gt;$FS$1,AA153&lt;&gt;$FT$1),MAX($FS$2:FS152)+1,""))</f>
        <v/>
      </c>
      <c r="FT153" s="259" t="str">
        <f ca="1">IF(AND(AE153="SP AVERE",AA153&lt;&gt;$FU$1),MAX($FT$2:FT152)+1,IF(AND(GQ153="SP AVERE",AA153&lt;&gt;$FU$1),MAX($FT$2:FT152)+1,""))</f>
        <v/>
      </c>
      <c r="FU153" s="259">
        <f t="shared" ca="1" si="437"/>
        <v>58</v>
      </c>
      <c r="FV153" s="259" t="str">
        <f t="shared" si="438"/>
        <v>AMMORTAMENTO AUTOMEZZI</v>
      </c>
      <c r="FW153" s="259" t="str">
        <f ca="1">IFERROR(INDEX($FU$3:$FV$500,MATCH(ROWS($FW$3:FW153),$FU$3:$FU$500,0),2),0)</f>
        <v>BANCHE C/C PASSIVI</v>
      </c>
      <c r="FX153" s="259">
        <f t="shared" ca="1" si="439"/>
        <v>151</v>
      </c>
      <c r="FY153" s="259">
        <f t="shared" ca="1" si="440"/>
        <v>0</v>
      </c>
      <c r="FZ153" s="259">
        <f ca="1">IF(FY153&gt;0,MAX($FZ$2:FZ152)+1,0)</f>
        <v>0</v>
      </c>
      <c r="GA153" s="259">
        <f ca="1">IFERROR(INDEX($FY$3:$FZ$500,MATCH(ROWS($GA$3:GA153),$FZ$3:$FZ$500,0),1),0)</f>
        <v>0</v>
      </c>
      <c r="GC153" s="259">
        <f t="shared" ca="1" si="441"/>
        <v>151</v>
      </c>
      <c r="GD153" s="259" t="str">
        <f t="shared" ca="1" si="442"/>
        <v>BANCHE C/C PASSIVI</v>
      </c>
      <c r="GG153" s="259">
        <f t="shared" ca="1" si="443"/>
        <v>0</v>
      </c>
      <c r="GH153" s="259">
        <f t="shared" ca="1" si="444"/>
        <v>0</v>
      </c>
      <c r="GI153" s="259">
        <f t="shared" ca="1" si="445"/>
        <v>0</v>
      </c>
      <c r="GJ153" s="259">
        <f t="shared" ca="1" si="446"/>
        <v>0</v>
      </c>
      <c r="GK153" s="259">
        <f t="shared" ca="1" si="447"/>
        <v>0</v>
      </c>
      <c r="GL153" s="259">
        <f t="shared" ca="1" si="447"/>
        <v>0</v>
      </c>
      <c r="GM153" s="259">
        <f ca="1">IF(OR(GK153&gt;0,GL153&gt;0),MAX($GM$2:GM152)+1,0)</f>
        <v>0</v>
      </c>
      <c r="GN153" s="259" t="str">
        <f ca="1">IFERROR(INDEX($GD$3:$GM$400,MATCH(ROWS($GN$3:GN153),$GM$3:$GM$400,0),1),"")</f>
        <v/>
      </c>
      <c r="GO153" s="259" t="str">
        <f ca="1">IFERROR(INDEX($GD$3:$GM$400,MATCH(ROWS($GO$3:GO153),$GM$3:$GM$400,0),8),"")</f>
        <v/>
      </c>
      <c r="GP153" s="259" t="str">
        <f ca="1">IFERROR(INDEX($GD$3:$GM$400,MATCH(ROWS($GP$3:GP153),$GM$3:$GM$400,0),9),"")</f>
        <v/>
      </c>
      <c r="GQ153" s="259">
        <f t="shared" ca="1" si="390"/>
        <v>0</v>
      </c>
      <c r="GR153" s="259">
        <f t="shared" ca="1" si="448"/>
        <v>0</v>
      </c>
      <c r="GS153" s="259" t="str">
        <f t="shared" ca="1" si="449"/>
        <v>chiusura del conto</v>
      </c>
      <c r="GT153" s="259" t="str">
        <f ca="1">IFERROR(INDEX($GD$3:$GS$400,MATCH(ROWS($GT$3:GT153),$GM$3:$GM$400,0),16),"")</f>
        <v/>
      </c>
      <c r="GU153" s="259">
        <f ca="1">IF(GQ153&lt;&gt;0,MAX($GU$2:$GU152)+1,0)</f>
        <v>0</v>
      </c>
      <c r="GV153" s="259">
        <f t="shared" ca="1" si="450"/>
        <v>0</v>
      </c>
      <c r="GW153" s="259" t="str">
        <f ca="1">IF(AND(IFERROR(INDEX($GU$3:$GV$400,MATCH(ROWS($GW$3:GW153),$GU$3:$GU$400,0),2),"")&lt;&gt;"",GW154&lt;&gt;""),CONCATENATE(IFERROR(INDEX($GU$3:$GV$400,MATCH(ROWS($GW$3:GW153),$GU$3:$GU$400,0),2),"")," - "),IFERROR(INDEX($GU$3:$GV$400,MATCH(ROWS($GW$3:GW153),$GU$3:$GU$400,0),2),""))</f>
        <v/>
      </c>
      <c r="GX153" s="259">
        <f ca="1">IF(OR(GN153="IVA NS/CREDITO",GN153="IVA NS/DEBITO",GN153="IVA C/ACCONTO",GN153="IMPOSTE C/ACCONTO"),MAX($GX$2:GX152)+1,0)</f>
        <v>0</v>
      </c>
      <c r="GY153" s="259" t="str">
        <f ca="1">IF(AND(IFERROR(INDEX($GN$3:$GX$200,MATCH(ROWS($GY$3:GY153),$GX$3:$GX$200,0),1),"")&lt;&gt;"",GY154&lt;&gt;""),CONCATENATE(IFERROR(INDEX($GN$3:$GX$200,MATCH(ROWS($GY$3:GY153),$GX$3:$GX$200,0),1),"")," - "),IFERROR(INDEX($GN$3:$GX$200,MATCH(ROWS($GY$3:GY153),$GX$3:$GX$200,0),1),""))</f>
        <v/>
      </c>
      <c r="GZ153" s="259" t="s">
        <v>578</v>
      </c>
      <c r="HA153" s="259" t="s">
        <v>158</v>
      </c>
      <c r="HB153" s="269" t="s">
        <v>256</v>
      </c>
      <c r="HC153" s="269" t="s">
        <v>276</v>
      </c>
      <c r="HD153" s="269" t="s">
        <v>7</v>
      </c>
      <c r="HE153" s="269" t="s">
        <v>214</v>
      </c>
      <c r="HG153" s="270"/>
      <c r="HV153" s="259" t="str">
        <f ca="1">CONCATENATE(IFERROR(INDEX($HS$3:$HT$102,MATCH(ROWS($HV$3:HV153),$HT$3:$HT$102,0),1),""),HR153)</f>
        <v/>
      </c>
      <c r="IC153" s="259">
        <f ca="1">IFERROR(INDEX(PIANO_DEI_CONTI,MATCH(ROWS(DL$3:DL153),$DK$3:DK380,0),2),0)</f>
        <v>0</v>
      </c>
      <c r="ID153" s="259">
        <f t="shared" ca="1" si="451"/>
        <v>0</v>
      </c>
      <c r="IE153" s="259">
        <f t="shared" ca="1" si="452"/>
        <v>0</v>
      </c>
      <c r="IF153" s="259">
        <f t="shared" ca="1" si="453"/>
        <v>0</v>
      </c>
      <c r="IG153" s="259">
        <f t="shared" ca="1" si="479"/>
        <v>0</v>
      </c>
      <c r="IH153" s="259">
        <f ca="1">IF(IG153&lt;&gt;0,MAX($IH$35:IH152)+1,0)</f>
        <v>0</v>
      </c>
      <c r="II153" s="259">
        <f>IF(AD153="costi pluriennali",MAX($II$2:II152)+1,0)</f>
        <v>0</v>
      </c>
      <c r="IJ153" s="259">
        <f>IF($AD153="rettifiche costi pluriennali",MAX($IJ$2:IJ152)+1,0)</f>
        <v>0</v>
      </c>
      <c r="IK153" s="259">
        <f t="shared" si="454"/>
        <v>0</v>
      </c>
      <c r="IL153" s="259" t="str">
        <f t="shared" si="455"/>
        <v/>
      </c>
      <c r="IM153" s="259">
        <f t="shared" ca="1" si="456"/>
        <v>0</v>
      </c>
      <c r="IN153" s="259">
        <f t="shared" ca="1" si="470"/>
        <v>0</v>
      </c>
      <c r="IO153" s="259">
        <f>SUMIFS($IM$3:$IM$200,$IK$3:$IK$200,ROWS($IO$3:IO153))-SUMIFS($IN$3:$IN$200,$IK$3:$IK$200,ROWS($IO$3:IO153))</f>
        <v>0</v>
      </c>
      <c r="IP153" s="259" t="str">
        <f>IF(IO153&lt;0,INDEX($IJ$3:$IL$200,MATCH(ROWS($IP$3:IP153),$IJ$3:$IJ$200,0),3),"")</f>
        <v/>
      </c>
      <c r="IQ153" s="259">
        <f>IF(IP153&lt;&gt;"",MAX($IQ$2:IQ152)+1,0)</f>
        <v>0</v>
      </c>
      <c r="IR153" s="259" t="str">
        <f ca="1">IFERROR(INDEX($IP$3:$IQ$200,MATCH(ROWS($IR$3:IR153),$IQ$3:$IQ$200,0),1),"")</f>
        <v/>
      </c>
      <c r="IS153" s="259" t="str">
        <f t="shared" ca="1" si="457"/>
        <v/>
      </c>
      <c r="IT153" s="259" t="str">
        <f t="shared" ca="1" si="458"/>
        <v/>
      </c>
      <c r="IU153" s="259" t="str">
        <f t="shared" ca="1" si="459"/>
        <v/>
      </c>
      <c r="IV153" s="259" t="str">
        <f t="shared" ca="1" si="460"/>
        <v/>
      </c>
      <c r="IW153" s="259" t="str">
        <f t="shared" ca="1" si="461"/>
        <v/>
      </c>
      <c r="IX153" s="259" t="str">
        <f t="shared" ca="1" si="462"/>
        <v/>
      </c>
      <c r="IY153" s="259" t="str">
        <f t="shared" ca="1" si="463"/>
        <v/>
      </c>
      <c r="IZ153" s="259" t="str">
        <f t="shared" ca="1" si="464"/>
        <v/>
      </c>
      <c r="JA153" s="259" t="str">
        <f t="shared" ca="1" si="465"/>
        <v/>
      </c>
      <c r="JB153" s="259">
        <f t="shared" ca="1" si="391"/>
        <v>0</v>
      </c>
      <c r="JC153" s="259">
        <f t="shared" ca="1" si="351"/>
        <v>0</v>
      </c>
      <c r="JD153" s="259">
        <f t="shared" ca="1" si="352"/>
        <v>0</v>
      </c>
      <c r="JM153" s="259">
        <f t="shared" ca="1" si="353"/>
        <v>0</v>
      </c>
    </row>
    <row r="154" spans="1:273">
      <c r="A154" s="259" t="str">
        <f t="shared" si="392"/>
        <v>31.13</v>
      </c>
      <c r="B154" s="259" t="str">
        <f t="shared" si="393"/>
        <v>PROVVIGIONI PASSIVE</v>
      </c>
      <c r="C154" s="259" t="str">
        <f t="shared" si="394"/>
        <v>E</v>
      </c>
      <c r="D154" s="259" t="str">
        <f t="shared" si="395"/>
        <v>D</v>
      </c>
      <c r="E154" s="259" t="str">
        <f t="shared" si="396"/>
        <v>COSTI D'ESERCIZIO</v>
      </c>
      <c r="F154" s="259" t="str">
        <f t="shared" si="397"/>
        <v>SE DARE</v>
      </c>
      <c r="G154" s="259">
        <f t="shared" ca="1" si="398"/>
        <v>1</v>
      </c>
      <c r="H154" s="259">
        <f t="shared" ca="1" si="399"/>
        <v>1</v>
      </c>
      <c r="I154" s="259">
        <f t="shared" ca="1" si="400"/>
        <v>1</v>
      </c>
      <c r="K154" s="259" t="str">
        <f ca="1">IFERROR(IF($I$1=1,INDEX($AA$3:$AS$220,MATCH(ROWS($K$3:K154),$AQ$3:$AQ$220,0),1),IF($I$1=2,INDEX($AA$3:$AS$220,MATCH(ROWS($K$3:K154),$AR$3:$AR$220,0),1),IF($I$1=3,INDEX($AA$3:$AS$220,MATCH(ROWS($K$3:K154),$AS$3:$AS$220,0),1),""))),"")</f>
        <v>MERCI C/RIMANENZE FINALI</v>
      </c>
      <c r="L154" s="259">
        <f ca="1">IF(AND($L$1="VISUALIZZA TUTTI I CONTI",K154&lt;&gt;""),MAX(L153:L153)+1,IFERROR(IF($J$1=1,IF(INDEX(PIANO_DEI_CONTI,MATCH($K154,DENOMINAZIONE,0),5)=$L$1,MAX($L$2:L153)+1,0),IF($J$1=2,IF(INDEX(PIANO_DEI_CONTI,MATCH($K154,DENOMINAZIONE,0),7)=$L$1,MAX($L$2:L153)+1,0))),0))</f>
        <v>152</v>
      </c>
      <c r="M154" s="259" t="str">
        <f ca="1">IFERROR(INDEX($K$3:$K$220,MATCH(ROWS($M$3:M154),$L$3:$L$220,0),1),"")</f>
        <v>MERCI C/RIMANENZE FINALI</v>
      </c>
      <c r="R154" s="259" t="str">
        <f t="shared" ca="1" si="366"/>
        <v/>
      </c>
      <c r="S154" s="259">
        <f ca="1">IF(IFERROR(MATCH(R154,DENOMINAZIONE_GIORNALE,0),0)&gt;0,MAX(S$2:S153)+1,0)</f>
        <v>0</v>
      </c>
      <c r="T154" s="259" t="str">
        <f ca="1">IFERROR(INDEX($R$3:$S$220,MATCH(ROWS($T$3:T154),$S$3:$S$220,0),1),"")</f>
        <v/>
      </c>
      <c r="U154" s="259">
        <f t="shared" ca="1" si="367"/>
        <v>0</v>
      </c>
      <c r="V154" s="259">
        <f ca="1">IF(IF(U154&lt;&gt;0,MAX($V$2:V153)+1,0)=0,0,IF(U154&lt;&gt;0,MAX($V$2:V153)+1,0))</f>
        <v>0</v>
      </c>
      <c r="W154" s="259" t="str">
        <f t="shared" si="401"/>
        <v>31.13</v>
      </c>
      <c r="X154" s="259" t="str">
        <f t="shared" si="402"/>
        <v>PROVVIGIONI PASSIVE</v>
      </c>
      <c r="Y154" s="259">
        <f>IF(W154="",0,MAX($Y$2:Y153)+1)</f>
        <v>132</v>
      </c>
      <c r="Z154" s="259" t="str">
        <f>IFERROR(INDEX($W$3:$Y$220,MATCH(ROWS($Z$2:Z153),$Y$3:$Y$220,0),1),"")</f>
        <v>35.08</v>
      </c>
      <c r="AA154" s="259" t="str">
        <f t="shared" si="403"/>
        <v>AMMORTAMENTO IMBALLAGGI DUREVOLI</v>
      </c>
      <c r="AB154" s="259" t="str">
        <f t="shared" si="404"/>
        <v>E</v>
      </c>
      <c r="AC154" s="259" t="str">
        <f t="shared" si="405"/>
        <v>D</v>
      </c>
      <c r="AD154" s="259" t="str">
        <f t="shared" si="406"/>
        <v>COSTI D'ESERCIZIO</v>
      </c>
      <c r="AE154" s="259" t="str">
        <f t="shared" si="407"/>
        <v>SE DARE</v>
      </c>
      <c r="AF154" s="259" t="str">
        <f t="shared" si="408"/>
        <v>AMMORTAMENTI IMMOBILIZZAZIONI MATERIALI</v>
      </c>
      <c r="AG154" s="259">
        <f t="shared" ca="1" si="409"/>
        <v>0</v>
      </c>
      <c r="AH154" s="259">
        <f t="shared" ca="1" si="410"/>
        <v>0</v>
      </c>
      <c r="AI154" s="259">
        <f t="shared" ca="1" si="411"/>
        <v>1</v>
      </c>
      <c r="AJ154" s="259" t="str">
        <f t="shared" si="412"/>
        <v>35</v>
      </c>
      <c r="AK154" s="259" t="str">
        <f t="shared" si="413"/>
        <v/>
      </c>
      <c r="AL154" s="259">
        <f>IF(AK154&lt;&gt;"",MAX($AL$2:AL153)+1,0)</f>
        <v>0</v>
      </c>
      <c r="AM154" s="259" t="str">
        <f>IFERROR(INDEX($AK$3:$AL$220,MATCH(ROWS($AM$3:AM154),$AL$3:$AL$220,0),1),"")</f>
        <v/>
      </c>
      <c r="AN154" s="259" t="str">
        <f t="shared" si="414"/>
        <v/>
      </c>
      <c r="AO154" s="259" t="str">
        <f t="shared" si="415"/>
        <v/>
      </c>
      <c r="AP154" s="259" t="str">
        <f t="shared" si="416"/>
        <v>AMMORTAMENTI IMMOBILIZZAZIONI MATERIALI</v>
      </c>
      <c r="AQ154" s="259">
        <f ca="1">IF(OR(AG154=0,AG154=""),0,MAX(AQ$2:AQ153)+1)</f>
        <v>0</v>
      </c>
      <c r="AR154" s="259">
        <f ca="1">IF(OR(AH154=0,AH154=""),0,MAX(AR$2:AR153)+1)</f>
        <v>0</v>
      </c>
      <c r="AS154" s="259">
        <f ca="1">IF(OR(AI154=0,AI154=""),0,MAX(AS$2:AS153)+1)</f>
        <v>148</v>
      </c>
      <c r="AT154" s="259" t="str">
        <f ca="1">IFERROR(INDEX($AD$3:$AS$220,MATCH(ROWS(AT$3:AT154),AQ$3:AQ$220,0),1),"")</f>
        <v/>
      </c>
      <c r="AU154" s="259" t="str">
        <f ca="1">IFERROR(INDEX($AD$3:$AS$220,MATCH(ROWS(AU$3:AU154),AR$3:AR$220,0),1),"")</f>
        <v/>
      </c>
      <c r="AV154" s="259" t="str">
        <f ca="1">IFERROR(INDEX($AD$3:$AS$220,MATCH(ROWS(AV$3:AV154),AS$3:AS$220,0),1),"")</f>
        <v>RETTIFICHE COSTI D'ESERCIZIO</v>
      </c>
      <c r="AW154" s="259" t="str">
        <f ca="1">IFERROR(INDEX($AP$3:$AS$220,MATCH(ROWS(AW$3:AW154),AQ$3:AQ$220,0),1),"")</f>
        <v/>
      </c>
      <c r="AX154" s="259" t="str">
        <f ca="1">IFERROR(INDEX($AP$3:$AS$220,MATCH(ROWS(AX$3:AX154),AR$3:AR$220,0),1),"")</f>
        <v/>
      </c>
      <c r="AY154" s="259" t="str">
        <f ca="1">IFERROR(INDEX($AP$3:$AS$220,MATCH(ROWS(AY$3:AY154),AS$3:AS$220,0),1),"")</f>
        <v>VARIAZIONI RIMANENZE MERCI E MATERIE DI CONSUMO</v>
      </c>
      <c r="AZ154" s="259" t="str">
        <f t="shared" si="339"/>
        <v>52 V.I.</v>
      </c>
      <c r="BA154" s="259">
        <f t="shared" ca="1" si="338"/>
        <v>0</v>
      </c>
      <c r="BB154" s="259">
        <f t="shared" ca="1" si="340"/>
        <v>0</v>
      </c>
      <c r="BC154" s="259">
        <f t="shared" ca="1" si="341"/>
        <v>0</v>
      </c>
      <c r="BD154" s="259">
        <f t="shared" ca="1" si="342"/>
        <v>0</v>
      </c>
      <c r="BE154" s="259">
        <f t="shared" ca="1" si="343"/>
        <v>0</v>
      </c>
      <c r="BG154" s="259" t="str">
        <f t="shared" ca="1" si="368"/>
        <v/>
      </c>
      <c r="BH154" s="259">
        <f ca="1">IF(IFERROR(MATCH(BG154,DENOMINAZIONE_GIORNALE,0),0)&gt;0,MAX(BH$2:BH153)+1,0)</f>
        <v>0</v>
      </c>
      <c r="BI154" s="259" t="str">
        <f ca="1">IFERROR(INDEX($BG$3:$BH$220,MATCH(ROWS($BI$3:BI154),$BH$3:$BH$220,0),1),"")</f>
        <v/>
      </c>
      <c r="BJ154" s="259" t="str">
        <f t="shared" ca="1" si="369"/>
        <v/>
      </c>
      <c r="BK154" s="259" t="str">
        <f ca="1">IF(IF(BJ154&lt;&gt;"",MAX($BK$2:BK153)+1,0)=0,"",IF(BJ154&lt;&gt;"",MAX($BK$2:BK153)+1,0))</f>
        <v/>
      </c>
      <c r="BL154" s="259" t="str">
        <f ca="1">IFERROR(INDEX($T$3:$U$220, MATCH(ROWS(BL$3:BL154),$V$3:$V$220,0),1),"")</f>
        <v/>
      </c>
      <c r="BM154" s="259" t="str">
        <f ca="1">IFERROR(INDEX($T$3:$U$220, MATCH(ROWS(BM$3:BM154),$V$3:$V$220,0),2),"")</f>
        <v/>
      </c>
      <c r="BN154" s="259" t="str">
        <f ca="1">IF(IFERROR(INDEX($BI$3:$BJ$220,MATCH(ROWS(BN$3:BN154),$BK$3:$BK$220,0),1),"")="PATRIMONIO NETTO","",IFERROR(INDEX($BI$3:$BJ$220,MATCH(ROWS(BN$3:BN154),$BK$3:$BK$220,0),1),""))</f>
        <v/>
      </c>
      <c r="BO154" s="259" t="str">
        <f ca="1">IFERROR(INDEX($BI$3:$BJ$220,MATCH(ROWS(BO$3:BO154),$BK$3:$BK$220,0),2),"")</f>
        <v/>
      </c>
      <c r="BP154" s="259">
        <f ca="1">IF(BN154&lt;&gt;"",MAX(BP$2:$BP153)+1,0)</f>
        <v>0</v>
      </c>
      <c r="BQ154" s="259" t="str">
        <f ca="1">IFERROR(INDEX($BN$3:$BO$200,MATCH(ROWS(BQ$3:BQ154),$BP$3:$BP$220,0),1),"")</f>
        <v/>
      </c>
      <c r="BR154" s="259" t="str">
        <f ca="1">IFERROR(INDEX($BN$3:$BO$220,MATCH(ROWS(BR$3:BR154),$BP$3:$BP$220,0),2),"")</f>
        <v/>
      </c>
      <c r="BS154" s="259" t="str">
        <f ca="1">IFERROR(IF(OR(INDEX($T$3:$U$220,MATCH(ROWS(BL$3:BL154),$V$3:$V$220,0),1)="PRELEVAMENTI EXTRAGESTIONE",INDEX($T$3:$U$220,MATCH(ROWS(BL$3:BL154),$V$3:$V$220,0),1)="TITOLARE C/RITENUTE SUBITE"),"",INDEX($T$3:$U$220,MATCH(ROWS(BL$3:BL154),$V$3:$V$220,0),1)),"")</f>
        <v/>
      </c>
      <c r="BT154" s="259">
        <f t="shared" ca="1" si="417"/>
        <v>0</v>
      </c>
      <c r="BU154" s="259">
        <f ca="1">IF(BS154&lt;&gt;"",MAX(BU$2:BU153)+1,0)</f>
        <v>0</v>
      </c>
      <c r="BV154" s="259" t="str">
        <f ca="1">IFERROR(INDEX($BS$3:$BT$223,MATCH(ROWS(BV$3:BV154),$BU$3:$BU$223,0),1),"")</f>
        <v/>
      </c>
      <c r="BW154" s="259">
        <f t="shared" ca="1" si="418"/>
        <v>0</v>
      </c>
      <c r="CB154" s="259" t="str">
        <f ca="1">IFERROR(IF(OR($BB$1&lt;&gt;$BD$1,$BC$1&lt;&gt;$BE$1,$DS$231&lt;&gt;$DT$231,$DU$231&lt;&gt;$DV$231,$EO$25&lt;&gt;0,$EO$26&lt;&gt;0),INDEX($BI$3:$BK$220,MATCH(ROWS($CB$3:CB154),$BK$3:$BK$220,0),1),CONCATENATE(BQ154,BX154)),"")</f>
        <v/>
      </c>
      <c r="CC154" s="259" t="str">
        <f t="shared" ca="1" si="419"/>
        <v/>
      </c>
      <c r="CD154" s="259" t="str">
        <f t="shared" ca="1" si="370"/>
        <v>AMMORTAMENTO IMBALLAGGI DUREVOLI</v>
      </c>
      <c r="CE154" s="259">
        <f ca="1">IF(IFERROR(MATCH(CD154,DENOMINAZIONE_GIORNALE,0),0)&gt;0,MAX(CE$2:CE153)+1,0)</f>
        <v>0</v>
      </c>
      <c r="CF154" s="259" t="str">
        <f ca="1">IFERROR(INDEX($CD$3:$CE$220,MATCH(ROWS($CF$3:CF154),$CE$3:$CE$220,0),1),"")</f>
        <v/>
      </c>
      <c r="CG154" s="259">
        <f t="shared" ca="1" si="371"/>
        <v>0</v>
      </c>
      <c r="CH154" s="259" t="str">
        <f ca="1">IF(IF(CG154&lt;&gt;0,MAX($CH$2:CH153)+1,0)=0,"",IF(CG154&lt;&gt;"",MAX($CH$2:CH153)+1,0))</f>
        <v/>
      </c>
      <c r="CI154" s="259" t="str">
        <f ca="1">IFERROR(INDEX($CF$3:$CG$220,MATCH(ROWS($CI$3:CI154),$CH$3:$CH$220,0),1),"")</f>
        <v/>
      </c>
      <c r="CJ154" s="259" t="str">
        <f t="shared" ca="1" si="420"/>
        <v/>
      </c>
      <c r="CK154" s="259" t="str">
        <f t="shared" ca="1" si="372"/>
        <v/>
      </c>
      <c r="CL154" s="259">
        <f ca="1">IF(IFERROR(MATCH(CK154,DENOMINAZIONE_GIORNALE,0),0)&gt;0,MAX(CL$2:CL153)+1,0)</f>
        <v>0</v>
      </c>
      <c r="CM154" s="259" t="str">
        <f ca="1">IFERROR(INDEX($CK$3:$CL$220,MATCH(ROWS($CM$3:CM154),$CL$3:$CL$220,0),1),"")</f>
        <v/>
      </c>
      <c r="CN154" s="259" t="str">
        <f t="shared" ca="1" si="373"/>
        <v/>
      </c>
      <c r="CO154" s="259">
        <f ca="1">IF(IF(CN154&lt;&gt;0,MAX($CO$2:CO153)+1,0)=0,"",IF(CN154&lt;&gt;"",MAX($CO$2:CO153)+1,0))</f>
        <v>0</v>
      </c>
      <c r="CP154" s="259" t="str">
        <f ca="1">IFERROR(INDEX($CM$3:$CN$220,MATCH(ROWS(CP$3:CP154),$CO$3:$CO$220,0),1),"")</f>
        <v/>
      </c>
      <c r="CQ154" s="259" t="str">
        <f ca="1">IFERROR(INDEX($CM$3:$CN$220,MATCH(ROWS(CQ$3:CQ154),$CO$3:$CO$220,0),2),"")</f>
        <v/>
      </c>
      <c r="CS154" s="259">
        <f t="shared" ca="1" si="374"/>
        <v>0</v>
      </c>
      <c r="CT154" s="259">
        <f t="shared" ca="1" si="375"/>
        <v>0</v>
      </c>
      <c r="CU154" s="259">
        <f ca="1">IF(OR(CS154&gt;0,CT154&gt;0),MAX($CU$2:CU153)+1,0)</f>
        <v>0</v>
      </c>
      <c r="CV154" s="259" t="str">
        <f ca="1">IFERROR(INDEX(PIANO_DEI_CONTI,MATCH(ROWS($CV$3:CV154),$CU$3:$CU$200,0),2),"")</f>
        <v/>
      </c>
      <c r="CW154" s="259">
        <f ca="1">IFERROR(IF(CV154&lt;&gt;"",MAX($CW$2:CW153)+1,0),0)</f>
        <v>0</v>
      </c>
      <c r="CX154" s="259">
        <f t="shared" ca="1" si="472"/>
        <v>9</v>
      </c>
      <c r="CY154" s="259" t="str">
        <f t="shared" ca="1" si="469"/>
        <v>MASTRO</v>
      </c>
      <c r="CZ154" s="259" t="e">
        <f t="shared" ca="1" si="474"/>
        <v>#N/A</v>
      </c>
      <c r="DA154" s="259" t="str">
        <f t="shared" ca="1" si="480"/>
        <v/>
      </c>
      <c r="DB154" s="259" t="str">
        <f t="shared" ca="1" si="475"/>
        <v/>
      </c>
      <c r="DC154" s="259" t="str">
        <f t="shared" ca="1" si="476"/>
        <v/>
      </c>
      <c r="DD154" s="259" t="str">
        <f t="shared" ca="1" si="477"/>
        <v/>
      </c>
      <c r="DE154" s="259" t="str">
        <f t="shared" ca="1" si="478"/>
        <v/>
      </c>
      <c r="DF154" s="259">
        <f ca="1">IF(AND(CX154=$DE$2,$DF$2&lt;&gt;0),0,IF(AND(DB154&lt;&gt;"",OR(DB153&lt;&gt;"",DB155&lt;&gt;"")),MAX($DF$2:DF153)+1,0))</f>
        <v>0</v>
      </c>
      <c r="DG154" s="259" t="str">
        <f>IF(IF(LIBRO_GIORNALE!E62="","",IFERROR(INDEX(PIANO_DEI_CONTI,MATCH(BB154,DENOMINAZIONE,0),1),0))=0,"",IF(LIBRO_GIORNALE!E62="","",IFERROR(INDEX(PIANO_DEI_CONTI,MATCH(BB154,DENOMINAZIONE,0),1),0)))</f>
        <v/>
      </c>
      <c r="DH154" s="259">
        <f ca="1">IFERROR(IF($J$1=1,IF(INDEX(PIANO_DEI_CONTI,MATCH($K154,DENOMINAZIONE,0),5)=$DF$1,MAX($DH$2:DH153)+1,0),IF($J$1=2,IF(INDEX(PIANO_DEI_CONTI,MATCH($K154,DENOMINAZIONE,0),7)=$DF$1,MAX($DH$2:DH153)+1,0))),0)</f>
        <v>0</v>
      </c>
      <c r="DI154" s="259">
        <f ca="1">IFERROR(INDEX($K$3:$K$220,MATCH(ROWS($DI$3:DI154),$DH$3:$DH$220,0),1),0)</f>
        <v>0</v>
      </c>
      <c r="DJ154" s="259">
        <f t="shared" ca="1" si="381"/>
        <v>0</v>
      </c>
      <c r="DK154" s="259">
        <f ca="1">IF(DJ154=0,0,MAX(DK$2:DK153)+1)</f>
        <v>0</v>
      </c>
      <c r="DL154" s="259">
        <f ca="1">IFERROR(INDEX(PIANO_DEI_CONTI,MATCH(ROWS(DL$3:DL154),$DK$3:DK381,0),2),0)</f>
        <v>0</v>
      </c>
      <c r="DM154" s="259">
        <f t="shared" ca="1" si="382"/>
        <v>0</v>
      </c>
      <c r="DN154" s="259">
        <f t="shared" ca="1" si="383"/>
        <v>0</v>
      </c>
      <c r="DO154" s="259">
        <f t="shared" ca="1" si="422"/>
        <v>0</v>
      </c>
      <c r="DP154" s="259">
        <f t="shared" ca="1" si="423"/>
        <v>0</v>
      </c>
      <c r="DQ154" s="259">
        <f ca="1">IF(OR($DQ$1="TOTALI",$DQ$1="TOTALI ED ECCEDENZE"),IF(OR(DM154&gt;0,DN154&gt;0),MAX(DQ$2:DQ153)+1,0),IF($DQ$1="ECCEDENZE",IF(OR(DO154&gt;0,DP154&gt;0),MAX(DQ$2:DQ153)+1,0),""))</f>
        <v>0</v>
      </c>
      <c r="DR154" s="259" t="str">
        <f ca="1">IFERROR(INDEX($DL$3:$DQ$230,MATCH(ROWS(DR$3:DR154),$DQ$3:$DQ$230,0),1),"")</f>
        <v/>
      </c>
      <c r="DS154" s="259" t="str">
        <f t="shared" ca="1" si="424"/>
        <v/>
      </c>
      <c r="DT154" s="259" t="str">
        <f t="shared" ca="1" si="425"/>
        <v/>
      </c>
      <c r="DU154" s="259" t="str">
        <f t="shared" ca="1" si="426"/>
        <v/>
      </c>
      <c r="DV154" s="259" t="str">
        <f t="shared" ca="1" si="427"/>
        <v/>
      </c>
      <c r="DW154" s="259">
        <f t="shared" ca="1" si="428"/>
        <v>0</v>
      </c>
      <c r="DX154" s="259" t="str">
        <f t="shared" ca="1" si="429"/>
        <v/>
      </c>
      <c r="DY154" s="259" t="str">
        <f t="shared" ca="1" si="430"/>
        <v/>
      </c>
      <c r="DZ154" s="259" t="str">
        <f t="shared" ca="1" si="431"/>
        <v/>
      </c>
      <c r="EB154" s="259" t="s">
        <v>378</v>
      </c>
      <c r="ED154" s="259">
        <f t="shared" ca="1" si="384"/>
        <v>0</v>
      </c>
      <c r="EH154" s="259" t="str">
        <f t="shared" ca="1" si="432"/>
        <v/>
      </c>
      <c r="EI154" s="260" t="b">
        <f t="shared" ca="1" si="466"/>
        <v>1</v>
      </c>
      <c r="EJ154" s="260" t="b">
        <f t="shared" ca="1" si="467"/>
        <v>1</v>
      </c>
      <c r="EK154" s="260" t="b">
        <f t="shared" ca="1" si="468"/>
        <v>1</v>
      </c>
      <c r="EL154" s="259">
        <f t="shared" si="433"/>
        <v>152</v>
      </c>
      <c r="EM154" s="259">
        <f ca="1">IF(AND(BA154&gt;0,BA154&lt;=$EM$1),MAX($EM$2:EM153)+1,0)</f>
        <v>0</v>
      </c>
      <c r="EN154" s="259">
        <f t="shared" ca="1" si="434"/>
        <v>154</v>
      </c>
      <c r="EP154" s="259" t="str">
        <f t="shared" ca="1" si="385"/>
        <v/>
      </c>
      <c r="EQ154" s="259">
        <f t="shared" ca="1" si="386"/>
        <v>0</v>
      </c>
      <c r="ER154" s="259">
        <f ca="1">IF(ISNA(EQ154),MAX(ER$2:ER153)+1,0)</f>
        <v>0</v>
      </c>
      <c r="ES154" s="259" t="str">
        <f t="shared" ca="1" si="435"/>
        <v/>
      </c>
      <c r="ET154" s="259" t="str">
        <f ca="1">IFERROR(UPPER(INDEX($ER$3:$ES$500,MATCH(ROWS(ET$3:ET154),$ER$3:$ER$500,0),2)),"")</f>
        <v/>
      </c>
      <c r="EW154" s="259">
        <f t="shared" ca="1" si="344"/>
        <v>1</v>
      </c>
      <c r="EX154" s="259">
        <v>52</v>
      </c>
      <c r="EY154" s="259">
        <f t="shared" ca="1" si="345"/>
        <v>0</v>
      </c>
      <c r="EZ154" s="259">
        <f t="shared" ca="1" si="346"/>
        <v>0</v>
      </c>
      <c r="FA154" s="259">
        <f t="shared" ca="1" si="347"/>
        <v>0</v>
      </c>
      <c r="FB154" s="259">
        <f t="shared" ca="1" si="348"/>
        <v>0</v>
      </c>
      <c r="FC154" s="259">
        <f t="shared" ca="1" si="349"/>
        <v>0</v>
      </c>
      <c r="FD154" s="259">
        <f t="shared" ca="1" si="387"/>
        <v>0</v>
      </c>
      <c r="FE154" s="259" t="str">
        <f t="shared" ca="1" si="388"/>
        <v/>
      </c>
      <c r="FF154" s="259" t="str">
        <f t="shared" ca="1" si="350"/>
        <v/>
      </c>
      <c r="FM154" s="259">
        <f t="shared" ca="1" si="389"/>
        <v>0</v>
      </c>
      <c r="FN154" s="259">
        <f ca="1">IF(FM154&lt;0,MAX($FN$2:FN153)+1,0)</f>
        <v>0</v>
      </c>
      <c r="FO154" s="259" t="str">
        <f t="shared" ca="1" si="436"/>
        <v/>
      </c>
      <c r="FP154" s="259" t="str">
        <f ca="1">IFERROR(INDEX($FN$3:$FO$400,MATCH(ROWS($FP$3:FP154),$FN$3:$FN$400,0),2),"")</f>
        <v/>
      </c>
      <c r="FQ154" s="259" t="str">
        <f>IF(AE154="SE AVERE",MAX($FQ$2:FQ153)+1,"")</f>
        <v/>
      </c>
      <c r="FR154" s="259">
        <f>IF(AE154="SE DARE",MAX($FR$2:FR153)+1,"")</f>
        <v>59</v>
      </c>
      <c r="FS154" s="259" t="str">
        <f ca="1">IF(AND(AE154="SP DARE",AA154&lt;&gt;$FS$1,AA154&lt;&gt;$FT$1),MAX($FS$2:FS153)+1,IF(AND(GQ154="SP DARE",AA154&lt;&gt;$FS$1,AA154&lt;&gt;$FT$1),MAX($FS$2:FS153)+1,""))</f>
        <v/>
      </c>
      <c r="FT154" s="259" t="str">
        <f ca="1">IF(AND(AE154="SP AVERE",AA154&lt;&gt;$FU$1),MAX($FT$2:FT153)+1,IF(AND(GQ154="SP AVERE",AA154&lt;&gt;$FU$1),MAX($FT$2:FT153)+1,""))</f>
        <v/>
      </c>
      <c r="FU154" s="259">
        <f t="shared" ca="1" si="437"/>
        <v>59</v>
      </c>
      <c r="FV154" s="259" t="str">
        <f t="shared" si="438"/>
        <v>AMMORTAMENTO IMBALLAGGI DUREVOLI</v>
      </c>
      <c r="FW154" s="259" t="str">
        <f ca="1">IFERROR(INDEX($FU$3:$FV$500,MATCH(ROWS($FW$3:FW154),$FU$3:$FU$500,0),2),0)</f>
        <v>BANCHE C/INTERESSI MATURATI</v>
      </c>
      <c r="FX154" s="259">
        <f t="shared" ca="1" si="439"/>
        <v>152</v>
      </c>
      <c r="FY154" s="259">
        <f t="shared" ca="1" si="440"/>
        <v>0</v>
      </c>
      <c r="FZ154" s="259">
        <f ca="1">IF(FY154&gt;0,MAX($FZ$2:FZ153)+1,0)</f>
        <v>0</v>
      </c>
      <c r="GA154" s="259">
        <f ca="1">IFERROR(INDEX($FY$3:$FZ$500,MATCH(ROWS($GA$3:GA154),$FZ$3:$FZ$500,0),1),0)</f>
        <v>0</v>
      </c>
      <c r="GC154" s="259">
        <f t="shared" ca="1" si="441"/>
        <v>152</v>
      </c>
      <c r="GD154" s="259" t="str">
        <f t="shared" ca="1" si="442"/>
        <v>BANCHE C/INTERESSI MATURATI</v>
      </c>
      <c r="GG154" s="259">
        <f t="shared" ca="1" si="443"/>
        <v>0</v>
      </c>
      <c r="GH154" s="259">
        <f t="shared" ca="1" si="444"/>
        <v>0</v>
      </c>
      <c r="GI154" s="259">
        <f t="shared" ca="1" si="445"/>
        <v>0</v>
      </c>
      <c r="GJ154" s="259">
        <f t="shared" ca="1" si="446"/>
        <v>0</v>
      </c>
      <c r="GK154" s="259">
        <f t="shared" ca="1" si="447"/>
        <v>0</v>
      </c>
      <c r="GL154" s="259">
        <f t="shared" ca="1" si="447"/>
        <v>0</v>
      </c>
      <c r="GM154" s="259">
        <f ca="1">IF(OR(GK154&gt;0,GL154&gt;0),MAX($GM$2:GM153)+1,0)</f>
        <v>0</v>
      </c>
      <c r="GN154" s="259" t="str">
        <f ca="1">IFERROR(INDEX($GD$3:$GM$400,MATCH(ROWS($GN$3:GN154),$GM$3:$GM$400,0),1),"")</f>
        <v/>
      </c>
      <c r="GO154" s="259" t="str">
        <f ca="1">IFERROR(INDEX($GD$3:$GM$400,MATCH(ROWS($GO$3:GO154),$GM$3:$GM$400,0),8),"")</f>
        <v/>
      </c>
      <c r="GP154" s="259" t="str">
        <f ca="1">IFERROR(INDEX($GD$3:$GM$400,MATCH(ROWS($GP$3:GP154),$GM$3:$GM$400,0),9),"")</f>
        <v/>
      </c>
      <c r="GQ154" s="259">
        <f t="shared" ca="1" si="390"/>
        <v>0</v>
      </c>
      <c r="GR154" s="259">
        <f t="shared" ca="1" si="448"/>
        <v>0</v>
      </c>
      <c r="GS154" s="259" t="str">
        <f t="shared" ca="1" si="449"/>
        <v>chiusura del conto</v>
      </c>
      <c r="GT154" s="259" t="str">
        <f ca="1">IFERROR(INDEX($GD$3:$GS$400,MATCH(ROWS($GT$3:GT154),$GM$3:$GM$400,0),16),"")</f>
        <v/>
      </c>
      <c r="GU154" s="259">
        <f ca="1">IF(GQ154&lt;&gt;0,MAX($GU$2:$GU153)+1,0)</f>
        <v>0</v>
      </c>
      <c r="GV154" s="259">
        <f t="shared" ca="1" si="450"/>
        <v>0</v>
      </c>
      <c r="GW154" s="259" t="str">
        <f ca="1">IF(AND(IFERROR(INDEX($GU$3:$GV$400,MATCH(ROWS($GW$3:GW154),$GU$3:$GU$400,0),2),"")&lt;&gt;"",GW155&lt;&gt;""),CONCATENATE(IFERROR(INDEX($GU$3:$GV$400,MATCH(ROWS($GW$3:GW154),$GU$3:$GU$400,0),2),"")," - "),IFERROR(INDEX($GU$3:$GV$400,MATCH(ROWS($GW$3:GW154),$GU$3:$GU$400,0),2),""))</f>
        <v/>
      </c>
      <c r="GX154" s="259">
        <f ca="1">IF(OR(GN154="IVA NS/CREDITO",GN154="IVA NS/DEBITO",GN154="IVA C/ACCONTO",GN154="IMPOSTE C/ACCONTO"),MAX($GX$2:GX153)+1,0)</f>
        <v>0</v>
      </c>
      <c r="GY154" s="259" t="str">
        <f ca="1">IF(AND(IFERROR(INDEX($GN$3:$GX$200,MATCH(ROWS($GY$3:GY154),$GX$3:$GX$200,0),1),"")&lt;&gt;"",GY155&lt;&gt;""),CONCATENATE(IFERROR(INDEX($GN$3:$GX$200,MATCH(ROWS($GY$3:GY154),$GX$3:$GX$200,0),1),"")," - "),IFERROR(INDEX($GN$3:$GX$200,MATCH(ROWS($GY$3:GY154),$GX$3:$GX$200,0),1),""))</f>
        <v/>
      </c>
      <c r="GZ154" s="259" t="s">
        <v>579</v>
      </c>
      <c r="HA154" s="259" t="s">
        <v>159</v>
      </c>
      <c r="HB154" s="269" t="s">
        <v>256</v>
      </c>
      <c r="HC154" s="269" t="s">
        <v>276</v>
      </c>
      <c r="HD154" s="269" t="s">
        <v>7</v>
      </c>
      <c r="HE154" s="269" t="s">
        <v>214</v>
      </c>
      <c r="HV154" s="259" t="str">
        <f ca="1">CONCATENATE(IFERROR(INDEX($HS$3:$HT$102,MATCH(ROWS($HV$3:HV154),$HT$3:$HT$102,0),1),""),HR154)</f>
        <v/>
      </c>
      <c r="IC154" s="259">
        <f ca="1">IFERROR(INDEX(PIANO_DEI_CONTI,MATCH(ROWS(DL$3:DL154),$DK$3:DK381,0),2),0)</f>
        <v>0</v>
      </c>
      <c r="ID154" s="259">
        <f t="shared" ca="1" si="451"/>
        <v>0</v>
      </c>
      <c r="IE154" s="259">
        <f t="shared" ca="1" si="452"/>
        <v>0</v>
      </c>
      <c r="IF154" s="259">
        <f t="shared" ca="1" si="453"/>
        <v>0</v>
      </c>
      <c r="IG154" s="259">
        <f t="shared" ca="1" si="479"/>
        <v>0</v>
      </c>
      <c r="IH154" s="259">
        <f ca="1">IF(IG154&lt;&gt;0,MAX($IH$35:IH153)+1,0)</f>
        <v>0</v>
      </c>
      <c r="II154" s="259">
        <f>IF(AD154="costi pluriennali",MAX($II$2:II153)+1,0)</f>
        <v>0</v>
      </c>
      <c r="IJ154" s="259">
        <f>IF($AD154="rettifiche costi pluriennali",MAX($IJ$2:IJ153)+1,0)</f>
        <v>0</v>
      </c>
      <c r="IK154" s="259">
        <f t="shared" si="454"/>
        <v>0</v>
      </c>
      <c r="IL154" s="259" t="str">
        <f t="shared" si="455"/>
        <v/>
      </c>
      <c r="IM154" s="259">
        <f t="shared" ca="1" si="456"/>
        <v>0</v>
      </c>
      <c r="IN154" s="259">
        <f t="shared" ca="1" si="470"/>
        <v>0</v>
      </c>
      <c r="IO154" s="259">
        <f>SUMIFS($IM$3:$IM$200,$IK$3:$IK$200,ROWS($IO$3:IO154))-SUMIFS($IN$3:$IN$200,$IK$3:$IK$200,ROWS($IO$3:IO154))</f>
        <v>0</v>
      </c>
      <c r="IP154" s="259" t="str">
        <f>IF(IO154&lt;0,INDEX($IJ$3:$IL$200,MATCH(ROWS($IP$3:IP154),$IJ$3:$IJ$200,0),3),"")</f>
        <v/>
      </c>
      <c r="IQ154" s="259">
        <f>IF(IP154&lt;&gt;"",MAX($IQ$2:IQ153)+1,0)</f>
        <v>0</v>
      </c>
      <c r="IR154" s="259" t="str">
        <f ca="1">IFERROR(INDEX($IP$3:$IQ$200,MATCH(ROWS($IR$3:IR154),$IQ$3:$IQ$200,0),1),"")</f>
        <v/>
      </c>
      <c r="IS154" s="259" t="str">
        <f t="shared" ca="1" si="457"/>
        <v/>
      </c>
      <c r="IT154" s="259" t="str">
        <f t="shared" ca="1" si="458"/>
        <v/>
      </c>
      <c r="IU154" s="259" t="str">
        <f t="shared" ca="1" si="459"/>
        <v/>
      </c>
      <c r="IV154" s="259" t="str">
        <f t="shared" ca="1" si="460"/>
        <v/>
      </c>
      <c r="IW154" s="259" t="str">
        <f t="shared" ca="1" si="461"/>
        <v/>
      </c>
      <c r="IX154" s="259" t="str">
        <f t="shared" ca="1" si="462"/>
        <v/>
      </c>
      <c r="IY154" s="259" t="str">
        <f t="shared" ca="1" si="463"/>
        <v/>
      </c>
      <c r="IZ154" s="259" t="str">
        <f t="shared" ca="1" si="464"/>
        <v/>
      </c>
      <c r="JA154" s="259" t="str">
        <f t="shared" ca="1" si="465"/>
        <v/>
      </c>
      <c r="JB154" s="259">
        <f t="shared" ca="1" si="391"/>
        <v>0</v>
      </c>
      <c r="JC154" s="259">
        <f t="shared" ca="1" si="351"/>
        <v>0</v>
      </c>
      <c r="JD154" s="259">
        <f t="shared" ca="1" si="352"/>
        <v>0</v>
      </c>
      <c r="JM154" s="259">
        <f t="shared" ca="1" si="353"/>
        <v>0</v>
      </c>
    </row>
    <row r="155" spans="1:273">
      <c r="A155" s="259" t="str">
        <f t="shared" si="392"/>
        <v>31.14</v>
      </c>
      <c r="B155" s="259" t="str">
        <f t="shared" si="393"/>
        <v>COSTI DI INCASSO</v>
      </c>
      <c r="C155" s="259" t="str">
        <f t="shared" si="394"/>
        <v>E</v>
      </c>
      <c r="D155" s="259" t="str">
        <f t="shared" si="395"/>
        <v>D</v>
      </c>
      <c r="E155" s="259" t="str">
        <f t="shared" si="396"/>
        <v>COSTI D'ESERCIZIO</v>
      </c>
      <c r="F155" s="259" t="str">
        <f t="shared" si="397"/>
        <v>SE DARE</v>
      </c>
      <c r="G155" s="259">
        <f t="shared" ca="1" si="398"/>
        <v>1</v>
      </c>
      <c r="H155" s="259">
        <f t="shared" ca="1" si="399"/>
        <v>1</v>
      </c>
      <c r="I155" s="259">
        <f t="shared" ca="1" si="400"/>
        <v>1</v>
      </c>
      <c r="K155" s="259" t="str">
        <f ca="1">IFERROR(IF($I$1=1,INDEX($AA$3:$AS$220,MATCH(ROWS($K$3:K155),$AQ$3:$AQ$220,0),1),IF($I$1=2,INDEX($AA$3:$AS$220,MATCH(ROWS($K$3:K155),$AR$3:$AR$220,0),1),IF($I$1=3,INDEX($AA$3:$AS$220,MATCH(ROWS($K$3:K155),$AS$3:$AS$220,0),1),""))),"")</f>
        <v>MATERIE DI CONSUMO C/RIMANENZE FINALI</v>
      </c>
      <c r="L155" s="259">
        <f ca="1">IF(AND($L$1="VISUALIZZA TUTTI I CONTI",K155&lt;&gt;""),MAX(L154:L154)+1,IFERROR(IF($J$1=1,IF(INDEX(PIANO_DEI_CONTI,MATCH($K155,DENOMINAZIONE,0),5)=$L$1,MAX($L$2:L154)+1,0),IF($J$1=2,IF(INDEX(PIANO_DEI_CONTI,MATCH($K155,DENOMINAZIONE,0),7)=$L$1,MAX($L$2:L154)+1,0))),0))</f>
        <v>153</v>
      </c>
      <c r="M155" s="259" t="str">
        <f ca="1">IFERROR(INDEX($K$3:$K$220,MATCH(ROWS($M$3:M155),$L$3:$L$220,0),1),"")</f>
        <v>MATERIE DI CONSUMO C/RIMANENZE FINALI</v>
      </c>
      <c r="R155" s="259" t="str">
        <f t="shared" ca="1" si="366"/>
        <v/>
      </c>
      <c r="S155" s="259">
        <f ca="1">IF(IFERROR(MATCH(R155,DENOMINAZIONE_GIORNALE,0),0)&gt;0,MAX(S$2:S154)+1,0)</f>
        <v>0</v>
      </c>
      <c r="T155" s="259" t="str">
        <f ca="1">IFERROR(INDEX($R$3:$S$220,MATCH(ROWS($T$3:T155),$S$3:$S$220,0),1),"")</f>
        <v/>
      </c>
      <c r="U155" s="259">
        <f t="shared" ca="1" si="367"/>
        <v>0</v>
      </c>
      <c r="V155" s="259">
        <f ca="1">IF(IF(U155&lt;&gt;0,MAX($V$2:V154)+1,0)=0,0,IF(U155&lt;&gt;0,MAX($V$2:V154)+1,0))</f>
        <v>0</v>
      </c>
      <c r="W155" s="259" t="str">
        <f t="shared" si="401"/>
        <v>31.14</v>
      </c>
      <c r="X155" s="259" t="str">
        <f t="shared" si="402"/>
        <v>COSTI DI INCASSO</v>
      </c>
      <c r="Y155" s="259">
        <f>IF(W155="",0,MAX($Y$2:Y154)+1)</f>
        <v>133</v>
      </c>
      <c r="Z155" s="259" t="str">
        <f>IFERROR(INDEX($W$3:$Y$220,MATCH(ROWS($Z$2:Z154),$Y$3:$Y$220,0),1),"")</f>
        <v>36.20</v>
      </c>
      <c r="AA155" s="259" t="str">
        <f t="shared" si="403"/>
        <v>SVALUTAZIONE CREDITI</v>
      </c>
      <c r="AB155" s="259" t="str">
        <f t="shared" si="404"/>
        <v>E</v>
      </c>
      <c r="AC155" s="259" t="str">
        <f t="shared" si="405"/>
        <v>D</v>
      </c>
      <c r="AD155" s="259" t="str">
        <f t="shared" si="406"/>
        <v>COSTI D'ESERCIZIO</v>
      </c>
      <c r="AE155" s="259" t="str">
        <f t="shared" si="407"/>
        <v>SE DARE</v>
      </c>
      <c r="AF155" s="259" t="str">
        <f t="shared" si="408"/>
        <v>SVALUTAZIONI</v>
      </c>
      <c r="AG155" s="259">
        <f t="shared" ca="1" si="409"/>
        <v>0</v>
      </c>
      <c r="AH155" s="259">
        <f t="shared" ca="1" si="410"/>
        <v>0</v>
      </c>
      <c r="AI155" s="259">
        <f t="shared" ca="1" si="411"/>
        <v>1</v>
      </c>
      <c r="AJ155" s="259" t="str">
        <f t="shared" si="412"/>
        <v>36</v>
      </c>
      <c r="AK155" s="259" t="str">
        <f t="shared" si="413"/>
        <v/>
      </c>
      <c r="AL155" s="259">
        <f>IF(AK155&lt;&gt;"",MAX($AL$2:AL154)+1,0)</f>
        <v>0</v>
      </c>
      <c r="AM155" s="259" t="str">
        <f>IFERROR(INDEX($AK$3:$AL$220,MATCH(ROWS($AM$3:AM155),$AL$3:$AL$220,0),1),"")</f>
        <v/>
      </c>
      <c r="AN155" s="259" t="str">
        <f t="shared" si="414"/>
        <v/>
      </c>
      <c r="AO155" s="259" t="str">
        <f t="shared" si="415"/>
        <v/>
      </c>
      <c r="AP155" s="259" t="str">
        <f t="shared" si="416"/>
        <v>SVALUTAZIONI</v>
      </c>
      <c r="AQ155" s="259">
        <f ca="1">IF(OR(AG155=0,AG155=""),0,MAX(AQ$2:AQ154)+1)</f>
        <v>0</v>
      </c>
      <c r="AR155" s="259">
        <f ca="1">IF(OR(AH155=0,AH155=""),0,MAX(AR$2:AR154)+1)</f>
        <v>0</v>
      </c>
      <c r="AS155" s="259">
        <f ca="1">IF(OR(AI155=0,AI155=""),0,MAX(AS$2:AS154)+1)</f>
        <v>149</v>
      </c>
      <c r="AT155" s="259" t="str">
        <f ca="1">IFERROR(INDEX($AD$3:$AS$220,MATCH(ROWS(AT$3:AT155),AQ$3:AQ$220,0),1),"")</f>
        <v/>
      </c>
      <c r="AU155" s="259" t="str">
        <f ca="1">IFERROR(INDEX($AD$3:$AS$220,MATCH(ROWS(AU$3:AU155),AR$3:AR$220,0),1),"")</f>
        <v/>
      </c>
      <c r="AV155" s="259" t="str">
        <f ca="1">IFERROR(INDEX($AD$3:$AS$220,MATCH(ROWS(AV$3:AV155),AS$3:AS$220,0),1),"")</f>
        <v>RETTIFICHE COSTI D'ESERCIZIO</v>
      </c>
      <c r="AW155" s="259" t="str">
        <f ca="1">IFERROR(INDEX($AP$3:$AS$220,MATCH(ROWS(AW$3:AW155),AQ$3:AQ$220,0),1),"")</f>
        <v/>
      </c>
      <c r="AX155" s="259" t="str">
        <f ca="1">IFERROR(INDEX($AP$3:$AS$220,MATCH(ROWS(AX$3:AX155),AR$3:AR$220,0),1),"")</f>
        <v/>
      </c>
      <c r="AY155" s="259" t="str">
        <f ca="1">IFERROR(INDEX($AP$3:$AS$220,MATCH(ROWS(AY$3:AY155),AS$3:AS$220,0),1),"")</f>
        <v>VARIAZIONI RIMANENZE MERCI E MATERIE DI CONSUMO</v>
      </c>
      <c r="AZ155" s="259" t="str">
        <f t="shared" si="339"/>
        <v>53 V.I.</v>
      </c>
      <c r="BA155" s="259">
        <f t="shared" ca="1" si="338"/>
        <v>0</v>
      </c>
      <c r="BB155" s="259">
        <f t="shared" ca="1" si="340"/>
        <v>0</v>
      </c>
      <c r="BC155" s="259">
        <f t="shared" ca="1" si="341"/>
        <v>0</v>
      </c>
      <c r="BD155" s="259">
        <f t="shared" ca="1" si="342"/>
        <v>0</v>
      </c>
      <c r="BE155" s="259">
        <f t="shared" ca="1" si="343"/>
        <v>0</v>
      </c>
      <c r="BG155" s="259" t="str">
        <f t="shared" ca="1" si="368"/>
        <v/>
      </c>
      <c r="BH155" s="259">
        <f ca="1">IF(IFERROR(MATCH(BG155,DENOMINAZIONE_GIORNALE,0),0)&gt;0,MAX(BH$2:BH154)+1,0)</f>
        <v>0</v>
      </c>
      <c r="BI155" s="259" t="str">
        <f ca="1">IFERROR(INDEX($BG$3:$BH$220,MATCH(ROWS($BI$3:BI155),$BH$3:$BH$220,0),1),"")</f>
        <v/>
      </c>
      <c r="BJ155" s="259" t="str">
        <f t="shared" ca="1" si="369"/>
        <v/>
      </c>
      <c r="BK155" s="259" t="str">
        <f ca="1">IF(IF(BJ155&lt;&gt;"",MAX($BK$2:BK154)+1,0)=0,"",IF(BJ155&lt;&gt;"",MAX($BK$2:BK154)+1,0))</f>
        <v/>
      </c>
      <c r="BL155" s="259" t="str">
        <f ca="1">IFERROR(INDEX($T$3:$U$220, MATCH(ROWS(BL$3:BL155),$V$3:$V$220,0),1),"")</f>
        <v/>
      </c>
      <c r="BM155" s="259" t="str">
        <f ca="1">IFERROR(INDEX($T$3:$U$220, MATCH(ROWS(BM$3:BM155),$V$3:$V$220,0),2),"")</f>
        <v/>
      </c>
      <c r="BN155" s="259" t="str">
        <f ca="1">IF(IFERROR(INDEX($BI$3:$BJ$220,MATCH(ROWS(BN$3:BN155),$BK$3:$BK$220,0),1),"")="PATRIMONIO NETTO","",IFERROR(INDEX($BI$3:$BJ$220,MATCH(ROWS(BN$3:BN155),$BK$3:$BK$220,0),1),""))</f>
        <v/>
      </c>
      <c r="BO155" s="259" t="str">
        <f ca="1">IFERROR(INDEX($BI$3:$BJ$220,MATCH(ROWS(BO$3:BO155),$BK$3:$BK$220,0),2),"")</f>
        <v/>
      </c>
      <c r="BP155" s="259">
        <f ca="1">IF(BN155&lt;&gt;"",MAX(BP$2:$BP154)+1,0)</f>
        <v>0</v>
      </c>
      <c r="BQ155" s="259" t="str">
        <f ca="1">IFERROR(INDEX($BN$3:$BO$200,MATCH(ROWS(BQ$3:BQ155),$BP$3:$BP$220,0),1),"")</f>
        <v/>
      </c>
      <c r="BR155" s="259" t="str">
        <f ca="1">IFERROR(INDEX($BN$3:$BO$220,MATCH(ROWS(BR$3:BR155),$BP$3:$BP$220,0),2),"")</f>
        <v/>
      </c>
      <c r="BS155" s="259" t="str">
        <f ca="1">IFERROR(IF(OR(INDEX($T$3:$U$220,MATCH(ROWS(BL$3:BL155),$V$3:$V$220,0),1)="PRELEVAMENTI EXTRAGESTIONE",INDEX($T$3:$U$220,MATCH(ROWS(BL$3:BL155),$V$3:$V$220,0),1)="TITOLARE C/RITENUTE SUBITE"),"",INDEX($T$3:$U$220,MATCH(ROWS(BL$3:BL155),$V$3:$V$220,0),1)),"")</f>
        <v/>
      </c>
      <c r="BT155" s="259">
        <f t="shared" ca="1" si="417"/>
        <v>0</v>
      </c>
      <c r="BU155" s="259">
        <f ca="1">IF(BS155&lt;&gt;"",MAX(BU$2:BU154)+1,0)</f>
        <v>0</v>
      </c>
      <c r="BV155" s="259" t="str">
        <f ca="1">IFERROR(INDEX($BS$3:$BT$223,MATCH(ROWS(BV$3:BV155),$BU$3:$BU$223,0),1),"")</f>
        <v/>
      </c>
      <c r="BW155" s="259">
        <f t="shared" ca="1" si="418"/>
        <v>0</v>
      </c>
      <c r="CB155" s="259" t="str">
        <f ca="1">IFERROR(IF(OR($BB$1&lt;&gt;$BD$1,$BC$1&lt;&gt;$BE$1,$DS$231&lt;&gt;$DT$231,$DU$231&lt;&gt;$DV$231,$EO$25&lt;&gt;0,$EO$26&lt;&gt;0),INDEX($BI$3:$BK$220,MATCH(ROWS($CB$3:CB155),$BK$3:$BK$220,0),1),CONCATENATE(BQ155,BX155)),"")</f>
        <v/>
      </c>
      <c r="CC155" s="259" t="str">
        <f t="shared" ca="1" si="419"/>
        <v/>
      </c>
      <c r="CD155" s="259" t="str">
        <f t="shared" ca="1" si="370"/>
        <v>SVALUTAZIONE CREDITI</v>
      </c>
      <c r="CE155" s="259">
        <f ca="1">IF(IFERROR(MATCH(CD155,DENOMINAZIONE_GIORNALE,0),0)&gt;0,MAX(CE$2:CE154)+1,0)</f>
        <v>0</v>
      </c>
      <c r="CF155" s="259" t="str">
        <f ca="1">IFERROR(INDEX($CD$3:$CE$220,MATCH(ROWS($CF$3:CF155),$CE$3:$CE$220,0),1),"")</f>
        <v/>
      </c>
      <c r="CG155" s="259">
        <f t="shared" ca="1" si="371"/>
        <v>0</v>
      </c>
      <c r="CH155" s="259" t="str">
        <f ca="1">IF(IF(CG155&lt;&gt;0,MAX($CH$2:CH154)+1,0)=0,"",IF(CG155&lt;&gt;"",MAX($CH$2:CH154)+1,0))</f>
        <v/>
      </c>
      <c r="CI155" s="259" t="str">
        <f ca="1">IFERROR(INDEX($CF$3:$CG$220,MATCH(ROWS($CI$3:CI155),$CH$3:$CH$220,0),1),"")</f>
        <v/>
      </c>
      <c r="CJ155" s="259" t="str">
        <f t="shared" ca="1" si="420"/>
        <v/>
      </c>
      <c r="CK155" s="259" t="str">
        <f t="shared" ca="1" si="372"/>
        <v/>
      </c>
      <c r="CL155" s="259">
        <f ca="1">IF(IFERROR(MATCH(CK155,DENOMINAZIONE_GIORNALE,0),0)&gt;0,MAX(CL$2:CL154)+1,0)</f>
        <v>0</v>
      </c>
      <c r="CM155" s="259" t="str">
        <f ca="1">IFERROR(INDEX($CK$3:$CL$220,MATCH(ROWS($CM$3:CM155),$CL$3:$CL$220,0),1),"")</f>
        <v/>
      </c>
      <c r="CN155" s="259" t="str">
        <f t="shared" ca="1" si="373"/>
        <v/>
      </c>
      <c r="CO155" s="259">
        <f ca="1">IF(IF(CN155&lt;&gt;0,MAX($CO$2:CO154)+1,0)=0,"",IF(CN155&lt;&gt;"",MAX($CO$2:CO154)+1,0))</f>
        <v>0</v>
      </c>
      <c r="CP155" s="259" t="str">
        <f ca="1">IFERROR(INDEX($CM$3:$CN$220,MATCH(ROWS(CP$3:CP155),$CO$3:$CO$220,0),1),"")</f>
        <v/>
      </c>
      <c r="CQ155" s="259" t="str">
        <f ca="1">IFERROR(INDEX($CM$3:$CN$220,MATCH(ROWS(CQ$3:CQ155),$CO$3:$CO$220,0),2),"")</f>
        <v/>
      </c>
      <c r="CS155" s="259">
        <f t="shared" ca="1" si="374"/>
        <v>0</v>
      </c>
      <c r="CT155" s="259">
        <f t="shared" ca="1" si="375"/>
        <v>0</v>
      </c>
      <c r="CU155" s="259">
        <f ca="1">IF(OR(CS155&gt;0,CT155&gt;0),MAX($CU$2:CU154)+1,0)</f>
        <v>0</v>
      </c>
      <c r="CV155" s="259" t="str">
        <f ca="1">IFERROR(INDEX(PIANO_DEI_CONTI,MATCH(ROWS($CV$3:CV155),$CU$3:$CU$200,0),2),"")</f>
        <v/>
      </c>
      <c r="CW155" s="259">
        <f ca="1">IFERROR(IF(CV155&lt;&gt;"",MAX($CW$2:CW154)+1,0),0)</f>
        <v>0</v>
      </c>
      <c r="CX155" s="259">
        <f t="shared" ca="1" si="472"/>
        <v>9</v>
      </c>
      <c r="CY155" s="259" t="str">
        <f t="shared" ca="1" si="469"/>
        <v>MASTRO</v>
      </c>
      <c r="CZ155" s="259" t="e">
        <f t="shared" ca="1" si="474"/>
        <v>#N/A</v>
      </c>
      <c r="DA155" s="259" t="str">
        <f t="shared" ca="1" si="480"/>
        <v/>
      </c>
      <c r="DB155" s="259" t="str">
        <f t="shared" ca="1" si="475"/>
        <v/>
      </c>
      <c r="DC155" s="259" t="str">
        <f t="shared" ca="1" si="476"/>
        <v/>
      </c>
      <c r="DD155" s="259" t="str">
        <f t="shared" ca="1" si="477"/>
        <v/>
      </c>
      <c r="DE155" s="259" t="str">
        <f t="shared" ca="1" si="478"/>
        <v/>
      </c>
      <c r="DF155" s="259">
        <f ca="1">IF(AND(CX155=$DE$2,$DF$2&lt;&gt;0),0,IF(AND(DB155&lt;&gt;"",OR(DB154&lt;&gt;"",DB156&lt;&gt;"")),MAX($DF$2:DF154)+1,0))</f>
        <v>0</v>
      </c>
      <c r="DG155" s="259" t="str">
        <f>IF(IF(LIBRO_GIORNALE!E63="","",IFERROR(INDEX(PIANO_DEI_CONTI,MATCH(BB155,DENOMINAZIONE,0),1),0))=0,"",IF(LIBRO_GIORNALE!E63="","",IFERROR(INDEX(PIANO_DEI_CONTI,MATCH(BB155,DENOMINAZIONE,0),1),0)))</f>
        <v/>
      </c>
      <c r="DH155" s="259">
        <f ca="1">IFERROR(IF($J$1=1,IF(INDEX(PIANO_DEI_CONTI,MATCH($K155,DENOMINAZIONE,0),5)=$DF$1,MAX($DH$2:DH154)+1,0),IF($J$1=2,IF(INDEX(PIANO_DEI_CONTI,MATCH($K155,DENOMINAZIONE,0),7)=$DF$1,MAX($DH$2:DH154)+1,0))),0)</f>
        <v>0</v>
      </c>
      <c r="DI155" s="259">
        <f ca="1">IFERROR(INDEX($K$3:$K$220,MATCH(ROWS($DI$3:DI155),$DH$3:$DH$220,0),1),0)</f>
        <v>0</v>
      </c>
      <c r="DJ155" s="259">
        <f t="shared" ca="1" si="381"/>
        <v>0</v>
      </c>
      <c r="DK155" s="259">
        <f ca="1">IF(DJ155=0,0,MAX(DK$2:DK154)+1)</f>
        <v>0</v>
      </c>
      <c r="DL155" s="259">
        <f ca="1">IFERROR(INDEX(PIANO_DEI_CONTI,MATCH(ROWS(DL$3:DL155),$DK$3:DK382,0),2),0)</f>
        <v>0</v>
      </c>
      <c r="DM155" s="259">
        <f t="shared" ca="1" si="382"/>
        <v>0</v>
      </c>
      <c r="DN155" s="259">
        <f t="shared" ca="1" si="383"/>
        <v>0</v>
      </c>
      <c r="DO155" s="259">
        <f t="shared" ca="1" si="422"/>
        <v>0</v>
      </c>
      <c r="DP155" s="259">
        <f t="shared" ca="1" si="423"/>
        <v>0</v>
      </c>
      <c r="DQ155" s="259">
        <f ca="1">IF(OR($DQ$1="TOTALI",$DQ$1="TOTALI ED ECCEDENZE"),IF(OR(DM155&gt;0,DN155&gt;0),MAX(DQ$2:DQ154)+1,0),IF($DQ$1="ECCEDENZE",IF(OR(DO155&gt;0,DP155&gt;0),MAX(DQ$2:DQ154)+1,0),""))</f>
        <v>0</v>
      </c>
      <c r="DR155" s="259" t="str">
        <f ca="1">IFERROR(INDEX($DL$3:$DQ$230,MATCH(ROWS(DR$3:DR155),$DQ$3:$DQ$230,0),1),"")</f>
        <v/>
      </c>
      <c r="DS155" s="259" t="str">
        <f t="shared" ca="1" si="424"/>
        <v/>
      </c>
      <c r="DT155" s="259" t="str">
        <f t="shared" ca="1" si="425"/>
        <v/>
      </c>
      <c r="DU155" s="259" t="str">
        <f t="shared" ca="1" si="426"/>
        <v/>
      </c>
      <c r="DV155" s="259" t="str">
        <f t="shared" ca="1" si="427"/>
        <v/>
      </c>
      <c r="DW155" s="259">
        <f t="shared" ca="1" si="428"/>
        <v>0</v>
      </c>
      <c r="DX155" s="259" t="str">
        <f t="shared" ca="1" si="429"/>
        <v/>
      </c>
      <c r="DY155" s="259" t="str">
        <f t="shared" ca="1" si="430"/>
        <v/>
      </c>
      <c r="DZ155" s="259" t="str">
        <f t="shared" ca="1" si="431"/>
        <v/>
      </c>
      <c r="EB155" s="259" t="s">
        <v>381</v>
      </c>
      <c r="ED155" s="259">
        <f t="shared" ca="1" si="384"/>
        <v>0</v>
      </c>
      <c r="EH155" s="259" t="str">
        <f t="shared" ca="1" si="432"/>
        <v/>
      </c>
      <c r="EI155" s="260" t="b">
        <f t="shared" ca="1" si="466"/>
        <v>1</v>
      </c>
      <c r="EJ155" s="260" t="b">
        <f t="shared" ca="1" si="467"/>
        <v>1</v>
      </c>
      <c r="EK155" s="260" t="b">
        <f t="shared" ca="1" si="468"/>
        <v>1</v>
      </c>
      <c r="EL155" s="259">
        <f t="shared" si="433"/>
        <v>153</v>
      </c>
      <c r="EM155" s="259">
        <f ca="1">IF(AND(BA155&gt;0,BA155&lt;=$EM$1),MAX($EM$2:EM154)+1,0)</f>
        <v>0</v>
      </c>
      <c r="EN155" s="259">
        <f t="shared" ca="1" si="434"/>
        <v>155</v>
      </c>
      <c r="EP155" s="259" t="str">
        <f t="shared" ca="1" si="385"/>
        <v/>
      </c>
      <c r="EQ155" s="259">
        <f t="shared" ca="1" si="386"/>
        <v>0</v>
      </c>
      <c r="ER155" s="259">
        <f ca="1">IF(ISNA(EQ155),MAX(ER$2:ER154)+1,0)</f>
        <v>0</v>
      </c>
      <c r="ES155" s="259" t="str">
        <f t="shared" ca="1" si="435"/>
        <v/>
      </c>
      <c r="ET155" s="259" t="str">
        <f ca="1">IFERROR(UPPER(INDEX($ER$3:$ES$500,MATCH(ROWS(ET$3:ET155),$ER$3:$ER$500,0),2)),"")</f>
        <v/>
      </c>
      <c r="EW155" s="259">
        <f t="shared" ca="1" si="344"/>
        <v>1</v>
      </c>
      <c r="EX155" s="259">
        <v>53</v>
      </c>
      <c r="EY155" s="259">
        <f t="shared" ca="1" si="345"/>
        <v>0</v>
      </c>
      <c r="EZ155" s="259">
        <f t="shared" ca="1" si="346"/>
        <v>0</v>
      </c>
      <c r="FA155" s="259">
        <f t="shared" ca="1" si="347"/>
        <v>0</v>
      </c>
      <c r="FB155" s="259">
        <f t="shared" ca="1" si="348"/>
        <v>0</v>
      </c>
      <c r="FC155" s="259">
        <f t="shared" ca="1" si="349"/>
        <v>0</v>
      </c>
      <c r="FD155" s="259">
        <f t="shared" ca="1" si="387"/>
        <v>0</v>
      </c>
      <c r="FE155" s="259" t="str">
        <f t="shared" ca="1" si="388"/>
        <v/>
      </c>
      <c r="FF155" s="259" t="str">
        <f t="shared" ca="1" si="350"/>
        <v/>
      </c>
      <c r="FM155" s="259">
        <f t="shared" ca="1" si="389"/>
        <v>0</v>
      </c>
      <c r="FN155" s="259">
        <f ca="1">IF(FM155&lt;0,MAX($FN$2:FN154)+1,0)</f>
        <v>0</v>
      </c>
      <c r="FO155" s="259" t="str">
        <f t="shared" ca="1" si="436"/>
        <v/>
      </c>
      <c r="FP155" s="259" t="str">
        <f ca="1">IFERROR(INDEX($FN$3:$FO$400,MATCH(ROWS($FP$3:FP155),$FN$3:$FN$400,0),2),"")</f>
        <v/>
      </c>
      <c r="FQ155" s="259" t="str">
        <f>IF(AE155="SE AVERE",MAX($FQ$2:FQ154)+1,"")</f>
        <v/>
      </c>
      <c r="FR155" s="259">
        <f>IF(AE155="SE DARE",MAX($FR$2:FR154)+1,"")</f>
        <v>60</v>
      </c>
      <c r="FS155" s="259" t="str">
        <f ca="1">IF(AND(AE155="SP DARE",AA155&lt;&gt;$FS$1,AA155&lt;&gt;$FT$1),MAX($FS$2:FS154)+1,IF(AND(GQ155="SP DARE",AA155&lt;&gt;$FS$1,AA155&lt;&gt;$FT$1),MAX($FS$2:FS154)+1,""))</f>
        <v/>
      </c>
      <c r="FT155" s="259" t="str">
        <f ca="1">IF(AND(AE155="SP AVERE",AA155&lt;&gt;$FU$1),MAX($FT$2:FT154)+1,IF(AND(GQ155="SP AVERE",AA155&lt;&gt;$FU$1),MAX($FT$2:FT154)+1,""))</f>
        <v/>
      </c>
      <c r="FU155" s="259">
        <f t="shared" ca="1" si="437"/>
        <v>60</v>
      </c>
      <c r="FV155" s="259" t="str">
        <f t="shared" si="438"/>
        <v>SVALUTAZIONE CREDITI</v>
      </c>
      <c r="FW155" s="259" t="str">
        <f ca="1">IFERROR(INDEX($FU$3:$FV$500,MATCH(ROWS($FW$3:FW155),$FU$3:$FU$500,0),2),0)</f>
        <v>DEBITI V/ALTRI FINANZIATORI</v>
      </c>
      <c r="FX155" s="259">
        <f t="shared" ca="1" si="439"/>
        <v>153</v>
      </c>
      <c r="FY155" s="259">
        <f t="shared" ca="1" si="440"/>
        <v>0</v>
      </c>
      <c r="FZ155" s="259">
        <f ca="1">IF(FY155&gt;0,MAX($FZ$2:FZ154)+1,0)</f>
        <v>0</v>
      </c>
      <c r="GA155" s="259">
        <f ca="1">IFERROR(INDEX($FY$3:$FZ$500,MATCH(ROWS($GA$3:GA155),$FZ$3:$FZ$500,0),1),0)</f>
        <v>0</v>
      </c>
      <c r="GC155" s="259">
        <f t="shared" ca="1" si="441"/>
        <v>153</v>
      </c>
      <c r="GD155" s="259" t="str">
        <f t="shared" ca="1" si="442"/>
        <v>DEBITI V/ALTRI FINANZIATORI</v>
      </c>
      <c r="GG155" s="259">
        <f t="shared" ca="1" si="443"/>
        <v>0</v>
      </c>
      <c r="GH155" s="259">
        <f t="shared" ca="1" si="444"/>
        <v>0</v>
      </c>
      <c r="GI155" s="259">
        <f t="shared" ca="1" si="445"/>
        <v>0</v>
      </c>
      <c r="GJ155" s="259">
        <f t="shared" ca="1" si="446"/>
        <v>0</v>
      </c>
      <c r="GK155" s="259">
        <f t="shared" ca="1" si="447"/>
        <v>0</v>
      </c>
      <c r="GL155" s="259">
        <f t="shared" ca="1" si="447"/>
        <v>0</v>
      </c>
      <c r="GM155" s="259">
        <f ca="1">IF(OR(GK155&gt;0,GL155&gt;0),MAX($GM$2:GM154)+1,0)</f>
        <v>0</v>
      </c>
      <c r="GN155" s="259" t="str">
        <f ca="1">IFERROR(INDEX($GD$3:$GM$400,MATCH(ROWS($GN$3:GN155),$GM$3:$GM$400,0),1),"")</f>
        <v/>
      </c>
      <c r="GO155" s="259" t="str">
        <f ca="1">IFERROR(INDEX($GD$3:$GM$400,MATCH(ROWS($GO$3:GO155),$GM$3:$GM$400,0),8),"")</f>
        <v/>
      </c>
      <c r="GP155" s="259" t="str">
        <f ca="1">IFERROR(INDEX($GD$3:$GM$400,MATCH(ROWS($GP$3:GP155),$GM$3:$GM$400,0),9),"")</f>
        <v/>
      </c>
      <c r="GQ155" s="259">
        <f t="shared" ca="1" si="390"/>
        <v>0</v>
      </c>
      <c r="GR155" s="259">
        <f t="shared" ca="1" si="448"/>
        <v>0</v>
      </c>
      <c r="GS155" s="259" t="str">
        <f t="shared" ca="1" si="449"/>
        <v>chiusura del conto</v>
      </c>
      <c r="GT155" s="259" t="str">
        <f ca="1">IFERROR(INDEX($GD$3:$GS$400,MATCH(ROWS($GT$3:GT155),$GM$3:$GM$400,0),16),"")</f>
        <v/>
      </c>
      <c r="GU155" s="259">
        <f ca="1">IF(GQ155&lt;&gt;0,MAX($GU$2:$GU154)+1,0)</f>
        <v>0</v>
      </c>
      <c r="GV155" s="259">
        <f t="shared" ca="1" si="450"/>
        <v>0</v>
      </c>
      <c r="GW155" s="259" t="str">
        <f ca="1">IF(AND(IFERROR(INDEX($GU$3:$GV$400,MATCH(ROWS($GW$3:GW155),$GU$3:$GU$400,0),2),"")&lt;&gt;"",GW156&lt;&gt;""),CONCATENATE(IFERROR(INDEX($GU$3:$GV$400,MATCH(ROWS($GW$3:GW155),$GU$3:$GU$400,0),2),"")," - "),IFERROR(INDEX($GU$3:$GV$400,MATCH(ROWS($GW$3:GW155),$GU$3:$GU$400,0),2),""))</f>
        <v/>
      </c>
      <c r="GX155" s="259">
        <f ca="1">IF(OR(GN155="IVA NS/CREDITO",GN155="IVA NS/DEBITO",GN155="IVA C/ACCONTO",GN155="IMPOSTE C/ACCONTO"),MAX($GX$2:GX154)+1,0)</f>
        <v>0</v>
      </c>
      <c r="GY155" s="259" t="str">
        <f ca="1">IF(AND(IFERROR(INDEX($GN$3:$GX$200,MATCH(ROWS($GY$3:GY155),$GX$3:$GX$200,0),1),"")&lt;&gt;"",GY156&lt;&gt;""),CONCATENATE(IFERROR(INDEX($GN$3:$GX$200,MATCH(ROWS($GY$3:GY155),$GX$3:$GX$200,0),1),"")," - "),IFERROR(INDEX($GN$3:$GX$200,MATCH(ROWS($GY$3:GY155),$GX$3:$GX$200,0),1),""))</f>
        <v/>
      </c>
      <c r="GZ155" s="259" t="s">
        <v>580</v>
      </c>
      <c r="HA155" s="259" t="s">
        <v>661</v>
      </c>
      <c r="HB155" s="269" t="s">
        <v>256</v>
      </c>
      <c r="HC155" s="269" t="s">
        <v>276</v>
      </c>
      <c r="HD155" s="269" t="s">
        <v>7</v>
      </c>
      <c r="HE155" s="269" t="s">
        <v>214</v>
      </c>
      <c r="HV155" s="259" t="str">
        <f ca="1">CONCATENATE(IFERROR(INDEX($HS$3:$HT$102,MATCH(ROWS($HV$3:HV155),$HT$3:$HT$102,0),1),""),HR155)</f>
        <v/>
      </c>
      <c r="IC155" s="259">
        <f ca="1">IFERROR(INDEX(PIANO_DEI_CONTI,MATCH(ROWS(DL$3:DL155),$DK$3:DK382,0),2),0)</f>
        <v>0</v>
      </c>
      <c r="ID155" s="259">
        <f t="shared" ca="1" si="451"/>
        <v>0</v>
      </c>
      <c r="IE155" s="259">
        <f t="shared" ca="1" si="452"/>
        <v>0</v>
      </c>
      <c r="IF155" s="259">
        <f t="shared" ca="1" si="453"/>
        <v>0</v>
      </c>
      <c r="IG155" s="259">
        <f t="shared" ca="1" si="479"/>
        <v>0</v>
      </c>
      <c r="IH155" s="259">
        <f ca="1">IF(IG155&lt;&gt;0,MAX($IH$35:IH154)+1,0)</f>
        <v>0</v>
      </c>
      <c r="II155" s="259">
        <f>IF(AD155="costi pluriennali",MAX($II$2:II154)+1,0)</f>
        <v>0</v>
      </c>
      <c r="IJ155" s="259">
        <f>IF($AD155="rettifiche costi pluriennali",MAX($IJ$2:IJ154)+1,0)</f>
        <v>0</v>
      </c>
      <c r="IK155" s="259">
        <f t="shared" si="454"/>
        <v>0</v>
      </c>
      <c r="IL155" s="259" t="str">
        <f t="shared" si="455"/>
        <v/>
      </c>
      <c r="IM155" s="259">
        <f t="shared" ca="1" si="456"/>
        <v>0</v>
      </c>
      <c r="IN155" s="259">
        <f t="shared" ca="1" si="470"/>
        <v>0</v>
      </c>
      <c r="IO155" s="259">
        <f>SUMIFS($IM$3:$IM$200,$IK$3:$IK$200,ROWS($IO$3:IO155))-SUMIFS($IN$3:$IN$200,$IK$3:$IK$200,ROWS($IO$3:IO155))</f>
        <v>0</v>
      </c>
      <c r="IP155" s="259" t="str">
        <f>IF(IO155&lt;0,INDEX($IJ$3:$IL$200,MATCH(ROWS($IP$3:IP155),$IJ$3:$IJ$200,0),3),"")</f>
        <v/>
      </c>
      <c r="IQ155" s="259">
        <f>IF(IP155&lt;&gt;"",MAX($IQ$2:IQ154)+1,0)</f>
        <v>0</v>
      </c>
      <c r="IR155" s="259" t="str">
        <f ca="1">IFERROR(INDEX($IP$3:$IQ$200,MATCH(ROWS($IR$3:IR155),$IQ$3:$IQ$200,0),1),"")</f>
        <v/>
      </c>
      <c r="IS155" s="259" t="str">
        <f t="shared" ca="1" si="457"/>
        <v/>
      </c>
      <c r="IT155" s="259" t="str">
        <f t="shared" ca="1" si="458"/>
        <v/>
      </c>
      <c r="IU155" s="259" t="str">
        <f t="shared" ca="1" si="459"/>
        <v/>
      </c>
      <c r="IV155" s="259" t="str">
        <f t="shared" ca="1" si="460"/>
        <v/>
      </c>
      <c r="IW155" s="259" t="str">
        <f t="shared" ca="1" si="461"/>
        <v/>
      </c>
      <c r="IX155" s="259" t="str">
        <f t="shared" ca="1" si="462"/>
        <v/>
      </c>
      <c r="IY155" s="259" t="str">
        <f t="shared" ca="1" si="463"/>
        <v/>
      </c>
      <c r="IZ155" s="259" t="str">
        <f t="shared" ca="1" si="464"/>
        <v/>
      </c>
      <c r="JA155" s="259" t="str">
        <f t="shared" ca="1" si="465"/>
        <v/>
      </c>
      <c r="JB155" s="259">
        <f t="shared" ca="1" si="391"/>
        <v>0</v>
      </c>
      <c r="JC155" s="259">
        <f t="shared" ca="1" si="351"/>
        <v>0</v>
      </c>
      <c r="JD155" s="259">
        <f t="shared" ca="1" si="352"/>
        <v>0</v>
      </c>
      <c r="JM155" s="259">
        <f t="shared" ca="1" si="353"/>
        <v>0</v>
      </c>
    </row>
    <row r="156" spans="1:273">
      <c r="A156" s="259" t="str">
        <f t="shared" si="392"/>
        <v>31.15</v>
      </c>
      <c r="B156" s="259" t="str">
        <f t="shared" si="393"/>
        <v>COMMISSIONI BANCARIE</v>
      </c>
      <c r="C156" s="259" t="str">
        <f t="shared" si="394"/>
        <v>E</v>
      </c>
      <c r="D156" s="259" t="str">
        <f t="shared" si="395"/>
        <v>D</v>
      </c>
      <c r="E156" s="259" t="str">
        <f t="shared" si="396"/>
        <v>COSTI D'ESERCIZIO</v>
      </c>
      <c r="F156" s="259" t="str">
        <f t="shared" si="397"/>
        <v>SE DARE</v>
      </c>
      <c r="G156" s="259">
        <f t="shared" ca="1" si="398"/>
        <v>1</v>
      </c>
      <c r="H156" s="259">
        <f t="shared" ca="1" si="399"/>
        <v>1</v>
      </c>
      <c r="I156" s="259">
        <f t="shared" ca="1" si="400"/>
        <v>1</v>
      </c>
      <c r="K156" s="259" t="str">
        <f ca="1">IFERROR(IF($I$1=1,INDEX($AA$3:$AS$220,MATCH(ROWS($K$3:K156),$AQ$3:$AQ$220,0),1),IF($I$1=2,INDEX($AA$3:$AS$220,MATCH(ROWS($K$3:K156),$AR$3:$AR$220,0),1),IF($I$1=3,INDEX($AA$3:$AS$220,MATCH(ROWS($K$3:K156),$AS$3:$AS$220,0),1),""))),"")</f>
        <v>ACCANTONAMENTO PER RESPONSABILITÀ CIVILE</v>
      </c>
      <c r="L156" s="259">
        <f ca="1">IF(AND($L$1="VISUALIZZA TUTTI I CONTI",K156&lt;&gt;""),MAX(L155:L155)+1,IFERROR(IF($J$1=1,IF(INDEX(PIANO_DEI_CONTI,MATCH($K156,DENOMINAZIONE,0),5)=$L$1,MAX($L$2:L155)+1,0),IF($J$1=2,IF(INDEX(PIANO_DEI_CONTI,MATCH($K156,DENOMINAZIONE,0),7)=$L$1,MAX($L$2:L155)+1,0))),0))</f>
        <v>154</v>
      </c>
      <c r="M156" s="259" t="str">
        <f ca="1">IFERROR(INDEX($K$3:$K$220,MATCH(ROWS($M$3:M156),$L$3:$L$220,0),1),"")</f>
        <v>ACCANTONAMENTO PER RESPONSABILITÀ CIVILE</v>
      </c>
      <c r="R156" s="259" t="str">
        <f t="shared" ca="1" si="366"/>
        <v/>
      </c>
      <c r="S156" s="259">
        <f ca="1">IF(IFERROR(MATCH(R156,DENOMINAZIONE_GIORNALE,0),0)&gt;0,MAX(S$2:S155)+1,0)</f>
        <v>0</v>
      </c>
      <c r="T156" s="259" t="str">
        <f ca="1">IFERROR(INDEX($R$3:$S$220,MATCH(ROWS($T$3:T156),$S$3:$S$220,0),1),"")</f>
        <v/>
      </c>
      <c r="U156" s="259">
        <f t="shared" ca="1" si="367"/>
        <v>0</v>
      </c>
      <c r="V156" s="259">
        <f ca="1">IF(IF(U156&lt;&gt;0,MAX($V$2:V155)+1,0)=0,0,IF(U156&lt;&gt;0,MAX($V$2:V155)+1,0))</f>
        <v>0</v>
      </c>
      <c r="W156" s="259" t="str">
        <f t="shared" si="401"/>
        <v>31.15</v>
      </c>
      <c r="X156" s="259" t="str">
        <f t="shared" si="402"/>
        <v>COMMISSIONI BANCARIE</v>
      </c>
      <c r="Y156" s="259">
        <f>IF(W156="",0,MAX($Y$2:Y155)+1)</f>
        <v>134</v>
      </c>
      <c r="Z156" s="259" t="str">
        <f>IFERROR(INDEX($W$3:$Y$220,MATCH(ROWS($Z$2:Z155),$Y$3:$Y$220,0),1),"")</f>
        <v>37.01</v>
      </c>
      <c r="AA156" s="259" t="str">
        <f t="shared" si="403"/>
        <v>MERCI C/ESISTENZE INIZIALI</v>
      </c>
      <c r="AB156" s="259" t="str">
        <f t="shared" si="404"/>
        <v>E</v>
      </c>
      <c r="AC156" s="259" t="str">
        <f t="shared" si="405"/>
        <v>D</v>
      </c>
      <c r="AD156" s="259" t="str">
        <f t="shared" si="406"/>
        <v>COSTI D'ESERCIZIO</v>
      </c>
      <c r="AE156" s="259" t="str">
        <f t="shared" si="407"/>
        <v>SE DARE</v>
      </c>
      <c r="AF156" s="259" t="str">
        <f t="shared" si="408"/>
        <v>VARIAZIONI RIMANENZE MERCI E MATERIE DI CONSUMO</v>
      </c>
      <c r="AG156" s="259">
        <f t="shared" ca="1" si="409"/>
        <v>0</v>
      </c>
      <c r="AH156" s="259">
        <f t="shared" ca="1" si="410"/>
        <v>0</v>
      </c>
      <c r="AI156" s="259">
        <f t="shared" ca="1" si="411"/>
        <v>1</v>
      </c>
      <c r="AJ156" s="259" t="str">
        <f t="shared" si="412"/>
        <v>37</v>
      </c>
      <c r="AK156" s="259" t="str">
        <f t="shared" si="413"/>
        <v/>
      </c>
      <c r="AL156" s="259">
        <f>IF(AK156&lt;&gt;"",MAX($AL$2:AL155)+1,0)</f>
        <v>0</v>
      </c>
      <c r="AM156" s="259" t="str">
        <f>IFERROR(INDEX($AK$3:$AL$220,MATCH(ROWS($AM$3:AM156),$AL$3:$AL$220,0),1),"")</f>
        <v/>
      </c>
      <c r="AN156" s="259" t="str">
        <f t="shared" si="414"/>
        <v/>
      </c>
      <c r="AO156" s="259" t="str">
        <f t="shared" si="415"/>
        <v/>
      </c>
      <c r="AP156" s="259" t="str">
        <f t="shared" si="416"/>
        <v>VARIAZIONI RIMANENZE MERCI E MATERIE DI CONSUMO</v>
      </c>
      <c r="AQ156" s="259">
        <f ca="1">IF(OR(AG156=0,AG156=""),0,MAX(AQ$2:AQ155)+1)</f>
        <v>0</v>
      </c>
      <c r="AR156" s="259">
        <f ca="1">IF(OR(AH156=0,AH156=""),0,MAX(AR$2:AR155)+1)</f>
        <v>0</v>
      </c>
      <c r="AS156" s="259">
        <f ca="1">IF(OR(AI156=0,AI156=""),0,MAX(AS$2:AS155)+1)</f>
        <v>150</v>
      </c>
      <c r="AT156" s="259" t="str">
        <f ca="1">IFERROR(INDEX($AD$3:$AS$220,MATCH(ROWS(AT$3:AT156),AQ$3:AQ$220,0),1),"")</f>
        <v/>
      </c>
      <c r="AU156" s="259" t="str">
        <f ca="1">IFERROR(INDEX($AD$3:$AS$220,MATCH(ROWS(AU$3:AU156),AR$3:AR$220,0),1),"")</f>
        <v/>
      </c>
      <c r="AV156" s="259" t="str">
        <f ca="1">IFERROR(INDEX($AD$3:$AS$220,MATCH(ROWS(AV$3:AV156),AS$3:AS$220,0),1),"")</f>
        <v>COSTI D'ESERCIZIO</v>
      </c>
      <c r="AW156" s="259" t="str">
        <f ca="1">IFERROR(INDEX($AP$3:$AS$220,MATCH(ROWS(AW$3:AW156),AQ$3:AQ$220,0),1),"")</f>
        <v/>
      </c>
      <c r="AX156" s="259" t="str">
        <f ca="1">IFERROR(INDEX($AP$3:$AS$220,MATCH(ROWS(AX$3:AX156),AR$3:AR$220,0),1),"")</f>
        <v/>
      </c>
      <c r="AY156" s="259" t="str">
        <f ca="1">IFERROR(INDEX($AP$3:$AS$220,MATCH(ROWS(AY$3:AY156),AS$3:AS$220,0),1),"")</f>
        <v xml:space="preserve">ACCANTONAMENTI </v>
      </c>
      <c r="AZ156" s="259" t="str">
        <f t="shared" si="339"/>
        <v>54 V.I.</v>
      </c>
      <c r="BA156" s="259">
        <f t="shared" ca="1" si="338"/>
        <v>0</v>
      </c>
      <c r="BB156" s="259">
        <f t="shared" ca="1" si="340"/>
        <v>0</v>
      </c>
      <c r="BC156" s="259">
        <f t="shared" ca="1" si="341"/>
        <v>0</v>
      </c>
      <c r="BD156" s="259">
        <f t="shared" ca="1" si="342"/>
        <v>0</v>
      </c>
      <c r="BE156" s="259">
        <f t="shared" ca="1" si="343"/>
        <v>0</v>
      </c>
      <c r="BG156" s="259" t="str">
        <f t="shared" ca="1" si="368"/>
        <v/>
      </c>
      <c r="BH156" s="259">
        <f ca="1">IF(IFERROR(MATCH(BG156,DENOMINAZIONE_GIORNALE,0),0)&gt;0,MAX(BH$2:BH155)+1,0)</f>
        <v>0</v>
      </c>
      <c r="BI156" s="259" t="str">
        <f ca="1">IFERROR(INDEX($BG$3:$BH$220,MATCH(ROWS($BI$3:BI156),$BH$3:$BH$220,0),1),"")</f>
        <v/>
      </c>
      <c r="BJ156" s="259" t="str">
        <f t="shared" ca="1" si="369"/>
        <v/>
      </c>
      <c r="BK156" s="259" t="str">
        <f ca="1">IF(IF(BJ156&lt;&gt;"",MAX($BK$2:BK155)+1,0)=0,"",IF(BJ156&lt;&gt;"",MAX($BK$2:BK155)+1,0))</f>
        <v/>
      </c>
      <c r="BL156" s="259" t="str">
        <f ca="1">IFERROR(INDEX($T$3:$U$220, MATCH(ROWS(BL$3:BL156),$V$3:$V$220,0),1),"")</f>
        <v/>
      </c>
      <c r="BM156" s="259" t="str">
        <f ca="1">IFERROR(INDEX($T$3:$U$220, MATCH(ROWS(BM$3:BM156),$V$3:$V$220,0),2),"")</f>
        <v/>
      </c>
      <c r="BN156" s="259" t="str">
        <f ca="1">IF(IFERROR(INDEX($BI$3:$BJ$220,MATCH(ROWS(BN$3:BN156),$BK$3:$BK$220,0),1),"")="PATRIMONIO NETTO","",IFERROR(INDEX($BI$3:$BJ$220,MATCH(ROWS(BN$3:BN156),$BK$3:$BK$220,0),1),""))</f>
        <v/>
      </c>
      <c r="BO156" s="259" t="str">
        <f ca="1">IFERROR(INDEX($BI$3:$BJ$220,MATCH(ROWS(BO$3:BO156),$BK$3:$BK$220,0),2),"")</f>
        <v/>
      </c>
      <c r="BP156" s="259">
        <f ca="1">IF(BN156&lt;&gt;"",MAX(BP$2:$BP155)+1,0)</f>
        <v>0</v>
      </c>
      <c r="BQ156" s="259" t="str">
        <f ca="1">IFERROR(INDEX($BN$3:$BO$200,MATCH(ROWS(BQ$3:BQ156),$BP$3:$BP$220,0),1),"")</f>
        <v/>
      </c>
      <c r="BR156" s="259" t="str">
        <f ca="1">IFERROR(INDEX($BN$3:$BO$220,MATCH(ROWS(BR$3:BR156),$BP$3:$BP$220,0),2),"")</f>
        <v/>
      </c>
      <c r="BS156" s="259" t="str">
        <f ca="1">IFERROR(IF(OR(INDEX($T$3:$U$220,MATCH(ROWS(BL$3:BL156),$V$3:$V$220,0),1)="PRELEVAMENTI EXTRAGESTIONE",INDEX($T$3:$U$220,MATCH(ROWS(BL$3:BL156),$V$3:$V$220,0),1)="TITOLARE C/RITENUTE SUBITE"),"",INDEX($T$3:$U$220,MATCH(ROWS(BL$3:BL156),$V$3:$V$220,0),1)),"")</f>
        <v/>
      </c>
      <c r="BT156" s="259">
        <f t="shared" ca="1" si="417"/>
        <v>0</v>
      </c>
      <c r="BU156" s="259">
        <f ca="1">IF(BS156&lt;&gt;"",MAX(BU$2:BU155)+1,0)</f>
        <v>0</v>
      </c>
      <c r="BV156" s="259" t="str">
        <f ca="1">IFERROR(INDEX($BS$3:$BT$223,MATCH(ROWS(BV$3:BV156),$BU$3:$BU$223,0),1),"")</f>
        <v/>
      </c>
      <c r="BW156" s="259">
        <f t="shared" ca="1" si="418"/>
        <v>0</v>
      </c>
      <c r="CB156" s="259" t="str">
        <f ca="1">IFERROR(IF(OR($BB$1&lt;&gt;$BD$1,$BC$1&lt;&gt;$BE$1,$DS$231&lt;&gt;$DT$231,$DU$231&lt;&gt;$DV$231,$EO$25&lt;&gt;0,$EO$26&lt;&gt;0),INDEX($BI$3:$BK$220,MATCH(ROWS($CB$3:CB156),$BK$3:$BK$220,0),1),CONCATENATE(BQ156,BX156)),"")</f>
        <v/>
      </c>
      <c r="CC156" s="259" t="str">
        <f t="shared" ca="1" si="419"/>
        <v/>
      </c>
      <c r="CD156" s="259" t="str">
        <f t="shared" ca="1" si="370"/>
        <v>MERCI C/ESISTENZE INIZIALI</v>
      </c>
      <c r="CE156" s="259">
        <f ca="1">IF(IFERROR(MATCH(CD156,DENOMINAZIONE_GIORNALE,0),0)&gt;0,MAX(CE$2:CE155)+1,0)</f>
        <v>0</v>
      </c>
      <c r="CF156" s="259" t="str">
        <f ca="1">IFERROR(INDEX($CD$3:$CE$220,MATCH(ROWS($CF$3:CF156),$CE$3:$CE$220,0),1),"")</f>
        <v/>
      </c>
      <c r="CG156" s="259">
        <f t="shared" ca="1" si="371"/>
        <v>0</v>
      </c>
      <c r="CH156" s="259" t="str">
        <f ca="1">IF(IF(CG156&lt;&gt;0,MAX($CH$2:CH155)+1,0)=0,"",IF(CG156&lt;&gt;"",MAX($CH$2:CH155)+1,0))</f>
        <v/>
      </c>
      <c r="CI156" s="259" t="str">
        <f ca="1">IFERROR(INDEX($CF$3:$CG$220,MATCH(ROWS($CI$3:CI156),$CH$3:$CH$220,0),1),"")</f>
        <v/>
      </c>
      <c r="CJ156" s="259" t="str">
        <f t="shared" ca="1" si="420"/>
        <v/>
      </c>
      <c r="CK156" s="259" t="str">
        <f t="shared" ca="1" si="372"/>
        <v/>
      </c>
      <c r="CL156" s="259">
        <f ca="1">IF(IFERROR(MATCH(CK156,DENOMINAZIONE_GIORNALE,0),0)&gt;0,MAX(CL$2:CL155)+1,0)</f>
        <v>0</v>
      </c>
      <c r="CM156" s="259" t="str">
        <f ca="1">IFERROR(INDEX($CK$3:$CL$220,MATCH(ROWS($CM$3:CM156),$CL$3:$CL$220,0),1),"")</f>
        <v/>
      </c>
      <c r="CN156" s="259" t="str">
        <f t="shared" ca="1" si="373"/>
        <v/>
      </c>
      <c r="CO156" s="259">
        <f ca="1">IF(IF(CN156&lt;&gt;0,MAX($CO$2:CO155)+1,0)=0,"",IF(CN156&lt;&gt;"",MAX($CO$2:CO155)+1,0))</f>
        <v>0</v>
      </c>
      <c r="CP156" s="259" t="str">
        <f ca="1">IFERROR(INDEX($CM$3:$CN$220,MATCH(ROWS(CP$3:CP156),$CO$3:$CO$220,0),1),"")</f>
        <v/>
      </c>
      <c r="CQ156" s="259" t="str">
        <f ca="1">IFERROR(INDEX($CM$3:$CN$220,MATCH(ROWS(CQ$3:CQ156),$CO$3:$CO$220,0),2),"")</f>
        <v/>
      </c>
      <c r="CS156" s="259">
        <f t="shared" ca="1" si="374"/>
        <v>0</v>
      </c>
      <c r="CT156" s="259">
        <f t="shared" ca="1" si="375"/>
        <v>0</v>
      </c>
      <c r="CU156" s="259">
        <f ca="1">IF(OR(CS156&gt;0,CT156&gt;0),MAX($CU$2:CU155)+1,0)</f>
        <v>0</v>
      </c>
      <c r="CV156" s="259" t="str">
        <f ca="1">IFERROR(INDEX(PIANO_DEI_CONTI,MATCH(ROWS($CV$3:CV156),$CU$3:$CU$200,0),2),"")</f>
        <v/>
      </c>
      <c r="CW156" s="259">
        <f ca="1">IFERROR(IF(CV156&lt;&gt;"",MAX($CW$2:CW155)+1,0),0)</f>
        <v>0</v>
      </c>
      <c r="CX156" s="259">
        <f t="shared" ca="1" si="472"/>
        <v>9</v>
      </c>
      <c r="CY156" s="259" t="str">
        <f t="shared" ca="1" si="469"/>
        <v>MASTRO</v>
      </c>
      <c r="CZ156" s="259" t="e">
        <f t="shared" ca="1" si="474"/>
        <v>#N/A</v>
      </c>
      <c r="DA156" s="259" t="str">
        <f t="shared" ca="1" si="480"/>
        <v/>
      </c>
      <c r="DB156" s="259" t="str">
        <f t="shared" ca="1" si="475"/>
        <v/>
      </c>
      <c r="DC156" s="259" t="str">
        <f t="shared" ca="1" si="476"/>
        <v/>
      </c>
      <c r="DD156" s="259" t="str">
        <f t="shared" ca="1" si="477"/>
        <v/>
      </c>
      <c r="DE156" s="259" t="str">
        <f t="shared" ca="1" si="478"/>
        <v/>
      </c>
      <c r="DF156" s="259">
        <f ca="1">IF(AND(CX156=$DE$2,$DF$2&lt;&gt;0),0,IF(AND(DB156&lt;&gt;"",OR(DB155&lt;&gt;"",DB157&lt;&gt;"")),MAX($DF$2:DF155)+1,0))</f>
        <v>0</v>
      </c>
      <c r="DG156" s="259" t="str">
        <f>IF(IF(LIBRO_GIORNALE!E64="","",IFERROR(INDEX(PIANO_DEI_CONTI,MATCH(BB156,DENOMINAZIONE,0),1),0))=0,"",IF(LIBRO_GIORNALE!E64="","",IFERROR(INDEX(PIANO_DEI_CONTI,MATCH(BB156,DENOMINAZIONE,0),1),0)))</f>
        <v/>
      </c>
      <c r="DH156" s="259">
        <f ca="1">IFERROR(IF($J$1=1,IF(INDEX(PIANO_DEI_CONTI,MATCH($K156,DENOMINAZIONE,0),5)=$DF$1,MAX($DH$2:DH155)+1,0),IF($J$1=2,IF(INDEX(PIANO_DEI_CONTI,MATCH($K156,DENOMINAZIONE,0),7)=$DF$1,MAX($DH$2:DH155)+1,0))),0)</f>
        <v>0</v>
      </c>
      <c r="DI156" s="259">
        <f ca="1">IFERROR(INDEX($K$3:$K$220,MATCH(ROWS($DI$3:DI156),$DH$3:$DH$220,0),1),0)</f>
        <v>0</v>
      </c>
      <c r="DJ156" s="259">
        <f t="shared" ca="1" si="381"/>
        <v>0</v>
      </c>
      <c r="DK156" s="259">
        <f ca="1">IF(DJ156=0,0,MAX(DK$2:DK155)+1)</f>
        <v>0</v>
      </c>
      <c r="DL156" s="259">
        <f ca="1">IFERROR(INDEX(PIANO_DEI_CONTI,MATCH(ROWS(DL$3:DL156),$DK$3:DK383,0),2),0)</f>
        <v>0</v>
      </c>
      <c r="DM156" s="259">
        <f t="shared" ca="1" si="382"/>
        <v>0</v>
      </c>
      <c r="DN156" s="259">
        <f t="shared" ca="1" si="383"/>
        <v>0</v>
      </c>
      <c r="DO156" s="259">
        <f t="shared" ca="1" si="422"/>
        <v>0</v>
      </c>
      <c r="DP156" s="259">
        <f t="shared" ca="1" si="423"/>
        <v>0</v>
      </c>
      <c r="DQ156" s="259">
        <f ca="1">IF(OR($DQ$1="TOTALI",$DQ$1="TOTALI ED ECCEDENZE"),IF(OR(DM156&gt;0,DN156&gt;0),MAX(DQ$2:DQ155)+1,0),IF($DQ$1="ECCEDENZE",IF(OR(DO156&gt;0,DP156&gt;0),MAX(DQ$2:DQ155)+1,0),""))</f>
        <v>0</v>
      </c>
      <c r="DR156" s="259" t="str">
        <f ca="1">IFERROR(INDEX($DL$3:$DQ$230,MATCH(ROWS(DR$3:DR156),$DQ$3:$DQ$230,0),1),"")</f>
        <v/>
      </c>
      <c r="DS156" s="259" t="str">
        <f t="shared" ca="1" si="424"/>
        <v/>
      </c>
      <c r="DT156" s="259" t="str">
        <f t="shared" ca="1" si="425"/>
        <v/>
      </c>
      <c r="DU156" s="259" t="str">
        <f t="shared" ca="1" si="426"/>
        <v/>
      </c>
      <c r="DV156" s="259" t="str">
        <f t="shared" ca="1" si="427"/>
        <v/>
      </c>
      <c r="DW156" s="259">
        <f t="shared" ca="1" si="428"/>
        <v>0</v>
      </c>
      <c r="DX156" s="259" t="str">
        <f t="shared" ca="1" si="429"/>
        <v/>
      </c>
      <c r="DY156" s="259" t="str">
        <f t="shared" ca="1" si="430"/>
        <v/>
      </c>
      <c r="DZ156" s="259" t="str">
        <f t="shared" ca="1" si="431"/>
        <v/>
      </c>
      <c r="EB156" s="259" t="s">
        <v>382</v>
      </c>
      <c r="ED156" s="259">
        <f t="shared" ca="1" si="384"/>
        <v>0</v>
      </c>
      <c r="EH156" s="259" t="str">
        <f t="shared" ca="1" si="432"/>
        <v/>
      </c>
      <c r="EI156" s="260" t="b">
        <f t="shared" ca="1" si="466"/>
        <v>1</v>
      </c>
      <c r="EJ156" s="260" t="b">
        <f t="shared" ca="1" si="467"/>
        <v>1</v>
      </c>
      <c r="EK156" s="260" t="b">
        <f t="shared" ca="1" si="468"/>
        <v>1</v>
      </c>
      <c r="EL156" s="259">
        <f t="shared" si="433"/>
        <v>154</v>
      </c>
      <c r="EM156" s="259">
        <f ca="1">IF(AND(BA156&gt;0,BA156&lt;=$EM$1),MAX($EM$2:EM155)+1,0)</f>
        <v>0</v>
      </c>
      <c r="EN156" s="259">
        <f t="shared" ca="1" si="434"/>
        <v>156</v>
      </c>
      <c r="EP156" s="259" t="str">
        <f t="shared" ca="1" si="385"/>
        <v/>
      </c>
      <c r="EQ156" s="259">
        <f t="shared" ca="1" si="386"/>
        <v>0</v>
      </c>
      <c r="ER156" s="259">
        <f ca="1">IF(ISNA(EQ156),MAX(ER$2:ER155)+1,0)</f>
        <v>0</v>
      </c>
      <c r="ES156" s="259" t="str">
        <f t="shared" ca="1" si="435"/>
        <v/>
      </c>
      <c r="ET156" s="259" t="str">
        <f ca="1">IFERROR(UPPER(INDEX($ER$3:$ES$500,MATCH(ROWS(ET$3:ET156),$ER$3:$ER$500,0),2)),"")</f>
        <v/>
      </c>
      <c r="EW156" s="259">
        <f t="shared" ca="1" si="344"/>
        <v>1</v>
      </c>
      <c r="EX156" s="259">
        <v>54</v>
      </c>
      <c r="EY156" s="259">
        <f t="shared" ca="1" si="345"/>
        <v>0</v>
      </c>
      <c r="EZ156" s="259">
        <f t="shared" ca="1" si="346"/>
        <v>0</v>
      </c>
      <c r="FA156" s="259">
        <f t="shared" ca="1" si="347"/>
        <v>0</v>
      </c>
      <c r="FB156" s="259">
        <f t="shared" ca="1" si="348"/>
        <v>0</v>
      </c>
      <c r="FC156" s="259">
        <f t="shared" ca="1" si="349"/>
        <v>0</v>
      </c>
      <c r="FD156" s="259">
        <f t="shared" ca="1" si="387"/>
        <v>0</v>
      </c>
      <c r="FE156" s="259" t="str">
        <f t="shared" ca="1" si="388"/>
        <v/>
      </c>
      <c r="FF156" s="259" t="str">
        <f t="shared" ca="1" si="350"/>
        <v/>
      </c>
      <c r="FM156" s="259">
        <f t="shared" ca="1" si="389"/>
        <v>0</v>
      </c>
      <c r="FN156" s="259">
        <f ca="1">IF(FM156&lt;0,MAX($FN$2:FN155)+1,0)</f>
        <v>0</v>
      </c>
      <c r="FO156" s="259" t="str">
        <f t="shared" ca="1" si="436"/>
        <v/>
      </c>
      <c r="FP156" s="259" t="str">
        <f ca="1">IFERROR(INDEX($FN$3:$FO$400,MATCH(ROWS($FP$3:FP156),$FN$3:$FN$400,0),2),"")</f>
        <v/>
      </c>
      <c r="FQ156" s="259" t="str">
        <f>IF(AE156="SE AVERE",MAX($FQ$2:FQ155)+1,"")</f>
        <v/>
      </c>
      <c r="FR156" s="259">
        <f>IF(AE156="SE DARE",MAX($FR$2:FR155)+1,"")</f>
        <v>61</v>
      </c>
      <c r="FS156" s="259" t="str">
        <f ca="1">IF(AND(AE156="SP DARE",AA156&lt;&gt;$FS$1,AA156&lt;&gt;$FT$1),MAX($FS$2:FS155)+1,IF(AND(GQ156="SP DARE",AA156&lt;&gt;$FS$1,AA156&lt;&gt;$FT$1),MAX($FS$2:FS155)+1,""))</f>
        <v/>
      </c>
      <c r="FT156" s="259" t="str">
        <f ca="1">IF(AND(AE156="SP AVERE",AA156&lt;&gt;$FU$1),MAX($FT$2:FT155)+1,IF(AND(GQ156="SP AVERE",AA156&lt;&gt;$FU$1),MAX($FT$2:FT155)+1,""))</f>
        <v/>
      </c>
      <c r="FU156" s="259">
        <f t="shared" ca="1" si="437"/>
        <v>61</v>
      </c>
      <c r="FV156" s="259" t="str">
        <f t="shared" si="438"/>
        <v>MERCI C/ESISTENZE INIZIALI</v>
      </c>
      <c r="FW156" s="259" t="str">
        <f ca="1">IFERROR(INDEX($FU$3:$FV$500,MATCH(ROWS($FW$3:FW156),$FU$3:$FU$500,0),2),0)</f>
        <v>DEBITI V/FORNITORI</v>
      </c>
      <c r="FX156" s="259">
        <f t="shared" ca="1" si="439"/>
        <v>154</v>
      </c>
      <c r="FY156" s="259">
        <f t="shared" ca="1" si="440"/>
        <v>0</v>
      </c>
      <c r="FZ156" s="259">
        <f ca="1">IF(FY156&gt;0,MAX($FZ$2:FZ155)+1,0)</f>
        <v>0</v>
      </c>
      <c r="GA156" s="259">
        <f ca="1">IFERROR(INDEX($FY$3:$FZ$500,MATCH(ROWS($GA$3:GA156),$FZ$3:$FZ$500,0),1),0)</f>
        <v>0</v>
      </c>
      <c r="GC156" s="259">
        <f t="shared" ca="1" si="441"/>
        <v>154</v>
      </c>
      <c r="GD156" s="259" t="str">
        <f t="shared" ca="1" si="442"/>
        <v>DEBITI V/FORNITORI</v>
      </c>
      <c r="GG156" s="259">
        <f t="shared" ca="1" si="443"/>
        <v>0</v>
      </c>
      <c r="GH156" s="259">
        <f t="shared" ca="1" si="444"/>
        <v>0</v>
      </c>
      <c r="GI156" s="259">
        <f t="shared" ca="1" si="445"/>
        <v>0</v>
      </c>
      <c r="GJ156" s="259">
        <f t="shared" ca="1" si="446"/>
        <v>0</v>
      </c>
      <c r="GK156" s="259">
        <f t="shared" ca="1" si="447"/>
        <v>0</v>
      </c>
      <c r="GL156" s="259">
        <f t="shared" ca="1" si="447"/>
        <v>0</v>
      </c>
      <c r="GM156" s="259">
        <f ca="1">IF(OR(GK156&gt;0,GL156&gt;0),MAX($GM$2:GM155)+1,0)</f>
        <v>0</v>
      </c>
      <c r="GN156" s="259" t="str">
        <f ca="1">IFERROR(INDEX($GD$3:$GM$400,MATCH(ROWS($GN$3:GN156),$GM$3:$GM$400,0),1),"")</f>
        <v/>
      </c>
      <c r="GO156" s="259" t="str">
        <f ca="1">IFERROR(INDEX($GD$3:$GM$400,MATCH(ROWS($GO$3:GO156),$GM$3:$GM$400,0),8),"")</f>
        <v/>
      </c>
      <c r="GP156" s="259" t="str">
        <f ca="1">IFERROR(INDEX($GD$3:$GM$400,MATCH(ROWS($GP$3:GP156),$GM$3:$GM$400,0),9),"")</f>
        <v/>
      </c>
      <c r="GQ156" s="259">
        <f t="shared" ca="1" si="390"/>
        <v>0</v>
      </c>
      <c r="GR156" s="259">
        <f t="shared" ca="1" si="448"/>
        <v>0</v>
      </c>
      <c r="GS156" s="259" t="str">
        <f t="shared" ca="1" si="449"/>
        <v>chiusura del conto</v>
      </c>
      <c r="GT156" s="259" t="str">
        <f ca="1">IFERROR(INDEX($GD$3:$GS$400,MATCH(ROWS($GT$3:GT156),$GM$3:$GM$400,0),16),"")</f>
        <v/>
      </c>
      <c r="GU156" s="259">
        <f ca="1">IF(GQ156&lt;&gt;0,MAX($GU$2:$GU155)+1,0)</f>
        <v>0</v>
      </c>
      <c r="GV156" s="259">
        <f t="shared" ca="1" si="450"/>
        <v>0</v>
      </c>
      <c r="GW156" s="259" t="str">
        <f ca="1">IF(AND(IFERROR(INDEX($GU$3:$GV$400,MATCH(ROWS($GW$3:GW156),$GU$3:$GU$400,0),2),"")&lt;&gt;"",GW157&lt;&gt;""),CONCATENATE(IFERROR(INDEX($GU$3:$GV$400,MATCH(ROWS($GW$3:GW156),$GU$3:$GU$400,0),2),"")," - "),IFERROR(INDEX($GU$3:$GV$400,MATCH(ROWS($GW$3:GW156),$GU$3:$GU$400,0),2),""))</f>
        <v/>
      </c>
      <c r="GX156" s="259">
        <f ca="1">IF(OR(GN156="IVA NS/CREDITO",GN156="IVA NS/DEBITO",GN156="IVA C/ACCONTO",GN156="IMPOSTE C/ACCONTO"),MAX($GX$2:GX155)+1,0)</f>
        <v>0</v>
      </c>
      <c r="GY156" s="259" t="str">
        <f ca="1">IF(AND(IFERROR(INDEX($GN$3:$GX$200,MATCH(ROWS($GY$3:GY156),$GX$3:$GX$200,0),1),"")&lt;&gt;"",GY157&lt;&gt;""),CONCATENATE(IFERROR(INDEX($GN$3:$GX$200,MATCH(ROWS($GY$3:GY156),$GX$3:$GX$200,0),1),"")," - "),IFERROR(INDEX($GN$3:$GX$200,MATCH(ROWS($GY$3:GY156),$GX$3:$GX$200,0),1),""))</f>
        <v/>
      </c>
      <c r="GZ156" s="259" t="s">
        <v>582</v>
      </c>
      <c r="HA156" s="259" t="s">
        <v>581</v>
      </c>
      <c r="HB156" s="269" t="s">
        <v>256</v>
      </c>
      <c r="HC156" s="269" t="s">
        <v>276</v>
      </c>
      <c r="HD156" s="269" t="s">
        <v>7</v>
      </c>
      <c r="HE156" s="269" t="s">
        <v>214</v>
      </c>
      <c r="HV156" s="259" t="str">
        <f ca="1">CONCATENATE(IFERROR(INDEX($HS$3:$HT$102,MATCH(ROWS($HV$3:HV156),$HT$3:$HT$102,0),1),""),HR156)</f>
        <v/>
      </c>
      <c r="IC156" s="259">
        <f ca="1">IFERROR(INDEX(PIANO_DEI_CONTI,MATCH(ROWS(DL$3:DL156),$DK$3:DK383,0),2),0)</f>
        <v>0</v>
      </c>
      <c r="ID156" s="259">
        <f t="shared" ca="1" si="451"/>
        <v>0</v>
      </c>
      <c r="IE156" s="259">
        <f t="shared" ca="1" si="452"/>
        <v>0</v>
      </c>
      <c r="IF156" s="259">
        <f t="shared" ca="1" si="453"/>
        <v>0</v>
      </c>
      <c r="IG156" s="259">
        <f t="shared" ca="1" si="479"/>
        <v>0</v>
      </c>
      <c r="IH156" s="259">
        <f ca="1">IF(IG156&lt;&gt;0,MAX($IH$35:IH155)+1,0)</f>
        <v>0</v>
      </c>
      <c r="II156" s="259">
        <f>IF(AD156="costi pluriennali",MAX($II$2:II155)+1,0)</f>
        <v>0</v>
      </c>
      <c r="IJ156" s="259">
        <f>IF($AD156="rettifiche costi pluriennali",MAX($IJ$2:IJ155)+1,0)</f>
        <v>0</v>
      </c>
      <c r="IK156" s="259">
        <f t="shared" si="454"/>
        <v>0</v>
      </c>
      <c r="IL156" s="259" t="str">
        <f t="shared" si="455"/>
        <v/>
      </c>
      <c r="IM156" s="259">
        <f t="shared" ca="1" si="456"/>
        <v>0</v>
      </c>
      <c r="IN156" s="259">
        <f t="shared" ca="1" si="470"/>
        <v>0</v>
      </c>
      <c r="IO156" s="259">
        <f>SUMIFS($IM$3:$IM$200,$IK$3:$IK$200,ROWS($IO$3:IO156))-SUMIFS($IN$3:$IN$200,$IK$3:$IK$200,ROWS($IO$3:IO156))</f>
        <v>0</v>
      </c>
      <c r="IP156" s="259" t="str">
        <f>IF(IO156&lt;0,INDEX($IJ$3:$IL$200,MATCH(ROWS($IP$3:IP156),$IJ$3:$IJ$200,0),3),"")</f>
        <v/>
      </c>
      <c r="IQ156" s="259">
        <f>IF(IP156&lt;&gt;"",MAX($IQ$2:IQ155)+1,0)</f>
        <v>0</v>
      </c>
      <c r="IR156" s="259" t="str">
        <f ca="1">IFERROR(INDEX($IP$3:$IQ$200,MATCH(ROWS($IR$3:IR156),$IQ$3:$IQ$200,0),1),"")</f>
        <v/>
      </c>
      <c r="IS156" s="259" t="str">
        <f t="shared" ca="1" si="457"/>
        <v/>
      </c>
      <c r="IT156" s="259" t="str">
        <f t="shared" ca="1" si="458"/>
        <v/>
      </c>
      <c r="IU156" s="259" t="str">
        <f t="shared" ca="1" si="459"/>
        <v/>
      </c>
      <c r="IV156" s="259" t="str">
        <f t="shared" ca="1" si="460"/>
        <v/>
      </c>
      <c r="IW156" s="259" t="str">
        <f t="shared" ca="1" si="461"/>
        <v/>
      </c>
      <c r="IX156" s="259" t="str">
        <f t="shared" ca="1" si="462"/>
        <v/>
      </c>
      <c r="IY156" s="259" t="str">
        <f t="shared" ca="1" si="463"/>
        <v/>
      </c>
      <c r="IZ156" s="259" t="str">
        <f t="shared" ca="1" si="464"/>
        <v/>
      </c>
      <c r="JA156" s="259" t="str">
        <f t="shared" ca="1" si="465"/>
        <v/>
      </c>
      <c r="JB156" s="259">
        <f t="shared" ca="1" si="391"/>
        <v>0</v>
      </c>
      <c r="JC156" s="259">
        <f t="shared" ca="1" si="351"/>
        <v>0</v>
      </c>
      <c r="JD156" s="259">
        <f t="shared" ca="1" si="352"/>
        <v>0</v>
      </c>
      <c r="JM156" s="259">
        <f t="shared" ca="1" si="353"/>
        <v>0</v>
      </c>
    </row>
    <row r="157" spans="1:273">
      <c r="A157" s="259" t="str">
        <f t="shared" si="392"/>
        <v>31.16</v>
      </c>
      <c r="B157" s="259" t="str">
        <f t="shared" si="393"/>
        <v>COSTI DI TENUTA C/C</v>
      </c>
      <c r="C157" s="259" t="str">
        <f t="shared" si="394"/>
        <v>E</v>
      </c>
      <c r="D157" s="259" t="str">
        <f t="shared" si="395"/>
        <v>D</v>
      </c>
      <c r="E157" s="259" t="str">
        <f t="shared" si="396"/>
        <v>COSTI D'ESERCIZIO</v>
      </c>
      <c r="F157" s="259" t="str">
        <f t="shared" si="397"/>
        <v>SE DARE</v>
      </c>
      <c r="G157" s="259">
        <f t="shared" ca="1" si="398"/>
        <v>1</v>
      </c>
      <c r="H157" s="259">
        <f t="shared" ca="1" si="399"/>
        <v>1</v>
      </c>
      <c r="I157" s="259">
        <f t="shared" ca="1" si="400"/>
        <v>1</v>
      </c>
      <c r="K157" s="259" t="str">
        <f ca="1">IFERROR(IF($I$1=1,INDEX($AA$3:$AS$220,MATCH(ROWS($K$3:K157),$AQ$3:$AQ$220,0),1),IF($I$1=2,INDEX($AA$3:$AS$220,MATCH(ROWS($K$3:K157),$AR$3:$AR$220,0),1),IF($I$1=3,INDEX($AA$3:$AS$220,MATCH(ROWS($K$3:K157),$AS$3:$AS$220,0),1),""))),"")</f>
        <v>ACCANTONAMENTO PER MANUTENZIONI PROGRAMMATE</v>
      </c>
      <c r="L157" s="259">
        <f ca="1">IF(AND($L$1="VISUALIZZA TUTTI I CONTI",K157&lt;&gt;""),MAX(L156:L156)+1,IFERROR(IF($J$1=1,IF(INDEX(PIANO_DEI_CONTI,MATCH($K157,DENOMINAZIONE,0),5)=$L$1,MAX($L$2:L156)+1,0),IF($J$1=2,IF(INDEX(PIANO_DEI_CONTI,MATCH($K157,DENOMINAZIONE,0),7)=$L$1,MAX($L$2:L156)+1,0))),0))</f>
        <v>155</v>
      </c>
      <c r="M157" s="259" t="str">
        <f ca="1">IFERROR(INDEX($K$3:$K$220,MATCH(ROWS($M$3:M157),$L$3:$L$220,0),1),"")</f>
        <v>ACCANTONAMENTO PER MANUTENZIONI PROGRAMMATE</v>
      </c>
      <c r="R157" s="259" t="str">
        <f t="shared" ca="1" si="366"/>
        <v/>
      </c>
      <c r="S157" s="259">
        <f ca="1">IF(IFERROR(MATCH(R157,DENOMINAZIONE_GIORNALE,0),0)&gt;0,MAX(S$2:S156)+1,0)</f>
        <v>0</v>
      </c>
      <c r="T157" s="259" t="str">
        <f ca="1">IFERROR(INDEX($R$3:$S$220,MATCH(ROWS($T$3:T157),$S$3:$S$220,0),1),"")</f>
        <v/>
      </c>
      <c r="U157" s="259">
        <f t="shared" ca="1" si="367"/>
        <v>0</v>
      </c>
      <c r="V157" s="259">
        <f ca="1">IF(IF(U157&lt;&gt;0,MAX($V$2:V156)+1,0)=0,0,IF(U157&lt;&gt;0,MAX($V$2:V156)+1,0))</f>
        <v>0</v>
      </c>
      <c r="W157" s="259" t="str">
        <f t="shared" si="401"/>
        <v>31.16</v>
      </c>
      <c r="X157" s="259" t="str">
        <f t="shared" si="402"/>
        <v>COSTI DI TENUTA C/C</v>
      </c>
      <c r="Y157" s="259">
        <f>IF(W157="",0,MAX($Y$2:Y156)+1)</f>
        <v>135</v>
      </c>
      <c r="Z157" s="259" t="str">
        <f>IFERROR(INDEX($W$3:$Y$220,MATCH(ROWS($Z$2:Z156),$Y$3:$Y$220,0),1),"")</f>
        <v>37.02</v>
      </c>
      <c r="AA157" s="259" t="str">
        <f t="shared" si="403"/>
        <v>MATERIE DI CONSUMO C/ESISTENZE INIZIALI</v>
      </c>
      <c r="AB157" s="259" t="str">
        <f t="shared" si="404"/>
        <v>E</v>
      </c>
      <c r="AC157" s="259" t="str">
        <f t="shared" si="405"/>
        <v>D</v>
      </c>
      <c r="AD157" s="259" t="str">
        <f t="shared" si="406"/>
        <v>COSTI D'ESERCIZIO</v>
      </c>
      <c r="AE157" s="259" t="str">
        <f t="shared" si="407"/>
        <v>SE DARE</v>
      </c>
      <c r="AF157" s="259" t="str">
        <f t="shared" si="408"/>
        <v>VARIAZIONI RIMANENZE MERCI E MATERIE DI CONSUMO</v>
      </c>
      <c r="AG157" s="259">
        <f t="shared" ca="1" si="409"/>
        <v>0</v>
      </c>
      <c r="AH157" s="259">
        <f t="shared" ca="1" si="410"/>
        <v>0</v>
      </c>
      <c r="AI157" s="259">
        <f t="shared" ca="1" si="411"/>
        <v>1</v>
      </c>
      <c r="AJ157" s="259" t="str">
        <f t="shared" si="412"/>
        <v>37</v>
      </c>
      <c r="AK157" s="259" t="str">
        <f t="shared" si="413"/>
        <v/>
      </c>
      <c r="AL157" s="259">
        <f>IF(AK157&lt;&gt;"",MAX($AL$2:AL156)+1,0)</f>
        <v>0</v>
      </c>
      <c r="AM157" s="259" t="str">
        <f>IFERROR(INDEX($AK$3:$AL$220,MATCH(ROWS($AM$3:AM157),$AL$3:$AL$220,0),1),"")</f>
        <v/>
      </c>
      <c r="AN157" s="259" t="str">
        <f t="shared" si="414"/>
        <v/>
      </c>
      <c r="AO157" s="259" t="str">
        <f t="shared" si="415"/>
        <v/>
      </c>
      <c r="AP157" s="259" t="str">
        <f t="shared" si="416"/>
        <v>VARIAZIONI RIMANENZE MERCI E MATERIE DI CONSUMO</v>
      </c>
      <c r="AQ157" s="259">
        <f ca="1">IF(OR(AG157=0,AG157=""),0,MAX(AQ$2:AQ156)+1)</f>
        <v>0</v>
      </c>
      <c r="AR157" s="259">
        <f ca="1">IF(OR(AH157=0,AH157=""),0,MAX(AR$2:AR156)+1)</f>
        <v>0</v>
      </c>
      <c r="AS157" s="259">
        <f ca="1">IF(OR(AI157=0,AI157=""),0,MAX(AS$2:AS156)+1)</f>
        <v>151</v>
      </c>
      <c r="AT157" s="259" t="str">
        <f ca="1">IFERROR(INDEX($AD$3:$AS$220,MATCH(ROWS(AT$3:AT157),AQ$3:AQ$220,0),1),"")</f>
        <v/>
      </c>
      <c r="AU157" s="259" t="str">
        <f ca="1">IFERROR(INDEX($AD$3:$AS$220,MATCH(ROWS(AU$3:AU157),AR$3:AR$220,0),1),"")</f>
        <v/>
      </c>
      <c r="AV157" s="259" t="str">
        <f ca="1">IFERROR(INDEX($AD$3:$AS$220,MATCH(ROWS(AV$3:AV157),AS$3:AS$220,0),1),"")</f>
        <v>COSTI D'ESERCIZIO</v>
      </c>
      <c r="AW157" s="259" t="str">
        <f ca="1">IFERROR(INDEX($AP$3:$AS$220,MATCH(ROWS(AW$3:AW157),AQ$3:AQ$220,0),1),"")</f>
        <v/>
      </c>
      <c r="AX157" s="259" t="str">
        <f ca="1">IFERROR(INDEX($AP$3:$AS$220,MATCH(ROWS(AX$3:AX157),AR$3:AR$220,0),1),"")</f>
        <v/>
      </c>
      <c r="AY157" s="259" t="str">
        <f ca="1">IFERROR(INDEX($AP$3:$AS$220,MATCH(ROWS(AY$3:AY157),AS$3:AS$220,0),1),"")</f>
        <v xml:space="preserve">ACCANTONAMENTI </v>
      </c>
      <c r="AZ157" s="259" t="str">
        <f t="shared" si="339"/>
        <v>55 V.I.</v>
      </c>
      <c r="BA157" s="259">
        <f t="shared" ca="1" si="338"/>
        <v>0</v>
      </c>
      <c r="BB157" s="259">
        <f t="shared" ca="1" si="340"/>
        <v>0</v>
      </c>
      <c r="BC157" s="259">
        <f t="shared" ca="1" si="341"/>
        <v>0</v>
      </c>
      <c r="BD157" s="259">
        <f t="shared" ca="1" si="342"/>
        <v>0</v>
      </c>
      <c r="BE157" s="259">
        <f t="shared" ca="1" si="343"/>
        <v>0</v>
      </c>
      <c r="BG157" s="259" t="str">
        <f t="shared" ca="1" si="368"/>
        <v/>
      </c>
      <c r="BH157" s="259">
        <f ca="1">IF(IFERROR(MATCH(BG157,DENOMINAZIONE_GIORNALE,0),0)&gt;0,MAX(BH$2:BH156)+1,0)</f>
        <v>0</v>
      </c>
      <c r="BI157" s="259" t="str">
        <f ca="1">IFERROR(INDEX($BG$3:$BH$220,MATCH(ROWS($BI$3:BI157),$BH$3:$BH$220,0),1),"")</f>
        <v/>
      </c>
      <c r="BJ157" s="259" t="str">
        <f t="shared" ca="1" si="369"/>
        <v/>
      </c>
      <c r="BK157" s="259" t="str">
        <f ca="1">IF(IF(BJ157&lt;&gt;"",MAX($BK$2:BK156)+1,0)=0,"",IF(BJ157&lt;&gt;"",MAX($BK$2:BK156)+1,0))</f>
        <v/>
      </c>
      <c r="BL157" s="259" t="str">
        <f ca="1">IFERROR(INDEX($T$3:$U$220, MATCH(ROWS(BL$3:BL157),$V$3:$V$220,0),1),"")</f>
        <v/>
      </c>
      <c r="BM157" s="259" t="str">
        <f ca="1">IFERROR(INDEX($T$3:$U$220, MATCH(ROWS(BM$3:BM157),$V$3:$V$220,0),2),"")</f>
        <v/>
      </c>
      <c r="BN157" s="259" t="str">
        <f ca="1">IF(IFERROR(INDEX($BI$3:$BJ$220,MATCH(ROWS(BN$3:BN157),$BK$3:$BK$220,0),1),"")="PATRIMONIO NETTO","",IFERROR(INDEX($BI$3:$BJ$220,MATCH(ROWS(BN$3:BN157),$BK$3:$BK$220,0),1),""))</f>
        <v/>
      </c>
      <c r="BO157" s="259" t="str">
        <f ca="1">IFERROR(INDEX($BI$3:$BJ$220,MATCH(ROWS(BO$3:BO157),$BK$3:$BK$220,0),2),"")</f>
        <v/>
      </c>
      <c r="BP157" s="259">
        <f ca="1">IF(BN157&lt;&gt;"",MAX(BP$2:$BP156)+1,0)</f>
        <v>0</v>
      </c>
      <c r="BQ157" s="259" t="str">
        <f ca="1">IFERROR(INDEX($BN$3:$BO$200,MATCH(ROWS(BQ$3:BQ157),$BP$3:$BP$220,0),1),"")</f>
        <v/>
      </c>
      <c r="BR157" s="259" t="str">
        <f ca="1">IFERROR(INDEX($BN$3:$BO$220,MATCH(ROWS(BR$3:BR157),$BP$3:$BP$220,0),2),"")</f>
        <v/>
      </c>
      <c r="BS157" s="259" t="str">
        <f ca="1">IFERROR(IF(OR(INDEX($T$3:$U$220,MATCH(ROWS(BL$3:BL157),$V$3:$V$220,0),1)="PRELEVAMENTI EXTRAGESTIONE",INDEX($T$3:$U$220,MATCH(ROWS(BL$3:BL157),$V$3:$V$220,0),1)="TITOLARE C/RITENUTE SUBITE"),"",INDEX($T$3:$U$220,MATCH(ROWS(BL$3:BL157),$V$3:$V$220,0),1)),"")</f>
        <v/>
      </c>
      <c r="BT157" s="259">
        <f t="shared" ca="1" si="417"/>
        <v>0</v>
      </c>
      <c r="BU157" s="259">
        <f ca="1">IF(BS157&lt;&gt;"",MAX(BU$2:BU156)+1,0)</f>
        <v>0</v>
      </c>
      <c r="BV157" s="259" t="str">
        <f ca="1">IFERROR(INDEX($BS$3:$BT$223,MATCH(ROWS(BV$3:BV157),$BU$3:$BU$223,0),1),"")</f>
        <v/>
      </c>
      <c r="BW157" s="259">
        <f t="shared" ca="1" si="418"/>
        <v>0</v>
      </c>
      <c r="CB157" s="259" t="str">
        <f ca="1">IFERROR(IF(OR($BB$1&lt;&gt;$BD$1,$BC$1&lt;&gt;$BE$1,$DS$231&lt;&gt;$DT$231,$DU$231&lt;&gt;$DV$231,$EO$25&lt;&gt;0,$EO$26&lt;&gt;0),INDEX($BI$3:$BK$220,MATCH(ROWS($CB$3:CB157),$BK$3:$BK$220,0),1),CONCATENATE(BQ157,BX157)),"")</f>
        <v/>
      </c>
      <c r="CC157" s="259" t="str">
        <f t="shared" ca="1" si="419"/>
        <v/>
      </c>
      <c r="CD157" s="259" t="str">
        <f t="shared" ca="1" si="370"/>
        <v>MATERIE DI CONSUMO C/ESISTENZE INIZIALI</v>
      </c>
      <c r="CE157" s="259">
        <f ca="1">IF(IFERROR(MATCH(CD157,DENOMINAZIONE_GIORNALE,0),0)&gt;0,MAX(CE$2:CE156)+1,0)</f>
        <v>0</v>
      </c>
      <c r="CF157" s="259" t="str">
        <f ca="1">IFERROR(INDEX($CD$3:$CE$220,MATCH(ROWS($CF$3:CF157),$CE$3:$CE$220,0),1),"")</f>
        <v/>
      </c>
      <c r="CG157" s="259">
        <f t="shared" ca="1" si="371"/>
        <v>0</v>
      </c>
      <c r="CH157" s="259" t="str">
        <f ca="1">IF(IF(CG157&lt;&gt;0,MAX($CH$2:CH156)+1,0)=0,"",IF(CG157&lt;&gt;"",MAX($CH$2:CH156)+1,0))</f>
        <v/>
      </c>
      <c r="CI157" s="259" t="str">
        <f ca="1">IFERROR(INDEX($CF$3:$CG$220,MATCH(ROWS($CI$3:CI157),$CH$3:$CH$220,0),1),"")</f>
        <v/>
      </c>
      <c r="CJ157" s="259" t="str">
        <f t="shared" ca="1" si="420"/>
        <v/>
      </c>
      <c r="CK157" s="259" t="str">
        <f t="shared" ca="1" si="372"/>
        <v/>
      </c>
      <c r="CL157" s="259">
        <f ca="1">IF(IFERROR(MATCH(CK157,DENOMINAZIONE_GIORNALE,0),0)&gt;0,MAX(CL$2:CL156)+1,0)</f>
        <v>0</v>
      </c>
      <c r="CM157" s="259" t="str">
        <f ca="1">IFERROR(INDEX($CK$3:$CL$220,MATCH(ROWS($CM$3:CM157),$CL$3:$CL$220,0),1),"")</f>
        <v/>
      </c>
      <c r="CN157" s="259" t="str">
        <f t="shared" ca="1" si="373"/>
        <v/>
      </c>
      <c r="CO157" s="259">
        <f ca="1">IF(IF(CN157&lt;&gt;0,MAX($CO$2:CO156)+1,0)=0,"",IF(CN157&lt;&gt;"",MAX($CO$2:CO156)+1,0))</f>
        <v>0</v>
      </c>
      <c r="CP157" s="259" t="str">
        <f ca="1">IFERROR(INDEX($CM$3:$CN$220,MATCH(ROWS(CP$3:CP157),$CO$3:$CO$220,0),1),"")</f>
        <v/>
      </c>
      <c r="CQ157" s="259" t="str">
        <f ca="1">IFERROR(INDEX($CM$3:$CN$220,MATCH(ROWS(CQ$3:CQ157),$CO$3:$CO$220,0),2),"")</f>
        <v/>
      </c>
      <c r="CS157" s="259">
        <f t="shared" ca="1" si="374"/>
        <v>0</v>
      </c>
      <c r="CT157" s="259">
        <f t="shared" ca="1" si="375"/>
        <v>0</v>
      </c>
      <c r="CU157" s="259">
        <f ca="1">IF(OR(CS157&gt;0,CT157&gt;0),MAX($CU$2:CU156)+1,0)</f>
        <v>0</v>
      </c>
      <c r="CV157" s="259" t="str">
        <f ca="1">IFERROR(INDEX(PIANO_DEI_CONTI,MATCH(ROWS($CV$3:CV157),$CU$3:$CU$200,0),2),"")</f>
        <v/>
      </c>
      <c r="CW157" s="259">
        <f ca="1">IFERROR(IF(CV157&lt;&gt;"",MAX($CW$2:CW156)+1,0),0)</f>
        <v>0</v>
      </c>
      <c r="CX157" s="259">
        <f t="shared" ca="1" si="472"/>
        <v>9</v>
      </c>
      <c r="CY157" s="259" t="str">
        <f t="shared" ca="1" si="469"/>
        <v>MASTRO</v>
      </c>
      <c r="CZ157" s="259" t="e">
        <f t="shared" ca="1" si="474"/>
        <v>#N/A</v>
      </c>
      <c r="DA157" s="259" t="str">
        <f t="shared" ca="1" si="480"/>
        <v/>
      </c>
      <c r="DB157" s="259" t="str">
        <f t="shared" ca="1" si="475"/>
        <v/>
      </c>
      <c r="DC157" s="259" t="str">
        <f t="shared" ca="1" si="476"/>
        <v/>
      </c>
      <c r="DD157" s="259" t="str">
        <f t="shared" ca="1" si="477"/>
        <v/>
      </c>
      <c r="DE157" s="259" t="str">
        <f t="shared" ca="1" si="478"/>
        <v/>
      </c>
      <c r="DF157" s="259">
        <f ca="1">IF(AND(CX157=$DE$2,$DF$2&lt;&gt;0),0,IF(AND(DB157&lt;&gt;"",OR(DB156&lt;&gt;"",DB158&lt;&gt;"")),MAX($DF$2:DF156)+1,0))</f>
        <v>0</v>
      </c>
      <c r="DG157" s="259" t="str">
        <f>IF(IF(LIBRO_GIORNALE!E65="","",IFERROR(INDEX(PIANO_DEI_CONTI,MATCH(BB157,DENOMINAZIONE,0),1),0))=0,"",IF(LIBRO_GIORNALE!E65="","",IFERROR(INDEX(PIANO_DEI_CONTI,MATCH(BB157,DENOMINAZIONE,0),1),0)))</f>
        <v/>
      </c>
      <c r="DH157" s="259">
        <f ca="1">IFERROR(IF($J$1=1,IF(INDEX(PIANO_DEI_CONTI,MATCH($K157,DENOMINAZIONE,0),5)=$DF$1,MAX($DH$2:DH156)+1,0),IF($J$1=2,IF(INDEX(PIANO_DEI_CONTI,MATCH($K157,DENOMINAZIONE,0),7)=$DF$1,MAX($DH$2:DH156)+1,0))),0)</f>
        <v>0</v>
      </c>
      <c r="DI157" s="259">
        <f ca="1">IFERROR(INDEX($K$3:$K$220,MATCH(ROWS($DI$3:DI157),$DH$3:$DH$220,0),1),0)</f>
        <v>0</v>
      </c>
      <c r="DJ157" s="259">
        <f t="shared" ca="1" si="381"/>
        <v>0</v>
      </c>
      <c r="DK157" s="259">
        <f ca="1">IF(DJ157=0,0,MAX(DK$2:DK156)+1)</f>
        <v>0</v>
      </c>
      <c r="DL157" s="259">
        <f ca="1">IFERROR(INDEX(PIANO_DEI_CONTI,MATCH(ROWS(DL$3:DL157),$DK$3:DK384,0),2),0)</f>
        <v>0</v>
      </c>
      <c r="DM157" s="259">
        <f t="shared" ca="1" si="382"/>
        <v>0</v>
      </c>
      <c r="DN157" s="259">
        <f t="shared" ca="1" si="383"/>
        <v>0</v>
      </c>
      <c r="DO157" s="259">
        <f t="shared" ca="1" si="422"/>
        <v>0</v>
      </c>
      <c r="DP157" s="259">
        <f t="shared" ca="1" si="423"/>
        <v>0</v>
      </c>
      <c r="DQ157" s="259">
        <f ca="1">IF(OR($DQ$1="TOTALI",$DQ$1="TOTALI ED ECCEDENZE"),IF(OR(DM157&gt;0,DN157&gt;0),MAX(DQ$2:DQ156)+1,0),IF($DQ$1="ECCEDENZE",IF(OR(DO157&gt;0,DP157&gt;0),MAX(DQ$2:DQ156)+1,0),""))</f>
        <v>0</v>
      </c>
      <c r="DR157" s="259" t="str">
        <f ca="1">IFERROR(INDEX($DL$3:$DQ$230,MATCH(ROWS(DR$3:DR157),$DQ$3:$DQ$230,0),1),"")</f>
        <v/>
      </c>
      <c r="DS157" s="259" t="str">
        <f t="shared" ca="1" si="424"/>
        <v/>
      </c>
      <c r="DT157" s="259" t="str">
        <f t="shared" ca="1" si="425"/>
        <v/>
      </c>
      <c r="DU157" s="259" t="str">
        <f t="shared" ca="1" si="426"/>
        <v/>
      </c>
      <c r="DV157" s="259" t="str">
        <f t="shared" ca="1" si="427"/>
        <v/>
      </c>
      <c r="DW157" s="259">
        <f t="shared" ca="1" si="428"/>
        <v>0</v>
      </c>
      <c r="DX157" s="259" t="str">
        <f t="shared" ca="1" si="429"/>
        <v/>
      </c>
      <c r="DY157" s="259" t="str">
        <f t="shared" ca="1" si="430"/>
        <v/>
      </c>
      <c r="DZ157" s="259" t="str">
        <f t="shared" ca="1" si="431"/>
        <v/>
      </c>
      <c r="EB157" s="259" t="s">
        <v>382</v>
      </c>
      <c r="ED157" s="259">
        <f t="shared" ca="1" si="384"/>
        <v>0</v>
      </c>
      <c r="EH157" s="259" t="str">
        <f t="shared" ca="1" si="432"/>
        <v/>
      </c>
      <c r="EI157" s="260" t="b">
        <f t="shared" ca="1" si="466"/>
        <v>1</v>
      </c>
      <c r="EJ157" s="260" t="b">
        <f t="shared" ca="1" si="467"/>
        <v>1</v>
      </c>
      <c r="EK157" s="260" t="b">
        <f t="shared" ca="1" si="468"/>
        <v>1</v>
      </c>
      <c r="EL157" s="259">
        <f t="shared" si="433"/>
        <v>155</v>
      </c>
      <c r="EM157" s="259">
        <f ca="1">IF(AND(BA157&gt;0,BA157&lt;=$EM$1),MAX($EM$2:EM156)+1,0)</f>
        <v>0</v>
      </c>
      <c r="EN157" s="259">
        <f t="shared" ca="1" si="434"/>
        <v>157</v>
      </c>
      <c r="EP157" s="259" t="str">
        <f t="shared" ca="1" si="385"/>
        <v/>
      </c>
      <c r="EQ157" s="259">
        <f t="shared" ca="1" si="386"/>
        <v>0</v>
      </c>
      <c r="ER157" s="259">
        <f ca="1">IF(ISNA(EQ157),MAX(ER$2:ER156)+1,0)</f>
        <v>0</v>
      </c>
      <c r="ES157" s="259" t="str">
        <f t="shared" ca="1" si="435"/>
        <v/>
      </c>
      <c r="ET157" s="259" t="str">
        <f ca="1">IFERROR(UPPER(INDEX($ER$3:$ES$500,MATCH(ROWS(ET$3:ET157),$ER$3:$ER$500,0),2)),"")</f>
        <v/>
      </c>
      <c r="EW157" s="259">
        <f t="shared" ca="1" si="344"/>
        <v>1</v>
      </c>
      <c r="EX157" s="259">
        <v>55</v>
      </c>
      <c r="EY157" s="259">
        <f t="shared" ca="1" si="345"/>
        <v>0</v>
      </c>
      <c r="EZ157" s="259">
        <f t="shared" ca="1" si="346"/>
        <v>0</v>
      </c>
      <c r="FA157" s="259">
        <f t="shared" ca="1" si="347"/>
        <v>0</v>
      </c>
      <c r="FB157" s="259">
        <f t="shared" ca="1" si="348"/>
        <v>0</v>
      </c>
      <c r="FC157" s="259">
        <f t="shared" ca="1" si="349"/>
        <v>0</v>
      </c>
      <c r="FD157" s="259">
        <f t="shared" ca="1" si="387"/>
        <v>0</v>
      </c>
      <c r="FE157" s="259" t="str">
        <f t="shared" ca="1" si="388"/>
        <v/>
      </c>
      <c r="FF157" s="259" t="str">
        <f t="shared" ca="1" si="350"/>
        <v/>
      </c>
      <c r="FM157" s="259">
        <f t="shared" ca="1" si="389"/>
        <v>0</v>
      </c>
      <c r="FN157" s="259">
        <f ca="1">IF(FM157&lt;0,MAX($FN$2:FN156)+1,0)</f>
        <v>0</v>
      </c>
      <c r="FO157" s="259" t="str">
        <f t="shared" ca="1" si="436"/>
        <v/>
      </c>
      <c r="FP157" s="259" t="str">
        <f ca="1">IFERROR(INDEX($FN$3:$FO$400,MATCH(ROWS($FP$3:FP157),$FN$3:$FN$400,0),2),"")</f>
        <v/>
      </c>
      <c r="FQ157" s="259" t="str">
        <f>IF(AE157="SE AVERE",MAX($FQ$2:FQ156)+1,"")</f>
        <v/>
      </c>
      <c r="FR157" s="259">
        <f>IF(AE157="SE DARE",MAX($FR$2:FR156)+1,"")</f>
        <v>62</v>
      </c>
      <c r="FS157" s="259" t="str">
        <f ca="1">IF(AND(AE157="SP DARE",AA157&lt;&gt;$FS$1,AA157&lt;&gt;$FT$1),MAX($FS$2:FS156)+1,IF(AND(GQ157="SP DARE",AA157&lt;&gt;$FS$1,AA157&lt;&gt;$FT$1),MAX($FS$2:FS156)+1,""))</f>
        <v/>
      </c>
      <c r="FT157" s="259" t="str">
        <f ca="1">IF(AND(AE157="SP AVERE",AA157&lt;&gt;$FU$1),MAX($FT$2:FT156)+1,IF(AND(GQ157="SP AVERE",AA157&lt;&gt;$FU$1),MAX($FT$2:FT156)+1,""))</f>
        <v/>
      </c>
      <c r="FU157" s="259">
        <f t="shared" ca="1" si="437"/>
        <v>62</v>
      </c>
      <c r="FV157" s="259" t="str">
        <f t="shared" si="438"/>
        <v>MATERIE DI CONSUMO C/ESISTENZE INIZIALI</v>
      </c>
      <c r="FW157" s="259" t="str">
        <f ca="1">IFERROR(INDEX($FU$3:$FV$500,MATCH(ROWS($FW$3:FW157),$FU$3:$FU$500,0),2),0)</f>
        <v>FATTURE DA RICEVERE</v>
      </c>
      <c r="FX157" s="259">
        <f t="shared" ca="1" si="439"/>
        <v>155</v>
      </c>
      <c r="FY157" s="259">
        <f t="shared" ca="1" si="440"/>
        <v>0</v>
      </c>
      <c r="FZ157" s="259">
        <f ca="1">IF(FY157&gt;0,MAX($FZ$2:FZ156)+1,0)</f>
        <v>0</v>
      </c>
      <c r="GA157" s="259">
        <f ca="1">IFERROR(INDEX($FY$3:$FZ$500,MATCH(ROWS($GA$3:GA157),$FZ$3:$FZ$500,0),1),0)</f>
        <v>0</v>
      </c>
      <c r="GC157" s="259">
        <f t="shared" ca="1" si="441"/>
        <v>155</v>
      </c>
      <c r="GD157" s="259" t="str">
        <f t="shared" ca="1" si="442"/>
        <v>FATTURE DA RICEVERE</v>
      </c>
      <c r="GG157" s="259">
        <f t="shared" ca="1" si="443"/>
        <v>0</v>
      </c>
      <c r="GH157" s="259">
        <f t="shared" ca="1" si="444"/>
        <v>0</v>
      </c>
      <c r="GI157" s="259">
        <f t="shared" ca="1" si="445"/>
        <v>0</v>
      </c>
      <c r="GJ157" s="259">
        <f t="shared" ca="1" si="446"/>
        <v>0</v>
      </c>
      <c r="GK157" s="259">
        <f t="shared" ca="1" si="447"/>
        <v>0</v>
      </c>
      <c r="GL157" s="259">
        <f t="shared" ca="1" si="447"/>
        <v>0</v>
      </c>
      <c r="GM157" s="259">
        <f ca="1">IF(OR(GK157&gt;0,GL157&gt;0),MAX($GM$2:GM156)+1,0)</f>
        <v>0</v>
      </c>
      <c r="GN157" s="259" t="str">
        <f ca="1">IFERROR(INDEX($GD$3:$GM$400,MATCH(ROWS($GN$3:GN157),$GM$3:$GM$400,0),1),"")</f>
        <v/>
      </c>
      <c r="GO157" s="259" t="str">
        <f ca="1">IFERROR(INDEX($GD$3:$GM$400,MATCH(ROWS($GO$3:GO157),$GM$3:$GM$400,0),8),"")</f>
        <v/>
      </c>
      <c r="GP157" s="259" t="str">
        <f ca="1">IFERROR(INDEX($GD$3:$GM$400,MATCH(ROWS($GP$3:GP157),$GM$3:$GM$400,0),9),"")</f>
        <v/>
      </c>
      <c r="GQ157" s="259">
        <f t="shared" ca="1" si="390"/>
        <v>0</v>
      </c>
      <c r="GR157" s="259">
        <f t="shared" ca="1" si="448"/>
        <v>0</v>
      </c>
      <c r="GS157" s="259" t="str">
        <f t="shared" ca="1" si="449"/>
        <v>chiusura del conto</v>
      </c>
      <c r="GT157" s="259" t="str">
        <f ca="1">IFERROR(INDEX($GD$3:$GS$400,MATCH(ROWS($GT$3:GT157),$GM$3:$GM$400,0),16),"")</f>
        <v/>
      </c>
      <c r="GU157" s="259">
        <f ca="1">IF(GQ157&lt;&gt;0,MAX($GU$2:$GU156)+1,0)</f>
        <v>0</v>
      </c>
      <c r="GV157" s="259">
        <f t="shared" ca="1" si="450"/>
        <v>0</v>
      </c>
      <c r="GW157" s="259" t="str">
        <f ca="1">IF(AND(IFERROR(INDEX($GU$3:$GV$400,MATCH(ROWS($GW$3:GW157),$GU$3:$GU$400,0),2),"")&lt;&gt;"",GW158&lt;&gt;""),CONCATENATE(IFERROR(INDEX($GU$3:$GV$400,MATCH(ROWS($GW$3:GW157),$GU$3:$GU$400,0),2),"")," - "),IFERROR(INDEX($GU$3:$GV$400,MATCH(ROWS($GW$3:GW157),$GU$3:$GU$400,0),2),""))</f>
        <v/>
      </c>
      <c r="GX157" s="259">
        <f ca="1">IF(OR(GN157="IVA NS/CREDITO",GN157="IVA NS/DEBITO",GN157="IVA C/ACCONTO",GN157="IMPOSTE C/ACCONTO"),MAX($GX$2:GX156)+1,0)</f>
        <v>0</v>
      </c>
      <c r="GY157" s="259" t="str">
        <f ca="1">IF(AND(IFERROR(INDEX($GN$3:$GX$200,MATCH(ROWS($GY$3:GY157),$GX$3:$GX$200,0),1),"")&lt;&gt;"",GY158&lt;&gt;""),CONCATENATE(IFERROR(INDEX($GN$3:$GX$200,MATCH(ROWS($GY$3:GY157),$GX$3:$GX$200,0),1),"")," - "),IFERROR(INDEX($GN$3:$GX$200,MATCH(ROWS($GY$3:GY157),$GX$3:$GX$200,0),1),""))</f>
        <v/>
      </c>
      <c r="GZ157" s="259" t="s">
        <v>692</v>
      </c>
      <c r="HA157" s="259" t="s">
        <v>693</v>
      </c>
      <c r="HB157" s="269" t="s">
        <v>256</v>
      </c>
      <c r="HC157" s="269" t="s">
        <v>276</v>
      </c>
      <c r="HD157" s="269" t="s">
        <v>7</v>
      </c>
      <c r="HE157" s="269" t="s">
        <v>214</v>
      </c>
      <c r="HG157" s="270"/>
      <c r="HV157" s="259" t="str">
        <f ca="1">CONCATENATE(IFERROR(INDEX($HS$3:$HT$102,MATCH(ROWS($HV$3:HV157),$HT$3:$HT$102,0),1),""),HR157)</f>
        <v/>
      </c>
      <c r="IC157" s="259">
        <f ca="1">IFERROR(INDEX(PIANO_DEI_CONTI,MATCH(ROWS(DL$3:DL157),$DK$3:DK384,0),2),0)</f>
        <v>0</v>
      </c>
      <c r="ID157" s="259">
        <f t="shared" ca="1" si="451"/>
        <v>0</v>
      </c>
      <c r="IE157" s="259">
        <f t="shared" ca="1" si="452"/>
        <v>0</v>
      </c>
      <c r="IF157" s="259">
        <f t="shared" ca="1" si="453"/>
        <v>0</v>
      </c>
      <c r="IG157" s="259">
        <f t="shared" ca="1" si="479"/>
        <v>0</v>
      </c>
      <c r="IH157" s="259">
        <f ca="1">IF(IG157&lt;&gt;0,MAX($IH$35:IH156)+1,0)</f>
        <v>0</v>
      </c>
      <c r="II157" s="259">
        <f>IF(AD157="costi pluriennali",MAX($II$2:II156)+1,0)</f>
        <v>0</v>
      </c>
      <c r="IJ157" s="259">
        <f>IF($AD157="rettifiche costi pluriennali",MAX($IJ$2:IJ156)+1,0)</f>
        <v>0</v>
      </c>
      <c r="IK157" s="259">
        <f t="shared" si="454"/>
        <v>0</v>
      </c>
      <c r="IL157" s="259" t="str">
        <f t="shared" si="455"/>
        <v/>
      </c>
      <c r="IM157" s="259">
        <f t="shared" ca="1" si="456"/>
        <v>0</v>
      </c>
      <c r="IN157" s="259">
        <f t="shared" ca="1" si="470"/>
        <v>0</v>
      </c>
      <c r="IO157" s="259">
        <f>SUMIFS($IM$3:$IM$200,$IK$3:$IK$200,ROWS($IO$3:IO157))-SUMIFS($IN$3:$IN$200,$IK$3:$IK$200,ROWS($IO$3:IO157))</f>
        <v>0</v>
      </c>
      <c r="IP157" s="259" t="str">
        <f>IF(IO157&lt;0,INDEX($IJ$3:$IL$200,MATCH(ROWS($IP$3:IP157),$IJ$3:$IJ$200,0),3),"")</f>
        <v/>
      </c>
      <c r="IQ157" s="259">
        <f>IF(IP157&lt;&gt;"",MAX($IQ$2:IQ156)+1,0)</f>
        <v>0</v>
      </c>
      <c r="IR157" s="259" t="str">
        <f ca="1">IFERROR(INDEX($IP$3:$IQ$200,MATCH(ROWS($IR$3:IR157),$IQ$3:$IQ$200,0),1),"")</f>
        <v/>
      </c>
      <c r="IS157" s="259" t="str">
        <f t="shared" ca="1" si="457"/>
        <v/>
      </c>
      <c r="IT157" s="259" t="str">
        <f t="shared" ca="1" si="458"/>
        <v/>
      </c>
      <c r="IU157" s="259" t="str">
        <f t="shared" ca="1" si="459"/>
        <v/>
      </c>
      <c r="IV157" s="259" t="str">
        <f t="shared" ca="1" si="460"/>
        <v/>
      </c>
      <c r="IW157" s="259" t="str">
        <f t="shared" ca="1" si="461"/>
        <v/>
      </c>
      <c r="IX157" s="259" t="str">
        <f t="shared" ca="1" si="462"/>
        <v/>
      </c>
      <c r="IY157" s="259" t="str">
        <f t="shared" ca="1" si="463"/>
        <v/>
      </c>
      <c r="IZ157" s="259" t="str">
        <f t="shared" ca="1" si="464"/>
        <v/>
      </c>
      <c r="JA157" s="259" t="str">
        <f t="shared" ca="1" si="465"/>
        <v/>
      </c>
      <c r="JB157" s="259">
        <f t="shared" ca="1" si="391"/>
        <v>0</v>
      </c>
      <c r="JC157" s="259">
        <f t="shared" ca="1" si="351"/>
        <v>0</v>
      </c>
      <c r="JD157" s="259">
        <f t="shared" ca="1" si="352"/>
        <v>0</v>
      </c>
      <c r="JM157" s="259">
        <f t="shared" ca="1" si="353"/>
        <v>0</v>
      </c>
    </row>
    <row r="158" spans="1:273">
      <c r="A158" s="259" t="str">
        <f t="shared" si="392"/>
        <v>31.90</v>
      </c>
      <c r="B158" s="259" t="str">
        <f t="shared" si="393"/>
        <v>COSTI PER SERVIZI</v>
      </c>
      <c r="C158" s="259" t="str">
        <f t="shared" si="394"/>
        <v>E</v>
      </c>
      <c r="D158" s="259" t="str">
        <f t="shared" si="395"/>
        <v>D</v>
      </c>
      <c r="E158" s="259" t="str">
        <f t="shared" si="396"/>
        <v>COSTI D'ESERCIZIO</v>
      </c>
      <c r="F158" s="259" t="str">
        <f t="shared" si="397"/>
        <v>SE DARE</v>
      </c>
      <c r="G158" s="259">
        <f t="shared" ca="1" si="398"/>
        <v>1</v>
      </c>
      <c r="H158" s="259">
        <f t="shared" ca="1" si="399"/>
        <v>1</v>
      </c>
      <c r="I158" s="259">
        <f t="shared" ca="1" si="400"/>
        <v>1</v>
      </c>
      <c r="K158" s="259" t="str">
        <f ca="1">IFERROR(IF($I$1=1,INDEX($AA$3:$AS$220,MATCH(ROWS($K$3:K158),$AQ$3:$AQ$220,0),1),IF($I$1=2,INDEX($AA$3:$AS$220,MATCH(ROWS($K$3:K158),$AR$3:$AR$220,0),1),IF($I$1=3,INDEX($AA$3:$AS$220,MATCH(ROWS($K$3:K158),$AS$3:$AS$220,0),1),""))),"")</f>
        <v>ARROTONDAMENTI PASSIVI</v>
      </c>
      <c r="L158" s="259">
        <f ca="1">IF(AND($L$1="VISUALIZZA TUTTI I CONTI",K158&lt;&gt;""),MAX(L157:L157)+1,IFERROR(IF($J$1=1,IF(INDEX(PIANO_DEI_CONTI,MATCH($K158,DENOMINAZIONE,0),5)=$L$1,MAX($L$2:L157)+1,0),IF($J$1=2,IF(INDEX(PIANO_DEI_CONTI,MATCH($K158,DENOMINAZIONE,0),7)=$L$1,MAX($L$2:L157)+1,0))),0))</f>
        <v>156</v>
      </c>
      <c r="M158" s="259" t="str">
        <f ca="1">IFERROR(INDEX($K$3:$K$220,MATCH(ROWS($M$3:M158),$L$3:$L$220,0),1),"")</f>
        <v>ARROTONDAMENTI PASSIVI</v>
      </c>
      <c r="R158" s="259" t="str">
        <f t="shared" ca="1" si="366"/>
        <v/>
      </c>
      <c r="S158" s="259">
        <f ca="1">IF(IFERROR(MATCH(R158,DENOMINAZIONE_GIORNALE,0),0)&gt;0,MAX(S$2:S157)+1,0)</f>
        <v>0</v>
      </c>
      <c r="T158" s="259" t="str">
        <f ca="1">IFERROR(INDEX($R$3:$S$220,MATCH(ROWS($T$3:T158),$S$3:$S$220,0),1),"")</f>
        <v/>
      </c>
      <c r="U158" s="259">
        <f t="shared" ca="1" si="367"/>
        <v>0</v>
      </c>
      <c r="V158" s="259">
        <f ca="1">IF(IF(U158&lt;&gt;0,MAX($V$2:V157)+1,0)=0,0,IF(U158&lt;&gt;0,MAX($V$2:V157)+1,0))</f>
        <v>0</v>
      </c>
      <c r="W158" s="259" t="str">
        <f t="shared" si="401"/>
        <v>31.90</v>
      </c>
      <c r="X158" s="259" t="str">
        <f t="shared" si="402"/>
        <v>COSTI PER SERVIZI</v>
      </c>
      <c r="Y158" s="259">
        <f>IF(W158="",0,MAX($Y$2:Y157)+1)</f>
        <v>136</v>
      </c>
      <c r="Z158" s="259" t="str">
        <f>IFERROR(INDEX($W$3:$Y$220,MATCH(ROWS($Z$2:Z157),$Y$3:$Y$220,0),1),"")</f>
        <v>37.10</v>
      </c>
      <c r="AA158" s="259" t="str">
        <f t="shared" si="403"/>
        <v>MERCI C/RIMANENZE FINALI</v>
      </c>
      <c r="AB158" s="259" t="str">
        <f t="shared" si="404"/>
        <v>E</v>
      </c>
      <c r="AC158" s="259" t="str">
        <f t="shared" si="405"/>
        <v>A</v>
      </c>
      <c r="AD158" s="259" t="str">
        <f t="shared" si="406"/>
        <v>RETTIFICHE COSTI D'ESERCIZIO</v>
      </c>
      <c r="AE158" s="259" t="str">
        <f t="shared" si="407"/>
        <v>SE AVERE</v>
      </c>
      <c r="AF158" s="259" t="str">
        <f t="shared" si="408"/>
        <v>VARIAZIONI RIMANENZE MERCI E MATERIE DI CONSUMO</v>
      </c>
      <c r="AG158" s="259">
        <f t="shared" ca="1" si="409"/>
        <v>0</v>
      </c>
      <c r="AH158" s="259">
        <f t="shared" ca="1" si="410"/>
        <v>0</v>
      </c>
      <c r="AI158" s="259">
        <f t="shared" ca="1" si="411"/>
        <v>1</v>
      </c>
      <c r="AJ158" s="259" t="str">
        <f t="shared" si="412"/>
        <v>37</v>
      </c>
      <c r="AK158" s="259" t="str">
        <f t="shared" si="413"/>
        <v/>
      </c>
      <c r="AL158" s="259">
        <f>IF(AK158&lt;&gt;"",MAX($AL$2:AL157)+1,0)</f>
        <v>0</v>
      </c>
      <c r="AM158" s="259" t="str">
        <f>IFERROR(INDEX($AK$3:$AL$220,MATCH(ROWS($AM$3:AM158),$AL$3:$AL$220,0),1),"")</f>
        <v/>
      </c>
      <c r="AN158" s="259" t="str">
        <f t="shared" si="414"/>
        <v/>
      </c>
      <c r="AO158" s="259" t="str">
        <f t="shared" si="415"/>
        <v/>
      </c>
      <c r="AP158" s="259" t="str">
        <f t="shared" si="416"/>
        <v>VARIAZIONI RIMANENZE MERCI E MATERIE DI CONSUMO</v>
      </c>
      <c r="AQ158" s="259">
        <f ca="1">IF(OR(AG158=0,AG158=""),0,MAX(AQ$2:AQ157)+1)</f>
        <v>0</v>
      </c>
      <c r="AR158" s="259">
        <f ca="1">IF(OR(AH158=0,AH158=""),0,MAX(AR$2:AR157)+1)</f>
        <v>0</v>
      </c>
      <c r="AS158" s="259">
        <f ca="1">IF(OR(AI158=0,AI158=""),0,MAX(AS$2:AS157)+1)</f>
        <v>152</v>
      </c>
      <c r="AT158" s="259" t="str">
        <f ca="1">IFERROR(INDEX($AD$3:$AS$220,MATCH(ROWS(AT$3:AT158),AQ$3:AQ$220,0),1),"")</f>
        <v/>
      </c>
      <c r="AU158" s="259" t="str">
        <f ca="1">IFERROR(INDEX($AD$3:$AS$220,MATCH(ROWS(AU$3:AU158),AR$3:AR$220,0),1),"")</f>
        <v/>
      </c>
      <c r="AV158" s="259" t="str">
        <f ca="1">IFERROR(INDEX($AD$3:$AS$220,MATCH(ROWS(AV$3:AV158),AS$3:AS$220,0),1),"")</f>
        <v>COSTI D'ESERCIZIO</v>
      </c>
      <c r="AW158" s="259" t="str">
        <f ca="1">IFERROR(INDEX($AP$3:$AS$220,MATCH(ROWS(AW$3:AW158),AQ$3:AQ$220,0),1),"")</f>
        <v/>
      </c>
      <c r="AX158" s="259" t="str">
        <f ca="1">IFERROR(INDEX($AP$3:$AS$220,MATCH(ROWS(AX$3:AX158),AR$3:AR$220,0),1),"")</f>
        <v/>
      </c>
      <c r="AY158" s="259" t="str">
        <f ca="1">IFERROR(INDEX($AP$3:$AS$220,MATCH(ROWS(AY$3:AY158),AS$3:AS$220,0),1),"")</f>
        <v>ONERI DIVERSI</v>
      </c>
      <c r="AZ158" s="259" t="str">
        <f t="shared" si="339"/>
        <v>56 V.I.</v>
      </c>
      <c r="BA158" s="259">
        <f t="shared" ca="1" si="338"/>
        <v>0</v>
      </c>
      <c r="BB158" s="259">
        <f t="shared" ca="1" si="340"/>
        <v>0</v>
      </c>
      <c r="BC158" s="259">
        <f t="shared" ca="1" si="341"/>
        <v>0</v>
      </c>
      <c r="BD158" s="259">
        <f t="shared" ca="1" si="342"/>
        <v>0</v>
      </c>
      <c r="BE158" s="259">
        <f t="shared" ca="1" si="343"/>
        <v>0</v>
      </c>
      <c r="BG158" s="259" t="str">
        <f t="shared" ca="1" si="368"/>
        <v/>
      </c>
      <c r="BH158" s="259">
        <f ca="1">IF(IFERROR(MATCH(BG158,DENOMINAZIONE_GIORNALE,0),0)&gt;0,MAX(BH$2:BH157)+1,0)</f>
        <v>0</v>
      </c>
      <c r="BI158" s="259" t="str">
        <f ca="1">IFERROR(INDEX($BG$3:$BH$220,MATCH(ROWS($BI$3:BI158),$BH$3:$BH$220,0),1),"")</f>
        <v/>
      </c>
      <c r="BJ158" s="259" t="str">
        <f t="shared" ca="1" si="369"/>
        <v/>
      </c>
      <c r="BK158" s="259" t="str">
        <f ca="1">IF(IF(BJ158&lt;&gt;"",MAX($BK$2:BK157)+1,0)=0,"",IF(BJ158&lt;&gt;"",MAX($BK$2:BK157)+1,0))</f>
        <v/>
      </c>
      <c r="BL158" s="259" t="str">
        <f ca="1">IFERROR(INDEX($T$3:$U$220, MATCH(ROWS(BL$3:BL158),$V$3:$V$220,0),1),"")</f>
        <v/>
      </c>
      <c r="BM158" s="259" t="str">
        <f ca="1">IFERROR(INDEX($T$3:$U$220, MATCH(ROWS(BM$3:BM158),$V$3:$V$220,0),2),"")</f>
        <v/>
      </c>
      <c r="BN158" s="259" t="str">
        <f ca="1">IF(IFERROR(INDEX($BI$3:$BJ$220,MATCH(ROWS(BN$3:BN158),$BK$3:$BK$220,0),1),"")="PATRIMONIO NETTO","",IFERROR(INDEX($BI$3:$BJ$220,MATCH(ROWS(BN$3:BN158),$BK$3:$BK$220,0),1),""))</f>
        <v/>
      </c>
      <c r="BO158" s="259" t="str">
        <f ca="1">IFERROR(INDEX($BI$3:$BJ$220,MATCH(ROWS(BO$3:BO158),$BK$3:$BK$220,0),2),"")</f>
        <v/>
      </c>
      <c r="BP158" s="259">
        <f ca="1">IF(BN158&lt;&gt;"",MAX(BP$2:$BP157)+1,0)</f>
        <v>0</v>
      </c>
      <c r="BQ158" s="259" t="str">
        <f ca="1">IFERROR(INDEX($BN$3:$BO$200,MATCH(ROWS(BQ$3:BQ158),$BP$3:$BP$220,0),1),"")</f>
        <v/>
      </c>
      <c r="BR158" s="259" t="str">
        <f ca="1">IFERROR(INDEX($BN$3:$BO$220,MATCH(ROWS(BR$3:BR158),$BP$3:$BP$220,0),2),"")</f>
        <v/>
      </c>
      <c r="BS158" s="259" t="str">
        <f ca="1">IFERROR(IF(OR(INDEX($T$3:$U$220,MATCH(ROWS(BL$3:BL158),$V$3:$V$220,0),1)="PRELEVAMENTI EXTRAGESTIONE",INDEX($T$3:$U$220,MATCH(ROWS(BL$3:BL158),$V$3:$V$220,0),1)="TITOLARE C/RITENUTE SUBITE"),"",INDEX($T$3:$U$220,MATCH(ROWS(BL$3:BL158),$V$3:$V$220,0),1)),"")</f>
        <v/>
      </c>
      <c r="BT158" s="259">
        <f t="shared" ca="1" si="417"/>
        <v>0</v>
      </c>
      <c r="BU158" s="259">
        <f ca="1">IF(BS158&lt;&gt;"",MAX(BU$2:BU157)+1,0)</f>
        <v>0</v>
      </c>
      <c r="BV158" s="259" t="str">
        <f ca="1">IFERROR(INDEX($BS$3:$BT$223,MATCH(ROWS(BV$3:BV158),$BU$3:$BU$223,0),1),"")</f>
        <v/>
      </c>
      <c r="BW158" s="259">
        <f t="shared" ca="1" si="418"/>
        <v>0</v>
      </c>
      <c r="CB158" s="259" t="str">
        <f ca="1">IFERROR(IF(OR($BB$1&lt;&gt;$BD$1,$BC$1&lt;&gt;$BE$1,$DS$231&lt;&gt;$DT$231,$DU$231&lt;&gt;$DV$231,$EO$25&lt;&gt;0,$EO$26&lt;&gt;0),INDEX($BI$3:$BK$220,MATCH(ROWS($CB$3:CB158),$BK$3:$BK$220,0),1),CONCATENATE(BQ158,BX158)),"")</f>
        <v/>
      </c>
      <c r="CC158" s="259" t="str">
        <f t="shared" ca="1" si="419"/>
        <v/>
      </c>
      <c r="CD158" s="259" t="str">
        <f t="shared" ca="1" si="370"/>
        <v/>
      </c>
      <c r="CE158" s="259">
        <f ca="1">IF(IFERROR(MATCH(CD158,DENOMINAZIONE_GIORNALE,0),0)&gt;0,MAX(CE$2:CE157)+1,0)</f>
        <v>0</v>
      </c>
      <c r="CF158" s="259" t="str">
        <f ca="1">IFERROR(INDEX($CD$3:$CE$220,MATCH(ROWS($CF$3:CF158),$CE$3:$CE$220,0),1),"")</f>
        <v/>
      </c>
      <c r="CG158" s="259">
        <f t="shared" ca="1" si="371"/>
        <v>0</v>
      </c>
      <c r="CH158" s="259" t="str">
        <f ca="1">IF(IF(CG158&lt;&gt;0,MAX($CH$2:CH157)+1,0)=0,"",IF(CG158&lt;&gt;"",MAX($CH$2:CH157)+1,0))</f>
        <v/>
      </c>
      <c r="CI158" s="259" t="str">
        <f ca="1">IFERROR(INDEX($CF$3:$CG$220,MATCH(ROWS($CI$3:CI158),$CH$3:$CH$220,0),1),"")</f>
        <v/>
      </c>
      <c r="CJ158" s="259" t="str">
        <f t="shared" ca="1" si="420"/>
        <v/>
      </c>
      <c r="CK158" s="259" t="str">
        <f t="shared" ca="1" si="372"/>
        <v>MERCI C/RIMANENZE FINALI</v>
      </c>
      <c r="CL158" s="259">
        <f ca="1">IF(IFERROR(MATCH(CK158,DENOMINAZIONE_GIORNALE,0),0)&gt;0,MAX(CL$2:CL157)+1,0)</f>
        <v>0</v>
      </c>
      <c r="CM158" s="259" t="str">
        <f ca="1">IFERROR(INDEX($CK$3:$CL$220,MATCH(ROWS($CM$3:CM158),$CL$3:$CL$220,0),1),"")</f>
        <v/>
      </c>
      <c r="CN158" s="259" t="str">
        <f t="shared" ca="1" si="373"/>
        <v/>
      </c>
      <c r="CO158" s="259">
        <f ca="1">IF(IF(CN158&lt;&gt;0,MAX($CO$2:CO157)+1,0)=0,"",IF(CN158&lt;&gt;"",MAX($CO$2:CO157)+1,0))</f>
        <v>0</v>
      </c>
      <c r="CP158" s="259" t="str">
        <f ca="1">IFERROR(INDEX($CM$3:$CN$220,MATCH(ROWS(CP$3:CP158),$CO$3:$CO$220,0),1),"")</f>
        <v/>
      </c>
      <c r="CQ158" s="259" t="str">
        <f ca="1">IFERROR(INDEX($CM$3:$CN$220,MATCH(ROWS(CQ$3:CQ158),$CO$3:$CO$220,0),2),"")</f>
        <v/>
      </c>
      <c r="CS158" s="259">
        <f t="shared" ca="1" si="374"/>
        <v>0</v>
      </c>
      <c r="CT158" s="259">
        <f t="shared" ca="1" si="375"/>
        <v>0</v>
      </c>
      <c r="CU158" s="259">
        <f ca="1">IF(OR(CS158&gt;0,CT158&gt;0),MAX($CU$2:CU157)+1,0)</f>
        <v>0</v>
      </c>
      <c r="CV158" s="259" t="str">
        <f ca="1">IFERROR(INDEX(PIANO_DEI_CONTI,MATCH(ROWS($CV$3:CV158),$CU$3:$CU$200,0),2),"")</f>
        <v/>
      </c>
      <c r="CW158" s="259">
        <f ca="1">IFERROR(IF(CV158&lt;&gt;"",MAX($CW$2:CW157)+1,0),0)</f>
        <v>0</v>
      </c>
      <c r="CX158" s="259">
        <f t="shared" ca="1" si="472"/>
        <v>9</v>
      </c>
      <c r="CY158" s="259" t="str">
        <f t="shared" ca="1" si="469"/>
        <v>MASTRO</v>
      </c>
      <c r="CZ158" s="259" t="e">
        <f t="shared" ca="1" si="474"/>
        <v>#N/A</v>
      </c>
      <c r="DA158" s="259" t="str">
        <f t="shared" ca="1" si="480"/>
        <v/>
      </c>
      <c r="DB158" s="259" t="str">
        <f t="shared" ca="1" si="475"/>
        <v/>
      </c>
      <c r="DC158" s="259" t="str">
        <f t="shared" ca="1" si="476"/>
        <v/>
      </c>
      <c r="DD158" s="259" t="str">
        <f t="shared" ca="1" si="477"/>
        <v/>
      </c>
      <c r="DE158" s="259" t="str">
        <f t="shared" ca="1" si="478"/>
        <v/>
      </c>
      <c r="DF158" s="259">
        <f ca="1">IF(AND(CX158=$DE$2,$DF$2&lt;&gt;0),0,IF(AND(DB158&lt;&gt;"",OR(DB157&lt;&gt;"",DB159&lt;&gt;"")),MAX($DF$2:DF157)+1,0))</f>
        <v>0</v>
      </c>
      <c r="DG158" s="259" t="str">
        <f>IF(IF(LIBRO_GIORNALE!E66="","",IFERROR(INDEX(PIANO_DEI_CONTI,MATCH(BB158,DENOMINAZIONE,0),1),0))=0,"",IF(LIBRO_GIORNALE!E66="","",IFERROR(INDEX(PIANO_DEI_CONTI,MATCH(BB158,DENOMINAZIONE,0),1),0)))</f>
        <v/>
      </c>
      <c r="DH158" s="259">
        <f ca="1">IFERROR(IF($J$1=1,IF(INDEX(PIANO_DEI_CONTI,MATCH($K158,DENOMINAZIONE,0),5)=$DF$1,MAX($DH$2:DH157)+1,0),IF($J$1=2,IF(INDEX(PIANO_DEI_CONTI,MATCH($K158,DENOMINAZIONE,0),7)=$DF$1,MAX($DH$2:DH157)+1,0))),0)</f>
        <v>0</v>
      </c>
      <c r="DI158" s="259">
        <f ca="1">IFERROR(INDEX($K$3:$K$220,MATCH(ROWS($DI$3:DI158),$DH$3:$DH$220,0),1),0)</f>
        <v>0</v>
      </c>
      <c r="DJ158" s="259">
        <f t="shared" ca="1" si="381"/>
        <v>0</v>
      </c>
      <c r="DK158" s="259">
        <f ca="1">IF(DJ158=0,0,MAX(DK$2:DK157)+1)</f>
        <v>0</v>
      </c>
      <c r="DL158" s="259">
        <f ca="1">IFERROR(INDEX(PIANO_DEI_CONTI,MATCH(ROWS(DL$3:DL158),$DK$3:DK385,0),2),0)</f>
        <v>0</v>
      </c>
      <c r="DM158" s="259">
        <f t="shared" ca="1" si="382"/>
        <v>0</v>
      </c>
      <c r="DN158" s="259">
        <f t="shared" ca="1" si="383"/>
        <v>0</v>
      </c>
      <c r="DO158" s="259">
        <f t="shared" ca="1" si="422"/>
        <v>0</v>
      </c>
      <c r="DP158" s="259">
        <f t="shared" ca="1" si="423"/>
        <v>0</v>
      </c>
      <c r="DQ158" s="259">
        <f ca="1">IF(OR($DQ$1="TOTALI",$DQ$1="TOTALI ED ECCEDENZE"),IF(OR(DM158&gt;0,DN158&gt;0),MAX(DQ$2:DQ157)+1,0),IF($DQ$1="ECCEDENZE",IF(OR(DO158&gt;0,DP158&gt;0),MAX(DQ$2:DQ157)+1,0),""))</f>
        <v>0</v>
      </c>
      <c r="DR158" s="259" t="str">
        <f ca="1">IFERROR(INDEX($DL$3:$DQ$230,MATCH(ROWS(DR$3:DR158),$DQ$3:$DQ$230,0),1),"")</f>
        <v/>
      </c>
      <c r="DS158" s="259" t="str">
        <f t="shared" ca="1" si="424"/>
        <v/>
      </c>
      <c r="DT158" s="259" t="str">
        <f t="shared" ca="1" si="425"/>
        <v/>
      </c>
      <c r="DU158" s="259" t="str">
        <f t="shared" ca="1" si="426"/>
        <v/>
      </c>
      <c r="DV158" s="259" t="str">
        <f t="shared" ca="1" si="427"/>
        <v/>
      </c>
      <c r="DW158" s="259">
        <f t="shared" ca="1" si="428"/>
        <v>0</v>
      </c>
      <c r="DX158" s="259" t="str">
        <f t="shared" ca="1" si="429"/>
        <v/>
      </c>
      <c r="DY158" s="259" t="str">
        <f t="shared" ca="1" si="430"/>
        <v/>
      </c>
      <c r="DZ158" s="259" t="str">
        <f t="shared" ca="1" si="431"/>
        <v/>
      </c>
      <c r="EB158" s="259" t="s">
        <v>382</v>
      </c>
      <c r="ED158" s="259">
        <f t="shared" ca="1" si="384"/>
        <v>0</v>
      </c>
      <c r="EH158" s="259" t="str">
        <f t="shared" ca="1" si="432"/>
        <v/>
      </c>
      <c r="EI158" s="260" t="b">
        <f t="shared" ca="1" si="466"/>
        <v>1</v>
      </c>
      <c r="EJ158" s="260" t="b">
        <f t="shared" ca="1" si="467"/>
        <v>1</v>
      </c>
      <c r="EK158" s="260" t="b">
        <f t="shared" ca="1" si="468"/>
        <v>1</v>
      </c>
      <c r="EL158" s="259">
        <f t="shared" si="433"/>
        <v>156</v>
      </c>
      <c r="EM158" s="259">
        <f ca="1">IF(AND(BA158&gt;0,BA158&lt;=$EM$1),MAX($EM$2:EM157)+1,0)</f>
        <v>0</v>
      </c>
      <c r="EN158" s="259">
        <f t="shared" ca="1" si="434"/>
        <v>158</v>
      </c>
      <c r="EP158" s="259" t="str">
        <f t="shared" ca="1" si="385"/>
        <v/>
      </c>
      <c r="EQ158" s="259">
        <f t="shared" ca="1" si="386"/>
        <v>0</v>
      </c>
      <c r="ER158" s="259">
        <f ca="1">IF(ISNA(EQ158),MAX(ER$2:ER157)+1,0)</f>
        <v>0</v>
      </c>
      <c r="ES158" s="259" t="str">
        <f t="shared" ca="1" si="435"/>
        <v/>
      </c>
      <c r="ET158" s="259" t="str">
        <f ca="1">IFERROR(UPPER(INDEX($ER$3:$ES$500,MATCH(ROWS(ET$3:ET158),$ER$3:$ER$500,0),2)),"")</f>
        <v/>
      </c>
      <c r="EW158" s="259">
        <f t="shared" ca="1" si="344"/>
        <v>1</v>
      </c>
      <c r="EX158" s="259">
        <v>56</v>
      </c>
      <c r="EY158" s="259">
        <f t="shared" ca="1" si="345"/>
        <v>0</v>
      </c>
      <c r="EZ158" s="259">
        <f t="shared" ca="1" si="346"/>
        <v>0</v>
      </c>
      <c r="FA158" s="259">
        <f t="shared" ca="1" si="347"/>
        <v>0</v>
      </c>
      <c r="FB158" s="259">
        <f t="shared" ca="1" si="348"/>
        <v>0</v>
      </c>
      <c r="FC158" s="259">
        <f t="shared" ca="1" si="349"/>
        <v>0</v>
      </c>
      <c r="FD158" s="259">
        <f t="shared" ca="1" si="387"/>
        <v>0</v>
      </c>
      <c r="FE158" s="259" t="str">
        <f t="shared" ca="1" si="388"/>
        <v/>
      </c>
      <c r="FF158" s="259" t="str">
        <f t="shared" ca="1" si="350"/>
        <v/>
      </c>
      <c r="FM158" s="259">
        <f t="shared" ca="1" si="389"/>
        <v>0</v>
      </c>
      <c r="FN158" s="259">
        <f ca="1">IF(FM158&lt;0,MAX($FN$2:FN157)+1,0)</f>
        <v>0</v>
      </c>
      <c r="FO158" s="259" t="str">
        <f t="shared" ca="1" si="436"/>
        <v/>
      </c>
      <c r="FP158" s="259" t="str">
        <f ca="1">IFERROR(INDEX($FN$3:$FO$400,MATCH(ROWS($FP$3:FP158),$FN$3:$FN$400,0),2),"")</f>
        <v/>
      </c>
      <c r="FQ158" s="259">
        <f>IF(AE158="SE AVERE",MAX($FQ$2:FQ157)+1,"")</f>
        <v>14</v>
      </c>
      <c r="FR158" s="259" t="str">
        <f>IF(AE158="SE DARE",MAX($FR$2:FR157)+1,"")</f>
        <v/>
      </c>
      <c r="FS158" s="259" t="str">
        <f ca="1">IF(AND(AE158="SP DARE",AA158&lt;&gt;$FS$1,AA158&lt;&gt;$FT$1),MAX($FS$2:FS157)+1,IF(AND(GQ158="SP DARE",AA158&lt;&gt;$FS$1,AA158&lt;&gt;$FT$1),MAX($FS$2:FS157)+1,""))</f>
        <v/>
      </c>
      <c r="FT158" s="259" t="str">
        <f ca="1">IF(AND(AE158="SP AVERE",AA158&lt;&gt;$FU$1),MAX($FT$2:FT157)+1,IF(AND(GQ158="SP AVERE",AA158&lt;&gt;$FU$1),MAX($FT$2:FT157)+1,""))</f>
        <v/>
      </c>
      <c r="FU158" s="259">
        <f t="shared" ca="1" si="437"/>
        <v>14</v>
      </c>
      <c r="FV158" s="259" t="str">
        <f t="shared" si="438"/>
        <v>MERCI C/RIMANENZE FINALI</v>
      </c>
      <c r="FW158" s="259" t="str">
        <f ca="1">IFERROR(INDEX($FU$3:$FV$500,MATCH(ROWS($FW$3:FW158),$FU$3:$FU$500,0),2),0)</f>
        <v>DEBITI COMMERCIALI DIVERSI</v>
      </c>
      <c r="FX158" s="259">
        <f t="shared" ca="1" si="439"/>
        <v>156</v>
      </c>
      <c r="FY158" s="259">
        <f t="shared" ca="1" si="440"/>
        <v>0</v>
      </c>
      <c r="FZ158" s="259">
        <f ca="1">IF(FY158&gt;0,MAX($FZ$2:FZ157)+1,0)</f>
        <v>0</v>
      </c>
      <c r="GA158" s="259">
        <f ca="1">IFERROR(INDEX($FY$3:$FZ$500,MATCH(ROWS($GA$3:GA158),$FZ$3:$FZ$500,0),1),0)</f>
        <v>0</v>
      </c>
      <c r="GC158" s="259">
        <f t="shared" ca="1" si="441"/>
        <v>156</v>
      </c>
      <c r="GD158" s="259" t="str">
        <f t="shared" ca="1" si="442"/>
        <v>DEBITI COMMERCIALI DIVERSI</v>
      </c>
      <c r="GG158" s="259">
        <f t="shared" ca="1" si="443"/>
        <v>0</v>
      </c>
      <c r="GH158" s="259">
        <f t="shared" ca="1" si="444"/>
        <v>0</v>
      </c>
      <c r="GI158" s="259">
        <f t="shared" ca="1" si="445"/>
        <v>0</v>
      </c>
      <c r="GJ158" s="259">
        <f t="shared" ca="1" si="446"/>
        <v>0</v>
      </c>
      <c r="GK158" s="259">
        <f t="shared" ca="1" si="447"/>
        <v>0</v>
      </c>
      <c r="GL158" s="259">
        <f t="shared" ca="1" si="447"/>
        <v>0</v>
      </c>
      <c r="GM158" s="259">
        <f ca="1">IF(OR(GK158&gt;0,GL158&gt;0),MAX($GM$2:GM157)+1,0)</f>
        <v>0</v>
      </c>
      <c r="GN158" s="259" t="str">
        <f ca="1">IFERROR(INDEX($GD$3:$GM$400,MATCH(ROWS($GN$3:GN158),$GM$3:$GM$400,0),1),"")</f>
        <v/>
      </c>
      <c r="GO158" s="259" t="str">
        <f ca="1">IFERROR(INDEX($GD$3:$GM$400,MATCH(ROWS($GO$3:GO158),$GM$3:$GM$400,0),8),"")</f>
        <v/>
      </c>
      <c r="GP158" s="259" t="str">
        <f ca="1">IFERROR(INDEX($GD$3:$GM$400,MATCH(ROWS($GP$3:GP158),$GM$3:$GM$400,0),9),"")</f>
        <v/>
      </c>
      <c r="GQ158" s="259">
        <f t="shared" ca="1" si="390"/>
        <v>0</v>
      </c>
      <c r="GR158" s="259">
        <f t="shared" ca="1" si="448"/>
        <v>0</v>
      </c>
      <c r="GS158" s="259" t="str">
        <f t="shared" ca="1" si="449"/>
        <v>chiusura del conto</v>
      </c>
      <c r="GT158" s="259" t="str">
        <f ca="1">IFERROR(INDEX($GD$3:$GS$400,MATCH(ROWS($GT$3:GT158),$GM$3:$GM$400,0),16),"")</f>
        <v/>
      </c>
      <c r="GU158" s="259">
        <f ca="1">IF(GQ158&lt;&gt;0,MAX($GU$2:$GU157)+1,0)</f>
        <v>0</v>
      </c>
      <c r="GV158" s="259">
        <f t="shared" ca="1" si="450"/>
        <v>0</v>
      </c>
      <c r="GW158" s="259" t="str">
        <f ca="1">IF(AND(IFERROR(INDEX($GU$3:$GV$400,MATCH(ROWS($GW$3:GW158),$GU$3:$GU$400,0),2),"")&lt;&gt;"",GW159&lt;&gt;""),CONCATENATE(IFERROR(INDEX($GU$3:$GV$400,MATCH(ROWS($GW$3:GW158),$GU$3:$GU$400,0),2),"")," - "),IFERROR(INDEX($GU$3:$GV$400,MATCH(ROWS($GW$3:GW158),$GU$3:$GU$400,0),2),""))</f>
        <v/>
      </c>
      <c r="GX158" s="259">
        <f ca="1">IF(OR(GN158="IVA NS/CREDITO",GN158="IVA NS/DEBITO",GN158="IVA C/ACCONTO",GN158="IMPOSTE C/ACCONTO"),MAX($GX$2:GX157)+1,0)</f>
        <v>0</v>
      </c>
      <c r="GY158" s="259" t="str">
        <f ca="1">IF(AND(IFERROR(INDEX($GN$3:$GX$200,MATCH(ROWS($GY$3:GY158),$GX$3:$GX$200,0),1),"")&lt;&gt;"",GY159&lt;&gt;""),CONCATENATE(IFERROR(INDEX($GN$3:$GX$200,MATCH(ROWS($GY$3:GY158),$GX$3:$GX$200,0),1),"")," - "),IFERROR(INDEX($GN$3:$GX$200,MATCH(ROWS($GY$3:GY158),$GX$3:$GX$200,0),1),""))</f>
        <v/>
      </c>
      <c r="GZ158" s="259" t="s">
        <v>614</v>
      </c>
      <c r="HA158" s="259" t="s">
        <v>147</v>
      </c>
      <c r="HB158" s="269" t="s">
        <v>256</v>
      </c>
      <c r="HC158" s="269" t="s">
        <v>276</v>
      </c>
      <c r="HD158" s="269" t="s">
        <v>7</v>
      </c>
      <c r="HE158" s="269" t="s">
        <v>214</v>
      </c>
      <c r="HV158" s="259" t="str">
        <f ca="1">CONCATENATE(IFERROR(INDEX($HS$3:$HT$102,MATCH(ROWS($HV$3:HV158),$HT$3:$HT$102,0),1),""),HR158)</f>
        <v/>
      </c>
      <c r="IC158" s="259">
        <f ca="1">IFERROR(INDEX(PIANO_DEI_CONTI,MATCH(ROWS(DL$3:DL158),$DK$3:DK385,0),2),0)</f>
        <v>0</v>
      </c>
      <c r="ID158" s="259">
        <f t="shared" ca="1" si="451"/>
        <v>0</v>
      </c>
      <c r="IE158" s="259">
        <f t="shared" ca="1" si="452"/>
        <v>0</v>
      </c>
      <c r="IF158" s="259">
        <f t="shared" ca="1" si="453"/>
        <v>0</v>
      </c>
      <c r="IG158" s="259">
        <f t="shared" ca="1" si="479"/>
        <v>0</v>
      </c>
      <c r="IH158" s="259">
        <f ca="1">IF(IG158&lt;&gt;0,MAX($IH$35:IH157)+1,0)</f>
        <v>0</v>
      </c>
      <c r="II158" s="259">
        <f>IF(AD158="costi pluriennali",MAX($II$2:II157)+1,0)</f>
        <v>0</v>
      </c>
      <c r="IJ158" s="259">
        <f>IF($AD158="rettifiche costi pluriennali",MAX($IJ$2:IJ157)+1,0)</f>
        <v>0</v>
      </c>
      <c r="IK158" s="259">
        <f t="shared" si="454"/>
        <v>0</v>
      </c>
      <c r="IL158" s="259" t="str">
        <f t="shared" si="455"/>
        <v/>
      </c>
      <c r="IM158" s="259">
        <f t="shared" ca="1" si="456"/>
        <v>0</v>
      </c>
      <c r="IN158" s="259">
        <f t="shared" ca="1" si="470"/>
        <v>0</v>
      </c>
      <c r="IO158" s="259">
        <f>SUMIFS($IM$3:$IM$200,$IK$3:$IK$200,ROWS($IO$3:IO158))-SUMIFS($IN$3:$IN$200,$IK$3:$IK$200,ROWS($IO$3:IO158))</f>
        <v>0</v>
      </c>
      <c r="IP158" s="259" t="str">
        <f>IF(IO158&lt;0,INDEX($IJ$3:$IL$200,MATCH(ROWS($IP$3:IP158),$IJ$3:$IJ$200,0),3),"")</f>
        <v/>
      </c>
      <c r="IQ158" s="259">
        <f>IF(IP158&lt;&gt;"",MAX($IQ$2:IQ157)+1,0)</f>
        <v>0</v>
      </c>
      <c r="IR158" s="259" t="str">
        <f ca="1">IFERROR(INDEX($IP$3:$IQ$200,MATCH(ROWS($IR$3:IR158),$IQ$3:$IQ$200,0),1),"")</f>
        <v/>
      </c>
      <c r="IS158" s="259" t="str">
        <f t="shared" ca="1" si="457"/>
        <v/>
      </c>
      <c r="IT158" s="259" t="str">
        <f t="shared" ca="1" si="458"/>
        <v/>
      </c>
      <c r="IU158" s="259" t="str">
        <f t="shared" ca="1" si="459"/>
        <v/>
      </c>
      <c r="IV158" s="259" t="str">
        <f t="shared" ca="1" si="460"/>
        <v/>
      </c>
      <c r="IW158" s="259" t="str">
        <f t="shared" ca="1" si="461"/>
        <v/>
      </c>
      <c r="IX158" s="259" t="str">
        <f t="shared" ca="1" si="462"/>
        <v/>
      </c>
      <c r="IY158" s="259" t="str">
        <f t="shared" ca="1" si="463"/>
        <v/>
      </c>
      <c r="IZ158" s="259" t="str">
        <f t="shared" ca="1" si="464"/>
        <v/>
      </c>
      <c r="JA158" s="259" t="str">
        <f t="shared" ca="1" si="465"/>
        <v/>
      </c>
      <c r="JB158" s="259">
        <f t="shared" ca="1" si="391"/>
        <v>0</v>
      </c>
      <c r="JC158" s="259">
        <f t="shared" ca="1" si="351"/>
        <v>0</v>
      </c>
      <c r="JD158" s="259">
        <f t="shared" ca="1" si="352"/>
        <v>0</v>
      </c>
      <c r="JM158" s="259">
        <f t="shared" ca="1" si="353"/>
        <v>0</v>
      </c>
    </row>
    <row r="159" spans="1:273">
      <c r="A159" s="259" t="str">
        <f t="shared" si="392"/>
        <v>32.00</v>
      </c>
      <c r="B159" s="259" t="str">
        <f t="shared" si="393"/>
        <v>COSTI PER GODIMENTO BENI DI TERZI</v>
      </c>
      <c r="C159" s="259">
        <f t="shared" si="394"/>
        <v>0</v>
      </c>
      <c r="D159" s="259">
        <f t="shared" si="395"/>
        <v>0</v>
      </c>
      <c r="E159" s="259">
        <f t="shared" si="396"/>
        <v>0</v>
      </c>
      <c r="F159" s="259">
        <f t="shared" si="397"/>
        <v>0</v>
      </c>
      <c r="G159" s="259">
        <f t="shared" ca="1" si="398"/>
        <v>0</v>
      </c>
      <c r="H159" s="259">
        <f t="shared" ca="1" si="399"/>
        <v>0</v>
      </c>
      <c r="I159" s="259">
        <f t="shared" ca="1" si="400"/>
        <v>0</v>
      </c>
      <c r="K159" s="259" t="str">
        <f ca="1">IFERROR(IF($I$1=1,INDEX($AA$3:$AS$220,MATCH(ROWS($K$3:K159),$AQ$3:$AQ$220,0),1),IF($I$1=2,INDEX($AA$3:$AS$220,MATCH(ROWS($K$3:K159),$AR$3:$AR$220,0),1),IF($I$1=3,INDEX($AA$3:$AS$220,MATCH(ROWS($K$3:K159),$AS$3:$AS$220,0),1),""))),"")</f>
        <v>ONERI FISCALI DIVERSI</v>
      </c>
      <c r="L159" s="259">
        <f ca="1">IF(AND($L$1="VISUALIZZA TUTTI I CONTI",K159&lt;&gt;""),MAX(L158:L158)+1,IFERROR(IF($J$1=1,IF(INDEX(PIANO_DEI_CONTI,MATCH($K159,DENOMINAZIONE,0),5)=$L$1,MAX($L$2:L158)+1,0),IF($J$1=2,IF(INDEX(PIANO_DEI_CONTI,MATCH($K159,DENOMINAZIONE,0),7)=$L$1,MAX($L$2:L158)+1,0))),0))</f>
        <v>157</v>
      </c>
      <c r="M159" s="259" t="str">
        <f ca="1">IFERROR(INDEX($K$3:$K$220,MATCH(ROWS($M$3:M159),$L$3:$L$220,0),1),"")</f>
        <v>ONERI FISCALI DIVERSI</v>
      </c>
      <c r="R159" s="259" t="str">
        <f t="shared" ca="1" si="366"/>
        <v/>
      </c>
      <c r="S159" s="259">
        <f ca="1">IF(IFERROR(MATCH(R159,DENOMINAZIONE_GIORNALE,0),0)&gt;0,MAX(S$2:S158)+1,0)</f>
        <v>0</v>
      </c>
      <c r="T159" s="259" t="str">
        <f ca="1">IFERROR(INDEX($R$3:$S$220,MATCH(ROWS($T$3:T159),$S$3:$S$220,0),1),"")</f>
        <v/>
      </c>
      <c r="U159" s="259">
        <f t="shared" ca="1" si="367"/>
        <v>0</v>
      </c>
      <c r="V159" s="259">
        <f ca="1">IF(IF(U159&lt;&gt;0,MAX($V$2:V158)+1,0)=0,0,IF(U159&lt;&gt;0,MAX($V$2:V158)+1,0))</f>
        <v>0</v>
      </c>
      <c r="W159" s="259" t="str">
        <f t="shared" si="401"/>
        <v/>
      </c>
      <c r="X159" s="259" t="str">
        <f t="shared" si="402"/>
        <v/>
      </c>
      <c r="Y159" s="259">
        <f>IF(W159="",0,MAX($Y$2:Y158)+1)</f>
        <v>0</v>
      </c>
      <c r="Z159" s="259" t="str">
        <f>IFERROR(INDEX($W$3:$Y$220,MATCH(ROWS($Z$2:Z158),$Y$3:$Y$220,0),1),"")</f>
        <v>37.11</v>
      </c>
      <c r="AA159" s="259" t="str">
        <f t="shared" si="403"/>
        <v>MATERIE DI CONSUMO C/RIMANENZE FINALI</v>
      </c>
      <c r="AB159" s="259" t="str">
        <f t="shared" si="404"/>
        <v>E</v>
      </c>
      <c r="AC159" s="259" t="str">
        <f t="shared" si="405"/>
        <v>A</v>
      </c>
      <c r="AD159" s="259" t="str">
        <f t="shared" si="406"/>
        <v>RETTIFICHE COSTI D'ESERCIZIO</v>
      </c>
      <c r="AE159" s="259" t="str">
        <f t="shared" si="407"/>
        <v>SE AVERE</v>
      </c>
      <c r="AF159" s="259" t="str">
        <f t="shared" si="408"/>
        <v>VARIAZIONI RIMANENZE MERCI E MATERIE DI CONSUMO</v>
      </c>
      <c r="AG159" s="259">
        <f t="shared" ca="1" si="409"/>
        <v>0</v>
      </c>
      <c r="AH159" s="259">
        <f t="shared" ca="1" si="410"/>
        <v>0</v>
      </c>
      <c r="AI159" s="259">
        <f t="shared" ca="1" si="411"/>
        <v>1</v>
      </c>
      <c r="AJ159" s="259" t="str">
        <f t="shared" si="412"/>
        <v>37</v>
      </c>
      <c r="AK159" s="259" t="str">
        <f t="shared" si="413"/>
        <v>32</v>
      </c>
      <c r="AL159" s="259">
        <f>IF(AK159&lt;&gt;"",MAX($AL$2:AL158)+1,0)</f>
        <v>21</v>
      </c>
      <c r="AM159" s="259" t="str">
        <f>IFERROR(INDEX($AK$3:$AL$220,MATCH(ROWS($AM$3:AM159),$AL$3:$AL$220,0),1),"")</f>
        <v/>
      </c>
      <c r="AN159" s="259" t="str">
        <f t="shared" si="414"/>
        <v/>
      </c>
      <c r="AO159" s="259" t="str">
        <f t="shared" si="415"/>
        <v/>
      </c>
      <c r="AP159" s="259" t="str">
        <f t="shared" si="416"/>
        <v>VARIAZIONI RIMANENZE MERCI E MATERIE DI CONSUMO</v>
      </c>
      <c r="AQ159" s="259">
        <f ca="1">IF(OR(AG159=0,AG159=""),0,MAX(AQ$2:AQ158)+1)</f>
        <v>0</v>
      </c>
      <c r="AR159" s="259">
        <f ca="1">IF(OR(AH159=0,AH159=""),0,MAX(AR$2:AR158)+1)</f>
        <v>0</v>
      </c>
      <c r="AS159" s="259">
        <f ca="1">IF(OR(AI159=0,AI159=""),0,MAX(AS$2:AS158)+1)</f>
        <v>153</v>
      </c>
      <c r="AT159" s="259" t="str">
        <f ca="1">IFERROR(INDEX($AD$3:$AS$220,MATCH(ROWS(AT$3:AT159),AQ$3:AQ$220,0),1),"")</f>
        <v/>
      </c>
      <c r="AU159" s="259" t="str">
        <f ca="1">IFERROR(INDEX($AD$3:$AS$220,MATCH(ROWS(AU$3:AU159),AR$3:AR$220,0),1),"")</f>
        <v/>
      </c>
      <c r="AV159" s="259" t="str">
        <f ca="1">IFERROR(INDEX($AD$3:$AS$220,MATCH(ROWS(AV$3:AV159),AS$3:AS$220,0),1),"")</f>
        <v>COSTI D'ESERCIZIO</v>
      </c>
      <c r="AW159" s="259" t="str">
        <f ca="1">IFERROR(INDEX($AP$3:$AS$220,MATCH(ROWS(AW$3:AW159),AQ$3:AQ$220,0),1),"")</f>
        <v/>
      </c>
      <c r="AX159" s="259" t="str">
        <f ca="1">IFERROR(INDEX($AP$3:$AS$220,MATCH(ROWS(AX$3:AX159),AR$3:AR$220,0),1),"")</f>
        <v/>
      </c>
      <c r="AY159" s="259" t="str">
        <f ca="1">IFERROR(INDEX($AP$3:$AS$220,MATCH(ROWS(AY$3:AY159),AS$3:AS$220,0),1),"")</f>
        <v>ONERI DIVERSI</v>
      </c>
      <c r="AZ159" s="259" t="str">
        <f t="shared" si="339"/>
        <v>57 V.I.</v>
      </c>
      <c r="BA159" s="259">
        <f t="shared" ca="1" si="338"/>
        <v>0</v>
      </c>
      <c r="BB159" s="259">
        <f t="shared" ca="1" si="340"/>
        <v>0</v>
      </c>
      <c r="BC159" s="259">
        <f t="shared" ca="1" si="341"/>
        <v>0</v>
      </c>
      <c r="BD159" s="259">
        <f t="shared" ca="1" si="342"/>
        <v>0</v>
      </c>
      <c r="BE159" s="259">
        <f t="shared" ca="1" si="343"/>
        <v>0</v>
      </c>
      <c r="BG159" s="259" t="str">
        <f t="shared" ca="1" si="368"/>
        <v/>
      </c>
      <c r="BH159" s="259">
        <f ca="1">IF(IFERROR(MATCH(BG159,DENOMINAZIONE_GIORNALE,0),0)&gt;0,MAX(BH$2:BH158)+1,0)</f>
        <v>0</v>
      </c>
      <c r="BI159" s="259" t="str">
        <f ca="1">IFERROR(INDEX($BG$3:$BH$220,MATCH(ROWS($BI$3:BI159),$BH$3:$BH$220,0),1),"")</f>
        <v/>
      </c>
      <c r="BJ159" s="259" t="str">
        <f t="shared" ca="1" si="369"/>
        <v/>
      </c>
      <c r="BK159" s="259" t="str">
        <f ca="1">IF(IF(BJ159&lt;&gt;"",MAX($BK$2:BK158)+1,0)=0,"",IF(BJ159&lt;&gt;"",MAX($BK$2:BK158)+1,0))</f>
        <v/>
      </c>
      <c r="BL159" s="259" t="str">
        <f ca="1">IFERROR(INDEX($T$3:$U$220, MATCH(ROWS(BL$3:BL159),$V$3:$V$220,0),1),"")</f>
        <v/>
      </c>
      <c r="BM159" s="259" t="str">
        <f ca="1">IFERROR(INDEX($T$3:$U$220, MATCH(ROWS(BM$3:BM159),$V$3:$V$220,0),2),"")</f>
        <v/>
      </c>
      <c r="BN159" s="259" t="str">
        <f ca="1">IF(IFERROR(INDEX($BI$3:$BJ$220,MATCH(ROWS(BN$3:BN159),$BK$3:$BK$220,0),1),"")="PATRIMONIO NETTO","",IFERROR(INDEX($BI$3:$BJ$220,MATCH(ROWS(BN$3:BN159),$BK$3:$BK$220,0),1),""))</f>
        <v/>
      </c>
      <c r="BO159" s="259" t="str">
        <f ca="1">IFERROR(INDEX($BI$3:$BJ$220,MATCH(ROWS(BO$3:BO159),$BK$3:$BK$220,0),2),"")</f>
        <v/>
      </c>
      <c r="BP159" s="259">
        <f ca="1">IF(BN159&lt;&gt;"",MAX(BP$2:$BP158)+1,0)</f>
        <v>0</v>
      </c>
      <c r="BQ159" s="259" t="str">
        <f ca="1">IFERROR(INDEX($BN$3:$BO$200,MATCH(ROWS(BQ$3:BQ159),$BP$3:$BP$220,0),1),"")</f>
        <v/>
      </c>
      <c r="BR159" s="259" t="str">
        <f ca="1">IFERROR(INDEX($BN$3:$BO$220,MATCH(ROWS(BR$3:BR159),$BP$3:$BP$220,0),2),"")</f>
        <v/>
      </c>
      <c r="BS159" s="259" t="str">
        <f ca="1">IFERROR(IF(OR(INDEX($T$3:$U$220,MATCH(ROWS(BL$3:BL159),$V$3:$V$220,0),1)="PRELEVAMENTI EXTRAGESTIONE",INDEX($T$3:$U$220,MATCH(ROWS(BL$3:BL159),$V$3:$V$220,0),1)="TITOLARE C/RITENUTE SUBITE"),"",INDEX($T$3:$U$220,MATCH(ROWS(BL$3:BL159),$V$3:$V$220,0),1)),"")</f>
        <v/>
      </c>
      <c r="BT159" s="259">
        <f t="shared" ca="1" si="417"/>
        <v>0</v>
      </c>
      <c r="BU159" s="259">
        <f ca="1">IF(BS159&lt;&gt;"",MAX(BU$2:BU158)+1,0)</f>
        <v>0</v>
      </c>
      <c r="BV159" s="259" t="str">
        <f ca="1">IFERROR(INDEX($BS$3:$BT$223,MATCH(ROWS(BV$3:BV159),$BU$3:$BU$223,0),1),"")</f>
        <v/>
      </c>
      <c r="BW159" s="259">
        <f t="shared" ca="1" si="418"/>
        <v>0</v>
      </c>
      <c r="CB159" s="259" t="str">
        <f ca="1">IFERROR(IF(OR($BB$1&lt;&gt;$BD$1,$BC$1&lt;&gt;$BE$1,$DS$231&lt;&gt;$DT$231,$DU$231&lt;&gt;$DV$231,$EO$25&lt;&gt;0,$EO$26&lt;&gt;0),INDEX($BI$3:$BK$220,MATCH(ROWS($CB$3:CB159),$BK$3:$BK$220,0),1),CONCATENATE(BQ159,BX159)),"")</f>
        <v/>
      </c>
      <c r="CC159" s="259" t="str">
        <f t="shared" ca="1" si="419"/>
        <v/>
      </c>
      <c r="CD159" s="259" t="str">
        <f t="shared" ca="1" si="370"/>
        <v/>
      </c>
      <c r="CE159" s="259">
        <f ca="1">IF(IFERROR(MATCH(CD159,DENOMINAZIONE_GIORNALE,0),0)&gt;0,MAX(CE$2:CE158)+1,0)</f>
        <v>0</v>
      </c>
      <c r="CF159" s="259" t="str">
        <f ca="1">IFERROR(INDEX($CD$3:$CE$220,MATCH(ROWS($CF$3:CF159),$CE$3:$CE$220,0),1),"")</f>
        <v/>
      </c>
      <c r="CG159" s="259">
        <f t="shared" ca="1" si="371"/>
        <v>0</v>
      </c>
      <c r="CH159" s="259" t="str">
        <f ca="1">IF(IF(CG159&lt;&gt;0,MAX($CH$2:CH158)+1,0)=0,"",IF(CG159&lt;&gt;"",MAX($CH$2:CH158)+1,0))</f>
        <v/>
      </c>
      <c r="CI159" s="259" t="str">
        <f ca="1">IFERROR(INDEX($CF$3:$CG$220,MATCH(ROWS($CI$3:CI159),$CH$3:$CH$220,0),1),"")</f>
        <v/>
      </c>
      <c r="CJ159" s="259" t="str">
        <f t="shared" ca="1" si="420"/>
        <v/>
      </c>
      <c r="CK159" s="259" t="str">
        <f t="shared" ca="1" si="372"/>
        <v>MATERIE DI CONSUMO C/RIMANENZE FINALI</v>
      </c>
      <c r="CL159" s="259">
        <f ca="1">IF(IFERROR(MATCH(CK159,DENOMINAZIONE_GIORNALE,0),0)&gt;0,MAX(CL$2:CL158)+1,0)</f>
        <v>0</v>
      </c>
      <c r="CM159" s="259" t="str">
        <f ca="1">IFERROR(INDEX($CK$3:$CL$220,MATCH(ROWS($CM$3:CM159),$CL$3:$CL$220,0),1),"")</f>
        <v/>
      </c>
      <c r="CN159" s="259" t="str">
        <f t="shared" ca="1" si="373"/>
        <v/>
      </c>
      <c r="CO159" s="259">
        <f ca="1">IF(IF(CN159&lt;&gt;0,MAX($CO$2:CO158)+1,0)=0,"",IF(CN159&lt;&gt;"",MAX($CO$2:CO158)+1,0))</f>
        <v>0</v>
      </c>
      <c r="CP159" s="259" t="str">
        <f ca="1">IFERROR(INDEX($CM$3:$CN$220,MATCH(ROWS(CP$3:CP159),$CO$3:$CO$220,0),1),"")</f>
        <v/>
      </c>
      <c r="CQ159" s="259" t="str">
        <f ca="1">IFERROR(INDEX($CM$3:$CN$220,MATCH(ROWS(CQ$3:CQ159),$CO$3:$CO$220,0),2),"")</f>
        <v/>
      </c>
      <c r="CS159" s="259">
        <f t="shared" ca="1" si="374"/>
        <v>0</v>
      </c>
      <c r="CT159" s="259">
        <f t="shared" ca="1" si="375"/>
        <v>0</v>
      </c>
      <c r="CU159" s="259">
        <f ca="1">IF(OR(CS159&gt;0,CT159&gt;0),MAX($CU$2:CU158)+1,0)</f>
        <v>0</v>
      </c>
      <c r="CV159" s="259" t="str">
        <f ca="1">IFERROR(INDEX(PIANO_DEI_CONTI,MATCH(ROWS($CV$3:CV159),$CU$3:$CU$200,0),2),"")</f>
        <v/>
      </c>
      <c r="CW159" s="259">
        <f ca="1">IFERROR(IF(CV159&lt;&gt;"",MAX($CW$2:CW158)+1,0),0)</f>
        <v>0</v>
      </c>
      <c r="CX159" s="259">
        <f t="shared" ca="1" si="472"/>
        <v>9</v>
      </c>
      <c r="CY159" s="259" t="str">
        <f t="shared" ca="1" si="469"/>
        <v>MASTRO</v>
      </c>
      <c r="CZ159" s="259" t="e">
        <f t="shared" ca="1" si="474"/>
        <v>#N/A</v>
      </c>
      <c r="DA159" s="259" t="str">
        <f t="shared" ca="1" si="480"/>
        <v/>
      </c>
      <c r="DB159" s="259" t="str">
        <f t="shared" ca="1" si="475"/>
        <v/>
      </c>
      <c r="DC159" s="259" t="str">
        <f t="shared" ca="1" si="476"/>
        <v/>
      </c>
      <c r="DD159" s="259" t="str">
        <f t="shared" ca="1" si="477"/>
        <v/>
      </c>
      <c r="DE159" s="259" t="str">
        <f t="shared" ca="1" si="478"/>
        <v/>
      </c>
      <c r="DF159" s="259">
        <f ca="1">IF(AND(CX159=$DE$2,$DF$2&lt;&gt;0),0,IF(AND(DB159&lt;&gt;"",OR(DB158&lt;&gt;"",DB160&lt;&gt;"")),MAX($DF$2:DF158)+1,0))</f>
        <v>0</v>
      </c>
      <c r="DG159" s="259" t="str">
        <f>IF(IF(LIBRO_GIORNALE!E67="","",IFERROR(INDEX(PIANO_DEI_CONTI,MATCH(BB159,DENOMINAZIONE,0),1),0))=0,"",IF(LIBRO_GIORNALE!E67="","",IFERROR(INDEX(PIANO_DEI_CONTI,MATCH(BB159,DENOMINAZIONE,0),1),0)))</f>
        <v/>
      </c>
      <c r="DH159" s="259">
        <f ca="1">IFERROR(IF($J$1=1,IF(INDEX(PIANO_DEI_CONTI,MATCH($K159,DENOMINAZIONE,0),5)=$DF$1,MAX($DH$2:DH158)+1,0),IF($J$1=2,IF(INDEX(PIANO_DEI_CONTI,MATCH($K159,DENOMINAZIONE,0),7)=$DF$1,MAX($DH$2:DH158)+1,0))),0)</f>
        <v>0</v>
      </c>
      <c r="DI159" s="259">
        <f ca="1">IFERROR(INDEX($K$3:$K$220,MATCH(ROWS($DI$3:DI159),$DH$3:$DH$220,0),1),0)</f>
        <v>0</v>
      </c>
      <c r="DJ159" s="259">
        <f t="shared" ca="1" si="381"/>
        <v>0</v>
      </c>
      <c r="DK159" s="259">
        <f ca="1">IF(DJ159=0,0,MAX(DK$2:DK158)+1)</f>
        <v>0</v>
      </c>
      <c r="DL159" s="259">
        <f ca="1">IFERROR(INDEX(PIANO_DEI_CONTI,MATCH(ROWS(DL$3:DL159),$DK$3:DK386,0),2),0)</f>
        <v>0</v>
      </c>
      <c r="DM159" s="259">
        <f t="shared" ca="1" si="382"/>
        <v>0</v>
      </c>
      <c r="DN159" s="259">
        <f t="shared" ca="1" si="383"/>
        <v>0</v>
      </c>
      <c r="DO159" s="259">
        <f t="shared" ca="1" si="422"/>
        <v>0</v>
      </c>
      <c r="DP159" s="259">
        <f t="shared" ca="1" si="423"/>
        <v>0</v>
      </c>
      <c r="DQ159" s="259">
        <f ca="1">IF(OR($DQ$1="TOTALI",$DQ$1="TOTALI ED ECCEDENZE"),IF(OR(DM159&gt;0,DN159&gt;0),MAX(DQ$2:DQ158)+1,0),IF($DQ$1="ECCEDENZE",IF(OR(DO159&gt;0,DP159&gt;0),MAX(DQ$2:DQ158)+1,0),""))</f>
        <v>0</v>
      </c>
      <c r="DR159" s="259" t="str">
        <f ca="1">IFERROR(INDEX($DL$3:$DQ$230,MATCH(ROWS(DR$3:DR159),$DQ$3:$DQ$230,0),1),"")</f>
        <v/>
      </c>
      <c r="DS159" s="259" t="str">
        <f t="shared" ca="1" si="424"/>
        <v/>
      </c>
      <c r="DT159" s="259" t="str">
        <f t="shared" ca="1" si="425"/>
        <v/>
      </c>
      <c r="DU159" s="259" t="str">
        <f t="shared" ca="1" si="426"/>
        <v/>
      </c>
      <c r="DV159" s="259" t="str">
        <f t="shared" ca="1" si="427"/>
        <v/>
      </c>
      <c r="DW159" s="259">
        <f t="shared" ca="1" si="428"/>
        <v>0</v>
      </c>
      <c r="DX159" s="259" t="str">
        <f t="shared" ca="1" si="429"/>
        <v/>
      </c>
      <c r="DY159" s="259" t="str">
        <f t="shared" ca="1" si="430"/>
        <v/>
      </c>
      <c r="DZ159" s="259" t="str">
        <f t="shared" ca="1" si="431"/>
        <v/>
      </c>
      <c r="EB159" s="259" t="s">
        <v>382</v>
      </c>
      <c r="ED159" s="259">
        <f t="shared" ca="1" si="384"/>
        <v>0</v>
      </c>
      <c r="EH159" s="259" t="str">
        <f t="shared" ca="1" si="432"/>
        <v/>
      </c>
      <c r="EI159" s="260" t="b">
        <f t="shared" ca="1" si="466"/>
        <v>0</v>
      </c>
      <c r="EJ159" s="260" t="b">
        <f t="shared" ca="1" si="467"/>
        <v>0</v>
      </c>
      <c r="EK159" s="260" t="b">
        <f t="shared" ca="1" si="468"/>
        <v>0</v>
      </c>
      <c r="EL159" s="259">
        <f t="shared" si="433"/>
        <v>157</v>
      </c>
      <c r="EM159" s="259">
        <f ca="1">IF(AND(BA159&gt;0,BA159&lt;=$EM$1),MAX($EM$2:EM158)+1,0)</f>
        <v>0</v>
      </c>
      <c r="EN159" s="259">
        <f t="shared" ca="1" si="434"/>
        <v>159</v>
      </c>
      <c r="EP159" s="259" t="str">
        <f t="shared" ca="1" si="385"/>
        <v/>
      </c>
      <c r="EQ159" s="259">
        <f t="shared" ca="1" si="386"/>
        <v>0</v>
      </c>
      <c r="ER159" s="259">
        <f ca="1">IF(ISNA(EQ159),MAX(ER$2:ER158)+1,0)</f>
        <v>0</v>
      </c>
      <c r="ES159" s="259" t="str">
        <f t="shared" ca="1" si="435"/>
        <v/>
      </c>
      <c r="ET159" s="259" t="str">
        <f ca="1">IFERROR(UPPER(INDEX($ER$3:$ES$500,MATCH(ROWS(ET$3:ET159),$ER$3:$ER$500,0),2)),"")</f>
        <v/>
      </c>
      <c r="EW159" s="259">
        <f t="shared" ca="1" si="344"/>
        <v>1</v>
      </c>
      <c r="EX159" s="259">
        <v>57</v>
      </c>
      <c r="EY159" s="259">
        <f t="shared" ca="1" si="345"/>
        <v>0</v>
      </c>
      <c r="EZ159" s="259">
        <f t="shared" ca="1" si="346"/>
        <v>0</v>
      </c>
      <c r="FA159" s="259">
        <f t="shared" ca="1" si="347"/>
        <v>0</v>
      </c>
      <c r="FB159" s="259">
        <f t="shared" ca="1" si="348"/>
        <v>0</v>
      </c>
      <c r="FC159" s="259">
        <f t="shared" ca="1" si="349"/>
        <v>0</v>
      </c>
      <c r="FD159" s="259">
        <f t="shared" ca="1" si="387"/>
        <v>0</v>
      </c>
      <c r="FE159" s="259" t="str">
        <f t="shared" ca="1" si="388"/>
        <v/>
      </c>
      <c r="FF159" s="259" t="str">
        <f t="shared" ca="1" si="350"/>
        <v/>
      </c>
      <c r="FM159" s="259">
        <f t="shared" ca="1" si="389"/>
        <v>0</v>
      </c>
      <c r="FN159" s="259">
        <f ca="1">IF(FM159&lt;0,MAX($FN$2:FN158)+1,0)</f>
        <v>0</v>
      </c>
      <c r="FO159" s="259" t="str">
        <f t="shared" ca="1" si="436"/>
        <v/>
      </c>
      <c r="FP159" s="259" t="str">
        <f ca="1">IFERROR(INDEX($FN$3:$FO$400,MATCH(ROWS($FP$3:FP159),$FN$3:$FN$400,0),2),"")</f>
        <v/>
      </c>
      <c r="FQ159" s="259">
        <f>IF(AE159="SE AVERE",MAX($FQ$2:FQ158)+1,"")</f>
        <v>15</v>
      </c>
      <c r="FR159" s="259" t="str">
        <f>IF(AE159="SE DARE",MAX($FR$2:FR158)+1,"")</f>
        <v/>
      </c>
      <c r="FS159" s="259" t="str">
        <f ca="1">IF(AND(AE159="SP DARE",AA159&lt;&gt;$FS$1,AA159&lt;&gt;$FT$1),MAX($FS$2:FS158)+1,IF(AND(GQ159="SP DARE",AA159&lt;&gt;$FS$1,AA159&lt;&gt;$FT$1),MAX($FS$2:FS158)+1,""))</f>
        <v/>
      </c>
      <c r="FT159" s="259" t="str">
        <f ca="1">IF(AND(AE159="SP AVERE",AA159&lt;&gt;$FU$1),MAX($FT$2:FT158)+1,IF(AND(GQ159="SP AVERE",AA159&lt;&gt;$FU$1),MAX($FT$2:FT158)+1,""))</f>
        <v/>
      </c>
      <c r="FU159" s="259">
        <f t="shared" ca="1" si="437"/>
        <v>15</v>
      </c>
      <c r="FV159" s="259" t="str">
        <f t="shared" si="438"/>
        <v>MATERIE DI CONSUMO C/RIMANENZE FINALI</v>
      </c>
      <c r="FW159" s="259" t="str">
        <f ca="1">IFERROR(INDEX($FU$3:$FV$500,MATCH(ROWS($FW$3:FW159),$FU$3:$FU$500,0),2),0)</f>
        <v>CAMBIALI PASSIVE</v>
      </c>
      <c r="FX159" s="259">
        <f t="shared" ca="1" si="439"/>
        <v>157</v>
      </c>
      <c r="FY159" s="259">
        <f t="shared" ca="1" si="440"/>
        <v>0</v>
      </c>
      <c r="FZ159" s="259">
        <f ca="1">IF(FY159&gt;0,MAX($FZ$2:FZ158)+1,0)</f>
        <v>0</v>
      </c>
      <c r="GA159" s="259">
        <f ca="1">IFERROR(INDEX($FY$3:$FZ$500,MATCH(ROWS($GA$3:GA159),$FZ$3:$FZ$500,0),1),0)</f>
        <v>0</v>
      </c>
      <c r="GC159" s="259">
        <f t="shared" ca="1" si="441"/>
        <v>157</v>
      </c>
      <c r="GD159" s="259" t="str">
        <f t="shared" ca="1" si="442"/>
        <v>CAMBIALI PASSIVE</v>
      </c>
      <c r="GG159" s="259">
        <f t="shared" ca="1" si="443"/>
        <v>0</v>
      </c>
      <c r="GH159" s="259">
        <f t="shared" ca="1" si="444"/>
        <v>0</v>
      </c>
      <c r="GI159" s="259">
        <f t="shared" ca="1" si="445"/>
        <v>0</v>
      </c>
      <c r="GJ159" s="259">
        <f t="shared" ca="1" si="446"/>
        <v>0</v>
      </c>
      <c r="GK159" s="259">
        <f t="shared" ca="1" si="447"/>
        <v>0</v>
      </c>
      <c r="GL159" s="259">
        <f t="shared" ca="1" si="447"/>
        <v>0</v>
      </c>
      <c r="GM159" s="259">
        <f ca="1">IF(OR(GK159&gt;0,GL159&gt;0),MAX($GM$2:GM158)+1,0)</f>
        <v>0</v>
      </c>
      <c r="GN159" s="259" t="str">
        <f ca="1">IFERROR(INDEX($GD$3:$GM$400,MATCH(ROWS($GN$3:GN159),$GM$3:$GM$400,0),1),"")</f>
        <v/>
      </c>
      <c r="GO159" s="259" t="str">
        <f ca="1">IFERROR(INDEX($GD$3:$GM$400,MATCH(ROWS($GO$3:GO159),$GM$3:$GM$400,0),8),"")</f>
        <v/>
      </c>
      <c r="GP159" s="259" t="str">
        <f ca="1">IFERROR(INDEX($GD$3:$GM$400,MATCH(ROWS($GP$3:GP159),$GM$3:$GM$400,0),9),"")</f>
        <v/>
      </c>
      <c r="GQ159" s="259">
        <f t="shared" ca="1" si="390"/>
        <v>0</v>
      </c>
      <c r="GR159" s="259">
        <f t="shared" ca="1" si="448"/>
        <v>0</v>
      </c>
      <c r="GS159" s="259" t="str">
        <f t="shared" ca="1" si="449"/>
        <v>chiusura del conto</v>
      </c>
      <c r="GT159" s="259" t="str">
        <f ca="1">IFERROR(INDEX($GD$3:$GS$400,MATCH(ROWS($GT$3:GT159),$GM$3:$GM$400,0),16),"")</f>
        <v/>
      </c>
      <c r="GU159" s="259">
        <f ca="1">IF(GQ159&lt;&gt;0,MAX($GU$2:$GU158)+1,0)</f>
        <v>0</v>
      </c>
      <c r="GV159" s="259">
        <f t="shared" ca="1" si="450"/>
        <v>0</v>
      </c>
      <c r="GW159" s="259" t="str">
        <f ca="1">IF(AND(IFERROR(INDEX($GU$3:$GV$400,MATCH(ROWS($GW$3:GW159),$GU$3:$GU$400,0),2),"")&lt;&gt;"",GW160&lt;&gt;""),CONCATENATE(IFERROR(INDEX($GU$3:$GV$400,MATCH(ROWS($GW$3:GW159),$GU$3:$GU$400,0),2),"")," - "),IFERROR(INDEX($GU$3:$GV$400,MATCH(ROWS($GW$3:GW159),$GU$3:$GU$400,0),2),""))</f>
        <v/>
      </c>
      <c r="GX159" s="259">
        <f ca="1">IF(OR(GN159="IVA NS/CREDITO",GN159="IVA NS/DEBITO",GN159="IVA C/ACCONTO",GN159="IMPOSTE C/ACCONTO"),MAX($GX$2:GX158)+1,0)</f>
        <v>0</v>
      </c>
      <c r="GY159" s="259" t="str">
        <f ca="1">IF(AND(IFERROR(INDEX($GN$3:$GX$200,MATCH(ROWS($GY$3:GY159),$GX$3:$GX$200,0),1),"")&lt;&gt;"",GY160&lt;&gt;""),CONCATENATE(IFERROR(INDEX($GN$3:$GX$200,MATCH(ROWS($GY$3:GY159),$GX$3:$GX$200,0),1),"")," - "),IFERROR(INDEX($GN$3:$GX$200,MATCH(ROWS($GY$3:GY159),$GX$3:$GX$200,0),1),""))</f>
        <v/>
      </c>
      <c r="GZ159" s="259" t="s">
        <v>164</v>
      </c>
      <c r="HA159" s="270" t="s">
        <v>583</v>
      </c>
      <c r="HV159" s="259" t="str">
        <f ca="1">CONCATENATE(IFERROR(INDEX($HS$3:$HT$102,MATCH(ROWS($HV$3:HV159),$HT$3:$HT$102,0),1),""),HR159)</f>
        <v/>
      </c>
      <c r="IC159" s="259">
        <f ca="1">IFERROR(INDEX(PIANO_DEI_CONTI,MATCH(ROWS(DL$3:DL159),$DK$3:DK386,0),2),0)</f>
        <v>0</v>
      </c>
      <c r="ID159" s="259">
        <f t="shared" ca="1" si="451"/>
        <v>0</v>
      </c>
      <c r="IE159" s="259">
        <f t="shared" ca="1" si="452"/>
        <v>0</v>
      </c>
      <c r="IF159" s="259">
        <f t="shared" ca="1" si="453"/>
        <v>0</v>
      </c>
      <c r="IG159" s="259">
        <f t="shared" ca="1" si="479"/>
        <v>0</v>
      </c>
      <c r="IH159" s="259">
        <f ca="1">IF(IG159&lt;&gt;0,MAX($IH$35:IH158)+1,0)</f>
        <v>0</v>
      </c>
      <c r="II159" s="259">
        <f>IF(AD159="costi pluriennali",MAX($II$2:II158)+1,0)</f>
        <v>0</v>
      </c>
      <c r="IJ159" s="259">
        <f>IF($AD159="rettifiche costi pluriennali",MAX($IJ$2:IJ158)+1,0)</f>
        <v>0</v>
      </c>
      <c r="IK159" s="259">
        <f t="shared" si="454"/>
        <v>0</v>
      </c>
      <c r="IL159" s="259" t="str">
        <f t="shared" si="455"/>
        <v/>
      </c>
      <c r="IM159" s="259">
        <f t="shared" ca="1" si="456"/>
        <v>0</v>
      </c>
      <c r="IN159" s="259">
        <f t="shared" ca="1" si="470"/>
        <v>0</v>
      </c>
      <c r="IO159" s="259">
        <f>SUMIFS($IM$3:$IM$200,$IK$3:$IK$200,ROWS($IO$3:IO159))-SUMIFS($IN$3:$IN$200,$IK$3:$IK$200,ROWS($IO$3:IO159))</f>
        <v>0</v>
      </c>
      <c r="IP159" s="259" t="str">
        <f>IF(IO159&lt;0,INDEX($IJ$3:$IL$200,MATCH(ROWS($IP$3:IP159),$IJ$3:$IJ$200,0),3),"")</f>
        <v/>
      </c>
      <c r="IQ159" s="259">
        <f>IF(IP159&lt;&gt;"",MAX($IQ$2:IQ158)+1,0)</f>
        <v>0</v>
      </c>
      <c r="IR159" s="259" t="str">
        <f ca="1">IFERROR(INDEX($IP$3:$IQ$200,MATCH(ROWS($IR$3:IR159),$IQ$3:$IQ$200,0),1),"")</f>
        <v/>
      </c>
      <c r="IS159" s="259" t="str">
        <f t="shared" ca="1" si="457"/>
        <v/>
      </c>
      <c r="IT159" s="259" t="str">
        <f t="shared" ca="1" si="458"/>
        <v/>
      </c>
      <c r="IU159" s="259" t="str">
        <f t="shared" ca="1" si="459"/>
        <v/>
      </c>
      <c r="IV159" s="259" t="str">
        <f t="shared" ca="1" si="460"/>
        <v/>
      </c>
      <c r="IW159" s="259" t="str">
        <f t="shared" ca="1" si="461"/>
        <v/>
      </c>
      <c r="IX159" s="259" t="str">
        <f t="shared" ca="1" si="462"/>
        <v/>
      </c>
      <c r="IY159" s="259" t="str">
        <f t="shared" ca="1" si="463"/>
        <v/>
      </c>
      <c r="IZ159" s="259" t="str">
        <f t="shared" ca="1" si="464"/>
        <v/>
      </c>
      <c r="JA159" s="259" t="str">
        <f t="shared" ca="1" si="465"/>
        <v/>
      </c>
      <c r="JB159" s="259">
        <f t="shared" ca="1" si="391"/>
        <v>0</v>
      </c>
      <c r="JC159" s="259">
        <f t="shared" ca="1" si="351"/>
        <v>0</v>
      </c>
      <c r="JD159" s="259">
        <f t="shared" ca="1" si="352"/>
        <v>0</v>
      </c>
      <c r="JM159" s="259">
        <f t="shared" ca="1" si="353"/>
        <v>0</v>
      </c>
    </row>
    <row r="160" spans="1:273">
      <c r="A160" s="259" t="str">
        <f t="shared" si="392"/>
        <v>32.01</v>
      </c>
      <c r="B160" s="259" t="str">
        <f t="shared" si="393"/>
        <v>FITTI PASSIVI</v>
      </c>
      <c r="C160" s="259" t="str">
        <f t="shared" si="394"/>
        <v>E</v>
      </c>
      <c r="D160" s="259" t="str">
        <f t="shared" si="395"/>
        <v>D</v>
      </c>
      <c r="E160" s="259" t="str">
        <f t="shared" si="396"/>
        <v>COSTI D'ESERCIZIO</v>
      </c>
      <c r="F160" s="259" t="str">
        <f t="shared" si="397"/>
        <v>SE DARE</v>
      </c>
      <c r="G160" s="259">
        <f t="shared" ca="1" si="398"/>
        <v>1</v>
      </c>
      <c r="H160" s="259">
        <f t="shared" ca="1" si="399"/>
        <v>1</v>
      </c>
      <c r="I160" s="259">
        <f t="shared" ca="1" si="400"/>
        <v>1</v>
      </c>
      <c r="K160" s="259" t="str">
        <f ca="1">IFERROR(IF($I$1=1,INDEX($AA$3:$AS$220,MATCH(ROWS($K$3:K160),$AQ$3:$AQ$220,0),1),IF($I$1=2,INDEX($AA$3:$AS$220,MATCH(ROWS($K$3:K160),$AR$3:$AR$220,0),1),IF($I$1=3,INDEX($AA$3:$AS$220,MATCH(ROWS($K$3:K160),$AS$3:$AS$220,0),1),""))),"")</f>
        <v>PERDITE SU CREDITI</v>
      </c>
      <c r="L160" s="259">
        <f ca="1">IF(AND($L$1="VISUALIZZA TUTTI I CONTI",K160&lt;&gt;""),MAX(L159:L159)+1,IFERROR(IF($J$1=1,IF(INDEX(PIANO_DEI_CONTI,MATCH($K160,DENOMINAZIONE,0),5)=$L$1,MAX($L$2:L159)+1,0),IF($J$1=2,IF(INDEX(PIANO_DEI_CONTI,MATCH($K160,DENOMINAZIONE,0),7)=$L$1,MAX($L$2:L159)+1,0))),0))</f>
        <v>158</v>
      </c>
      <c r="M160" s="259" t="str">
        <f ca="1">IFERROR(INDEX($K$3:$K$220,MATCH(ROWS($M$3:M160),$L$3:$L$220,0),1),"")</f>
        <v>PERDITE SU CREDITI</v>
      </c>
      <c r="R160" s="259" t="str">
        <f t="shared" ca="1" si="366"/>
        <v/>
      </c>
      <c r="S160" s="259">
        <f ca="1">IF(IFERROR(MATCH(R160,DENOMINAZIONE_GIORNALE,0),0)&gt;0,MAX(S$2:S159)+1,0)</f>
        <v>0</v>
      </c>
      <c r="T160" s="259" t="str">
        <f ca="1">IFERROR(INDEX($R$3:$S$220,MATCH(ROWS($T$3:T160),$S$3:$S$220,0),1),"")</f>
        <v/>
      </c>
      <c r="U160" s="259">
        <f t="shared" ca="1" si="367"/>
        <v>0</v>
      </c>
      <c r="V160" s="259">
        <f ca="1">IF(IF(U160&lt;&gt;0,MAX($V$2:V159)+1,0)=0,0,IF(U160&lt;&gt;0,MAX($V$2:V159)+1,0))</f>
        <v>0</v>
      </c>
      <c r="W160" s="259" t="str">
        <f t="shared" si="401"/>
        <v>32.01</v>
      </c>
      <c r="X160" s="259" t="str">
        <f t="shared" si="402"/>
        <v>FITTI PASSIVI</v>
      </c>
      <c r="Y160" s="259">
        <f>IF(W160="",0,MAX($Y$2:Y159)+1)</f>
        <v>137</v>
      </c>
      <c r="Z160" s="259" t="str">
        <f>IFERROR(INDEX($W$3:$Y$220,MATCH(ROWS($Z$2:Z159),$Y$3:$Y$220,0),1),"")</f>
        <v>38.01</v>
      </c>
      <c r="AA160" s="259" t="str">
        <f t="shared" si="403"/>
        <v>ACCANTONAMENTO PER RESPONSABILITÀ CIVILE</v>
      </c>
      <c r="AB160" s="259" t="str">
        <f t="shared" si="404"/>
        <v>E</v>
      </c>
      <c r="AC160" s="259" t="str">
        <f t="shared" si="405"/>
        <v>D</v>
      </c>
      <c r="AD160" s="259" t="str">
        <f t="shared" si="406"/>
        <v>COSTI D'ESERCIZIO</v>
      </c>
      <c r="AE160" s="259" t="str">
        <f t="shared" si="407"/>
        <v>SE DARE</v>
      </c>
      <c r="AF160" s="259" t="str">
        <f t="shared" si="408"/>
        <v xml:space="preserve">ACCANTONAMENTI </v>
      </c>
      <c r="AG160" s="259">
        <f t="shared" ca="1" si="409"/>
        <v>0</v>
      </c>
      <c r="AH160" s="259">
        <f t="shared" ca="1" si="410"/>
        <v>0</v>
      </c>
      <c r="AI160" s="259">
        <f t="shared" ca="1" si="411"/>
        <v>1</v>
      </c>
      <c r="AJ160" s="259" t="str">
        <f t="shared" si="412"/>
        <v>38</v>
      </c>
      <c r="AK160" s="259" t="str">
        <f t="shared" si="413"/>
        <v/>
      </c>
      <c r="AL160" s="259">
        <f>IF(AK160&lt;&gt;"",MAX($AL$2:AL159)+1,0)</f>
        <v>0</v>
      </c>
      <c r="AM160" s="259" t="str">
        <f>IFERROR(INDEX($AK$3:$AL$220,MATCH(ROWS($AM$3:AM160),$AL$3:$AL$220,0),1),"")</f>
        <v/>
      </c>
      <c r="AN160" s="259" t="str">
        <f t="shared" si="414"/>
        <v/>
      </c>
      <c r="AO160" s="259" t="str">
        <f t="shared" si="415"/>
        <v/>
      </c>
      <c r="AP160" s="259" t="str">
        <f t="shared" si="416"/>
        <v xml:space="preserve">ACCANTONAMENTI </v>
      </c>
      <c r="AQ160" s="259">
        <f ca="1">IF(OR(AG160=0,AG160=""),0,MAX(AQ$2:AQ159)+1)</f>
        <v>0</v>
      </c>
      <c r="AR160" s="259">
        <f ca="1">IF(OR(AH160=0,AH160=""),0,MAX(AR$2:AR159)+1)</f>
        <v>0</v>
      </c>
      <c r="AS160" s="259">
        <f ca="1">IF(OR(AI160=0,AI160=""),0,MAX(AS$2:AS159)+1)</f>
        <v>154</v>
      </c>
      <c r="AT160" s="259" t="str">
        <f ca="1">IFERROR(INDEX($AD$3:$AS$220,MATCH(ROWS(AT$3:AT160),AQ$3:AQ$220,0),1),"")</f>
        <v/>
      </c>
      <c r="AU160" s="259" t="str">
        <f ca="1">IFERROR(INDEX($AD$3:$AS$220,MATCH(ROWS(AU$3:AU160),AR$3:AR$220,0),1),"")</f>
        <v/>
      </c>
      <c r="AV160" s="259" t="str">
        <f ca="1">IFERROR(INDEX($AD$3:$AS$220,MATCH(ROWS(AV$3:AV160),AS$3:AS$220,0),1),"")</f>
        <v>COSTI D'ESERCIZIO</v>
      </c>
      <c r="AW160" s="259" t="str">
        <f ca="1">IFERROR(INDEX($AP$3:$AS$220,MATCH(ROWS(AW$3:AW160),AQ$3:AQ$220,0),1),"")</f>
        <v/>
      </c>
      <c r="AX160" s="259" t="str">
        <f ca="1">IFERROR(INDEX($AP$3:$AS$220,MATCH(ROWS(AX$3:AX160),AR$3:AR$220,0),1),"")</f>
        <v/>
      </c>
      <c r="AY160" s="259" t="str">
        <f ca="1">IFERROR(INDEX($AP$3:$AS$220,MATCH(ROWS(AY$3:AY160),AS$3:AS$220,0),1),"")</f>
        <v>ONERI DIVERSI</v>
      </c>
      <c r="AZ160" s="259" t="str">
        <f t="shared" si="339"/>
        <v>58 V.I.</v>
      </c>
      <c r="BA160" s="259">
        <f t="shared" ca="1" si="338"/>
        <v>0</v>
      </c>
      <c r="BB160" s="259">
        <f t="shared" ca="1" si="340"/>
        <v>0</v>
      </c>
      <c r="BC160" s="259">
        <f t="shared" ca="1" si="341"/>
        <v>0</v>
      </c>
      <c r="BD160" s="259">
        <f t="shared" ca="1" si="342"/>
        <v>0</v>
      </c>
      <c r="BE160" s="259">
        <f t="shared" ca="1" si="343"/>
        <v>0</v>
      </c>
      <c r="BG160" s="259" t="str">
        <f t="shared" ca="1" si="368"/>
        <v/>
      </c>
      <c r="BH160" s="259">
        <f ca="1">IF(IFERROR(MATCH(BG160,DENOMINAZIONE_GIORNALE,0),0)&gt;0,MAX(BH$2:BH159)+1,0)</f>
        <v>0</v>
      </c>
      <c r="BI160" s="259" t="str">
        <f ca="1">IFERROR(INDEX($BG$3:$BH$220,MATCH(ROWS($BI$3:BI160),$BH$3:$BH$220,0),1),"")</f>
        <v/>
      </c>
      <c r="BJ160" s="259" t="str">
        <f t="shared" ca="1" si="369"/>
        <v/>
      </c>
      <c r="BK160" s="259" t="str">
        <f ca="1">IF(IF(BJ160&lt;&gt;"",MAX($BK$2:BK159)+1,0)=0,"",IF(BJ160&lt;&gt;"",MAX($BK$2:BK159)+1,0))</f>
        <v/>
      </c>
      <c r="BL160" s="259" t="str">
        <f ca="1">IFERROR(INDEX($T$3:$U$220, MATCH(ROWS(BL$3:BL160),$V$3:$V$220,0),1),"")</f>
        <v/>
      </c>
      <c r="BM160" s="259" t="str">
        <f ca="1">IFERROR(INDEX($T$3:$U$220, MATCH(ROWS(BM$3:BM160),$V$3:$V$220,0),2),"")</f>
        <v/>
      </c>
      <c r="BN160" s="259" t="str">
        <f ca="1">IF(IFERROR(INDEX($BI$3:$BJ$220,MATCH(ROWS(BN$3:BN160),$BK$3:$BK$220,0),1),"")="PATRIMONIO NETTO","",IFERROR(INDEX($BI$3:$BJ$220,MATCH(ROWS(BN$3:BN160),$BK$3:$BK$220,0),1),""))</f>
        <v/>
      </c>
      <c r="BO160" s="259" t="str">
        <f ca="1">IFERROR(INDEX($BI$3:$BJ$220,MATCH(ROWS(BO$3:BO160),$BK$3:$BK$220,0),2),"")</f>
        <v/>
      </c>
      <c r="BP160" s="259">
        <f ca="1">IF(BN160&lt;&gt;"",MAX(BP$2:$BP159)+1,0)</f>
        <v>0</v>
      </c>
      <c r="BQ160" s="259" t="str">
        <f ca="1">IFERROR(INDEX($BN$3:$BO$200,MATCH(ROWS(BQ$3:BQ160),$BP$3:$BP$220,0),1),"")</f>
        <v/>
      </c>
      <c r="BR160" s="259" t="str">
        <f ca="1">IFERROR(INDEX($BN$3:$BO$220,MATCH(ROWS(BR$3:BR160),$BP$3:$BP$220,0),2),"")</f>
        <v/>
      </c>
      <c r="BS160" s="259" t="str">
        <f ca="1">IFERROR(IF(OR(INDEX($T$3:$U$220,MATCH(ROWS(BL$3:BL160),$V$3:$V$220,0),1)="PRELEVAMENTI EXTRAGESTIONE",INDEX($T$3:$U$220,MATCH(ROWS(BL$3:BL160),$V$3:$V$220,0),1)="TITOLARE C/RITENUTE SUBITE"),"",INDEX($T$3:$U$220,MATCH(ROWS(BL$3:BL160),$V$3:$V$220,0),1)),"")</f>
        <v/>
      </c>
      <c r="BT160" s="259">
        <f t="shared" ca="1" si="417"/>
        <v>0</v>
      </c>
      <c r="BU160" s="259">
        <f ca="1">IF(BS160&lt;&gt;"",MAX(BU$2:BU159)+1,0)</f>
        <v>0</v>
      </c>
      <c r="BV160" s="259" t="str">
        <f ca="1">IFERROR(INDEX($BS$3:$BT$223,MATCH(ROWS(BV$3:BV160),$BU$3:$BU$223,0),1),"")</f>
        <v/>
      </c>
      <c r="BW160" s="259">
        <f t="shared" ca="1" si="418"/>
        <v>0</v>
      </c>
      <c r="CB160" s="259" t="str">
        <f ca="1">IFERROR(IF(OR($BB$1&lt;&gt;$BD$1,$BC$1&lt;&gt;$BE$1,$DS$231&lt;&gt;$DT$231,$DU$231&lt;&gt;$DV$231,$EO$25&lt;&gt;0,$EO$26&lt;&gt;0),INDEX($BI$3:$BK$220,MATCH(ROWS($CB$3:CB160),$BK$3:$BK$220,0),1),CONCATENATE(BQ160,BX160)),"")</f>
        <v/>
      </c>
      <c r="CC160" s="259" t="str">
        <f t="shared" ca="1" si="419"/>
        <v/>
      </c>
      <c r="CD160" s="259" t="str">
        <f t="shared" ca="1" si="370"/>
        <v>ACCANTONAMENTO PER RESPONSABILITÀ CIVILE</v>
      </c>
      <c r="CE160" s="259">
        <f ca="1">IF(IFERROR(MATCH(CD160,DENOMINAZIONE_GIORNALE,0),0)&gt;0,MAX(CE$2:CE159)+1,0)</f>
        <v>0</v>
      </c>
      <c r="CF160" s="259" t="str">
        <f ca="1">IFERROR(INDEX($CD$3:$CE$220,MATCH(ROWS($CF$3:CF160),$CE$3:$CE$220,0),1),"")</f>
        <v/>
      </c>
      <c r="CG160" s="259">
        <f t="shared" ca="1" si="371"/>
        <v>0</v>
      </c>
      <c r="CH160" s="259" t="str">
        <f ca="1">IF(IF(CG160&lt;&gt;0,MAX($CH$2:CH159)+1,0)=0,"",IF(CG160&lt;&gt;"",MAX($CH$2:CH159)+1,0))</f>
        <v/>
      </c>
      <c r="CI160" s="259" t="str">
        <f ca="1">IFERROR(INDEX($CF$3:$CG$220,MATCH(ROWS($CI$3:CI160),$CH$3:$CH$220,0),1),"")</f>
        <v/>
      </c>
      <c r="CJ160" s="259" t="str">
        <f t="shared" ca="1" si="420"/>
        <v/>
      </c>
      <c r="CK160" s="259" t="str">
        <f t="shared" ca="1" si="372"/>
        <v/>
      </c>
      <c r="CL160" s="259">
        <f ca="1">IF(IFERROR(MATCH(CK160,DENOMINAZIONE_GIORNALE,0),0)&gt;0,MAX(CL$2:CL159)+1,0)</f>
        <v>0</v>
      </c>
      <c r="CM160" s="259" t="str">
        <f ca="1">IFERROR(INDEX($CK$3:$CL$220,MATCH(ROWS($CM$3:CM160),$CL$3:$CL$220,0),1),"")</f>
        <v/>
      </c>
      <c r="CN160" s="259" t="str">
        <f t="shared" ca="1" si="373"/>
        <v/>
      </c>
      <c r="CO160" s="259">
        <f ca="1">IF(IF(CN160&lt;&gt;0,MAX($CO$2:CO159)+1,0)=0,"",IF(CN160&lt;&gt;"",MAX($CO$2:CO159)+1,0))</f>
        <v>0</v>
      </c>
      <c r="CP160" s="259" t="str">
        <f ca="1">IFERROR(INDEX($CM$3:$CN$220,MATCH(ROWS(CP$3:CP160),$CO$3:$CO$220,0),1),"")</f>
        <v/>
      </c>
      <c r="CQ160" s="259" t="str">
        <f ca="1">IFERROR(INDEX($CM$3:$CN$220,MATCH(ROWS(CQ$3:CQ160),$CO$3:$CO$220,0),2),"")</f>
        <v/>
      </c>
      <c r="CS160" s="259">
        <f t="shared" ca="1" si="374"/>
        <v>0</v>
      </c>
      <c r="CT160" s="259">
        <f t="shared" ca="1" si="375"/>
        <v>0</v>
      </c>
      <c r="CU160" s="259">
        <f ca="1">IF(OR(CS160&gt;0,CT160&gt;0),MAX($CU$2:CU159)+1,0)</f>
        <v>0</v>
      </c>
      <c r="CV160" s="259" t="str">
        <f ca="1">IFERROR(INDEX(PIANO_DEI_CONTI,MATCH(ROWS($CV$3:CV160),$CU$3:$CU$200,0),2),"")</f>
        <v/>
      </c>
      <c r="CW160" s="259">
        <f ca="1">IFERROR(IF(CV160&lt;&gt;"",MAX($CW$2:CW159)+1,0),0)</f>
        <v>0</v>
      </c>
      <c r="CX160" s="259">
        <f t="shared" ca="1" si="472"/>
        <v>9</v>
      </c>
      <c r="CY160" s="259" t="str">
        <f t="shared" ca="1" si="469"/>
        <v>MASTRO</v>
      </c>
      <c r="CZ160" s="259" t="e">
        <f t="shared" ca="1" si="474"/>
        <v>#N/A</v>
      </c>
      <c r="DA160" s="259" t="str">
        <f t="shared" ca="1" si="480"/>
        <v/>
      </c>
      <c r="DB160" s="259" t="str">
        <f t="shared" ca="1" si="475"/>
        <v/>
      </c>
      <c r="DC160" s="259" t="str">
        <f t="shared" ca="1" si="476"/>
        <v/>
      </c>
      <c r="DD160" s="259" t="str">
        <f t="shared" ca="1" si="477"/>
        <v/>
      </c>
      <c r="DE160" s="259" t="str">
        <f t="shared" ca="1" si="478"/>
        <v/>
      </c>
      <c r="DF160" s="259">
        <f ca="1">IF(AND(CX160=$DE$2,$DF$2&lt;&gt;0),0,IF(AND(DB160&lt;&gt;"",OR(DB159&lt;&gt;"",DB161&lt;&gt;"")),MAX($DF$2:DF159)+1,0))</f>
        <v>0</v>
      </c>
      <c r="DG160" s="259" t="str">
        <f>IF(IF(LIBRO_GIORNALE!E68="","",IFERROR(INDEX(PIANO_DEI_CONTI,MATCH(BB160,DENOMINAZIONE,0),1),0))=0,"",IF(LIBRO_GIORNALE!E68="","",IFERROR(INDEX(PIANO_DEI_CONTI,MATCH(BB160,DENOMINAZIONE,0),1),0)))</f>
        <v/>
      </c>
      <c r="DH160" s="259">
        <f ca="1">IFERROR(IF($J$1=1,IF(INDEX(PIANO_DEI_CONTI,MATCH($K160,DENOMINAZIONE,0),5)=$DF$1,MAX($DH$2:DH159)+1,0),IF($J$1=2,IF(INDEX(PIANO_DEI_CONTI,MATCH($K160,DENOMINAZIONE,0),7)=$DF$1,MAX($DH$2:DH159)+1,0))),0)</f>
        <v>0</v>
      </c>
      <c r="DI160" s="259">
        <f ca="1">IFERROR(INDEX($K$3:$K$220,MATCH(ROWS($DI$3:DI160),$DH$3:$DH$220,0),1),0)</f>
        <v>0</v>
      </c>
      <c r="DJ160" s="259">
        <f t="shared" ca="1" si="381"/>
        <v>0</v>
      </c>
      <c r="DK160" s="259">
        <f ca="1">IF(DJ160=0,0,MAX(DK$2:DK159)+1)</f>
        <v>0</v>
      </c>
      <c r="DL160" s="259">
        <f ca="1">IFERROR(INDEX(PIANO_DEI_CONTI,MATCH(ROWS(DL$3:DL160),$DK$3:DK387,0),2),0)</f>
        <v>0</v>
      </c>
      <c r="DM160" s="259">
        <f t="shared" ca="1" si="382"/>
        <v>0</v>
      </c>
      <c r="DN160" s="259">
        <f t="shared" ca="1" si="383"/>
        <v>0</v>
      </c>
      <c r="DO160" s="259">
        <f t="shared" ca="1" si="422"/>
        <v>0</v>
      </c>
      <c r="DP160" s="259">
        <f t="shared" ca="1" si="423"/>
        <v>0</v>
      </c>
      <c r="DQ160" s="259">
        <f ca="1">IF(OR($DQ$1="TOTALI",$DQ$1="TOTALI ED ECCEDENZE"),IF(OR(DM160&gt;0,DN160&gt;0),MAX(DQ$2:DQ159)+1,0),IF($DQ$1="ECCEDENZE",IF(OR(DO160&gt;0,DP160&gt;0),MAX(DQ$2:DQ159)+1,0),""))</f>
        <v>0</v>
      </c>
      <c r="DR160" s="259" t="str">
        <f ca="1">IFERROR(INDEX($DL$3:$DQ$230,MATCH(ROWS(DR$3:DR160),$DQ$3:$DQ$230,0),1),"")</f>
        <v/>
      </c>
      <c r="DS160" s="259" t="str">
        <f t="shared" ca="1" si="424"/>
        <v/>
      </c>
      <c r="DT160" s="259" t="str">
        <f t="shared" ca="1" si="425"/>
        <v/>
      </c>
      <c r="DU160" s="259" t="str">
        <f t="shared" ca="1" si="426"/>
        <v/>
      </c>
      <c r="DV160" s="259" t="str">
        <f t="shared" ca="1" si="427"/>
        <v/>
      </c>
      <c r="DW160" s="259">
        <f t="shared" ca="1" si="428"/>
        <v>0</v>
      </c>
      <c r="DX160" s="259" t="str">
        <f t="shared" ca="1" si="429"/>
        <v/>
      </c>
      <c r="DY160" s="259" t="str">
        <f t="shared" ca="1" si="430"/>
        <v/>
      </c>
      <c r="DZ160" s="259" t="str">
        <f t="shared" ca="1" si="431"/>
        <v/>
      </c>
      <c r="EB160" s="259" t="s">
        <v>383</v>
      </c>
      <c r="ED160" s="259">
        <f t="shared" ca="1" si="384"/>
        <v>0</v>
      </c>
      <c r="EH160" s="259" t="str">
        <f t="shared" ca="1" si="432"/>
        <v/>
      </c>
      <c r="EI160" s="260" t="b">
        <f t="shared" ca="1" si="466"/>
        <v>1</v>
      </c>
      <c r="EJ160" s="260" t="b">
        <f t="shared" ca="1" si="467"/>
        <v>1</v>
      </c>
      <c r="EK160" s="260" t="b">
        <f t="shared" ca="1" si="468"/>
        <v>1</v>
      </c>
      <c r="EL160" s="259">
        <f t="shared" si="433"/>
        <v>158</v>
      </c>
      <c r="EM160" s="259">
        <f ca="1">IF(AND(BA160&gt;0,BA160&lt;=$EM$1),MAX($EM$2:EM159)+1,0)</f>
        <v>0</v>
      </c>
      <c r="EN160" s="259">
        <f t="shared" ca="1" si="434"/>
        <v>160</v>
      </c>
      <c r="EP160" s="259" t="str">
        <f t="shared" ca="1" si="385"/>
        <v/>
      </c>
      <c r="EQ160" s="259">
        <f t="shared" ca="1" si="386"/>
        <v>0</v>
      </c>
      <c r="ER160" s="259">
        <f ca="1">IF(ISNA(EQ160),MAX(ER$2:ER159)+1,0)</f>
        <v>0</v>
      </c>
      <c r="ES160" s="259" t="str">
        <f t="shared" ca="1" si="435"/>
        <v/>
      </c>
      <c r="ET160" s="259" t="str">
        <f ca="1">IFERROR(UPPER(INDEX($ER$3:$ES$500,MATCH(ROWS(ET$3:ET160),$ER$3:$ER$500,0),2)),"")</f>
        <v/>
      </c>
      <c r="EW160" s="259">
        <f t="shared" ca="1" si="344"/>
        <v>1</v>
      </c>
      <c r="EX160" s="259">
        <v>58</v>
      </c>
      <c r="EY160" s="259">
        <f t="shared" ca="1" si="345"/>
        <v>0</v>
      </c>
      <c r="EZ160" s="259">
        <f t="shared" ca="1" si="346"/>
        <v>0</v>
      </c>
      <c r="FA160" s="259">
        <f t="shared" ca="1" si="347"/>
        <v>0</v>
      </c>
      <c r="FB160" s="259">
        <f t="shared" ca="1" si="348"/>
        <v>0</v>
      </c>
      <c r="FC160" s="259">
        <f t="shared" ca="1" si="349"/>
        <v>0</v>
      </c>
      <c r="FD160" s="259">
        <f t="shared" ca="1" si="387"/>
        <v>0</v>
      </c>
      <c r="FE160" s="259" t="str">
        <f t="shared" ca="1" si="388"/>
        <v/>
      </c>
      <c r="FF160" s="259" t="str">
        <f t="shared" ca="1" si="350"/>
        <v/>
      </c>
      <c r="FM160" s="259">
        <f t="shared" ca="1" si="389"/>
        <v>0</v>
      </c>
      <c r="FN160" s="259">
        <f ca="1">IF(FM160&lt;0,MAX($FN$2:FN159)+1,0)</f>
        <v>0</v>
      </c>
      <c r="FO160" s="259" t="str">
        <f t="shared" ca="1" si="436"/>
        <v/>
      </c>
      <c r="FP160" s="259" t="str">
        <f ca="1">IFERROR(INDEX($FN$3:$FO$400,MATCH(ROWS($FP$3:FP160),$FN$3:$FN$400,0),2),"")</f>
        <v/>
      </c>
      <c r="FQ160" s="259" t="str">
        <f>IF(AE160="SE AVERE",MAX($FQ$2:FQ159)+1,"")</f>
        <v/>
      </c>
      <c r="FR160" s="259">
        <f>IF(AE160="SE DARE",MAX($FR$2:FR159)+1,"")</f>
        <v>63</v>
      </c>
      <c r="FS160" s="259" t="str">
        <f ca="1">IF(AND(AE160="SP DARE",AA160&lt;&gt;$FS$1,AA160&lt;&gt;$FT$1),MAX($FS$2:FS159)+1,IF(AND(GQ160="SP DARE",AA160&lt;&gt;$FS$1,AA160&lt;&gt;$FT$1),MAX($FS$2:FS159)+1,""))</f>
        <v/>
      </c>
      <c r="FT160" s="259" t="str">
        <f ca="1">IF(AND(AE160="SP AVERE",AA160&lt;&gt;$FU$1),MAX($FT$2:FT159)+1,IF(AND(GQ160="SP AVERE",AA160&lt;&gt;$FU$1),MAX($FT$2:FT159)+1,""))</f>
        <v/>
      </c>
      <c r="FU160" s="259">
        <f t="shared" ca="1" si="437"/>
        <v>63</v>
      </c>
      <c r="FV160" s="259" t="str">
        <f t="shared" si="438"/>
        <v>ACCANTONAMENTO PER RESPONSABILITÀ CIVILE</v>
      </c>
      <c r="FW160" s="259" t="str">
        <f ca="1">IFERROR(INDEX($FU$3:$FV$500,MATCH(ROWS($FW$3:FW160),$FU$3:$FU$500,0),2),0)</f>
        <v>DEBITI DA LIQUIDARE</v>
      </c>
      <c r="FX160" s="259">
        <f t="shared" ca="1" si="439"/>
        <v>158</v>
      </c>
      <c r="FY160" s="259">
        <f t="shared" ca="1" si="440"/>
        <v>0</v>
      </c>
      <c r="FZ160" s="259">
        <f ca="1">IF(FY160&gt;0,MAX($FZ$2:FZ159)+1,0)</f>
        <v>0</v>
      </c>
      <c r="GA160" s="259">
        <f ca="1">IFERROR(INDEX($FY$3:$FZ$500,MATCH(ROWS($GA$3:GA160),$FZ$3:$FZ$500,0),1),0)</f>
        <v>0</v>
      </c>
      <c r="GC160" s="259">
        <f t="shared" ca="1" si="441"/>
        <v>158</v>
      </c>
      <c r="GD160" s="259" t="str">
        <f t="shared" ca="1" si="442"/>
        <v>DEBITI DA LIQUIDARE</v>
      </c>
      <c r="GG160" s="259">
        <f t="shared" ca="1" si="443"/>
        <v>0</v>
      </c>
      <c r="GH160" s="259">
        <f t="shared" ca="1" si="444"/>
        <v>0</v>
      </c>
      <c r="GI160" s="259">
        <f t="shared" ca="1" si="445"/>
        <v>0</v>
      </c>
      <c r="GJ160" s="259">
        <f t="shared" ca="1" si="446"/>
        <v>0</v>
      </c>
      <c r="GK160" s="259">
        <f t="shared" ca="1" si="447"/>
        <v>0</v>
      </c>
      <c r="GL160" s="259">
        <f t="shared" ca="1" si="447"/>
        <v>0</v>
      </c>
      <c r="GM160" s="259">
        <f ca="1">IF(OR(GK160&gt;0,GL160&gt;0),MAX($GM$2:GM159)+1,0)</f>
        <v>0</v>
      </c>
      <c r="GN160" s="259" t="str">
        <f ca="1">IFERROR(INDEX($GD$3:$GM$400,MATCH(ROWS($GN$3:GN160),$GM$3:$GM$400,0),1),"")</f>
        <v/>
      </c>
      <c r="GO160" s="259" t="str">
        <f ca="1">IFERROR(INDEX($GD$3:$GM$400,MATCH(ROWS($GO$3:GO160),$GM$3:$GM$400,0),8),"")</f>
        <v/>
      </c>
      <c r="GP160" s="259" t="str">
        <f ca="1">IFERROR(INDEX($GD$3:$GM$400,MATCH(ROWS($GP$3:GP160),$GM$3:$GM$400,0),9),"")</f>
        <v/>
      </c>
      <c r="GQ160" s="259">
        <f t="shared" ca="1" si="390"/>
        <v>0</v>
      </c>
      <c r="GR160" s="259">
        <f t="shared" ca="1" si="448"/>
        <v>0</v>
      </c>
      <c r="GS160" s="259" t="str">
        <f t="shared" ca="1" si="449"/>
        <v>chiusura del conto</v>
      </c>
      <c r="GT160" s="259" t="str">
        <f ca="1">IFERROR(INDEX($GD$3:$GS$400,MATCH(ROWS($GT$3:GT160),$GM$3:$GM$400,0),16),"")</f>
        <v/>
      </c>
      <c r="GU160" s="259">
        <f ca="1">IF(GQ160&lt;&gt;0,MAX($GU$2:$GU159)+1,0)</f>
        <v>0</v>
      </c>
      <c r="GV160" s="259">
        <f t="shared" ca="1" si="450"/>
        <v>0</v>
      </c>
      <c r="GW160" s="259" t="str">
        <f ca="1">IF(AND(IFERROR(INDEX($GU$3:$GV$400,MATCH(ROWS($GW$3:GW160),$GU$3:$GU$400,0),2),"")&lt;&gt;"",GW161&lt;&gt;""),CONCATENATE(IFERROR(INDEX($GU$3:$GV$400,MATCH(ROWS($GW$3:GW160),$GU$3:$GU$400,0),2),"")," - "),IFERROR(INDEX($GU$3:$GV$400,MATCH(ROWS($GW$3:GW160),$GU$3:$GU$400,0),2),""))</f>
        <v/>
      </c>
      <c r="GX160" s="259">
        <f ca="1">IF(OR(GN160="IVA NS/CREDITO",GN160="IVA NS/DEBITO",GN160="IVA C/ACCONTO",GN160="IMPOSTE C/ACCONTO"),MAX($GX$2:GX159)+1,0)</f>
        <v>0</v>
      </c>
      <c r="GY160" s="259" t="str">
        <f ca="1">IF(AND(IFERROR(INDEX($GN$3:$GX$200,MATCH(ROWS($GY$3:GY160),$GX$3:$GX$200,0),1),"")&lt;&gt;"",GY161&lt;&gt;""),CONCATENATE(IFERROR(INDEX($GN$3:$GX$200,MATCH(ROWS($GY$3:GY160),$GX$3:$GX$200,0),1),"")," - "),IFERROR(INDEX($GN$3:$GX$200,MATCH(ROWS($GY$3:GY160),$GX$3:$GX$200,0),1),""))</f>
        <v/>
      </c>
      <c r="GZ160" s="259" t="s">
        <v>165</v>
      </c>
      <c r="HA160" s="259" t="s">
        <v>167</v>
      </c>
      <c r="HB160" s="269" t="s">
        <v>256</v>
      </c>
      <c r="HC160" s="269" t="s">
        <v>276</v>
      </c>
      <c r="HD160" s="269" t="s">
        <v>7</v>
      </c>
      <c r="HE160" s="269" t="s">
        <v>214</v>
      </c>
      <c r="HV160" s="259" t="str">
        <f ca="1">CONCATENATE(IFERROR(INDEX($HS$3:$HT$102,MATCH(ROWS($HV$3:HV160),$HT$3:$HT$102,0),1),""),HR160)</f>
        <v/>
      </c>
      <c r="IC160" s="259">
        <f ca="1">IFERROR(INDEX(PIANO_DEI_CONTI,MATCH(ROWS(DL$3:DL160),$DK$3:DK387,0),2),0)</f>
        <v>0</v>
      </c>
      <c r="ID160" s="259">
        <f t="shared" ca="1" si="451"/>
        <v>0</v>
      </c>
      <c r="IE160" s="259">
        <f t="shared" ca="1" si="452"/>
        <v>0</v>
      </c>
      <c r="IF160" s="259">
        <f t="shared" ca="1" si="453"/>
        <v>0</v>
      </c>
      <c r="IG160" s="259">
        <f t="shared" ca="1" si="479"/>
        <v>0</v>
      </c>
      <c r="IH160" s="259">
        <f ca="1">IF(IG160&lt;&gt;0,MAX($IH$35:IH159)+1,0)</f>
        <v>0</v>
      </c>
      <c r="II160" s="259">
        <f>IF(AD160="costi pluriennali",MAX($II$2:II159)+1,0)</f>
        <v>0</v>
      </c>
      <c r="IJ160" s="259">
        <f>IF($AD160="rettifiche costi pluriennali",MAX($IJ$2:IJ159)+1,0)</f>
        <v>0</v>
      </c>
      <c r="IK160" s="259">
        <f t="shared" si="454"/>
        <v>0</v>
      </c>
      <c r="IL160" s="259" t="str">
        <f t="shared" si="455"/>
        <v/>
      </c>
      <c r="IM160" s="259">
        <f t="shared" ca="1" si="456"/>
        <v>0</v>
      </c>
      <c r="IN160" s="259">
        <f t="shared" ca="1" si="470"/>
        <v>0</v>
      </c>
      <c r="IO160" s="259">
        <f>SUMIFS($IM$3:$IM$200,$IK$3:$IK$200,ROWS($IO$3:IO160))-SUMIFS($IN$3:$IN$200,$IK$3:$IK$200,ROWS($IO$3:IO160))</f>
        <v>0</v>
      </c>
      <c r="IP160" s="259" t="str">
        <f>IF(IO160&lt;0,INDEX($IJ$3:$IL$200,MATCH(ROWS($IP$3:IP160),$IJ$3:$IJ$200,0),3),"")</f>
        <v/>
      </c>
      <c r="IQ160" s="259">
        <f>IF(IP160&lt;&gt;"",MAX($IQ$2:IQ159)+1,0)</f>
        <v>0</v>
      </c>
      <c r="IR160" s="259" t="str">
        <f ca="1">IFERROR(INDEX($IP$3:$IQ$200,MATCH(ROWS($IR$3:IR160),$IQ$3:$IQ$200,0),1),"")</f>
        <v/>
      </c>
      <c r="IS160" s="259" t="str">
        <f t="shared" ca="1" si="457"/>
        <v/>
      </c>
      <c r="IT160" s="259" t="str">
        <f t="shared" ca="1" si="458"/>
        <v/>
      </c>
      <c r="IU160" s="259" t="str">
        <f t="shared" ca="1" si="459"/>
        <v/>
      </c>
      <c r="IV160" s="259" t="str">
        <f t="shared" ca="1" si="460"/>
        <v/>
      </c>
      <c r="IW160" s="259" t="str">
        <f t="shared" ca="1" si="461"/>
        <v/>
      </c>
      <c r="IX160" s="259" t="str">
        <f t="shared" ca="1" si="462"/>
        <v/>
      </c>
      <c r="IY160" s="259" t="str">
        <f t="shared" ca="1" si="463"/>
        <v/>
      </c>
      <c r="IZ160" s="259" t="str">
        <f t="shared" ca="1" si="464"/>
        <v/>
      </c>
      <c r="JA160" s="259" t="str">
        <f t="shared" ca="1" si="465"/>
        <v/>
      </c>
      <c r="JB160" s="259">
        <f t="shared" ca="1" si="391"/>
        <v>0</v>
      </c>
      <c r="JC160" s="259">
        <f t="shared" ca="1" si="351"/>
        <v>0</v>
      </c>
      <c r="JD160" s="259">
        <f t="shared" ca="1" si="352"/>
        <v>0</v>
      </c>
      <c r="JM160" s="259">
        <f t="shared" ca="1" si="353"/>
        <v>0</v>
      </c>
    </row>
    <row r="161" spans="1:273">
      <c r="A161" s="259" t="str">
        <f t="shared" si="392"/>
        <v>32.02</v>
      </c>
      <c r="B161" s="259" t="str">
        <f t="shared" si="393"/>
        <v>CANONI DI LEASING</v>
      </c>
      <c r="C161" s="259" t="str">
        <f t="shared" si="394"/>
        <v>E</v>
      </c>
      <c r="D161" s="259" t="str">
        <f t="shared" si="395"/>
        <v>D</v>
      </c>
      <c r="E161" s="259" t="str">
        <f t="shared" si="396"/>
        <v>COSTI D'ESERCIZIO</v>
      </c>
      <c r="F161" s="259" t="str">
        <f t="shared" si="397"/>
        <v>SE DARE</v>
      </c>
      <c r="G161" s="259">
        <f t="shared" ca="1" si="398"/>
        <v>1</v>
      </c>
      <c r="H161" s="259">
        <f t="shared" ca="1" si="399"/>
        <v>1</v>
      </c>
      <c r="I161" s="259">
        <f t="shared" ca="1" si="400"/>
        <v>1</v>
      </c>
      <c r="K161" s="259" t="str">
        <f ca="1">IFERROR(IF($I$1=1,INDEX($AA$3:$AS$220,MATCH(ROWS($K$3:K161),$AQ$3:$AQ$220,0),1),IF($I$1=2,INDEX($AA$3:$AS$220,MATCH(ROWS($K$3:K161),$AR$3:$AR$220,0),1),IF($I$1=3,INDEX($AA$3:$AS$220,MATCH(ROWS($K$3:K161),$AS$3:$AS$220,0),1),""))),"")</f>
        <v>ACCANTONAMENTO PER IMPOSTE INDIRETTE</v>
      </c>
      <c r="L161" s="259">
        <f ca="1">IF(AND($L$1="VISUALIZZA TUTTI I CONTI",K161&lt;&gt;""),MAX(L160:L160)+1,IFERROR(IF($J$1=1,IF(INDEX(PIANO_DEI_CONTI,MATCH($K161,DENOMINAZIONE,0),5)=$L$1,MAX($L$2:L160)+1,0),IF($J$1=2,IF(INDEX(PIANO_DEI_CONTI,MATCH($K161,DENOMINAZIONE,0),7)=$L$1,MAX($L$2:L160)+1,0))),0))</f>
        <v>159</v>
      </c>
      <c r="M161" s="259" t="str">
        <f ca="1">IFERROR(INDEX($K$3:$K$220,MATCH(ROWS($M$3:M161),$L$3:$L$220,0),1),"")</f>
        <v>ACCANTONAMENTO PER IMPOSTE INDIRETTE</v>
      </c>
      <c r="R161" s="259" t="str">
        <f t="shared" ca="1" si="366"/>
        <v/>
      </c>
      <c r="S161" s="259">
        <f ca="1">IF(IFERROR(MATCH(R161,DENOMINAZIONE_GIORNALE,0),0)&gt;0,MAX(S$2:S160)+1,0)</f>
        <v>0</v>
      </c>
      <c r="T161" s="259" t="str">
        <f ca="1">IFERROR(INDEX($R$3:$S$220,MATCH(ROWS($T$3:T161),$S$3:$S$220,0),1),"")</f>
        <v/>
      </c>
      <c r="U161" s="259">
        <f t="shared" ca="1" si="367"/>
        <v>0</v>
      </c>
      <c r="V161" s="259">
        <f ca="1">IF(IF(U161&lt;&gt;0,MAX($V$2:V160)+1,0)=0,0,IF(U161&lt;&gt;0,MAX($V$2:V160)+1,0))</f>
        <v>0</v>
      </c>
      <c r="W161" s="259" t="str">
        <f t="shared" si="401"/>
        <v>32.02</v>
      </c>
      <c r="X161" s="259" t="str">
        <f t="shared" si="402"/>
        <v>CANONI DI LEASING</v>
      </c>
      <c r="Y161" s="259">
        <f>IF(W161="",0,MAX($Y$2:Y160)+1)</f>
        <v>138</v>
      </c>
      <c r="Z161" s="259" t="str">
        <f>IFERROR(INDEX($W$3:$Y$220,MATCH(ROWS($Z$2:Z160),$Y$3:$Y$220,0),1),"")</f>
        <v>38.10</v>
      </c>
      <c r="AA161" s="259" t="str">
        <f t="shared" si="403"/>
        <v>ACCANTONAMENTO PER MANUTENZIONI PROGRAMMATE</v>
      </c>
      <c r="AB161" s="259" t="str">
        <f t="shared" si="404"/>
        <v>E</v>
      </c>
      <c r="AC161" s="259" t="str">
        <f t="shared" si="405"/>
        <v>D</v>
      </c>
      <c r="AD161" s="259" t="str">
        <f t="shared" si="406"/>
        <v>COSTI D'ESERCIZIO</v>
      </c>
      <c r="AE161" s="259" t="str">
        <f t="shared" si="407"/>
        <v>SE DARE</v>
      </c>
      <c r="AF161" s="259" t="str">
        <f t="shared" si="408"/>
        <v xml:space="preserve">ACCANTONAMENTI </v>
      </c>
      <c r="AG161" s="259">
        <f t="shared" ca="1" si="409"/>
        <v>0</v>
      </c>
      <c r="AH161" s="259">
        <f t="shared" ca="1" si="410"/>
        <v>0</v>
      </c>
      <c r="AI161" s="259">
        <f t="shared" ca="1" si="411"/>
        <v>1</v>
      </c>
      <c r="AJ161" s="259" t="str">
        <f t="shared" si="412"/>
        <v>38</v>
      </c>
      <c r="AK161" s="259" t="str">
        <f t="shared" si="413"/>
        <v/>
      </c>
      <c r="AL161" s="259">
        <f>IF(AK161&lt;&gt;"",MAX($AL$2:AL160)+1,0)</f>
        <v>0</v>
      </c>
      <c r="AM161" s="259" t="str">
        <f>IFERROR(INDEX($AK$3:$AL$220,MATCH(ROWS($AM$3:AM161),$AL$3:$AL$220,0),1),"")</f>
        <v/>
      </c>
      <c r="AN161" s="259" t="str">
        <f t="shared" si="414"/>
        <v/>
      </c>
      <c r="AO161" s="259" t="str">
        <f t="shared" si="415"/>
        <v/>
      </c>
      <c r="AP161" s="259" t="str">
        <f t="shared" si="416"/>
        <v xml:space="preserve">ACCANTONAMENTI </v>
      </c>
      <c r="AQ161" s="259">
        <f ca="1">IF(OR(AG161=0,AG161=""),0,MAX(AQ$2:AQ160)+1)</f>
        <v>0</v>
      </c>
      <c r="AR161" s="259">
        <f ca="1">IF(OR(AH161=0,AH161=""),0,MAX(AR$2:AR160)+1)</f>
        <v>0</v>
      </c>
      <c r="AS161" s="259">
        <f ca="1">IF(OR(AI161=0,AI161=""),0,MAX(AS$2:AS160)+1)</f>
        <v>155</v>
      </c>
      <c r="AT161" s="259" t="str">
        <f ca="1">IFERROR(INDEX($AD$3:$AS$220,MATCH(ROWS(AT$3:AT161),AQ$3:AQ$220,0),1),"")</f>
        <v/>
      </c>
      <c r="AU161" s="259" t="str">
        <f ca="1">IFERROR(INDEX($AD$3:$AS$220,MATCH(ROWS(AU$3:AU161),AR$3:AR$220,0),1),"")</f>
        <v/>
      </c>
      <c r="AV161" s="259" t="str">
        <f ca="1">IFERROR(INDEX($AD$3:$AS$220,MATCH(ROWS(AV$3:AV161),AS$3:AS$220,0),1),"")</f>
        <v>COSTI D'ESERCIZIO</v>
      </c>
      <c r="AW161" s="259" t="str">
        <f ca="1">IFERROR(INDEX($AP$3:$AS$220,MATCH(ROWS(AW$3:AW161),AQ$3:AQ$220,0),1),"")</f>
        <v/>
      </c>
      <c r="AX161" s="259" t="str">
        <f ca="1">IFERROR(INDEX($AP$3:$AS$220,MATCH(ROWS(AX$3:AX161),AR$3:AR$220,0),1),"")</f>
        <v/>
      </c>
      <c r="AY161" s="259" t="str">
        <f ca="1">IFERROR(INDEX($AP$3:$AS$220,MATCH(ROWS(AY$3:AY161),AS$3:AS$220,0),1),"")</f>
        <v>ONERI DIVERSI</v>
      </c>
      <c r="AZ161" s="259" t="str">
        <f t="shared" si="339"/>
        <v>59 V.I.</v>
      </c>
      <c r="BA161" s="259">
        <f t="shared" ca="1" si="338"/>
        <v>0</v>
      </c>
      <c r="BB161" s="259">
        <f t="shared" ca="1" si="340"/>
        <v>0</v>
      </c>
      <c r="BC161" s="259">
        <f t="shared" ca="1" si="341"/>
        <v>0</v>
      </c>
      <c r="BD161" s="259">
        <f t="shared" ca="1" si="342"/>
        <v>0</v>
      </c>
      <c r="BE161" s="259">
        <f t="shared" ca="1" si="343"/>
        <v>0</v>
      </c>
      <c r="BG161" s="259" t="str">
        <f t="shared" ca="1" si="368"/>
        <v/>
      </c>
      <c r="BH161" s="259">
        <f ca="1">IF(IFERROR(MATCH(BG161,DENOMINAZIONE_GIORNALE,0),0)&gt;0,MAX(BH$2:BH160)+1,0)</f>
        <v>0</v>
      </c>
      <c r="BI161" s="259" t="str">
        <f ca="1">IFERROR(INDEX($BG$3:$BH$220,MATCH(ROWS($BI$3:BI161),$BH$3:$BH$220,0),1),"")</f>
        <v/>
      </c>
      <c r="BJ161" s="259" t="str">
        <f t="shared" ca="1" si="369"/>
        <v/>
      </c>
      <c r="BK161" s="259" t="str">
        <f ca="1">IF(IF(BJ161&lt;&gt;"",MAX($BK$2:BK160)+1,0)=0,"",IF(BJ161&lt;&gt;"",MAX($BK$2:BK160)+1,0))</f>
        <v/>
      </c>
      <c r="BL161" s="259" t="str">
        <f ca="1">IFERROR(INDEX($T$3:$U$220, MATCH(ROWS(BL$3:BL161),$V$3:$V$220,0),1),"")</f>
        <v/>
      </c>
      <c r="BM161" s="259" t="str">
        <f ca="1">IFERROR(INDEX($T$3:$U$220, MATCH(ROWS(BM$3:BM161),$V$3:$V$220,0),2),"")</f>
        <v/>
      </c>
      <c r="BN161" s="259" t="str">
        <f ca="1">IF(IFERROR(INDEX($BI$3:$BJ$220,MATCH(ROWS(BN$3:BN161),$BK$3:$BK$220,0),1),"")="PATRIMONIO NETTO","",IFERROR(INDEX($BI$3:$BJ$220,MATCH(ROWS(BN$3:BN161),$BK$3:$BK$220,0),1),""))</f>
        <v/>
      </c>
      <c r="BO161" s="259" t="str">
        <f ca="1">IFERROR(INDEX($BI$3:$BJ$220,MATCH(ROWS(BO$3:BO161),$BK$3:$BK$220,0),2),"")</f>
        <v/>
      </c>
      <c r="BP161" s="259">
        <f ca="1">IF(BN161&lt;&gt;"",MAX(BP$2:$BP160)+1,0)</f>
        <v>0</v>
      </c>
      <c r="BQ161" s="259" t="str">
        <f ca="1">IFERROR(INDEX($BN$3:$BO$200,MATCH(ROWS(BQ$3:BQ161),$BP$3:$BP$220,0),1),"")</f>
        <v/>
      </c>
      <c r="BR161" s="259" t="str">
        <f ca="1">IFERROR(INDEX($BN$3:$BO$220,MATCH(ROWS(BR$3:BR161),$BP$3:$BP$220,0),2),"")</f>
        <v/>
      </c>
      <c r="BS161" s="259" t="str">
        <f ca="1">IFERROR(IF(OR(INDEX($T$3:$U$220,MATCH(ROWS(BL$3:BL161),$V$3:$V$220,0),1)="PRELEVAMENTI EXTRAGESTIONE",INDEX($T$3:$U$220,MATCH(ROWS(BL$3:BL161),$V$3:$V$220,0),1)="TITOLARE C/RITENUTE SUBITE"),"",INDEX($T$3:$U$220,MATCH(ROWS(BL$3:BL161),$V$3:$V$220,0),1)),"")</f>
        <v/>
      </c>
      <c r="BT161" s="259">
        <f t="shared" ca="1" si="417"/>
        <v>0</v>
      </c>
      <c r="BU161" s="259">
        <f ca="1">IF(BS161&lt;&gt;"",MAX(BU$2:BU160)+1,0)</f>
        <v>0</v>
      </c>
      <c r="BV161" s="259" t="str">
        <f ca="1">IFERROR(INDEX($BS$3:$BT$223,MATCH(ROWS(BV$3:BV161),$BU$3:$BU$223,0),1),"")</f>
        <v/>
      </c>
      <c r="BW161" s="259">
        <f t="shared" ca="1" si="418"/>
        <v>0</v>
      </c>
      <c r="CB161" s="259" t="str">
        <f ca="1">IFERROR(IF(OR($BB$1&lt;&gt;$BD$1,$BC$1&lt;&gt;$BE$1,$DS$231&lt;&gt;$DT$231,$DU$231&lt;&gt;$DV$231,$EO$25&lt;&gt;0,$EO$26&lt;&gt;0),INDEX($BI$3:$BK$220,MATCH(ROWS($CB$3:CB161),$BK$3:$BK$220,0),1),CONCATENATE(BQ161,BX161)),"")</f>
        <v/>
      </c>
      <c r="CC161" s="259" t="str">
        <f t="shared" ca="1" si="419"/>
        <v/>
      </c>
      <c r="CD161" s="259" t="str">
        <f t="shared" ca="1" si="370"/>
        <v>ACCANTONAMENTO PER MANUTENZIONI PROGRAMMATE</v>
      </c>
      <c r="CE161" s="259">
        <f ca="1">IF(IFERROR(MATCH(CD161,DENOMINAZIONE_GIORNALE,0),0)&gt;0,MAX(CE$2:CE160)+1,0)</f>
        <v>0</v>
      </c>
      <c r="CF161" s="259" t="str">
        <f ca="1">IFERROR(INDEX($CD$3:$CE$220,MATCH(ROWS($CF$3:CF161),$CE$3:$CE$220,0),1),"")</f>
        <v/>
      </c>
      <c r="CG161" s="259">
        <f t="shared" ca="1" si="371"/>
        <v>0</v>
      </c>
      <c r="CH161" s="259" t="str">
        <f ca="1">IF(IF(CG161&lt;&gt;0,MAX($CH$2:CH160)+1,0)=0,"",IF(CG161&lt;&gt;"",MAX($CH$2:CH160)+1,0))</f>
        <v/>
      </c>
      <c r="CI161" s="259" t="str">
        <f ca="1">IFERROR(INDEX($CF$3:$CG$220,MATCH(ROWS($CI$3:CI161),$CH$3:$CH$220,0),1),"")</f>
        <v/>
      </c>
      <c r="CJ161" s="259" t="str">
        <f t="shared" ca="1" si="420"/>
        <v/>
      </c>
      <c r="CK161" s="259" t="str">
        <f t="shared" ca="1" si="372"/>
        <v/>
      </c>
      <c r="CL161" s="259">
        <f ca="1">IF(IFERROR(MATCH(CK161,DENOMINAZIONE_GIORNALE,0),0)&gt;0,MAX(CL$2:CL160)+1,0)</f>
        <v>0</v>
      </c>
      <c r="CM161" s="259" t="str">
        <f ca="1">IFERROR(INDEX($CK$3:$CL$220,MATCH(ROWS($CM$3:CM161),$CL$3:$CL$220,0),1),"")</f>
        <v/>
      </c>
      <c r="CN161" s="259" t="str">
        <f t="shared" ca="1" si="373"/>
        <v/>
      </c>
      <c r="CO161" s="259">
        <f ca="1">IF(IF(CN161&lt;&gt;0,MAX($CO$2:CO160)+1,0)=0,"",IF(CN161&lt;&gt;"",MAX($CO$2:CO160)+1,0))</f>
        <v>0</v>
      </c>
      <c r="CP161" s="259" t="str">
        <f ca="1">IFERROR(INDEX($CM$3:$CN$220,MATCH(ROWS(CP$3:CP161),$CO$3:$CO$220,0),1),"")</f>
        <v/>
      </c>
      <c r="CQ161" s="259" t="str">
        <f ca="1">IFERROR(INDEX($CM$3:$CN$220,MATCH(ROWS(CQ$3:CQ161),$CO$3:$CO$220,0),2),"")</f>
        <v/>
      </c>
      <c r="CS161" s="259">
        <f t="shared" ca="1" si="374"/>
        <v>0</v>
      </c>
      <c r="CT161" s="259">
        <f t="shared" ca="1" si="375"/>
        <v>0</v>
      </c>
      <c r="CU161" s="259">
        <f ca="1">IF(OR(CS161&gt;0,CT161&gt;0),MAX($CU$2:CU160)+1,0)</f>
        <v>0</v>
      </c>
      <c r="CV161" s="259" t="str">
        <f ca="1">IFERROR(INDEX(PIANO_DEI_CONTI,MATCH(ROWS($CV$3:CV161),$CU$3:$CU$200,0),2),"")</f>
        <v/>
      </c>
      <c r="CW161" s="259">
        <f ca="1">IFERROR(IF(CV161&lt;&gt;"",MAX($CW$2:CW160)+1,0),0)</f>
        <v>0</v>
      </c>
      <c r="CX161" s="259">
        <f t="shared" ca="1" si="472"/>
        <v>9</v>
      </c>
      <c r="CY161" s="259" t="str">
        <f t="shared" ca="1" si="469"/>
        <v>MASTRO</v>
      </c>
      <c r="CZ161" s="259" t="e">
        <f t="shared" ca="1" si="474"/>
        <v>#N/A</v>
      </c>
      <c r="DA161" s="259" t="str">
        <f t="shared" ca="1" si="480"/>
        <v/>
      </c>
      <c r="DB161" s="259" t="str">
        <f t="shared" ca="1" si="475"/>
        <v/>
      </c>
      <c r="DC161" s="259" t="str">
        <f t="shared" ca="1" si="476"/>
        <v/>
      </c>
      <c r="DD161" s="259" t="str">
        <f t="shared" ca="1" si="477"/>
        <v/>
      </c>
      <c r="DE161" s="259" t="str">
        <f t="shared" ca="1" si="478"/>
        <v/>
      </c>
      <c r="DF161" s="259">
        <f ca="1">IF(AND(CX161=$DE$2,$DF$2&lt;&gt;0),0,IF(AND(DB161&lt;&gt;"",OR(DB160&lt;&gt;"",DB162&lt;&gt;"")),MAX($DF$2:DF160)+1,0))</f>
        <v>0</v>
      </c>
      <c r="DG161" s="259" t="str">
        <f>IF(IF(LIBRO_GIORNALE!E69="","",IFERROR(INDEX(PIANO_DEI_CONTI,MATCH(BB161,DENOMINAZIONE,0),1),0))=0,"",IF(LIBRO_GIORNALE!E69="","",IFERROR(INDEX(PIANO_DEI_CONTI,MATCH(BB161,DENOMINAZIONE,0),1),0)))</f>
        <v/>
      </c>
      <c r="DH161" s="259">
        <f ca="1">IFERROR(IF($J$1=1,IF(INDEX(PIANO_DEI_CONTI,MATCH($K161,DENOMINAZIONE,0),5)=$DF$1,MAX($DH$2:DH160)+1,0),IF($J$1=2,IF(INDEX(PIANO_DEI_CONTI,MATCH($K161,DENOMINAZIONE,0),7)=$DF$1,MAX($DH$2:DH160)+1,0))),0)</f>
        <v>0</v>
      </c>
      <c r="DI161" s="259">
        <f ca="1">IFERROR(INDEX($K$3:$K$220,MATCH(ROWS($DI$3:DI161),$DH$3:$DH$220,0),1),0)</f>
        <v>0</v>
      </c>
      <c r="DJ161" s="259">
        <f t="shared" ca="1" si="381"/>
        <v>0</v>
      </c>
      <c r="DK161" s="259">
        <f ca="1">IF(DJ161=0,0,MAX(DK$2:DK160)+1)</f>
        <v>0</v>
      </c>
      <c r="DL161" s="259">
        <f ca="1">IFERROR(INDEX(PIANO_DEI_CONTI,MATCH(ROWS(DL$3:DL161),$DK$3:DK388,0),2),0)</f>
        <v>0</v>
      </c>
      <c r="DM161" s="259">
        <f t="shared" ca="1" si="382"/>
        <v>0</v>
      </c>
      <c r="DN161" s="259">
        <f t="shared" ca="1" si="383"/>
        <v>0</v>
      </c>
      <c r="DO161" s="259">
        <f t="shared" ca="1" si="422"/>
        <v>0</v>
      </c>
      <c r="DP161" s="259">
        <f t="shared" ca="1" si="423"/>
        <v>0</v>
      </c>
      <c r="DQ161" s="259">
        <f ca="1">IF(OR($DQ$1="TOTALI",$DQ$1="TOTALI ED ECCEDENZE"),IF(OR(DM161&gt;0,DN161&gt;0),MAX(DQ$2:DQ160)+1,0),IF($DQ$1="ECCEDENZE",IF(OR(DO161&gt;0,DP161&gt;0),MAX(DQ$2:DQ160)+1,0),""))</f>
        <v>0</v>
      </c>
      <c r="DR161" s="259" t="str">
        <f ca="1">IFERROR(INDEX($DL$3:$DQ$230,MATCH(ROWS(DR$3:DR161),$DQ$3:$DQ$230,0),1),"")</f>
        <v/>
      </c>
      <c r="DS161" s="259" t="str">
        <f t="shared" ca="1" si="424"/>
        <v/>
      </c>
      <c r="DT161" s="259" t="str">
        <f t="shared" ca="1" si="425"/>
        <v/>
      </c>
      <c r="DU161" s="259" t="str">
        <f t="shared" ca="1" si="426"/>
        <v/>
      </c>
      <c r="DV161" s="259" t="str">
        <f t="shared" ca="1" si="427"/>
        <v/>
      </c>
      <c r="DW161" s="259">
        <f t="shared" ca="1" si="428"/>
        <v>0</v>
      </c>
      <c r="DX161" s="259" t="str">
        <f t="shared" ca="1" si="429"/>
        <v/>
      </c>
      <c r="DY161" s="259" t="str">
        <f t="shared" ca="1" si="430"/>
        <v/>
      </c>
      <c r="DZ161" s="259" t="str">
        <f t="shared" ca="1" si="431"/>
        <v/>
      </c>
      <c r="EB161" s="259" t="s">
        <v>384</v>
      </c>
      <c r="ED161" s="259">
        <f t="shared" ca="1" si="384"/>
        <v>0</v>
      </c>
      <c r="EH161" s="259" t="str">
        <f t="shared" ca="1" si="432"/>
        <v/>
      </c>
      <c r="EI161" s="260" t="b">
        <f t="shared" ca="1" si="466"/>
        <v>1</v>
      </c>
      <c r="EJ161" s="260" t="b">
        <f t="shared" ca="1" si="467"/>
        <v>1</v>
      </c>
      <c r="EK161" s="260" t="b">
        <f t="shared" ca="1" si="468"/>
        <v>1</v>
      </c>
      <c r="EL161" s="259">
        <f t="shared" si="433"/>
        <v>159</v>
      </c>
      <c r="EM161" s="259">
        <f ca="1">IF(AND(BA161&gt;0,BA161&lt;=$EM$1),MAX($EM$2:EM160)+1,0)</f>
        <v>0</v>
      </c>
      <c r="EN161" s="259">
        <f t="shared" ca="1" si="434"/>
        <v>161</v>
      </c>
      <c r="EP161" s="259" t="str">
        <f t="shared" ca="1" si="385"/>
        <v/>
      </c>
      <c r="EQ161" s="259">
        <f t="shared" ca="1" si="386"/>
        <v>0</v>
      </c>
      <c r="ER161" s="259">
        <f ca="1">IF(ISNA(EQ161),MAX(ER$2:ER160)+1,0)</f>
        <v>0</v>
      </c>
      <c r="ES161" s="259" t="str">
        <f t="shared" ca="1" si="435"/>
        <v/>
      </c>
      <c r="ET161" s="259" t="str">
        <f ca="1">IFERROR(UPPER(INDEX($ER$3:$ES$500,MATCH(ROWS(ET$3:ET161),$ER$3:$ER$500,0),2)),"")</f>
        <v/>
      </c>
      <c r="EW161" s="259">
        <f t="shared" ca="1" si="344"/>
        <v>1</v>
      </c>
      <c r="EX161" s="259">
        <v>59</v>
      </c>
      <c r="EY161" s="259">
        <f t="shared" ca="1" si="345"/>
        <v>0</v>
      </c>
      <c r="EZ161" s="259">
        <f t="shared" ca="1" si="346"/>
        <v>0</v>
      </c>
      <c r="FA161" s="259">
        <f t="shared" ca="1" si="347"/>
        <v>0</v>
      </c>
      <c r="FB161" s="259">
        <f t="shared" ca="1" si="348"/>
        <v>0</v>
      </c>
      <c r="FC161" s="259">
        <f t="shared" ca="1" si="349"/>
        <v>0</v>
      </c>
      <c r="FD161" s="259">
        <f t="shared" ca="1" si="387"/>
        <v>0</v>
      </c>
      <c r="FE161" s="259" t="str">
        <f t="shared" ca="1" si="388"/>
        <v/>
      </c>
      <c r="FF161" s="259" t="str">
        <f t="shared" ca="1" si="350"/>
        <v/>
      </c>
      <c r="FM161" s="259">
        <f t="shared" ca="1" si="389"/>
        <v>0</v>
      </c>
      <c r="FN161" s="259">
        <f ca="1">IF(FM161&lt;0,MAX($FN$2:FN160)+1,0)</f>
        <v>0</v>
      </c>
      <c r="FO161" s="259" t="str">
        <f t="shared" ca="1" si="436"/>
        <v/>
      </c>
      <c r="FP161" s="259" t="str">
        <f ca="1">IFERROR(INDEX($FN$3:$FO$400,MATCH(ROWS($FP$3:FP161),$FN$3:$FN$400,0),2),"")</f>
        <v/>
      </c>
      <c r="FQ161" s="259" t="str">
        <f>IF(AE161="SE AVERE",MAX($FQ$2:FQ160)+1,"")</f>
        <v/>
      </c>
      <c r="FR161" s="259">
        <f>IF(AE161="SE DARE",MAX($FR$2:FR160)+1,"")</f>
        <v>64</v>
      </c>
      <c r="FS161" s="259" t="str">
        <f ca="1">IF(AND(AE161="SP DARE",AA161&lt;&gt;$FS$1,AA161&lt;&gt;$FT$1),MAX($FS$2:FS160)+1,IF(AND(GQ161="SP DARE",AA161&lt;&gt;$FS$1,AA161&lt;&gt;$FT$1),MAX($FS$2:FS160)+1,""))</f>
        <v/>
      </c>
      <c r="FT161" s="259" t="str">
        <f ca="1">IF(AND(AE161="SP AVERE",AA161&lt;&gt;$FU$1),MAX($FT$2:FT160)+1,IF(AND(GQ161="SP AVERE",AA161&lt;&gt;$FU$1),MAX($FT$2:FT160)+1,""))</f>
        <v/>
      </c>
      <c r="FU161" s="259">
        <f t="shared" ca="1" si="437"/>
        <v>64</v>
      </c>
      <c r="FV161" s="259" t="str">
        <f t="shared" si="438"/>
        <v>ACCANTONAMENTO PER MANUTENZIONI PROGRAMMATE</v>
      </c>
      <c r="FW161" s="259" t="str">
        <f ca="1">IFERROR(INDEX($FU$3:$FV$500,MATCH(ROWS($FW$3:FW161),$FU$3:$FU$500,0),2),0)</f>
        <v>DEBITI PER ACCONTI A FORNITORI</v>
      </c>
      <c r="FX161" s="259">
        <f t="shared" ca="1" si="439"/>
        <v>159</v>
      </c>
      <c r="FY161" s="259">
        <f t="shared" ca="1" si="440"/>
        <v>0</v>
      </c>
      <c r="FZ161" s="259">
        <f ca="1">IF(FY161&gt;0,MAX($FZ$2:FZ160)+1,0)</f>
        <v>0</v>
      </c>
      <c r="GA161" s="259">
        <f ca="1">IFERROR(INDEX($FY$3:$FZ$500,MATCH(ROWS($GA$3:GA161),$FZ$3:$FZ$500,0),1),0)</f>
        <v>0</v>
      </c>
      <c r="GC161" s="259">
        <f t="shared" ca="1" si="441"/>
        <v>159</v>
      </c>
      <c r="GD161" s="259" t="str">
        <f t="shared" ca="1" si="442"/>
        <v>DEBITI PER ACCONTI A FORNITORI</v>
      </c>
      <c r="GG161" s="259">
        <f t="shared" ca="1" si="443"/>
        <v>0</v>
      </c>
      <c r="GH161" s="259">
        <f t="shared" ca="1" si="444"/>
        <v>0</v>
      </c>
      <c r="GI161" s="259">
        <f t="shared" ca="1" si="445"/>
        <v>0</v>
      </c>
      <c r="GJ161" s="259">
        <f t="shared" ca="1" si="446"/>
        <v>0</v>
      </c>
      <c r="GK161" s="259">
        <f t="shared" ca="1" si="447"/>
        <v>0</v>
      </c>
      <c r="GL161" s="259">
        <f t="shared" ca="1" si="447"/>
        <v>0</v>
      </c>
      <c r="GM161" s="259">
        <f ca="1">IF(OR(GK161&gt;0,GL161&gt;0),MAX($GM$2:GM160)+1,0)</f>
        <v>0</v>
      </c>
      <c r="GN161" s="259" t="str">
        <f ca="1">IFERROR(INDEX($GD$3:$GM$400,MATCH(ROWS($GN$3:GN161),$GM$3:$GM$400,0),1),"")</f>
        <v/>
      </c>
      <c r="GO161" s="259" t="str">
        <f ca="1">IFERROR(INDEX($GD$3:$GM$400,MATCH(ROWS($GO$3:GO161),$GM$3:$GM$400,0),8),"")</f>
        <v/>
      </c>
      <c r="GP161" s="259" t="str">
        <f ca="1">IFERROR(INDEX($GD$3:$GM$400,MATCH(ROWS($GP$3:GP161),$GM$3:$GM$400,0),9),"")</f>
        <v/>
      </c>
      <c r="GQ161" s="259">
        <f t="shared" ca="1" si="390"/>
        <v>0</v>
      </c>
      <c r="GR161" s="259">
        <f t="shared" ca="1" si="448"/>
        <v>0</v>
      </c>
      <c r="GS161" s="259" t="str">
        <f t="shared" ca="1" si="449"/>
        <v>chiusura del conto</v>
      </c>
      <c r="GT161" s="259" t="str">
        <f ca="1">IFERROR(INDEX($GD$3:$GS$400,MATCH(ROWS($GT$3:GT161),$GM$3:$GM$400,0),16),"")</f>
        <v/>
      </c>
      <c r="GU161" s="259">
        <f ca="1">IF(GQ161&lt;&gt;0,MAX($GU$2:$GU160)+1,0)</f>
        <v>0</v>
      </c>
      <c r="GV161" s="259">
        <f t="shared" ca="1" si="450"/>
        <v>0</v>
      </c>
      <c r="GW161" s="259" t="str">
        <f ca="1">IF(AND(IFERROR(INDEX($GU$3:$GV$400,MATCH(ROWS($GW$3:GW161),$GU$3:$GU$400,0),2),"")&lt;&gt;"",GW162&lt;&gt;""),CONCATENATE(IFERROR(INDEX($GU$3:$GV$400,MATCH(ROWS($GW$3:GW161),$GU$3:$GU$400,0),2),"")," - "),IFERROR(INDEX($GU$3:$GV$400,MATCH(ROWS($GW$3:GW161),$GU$3:$GU$400,0),2),""))</f>
        <v/>
      </c>
      <c r="GX161" s="259">
        <f ca="1">IF(OR(GN161="IVA NS/CREDITO",GN161="IVA NS/DEBITO",GN161="IVA C/ACCONTO",GN161="IMPOSTE C/ACCONTO"),MAX($GX$2:GX160)+1,0)</f>
        <v>0</v>
      </c>
      <c r="GY161" s="259" t="str">
        <f ca="1">IF(AND(IFERROR(INDEX($GN$3:$GX$200,MATCH(ROWS($GY$3:GY161),$GX$3:$GX$200,0),1),"")&lt;&gt;"",GY162&lt;&gt;""),CONCATENATE(IFERROR(INDEX($GN$3:$GX$200,MATCH(ROWS($GY$3:GY161),$GX$3:$GX$200,0),1),"")," - "),IFERROR(INDEX($GN$3:$GX$200,MATCH(ROWS($GY$3:GY161),$GX$3:$GX$200,0),1),""))</f>
        <v/>
      </c>
      <c r="GZ161" s="259" t="s">
        <v>166</v>
      </c>
      <c r="HA161" s="259" t="s">
        <v>168</v>
      </c>
      <c r="HB161" s="269" t="s">
        <v>256</v>
      </c>
      <c r="HC161" s="269" t="s">
        <v>276</v>
      </c>
      <c r="HD161" s="269" t="s">
        <v>7</v>
      </c>
      <c r="HE161" s="269" t="s">
        <v>214</v>
      </c>
      <c r="HV161" s="259" t="str">
        <f ca="1">CONCATENATE(IFERROR(INDEX($HS$3:$HT$102,MATCH(ROWS($HV$3:HV161),$HT$3:$HT$102,0),1),""),HR161)</f>
        <v/>
      </c>
      <c r="IC161" s="259">
        <f ca="1">IFERROR(INDEX(PIANO_DEI_CONTI,MATCH(ROWS(DL$3:DL161),$DK$3:DK388,0),2),0)</f>
        <v>0</v>
      </c>
      <c r="ID161" s="259">
        <f t="shared" ca="1" si="451"/>
        <v>0</v>
      </c>
      <c r="IE161" s="259">
        <f t="shared" ca="1" si="452"/>
        <v>0</v>
      </c>
      <c r="IF161" s="259">
        <f t="shared" ca="1" si="453"/>
        <v>0</v>
      </c>
      <c r="IG161" s="259">
        <f t="shared" ca="1" si="479"/>
        <v>0</v>
      </c>
      <c r="IH161" s="259">
        <f ca="1">IF(IG161&lt;&gt;0,MAX($IH$35:IH160)+1,0)</f>
        <v>0</v>
      </c>
      <c r="II161" s="259">
        <f>IF(AD161="costi pluriennali",MAX($II$2:II160)+1,0)</f>
        <v>0</v>
      </c>
      <c r="IJ161" s="259">
        <f>IF($AD161="rettifiche costi pluriennali",MAX($IJ$2:IJ160)+1,0)</f>
        <v>0</v>
      </c>
      <c r="IK161" s="259">
        <f t="shared" si="454"/>
        <v>0</v>
      </c>
      <c r="IL161" s="259" t="str">
        <f t="shared" si="455"/>
        <v/>
      </c>
      <c r="IM161" s="259">
        <f t="shared" ca="1" si="456"/>
        <v>0</v>
      </c>
      <c r="IN161" s="259">
        <f t="shared" ca="1" si="470"/>
        <v>0</v>
      </c>
      <c r="IO161" s="259">
        <f>SUMIFS($IM$3:$IM$200,$IK$3:$IK$200,ROWS($IO$3:IO161))-SUMIFS($IN$3:$IN$200,$IK$3:$IK$200,ROWS($IO$3:IO161))</f>
        <v>0</v>
      </c>
      <c r="IP161" s="259" t="str">
        <f>IF(IO161&lt;0,INDEX($IJ$3:$IL$200,MATCH(ROWS($IP$3:IP161),$IJ$3:$IJ$200,0),3),"")</f>
        <v/>
      </c>
      <c r="IQ161" s="259">
        <f>IF(IP161&lt;&gt;"",MAX($IQ$2:IQ160)+1,0)</f>
        <v>0</v>
      </c>
      <c r="IR161" s="259" t="str">
        <f ca="1">IFERROR(INDEX($IP$3:$IQ$200,MATCH(ROWS($IR$3:IR161),$IQ$3:$IQ$200,0),1),"")</f>
        <v/>
      </c>
      <c r="IS161" s="259" t="str">
        <f t="shared" ca="1" si="457"/>
        <v/>
      </c>
      <c r="IT161" s="259" t="str">
        <f t="shared" ca="1" si="458"/>
        <v/>
      </c>
      <c r="IU161" s="259" t="str">
        <f t="shared" ca="1" si="459"/>
        <v/>
      </c>
      <c r="IV161" s="259" t="str">
        <f t="shared" ca="1" si="460"/>
        <v/>
      </c>
      <c r="IW161" s="259" t="str">
        <f t="shared" ca="1" si="461"/>
        <v/>
      </c>
      <c r="IX161" s="259" t="str">
        <f t="shared" ca="1" si="462"/>
        <v/>
      </c>
      <c r="IY161" s="259" t="str">
        <f t="shared" ca="1" si="463"/>
        <v/>
      </c>
      <c r="IZ161" s="259" t="str">
        <f t="shared" ca="1" si="464"/>
        <v/>
      </c>
      <c r="JA161" s="259" t="str">
        <f t="shared" ca="1" si="465"/>
        <v/>
      </c>
      <c r="JB161" s="259">
        <f t="shared" ca="1" si="391"/>
        <v>0</v>
      </c>
      <c r="JC161" s="259">
        <f t="shared" ca="1" si="351"/>
        <v>0</v>
      </c>
      <c r="JD161" s="259">
        <f t="shared" ca="1" si="352"/>
        <v>0</v>
      </c>
      <c r="JM161" s="259">
        <f t="shared" ca="1" si="353"/>
        <v>0</v>
      </c>
    </row>
    <row r="162" spans="1:273">
      <c r="A162" s="259" t="str">
        <f t="shared" si="392"/>
        <v>33.00</v>
      </c>
      <c r="B162" s="259" t="str">
        <f t="shared" si="393"/>
        <v>COSTI PER IL PERSONALE</v>
      </c>
      <c r="C162" s="259">
        <f t="shared" si="394"/>
        <v>0</v>
      </c>
      <c r="D162" s="259">
        <f t="shared" si="395"/>
        <v>0</v>
      </c>
      <c r="E162" s="259">
        <f t="shared" si="396"/>
        <v>0</v>
      </c>
      <c r="F162" s="259">
        <f t="shared" si="397"/>
        <v>0</v>
      </c>
      <c r="G162" s="259">
        <f t="shared" ca="1" si="398"/>
        <v>0</v>
      </c>
      <c r="H162" s="259">
        <f t="shared" ca="1" si="399"/>
        <v>0</v>
      </c>
      <c r="I162" s="259">
        <f t="shared" ca="1" si="400"/>
        <v>0</v>
      </c>
      <c r="K162" s="259" t="str">
        <f ca="1">IFERROR(IF($I$1=1,INDEX($AA$3:$AS$220,MATCH(ROWS($K$3:K162),$AQ$3:$AQ$220,0),1),IF($I$1=2,INDEX($AA$3:$AS$220,MATCH(ROWS($K$3:K162),$AR$3:$AR$220,0),1),IF($I$1=3,INDEX($AA$3:$AS$220,MATCH(ROWS($K$3:K162),$AS$3:$AS$220,0),1),""))),"")</f>
        <v>MINUSVALENZE</v>
      </c>
      <c r="L162" s="259">
        <f ca="1">IF(AND($L$1="VISUALIZZA TUTTI I CONTI",K162&lt;&gt;""),MAX(L161:L161)+1,IFERROR(IF($J$1=1,IF(INDEX(PIANO_DEI_CONTI,MATCH($K162,DENOMINAZIONE,0),5)=$L$1,MAX($L$2:L161)+1,0),IF($J$1=2,IF(INDEX(PIANO_DEI_CONTI,MATCH($K162,DENOMINAZIONE,0),7)=$L$1,MAX($L$2:L161)+1,0))),0))</f>
        <v>160</v>
      </c>
      <c r="M162" s="259" t="str">
        <f ca="1">IFERROR(INDEX($K$3:$K$220,MATCH(ROWS($M$3:M162),$L$3:$L$220,0),1),"")</f>
        <v>MINUSVALENZE</v>
      </c>
      <c r="R162" s="259" t="str">
        <f t="shared" ca="1" si="366"/>
        <v/>
      </c>
      <c r="S162" s="259">
        <f ca="1">IF(IFERROR(MATCH(R162,DENOMINAZIONE_GIORNALE,0),0)&gt;0,MAX(S$2:S161)+1,0)</f>
        <v>0</v>
      </c>
      <c r="T162" s="259" t="str">
        <f ca="1">IFERROR(INDEX($R$3:$S$220,MATCH(ROWS($T$3:T162),$S$3:$S$220,0),1),"")</f>
        <v/>
      </c>
      <c r="U162" s="259">
        <f t="shared" ca="1" si="367"/>
        <v>0</v>
      </c>
      <c r="V162" s="259">
        <f ca="1">IF(IF(U162&lt;&gt;0,MAX($V$2:V161)+1,0)=0,0,IF(U162&lt;&gt;0,MAX($V$2:V161)+1,0))</f>
        <v>0</v>
      </c>
      <c r="W162" s="259" t="str">
        <f t="shared" si="401"/>
        <v/>
      </c>
      <c r="X162" s="259" t="str">
        <f t="shared" si="402"/>
        <v/>
      </c>
      <c r="Y162" s="259">
        <f>IF(W162="",0,MAX($Y$2:Y161)+1)</f>
        <v>0</v>
      </c>
      <c r="Z162" s="259" t="str">
        <f>IFERROR(INDEX($W$3:$Y$220,MATCH(ROWS($Z$2:Z161),$Y$3:$Y$220,0),1),"")</f>
        <v>39.01</v>
      </c>
      <c r="AA162" s="259" t="str">
        <f t="shared" si="403"/>
        <v>ARROTONDAMENTI PASSIVI</v>
      </c>
      <c r="AB162" s="259" t="str">
        <f t="shared" si="404"/>
        <v>E</v>
      </c>
      <c r="AC162" s="259" t="str">
        <f t="shared" si="405"/>
        <v>D</v>
      </c>
      <c r="AD162" s="259" t="str">
        <f t="shared" si="406"/>
        <v>COSTI D'ESERCIZIO</v>
      </c>
      <c r="AE162" s="259" t="str">
        <f t="shared" si="407"/>
        <v>SE DARE</v>
      </c>
      <c r="AF162" s="259" t="str">
        <f t="shared" si="408"/>
        <v>ONERI DIVERSI</v>
      </c>
      <c r="AG162" s="259">
        <f t="shared" ca="1" si="409"/>
        <v>1</v>
      </c>
      <c r="AH162" s="259">
        <f t="shared" ca="1" si="410"/>
        <v>1</v>
      </c>
      <c r="AI162" s="259">
        <f t="shared" ca="1" si="411"/>
        <v>1</v>
      </c>
      <c r="AJ162" s="259" t="str">
        <f t="shared" si="412"/>
        <v>39</v>
      </c>
      <c r="AK162" s="259" t="str">
        <f t="shared" si="413"/>
        <v>33</v>
      </c>
      <c r="AL162" s="259">
        <f>IF(AK162&lt;&gt;"",MAX($AL$2:AL161)+1,0)</f>
        <v>22</v>
      </c>
      <c r="AM162" s="259" t="str">
        <f>IFERROR(INDEX($AK$3:$AL$220,MATCH(ROWS($AM$3:AM162),$AL$3:$AL$220,0),1),"")</f>
        <v/>
      </c>
      <c r="AN162" s="259" t="str">
        <f t="shared" si="414"/>
        <v/>
      </c>
      <c r="AO162" s="259" t="str">
        <f t="shared" si="415"/>
        <v/>
      </c>
      <c r="AP162" s="259" t="str">
        <f t="shared" si="416"/>
        <v>ONERI DIVERSI</v>
      </c>
      <c r="AQ162" s="259">
        <f ca="1">IF(OR(AG162=0,AG162=""),0,MAX(AQ$2:AQ161)+1)</f>
        <v>80</v>
      </c>
      <c r="AR162" s="259">
        <f ca="1">IF(OR(AH162=0,AH162=""),0,MAX(AR$2:AR161)+1)</f>
        <v>107</v>
      </c>
      <c r="AS162" s="259">
        <f ca="1">IF(OR(AI162=0,AI162=""),0,MAX(AS$2:AS161)+1)</f>
        <v>156</v>
      </c>
      <c r="AT162" s="259" t="str">
        <f ca="1">IFERROR(INDEX($AD$3:$AS$220,MATCH(ROWS(AT$3:AT162),AQ$3:AQ$220,0),1),"")</f>
        <v/>
      </c>
      <c r="AU162" s="259" t="str">
        <f ca="1">IFERROR(INDEX($AD$3:$AS$220,MATCH(ROWS(AU$3:AU162),AR$3:AR$220,0),1),"")</f>
        <v/>
      </c>
      <c r="AV162" s="259" t="str">
        <f ca="1">IFERROR(INDEX($AD$3:$AS$220,MATCH(ROWS(AV$3:AV162),AS$3:AS$220,0),1),"")</f>
        <v>COSTI D'ESERCIZIO</v>
      </c>
      <c r="AW162" s="259" t="str">
        <f ca="1">IFERROR(INDEX($AP$3:$AS$220,MATCH(ROWS(AW$3:AW162),AQ$3:AQ$220,0),1),"")</f>
        <v/>
      </c>
      <c r="AX162" s="259" t="str">
        <f ca="1">IFERROR(INDEX($AP$3:$AS$220,MATCH(ROWS(AX$3:AX162),AR$3:AR$220,0),1),"")</f>
        <v/>
      </c>
      <c r="AY162" s="259" t="str">
        <f ca="1">IFERROR(INDEX($AP$3:$AS$220,MATCH(ROWS(AY$3:AY162),AS$3:AS$220,0),1),"")</f>
        <v>ONERI DIVERSI</v>
      </c>
      <c r="AZ162" s="259" t="str">
        <f t="shared" si="339"/>
        <v>60 V.I.</v>
      </c>
      <c r="BA162" s="259">
        <f t="shared" ca="1" si="338"/>
        <v>0</v>
      </c>
      <c r="BB162" s="259">
        <f t="shared" ca="1" si="340"/>
        <v>0</v>
      </c>
      <c r="BC162" s="259">
        <f t="shared" ca="1" si="341"/>
        <v>0</v>
      </c>
      <c r="BD162" s="259">
        <f t="shared" ca="1" si="342"/>
        <v>0</v>
      </c>
      <c r="BE162" s="259">
        <f t="shared" ca="1" si="343"/>
        <v>0</v>
      </c>
      <c r="BG162" s="259" t="str">
        <f t="shared" ca="1" si="368"/>
        <v/>
      </c>
      <c r="BH162" s="259">
        <f ca="1">IF(IFERROR(MATCH(BG162,DENOMINAZIONE_GIORNALE,0),0)&gt;0,MAX(BH$2:BH161)+1,0)</f>
        <v>0</v>
      </c>
      <c r="BI162" s="259" t="str">
        <f ca="1">IFERROR(INDEX($BG$3:$BH$220,MATCH(ROWS($BI$3:BI162),$BH$3:$BH$220,0),1),"")</f>
        <v/>
      </c>
      <c r="BJ162" s="259" t="str">
        <f t="shared" ca="1" si="369"/>
        <v/>
      </c>
      <c r="BK162" s="259" t="str">
        <f ca="1">IF(IF(BJ162&lt;&gt;"",MAX($BK$2:BK161)+1,0)=0,"",IF(BJ162&lt;&gt;"",MAX($BK$2:BK161)+1,0))</f>
        <v/>
      </c>
      <c r="BL162" s="259" t="str">
        <f ca="1">IFERROR(INDEX($T$3:$U$220, MATCH(ROWS(BL$3:BL162),$V$3:$V$220,0),1),"")</f>
        <v/>
      </c>
      <c r="BM162" s="259" t="str">
        <f ca="1">IFERROR(INDEX($T$3:$U$220, MATCH(ROWS(BM$3:BM162),$V$3:$V$220,0),2),"")</f>
        <v/>
      </c>
      <c r="BN162" s="259" t="str">
        <f ca="1">IF(IFERROR(INDEX($BI$3:$BJ$220,MATCH(ROWS(BN$3:BN162),$BK$3:$BK$220,0),1),"")="PATRIMONIO NETTO","",IFERROR(INDEX($BI$3:$BJ$220,MATCH(ROWS(BN$3:BN162),$BK$3:$BK$220,0),1),""))</f>
        <v/>
      </c>
      <c r="BO162" s="259" t="str">
        <f ca="1">IFERROR(INDEX($BI$3:$BJ$220,MATCH(ROWS(BO$3:BO162),$BK$3:$BK$220,0),2),"")</f>
        <v/>
      </c>
      <c r="BP162" s="259">
        <f ca="1">IF(BN162&lt;&gt;"",MAX(BP$2:$BP161)+1,0)</f>
        <v>0</v>
      </c>
      <c r="BQ162" s="259" t="str">
        <f ca="1">IFERROR(INDEX($BN$3:$BO$200,MATCH(ROWS(BQ$3:BQ162),$BP$3:$BP$220,0),1),"")</f>
        <v/>
      </c>
      <c r="BR162" s="259" t="str">
        <f ca="1">IFERROR(INDEX($BN$3:$BO$220,MATCH(ROWS(BR$3:BR162),$BP$3:$BP$220,0),2),"")</f>
        <v/>
      </c>
      <c r="BS162" s="259" t="str">
        <f ca="1">IFERROR(IF(OR(INDEX($T$3:$U$220,MATCH(ROWS(BL$3:BL162),$V$3:$V$220,0),1)="PRELEVAMENTI EXTRAGESTIONE",INDEX($T$3:$U$220,MATCH(ROWS(BL$3:BL162),$V$3:$V$220,0),1)="TITOLARE C/RITENUTE SUBITE"),"",INDEX($T$3:$U$220,MATCH(ROWS(BL$3:BL162),$V$3:$V$220,0),1)),"")</f>
        <v/>
      </c>
      <c r="BT162" s="259">
        <f t="shared" ca="1" si="417"/>
        <v>0</v>
      </c>
      <c r="BU162" s="259">
        <f ca="1">IF(BS162&lt;&gt;"",MAX(BU$2:BU161)+1,0)</f>
        <v>0</v>
      </c>
      <c r="BV162" s="259" t="str">
        <f ca="1">IFERROR(INDEX($BS$3:$BT$223,MATCH(ROWS(BV$3:BV162),$BU$3:$BU$223,0),1),"")</f>
        <v/>
      </c>
      <c r="BW162" s="259">
        <f t="shared" ca="1" si="418"/>
        <v>0</v>
      </c>
      <c r="CB162" s="259" t="str">
        <f ca="1">IFERROR(IF(OR($BB$1&lt;&gt;$BD$1,$BC$1&lt;&gt;$BE$1,$DS$231&lt;&gt;$DT$231,$DU$231&lt;&gt;$DV$231,$EO$25&lt;&gt;0,$EO$26&lt;&gt;0),INDEX($BI$3:$BK$220,MATCH(ROWS($CB$3:CB162),$BK$3:$BK$220,0),1),CONCATENATE(BQ162,BX162)),"")</f>
        <v/>
      </c>
      <c r="CC162" s="259" t="str">
        <f t="shared" ca="1" si="419"/>
        <v/>
      </c>
      <c r="CD162" s="259" t="str">
        <f t="shared" ca="1" si="370"/>
        <v>ARROTONDAMENTI PASSIVI</v>
      </c>
      <c r="CE162" s="259">
        <f ca="1">IF(IFERROR(MATCH(CD162,DENOMINAZIONE_GIORNALE,0),0)&gt;0,MAX(CE$2:CE161)+1,0)</f>
        <v>0</v>
      </c>
      <c r="CF162" s="259" t="str">
        <f ca="1">IFERROR(INDEX($CD$3:$CE$220,MATCH(ROWS($CF$3:CF162),$CE$3:$CE$220,0),1),"")</f>
        <v/>
      </c>
      <c r="CG162" s="259">
        <f t="shared" ca="1" si="371"/>
        <v>0</v>
      </c>
      <c r="CH162" s="259" t="str">
        <f ca="1">IF(IF(CG162&lt;&gt;0,MAX($CH$2:CH161)+1,0)=0,"",IF(CG162&lt;&gt;"",MAX($CH$2:CH161)+1,0))</f>
        <v/>
      </c>
      <c r="CI162" s="259" t="str">
        <f ca="1">IFERROR(INDEX($CF$3:$CG$220,MATCH(ROWS($CI$3:CI162),$CH$3:$CH$220,0),1),"")</f>
        <v/>
      </c>
      <c r="CJ162" s="259" t="str">
        <f t="shared" ca="1" si="420"/>
        <v/>
      </c>
      <c r="CK162" s="259" t="str">
        <f t="shared" ca="1" si="372"/>
        <v/>
      </c>
      <c r="CL162" s="259">
        <f ca="1">IF(IFERROR(MATCH(CK162,DENOMINAZIONE_GIORNALE,0),0)&gt;0,MAX(CL$2:CL161)+1,0)</f>
        <v>0</v>
      </c>
      <c r="CM162" s="259" t="str">
        <f ca="1">IFERROR(INDEX($CK$3:$CL$220,MATCH(ROWS($CM$3:CM162),$CL$3:$CL$220,0),1),"")</f>
        <v/>
      </c>
      <c r="CN162" s="259" t="str">
        <f t="shared" ca="1" si="373"/>
        <v/>
      </c>
      <c r="CO162" s="259">
        <f ca="1">IF(IF(CN162&lt;&gt;0,MAX($CO$2:CO161)+1,0)=0,"",IF(CN162&lt;&gt;"",MAX($CO$2:CO161)+1,0))</f>
        <v>0</v>
      </c>
      <c r="CP162" s="259" t="str">
        <f ca="1">IFERROR(INDEX($CM$3:$CN$220,MATCH(ROWS(CP$3:CP162),$CO$3:$CO$220,0),1),"")</f>
        <v/>
      </c>
      <c r="CQ162" s="259" t="str">
        <f ca="1">IFERROR(INDEX($CM$3:$CN$220,MATCH(ROWS(CQ$3:CQ162),$CO$3:$CO$220,0),2),"")</f>
        <v/>
      </c>
      <c r="CS162" s="259">
        <f t="shared" ca="1" si="374"/>
        <v>0</v>
      </c>
      <c r="CT162" s="259">
        <f t="shared" ca="1" si="375"/>
        <v>0</v>
      </c>
      <c r="CU162" s="259">
        <f ca="1">IF(OR(CS162&gt;0,CT162&gt;0),MAX($CU$2:CU161)+1,0)</f>
        <v>0</v>
      </c>
      <c r="CV162" s="259" t="str">
        <f ca="1">IFERROR(INDEX(PIANO_DEI_CONTI,MATCH(ROWS($CV$3:CV162),$CU$3:$CU$200,0),2),"")</f>
        <v/>
      </c>
      <c r="CW162" s="259">
        <f ca="1">IFERROR(IF(CV162&lt;&gt;"",MAX($CW$2:CW161)+1,0),0)</f>
        <v>0</v>
      </c>
      <c r="CX162" s="259">
        <f t="shared" ca="1" si="472"/>
        <v>9</v>
      </c>
      <c r="CY162" s="259" t="str">
        <f t="shared" ca="1" si="469"/>
        <v>MASTRO</v>
      </c>
      <c r="CZ162" s="259" t="e">
        <f t="shared" ca="1" si="474"/>
        <v>#N/A</v>
      </c>
      <c r="DA162" s="259" t="str">
        <f t="shared" ca="1" si="480"/>
        <v/>
      </c>
      <c r="DB162" s="259" t="str">
        <f t="shared" ca="1" si="475"/>
        <v/>
      </c>
      <c r="DC162" s="259" t="str">
        <f t="shared" ca="1" si="476"/>
        <v/>
      </c>
      <c r="DD162" s="259" t="str">
        <f t="shared" ca="1" si="477"/>
        <v/>
      </c>
      <c r="DE162" s="259" t="str">
        <f t="shared" ca="1" si="478"/>
        <v/>
      </c>
      <c r="DF162" s="259">
        <f ca="1">IF(AND(CX162=$DE$2,$DF$2&lt;&gt;0),0,IF(AND(DB162&lt;&gt;"",OR(DB161&lt;&gt;"",DB163&lt;&gt;"")),MAX($DF$2:DF161)+1,0))</f>
        <v>0</v>
      </c>
      <c r="DG162" s="259" t="str">
        <f>IF(IF(LIBRO_GIORNALE!E70="","",IFERROR(INDEX(PIANO_DEI_CONTI,MATCH(BB162,DENOMINAZIONE,0),1),0))=0,"",IF(LIBRO_GIORNALE!E70="","",IFERROR(INDEX(PIANO_DEI_CONTI,MATCH(BB162,DENOMINAZIONE,0),1),0)))</f>
        <v/>
      </c>
      <c r="DH162" s="259">
        <f ca="1">IFERROR(IF($J$1=1,IF(INDEX(PIANO_DEI_CONTI,MATCH($K162,DENOMINAZIONE,0),5)=$DF$1,MAX($DH$2:DH161)+1,0),IF($J$1=2,IF(INDEX(PIANO_DEI_CONTI,MATCH($K162,DENOMINAZIONE,0),7)=$DF$1,MAX($DH$2:DH161)+1,0))),0)</f>
        <v>0</v>
      </c>
      <c r="DI162" s="259">
        <f ca="1">IFERROR(INDEX($K$3:$K$220,MATCH(ROWS($DI$3:DI162),$DH$3:$DH$220,0),1),0)</f>
        <v>0</v>
      </c>
      <c r="DJ162" s="259">
        <f t="shared" ca="1" si="381"/>
        <v>0</v>
      </c>
      <c r="DK162" s="259">
        <f ca="1">IF(DJ162=0,0,MAX(DK$2:DK161)+1)</f>
        <v>0</v>
      </c>
      <c r="DL162" s="259">
        <f ca="1">IFERROR(INDEX(PIANO_DEI_CONTI,MATCH(ROWS(DL$3:DL162),$DK$3:DK389,0),2),0)</f>
        <v>0</v>
      </c>
      <c r="DM162" s="259">
        <f t="shared" ca="1" si="382"/>
        <v>0</v>
      </c>
      <c r="DN162" s="259">
        <f t="shared" ca="1" si="383"/>
        <v>0</v>
      </c>
      <c r="DO162" s="259">
        <f t="shared" ca="1" si="422"/>
        <v>0</v>
      </c>
      <c r="DP162" s="259">
        <f t="shared" ca="1" si="423"/>
        <v>0</v>
      </c>
      <c r="DQ162" s="259">
        <f ca="1">IF(OR($DQ$1="TOTALI",$DQ$1="TOTALI ED ECCEDENZE"),IF(OR(DM162&gt;0,DN162&gt;0),MAX(DQ$2:DQ161)+1,0),IF($DQ$1="ECCEDENZE",IF(OR(DO162&gt;0,DP162&gt;0),MAX(DQ$2:DQ161)+1,0),""))</f>
        <v>0</v>
      </c>
      <c r="DR162" s="259" t="str">
        <f ca="1">IFERROR(INDEX($DL$3:$DQ$230,MATCH(ROWS(DR$3:DR162),$DQ$3:$DQ$230,0),1),"")</f>
        <v/>
      </c>
      <c r="DS162" s="259" t="str">
        <f t="shared" ca="1" si="424"/>
        <v/>
      </c>
      <c r="DT162" s="259" t="str">
        <f t="shared" ca="1" si="425"/>
        <v/>
      </c>
      <c r="DU162" s="259" t="str">
        <f t="shared" ca="1" si="426"/>
        <v/>
      </c>
      <c r="DV162" s="259" t="str">
        <f t="shared" ca="1" si="427"/>
        <v/>
      </c>
      <c r="DW162" s="259">
        <f t="shared" ca="1" si="428"/>
        <v>0</v>
      </c>
      <c r="DX162" s="259" t="str">
        <f t="shared" ca="1" si="429"/>
        <v/>
      </c>
      <c r="DY162" s="259" t="str">
        <f t="shared" ca="1" si="430"/>
        <v/>
      </c>
      <c r="DZ162" s="259" t="str">
        <f t="shared" ca="1" si="431"/>
        <v/>
      </c>
      <c r="EB162" s="259" t="s">
        <v>385</v>
      </c>
      <c r="ED162" s="259">
        <f t="shared" ca="1" si="384"/>
        <v>0</v>
      </c>
      <c r="EH162" s="259" t="str">
        <f t="shared" ca="1" si="432"/>
        <v/>
      </c>
      <c r="EI162" s="260" t="b">
        <f t="shared" ca="1" si="466"/>
        <v>0</v>
      </c>
      <c r="EJ162" s="260" t="b">
        <f t="shared" ca="1" si="467"/>
        <v>0</v>
      </c>
      <c r="EK162" s="260" t="b">
        <f t="shared" ca="1" si="468"/>
        <v>0</v>
      </c>
      <c r="EL162" s="259">
        <f t="shared" si="433"/>
        <v>160</v>
      </c>
      <c r="EM162" s="259">
        <f ca="1">IF(AND(BA162&gt;0,BA162&lt;=$EM$1),MAX($EM$2:EM161)+1,0)</f>
        <v>0</v>
      </c>
      <c r="EN162" s="259">
        <f t="shared" ca="1" si="434"/>
        <v>162</v>
      </c>
      <c r="EP162" s="259" t="str">
        <f t="shared" ca="1" si="385"/>
        <v/>
      </c>
      <c r="EQ162" s="259">
        <f t="shared" ca="1" si="386"/>
        <v>0</v>
      </c>
      <c r="ER162" s="259">
        <f ca="1">IF(ISNA(EQ162),MAX(ER$2:ER161)+1,0)</f>
        <v>0</v>
      </c>
      <c r="ES162" s="259" t="str">
        <f t="shared" ca="1" si="435"/>
        <v/>
      </c>
      <c r="ET162" s="259" t="str">
        <f ca="1">IFERROR(UPPER(INDEX($ER$3:$ES$500,MATCH(ROWS(ET$3:ET162),$ER$3:$ER$500,0),2)),"")</f>
        <v/>
      </c>
      <c r="EW162" s="259">
        <f t="shared" ca="1" si="344"/>
        <v>1</v>
      </c>
      <c r="EX162" s="259">
        <v>60</v>
      </c>
      <c r="EY162" s="259">
        <f t="shared" ca="1" si="345"/>
        <v>0</v>
      </c>
      <c r="EZ162" s="259">
        <f t="shared" ca="1" si="346"/>
        <v>0</v>
      </c>
      <c r="FA162" s="259">
        <f t="shared" ca="1" si="347"/>
        <v>0</v>
      </c>
      <c r="FB162" s="259">
        <f t="shared" ca="1" si="348"/>
        <v>0</v>
      </c>
      <c r="FC162" s="259">
        <f t="shared" ca="1" si="349"/>
        <v>0</v>
      </c>
      <c r="FD162" s="259">
        <f t="shared" ca="1" si="387"/>
        <v>0</v>
      </c>
      <c r="FE162" s="259" t="str">
        <f t="shared" ca="1" si="388"/>
        <v/>
      </c>
      <c r="FF162" s="259" t="str">
        <f t="shared" ca="1" si="350"/>
        <v/>
      </c>
      <c r="FM162" s="259">
        <f t="shared" ca="1" si="389"/>
        <v>0</v>
      </c>
      <c r="FN162" s="259">
        <f ca="1">IF(FM162&lt;0,MAX($FN$2:FN161)+1,0)</f>
        <v>0</v>
      </c>
      <c r="FO162" s="259" t="str">
        <f t="shared" ca="1" si="436"/>
        <v/>
      </c>
      <c r="FP162" s="259" t="str">
        <f ca="1">IFERROR(INDEX($FN$3:$FO$400,MATCH(ROWS($FP$3:FP162),$FN$3:$FN$400,0),2),"")</f>
        <v/>
      </c>
      <c r="FQ162" s="259" t="str">
        <f>IF(AE162="SE AVERE",MAX($FQ$2:FQ161)+1,"")</f>
        <v/>
      </c>
      <c r="FR162" s="259">
        <f>IF(AE162="SE DARE",MAX($FR$2:FR161)+1,"")</f>
        <v>65</v>
      </c>
      <c r="FS162" s="259" t="str">
        <f ca="1">IF(AND(AE162="SP DARE",AA162&lt;&gt;$FS$1,AA162&lt;&gt;$FT$1),MAX($FS$2:FS161)+1,IF(AND(GQ162="SP DARE",AA162&lt;&gt;$FS$1,AA162&lt;&gt;$FT$1),MAX($FS$2:FS161)+1,""))</f>
        <v/>
      </c>
      <c r="FT162" s="259" t="str">
        <f ca="1">IF(AND(AE162="SP AVERE",AA162&lt;&gt;$FU$1),MAX($FT$2:FT161)+1,IF(AND(GQ162="SP AVERE",AA162&lt;&gt;$FU$1),MAX($FT$2:FT161)+1,""))</f>
        <v/>
      </c>
      <c r="FU162" s="259">
        <f t="shared" ca="1" si="437"/>
        <v>65</v>
      </c>
      <c r="FV162" s="259" t="str">
        <f t="shared" si="438"/>
        <v>ARROTONDAMENTI PASSIVI</v>
      </c>
      <c r="FW162" s="259" t="str">
        <f ca="1">IFERROR(INDEX($FU$3:$FV$500,MATCH(ROWS($FW$3:FW162),$FU$3:$FU$500,0),2),0)</f>
        <v>CLIENTI C/ACCONTI</v>
      </c>
      <c r="FX162" s="259">
        <f t="shared" ca="1" si="439"/>
        <v>160</v>
      </c>
      <c r="FY162" s="259">
        <f t="shared" ca="1" si="440"/>
        <v>0</v>
      </c>
      <c r="FZ162" s="259">
        <f ca="1">IF(FY162&gt;0,MAX($FZ$2:FZ161)+1,0)</f>
        <v>0</v>
      </c>
      <c r="GA162" s="259">
        <f ca="1">IFERROR(INDEX($FY$3:$FZ$500,MATCH(ROWS($GA$3:GA162),$FZ$3:$FZ$500,0),1),0)</f>
        <v>0</v>
      </c>
      <c r="GC162" s="259">
        <f t="shared" ca="1" si="441"/>
        <v>160</v>
      </c>
      <c r="GD162" s="259" t="str">
        <f t="shared" ca="1" si="442"/>
        <v>CLIENTI C/ACCONTI</v>
      </c>
      <c r="GG162" s="259">
        <f t="shared" ca="1" si="443"/>
        <v>0</v>
      </c>
      <c r="GH162" s="259">
        <f t="shared" ca="1" si="444"/>
        <v>0</v>
      </c>
      <c r="GI162" s="259">
        <f t="shared" ca="1" si="445"/>
        <v>0</v>
      </c>
      <c r="GJ162" s="259">
        <f t="shared" ca="1" si="446"/>
        <v>0</v>
      </c>
      <c r="GK162" s="259">
        <f t="shared" ca="1" si="447"/>
        <v>0</v>
      </c>
      <c r="GL162" s="259">
        <f t="shared" ca="1" si="447"/>
        <v>0</v>
      </c>
      <c r="GM162" s="259">
        <f ca="1">IF(OR(GK162&gt;0,GL162&gt;0),MAX($GM$2:GM161)+1,0)</f>
        <v>0</v>
      </c>
      <c r="GN162" s="259" t="str">
        <f ca="1">IFERROR(INDEX($GD$3:$GM$400,MATCH(ROWS($GN$3:GN162),$GM$3:$GM$400,0),1),"")</f>
        <v/>
      </c>
      <c r="GO162" s="259" t="str">
        <f ca="1">IFERROR(INDEX($GD$3:$GM$400,MATCH(ROWS($GO$3:GO162),$GM$3:$GM$400,0),8),"")</f>
        <v/>
      </c>
      <c r="GP162" s="259" t="str">
        <f ca="1">IFERROR(INDEX($GD$3:$GM$400,MATCH(ROWS($GP$3:GP162),$GM$3:$GM$400,0),9),"")</f>
        <v/>
      </c>
      <c r="GQ162" s="259">
        <f t="shared" ca="1" si="390"/>
        <v>0</v>
      </c>
      <c r="GR162" s="259">
        <f t="shared" ca="1" si="448"/>
        <v>0</v>
      </c>
      <c r="GS162" s="259" t="str">
        <f t="shared" ca="1" si="449"/>
        <v>chiusura del conto</v>
      </c>
      <c r="GT162" s="259" t="str">
        <f ca="1">IFERROR(INDEX($GD$3:$GS$400,MATCH(ROWS($GT$3:GT162),$GM$3:$GM$400,0),16),"")</f>
        <v/>
      </c>
      <c r="GU162" s="259">
        <f ca="1">IF(GQ162&lt;&gt;0,MAX($GU$2:$GU161)+1,0)</f>
        <v>0</v>
      </c>
      <c r="GV162" s="259">
        <f t="shared" ca="1" si="450"/>
        <v>0</v>
      </c>
      <c r="GW162" s="259" t="str">
        <f ca="1">IF(AND(IFERROR(INDEX($GU$3:$GV$400,MATCH(ROWS($GW$3:GW162),$GU$3:$GU$400,0),2),"")&lt;&gt;"",GW163&lt;&gt;""),CONCATENATE(IFERROR(INDEX($GU$3:$GV$400,MATCH(ROWS($GW$3:GW162),$GU$3:$GU$400,0),2),"")," - "),IFERROR(INDEX($GU$3:$GV$400,MATCH(ROWS($GW$3:GW162),$GU$3:$GU$400,0),2),""))</f>
        <v/>
      </c>
      <c r="GX162" s="259">
        <f ca="1">IF(OR(GN162="IVA NS/CREDITO",GN162="IVA NS/DEBITO",GN162="IVA C/ACCONTO",GN162="IMPOSTE C/ACCONTO"),MAX($GX$2:GX161)+1,0)</f>
        <v>0</v>
      </c>
      <c r="GY162" s="259" t="str">
        <f ca="1">IF(AND(IFERROR(INDEX($GN$3:$GX$200,MATCH(ROWS($GY$3:GY162),$GX$3:$GX$200,0),1),"")&lt;&gt;"",GY163&lt;&gt;""),CONCATENATE(IFERROR(INDEX($GN$3:$GX$200,MATCH(ROWS($GY$3:GY162),$GX$3:$GX$200,0),1),"")," - "),IFERROR(INDEX($GN$3:$GX$200,MATCH(ROWS($GY$3:GY162),$GX$3:$GX$200,0),1),""))</f>
        <v/>
      </c>
      <c r="GZ162" s="259" t="s">
        <v>170</v>
      </c>
      <c r="HA162" s="270" t="s">
        <v>169</v>
      </c>
      <c r="HV162" s="259" t="str">
        <f ca="1">CONCATENATE(IFERROR(INDEX($HS$3:$HT$102,MATCH(ROWS($HV$3:HV162),$HT$3:$HT$102,0),1),""),HR162)</f>
        <v/>
      </c>
      <c r="IC162" s="259">
        <f ca="1">IFERROR(INDEX(PIANO_DEI_CONTI,MATCH(ROWS(DL$3:DL162),$DK$3:DK389,0),2),0)</f>
        <v>0</v>
      </c>
      <c r="ID162" s="259">
        <f t="shared" ca="1" si="451"/>
        <v>0</v>
      </c>
      <c r="IE162" s="259">
        <f t="shared" ca="1" si="452"/>
        <v>0</v>
      </c>
      <c r="IF162" s="259">
        <f t="shared" ca="1" si="453"/>
        <v>0</v>
      </c>
      <c r="IG162" s="259">
        <f t="shared" ca="1" si="479"/>
        <v>0</v>
      </c>
      <c r="IH162" s="259">
        <f ca="1">IF(IG162&lt;&gt;0,MAX($IH$35:IH161)+1,0)</f>
        <v>0</v>
      </c>
      <c r="II162" s="259">
        <f>IF(AD162="costi pluriennali",MAX($II$2:II161)+1,0)</f>
        <v>0</v>
      </c>
      <c r="IJ162" s="259">
        <f>IF($AD162="rettifiche costi pluriennali",MAX($IJ$2:IJ161)+1,0)</f>
        <v>0</v>
      </c>
      <c r="IK162" s="259">
        <f t="shared" si="454"/>
        <v>0</v>
      </c>
      <c r="IL162" s="259" t="str">
        <f t="shared" si="455"/>
        <v/>
      </c>
      <c r="IM162" s="259">
        <f t="shared" ca="1" si="456"/>
        <v>0</v>
      </c>
      <c r="IN162" s="259">
        <f t="shared" ca="1" si="470"/>
        <v>0</v>
      </c>
      <c r="IO162" s="259">
        <f>SUMIFS($IM$3:$IM$200,$IK$3:$IK$200,ROWS($IO$3:IO162))-SUMIFS($IN$3:$IN$200,$IK$3:$IK$200,ROWS($IO$3:IO162))</f>
        <v>0</v>
      </c>
      <c r="IP162" s="259" t="str">
        <f>IF(IO162&lt;0,INDEX($IJ$3:$IL$200,MATCH(ROWS($IP$3:IP162),$IJ$3:$IJ$200,0),3),"")</f>
        <v/>
      </c>
      <c r="IQ162" s="259">
        <f>IF(IP162&lt;&gt;"",MAX($IQ$2:IQ161)+1,0)</f>
        <v>0</v>
      </c>
      <c r="IR162" s="259" t="str">
        <f ca="1">IFERROR(INDEX($IP$3:$IQ$200,MATCH(ROWS($IR$3:IR162),$IQ$3:$IQ$200,0),1),"")</f>
        <v/>
      </c>
      <c r="IS162" s="259" t="str">
        <f t="shared" ca="1" si="457"/>
        <v/>
      </c>
      <c r="IT162" s="259" t="str">
        <f t="shared" ca="1" si="458"/>
        <v/>
      </c>
      <c r="IU162" s="259" t="str">
        <f t="shared" ca="1" si="459"/>
        <v/>
      </c>
      <c r="IV162" s="259" t="str">
        <f t="shared" ca="1" si="460"/>
        <v/>
      </c>
      <c r="IW162" s="259" t="str">
        <f t="shared" ca="1" si="461"/>
        <v/>
      </c>
      <c r="IX162" s="259" t="str">
        <f t="shared" ca="1" si="462"/>
        <v/>
      </c>
      <c r="IY162" s="259" t="str">
        <f t="shared" ca="1" si="463"/>
        <v/>
      </c>
      <c r="IZ162" s="259" t="str">
        <f t="shared" ca="1" si="464"/>
        <v/>
      </c>
      <c r="JA162" s="259" t="str">
        <f t="shared" ca="1" si="465"/>
        <v/>
      </c>
      <c r="JB162" s="259">
        <f t="shared" ca="1" si="391"/>
        <v>0</v>
      </c>
      <c r="JC162" s="259">
        <f t="shared" ca="1" si="351"/>
        <v>0</v>
      </c>
      <c r="JD162" s="259">
        <f t="shared" ca="1" si="352"/>
        <v>0</v>
      </c>
      <c r="JM162" s="259">
        <f t="shared" ca="1" si="353"/>
        <v>0</v>
      </c>
    </row>
    <row r="163" spans="1:273">
      <c r="A163" s="259" t="str">
        <f t="shared" si="392"/>
        <v>33.01</v>
      </c>
      <c r="B163" s="259" t="str">
        <f t="shared" si="393"/>
        <v>SALARI E STIPENDI</v>
      </c>
      <c r="C163" s="259" t="str">
        <f t="shared" si="394"/>
        <v>E</v>
      </c>
      <c r="D163" s="259" t="str">
        <f t="shared" si="395"/>
        <v>D</v>
      </c>
      <c r="E163" s="259" t="str">
        <f t="shared" si="396"/>
        <v>COSTI D'ESERCIZIO</v>
      </c>
      <c r="F163" s="259" t="str">
        <f t="shared" si="397"/>
        <v>SE DARE</v>
      </c>
      <c r="G163" s="259">
        <f t="shared" ca="1" si="398"/>
        <v>0</v>
      </c>
      <c r="H163" s="259">
        <f t="shared" ca="1" si="399"/>
        <v>1</v>
      </c>
      <c r="I163" s="259">
        <f t="shared" ca="1" si="400"/>
        <v>1</v>
      </c>
      <c r="K163" s="259" t="str">
        <f ca="1">IFERROR(IF($I$1=1,INDEX($AA$3:$AS$220,MATCH(ROWS($K$3:K163),$AQ$3:$AQ$220,0),1),IF($I$1=2,INDEX($AA$3:$AS$220,MATCH(ROWS($K$3:K163),$AR$3:$AR$220,0),1),IF($I$1=3,INDEX($AA$3:$AS$220,MATCH(ROWS($K$3:K163),$AS$3:$AS$220,0),1),""))),"")</f>
        <v>SOPRAVVENIENZE PASSIVE</v>
      </c>
      <c r="L163" s="259">
        <f ca="1">IF(AND($L$1="VISUALIZZA TUTTI I CONTI",K163&lt;&gt;""),MAX(L162:L162)+1,IFERROR(IF($J$1=1,IF(INDEX(PIANO_DEI_CONTI,MATCH($K163,DENOMINAZIONE,0),5)=$L$1,MAX($L$2:L162)+1,0),IF($J$1=2,IF(INDEX(PIANO_DEI_CONTI,MATCH($K163,DENOMINAZIONE,0),7)=$L$1,MAX($L$2:L162)+1,0))),0))</f>
        <v>161</v>
      </c>
      <c r="M163" s="259" t="str">
        <f ca="1">IFERROR(INDEX($K$3:$K$220,MATCH(ROWS($M$3:M163),$L$3:$L$220,0),1),"")</f>
        <v>SOPRAVVENIENZE PASSIVE</v>
      </c>
      <c r="R163" s="259" t="str">
        <f t="shared" ca="1" si="366"/>
        <v/>
      </c>
      <c r="S163" s="259">
        <f ca="1">IF(IFERROR(MATCH(R163,DENOMINAZIONE_GIORNALE,0),0)&gt;0,MAX(S$2:S162)+1,0)</f>
        <v>0</v>
      </c>
      <c r="T163" s="259" t="str">
        <f ca="1">IFERROR(INDEX($R$3:$S$220,MATCH(ROWS($T$3:T163),$S$3:$S$220,0),1),"")</f>
        <v/>
      </c>
      <c r="U163" s="259">
        <f t="shared" ca="1" si="367"/>
        <v>0</v>
      </c>
      <c r="V163" s="259">
        <f ca="1">IF(IF(U163&lt;&gt;0,MAX($V$2:V162)+1,0)=0,0,IF(U163&lt;&gt;0,MAX($V$2:V162)+1,0))</f>
        <v>0</v>
      </c>
      <c r="W163" s="259" t="str">
        <f t="shared" si="401"/>
        <v>33.01</v>
      </c>
      <c r="X163" s="259" t="str">
        <f t="shared" si="402"/>
        <v>SALARI E STIPENDI</v>
      </c>
      <c r="Y163" s="259">
        <f>IF(W163="",0,MAX($Y$2:Y162)+1)</f>
        <v>139</v>
      </c>
      <c r="Z163" s="259" t="str">
        <f>IFERROR(INDEX($W$3:$Y$220,MATCH(ROWS($Z$2:Z162),$Y$3:$Y$220,0),1),"")</f>
        <v>39.02</v>
      </c>
      <c r="AA163" s="259" t="str">
        <f t="shared" si="403"/>
        <v>ONERI FISCALI DIVERSI</v>
      </c>
      <c r="AB163" s="259" t="str">
        <f t="shared" si="404"/>
        <v>E</v>
      </c>
      <c r="AC163" s="259" t="str">
        <f t="shared" si="405"/>
        <v>D</v>
      </c>
      <c r="AD163" s="259" t="str">
        <f t="shared" si="406"/>
        <v>COSTI D'ESERCIZIO</v>
      </c>
      <c r="AE163" s="259" t="str">
        <f t="shared" si="407"/>
        <v>SE DARE</v>
      </c>
      <c r="AF163" s="259" t="str">
        <f t="shared" si="408"/>
        <v>ONERI DIVERSI</v>
      </c>
      <c r="AG163" s="259">
        <f t="shared" ca="1" si="409"/>
        <v>1</v>
      </c>
      <c r="AH163" s="259">
        <f t="shared" ca="1" si="410"/>
        <v>1</v>
      </c>
      <c r="AI163" s="259">
        <f t="shared" ca="1" si="411"/>
        <v>1</v>
      </c>
      <c r="AJ163" s="259" t="str">
        <f t="shared" si="412"/>
        <v>39</v>
      </c>
      <c r="AK163" s="259" t="str">
        <f t="shared" si="413"/>
        <v/>
      </c>
      <c r="AL163" s="259">
        <f>IF(AK163&lt;&gt;"",MAX($AL$2:AL162)+1,0)</f>
        <v>0</v>
      </c>
      <c r="AM163" s="259" t="str">
        <f>IFERROR(INDEX($AK$3:$AL$220,MATCH(ROWS($AM$3:AM163),$AL$3:$AL$220,0),1),"")</f>
        <v/>
      </c>
      <c r="AN163" s="259" t="str">
        <f t="shared" si="414"/>
        <v/>
      </c>
      <c r="AO163" s="259" t="str">
        <f t="shared" si="415"/>
        <v/>
      </c>
      <c r="AP163" s="259" t="str">
        <f t="shared" si="416"/>
        <v>ONERI DIVERSI</v>
      </c>
      <c r="AQ163" s="259">
        <f ca="1">IF(OR(AG163=0,AG163=""),0,MAX(AQ$2:AQ162)+1)</f>
        <v>81</v>
      </c>
      <c r="AR163" s="259">
        <f ca="1">IF(OR(AH163=0,AH163=""),0,MAX(AR$2:AR162)+1)</f>
        <v>108</v>
      </c>
      <c r="AS163" s="259">
        <f ca="1">IF(OR(AI163=0,AI163=""),0,MAX(AS$2:AS162)+1)</f>
        <v>157</v>
      </c>
      <c r="AT163" s="259" t="str">
        <f ca="1">IFERROR(INDEX($AD$3:$AS$220,MATCH(ROWS(AT$3:AT163),AQ$3:AQ$220,0),1),"")</f>
        <v/>
      </c>
      <c r="AU163" s="259" t="str">
        <f ca="1">IFERROR(INDEX($AD$3:$AS$220,MATCH(ROWS(AU$3:AU163),AR$3:AR$220,0),1),"")</f>
        <v/>
      </c>
      <c r="AV163" s="259" t="str">
        <f ca="1">IFERROR(INDEX($AD$3:$AS$220,MATCH(ROWS(AV$3:AV163),AS$3:AS$220,0),1),"")</f>
        <v>COSTI D'ESERCIZIO</v>
      </c>
      <c r="AW163" s="259" t="str">
        <f ca="1">IFERROR(INDEX($AP$3:$AS$220,MATCH(ROWS(AW$3:AW163),AQ$3:AQ$220,0),1),"")</f>
        <v/>
      </c>
      <c r="AX163" s="259" t="str">
        <f ca="1">IFERROR(INDEX($AP$3:$AS$220,MATCH(ROWS(AX$3:AX163),AR$3:AR$220,0),1),"")</f>
        <v/>
      </c>
      <c r="AY163" s="259" t="str">
        <f ca="1">IFERROR(INDEX($AP$3:$AS$220,MATCH(ROWS(AY$3:AY163),AS$3:AS$220,0),1),"")</f>
        <v>ONERI DIVERSI</v>
      </c>
      <c r="AZ163" s="259" t="str">
        <f t="shared" si="339"/>
        <v>61 V.I.</v>
      </c>
      <c r="BA163" s="259">
        <f t="shared" ca="1" si="338"/>
        <v>0</v>
      </c>
      <c r="BB163" s="259">
        <f t="shared" ca="1" si="340"/>
        <v>0</v>
      </c>
      <c r="BC163" s="259">
        <f t="shared" ca="1" si="341"/>
        <v>0</v>
      </c>
      <c r="BD163" s="259">
        <f t="shared" ca="1" si="342"/>
        <v>0</v>
      </c>
      <c r="BE163" s="259">
        <f t="shared" ca="1" si="343"/>
        <v>0</v>
      </c>
      <c r="BG163" s="259" t="str">
        <f t="shared" ca="1" si="368"/>
        <v/>
      </c>
      <c r="BH163" s="259">
        <f ca="1">IF(IFERROR(MATCH(BG163,DENOMINAZIONE_GIORNALE,0),0)&gt;0,MAX(BH$2:BH162)+1,0)</f>
        <v>0</v>
      </c>
      <c r="BI163" s="259" t="str">
        <f ca="1">IFERROR(INDEX($BG$3:$BH$220,MATCH(ROWS($BI$3:BI163),$BH$3:$BH$220,0),1),"")</f>
        <v/>
      </c>
      <c r="BJ163" s="259" t="str">
        <f t="shared" ca="1" si="369"/>
        <v/>
      </c>
      <c r="BK163" s="259" t="str">
        <f ca="1">IF(IF(BJ163&lt;&gt;"",MAX($BK$2:BK162)+1,0)=0,"",IF(BJ163&lt;&gt;"",MAX($BK$2:BK162)+1,0))</f>
        <v/>
      </c>
      <c r="BL163" s="259" t="str">
        <f ca="1">IFERROR(INDEX($T$3:$U$220, MATCH(ROWS(BL$3:BL163),$V$3:$V$220,0),1),"")</f>
        <v/>
      </c>
      <c r="BM163" s="259" t="str">
        <f ca="1">IFERROR(INDEX($T$3:$U$220, MATCH(ROWS(BM$3:BM163),$V$3:$V$220,0),2),"")</f>
        <v/>
      </c>
      <c r="BN163" s="259" t="str">
        <f ca="1">IF(IFERROR(INDEX($BI$3:$BJ$220,MATCH(ROWS(BN$3:BN163),$BK$3:$BK$220,0),1),"")="PATRIMONIO NETTO","",IFERROR(INDEX($BI$3:$BJ$220,MATCH(ROWS(BN$3:BN163),$BK$3:$BK$220,0),1),""))</f>
        <v/>
      </c>
      <c r="BO163" s="259" t="str">
        <f ca="1">IFERROR(INDEX($BI$3:$BJ$220,MATCH(ROWS(BO$3:BO163),$BK$3:$BK$220,0),2),"")</f>
        <v/>
      </c>
      <c r="BP163" s="259">
        <f ca="1">IF(BN163&lt;&gt;"",MAX(BP$2:$BP162)+1,0)</f>
        <v>0</v>
      </c>
      <c r="BQ163" s="259" t="str">
        <f ca="1">IFERROR(INDEX($BN$3:$BO$200,MATCH(ROWS(BQ$3:BQ163),$BP$3:$BP$220,0),1),"")</f>
        <v/>
      </c>
      <c r="BR163" s="259" t="str">
        <f ca="1">IFERROR(INDEX($BN$3:$BO$220,MATCH(ROWS(BR$3:BR163),$BP$3:$BP$220,0),2),"")</f>
        <v/>
      </c>
      <c r="BS163" s="259" t="str">
        <f ca="1">IFERROR(IF(OR(INDEX($T$3:$U$220,MATCH(ROWS(BL$3:BL163),$V$3:$V$220,0),1)="PRELEVAMENTI EXTRAGESTIONE",INDEX($T$3:$U$220,MATCH(ROWS(BL$3:BL163),$V$3:$V$220,0),1)="TITOLARE C/RITENUTE SUBITE"),"",INDEX($T$3:$U$220,MATCH(ROWS(BL$3:BL163),$V$3:$V$220,0),1)),"")</f>
        <v/>
      </c>
      <c r="BT163" s="259">
        <f t="shared" ca="1" si="417"/>
        <v>0</v>
      </c>
      <c r="BU163" s="259">
        <f ca="1">IF(BS163&lt;&gt;"",MAX(BU$2:BU162)+1,0)</f>
        <v>0</v>
      </c>
      <c r="BV163" s="259" t="str">
        <f ca="1">IFERROR(INDEX($BS$3:$BT$223,MATCH(ROWS(BV$3:BV163),$BU$3:$BU$223,0),1),"")</f>
        <v/>
      </c>
      <c r="BW163" s="259">
        <f t="shared" ca="1" si="418"/>
        <v>0</v>
      </c>
      <c r="CB163" s="259" t="str">
        <f ca="1">IFERROR(IF(OR($BB$1&lt;&gt;$BD$1,$BC$1&lt;&gt;$BE$1,$DS$231&lt;&gt;$DT$231,$DU$231&lt;&gt;$DV$231,$EO$25&lt;&gt;0,$EO$26&lt;&gt;0),INDEX($BI$3:$BK$220,MATCH(ROWS($CB$3:CB163),$BK$3:$BK$220,0),1),CONCATENATE(BQ163,BX163)),"")</f>
        <v/>
      </c>
      <c r="CC163" s="259" t="str">
        <f t="shared" ca="1" si="419"/>
        <v/>
      </c>
      <c r="CD163" s="259" t="str">
        <f t="shared" ca="1" si="370"/>
        <v>ONERI FISCALI DIVERSI</v>
      </c>
      <c r="CE163" s="259">
        <f ca="1">IF(IFERROR(MATCH(CD163,DENOMINAZIONE_GIORNALE,0),0)&gt;0,MAX(CE$2:CE162)+1,0)</f>
        <v>0</v>
      </c>
      <c r="CF163" s="259" t="str">
        <f ca="1">IFERROR(INDEX($CD$3:$CE$220,MATCH(ROWS($CF$3:CF163),$CE$3:$CE$220,0),1),"")</f>
        <v/>
      </c>
      <c r="CG163" s="259">
        <f t="shared" ca="1" si="371"/>
        <v>0</v>
      </c>
      <c r="CH163" s="259" t="str">
        <f ca="1">IF(IF(CG163&lt;&gt;0,MAX($CH$2:CH162)+1,0)=0,"",IF(CG163&lt;&gt;"",MAX($CH$2:CH162)+1,0))</f>
        <v/>
      </c>
      <c r="CI163" s="259" t="str">
        <f ca="1">IFERROR(INDEX($CF$3:$CG$220,MATCH(ROWS($CI$3:CI163),$CH$3:$CH$220,0),1),"")</f>
        <v/>
      </c>
      <c r="CJ163" s="259" t="str">
        <f t="shared" ca="1" si="420"/>
        <v/>
      </c>
      <c r="CK163" s="259" t="str">
        <f t="shared" ca="1" si="372"/>
        <v/>
      </c>
      <c r="CL163" s="259">
        <f ca="1">IF(IFERROR(MATCH(CK163,DENOMINAZIONE_GIORNALE,0),0)&gt;0,MAX(CL$2:CL162)+1,0)</f>
        <v>0</v>
      </c>
      <c r="CM163" s="259" t="str">
        <f ca="1">IFERROR(INDEX($CK$3:$CL$220,MATCH(ROWS($CM$3:CM163),$CL$3:$CL$220,0),1),"")</f>
        <v/>
      </c>
      <c r="CN163" s="259" t="str">
        <f t="shared" ca="1" si="373"/>
        <v/>
      </c>
      <c r="CO163" s="259">
        <f ca="1">IF(IF(CN163&lt;&gt;0,MAX($CO$2:CO162)+1,0)=0,"",IF(CN163&lt;&gt;"",MAX($CO$2:CO162)+1,0))</f>
        <v>0</v>
      </c>
      <c r="CP163" s="259" t="str">
        <f ca="1">IFERROR(INDEX($CM$3:$CN$220,MATCH(ROWS(CP$3:CP163),$CO$3:$CO$220,0),1),"")</f>
        <v/>
      </c>
      <c r="CQ163" s="259" t="str">
        <f ca="1">IFERROR(INDEX($CM$3:$CN$220,MATCH(ROWS(CQ$3:CQ163),$CO$3:$CO$220,0),2),"")</f>
        <v/>
      </c>
      <c r="CS163" s="259">
        <f t="shared" ca="1" si="374"/>
        <v>0</v>
      </c>
      <c r="CT163" s="259">
        <f t="shared" ca="1" si="375"/>
        <v>0</v>
      </c>
      <c r="CU163" s="259">
        <f ca="1">IF(OR(CS163&gt;0,CT163&gt;0),MAX($CU$2:CU162)+1,0)</f>
        <v>0</v>
      </c>
      <c r="CV163" s="259" t="str">
        <f ca="1">IFERROR(INDEX(PIANO_DEI_CONTI,MATCH(ROWS($CV$3:CV163),$CU$3:$CU$200,0),2),"")</f>
        <v/>
      </c>
      <c r="CW163" s="259">
        <f ca="1">IFERROR(IF(CV163&lt;&gt;"",MAX($CW$2:CW162)+1,0),0)</f>
        <v>0</v>
      </c>
      <c r="CX163" s="259">
        <f t="shared" ca="1" si="472"/>
        <v>9</v>
      </c>
      <c r="CY163" s="259" t="str">
        <f t="shared" ca="1" si="469"/>
        <v>MASTRO</v>
      </c>
      <c r="CZ163" s="259" t="e">
        <f t="shared" ca="1" si="474"/>
        <v>#N/A</v>
      </c>
      <c r="DA163" s="259" t="str">
        <f t="shared" ca="1" si="480"/>
        <v/>
      </c>
      <c r="DB163" s="259" t="str">
        <f t="shared" ca="1" si="475"/>
        <v/>
      </c>
      <c r="DC163" s="259" t="str">
        <f t="shared" ca="1" si="476"/>
        <v/>
      </c>
      <c r="DD163" s="259" t="str">
        <f t="shared" ca="1" si="477"/>
        <v/>
      </c>
      <c r="DE163" s="259" t="str">
        <f t="shared" ca="1" si="478"/>
        <v/>
      </c>
      <c r="DF163" s="259">
        <f ca="1">IF(AND(CX163=$DE$2,$DF$2&lt;&gt;0),0,IF(AND(DB163&lt;&gt;"",OR(DB162&lt;&gt;"",DB164&lt;&gt;"")),MAX($DF$2:DF162)+1,0))</f>
        <v>0</v>
      </c>
      <c r="DG163" s="259" t="str">
        <f>IF(IF(LIBRO_GIORNALE!E71="","",IFERROR(INDEX(PIANO_DEI_CONTI,MATCH(BB163,DENOMINAZIONE,0),1),0))=0,"",IF(LIBRO_GIORNALE!E71="","",IFERROR(INDEX(PIANO_DEI_CONTI,MATCH(BB163,DENOMINAZIONE,0),1),0)))</f>
        <v/>
      </c>
      <c r="DH163" s="259">
        <f ca="1">IFERROR(IF($J$1=1,IF(INDEX(PIANO_DEI_CONTI,MATCH($K163,DENOMINAZIONE,0),5)=$DF$1,MAX($DH$2:DH162)+1,0),IF($J$1=2,IF(INDEX(PIANO_DEI_CONTI,MATCH($K163,DENOMINAZIONE,0),7)=$DF$1,MAX($DH$2:DH162)+1,0))),0)</f>
        <v>0</v>
      </c>
      <c r="DI163" s="259">
        <f ca="1">IFERROR(INDEX($K$3:$K$220,MATCH(ROWS($DI$3:DI163),$DH$3:$DH$220,0),1),0)</f>
        <v>0</v>
      </c>
      <c r="DJ163" s="259">
        <f t="shared" ca="1" si="381"/>
        <v>0</v>
      </c>
      <c r="DK163" s="259">
        <f ca="1">IF(DJ163=0,0,MAX(DK$2:DK162)+1)</f>
        <v>0</v>
      </c>
      <c r="DL163" s="259">
        <f ca="1">IFERROR(INDEX(PIANO_DEI_CONTI,MATCH(ROWS(DL$3:DL163),$DK$3:DK390,0),2),0)</f>
        <v>0</v>
      </c>
      <c r="DM163" s="259">
        <f t="shared" ca="1" si="382"/>
        <v>0</v>
      </c>
      <c r="DN163" s="259">
        <f t="shared" ca="1" si="383"/>
        <v>0</v>
      </c>
      <c r="DO163" s="259">
        <f t="shared" ca="1" si="422"/>
        <v>0</v>
      </c>
      <c r="DP163" s="259">
        <f t="shared" ca="1" si="423"/>
        <v>0</v>
      </c>
      <c r="DQ163" s="259">
        <f ca="1">IF(OR($DQ$1="TOTALI",$DQ$1="TOTALI ED ECCEDENZE"),IF(OR(DM163&gt;0,DN163&gt;0),MAX(DQ$2:DQ162)+1,0),IF($DQ$1="ECCEDENZE",IF(OR(DO163&gt;0,DP163&gt;0),MAX(DQ$2:DQ162)+1,0),""))</f>
        <v>0</v>
      </c>
      <c r="DR163" s="259" t="str">
        <f ca="1">IFERROR(INDEX($DL$3:$DQ$230,MATCH(ROWS(DR$3:DR163),$DQ$3:$DQ$230,0),1),"")</f>
        <v/>
      </c>
      <c r="DS163" s="259" t="str">
        <f t="shared" ca="1" si="424"/>
        <v/>
      </c>
      <c r="DT163" s="259" t="str">
        <f t="shared" ca="1" si="425"/>
        <v/>
      </c>
      <c r="DU163" s="259" t="str">
        <f t="shared" ca="1" si="426"/>
        <v/>
      </c>
      <c r="DV163" s="259" t="str">
        <f t="shared" ca="1" si="427"/>
        <v/>
      </c>
      <c r="DW163" s="259">
        <f t="shared" ca="1" si="428"/>
        <v>0</v>
      </c>
      <c r="DX163" s="259" t="str">
        <f t="shared" ca="1" si="429"/>
        <v/>
      </c>
      <c r="DY163" s="259" t="str">
        <f t="shared" ca="1" si="430"/>
        <v/>
      </c>
      <c r="DZ163" s="259" t="str">
        <f t="shared" ca="1" si="431"/>
        <v/>
      </c>
      <c r="EB163" s="259" t="s">
        <v>385</v>
      </c>
      <c r="ED163" s="259">
        <f t="shared" ca="1" si="384"/>
        <v>0</v>
      </c>
      <c r="EH163" s="259" t="str">
        <f t="shared" ca="1" si="432"/>
        <v/>
      </c>
      <c r="EI163" s="260" t="b">
        <f t="shared" ca="1" si="466"/>
        <v>0</v>
      </c>
      <c r="EJ163" s="260" t="b">
        <f t="shared" ca="1" si="467"/>
        <v>1</v>
      </c>
      <c r="EK163" s="260" t="b">
        <f t="shared" ca="1" si="468"/>
        <v>1</v>
      </c>
      <c r="EL163" s="259">
        <f t="shared" si="433"/>
        <v>161</v>
      </c>
      <c r="EM163" s="259">
        <f ca="1">IF(AND(BA163&gt;0,BA163&lt;=$EM$1),MAX($EM$2:EM162)+1,0)</f>
        <v>0</v>
      </c>
      <c r="EN163" s="259">
        <f t="shared" ca="1" si="434"/>
        <v>163</v>
      </c>
      <c r="EP163" s="259" t="str">
        <f t="shared" ca="1" si="385"/>
        <v/>
      </c>
      <c r="EQ163" s="259">
        <f t="shared" ca="1" si="386"/>
        <v>0</v>
      </c>
      <c r="ER163" s="259">
        <f ca="1">IF(ISNA(EQ163),MAX(ER$2:ER162)+1,0)</f>
        <v>0</v>
      </c>
      <c r="ES163" s="259" t="str">
        <f t="shared" ca="1" si="435"/>
        <v/>
      </c>
      <c r="ET163" s="259" t="str">
        <f ca="1">IFERROR(UPPER(INDEX($ER$3:$ES$500,MATCH(ROWS(ET$3:ET163),$ER$3:$ER$500,0),2)),"")</f>
        <v/>
      </c>
      <c r="EW163" s="259">
        <f t="shared" ca="1" si="344"/>
        <v>1</v>
      </c>
      <c r="EX163" s="259">
        <v>61</v>
      </c>
      <c r="EY163" s="259">
        <f t="shared" ca="1" si="345"/>
        <v>0</v>
      </c>
      <c r="EZ163" s="259">
        <f t="shared" ca="1" si="346"/>
        <v>0</v>
      </c>
      <c r="FA163" s="259">
        <f t="shared" ca="1" si="347"/>
        <v>0</v>
      </c>
      <c r="FB163" s="259">
        <f t="shared" ca="1" si="348"/>
        <v>0</v>
      </c>
      <c r="FC163" s="259">
        <f t="shared" ca="1" si="349"/>
        <v>0</v>
      </c>
      <c r="FD163" s="259">
        <f t="shared" ca="1" si="387"/>
        <v>0</v>
      </c>
      <c r="FE163" s="259" t="str">
        <f t="shared" ca="1" si="388"/>
        <v/>
      </c>
      <c r="FF163" s="259" t="str">
        <f t="shared" ca="1" si="350"/>
        <v/>
      </c>
      <c r="FM163" s="259">
        <f t="shared" ca="1" si="389"/>
        <v>0</v>
      </c>
      <c r="FN163" s="259">
        <f ca="1">IF(FM163&lt;0,MAX($FN$2:FN162)+1,0)</f>
        <v>0</v>
      </c>
      <c r="FO163" s="259" t="str">
        <f t="shared" ca="1" si="436"/>
        <v/>
      </c>
      <c r="FP163" s="259" t="str">
        <f ca="1">IFERROR(INDEX($FN$3:$FO$400,MATCH(ROWS($FP$3:FP163),$FN$3:$FN$400,0),2),"")</f>
        <v/>
      </c>
      <c r="FQ163" s="259" t="str">
        <f>IF(AE163="SE AVERE",MAX($FQ$2:FQ162)+1,"")</f>
        <v/>
      </c>
      <c r="FR163" s="259">
        <f>IF(AE163="SE DARE",MAX($FR$2:FR162)+1,"")</f>
        <v>66</v>
      </c>
      <c r="FS163" s="259" t="str">
        <f ca="1">IF(AND(AE163="SP DARE",AA163&lt;&gt;$FS$1,AA163&lt;&gt;$FT$1),MAX($FS$2:FS162)+1,IF(AND(GQ163="SP DARE",AA163&lt;&gt;$FS$1,AA163&lt;&gt;$FT$1),MAX($FS$2:FS162)+1,""))</f>
        <v/>
      </c>
      <c r="FT163" s="259" t="str">
        <f ca="1">IF(AND(AE163="SP AVERE",AA163&lt;&gt;$FU$1),MAX($FT$2:FT162)+1,IF(AND(GQ163="SP AVERE",AA163&lt;&gt;$FU$1),MAX($FT$2:FT162)+1,""))</f>
        <v/>
      </c>
      <c r="FU163" s="259">
        <f t="shared" ca="1" si="437"/>
        <v>66</v>
      </c>
      <c r="FV163" s="259" t="str">
        <f t="shared" si="438"/>
        <v>ONERI FISCALI DIVERSI</v>
      </c>
      <c r="FW163" s="259" t="str">
        <f ca="1">IFERROR(INDEX($FU$3:$FV$500,MATCH(ROWS($FW$3:FW163),$FU$3:$FU$500,0),2),0)</f>
        <v>IVA NS/DEBITO</v>
      </c>
      <c r="FX163" s="259">
        <f t="shared" ca="1" si="439"/>
        <v>161</v>
      </c>
      <c r="FY163" s="259">
        <f t="shared" ca="1" si="440"/>
        <v>0</v>
      </c>
      <c r="FZ163" s="259">
        <f ca="1">IF(FY163&gt;0,MAX($FZ$2:FZ162)+1,0)</f>
        <v>0</v>
      </c>
      <c r="GA163" s="259">
        <f ca="1">IFERROR(INDEX($FY$3:$FZ$500,MATCH(ROWS($GA$3:GA163),$FZ$3:$FZ$500,0),1),0)</f>
        <v>0</v>
      </c>
      <c r="GC163" s="259">
        <f t="shared" ca="1" si="441"/>
        <v>161</v>
      </c>
      <c r="GD163" s="259" t="str">
        <f t="shared" ca="1" si="442"/>
        <v>IVA NS/DEBITO</v>
      </c>
      <c r="GG163" s="259">
        <f t="shared" ca="1" si="443"/>
        <v>0</v>
      </c>
      <c r="GH163" s="259">
        <f t="shared" ca="1" si="444"/>
        <v>0</v>
      </c>
      <c r="GI163" s="259">
        <f t="shared" ca="1" si="445"/>
        <v>0</v>
      </c>
      <c r="GJ163" s="259">
        <f t="shared" ca="1" si="446"/>
        <v>0</v>
      </c>
      <c r="GK163" s="259">
        <f t="shared" ca="1" si="447"/>
        <v>0</v>
      </c>
      <c r="GL163" s="259">
        <f t="shared" ca="1" si="447"/>
        <v>0</v>
      </c>
      <c r="GM163" s="259">
        <f ca="1">IF(OR(GK163&gt;0,GL163&gt;0),MAX($GM$2:GM162)+1,0)</f>
        <v>0</v>
      </c>
      <c r="GN163" s="259" t="str">
        <f ca="1">IFERROR(INDEX($GD$3:$GM$400,MATCH(ROWS($GN$3:GN163),$GM$3:$GM$400,0),1),"")</f>
        <v/>
      </c>
      <c r="GO163" s="259" t="str">
        <f ca="1">IFERROR(INDEX($GD$3:$GM$400,MATCH(ROWS($GO$3:GO163),$GM$3:$GM$400,0),8),"")</f>
        <v/>
      </c>
      <c r="GP163" s="259" t="str">
        <f ca="1">IFERROR(INDEX($GD$3:$GM$400,MATCH(ROWS($GP$3:GP163),$GM$3:$GM$400,0),9),"")</f>
        <v/>
      </c>
      <c r="GQ163" s="259">
        <f t="shared" ca="1" si="390"/>
        <v>0</v>
      </c>
      <c r="GR163" s="259">
        <f t="shared" ca="1" si="448"/>
        <v>0</v>
      </c>
      <c r="GS163" s="259" t="str">
        <f t="shared" ca="1" si="449"/>
        <v>chiusura del conto</v>
      </c>
      <c r="GT163" s="259" t="str">
        <f ca="1">IFERROR(INDEX($GD$3:$GS$400,MATCH(ROWS($GT$3:GT163),$GM$3:$GM$400,0),16),"")</f>
        <v/>
      </c>
      <c r="GU163" s="259">
        <f ca="1">IF(GQ163&lt;&gt;0,MAX($GU$2:$GU162)+1,0)</f>
        <v>0</v>
      </c>
      <c r="GV163" s="259">
        <f t="shared" ca="1" si="450"/>
        <v>0</v>
      </c>
      <c r="GW163" s="259" t="str">
        <f ca="1">IF(AND(IFERROR(INDEX($GU$3:$GV$400,MATCH(ROWS($GW$3:GW163),$GU$3:$GU$400,0),2),"")&lt;&gt;"",GW164&lt;&gt;""),CONCATENATE(IFERROR(INDEX($GU$3:$GV$400,MATCH(ROWS($GW$3:GW163),$GU$3:$GU$400,0),2),"")," - "),IFERROR(INDEX($GU$3:$GV$400,MATCH(ROWS($GW$3:GW163),$GU$3:$GU$400,0),2),""))</f>
        <v/>
      </c>
      <c r="GX163" s="259">
        <f ca="1">IF(OR(GN163="IVA NS/CREDITO",GN163="IVA NS/DEBITO",GN163="IVA C/ACCONTO",GN163="IMPOSTE C/ACCONTO"),MAX($GX$2:GX162)+1,0)</f>
        <v>0</v>
      </c>
      <c r="GY163" s="259" t="str">
        <f ca="1">IF(AND(IFERROR(INDEX($GN$3:$GX$200,MATCH(ROWS($GY$3:GY163),$GX$3:$GX$200,0),1),"")&lt;&gt;"",GY164&lt;&gt;""),CONCATENATE(IFERROR(INDEX($GN$3:$GX$200,MATCH(ROWS($GY$3:GY163),$GX$3:$GX$200,0),1),"")," - "),IFERROR(INDEX($GN$3:$GX$200,MATCH(ROWS($GY$3:GY163),$GX$3:$GX$200,0),1),""))</f>
        <v/>
      </c>
      <c r="GZ163" s="259" t="s">
        <v>173</v>
      </c>
      <c r="HA163" s="259" t="s">
        <v>171</v>
      </c>
      <c r="HB163" s="269" t="s">
        <v>256</v>
      </c>
      <c r="HC163" s="269" t="s">
        <v>276</v>
      </c>
      <c r="HD163" s="269" t="s">
        <v>7</v>
      </c>
      <c r="HE163" s="269" t="s">
        <v>214</v>
      </c>
      <c r="HG163" s="270"/>
      <c r="HV163" s="259" t="str">
        <f ca="1">CONCATENATE(IFERROR(INDEX($HS$3:$HT$102,MATCH(ROWS($HV$3:HV163),$HT$3:$HT$102,0),1),""),HR163)</f>
        <v/>
      </c>
      <c r="IC163" s="259">
        <f ca="1">IFERROR(INDEX(PIANO_DEI_CONTI,MATCH(ROWS(DL$3:DL163),$DK$3:DK390,0),2),0)</f>
        <v>0</v>
      </c>
      <c r="ID163" s="259">
        <f t="shared" ca="1" si="451"/>
        <v>0</v>
      </c>
      <c r="IE163" s="259">
        <f t="shared" ca="1" si="452"/>
        <v>0</v>
      </c>
      <c r="IF163" s="259">
        <f t="shared" ca="1" si="453"/>
        <v>0</v>
      </c>
      <c r="IG163" s="259">
        <f t="shared" ca="1" si="479"/>
        <v>0</v>
      </c>
      <c r="IH163" s="259">
        <f ca="1">IF(IG163&lt;&gt;0,MAX($IH$35:IH162)+1,0)</f>
        <v>0</v>
      </c>
      <c r="II163" s="259">
        <f>IF(AD163="costi pluriennali",MAX($II$2:II162)+1,0)</f>
        <v>0</v>
      </c>
      <c r="IJ163" s="259">
        <f>IF($AD163="rettifiche costi pluriennali",MAX($IJ$2:IJ162)+1,0)</f>
        <v>0</v>
      </c>
      <c r="IK163" s="259">
        <f t="shared" si="454"/>
        <v>0</v>
      </c>
      <c r="IL163" s="259" t="str">
        <f t="shared" si="455"/>
        <v/>
      </c>
      <c r="IM163" s="259">
        <f t="shared" ca="1" si="456"/>
        <v>0</v>
      </c>
      <c r="IN163" s="259">
        <f t="shared" ca="1" si="470"/>
        <v>0</v>
      </c>
      <c r="IO163" s="259">
        <f>SUMIFS($IM$3:$IM$200,$IK$3:$IK$200,ROWS($IO$3:IO163))-SUMIFS($IN$3:$IN$200,$IK$3:$IK$200,ROWS($IO$3:IO163))</f>
        <v>0</v>
      </c>
      <c r="IP163" s="259" t="str">
        <f>IF(IO163&lt;0,INDEX($IJ$3:$IL$200,MATCH(ROWS($IP$3:IP163),$IJ$3:$IJ$200,0),3),"")</f>
        <v/>
      </c>
      <c r="IQ163" s="259">
        <f>IF(IP163&lt;&gt;"",MAX($IQ$2:IQ162)+1,0)</f>
        <v>0</v>
      </c>
      <c r="IR163" s="259" t="str">
        <f ca="1">IFERROR(INDEX($IP$3:$IQ$200,MATCH(ROWS($IR$3:IR163),$IQ$3:$IQ$200,0),1),"")</f>
        <v/>
      </c>
      <c r="IS163" s="259" t="str">
        <f t="shared" ca="1" si="457"/>
        <v/>
      </c>
      <c r="IT163" s="259" t="str">
        <f t="shared" ca="1" si="458"/>
        <v/>
      </c>
      <c r="IU163" s="259" t="str">
        <f t="shared" ca="1" si="459"/>
        <v/>
      </c>
      <c r="IV163" s="259" t="str">
        <f t="shared" ca="1" si="460"/>
        <v/>
      </c>
      <c r="IW163" s="259" t="str">
        <f t="shared" ca="1" si="461"/>
        <v/>
      </c>
      <c r="IX163" s="259" t="str">
        <f t="shared" ca="1" si="462"/>
        <v/>
      </c>
      <c r="IY163" s="259" t="str">
        <f t="shared" ca="1" si="463"/>
        <v/>
      </c>
      <c r="IZ163" s="259" t="str">
        <f t="shared" ca="1" si="464"/>
        <v/>
      </c>
      <c r="JA163" s="259" t="str">
        <f t="shared" ca="1" si="465"/>
        <v/>
      </c>
      <c r="JB163" s="259">
        <f t="shared" ca="1" si="391"/>
        <v>0</v>
      </c>
      <c r="JC163" s="259">
        <f t="shared" ca="1" si="351"/>
        <v>0</v>
      </c>
      <c r="JD163" s="259">
        <f t="shared" ca="1" si="352"/>
        <v>0</v>
      </c>
      <c r="JM163" s="259">
        <f t="shared" ca="1" si="353"/>
        <v>0</v>
      </c>
    </row>
    <row r="164" spans="1:273">
      <c r="A164" s="259" t="str">
        <f t="shared" si="392"/>
        <v>33.02</v>
      </c>
      <c r="B164" s="259" t="str">
        <f t="shared" si="393"/>
        <v>ONERI SOCIALI</v>
      </c>
      <c r="C164" s="259" t="str">
        <f t="shared" si="394"/>
        <v>E</v>
      </c>
      <c r="D164" s="259" t="str">
        <f t="shared" si="395"/>
        <v>D</v>
      </c>
      <c r="E164" s="259" t="str">
        <f t="shared" si="396"/>
        <v>COSTI D'ESERCIZIO</v>
      </c>
      <c r="F164" s="259" t="str">
        <f t="shared" si="397"/>
        <v>SE DARE</v>
      </c>
      <c r="G164" s="259">
        <f t="shared" ca="1" si="398"/>
        <v>0</v>
      </c>
      <c r="H164" s="259">
        <f t="shared" ca="1" si="399"/>
        <v>1</v>
      </c>
      <c r="I164" s="259">
        <f t="shared" ca="1" si="400"/>
        <v>1</v>
      </c>
      <c r="K164" s="259" t="str">
        <f ca="1">IFERROR(IF($I$1=1,INDEX($AA$3:$AS$220,MATCH(ROWS($K$3:K164),$AQ$3:$AQ$220,0),1),IF($I$1=2,INDEX($AA$3:$AS$220,MATCH(ROWS($K$3:K164),$AR$3:$AR$220,0),1),IF($I$1=3,INDEX($AA$3:$AS$220,MATCH(ROWS($K$3:K164),$AS$3:$AS$220,0),1),""))),"")</f>
        <v>INSUSSISTENZE PASSIVE</v>
      </c>
      <c r="L164" s="259">
        <f ca="1">IF(AND($L$1="VISUALIZZA TUTTI I CONTI",K164&lt;&gt;""),MAX(L163:L163)+1,IFERROR(IF($J$1=1,IF(INDEX(PIANO_DEI_CONTI,MATCH($K164,DENOMINAZIONE,0),5)=$L$1,MAX($L$2:L163)+1,0),IF($J$1=2,IF(INDEX(PIANO_DEI_CONTI,MATCH($K164,DENOMINAZIONE,0),7)=$L$1,MAX($L$2:L163)+1,0))),0))</f>
        <v>162</v>
      </c>
      <c r="M164" s="259" t="str">
        <f ca="1">IFERROR(INDEX($K$3:$K$220,MATCH(ROWS($M$3:M164),$L$3:$L$220,0),1),"")</f>
        <v>INSUSSISTENZE PASSIVE</v>
      </c>
      <c r="R164" s="259" t="str">
        <f t="shared" ca="1" si="366"/>
        <v/>
      </c>
      <c r="S164" s="259">
        <f ca="1">IF(IFERROR(MATCH(R164,DENOMINAZIONE_GIORNALE,0),0)&gt;0,MAX(S$2:S163)+1,0)</f>
        <v>0</v>
      </c>
      <c r="T164" s="259" t="str">
        <f ca="1">IFERROR(INDEX($R$3:$S$220,MATCH(ROWS($T$3:T164),$S$3:$S$220,0),1),"")</f>
        <v/>
      </c>
      <c r="U164" s="259">
        <f t="shared" ca="1" si="367"/>
        <v>0</v>
      </c>
      <c r="V164" s="259">
        <f ca="1">IF(IF(U164&lt;&gt;0,MAX($V$2:V163)+1,0)=0,0,IF(U164&lt;&gt;0,MAX($V$2:V163)+1,0))</f>
        <v>0</v>
      </c>
      <c r="W164" s="259" t="str">
        <f t="shared" si="401"/>
        <v>33.02</v>
      </c>
      <c r="X164" s="259" t="str">
        <f t="shared" si="402"/>
        <v>ONERI SOCIALI</v>
      </c>
      <c r="Y164" s="259">
        <f>IF(W164="",0,MAX($Y$2:Y163)+1)</f>
        <v>140</v>
      </c>
      <c r="Z164" s="259" t="str">
        <f>IFERROR(INDEX($W$3:$Y$220,MATCH(ROWS($Z$2:Z163),$Y$3:$Y$220,0),1),"")</f>
        <v>39.05</v>
      </c>
      <c r="AA164" s="259" t="str">
        <f t="shared" si="403"/>
        <v>PERDITE SU CREDITI</v>
      </c>
      <c r="AB164" s="259" t="str">
        <f t="shared" si="404"/>
        <v>E</v>
      </c>
      <c r="AC164" s="259" t="str">
        <f t="shared" si="405"/>
        <v>D</v>
      </c>
      <c r="AD164" s="259" t="str">
        <f t="shared" si="406"/>
        <v>COSTI D'ESERCIZIO</v>
      </c>
      <c r="AE164" s="259" t="str">
        <f t="shared" si="407"/>
        <v>SE DARE</v>
      </c>
      <c r="AF164" s="259" t="str">
        <f t="shared" si="408"/>
        <v>ONERI DIVERSI</v>
      </c>
      <c r="AG164" s="259">
        <f t="shared" ca="1" si="409"/>
        <v>1</v>
      </c>
      <c r="AH164" s="259">
        <f t="shared" ca="1" si="410"/>
        <v>1</v>
      </c>
      <c r="AI164" s="259">
        <f t="shared" ca="1" si="411"/>
        <v>1</v>
      </c>
      <c r="AJ164" s="259" t="str">
        <f t="shared" si="412"/>
        <v>39</v>
      </c>
      <c r="AK164" s="259" t="str">
        <f t="shared" si="413"/>
        <v/>
      </c>
      <c r="AL164" s="259">
        <f>IF(AK164&lt;&gt;"",MAX($AL$2:AL163)+1,0)</f>
        <v>0</v>
      </c>
      <c r="AM164" s="259" t="str">
        <f>IFERROR(INDEX($AK$3:$AL$220,MATCH(ROWS($AM$3:AM164),$AL$3:$AL$220,0),1),"")</f>
        <v/>
      </c>
      <c r="AN164" s="259" t="str">
        <f t="shared" si="414"/>
        <v/>
      </c>
      <c r="AO164" s="259" t="str">
        <f t="shared" si="415"/>
        <v/>
      </c>
      <c r="AP164" s="259" t="str">
        <f t="shared" si="416"/>
        <v>ONERI DIVERSI</v>
      </c>
      <c r="AQ164" s="259">
        <f ca="1">IF(OR(AG164=0,AG164=""),0,MAX(AQ$2:AQ163)+1)</f>
        <v>82</v>
      </c>
      <c r="AR164" s="259">
        <f ca="1">IF(OR(AH164=0,AH164=""),0,MAX(AR$2:AR163)+1)</f>
        <v>109</v>
      </c>
      <c r="AS164" s="259">
        <f ca="1">IF(OR(AI164=0,AI164=""),0,MAX(AS$2:AS163)+1)</f>
        <v>158</v>
      </c>
      <c r="AT164" s="259" t="str">
        <f ca="1">IFERROR(INDEX($AD$3:$AS$220,MATCH(ROWS(AT$3:AT164),AQ$3:AQ$220,0),1),"")</f>
        <v/>
      </c>
      <c r="AU164" s="259" t="str">
        <f ca="1">IFERROR(INDEX($AD$3:$AS$220,MATCH(ROWS(AU$3:AU164),AR$3:AR$220,0),1),"")</f>
        <v/>
      </c>
      <c r="AV164" s="259" t="str">
        <f ca="1">IFERROR(INDEX($AD$3:$AS$220,MATCH(ROWS(AV$3:AV164),AS$3:AS$220,0),1),"")</f>
        <v>COSTI D'ESERCIZIO</v>
      </c>
      <c r="AW164" s="259" t="str">
        <f ca="1">IFERROR(INDEX($AP$3:$AS$220,MATCH(ROWS(AW$3:AW164),AQ$3:AQ$220,0),1),"")</f>
        <v/>
      </c>
      <c r="AX164" s="259" t="str">
        <f ca="1">IFERROR(INDEX($AP$3:$AS$220,MATCH(ROWS(AX$3:AX164),AR$3:AR$220,0),1),"")</f>
        <v/>
      </c>
      <c r="AY164" s="259" t="str">
        <f ca="1">IFERROR(INDEX($AP$3:$AS$220,MATCH(ROWS(AY$3:AY164),AS$3:AS$220,0),1),"")</f>
        <v>ONERI DIVERSI</v>
      </c>
      <c r="AZ164" s="259" t="str">
        <f t="shared" si="339"/>
        <v>62 V.I.</v>
      </c>
      <c r="BA164" s="259">
        <f t="shared" ca="1" si="338"/>
        <v>0</v>
      </c>
      <c r="BB164" s="259">
        <f t="shared" ca="1" si="340"/>
        <v>0</v>
      </c>
      <c r="BC164" s="259">
        <f t="shared" ca="1" si="341"/>
        <v>0</v>
      </c>
      <c r="BD164" s="259">
        <f t="shared" ca="1" si="342"/>
        <v>0</v>
      </c>
      <c r="BE164" s="259">
        <f t="shared" ca="1" si="343"/>
        <v>0</v>
      </c>
      <c r="BG164" s="259" t="str">
        <f t="shared" ca="1" si="368"/>
        <v/>
      </c>
      <c r="BH164" s="259">
        <f ca="1">IF(IFERROR(MATCH(BG164,DENOMINAZIONE_GIORNALE,0),0)&gt;0,MAX(BH$2:BH163)+1,0)</f>
        <v>0</v>
      </c>
      <c r="BI164" s="259" t="str">
        <f ca="1">IFERROR(INDEX($BG$3:$BH$220,MATCH(ROWS($BI$3:BI164),$BH$3:$BH$220,0),1),"")</f>
        <v/>
      </c>
      <c r="BJ164" s="259" t="str">
        <f t="shared" ca="1" si="369"/>
        <v/>
      </c>
      <c r="BK164" s="259" t="str">
        <f ca="1">IF(IF(BJ164&lt;&gt;"",MAX($BK$2:BK163)+1,0)=0,"",IF(BJ164&lt;&gt;"",MAX($BK$2:BK163)+1,0))</f>
        <v/>
      </c>
      <c r="BL164" s="259" t="str">
        <f ca="1">IFERROR(INDEX($T$3:$U$220, MATCH(ROWS(BL$3:BL164),$V$3:$V$220,0),1),"")</f>
        <v/>
      </c>
      <c r="BM164" s="259" t="str">
        <f ca="1">IFERROR(INDEX($T$3:$U$220, MATCH(ROWS(BM$3:BM164),$V$3:$V$220,0),2),"")</f>
        <v/>
      </c>
      <c r="BN164" s="259" t="str">
        <f ca="1">IF(IFERROR(INDEX($BI$3:$BJ$220,MATCH(ROWS(BN$3:BN164),$BK$3:$BK$220,0),1),"")="PATRIMONIO NETTO","",IFERROR(INDEX($BI$3:$BJ$220,MATCH(ROWS(BN$3:BN164),$BK$3:$BK$220,0),1),""))</f>
        <v/>
      </c>
      <c r="BO164" s="259" t="str">
        <f ca="1">IFERROR(INDEX($BI$3:$BJ$220,MATCH(ROWS(BO$3:BO164),$BK$3:$BK$220,0),2),"")</f>
        <v/>
      </c>
      <c r="BP164" s="259">
        <f ca="1">IF(BN164&lt;&gt;"",MAX(BP$2:$BP163)+1,0)</f>
        <v>0</v>
      </c>
      <c r="BQ164" s="259" t="str">
        <f ca="1">IFERROR(INDEX($BN$3:$BO$200,MATCH(ROWS(BQ$3:BQ164),$BP$3:$BP$220,0),1),"")</f>
        <v/>
      </c>
      <c r="BR164" s="259" t="str">
        <f ca="1">IFERROR(INDEX($BN$3:$BO$220,MATCH(ROWS(BR$3:BR164),$BP$3:$BP$220,0),2),"")</f>
        <v/>
      </c>
      <c r="BS164" s="259" t="str">
        <f ca="1">IFERROR(IF(OR(INDEX($T$3:$U$220,MATCH(ROWS(BL$3:BL164),$V$3:$V$220,0),1)="PRELEVAMENTI EXTRAGESTIONE",INDEX($T$3:$U$220,MATCH(ROWS(BL$3:BL164),$V$3:$V$220,0),1)="TITOLARE C/RITENUTE SUBITE"),"",INDEX($T$3:$U$220,MATCH(ROWS(BL$3:BL164),$V$3:$V$220,0),1)),"")</f>
        <v/>
      </c>
      <c r="BT164" s="259">
        <f t="shared" ca="1" si="417"/>
        <v>0</v>
      </c>
      <c r="BU164" s="259">
        <f ca="1">IF(BS164&lt;&gt;"",MAX(BU$2:BU163)+1,0)</f>
        <v>0</v>
      </c>
      <c r="BV164" s="259" t="str">
        <f ca="1">IFERROR(INDEX($BS$3:$BT$223,MATCH(ROWS(BV$3:BV164),$BU$3:$BU$223,0),1),"")</f>
        <v/>
      </c>
      <c r="BW164" s="259">
        <f t="shared" ca="1" si="418"/>
        <v>0</v>
      </c>
      <c r="CB164" s="259" t="str">
        <f ca="1">IFERROR(IF(OR($BB$1&lt;&gt;$BD$1,$BC$1&lt;&gt;$BE$1,$DS$231&lt;&gt;$DT$231,$DU$231&lt;&gt;$DV$231,$EO$25&lt;&gt;0,$EO$26&lt;&gt;0),INDEX($BI$3:$BK$220,MATCH(ROWS($CB$3:CB164),$BK$3:$BK$220,0),1),CONCATENATE(BQ164,BX164)),"")</f>
        <v/>
      </c>
      <c r="CC164" s="259" t="str">
        <f t="shared" ca="1" si="419"/>
        <v/>
      </c>
      <c r="CD164" s="259" t="str">
        <f t="shared" ca="1" si="370"/>
        <v>PERDITE SU CREDITI</v>
      </c>
      <c r="CE164" s="259">
        <f ca="1">IF(IFERROR(MATCH(CD164,DENOMINAZIONE_GIORNALE,0),0)&gt;0,MAX(CE$2:CE163)+1,0)</f>
        <v>0</v>
      </c>
      <c r="CF164" s="259" t="str">
        <f ca="1">IFERROR(INDEX($CD$3:$CE$220,MATCH(ROWS($CF$3:CF164),$CE$3:$CE$220,0),1),"")</f>
        <v/>
      </c>
      <c r="CG164" s="259">
        <f t="shared" ca="1" si="371"/>
        <v>0</v>
      </c>
      <c r="CH164" s="259" t="str">
        <f ca="1">IF(IF(CG164&lt;&gt;0,MAX($CH$2:CH163)+1,0)=0,"",IF(CG164&lt;&gt;"",MAX($CH$2:CH163)+1,0))</f>
        <v/>
      </c>
      <c r="CI164" s="259" t="str">
        <f ca="1">IFERROR(INDEX($CF$3:$CG$220,MATCH(ROWS($CI$3:CI164),$CH$3:$CH$220,0),1),"")</f>
        <v/>
      </c>
      <c r="CJ164" s="259" t="str">
        <f t="shared" ca="1" si="420"/>
        <v/>
      </c>
      <c r="CK164" s="259" t="str">
        <f t="shared" ca="1" si="372"/>
        <v/>
      </c>
      <c r="CL164" s="259">
        <f ca="1">IF(IFERROR(MATCH(CK164,DENOMINAZIONE_GIORNALE,0),0)&gt;0,MAX(CL$2:CL163)+1,0)</f>
        <v>0</v>
      </c>
      <c r="CM164" s="259" t="str">
        <f ca="1">IFERROR(INDEX($CK$3:$CL$220,MATCH(ROWS($CM$3:CM164),$CL$3:$CL$220,0),1),"")</f>
        <v/>
      </c>
      <c r="CN164" s="259" t="str">
        <f t="shared" ca="1" si="373"/>
        <v/>
      </c>
      <c r="CO164" s="259">
        <f ca="1">IF(IF(CN164&lt;&gt;0,MAX($CO$2:CO163)+1,0)=0,"",IF(CN164&lt;&gt;"",MAX($CO$2:CO163)+1,0))</f>
        <v>0</v>
      </c>
      <c r="CP164" s="259" t="str">
        <f ca="1">IFERROR(INDEX($CM$3:$CN$220,MATCH(ROWS(CP$3:CP164),$CO$3:$CO$220,0),1),"")</f>
        <v/>
      </c>
      <c r="CQ164" s="259" t="str">
        <f ca="1">IFERROR(INDEX($CM$3:$CN$220,MATCH(ROWS(CQ$3:CQ164),$CO$3:$CO$220,0),2),"")</f>
        <v/>
      </c>
      <c r="CS164" s="259">
        <f t="shared" ca="1" si="374"/>
        <v>0</v>
      </c>
      <c r="CT164" s="259">
        <f t="shared" ca="1" si="375"/>
        <v>0</v>
      </c>
      <c r="CU164" s="259">
        <f ca="1">IF(OR(CS164&gt;0,CT164&gt;0),MAX($CU$2:CU163)+1,0)</f>
        <v>0</v>
      </c>
      <c r="CV164" s="259" t="str">
        <f ca="1">IFERROR(INDEX(PIANO_DEI_CONTI,MATCH(ROWS($CV$3:CV164),$CU$3:$CU$200,0),2),"")</f>
        <v/>
      </c>
      <c r="CW164" s="259">
        <f ca="1">IFERROR(IF(CV164&lt;&gt;"",MAX($CW$2:CW163)+1,0),0)</f>
        <v>0</v>
      </c>
      <c r="CX164" s="259" t="str">
        <f>IFERROR(IF(CX146+1=1,"",(CX146+1)),"")</f>
        <v/>
      </c>
      <c r="CY164" s="259" t="str">
        <f t="shared" ca="1" si="469"/>
        <v>MASTRO</v>
      </c>
      <c r="DB164" s="259" t="str">
        <f t="shared" ref="DB164" ca="1" si="481">CY164</f>
        <v>MASTRO</v>
      </c>
      <c r="DF164" s="259">
        <f ca="1">IF(AND(CX164=$DE$2,$DF$2&lt;&gt;0),0,IF(AND(DB164&lt;&gt;"",OR(DB163&lt;&gt;"",DB165&lt;&gt;"")),MAX($DF$2:DF163)+1,0))</f>
        <v>0</v>
      </c>
      <c r="DG164" s="259" t="str">
        <f>IF(IF(LIBRO_GIORNALE!E72="","",IFERROR(INDEX(PIANO_DEI_CONTI,MATCH(BB164,DENOMINAZIONE,0),1),0))=0,"",IF(LIBRO_GIORNALE!E72="","",IFERROR(INDEX(PIANO_DEI_CONTI,MATCH(BB164,DENOMINAZIONE,0),1),0)))</f>
        <v/>
      </c>
      <c r="DH164" s="259">
        <f ca="1">IFERROR(IF($J$1=1,IF(INDEX(PIANO_DEI_CONTI,MATCH($K164,DENOMINAZIONE,0),5)=$DF$1,MAX($DH$2:DH163)+1,0),IF($J$1=2,IF(INDEX(PIANO_DEI_CONTI,MATCH($K164,DENOMINAZIONE,0),7)=$DF$1,MAX($DH$2:DH163)+1,0))),0)</f>
        <v>0</v>
      </c>
      <c r="DI164" s="259">
        <f ca="1">IFERROR(INDEX($K$3:$K$220,MATCH(ROWS($DI$3:DI164),$DH$3:$DH$220,0),1),0)</f>
        <v>0</v>
      </c>
      <c r="DJ164" s="259">
        <f t="shared" ca="1" si="381"/>
        <v>0</v>
      </c>
      <c r="DK164" s="259">
        <f ca="1">IF(DJ164=0,0,MAX(DK$2:DK163)+1)</f>
        <v>0</v>
      </c>
      <c r="DL164" s="259">
        <f ca="1">IFERROR(INDEX(PIANO_DEI_CONTI,MATCH(ROWS(DL$3:DL164),$DK$3:DK391,0),2),0)</f>
        <v>0</v>
      </c>
      <c r="DM164" s="259">
        <f t="shared" ca="1" si="382"/>
        <v>0</v>
      </c>
      <c r="DN164" s="259">
        <f t="shared" ca="1" si="383"/>
        <v>0</v>
      </c>
      <c r="DO164" s="259">
        <f t="shared" ca="1" si="422"/>
        <v>0</v>
      </c>
      <c r="DP164" s="259">
        <f t="shared" ca="1" si="423"/>
        <v>0</v>
      </c>
      <c r="DQ164" s="259">
        <f ca="1">IF(OR($DQ$1="TOTALI",$DQ$1="TOTALI ED ECCEDENZE"),IF(OR(DM164&gt;0,DN164&gt;0),MAX(DQ$2:DQ163)+1,0),IF($DQ$1="ECCEDENZE",IF(OR(DO164&gt;0,DP164&gt;0),MAX(DQ$2:DQ163)+1,0),""))</f>
        <v>0</v>
      </c>
      <c r="DR164" s="259" t="str">
        <f ca="1">IFERROR(INDEX($DL$3:$DQ$230,MATCH(ROWS(DR$3:DR164),$DQ$3:$DQ$230,0),1),"")</f>
        <v/>
      </c>
      <c r="DS164" s="259" t="str">
        <f t="shared" ca="1" si="424"/>
        <v/>
      </c>
      <c r="DT164" s="259" t="str">
        <f t="shared" ca="1" si="425"/>
        <v/>
      </c>
      <c r="DU164" s="259" t="str">
        <f t="shared" ca="1" si="426"/>
        <v/>
      </c>
      <c r="DV164" s="259" t="str">
        <f t="shared" ca="1" si="427"/>
        <v/>
      </c>
      <c r="DW164" s="259">
        <f t="shared" ca="1" si="428"/>
        <v>0</v>
      </c>
      <c r="DX164" s="259" t="str">
        <f t="shared" ca="1" si="429"/>
        <v/>
      </c>
      <c r="DY164" s="259" t="str">
        <f t="shared" ca="1" si="430"/>
        <v/>
      </c>
      <c r="DZ164" s="259" t="str">
        <f t="shared" ca="1" si="431"/>
        <v/>
      </c>
      <c r="EB164" s="259" t="s">
        <v>385</v>
      </c>
      <c r="ED164" s="259">
        <f t="shared" ca="1" si="384"/>
        <v>0</v>
      </c>
      <c r="EH164" s="259" t="str">
        <f t="shared" ca="1" si="432"/>
        <v/>
      </c>
      <c r="EI164" s="260" t="b">
        <f t="shared" ca="1" si="466"/>
        <v>0</v>
      </c>
      <c r="EJ164" s="260" t="b">
        <f t="shared" ca="1" si="467"/>
        <v>1</v>
      </c>
      <c r="EK164" s="260" t="b">
        <f t="shared" ca="1" si="468"/>
        <v>1</v>
      </c>
      <c r="EL164" s="259">
        <f t="shared" si="433"/>
        <v>162</v>
      </c>
      <c r="EM164" s="259">
        <f ca="1">IF(AND(BA164&gt;0,BA164&lt;=$EM$1),MAX($EM$2:EM163)+1,0)</f>
        <v>0</v>
      </c>
      <c r="EN164" s="259">
        <f t="shared" ca="1" si="434"/>
        <v>164</v>
      </c>
      <c r="EP164" s="259" t="str">
        <f t="shared" ca="1" si="385"/>
        <v/>
      </c>
      <c r="EQ164" s="259">
        <f t="shared" ca="1" si="386"/>
        <v>0</v>
      </c>
      <c r="ER164" s="259">
        <f ca="1">IF(ISNA(EQ164),MAX(ER$2:ER163)+1,0)</f>
        <v>0</v>
      </c>
      <c r="ES164" s="259" t="str">
        <f t="shared" ca="1" si="435"/>
        <v/>
      </c>
      <c r="ET164" s="259" t="str">
        <f ca="1">IFERROR(UPPER(INDEX($ER$3:$ES$500,MATCH(ROWS(ET$3:ET164),$ER$3:$ER$500,0),2)),"")</f>
        <v/>
      </c>
      <c r="EW164" s="259">
        <f t="shared" ca="1" si="344"/>
        <v>1</v>
      </c>
      <c r="EX164" s="259">
        <v>62</v>
      </c>
      <c r="EY164" s="259">
        <f t="shared" ca="1" si="345"/>
        <v>0</v>
      </c>
      <c r="EZ164" s="259">
        <f t="shared" ca="1" si="346"/>
        <v>0</v>
      </c>
      <c r="FA164" s="259">
        <f t="shared" ca="1" si="347"/>
        <v>0</v>
      </c>
      <c r="FB164" s="259">
        <f t="shared" ca="1" si="348"/>
        <v>0</v>
      </c>
      <c r="FC164" s="259">
        <f t="shared" ca="1" si="349"/>
        <v>0</v>
      </c>
      <c r="FD164" s="259">
        <f t="shared" ca="1" si="387"/>
        <v>0</v>
      </c>
      <c r="FE164" s="259" t="str">
        <f t="shared" ca="1" si="388"/>
        <v/>
      </c>
      <c r="FF164" s="259" t="str">
        <f t="shared" ca="1" si="350"/>
        <v/>
      </c>
      <c r="FM164" s="259">
        <f t="shared" ca="1" si="389"/>
        <v>0</v>
      </c>
      <c r="FN164" s="259">
        <f ca="1">IF(FM164&lt;0,MAX($FN$2:FN163)+1,0)</f>
        <v>0</v>
      </c>
      <c r="FO164" s="259" t="str">
        <f t="shared" ca="1" si="436"/>
        <v/>
      </c>
      <c r="FP164" s="259" t="str">
        <f ca="1">IFERROR(INDEX($FN$3:$FO$400,MATCH(ROWS($FP$3:FP164),$FN$3:$FN$400,0),2),"")</f>
        <v/>
      </c>
      <c r="FQ164" s="259" t="str">
        <f>IF(AE164="SE AVERE",MAX($FQ$2:FQ163)+1,"")</f>
        <v/>
      </c>
      <c r="FR164" s="259">
        <f>IF(AE164="SE DARE",MAX($FR$2:FR163)+1,"")</f>
        <v>67</v>
      </c>
      <c r="FS164" s="259" t="str">
        <f ca="1">IF(AND(AE164="SP DARE",AA164&lt;&gt;$FS$1,AA164&lt;&gt;$FT$1),MAX($FS$2:FS163)+1,IF(AND(GQ164="SP DARE",AA164&lt;&gt;$FS$1,AA164&lt;&gt;$FT$1),MAX($FS$2:FS163)+1,""))</f>
        <v/>
      </c>
      <c r="FT164" s="259" t="str">
        <f ca="1">IF(AND(AE164="SP AVERE",AA164&lt;&gt;$FU$1),MAX($FT$2:FT163)+1,IF(AND(GQ164="SP AVERE",AA164&lt;&gt;$FU$1),MAX($FT$2:FT163)+1,""))</f>
        <v/>
      </c>
      <c r="FU164" s="259">
        <f t="shared" ca="1" si="437"/>
        <v>67</v>
      </c>
      <c r="FV164" s="259" t="str">
        <f t="shared" si="438"/>
        <v>PERDITE SU CREDITI</v>
      </c>
      <c r="FW164" s="259" t="str">
        <f ca="1">IFERROR(INDEX($FU$3:$FV$500,MATCH(ROWS($FW$3:FW164),$FU$3:$FU$500,0),2),0)</f>
        <v>DEBITI PER RITENUTE DA VERSARE</v>
      </c>
      <c r="FX164" s="259">
        <f t="shared" ca="1" si="439"/>
        <v>162</v>
      </c>
      <c r="FY164" s="259">
        <f t="shared" ca="1" si="440"/>
        <v>0</v>
      </c>
      <c r="FZ164" s="259">
        <f ca="1">IF(FY164&gt;0,MAX($FZ$2:FZ163)+1,0)</f>
        <v>0</v>
      </c>
      <c r="GA164" s="259">
        <f ca="1">IFERROR(INDEX($FY$3:$FZ$500,MATCH(ROWS($GA$3:GA164),$FZ$3:$FZ$500,0),1),0)</f>
        <v>0</v>
      </c>
      <c r="GC164" s="259">
        <f t="shared" ca="1" si="441"/>
        <v>162</v>
      </c>
      <c r="GD164" s="259" t="str">
        <f t="shared" ca="1" si="442"/>
        <v>DEBITI PER RITENUTE DA VERSARE</v>
      </c>
      <c r="GG164" s="259">
        <f t="shared" ca="1" si="443"/>
        <v>0</v>
      </c>
      <c r="GH164" s="259">
        <f t="shared" ca="1" si="444"/>
        <v>0</v>
      </c>
      <c r="GI164" s="259">
        <f t="shared" ca="1" si="445"/>
        <v>0</v>
      </c>
      <c r="GJ164" s="259">
        <f t="shared" ca="1" si="446"/>
        <v>0</v>
      </c>
      <c r="GK164" s="259">
        <f t="shared" ca="1" si="447"/>
        <v>0</v>
      </c>
      <c r="GL164" s="259">
        <f t="shared" ca="1" si="447"/>
        <v>0</v>
      </c>
      <c r="GM164" s="259">
        <f ca="1">IF(OR(GK164&gt;0,GL164&gt;0),MAX($GM$2:GM163)+1,0)</f>
        <v>0</v>
      </c>
      <c r="GN164" s="259" t="str">
        <f ca="1">IFERROR(INDEX($GD$3:$GM$400,MATCH(ROWS($GN$3:GN164),$GM$3:$GM$400,0),1),"")</f>
        <v/>
      </c>
      <c r="GO164" s="259" t="str">
        <f ca="1">IFERROR(INDEX($GD$3:$GM$400,MATCH(ROWS($GO$3:GO164),$GM$3:$GM$400,0),8),"")</f>
        <v/>
      </c>
      <c r="GP164" s="259" t="str">
        <f ca="1">IFERROR(INDEX($GD$3:$GM$400,MATCH(ROWS($GP$3:GP164),$GM$3:$GM$400,0),9),"")</f>
        <v/>
      </c>
      <c r="GQ164" s="259">
        <f t="shared" ca="1" si="390"/>
        <v>0</v>
      </c>
      <c r="GR164" s="259">
        <f t="shared" ca="1" si="448"/>
        <v>0</v>
      </c>
      <c r="GS164" s="259" t="str">
        <f t="shared" ca="1" si="449"/>
        <v>chiusura del conto</v>
      </c>
      <c r="GT164" s="259" t="str">
        <f ca="1">IFERROR(INDEX($GD$3:$GS$400,MATCH(ROWS($GT$3:GT164),$GM$3:$GM$400,0),16),"")</f>
        <v/>
      </c>
      <c r="GU164" s="259">
        <f ca="1">IF(GQ164&lt;&gt;0,MAX($GU$2:$GU163)+1,0)</f>
        <v>0</v>
      </c>
      <c r="GV164" s="259">
        <f t="shared" ca="1" si="450"/>
        <v>0</v>
      </c>
      <c r="GW164" s="259" t="str">
        <f ca="1">IF(AND(IFERROR(INDEX($GU$3:$GV$400,MATCH(ROWS($GW$3:GW164),$GU$3:$GU$400,0),2),"")&lt;&gt;"",GW165&lt;&gt;""),CONCATENATE(IFERROR(INDEX($GU$3:$GV$400,MATCH(ROWS($GW$3:GW164),$GU$3:$GU$400,0),2),"")," - "),IFERROR(INDEX($GU$3:$GV$400,MATCH(ROWS($GW$3:GW164),$GU$3:$GU$400,0),2),""))</f>
        <v/>
      </c>
      <c r="GX164" s="259">
        <f ca="1">IF(OR(GN164="IVA NS/CREDITO",GN164="IVA NS/DEBITO",GN164="IVA C/ACCONTO",GN164="IMPOSTE C/ACCONTO"),MAX($GX$2:GX163)+1,0)</f>
        <v>0</v>
      </c>
      <c r="GY164" s="259" t="str">
        <f ca="1">IF(AND(IFERROR(INDEX($GN$3:$GX$200,MATCH(ROWS($GY$3:GY164),$GX$3:$GX$200,0),1),"")&lt;&gt;"",GY165&lt;&gt;""),CONCATENATE(IFERROR(INDEX($GN$3:$GX$200,MATCH(ROWS($GY$3:GY164),$GX$3:$GX$200,0),1),"")," - "),IFERROR(INDEX($GN$3:$GX$200,MATCH(ROWS($GY$3:GY164),$GX$3:$GX$200,0),1),""))</f>
        <v/>
      </c>
      <c r="GZ164" s="279" t="s">
        <v>174</v>
      </c>
      <c r="HA164" s="259" t="s">
        <v>404</v>
      </c>
      <c r="HB164" s="269" t="s">
        <v>256</v>
      </c>
      <c r="HC164" s="269" t="s">
        <v>276</v>
      </c>
      <c r="HD164" s="269" t="s">
        <v>7</v>
      </c>
      <c r="HE164" s="269" t="s">
        <v>214</v>
      </c>
      <c r="HV164" s="259" t="str">
        <f ca="1">CONCATENATE(IFERROR(INDEX($HS$3:$HT$102,MATCH(ROWS($HV$3:HV164),$HT$3:$HT$102,0),1),""),HR164)</f>
        <v/>
      </c>
      <c r="IC164" s="259">
        <f ca="1">IFERROR(INDEX(PIANO_DEI_CONTI,MATCH(ROWS(DL$3:DL164),$DK$3:DK391,0),2),0)</f>
        <v>0</v>
      </c>
      <c r="ID164" s="259">
        <f t="shared" ca="1" si="451"/>
        <v>0</v>
      </c>
      <c r="IE164" s="259">
        <f t="shared" ca="1" si="452"/>
        <v>0</v>
      </c>
      <c r="IF164" s="259">
        <f t="shared" ca="1" si="453"/>
        <v>0</v>
      </c>
      <c r="IG164" s="259">
        <f t="shared" ca="1" si="479"/>
        <v>0</v>
      </c>
      <c r="IH164" s="259">
        <f ca="1">IF(IG164&lt;&gt;0,MAX($IH$35:IH163)+1,0)</f>
        <v>0</v>
      </c>
      <c r="II164" s="259">
        <f>IF(AD164="costi pluriennali",MAX($II$2:II163)+1,0)</f>
        <v>0</v>
      </c>
      <c r="IJ164" s="259">
        <f>IF($AD164="rettifiche costi pluriennali",MAX($IJ$2:IJ163)+1,0)</f>
        <v>0</v>
      </c>
      <c r="IK164" s="259">
        <f t="shared" si="454"/>
        <v>0</v>
      </c>
      <c r="IL164" s="259" t="str">
        <f t="shared" si="455"/>
        <v/>
      </c>
      <c r="IM164" s="259">
        <f t="shared" ca="1" si="456"/>
        <v>0</v>
      </c>
      <c r="IN164" s="259">
        <f t="shared" ca="1" si="470"/>
        <v>0</v>
      </c>
      <c r="IO164" s="259">
        <f>SUMIFS($IM$3:$IM$200,$IK$3:$IK$200,ROWS($IO$3:IO164))-SUMIFS($IN$3:$IN$200,$IK$3:$IK$200,ROWS($IO$3:IO164))</f>
        <v>0</v>
      </c>
      <c r="IP164" s="259" t="str">
        <f>IF(IO164&lt;0,INDEX($IJ$3:$IL$200,MATCH(ROWS($IP$3:IP164),$IJ$3:$IJ$200,0),3),"")</f>
        <v/>
      </c>
      <c r="IQ164" s="259">
        <f>IF(IP164&lt;&gt;"",MAX($IQ$2:IQ163)+1,0)</f>
        <v>0</v>
      </c>
      <c r="IR164" s="259" t="str">
        <f ca="1">IFERROR(INDEX($IP$3:$IQ$200,MATCH(ROWS($IR$3:IR164),$IQ$3:$IQ$200,0),1),"")</f>
        <v/>
      </c>
      <c r="IS164" s="259" t="str">
        <f t="shared" ca="1" si="457"/>
        <v/>
      </c>
      <c r="IT164" s="259" t="str">
        <f t="shared" ca="1" si="458"/>
        <v/>
      </c>
      <c r="IU164" s="259" t="str">
        <f t="shared" ca="1" si="459"/>
        <v/>
      </c>
      <c r="IV164" s="259" t="str">
        <f t="shared" ca="1" si="460"/>
        <v/>
      </c>
      <c r="IW164" s="259" t="str">
        <f t="shared" ca="1" si="461"/>
        <v/>
      </c>
      <c r="IX164" s="259" t="str">
        <f t="shared" ca="1" si="462"/>
        <v/>
      </c>
      <c r="IY164" s="259" t="str">
        <f t="shared" ca="1" si="463"/>
        <v/>
      </c>
      <c r="IZ164" s="259" t="str">
        <f t="shared" ca="1" si="464"/>
        <v/>
      </c>
      <c r="JA164" s="259" t="str">
        <f t="shared" ca="1" si="465"/>
        <v/>
      </c>
      <c r="JB164" s="259">
        <f t="shared" ca="1" si="391"/>
        <v>0</v>
      </c>
      <c r="JC164" s="259">
        <f t="shared" ca="1" si="351"/>
        <v>0</v>
      </c>
      <c r="JD164" s="259">
        <f t="shared" ca="1" si="352"/>
        <v>0</v>
      </c>
      <c r="JM164" s="259">
        <f t="shared" ca="1" si="353"/>
        <v>0</v>
      </c>
    </row>
    <row r="165" spans="1:273">
      <c r="A165" s="259" t="str">
        <f t="shared" si="392"/>
        <v>33.03</v>
      </c>
      <c r="B165" s="259" t="str">
        <f t="shared" si="393"/>
        <v>TFR</v>
      </c>
      <c r="C165" s="259" t="str">
        <f t="shared" si="394"/>
        <v>E</v>
      </c>
      <c r="D165" s="259" t="str">
        <f t="shared" si="395"/>
        <v>D</v>
      </c>
      <c r="E165" s="259" t="str">
        <f t="shared" si="396"/>
        <v>COSTI D'ESERCIZIO</v>
      </c>
      <c r="F165" s="259" t="str">
        <f t="shared" si="397"/>
        <v>SE DARE</v>
      </c>
      <c r="G165" s="259">
        <f t="shared" ca="1" si="398"/>
        <v>0</v>
      </c>
      <c r="H165" s="259">
        <f t="shared" ca="1" si="399"/>
        <v>0</v>
      </c>
      <c r="I165" s="259">
        <f t="shared" ca="1" si="400"/>
        <v>1</v>
      </c>
      <c r="K165" s="259" t="str">
        <f ca="1">IFERROR(IF($I$1=1,INDEX($AA$3:$AS$220,MATCH(ROWS($K$3:K165),$AQ$3:$AQ$220,0),1),IF($I$1=2,INDEX($AA$3:$AS$220,MATCH(ROWS($K$3:K165),$AR$3:$AR$220,0),1),IF($I$1=3,INDEX($AA$3:$AS$220,MATCH(ROWS($K$3:K165),$AS$3:$AS$220,0),1),""))),"")</f>
        <v>INTERESSI ATTIVI DA CLIENTI</v>
      </c>
      <c r="L165" s="259">
        <f ca="1">IF(AND($L$1="VISUALIZZA TUTTI I CONTI",K165&lt;&gt;""),MAX(L164:L164)+1,IFERROR(IF($J$1=1,IF(INDEX(PIANO_DEI_CONTI,MATCH($K165,DENOMINAZIONE,0),5)=$L$1,MAX($L$2:L164)+1,0),IF($J$1=2,IF(INDEX(PIANO_DEI_CONTI,MATCH($K165,DENOMINAZIONE,0),7)=$L$1,MAX($L$2:L164)+1,0))),0))</f>
        <v>163</v>
      </c>
      <c r="M165" s="259" t="str">
        <f ca="1">IFERROR(INDEX($K$3:$K$220,MATCH(ROWS($M$3:M165),$L$3:$L$220,0),1),"")</f>
        <v>INTERESSI ATTIVI DA CLIENTI</v>
      </c>
      <c r="R165" s="259" t="str">
        <f t="shared" ca="1" si="366"/>
        <v/>
      </c>
      <c r="S165" s="259">
        <f ca="1">IF(IFERROR(MATCH(R165,DENOMINAZIONE_GIORNALE,0),0)&gt;0,MAX(S$2:S164)+1,0)</f>
        <v>0</v>
      </c>
      <c r="T165" s="259" t="str">
        <f ca="1">IFERROR(INDEX($R$3:$S$220,MATCH(ROWS($T$3:T165),$S$3:$S$220,0),1),"")</f>
        <v/>
      </c>
      <c r="U165" s="259">
        <f t="shared" ca="1" si="367"/>
        <v>0</v>
      </c>
      <c r="V165" s="259">
        <f ca="1">IF(IF(U165&lt;&gt;0,MAX($V$2:V164)+1,0)=0,0,IF(U165&lt;&gt;0,MAX($V$2:V164)+1,0))</f>
        <v>0</v>
      </c>
      <c r="W165" s="259" t="str">
        <f t="shared" si="401"/>
        <v>33.03</v>
      </c>
      <c r="X165" s="259" t="str">
        <f t="shared" si="402"/>
        <v>TFR</v>
      </c>
      <c r="Y165" s="259">
        <f>IF(W165="",0,MAX($Y$2:Y164)+1)</f>
        <v>141</v>
      </c>
      <c r="Z165" s="259" t="str">
        <f>IFERROR(INDEX($W$3:$Y$220,MATCH(ROWS($Z$2:Z164),$Y$3:$Y$220,0),1),"")</f>
        <v>39.06</v>
      </c>
      <c r="AA165" s="259" t="str">
        <f t="shared" si="403"/>
        <v>ACCANTONAMENTO PER IMPOSTE INDIRETTE</v>
      </c>
      <c r="AB165" s="259" t="str">
        <f t="shared" si="404"/>
        <v>E</v>
      </c>
      <c r="AC165" s="259" t="str">
        <f t="shared" si="405"/>
        <v>D</v>
      </c>
      <c r="AD165" s="259" t="str">
        <f t="shared" si="406"/>
        <v>COSTI D'ESERCIZIO</v>
      </c>
      <c r="AE165" s="259" t="str">
        <f t="shared" si="407"/>
        <v>SE DARE</v>
      </c>
      <c r="AF165" s="259" t="str">
        <f t="shared" si="408"/>
        <v>ONERI DIVERSI</v>
      </c>
      <c r="AG165" s="259">
        <f t="shared" ca="1" si="409"/>
        <v>0</v>
      </c>
      <c r="AH165" s="259">
        <f t="shared" ca="1" si="410"/>
        <v>0</v>
      </c>
      <c r="AI165" s="259">
        <f t="shared" ca="1" si="411"/>
        <v>1</v>
      </c>
      <c r="AJ165" s="259" t="str">
        <f t="shared" si="412"/>
        <v>39</v>
      </c>
      <c r="AK165" s="259" t="str">
        <f t="shared" si="413"/>
        <v/>
      </c>
      <c r="AL165" s="259">
        <f>IF(AK165&lt;&gt;"",MAX($AL$2:AL164)+1,0)</f>
        <v>0</v>
      </c>
      <c r="AM165" s="259" t="str">
        <f>IFERROR(INDEX($AK$3:$AL$220,MATCH(ROWS($AM$3:AM165),$AL$3:$AL$220,0),1),"")</f>
        <v/>
      </c>
      <c r="AN165" s="259" t="str">
        <f t="shared" si="414"/>
        <v/>
      </c>
      <c r="AO165" s="259" t="str">
        <f t="shared" si="415"/>
        <v/>
      </c>
      <c r="AP165" s="259" t="str">
        <f t="shared" si="416"/>
        <v>ONERI DIVERSI</v>
      </c>
      <c r="AQ165" s="259">
        <f ca="1">IF(OR(AG165=0,AG165=""),0,MAX(AQ$2:AQ164)+1)</f>
        <v>0</v>
      </c>
      <c r="AR165" s="259">
        <f ca="1">IF(OR(AH165=0,AH165=""),0,MAX(AR$2:AR164)+1)</f>
        <v>0</v>
      </c>
      <c r="AS165" s="259">
        <f ca="1">IF(OR(AI165=0,AI165=""),0,MAX(AS$2:AS164)+1)</f>
        <v>159</v>
      </c>
      <c r="AT165" s="259" t="str">
        <f ca="1">IFERROR(INDEX($AD$3:$AS$220,MATCH(ROWS(AT$3:AT165),AQ$3:AQ$220,0),1),"")</f>
        <v/>
      </c>
      <c r="AU165" s="259" t="str">
        <f ca="1">IFERROR(INDEX($AD$3:$AS$220,MATCH(ROWS(AU$3:AU165),AR$3:AR$220,0),1),"")</f>
        <v/>
      </c>
      <c r="AV165" s="259" t="str">
        <f ca="1">IFERROR(INDEX($AD$3:$AS$220,MATCH(ROWS(AV$3:AV165),AS$3:AS$220,0),1),"")</f>
        <v>RICAVI D'ESERCIZIO</v>
      </c>
      <c r="AW165" s="259" t="str">
        <f ca="1">IFERROR(INDEX($AP$3:$AS$220,MATCH(ROWS(AW$3:AW165),AQ$3:AQ$220,0),1),"")</f>
        <v/>
      </c>
      <c r="AX165" s="259" t="str">
        <f ca="1">IFERROR(INDEX($AP$3:$AS$220,MATCH(ROWS(AX$3:AX165),AR$3:AR$220,0),1),"")</f>
        <v/>
      </c>
      <c r="AY165" s="259" t="str">
        <f ca="1">IFERROR(INDEX($AP$3:$AS$220,MATCH(ROWS(AY$3:AY165),AS$3:AS$220,0),1),"")</f>
        <v>PROVENTI FINANZIARI</v>
      </c>
      <c r="AZ165" s="259" t="str">
        <f t="shared" si="339"/>
        <v>63 V.I.</v>
      </c>
      <c r="BA165" s="259">
        <f t="shared" ca="1" si="338"/>
        <v>0</v>
      </c>
      <c r="BB165" s="259">
        <f t="shared" ca="1" si="340"/>
        <v>0</v>
      </c>
      <c r="BC165" s="259">
        <f t="shared" ca="1" si="341"/>
        <v>0</v>
      </c>
      <c r="BD165" s="259">
        <f t="shared" ca="1" si="342"/>
        <v>0</v>
      </c>
      <c r="BE165" s="259">
        <f t="shared" ca="1" si="343"/>
        <v>0</v>
      </c>
      <c r="BG165" s="259" t="str">
        <f t="shared" ca="1" si="368"/>
        <v/>
      </c>
      <c r="BH165" s="259">
        <f ca="1">IF(IFERROR(MATCH(BG165,DENOMINAZIONE_GIORNALE,0),0)&gt;0,MAX(BH$2:BH164)+1,0)</f>
        <v>0</v>
      </c>
      <c r="BI165" s="259" t="str">
        <f ca="1">IFERROR(INDEX($BG$3:$BH$220,MATCH(ROWS($BI$3:BI165),$BH$3:$BH$220,0),1),"")</f>
        <v/>
      </c>
      <c r="BJ165" s="259" t="str">
        <f t="shared" ca="1" si="369"/>
        <v/>
      </c>
      <c r="BK165" s="259" t="str">
        <f ca="1">IF(IF(BJ165&lt;&gt;"",MAX($BK$2:BK164)+1,0)=0,"",IF(BJ165&lt;&gt;"",MAX($BK$2:BK164)+1,0))</f>
        <v/>
      </c>
      <c r="BL165" s="259" t="str">
        <f ca="1">IFERROR(INDEX($T$3:$U$220, MATCH(ROWS(BL$3:BL165),$V$3:$V$220,0),1),"")</f>
        <v/>
      </c>
      <c r="BM165" s="259" t="str">
        <f ca="1">IFERROR(INDEX($T$3:$U$220, MATCH(ROWS(BM$3:BM165),$V$3:$V$220,0),2),"")</f>
        <v/>
      </c>
      <c r="BN165" s="259" t="str">
        <f ca="1">IF(IFERROR(INDEX($BI$3:$BJ$220,MATCH(ROWS(BN$3:BN165),$BK$3:$BK$220,0),1),"")="PATRIMONIO NETTO","",IFERROR(INDEX($BI$3:$BJ$220,MATCH(ROWS(BN$3:BN165),$BK$3:$BK$220,0),1),""))</f>
        <v/>
      </c>
      <c r="BO165" s="259" t="str">
        <f ca="1">IFERROR(INDEX($BI$3:$BJ$220,MATCH(ROWS(BO$3:BO165),$BK$3:$BK$220,0),2),"")</f>
        <v/>
      </c>
      <c r="BP165" s="259">
        <f ca="1">IF(BN165&lt;&gt;"",MAX(BP$2:$BP164)+1,0)</f>
        <v>0</v>
      </c>
      <c r="BQ165" s="259" t="str">
        <f ca="1">IFERROR(INDEX($BN$3:$BO$200,MATCH(ROWS(BQ$3:BQ165),$BP$3:$BP$220,0),1),"")</f>
        <v/>
      </c>
      <c r="BR165" s="259" t="str">
        <f ca="1">IFERROR(INDEX($BN$3:$BO$220,MATCH(ROWS(BR$3:BR165),$BP$3:$BP$220,0),2),"")</f>
        <v/>
      </c>
      <c r="BS165" s="259" t="str">
        <f ca="1">IFERROR(IF(OR(INDEX($T$3:$U$220,MATCH(ROWS(BL$3:BL165),$V$3:$V$220,0),1)="PRELEVAMENTI EXTRAGESTIONE",INDEX($T$3:$U$220,MATCH(ROWS(BL$3:BL165),$V$3:$V$220,0),1)="TITOLARE C/RITENUTE SUBITE"),"",INDEX($T$3:$U$220,MATCH(ROWS(BL$3:BL165),$V$3:$V$220,0),1)),"")</f>
        <v/>
      </c>
      <c r="BT165" s="259">
        <f t="shared" ca="1" si="417"/>
        <v>0</v>
      </c>
      <c r="BU165" s="259">
        <f ca="1">IF(BS165&lt;&gt;"",MAX(BU$2:BU164)+1,0)</f>
        <v>0</v>
      </c>
      <c r="BV165" s="259" t="str">
        <f ca="1">IFERROR(INDEX($BS$3:$BT$223,MATCH(ROWS(BV$3:BV165),$BU$3:$BU$223,0),1),"")</f>
        <v/>
      </c>
      <c r="BW165" s="259">
        <f t="shared" ca="1" si="418"/>
        <v>0</v>
      </c>
      <c r="CB165" s="259" t="str">
        <f ca="1">IFERROR(IF(OR($BB$1&lt;&gt;$BD$1,$BC$1&lt;&gt;$BE$1,$DS$231&lt;&gt;$DT$231,$DU$231&lt;&gt;$DV$231,$EO$25&lt;&gt;0,$EO$26&lt;&gt;0),INDEX($BI$3:$BK$220,MATCH(ROWS($CB$3:CB165),$BK$3:$BK$220,0),1),CONCATENATE(BQ165,BX165)),"")</f>
        <v/>
      </c>
      <c r="CC165" s="259" t="str">
        <f t="shared" ca="1" si="419"/>
        <v/>
      </c>
      <c r="CD165" s="259" t="str">
        <f t="shared" ca="1" si="370"/>
        <v>ACCANTONAMENTO PER IMPOSTE INDIRETTE</v>
      </c>
      <c r="CE165" s="259">
        <f ca="1">IF(IFERROR(MATCH(CD165,DENOMINAZIONE_GIORNALE,0),0)&gt;0,MAX(CE$2:CE164)+1,0)</f>
        <v>0</v>
      </c>
      <c r="CF165" s="259" t="str">
        <f ca="1">IFERROR(INDEX($CD$3:$CE$220,MATCH(ROWS($CF$3:CF165),$CE$3:$CE$220,0),1),"")</f>
        <v/>
      </c>
      <c r="CG165" s="259">
        <f t="shared" ca="1" si="371"/>
        <v>0</v>
      </c>
      <c r="CH165" s="259" t="str">
        <f ca="1">IF(IF(CG165&lt;&gt;0,MAX($CH$2:CH164)+1,0)=0,"",IF(CG165&lt;&gt;"",MAX($CH$2:CH164)+1,0))</f>
        <v/>
      </c>
      <c r="CI165" s="259" t="str">
        <f ca="1">IFERROR(INDEX($CF$3:$CG$220,MATCH(ROWS($CI$3:CI165),$CH$3:$CH$220,0),1),"")</f>
        <v/>
      </c>
      <c r="CJ165" s="259" t="str">
        <f t="shared" ca="1" si="420"/>
        <v/>
      </c>
      <c r="CK165" s="259" t="str">
        <f t="shared" ca="1" si="372"/>
        <v/>
      </c>
      <c r="CL165" s="259">
        <f ca="1">IF(IFERROR(MATCH(CK165,DENOMINAZIONE_GIORNALE,0),0)&gt;0,MAX(CL$2:CL164)+1,0)</f>
        <v>0</v>
      </c>
      <c r="CM165" s="259" t="str">
        <f ca="1">IFERROR(INDEX($CK$3:$CL$220,MATCH(ROWS($CM$3:CM165),$CL$3:$CL$220,0),1),"")</f>
        <v/>
      </c>
      <c r="CN165" s="259" t="str">
        <f t="shared" ca="1" si="373"/>
        <v/>
      </c>
      <c r="CO165" s="259">
        <f ca="1">IF(IF(CN165&lt;&gt;0,MAX($CO$2:CO164)+1,0)=0,"",IF(CN165&lt;&gt;"",MAX($CO$2:CO164)+1,0))</f>
        <v>0</v>
      </c>
      <c r="CP165" s="259" t="str">
        <f ca="1">IFERROR(INDEX($CM$3:$CN$220,MATCH(ROWS(CP$3:CP165),$CO$3:$CO$220,0),1),"")</f>
        <v/>
      </c>
      <c r="CQ165" s="259" t="str">
        <f ca="1">IFERROR(INDEX($CM$3:$CN$220,MATCH(ROWS(CQ$3:CQ165),$CO$3:$CO$220,0),2),"")</f>
        <v/>
      </c>
      <c r="CS165" s="259">
        <f t="shared" ca="1" si="374"/>
        <v>0</v>
      </c>
      <c r="CT165" s="259">
        <f t="shared" ca="1" si="375"/>
        <v>0</v>
      </c>
      <c r="CU165" s="259">
        <f ca="1">IF(OR(CS165&gt;0,CT165&gt;0),MAX($CU$2:CU164)+1,0)</f>
        <v>0</v>
      </c>
      <c r="CV165" s="259" t="str">
        <f ca="1">IFERROR(INDEX(PIANO_DEI_CONTI,MATCH(ROWS($CV$3:CV165),$CU$3:$CU$200,0),2),"")</f>
        <v/>
      </c>
      <c r="CW165" s="259">
        <f ca="1">IFERROR(IF(CV165&lt;&gt;"",MAX($CW$2:CW164)+1,0),0)</f>
        <v>0</v>
      </c>
      <c r="CX165" s="259">
        <f ca="1">$EA$12</f>
        <v>10</v>
      </c>
      <c r="CY165" s="259" t="str">
        <f t="shared" ca="1" si="469"/>
        <v>MASTRO</v>
      </c>
      <c r="DA165" s="259" t="str">
        <f ca="1">IF(CY164="MASTRO","Conto n.","")</f>
        <v>Conto n.</v>
      </c>
      <c r="DB165" s="259" t="str">
        <f ca="1">IF(CY165=0,"",INDEX(PIANO_DEI_CONTI,MATCH(DC165,DENOMINAZIONE,0),1))</f>
        <v/>
      </c>
      <c r="DC165" s="259" t="str">
        <f ca="1">IF(OR(CY165=0,CY165="mastro"),"",CY165)</f>
        <v/>
      </c>
      <c r="DD165" s="259" t="str">
        <f ca="1">IF(AND($DA$2=TRUE,OR(INDEX(PIANO_DEI_CONTI,MATCH($DC165,DENOMINAZIONE,0),4)="A",INDEX(PIANO_DEI_CONTI,MATCH($DC165,DENOMINAZIONE,0),4)="D/A"),SUMIFS(AVERE,DENOMINAZIONE_GIORNALE,"="&amp;$DC165)&gt;SUMIFS(DARE,DENOMINAZIONE_GIORNALE,"="&amp;$DC165)),CONCATENATE("s ",FIXED(ABS(SUMIFS(AVERE,DENOMINAZIONE_GIORNALE,"="&amp;$DC165)-SUMIFS(DARE,DENOMINAZIONE_GIORNALE,"="&amp;$DC165)),2)),"")</f>
        <v/>
      </c>
      <c r="DE165" s="259" t="str">
        <f ca="1">IF(AND($DA$2=TRUE,OR(INDEX(PIANO_DEI_CONTI,MATCH($DC165,DENOMINAZIONE,0),4)="D",INDEX(PIANO_DEI_CONTI,MATCH($DC165,DENOMINAZIONE,0),4)="D/A"),SUMIFS(DARE,DENOMINAZIONE_GIORNALE,"="&amp;$DC165)&gt;SUMIFS(AVERE,DENOMINAZIONE_GIORNALE,"="&amp;$DC165)),CONCATENATE("s ",FIXED(ABS(SUMIFS(DARE,DENOMINAZIONE_GIORNALE,"="&amp;$DC165)-SUMIFS(AVERE,DENOMINAZIONE_GIORNALE,"="&amp;$DC165)),2)),"")</f>
        <v/>
      </c>
      <c r="DF165" s="259">
        <f ca="1">IF(AND(CX165=$DE$2,$DF$2&lt;&gt;0),0,IF(AND(DB165&lt;&gt;"",OR(DB164&lt;&gt;"",DB166&lt;&gt;"")),MAX($DF$2:DF164)+1,0))</f>
        <v>0</v>
      </c>
      <c r="DG165" s="259" t="str">
        <f>IF(IF(LIBRO_GIORNALE!E73="","",IFERROR(INDEX(PIANO_DEI_CONTI,MATCH(BB165,DENOMINAZIONE,0),1),0))=0,"",IF(LIBRO_GIORNALE!E73="","",IFERROR(INDEX(PIANO_DEI_CONTI,MATCH(BB165,DENOMINAZIONE,0),1),0)))</f>
        <v/>
      </c>
      <c r="DH165" s="259">
        <f ca="1">IFERROR(IF($J$1=1,IF(INDEX(PIANO_DEI_CONTI,MATCH($K165,DENOMINAZIONE,0),5)=$DF$1,MAX($DH$2:DH164)+1,0),IF($J$1=2,IF(INDEX(PIANO_DEI_CONTI,MATCH($K165,DENOMINAZIONE,0),7)=$DF$1,MAX($DH$2:DH164)+1,0))),0)</f>
        <v>0</v>
      </c>
      <c r="DI165" s="259">
        <f ca="1">IFERROR(INDEX($K$3:$K$220,MATCH(ROWS($DI$3:DI165),$DH$3:$DH$220,0),1),0)</f>
        <v>0</v>
      </c>
      <c r="DJ165" s="259">
        <f t="shared" ca="1" si="381"/>
        <v>0</v>
      </c>
      <c r="DK165" s="259">
        <f ca="1">IF(DJ165=0,0,MAX(DK$2:DK164)+1)</f>
        <v>0</v>
      </c>
      <c r="DL165" s="259">
        <f ca="1">IFERROR(INDEX(PIANO_DEI_CONTI,MATCH(ROWS(DL$3:DL165),$DK$3:DK392,0),2),0)</f>
        <v>0</v>
      </c>
      <c r="DM165" s="259">
        <f t="shared" ca="1" si="382"/>
        <v>0</v>
      </c>
      <c r="DN165" s="259">
        <f t="shared" ca="1" si="383"/>
        <v>0</v>
      </c>
      <c r="DO165" s="259">
        <f t="shared" ca="1" si="422"/>
        <v>0</v>
      </c>
      <c r="DP165" s="259">
        <f t="shared" ca="1" si="423"/>
        <v>0</v>
      </c>
      <c r="DQ165" s="259">
        <f ca="1">IF(OR($DQ$1="TOTALI",$DQ$1="TOTALI ED ECCEDENZE"),IF(OR(DM165&gt;0,DN165&gt;0),MAX(DQ$2:DQ164)+1,0),IF($DQ$1="ECCEDENZE",IF(OR(DO165&gt;0,DP165&gt;0),MAX(DQ$2:DQ164)+1,0),""))</f>
        <v>0</v>
      </c>
      <c r="DR165" s="259" t="str">
        <f ca="1">IFERROR(INDEX($DL$3:$DQ$230,MATCH(ROWS(DR$3:DR165),$DQ$3:$DQ$230,0),1),"")</f>
        <v/>
      </c>
      <c r="DS165" s="259" t="str">
        <f t="shared" ca="1" si="424"/>
        <v/>
      </c>
      <c r="DT165" s="259" t="str">
        <f t="shared" ca="1" si="425"/>
        <v/>
      </c>
      <c r="DU165" s="259" t="str">
        <f t="shared" ca="1" si="426"/>
        <v/>
      </c>
      <c r="DV165" s="259" t="str">
        <f t="shared" ca="1" si="427"/>
        <v/>
      </c>
      <c r="DW165" s="259">
        <f t="shared" ca="1" si="428"/>
        <v>0</v>
      </c>
      <c r="DX165" s="259" t="str">
        <f t="shared" ca="1" si="429"/>
        <v/>
      </c>
      <c r="DY165" s="259" t="str">
        <f t="shared" ca="1" si="430"/>
        <v/>
      </c>
      <c r="DZ165" s="259" t="str">
        <f t="shared" ca="1" si="431"/>
        <v/>
      </c>
      <c r="EB165" s="259" t="s">
        <v>385</v>
      </c>
      <c r="ED165" s="259">
        <f t="shared" ca="1" si="384"/>
        <v>0</v>
      </c>
      <c r="EH165" s="259" t="str">
        <f t="shared" ca="1" si="432"/>
        <v/>
      </c>
      <c r="EI165" s="260" t="b">
        <f t="shared" ca="1" si="466"/>
        <v>0</v>
      </c>
      <c r="EJ165" s="260" t="b">
        <f t="shared" ca="1" si="467"/>
        <v>0</v>
      </c>
      <c r="EK165" s="260" t="b">
        <f t="shared" ca="1" si="468"/>
        <v>1</v>
      </c>
      <c r="EL165" s="259">
        <f t="shared" si="433"/>
        <v>163</v>
      </c>
      <c r="EM165" s="259">
        <f ca="1">IF(AND(BA165&gt;0,BA165&lt;=$EM$1),MAX($EM$2:EM164)+1,0)</f>
        <v>0</v>
      </c>
      <c r="EN165" s="259">
        <f t="shared" ca="1" si="434"/>
        <v>165</v>
      </c>
      <c r="EP165" s="259" t="str">
        <f t="shared" ca="1" si="385"/>
        <v/>
      </c>
      <c r="EQ165" s="259">
        <f t="shared" ca="1" si="386"/>
        <v>0</v>
      </c>
      <c r="ER165" s="259">
        <f ca="1">IF(ISNA(EQ165),MAX(ER$2:ER164)+1,0)</f>
        <v>0</v>
      </c>
      <c r="ES165" s="259" t="str">
        <f t="shared" ca="1" si="435"/>
        <v/>
      </c>
      <c r="ET165" s="259" t="str">
        <f ca="1">IFERROR(UPPER(INDEX($ER$3:$ES$500,MATCH(ROWS(ET$3:ET165),$ER$3:$ER$500,0),2)),"")</f>
        <v/>
      </c>
      <c r="EW165" s="259">
        <f t="shared" ca="1" si="344"/>
        <v>1</v>
      </c>
      <c r="EX165" s="259">
        <v>63</v>
      </c>
      <c r="EY165" s="259">
        <f t="shared" ca="1" si="345"/>
        <v>0</v>
      </c>
      <c r="EZ165" s="259">
        <f t="shared" ca="1" si="346"/>
        <v>0</v>
      </c>
      <c r="FA165" s="259">
        <f t="shared" ca="1" si="347"/>
        <v>0</v>
      </c>
      <c r="FB165" s="259">
        <f t="shared" ca="1" si="348"/>
        <v>0</v>
      </c>
      <c r="FC165" s="259">
        <f t="shared" ca="1" si="349"/>
        <v>0</v>
      </c>
      <c r="FD165" s="259">
        <f t="shared" ca="1" si="387"/>
        <v>0</v>
      </c>
      <c r="FE165" s="259" t="str">
        <f t="shared" ca="1" si="388"/>
        <v/>
      </c>
      <c r="FF165" s="259" t="str">
        <f t="shared" ca="1" si="350"/>
        <v/>
      </c>
      <c r="FM165" s="259">
        <f t="shared" ca="1" si="389"/>
        <v>0</v>
      </c>
      <c r="FN165" s="259">
        <f ca="1">IF(FM165&lt;0,MAX($FN$2:FN164)+1,0)</f>
        <v>0</v>
      </c>
      <c r="FO165" s="259" t="str">
        <f t="shared" ca="1" si="436"/>
        <v/>
      </c>
      <c r="FP165" s="259" t="str">
        <f ca="1">IFERROR(INDEX($FN$3:$FO$400,MATCH(ROWS($FP$3:FP165),$FN$3:$FN$400,0),2),"")</f>
        <v/>
      </c>
      <c r="FQ165" s="259" t="str">
        <f>IF(AE165="SE AVERE",MAX($FQ$2:FQ164)+1,"")</f>
        <v/>
      </c>
      <c r="FR165" s="259">
        <f>IF(AE165="SE DARE",MAX($FR$2:FR164)+1,"")</f>
        <v>68</v>
      </c>
      <c r="FS165" s="259" t="str">
        <f ca="1">IF(AND(AE165="SP DARE",AA165&lt;&gt;$FS$1,AA165&lt;&gt;$FT$1),MAX($FS$2:FS164)+1,IF(AND(GQ165="SP DARE",AA165&lt;&gt;$FS$1,AA165&lt;&gt;$FT$1),MAX($FS$2:FS164)+1,""))</f>
        <v/>
      </c>
      <c r="FT165" s="259" t="str">
        <f ca="1">IF(AND(AE165="SP AVERE",AA165&lt;&gt;$FU$1),MAX($FT$2:FT164)+1,IF(AND(GQ165="SP AVERE",AA165&lt;&gt;$FU$1),MAX($FT$2:FT164)+1,""))</f>
        <v/>
      </c>
      <c r="FU165" s="259">
        <f t="shared" ca="1" si="437"/>
        <v>68</v>
      </c>
      <c r="FV165" s="259" t="str">
        <f t="shared" si="438"/>
        <v>ACCANTONAMENTO PER IMPOSTE INDIRETTE</v>
      </c>
      <c r="FW165" s="259" t="str">
        <f ca="1">IFERROR(INDEX($FU$3:$FV$500,MATCH(ROWS($FW$3:FW165),$FU$3:$FU$500,0),2),0)</f>
        <v>DEBITI PER IVA</v>
      </c>
      <c r="FX165" s="259">
        <f t="shared" ca="1" si="439"/>
        <v>163</v>
      </c>
      <c r="FY165" s="259">
        <f t="shared" ca="1" si="440"/>
        <v>0</v>
      </c>
      <c r="FZ165" s="259">
        <f ca="1">IF(FY165&gt;0,MAX($FZ$2:FZ164)+1,0)</f>
        <v>0</v>
      </c>
      <c r="GA165" s="259">
        <f ca="1">IFERROR(INDEX($FY$3:$FZ$500,MATCH(ROWS($GA$3:GA165),$FZ$3:$FZ$500,0),1),0)</f>
        <v>0</v>
      </c>
      <c r="GC165" s="259">
        <f t="shared" ca="1" si="441"/>
        <v>163</v>
      </c>
      <c r="GD165" s="259" t="str">
        <f t="shared" ca="1" si="442"/>
        <v>DEBITI PER IVA</v>
      </c>
      <c r="GG165" s="259">
        <f t="shared" ca="1" si="443"/>
        <v>0</v>
      </c>
      <c r="GH165" s="259">
        <f t="shared" ca="1" si="444"/>
        <v>0</v>
      </c>
      <c r="GI165" s="259">
        <f t="shared" ca="1" si="445"/>
        <v>0</v>
      </c>
      <c r="GJ165" s="259">
        <f t="shared" ca="1" si="446"/>
        <v>0</v>
      </c>
      <c r="GK165" s="259">
        <f t="shared" ca="1" si="447"/>
        <v>0</v>
      </c>
      <c r="GL165" s="259">
        <f t="shared" ca="1" si="447"/>
        <v>0</v>
      </c>
      <c r="GM165" s="259">
        <f ca="1">IF(OR(GK165&gt;0,GL165&gt;0),MAX($GM$2:GM164)+1,0)</f>
        <v>0</v>
      </c>
      <c r="GN165" s="259" t="str">
        <f ca="1">IFERROR(INDEX($GD$3:$GM$400,MATCH(ROWS($GN$3:GN165),$GM$3:$GM$400,0),1),"")</f>
        <v/>
      </c>
      <c r="GO165" s="259" t="str">
        <f ca="1">IFERROR(INDEX($GD$3:$GM$400,MATCH(ROWS($GO$3:GO165),$GM$3:$GM$400,0),8),"")</f>
        <v/>
      </c>
      <c r="GP165" s="259" t="str">
        <f ca="1">IFERROR(INDEX($GD$3:$GM$400,MATCH(ROWS($GP$3:GP165),$GM$3:$GM$400,0),9),"")</f>
        <v/>
      </c>
      <c r="GQ165" s="259">
        <f t="shared" ca="1" si="390"/>
        <v>0</v>
      </c>
      <c r="GR165" s="259">
        <f t="shared" ca="1" si="448"/>
        <v>0</v>
      </c>
      <c r="GS165" s="259" t="str">
        <f t="shared" ca="1" si="449"/>
        <v>chiusura del conto</v>
      </c>
      <c r="GT165" s="259" t="str">
        <f ca="1">IFERROR(INDEX($GD$3:$GS$400,MATCH(ROWS($GT$3:GT165),$GM$3:$GM$400,0),16),"")</f>
        <v/>
      </c>
      <c r="GU165" s="259">
        <f ca="1">IF(GQ165&lt;&gt;0,MAX($GU$2:$GU164)+1,0)</f>
        <v>0</v>
      </c>
      <c r="GV165" s="259">
        <f t="shared" ca="1" si="450"/>
        <v>0</v>
      </c>
      <c r="GW165" s="259" t="str">
        <f ca="1">IF(AND(IFERROR(INDEX($GU$3:$GV$400,MATCH(ROWS($GW$3:GW165),$GU$3:$GU$400,0),2),"")&lt;&gt;"",GW166&lt;&gt;""),CONCATENATE(IFERROR(INDEX($GU$3:$GV$400,MATCH(ROWS($GW$3:GW165),$GU$3:$GU$400,0),2),"")," - "),IFERROR(INDEX($GU$3:$GV$400,MATCH(ROWS($GW$3:GW165),$GU$3:$GU$400,0),2),""))</f>
        <v/>
      </c>
      <c r="GX165" s="259">
        <f ca="1">IF(OR(GN165="IVA NS/CREDITO",GN165="IVA NS/DEBITO",GN165="IVA C/ACCONTO",GN165="IMPOSTE C/ACCONTO"),MAX($GX$2:GX164)+1,0)</f>
        <v>0</v>
      </c>
      <c r="GY165" s="259" t="str">
        <f ca="1">IF(AND(IFERROR(INDEX($GN$3:$GX$200,MATCH(ROWS($GY$3:GY165),$GX$3:$GX$200,0),1),"")&lt;&gt;"",GY166&lt;&gt;""),CONCATENATE(IFERROR(INDEX($GN$3:$GX$200,MATCH(ROWS($GY$3:GY165),$GX$3:$GX$200,0),1),"")," - "),IFERROR(INDEX($GN$3:$GX$200,MATCH(ROWS($GY$3:GY165),$GX$3:$GX$200,0),1),""))</f>
        <v/>
      </c>
      <c r="GZ165" s="279" t="s">
        <v>175</v>
      </c>
      <c r="HA165" s="259" t="s">
        <v>172</v>
      </c>
      <c r="HB165" s="269" t="s">
        <v>256</v>
      </c>
      <c r="HC165" s="269" t="s">
        <v>276</v>
      </c>
      <c r="HD165" s="269" t="s">
        <v>7</v>
      </c>
      <c r="HE165" s="269" t="s">
        <v>214</v>
      </c>
      <c r="HV165" s="259" t="str">
        <f ca="1">CONCATENATE(IFERROR(INDEX($HS$3:$HT$102,MATCH(ROWS($HV$3:HV165),$HT$3:$HT$102,0),1),""),HR165)</f>
        <v/>
      </c>
      <c r="IC165" s="259">
        <f ca="1">IFERROR(INDEX(PIANO_DEI_CONTI,MATCH(ROWS(DL$3:DL165),$DK$3:DK392,0),2),0)</f>
        <v>0</v>
      </c>
      <c r="ID165" s="259">
        <f t="shared" ca="1" si="451"/>
        <v>0</v>
      </c>
      <c r="IE165" s="259">
        <f t="shared" ca="1" si="452"/>
        <v>0</v>
      </c>
      <c r="IF165" s="259">
        <f t="shared" ca="1" si="453"/>
        <v>0</v>
      </c>
      <c r="IG165" s="259">
        <f t="shared" ca="1" si="479"/>
        <v>0</v>
      </c>
      <c r="IH165" s="259">
        <f ca="1">IF(IG165&lt;&gt;0,MAX($IH$35:IH164)+1,0)</f>
        <v>0</v>
      </c>
      <c r="II165" s="259">
        <f>IF(AD165="costi pluriennali",MAX($II$2:II164)+1,0)</f>
        <v>0</v>
      </c>
      <c r="IJ165" s="259">
        <f>IF($AD165="rettifiche costi pluriennali",MAX($IJ$2:IJ164)+1,0)</f>
        <v>0</v>
      </c>
      <c r="IK165" s="259">
        <f t="shared" si="454"/>
        <v>0</v>
      </c>
      <c r="IL165" s="259" t="str">
        <f t="shared" si="455"/>
        <v/>
      </c>
      <c r="IM165" s="259">
        <f t="shared" ca="1" si="456"/>
        <v>0</v>
      </c>
      <c r="IN165" s="259">
        <f t="shared" ca="1" si="470"/>
        <v>0</v>
      </c>
      <c r="IO165" s="259">
        <f>SUMIFS($IM$3:$IM$200,$IK$3:$IK$200,ROWS($IO$3:IO165))-SUMIFS($IN$3:$IN$200,$IK$3:$IK$200,ROWS($IO$3:IO165))</f>
        <v>0</v>
      </c>
      <c r="IP165" s="259" t="str">
        <f>IF(IO165&lt;0,INDEX($IJ$3:$IL$200,MATCH(ROWS($IP$3:IP165),$IJ$3:$IJ$200,0),3),"")</f>
        <v/>
      </c>
      <c r="IQ165" s="259">
        <f>IF(IP165&lt;&gt;"",MAX($IQ$2:IQ164)+1,0)</f>
        <v>0</v>
      </c>
      <c r="IR165" s="259" t="str">
        <f ca="1">IFERROR(INDEX($IP$3:$IQ$200,MATCH(ROWS($IR$3:IR165),$IQ$3:$IQ$200,0),1),"")</f>
        <v/>
      </c>
      <c r="IS165" s="259" t="str">
        <f t="shared" ca="1" si="457"/>
        <v/>
      </c>
      <c r="IT165" s="259" t="str">
        <f t="shared" ca="1" si="458"/>
        <v/>
      </c>
      <c r="IU165" s="259" t="str">
        <f t="shared" ca="1" si="459"/>
        <v/>
      </c>
      <c r="IV165" s="259" t="str">
        <f t="shared" ca="1" si="460"/>
        <v/>
      </c>
      <c r="IW165" s="259" t="str">
        <f t="shared" ca="1" si="461"/>
        <v/>
      </c>
      <c r="IX165" s="259" t="str">
        <f t="shared" ca="1" si="462"/>
        <v/>
      </c>
      <c r="IY165" s="259" t="str">
        <f t="shared" ca="1" si="463"/>
        <v/>
      </c>
      <c r="IZ165" s="259" t="str">
        <f t="shared" ca="1" si="464"/>
        <v/>
      </c>
      <c r="JA165" s="259" t="str">
        <f t="shared" ca="1" si="465"/>
        <v/>
      </c>
      <c r="JB165" s="259">
        <f t="shared" ca="1" si="391"/>
        <v>0</v>
      </c>
      <c r="JC165" s="259">
        <f t="shared" ca="1" si="351"/>
        <v>0</v>
      </c>
      <c r="JD165" s="259">
        <f t="shared" ca="1" si="352"/>
        <v>0</v>
      </c>
      <c r="JM165" s="259">
        <f t="shared" ca="1" si="353"/>
        <v>0</v>
      </c>
    </row>
    <row r="166" spans="1:273">
      <c r="A166" s="259" t="str">
        <f t="shared" si="392"/>
        <v>34.00</v>
      </c>
      <c r="B166" s="259" t="str">
        <f t="shared" si="393"/>
        <v>AMMORTAMENTI IMMOBILIZZAZIONI IMMATERIALI</v>
      </c>
      <c r="C166" s="259">
        <f t="shared" si="394"/>
        <v>0</v>
      </c>
      <c r="D166" s="259">
        <f t="shared" si="395"/>
        <v>0</v>
      </c>
      <c r="E166" s="259">
        <f t="shared" si="396"/>
        <v>0</v>
      </c>
      <c r="F166" s="259">
        <f t="shared" si="397"/>
        <v>0</v>
      </c>
      <c r="G166" s="259">
        <f t="shared" ca="1" si="398"/>
        <v>0</v>
      </c>
      <c r="H166" s="259">
        <f t="shared" ca="1" si="399"/>
        <v>0</v>
      </c>
      <c r="I166" s="259">
        <f t="shared" ca="1" si="400"/>
        <v>0</v>
      </c>
      <c r="K166" s="259" t="str">
        <f ca="1">IFERROR(IF($I$1=1,INDEX($AA$3:$AS$220,MATCH(ROWS($K$3:K166),$AQ$3:$AQ$220,0),1),IF($I$1=2,INDEX($AA$3:$AS$220,MATCH(ROWS($K$3:K166),$AR$3:$AR$220,0),1),IF($I$1=3,INDEX($AA$3:$AS$220,MATCH(ROWS($K$3:K166),$AS$3:$AS$220,0),1),""))),"")</f>
        <v>INTERESSI ATTIVI BANCARI</v>
      </c>
      <c r="L166" s="259">
        <f ca="1">IF(AND($L$1="VISUALIZZA TUTTI I CONTI",K166&lt;&gt;""),MAX(L165:L165)+1,IFERROR(IF($J$1=1,IF(INDEX(PIANO_DEI_CONTI,MATCH($K166,DENOMINAZIONE,0),5)=$L$1,MAX($L$2:L165)+1,0),IF($J$1=2,IF(INDEX(PIANO_DEI_CONTI,MATCH($K166,DENOMINAZIONE,0),7)=$L$1,MAX($L$2:L165)+1,0))),0))</f>
        <v>164</v>
      </c>
      <c r="M166" s="259" t="str">
        <f ca="1">IFERROR(INDEX($K$3:$K$220,MATCH(ROWS($M$3:M166),$L$3:$L$220,0),1),"")</f>
        <v>INTERESSI ATTIVI BANCARI</v>
      </c>
      <c r="R166" s="259" t="str">
        <f t="shared" ca="1" si="366"/>
        <v/>
      </c>
      <c r="S166" s="259">
        <f ca="1">IF(IFERROR(MATCH(R166,DENOMINAZIONE_GIORNALE,0),0)&gt;0,MAX(S$2:S165)+1,0)</f>
        <v>0</v>
      </c>
      <c r="T166" s="259" t="str">
        <f ca="1">IFERROR(INDEX($R$3:$S$220,MATCH(ROWS($T$3:T166),$S$3:$S$220,0),1),"")</f>
        <v/>
      </c>
      <c r="U166" s="259">
        <f t="shared" ca="1" si="367"/>
        <v>0</v>
      </c>
      <c r="V166" s="259">
        <f ca="1">IF(IF(U166&lt;&gt;0,MAX($V$2:V165)+1,0)=0,0,IF(U166&lt;&gt;0,MAX($V$2:V165)+1,0))</f>
        <v>0</v>
      </c>
      <c r="W166" s="259" t="str">
        <f t="shared" si="401"/>
        <v/>
      </c>
      <c r="X166" s="259" t="str">
        <f t="shared" si="402"/>
        <v/>
      </c>
      <c r="Y166" s="259">
        <f>IF(W166="",0,MAX($Y$2:Y165)+1)</f>
        <v>0</v>
      </c>
      <c r="Z166" s="259" t="str">
        <f>IFERROR(INDEX($W$3:$Y$220,MATCH(ROWS($Z$2:Z165),$Y$3:$Y$220,0),1),"")</f>
        <v>39.10</v>
      </c>
      <c r="AA166" s="259" t="str">
        <f t="shared" si="403"/>
        <v>MINUSVALENZE</v>
      </c>
      <c r="AB166" s="259" t="str">
        <f t="shared" si="404"/>
        <v>E</v>
      </c>
      <c r="AC166" s="259" t="str">
        <f t="shared" si="405"/>
        <v>D</v>
      </c>
      <c r="AD166" s="259" t="str">
        <f t="shared" si="406"/>
        <v>COSTI D'ESERCIZIO</v>
      </c>
      <c r="AE166" s="259" t="str">
        <f t="shared" si="407"/>
        <v>SE DARE</v>
      </c>
      <c r="AF166" s="259" t="str">
        <f t="shared" si="408"/>
        <v>ONERI DIVERSI</v>
      </c>
      <c r="AG166" s="259">
        <f t="shared" ca="1" si="409"/>
        <v>0</v>
      </c>
      <c r="AH166" s="259">
        <f t="shared" ca="1" si="410"/>
        <v>1</v>
      </c>
      <c r="AI166" s="259">
        <f t="shared" ca="1" si="411"/>
        <v>1</v>
      </c>
      <c r="AJ166" s="259" t="str">
        <f t="shared" si="412"/>
        <v>39</v>
      </c>
      <c r="AK166" s="259" t="str">
        <f t="shared" si="413"/>
        <v>34</v>
      </c>
      <c r="AL166" s="259">
        <f>IF(AK166&lt;&gt;"",MAX($AL$2:AL165)+1,0)</f>
        <v>23</v>
      </c>
      <c r="AM166" s="259" t="str">
        <f>IFERROR(INDEX($AK$3:$AL$220,MATCH(ROWS($AM$3:AM166),$AL$3:$AL$220,0),1),"")</f>
        <v/>
      </c>
      <c r="AN166" s="259" t="str">
        <f t="shared" si="414"/>
        <v/>
      </c>
      <c r="AO166" s="259" t="str">
        <f t="shared" si="415"/>
        <v/>
      </c>
      <c r="AP166" s="259" t="str">
        <f t="shared" si="416"/>
        <v>ONERI DIVERSI</v>
      </c>
      <c r="AQ166" s="259">
        <f ca="1">IF(OR(AG166=0,AG166=""),0,MAX(AQ$2:AQ165)+1)</f>
        <v>0</v>
      </c>
      <c r="AR166" s="259">
        <f ca="1">IF(OR(AH166=0,AH166=""),0,MAX(AR$2:AR165)+1)</f>
        <v>110</v>
      </c>
      <c r="AS166" s="259">
        <f ca="1">IF(OR(AI166=0,AI166=""),0,MAX(AS$2:AS165)+1)</f>
        <v>160</v>
      </c>
      <c r="AT166" s="259" t="str">
        <f ca="1">IFERROR(INDEX($AD$3:$AS$220,MATCH(ROWS(AT$3:AT166),AQ$3:AQ$220,0),1),"")</f>
        <v/>
      </c>
      <c r="AU166" s="259" t="str">
        <f ca="1">IFERROR(INDEX($AD$3:$AS$220,MATCH(ROWS(AU$3:AU166),AR$3:AR$220,0),1),"")</f>
        <v/>
      </c>
      <c r="AV166" s="259" t="str">
        <f ca="1">IFERROR(INDEX($AD$3:$AS$220,MATCH(ROWS(AV$3:AV166),AS$3:AS$220,0),1),"")</f>
        <v>RICAVI D'ESERCIZIO</v>
      </c>
      <c r="AW166" s="259" t="str">
        <f ca="1">IFERROR(INDEX($AP$3:$AS$220,MATCH(ROWS(AW$3:AW166),AQ$3:AQ$220,0),1),"")</f>
        <v/>
      </c>
      <c r="AX166" s="259" t="str">
        <f ca="1">IFERROR(INDEX($AP$3:$AS$220,MATCH(ROWS(AX$3:AX166),AR$3:AR$220,0),1),"")</f>
        <v/>
      </c>
      <c r="AY166" s="259" t="str">
        <f ca="1">IFERROR(INDEX($AP$3:$AS$220,MATCH(ROWS(AY$3:AY166),AS$3:AS$220,0),1),"")</f>
        <v>PROVENTI FINANZIARI</v>
      </c>
      <c r="AZ166" s="259" t="str">
        <f t="shared" si="339"/>
        <v>64 V.I.</v>
      </c>
      <c r="BA166" s="259">
        <f t="shared" ca="1" si="338"/>
        <v>0</v>
      </c>
      <c r="BB166" s="259">
        <f t="shared" ca="1" si="340"/>
        <v>0</v>
      </c>
      <c r="BC166" s="259">
        <f t="shared" ca="1" si="341"/>
        <v>0</v>
      </c>
      <c r="BD166" s="259">
        <f t="shared" ca="1" si="342"/>
        <v>0</v>
      </c>
      <c r="BE166" s="259">
        <f t="shared" ca="1" si="343"/>
        <v>0</v>
      </c>
      <c r="BG166" s="259" t="str">
        <f t="shared" ca="1" si="368"/>
        <v/>
      </c>
      <c r="BH166" s="259">
        <f ca="1">IF(IFERROR(MATCH(BG166,DENOMINAZIONE_GIORNALE,0),0)&gt;0,MAX(BH$2:BH165)+1,0)</f>
        <v>0</v>
      </c>
      <c r="BI166" s="259" t="str">
        <f ca="1">IFERROR(INDEX($BG$3:$BH$220,MATCH(ROWS($BI$3:BI166),$BH$3:$BH$220,0),1),"")</f>
        <v/>
      </c>
      <c r="BJ166" s="259" t="str">
        <f t="shared" ca="1" si="369"/>
        <v/>
      </c>
      <c r="BK166" s="259" t="str">
        <f ca="1">IF(IF(BJ166&lt;&gt;"",MAX($BK$2:BK165)+1,0)=0,"",IF(BJ166&lt;&gt;"",MAX($BK$2:BK165)+1,0))</f>
        <v/>
      </c>
      <c r="BL166" s="259" t="str">
        <f ca="1">IFERROR(INDEX($T$3:$U$220, MATCH(ROWS(BL$3:BL166),$V$3:$V$220,0),1),"")</f>
        <v/>
      </c>
      <c r="BM166" s="259" t="str">
        <f ca="1">IFERROR(INDEX($T$3:$U$220, MATCH(ROWS(BM$3:BM166),$V$3:$V$220,0),2),"")</f>
        <v/>
      </c>
      <c r="BN166" s="259" t="str">
        <f ca="1">IF(IFERROR(INDEX($BI$3:$BJ$220,MATCH(ROWS(BN$3:BN166),$BK$3:$BK$220,0),1),"")="PATRIMONIO NETTO","",IFERROR(INDEX($BI$3:$BJ$220,MATCH(ROWS(BN$3:BN166),$BK$3:$BK$220,0),1),""))</f>
        <v/>
      </c>
      <c r="BO166" s="259" t="str">
        <f ca="1">IFERROR(INDEX($BI$3:$BJ$220,MATCH(ROWS(BO$3:BO166),$BK$3:$BK$220,0),2),"")</f>
        <v/>
      </c>
      <c r="BP166" s="259">
        <f ca="1">IF(BN166&lt;&gt;"",MAX(BP$2:$BP165)+1,0)</f>
        <v>0</v>
      </c>
      <c r="BQ166" s="259" t="str">
        <f ca="1">IFERROR(INDEX($BN$3:$BO$200,MATCH(ROWS(BQ$3:BQ166),$BP$3:$BP$220,0),1),"")</f>
        <v/>
      </c>
      <c r="BR166" s="259" t="str">
        <f ca="1">IFERROR(INDEX($BN$3:$BO$220,MATCH(ROWS(BR$3:BR166),$BP$3:$BP$220,0),2),"")</f>
        <v/>
      </c>
      <c r="BS166" s="259" t="str">
        <f ca="1">IFERROR(IF(OR(INDEX($T$3:$U$220,MATCH(ROWS(BL$3:BL166),$V$3:$V$220,0),1)="PRELEVAMENTI EXTRAGESTIONE",INDEX($T$3:$U$220,MATCH(ROWS(BL$3:BL166),$V$3:$V$220,0),1)="TITOLARE C/RITENUTE SUBITE"),"",INDEX($T$3:$U$220,MATCH(ROWS(BL$3:BL166),$V$3:$V$220,0),1)),"")</f>
        <v/>
      </c>
      <c r="BT166" s="259">
        <f t="shared" ca="1" si="417"/>
        <v>0</v>
      </c>
      <c r="BU166" s="259">
        <f ca="1">IF(BS166&lt;&gt;"",MAX(BU$2:BU165)+1,0)</f>
        <v>0</v>
      </c>
      <c r="BV166" s="259" t="str">
        <f ca="1">IFERROR(INDEX($BS$3:$BT$223,MATCH(ROWS(BV$3:BV166),$BU$3:$BU$223,0),1),"")</f>
        <v/>
      </c>
      <c r="BW166" s="259">
        <f t="shared" ca="1" si="418"/>
        <v>0</v>
      </c>
      <c r="CB166" s="259" t="str">
        <f ca="1">IFERROR(IF(OR($BB$1&lt;&gt;$BD$1,$BC$1&lt;&gt;$BE$1,$DS$231&lt;&gt;$DT$231,$DU$231&lt;&gt;$DV$231,$EO$25&lt;&gt;0,$EO$26&lt;&gt;0),INDEX($BI$3:$BK$220,MATCH(ROWS($CB$3:CB166),$BK$3:$BK$220,0),1),CONCATENATE(BQ166,BX166)),"")</f>
        <v/>
      </c>
      <c r="CC166" s="259" t="str">
        <f t="shared" ca="1" si="419"/>
        <v/>
      </c>
      <c r="CD166" s="259" t="str">
        <f t="shared" ca="1" si="370"/>
        <v>MINUSVALENZE</v>
      </c>
      <c r="CE166" s="259">
        <f ca="1">IF(IFERROR(MATCH(CD166,DENOMINAZIONE_GIORNALE,0),0)&gt;0,MAX(CE$2:CE165)+1,0)</f>
        <v>0</v>
      </c>
      <c r="CF166" s="259" t="str">
        <f ca="1">IFERROR(INDEX($CD$3:$CE$220,MATCH(ROWS($CF$3:CF166),$CE$3:$CE$220,0),1),"")</f>
        <v/>
      </c>
      <c r="CG166" s="259">
        <f t="shared" ca="1" si="371"/>
        <v>0</v>
      </c>
      <c r="CH166" s="259" t="str">
        <f ca="1">IF(IF(CG166&lt;&gt;0,MAX($CH$2:CH165)+1,0)=0,"",IF(CG166&lt;&gt;"",MAX($CH$2:CH165)+1,0))</f>
        <v/>
      </c>
      <c r="CI166" s="259" t="str">
        <f ca="1">IFERROR(INDEX($CF$3:$CG$220,MATCH(ROWS($CI$3:CI166),$CH$3:$CH$220,0),1),"")</f>
        <v/>
      </c>
      <c r="CJ166" s="259" t="str">
        <f t="shared" ca="1" si="420"/>
        <v/>
      </c>
      <c r="CK166" s="259" t="str">
        <f t="shared" ca="1" si="372"/>
        <v/>
      </c>
      <c r="CL166" s="259">
        <f ca="1">IF(IFERROR(MATCH(CK166,DENOMINAZIONE_GIORNALE,0),0)&gt;0,MAX(CL$2:CL165)+1,0)</f>
        <v>0</v>
      </c>
      <c r="CM166" s="259" t="str">
        <f ca="1">IFERROR(INDEX($CK$3:$CL$220,MATCH(ROWS($CM$3:CM166),$CL$3:$CL$220,0),1),"")</f>
        <v/>
      </c>
      <c r="CN166" s="259" t="str">
        <f t="shared" ca="1" si="373"/>
        <v/>
      </c>
      <c r="CO166" s="259">
        <f ca="1">IF(IF(CN166&lt;&gt;0,MAX($CO$2:CO165)+1,0)=0,"",IF(CN166&lt;&gt;"",MAX($CO$2:CO165)+1,0))</f>
        <v>0</v>
      </c>
      <c r="CP166" s="259" t="str">
        <f ca="1">IFERROR(INDEX($CM$3:$CN$220,MATCH(ROWS(CP$3:CP166),$CO$3:$CO$220,0),1),"")</f>
        <v/>
      </c>
      <c r="CQ166" s="259" t="str">
        <f ca="1">IFERROR(INDEX($CM$3:$CN$220,MATCH(ROWS(CQ$3:CQ166),$CO$3:$CO$220,0),2),"")</f>
        <v/>
      </c>
      <c r="CS166" s="259">
        <f t="shared" ca="1" si="374"/>
        <v>0</v>
      </c>
      <c r="CT166" s="259">
        <f t="shared" ca="1" si="375"/>
        <v>0</v>
      </c>
      <c r="CU166" s="259">
        <f ca="1">IF(OR(CS166&gt;0,CT166&gt;0),MAX($CU$2:CU165)+1,0)</f>
        <v>0</v>
      </c>
      <c r="CV166" s="259" t="str">
        <f ca="1">IFERROR(INDEX(PIANO_DEI_CONTI,MATCH(ROWS($CV$3:CV166),$CU$3:$CU$200,0),2),"")</f>
        <v/>
      </c>
      <c r="CW166" s="259">
        <f ca="1">IFERROR(IF(CV166&lt;&gt;"",MAX($CW$2:CW165)+1,0),0)</f>
        <v>0</v>
      </c>
      <c r="CX166" s="259">
        <f t="shared" ref="CX166:CX181" ca="1" si="482">$EA$12</f>
        <v>10</v>
      </c>
      <c r="CY166" s="259" t="str">
        <f t="shared" ca="1" si="469"/>
        <v>MASTRO</v>
      </c>
      <c r="DA166" s="259" t="str">
        <f ca="1">IF(DB165="","","Num. riga")</f>
        <v/>
      </c>
      <c r="DB166" s="259" t="str">
        <f t="shared" ref="DB166" ca="1" si="483">IF(DB165="","","Data")</f>
        <v/>
      </c>
      <c r="DC166" s="259" t="str">
        <f ca="1">IF(DB165="","","Operazioni")</f>
        <v/>
      </c>
      <c r="DD166" s="259" t="str">
        <f ca="1">IF(DB165="","","Dare        ")</f>
        <v/>
      </c>
      <c r="DE166" s="259" t="str">
        <f ca="1">IF(DB165="","","Avere        ")</f>
        <v/>
      </c>
      <c r="DF166" s="259">
        <f ca="1">IF(AND(CX166=$DE$2,$DF$2&lt;&gt;0),0,IF(AND(DB166&lt;&gt;"",OR(DB165&lt;&gt;"",DB167&lt;&gt;"")),MAX($DF$2:DF165)+1,0))</f>
        <v>0</v>
      </c>
      <c r="DG166" s="259" t="str">
        <f>IF(IF(LIBRO_GIORNALE!E74="","",IFERROR(INDEX(PIANO_DEI_CONTI,MATCH(BB166,DENOMINAZIONE,0),1),0))=0,"",IF(LIBRO_GIORNALE!E74="","",IFERROR(INDEX(PIANO_DEI_CONTI,MATCH(BB166,DENOMINAZIONE,0),1),0)))</f>
        <v/>
      </c>
      <c r="DH166" s="259">
        <f ca="1">IFERROR(IF($J$1=1,IF(INDEX(PIANO_DEI_CONTI,MATCH($K166,DENOMINAZIONE,0),5)=$DF$1,MAX($DH$2:DH165)+1,0),IF($J$1=2,IF(INDEX(PIANO_DEI_CONTI,MATCH($K166,DENOMINAZIONE,0),7)=$DF$1,MAX($DH$2:DH165)+1,0))),0)</f>
        <v>0</v>
      </c>
      <c r="DI166" s="259">
        <f ca="1">IFERROR(INDEX($K$3:$K$220,MATCH(ROWS($DI$3:DI166),$DH$3:$DH$220,0),1),0)</f>
        <v>0</v>
      </c>
      <c r="DJ166" s="259">
        <f t="shared" ca="1" si="381"/>
        <v>0</v>
      </c>
      <c r="DK166" s="259">
        <f ca="1">IF(DJ166=0,0,MAX(DK$2:DK165)+1)</f>
        <v>0</v>
      </c>
      <c r="DL166" s="259">
        <f ca="1">IFERROR(INDEX(PIANO_DEI_CONTI,MATCH(ROWS(DL$3:DL166),$DK$3:DK393,0),2),0)</f>
        <v>0</v>
      </c>
      <c r="DM166" s="259">
        <f t="shared" ca="1" si="382"/>
        <v>0</v>
      </c>
      <c r="DN166" s="259">
        <f t="shared" ca="1" si="383"/>
        <v>0</v>
      </c>
      <c r="DO166" s="259">
        <f t="shared" ca="1" si="422"/>
        <v>0</v>
      </c>
      <c r="DP166" s="259">
        <f t="shared" ca="1" si="423"/>
        <v>0</v>
      </c>
      <c r="DQ166" s="259">
        <f ca="1">IF(OR($DQ$1="TOTALI",$DQ$1="TOTALI ED ECCEDENZE"),IF(OR(DM166&gt;0,DN166&gt;0),MAX(DQ$2:DQ165)+1,0),IF($DQ$1="ECCEDENZE",IF(OR(DO166&gt;0,DP166&gt;0),MAX(DQ$2:DQ165)+1,0),""))</f>
        <v>0</v>
      </c>
      <c r="DR166" s="259" t="str">
        <f ca="1">IFERROR(INDEX($DL$3:$DQ$230,MATCH(ROWS(DR$3:DR166),$DQ$3:$DQ$230,0),1),"")</f>
        <v/>
      </c>
      <c r="DS166" s="259" t="str">
        <f t="shared" ca="1" si="424"/>
        <v/>
      </c>
      <c r="DT166" s="259" t="str">
        <f t="shared" ca="1" si="425"/>
        <v/>
      </c>
      <c r="DU166" s="259" t="str">
        <f t="shared" ca="1" si="426"/>
        <v/>
      </c>
      <c r="DV166" s="259" t="str">
        <f t="shared" ca="1" si="427"/>
        <v/>
      </c>
      <c r="DW166" s="259">
        <f t="shared" ca="1" si="428"/>
        <v>0</v>
      </c>
      <c r="DX166" s="259" t="str">
        <f t="shared" ca="1" si="429"/>
        <v/>
      </c>
      <c r="DY166" s="259" t="str">
        <f t="shared" ca="1" si="430"/>
        <v/>
      </c>
      <c r="DZ166" s="259" t="str">
        <f t="shared" ca="1" si="431"/>
        <v/>
      </c>
      <c r="EB166" s="259" t="s">
        <v>385</v>
      </c>
      <c r="ED166" s="259">
        <f t="shared" ca="1" si="384"/>
        <v>0</v>
      </c>
      <c r="EH166" s="259" t="str">
        <f t="shared" ca="1" si="432"/>
        <v/>
      </c>
      <c r="EI166" s="260" t="b">
        <f t="shared" ca="1" si="466"/>
        <v>0</v>
      </c>
      <c r="EJ166" s="260" t="b">
        <f t="shared" ca="1" si="467"/>
        <v>0</v>
      </c>
      <c r="EK166" s="260" t="b">
        <f t="shared" ca="1" si="468"/>
        <v>0</v>
      </c>
      <c r="EL166" s="259">
        <f t="shared" si="433"/>
        <v>164</v>
      </c>
      <c r="EM166" s="259">
        <f ca="1">IF(AND(BA166&gt;0,BA166&lt;=$EM$1),MAX($EM$2:EM165)+1,0)</f>
        <v>0</v>
      </c>
      <c r="EN166" s="259">
        <f t="shared" ca="1" si="434"/>
        <v>166</v>
      </c>
      <c r="EP166" s="259" t="str">
        <f t="shared" ca="1" si="385"/>
        <v/>
      </c>
      <c r="EQ166" s="259">
        <f t="shared" ca="1" si="386"/>
        <v>0</v>
      </c>
      <c r="ER166" s="259">
        <f ca="1">IF(ISNA(EQ166),MAX(ER$2:ER165)+1,0)</f>
        <v>0</v>
      </c>
      <c r="ES166" s="259" t="str">
        <f t="shared" ca="1" si="435"/>
        <v/>
      </c>
      <c r="ET166" s="259" t="str">
        <f ca="1">IFERROR(UPPER(INDEX($ER$3:$ES$500,MATCH(ROWS(ET$3:ET166),$ER$3:$ER$500,0),2)),"")</f>
        <v/>
      </c>
      <c r="EW166" s="259">
        <f t="shared" ca="1" si="344"/>
        <v>1</v>
      </c>
      <c r="EX166" s="259">
        <v>64</v>
      </c>
      <c r="EY166" s="259">
        <f t="shared" ca="1" si="345"/>
        <v>0</v>
      </c>
      <c r="EZ166" s="259">
        <f t="shared" ca="1" si="346"/>
        <v>0</v>
      </c>
      <c r="FA166" s="259">
        <f t="shared" ca="1" si="347"/>
        <v>0</v>
      </c>
      <c r="FB166" s="259">
        <f t="shared" ca="1" si="348"/>
        <v>0</v>
      </c>
      <c r="FC166" s="259">
        <f t="shared" ca="1" si="349"/>
        <v>0</v>
      </c>
      <c r="FD166" s="259">
        <f t="shared" ca="1" si="387"/>
        <v>0</v>
      </c>
      <c r="FE166" s="259" t="str">
        <f t="shared" ca="1" si="388"/>
        <v/>
      </c>
      <c r="FF166" s="259" t="str">
        <f t="shared" ca="1" si="350"/>
        <v/>
      </c>
      <c r="FM166" s="259">
        <f t="shared" ca="1" si="389"/>
        <v>0</v>
      </c>
      <c r="FN166" s="259">
        <f ca="1">IF(FM166&lt;0,MAX($FN$2:FN165)+1,0)</f>
        <v>0</v>
      </c>
      <c r="FO166" s="259" t="str">
        <f t="shared" ca="1" si="436"/>
        <v/>
      </c>
      <c r="FP166" s="259" t="str">
        <f ca="1">IFERROR(INDEX($FN$3:$FO$400,MATCH(ROWS($FP$3:FP166),$FN$3:$FN$400,0),2),"")</f>
        <v/>
      </c>
      <c r="FQ166" s="259" t="str">
        <f>IF(AE166="SE AVERE",MAX($FQ$2:FQ165)+1,"")</f>
        <v/>
      </c>
      <c r="FR166" s="259">
        <f>IF(AE166="SE DARE",MAX($FR$2:FR165)+1,"")</f>
        <v>69</v>
      </c>
      <c r="FS166" s="259" t="str">
        <f ca="1">IF(AND(AE166="SP DARE",AA166&lt;&gt;$FS$1,AA166&lt;&gt;$FT$1),MAX($FS$2:FS165)+1,IF(AND(GQ166="SP DARE",AA166&lt;&gt;$FS$1,AA166&lt;&gt;$FT$1),MAX($FS$2:FS165)+1,""))</f>
        <v/>
      </c>
      <c r="FT166" s="259" t="str">
        <f ca="1">IF(AND(AE166="SP AVERE",AA166&lt;&gt;$FU$1),MAX($FT$2:FT165)+1,IF(AND(GQ166="SP AVERE",AA166&lt;&gt;$FU$1),MAX($FT$2:FT165)+1,""))</f>
        <v/>
      </c>
      <c r="FU166" s="259">
        <f t="shared" ca="1" si="437"/>
        <v>69</v>
      </c>
      <c r="FV166" s="259" t="str">
        <f t="shared" si="438"/>
        <v>MINUSVALENZE</v>
      </c>
      <c r="FW166" s="259" t="str">
        <f ca="1">IFERROR(INDEX($FU$3:$FV$500,MATCH(ROWS($FW$3:FW166),$FU$3:$FU$500,0),2),0)</f>
        <v>DEBITI FISCALI DIVERSI</v>
      </c>
      <c r="FX166" s="259">
        <f t="shared" ca="1" si="439"/>
        <v>164</v>
      </c>
      <c r="FY166" s="259">
        <f t="shared" ca="1" si="440"/>
        <v>0</v>
      </c>
      <c r="FZ166" s="259">
        <f ca="1">IF(FY166&gt;0,MAX($FZ$2:FZ165)+1,0)</f>
        <v>0</v>
      </c>
      <c r="GA166" s="259">
        <f ca="1">IFERROR(INDEX($FY$3:$FZ$500,MATCH(ROWS($GA$3:GA166),$FZ$3:$FZ$500,0),1),0)</f>
        <v>0</v>
      </c>
      <c r="GC166" s="259">
        <f t="shared" ca="1" si="441"/>
        <v>164</v>
      </c>
      <c r="GD166" s="259" t="str">
        <f t="shared" ca="1" si="442"/>
        <v>DEBITI FISCALI DIVERSI</v>
      </c>
      <c r="GG166" s="259">
        <f t="shared" ca="1" si="443"/>
        <v>0</v>
      </c>
      <c r="GH166" s="259">
        <f t="shared" ca="1" si="444"/>
        <v>0</v>
      </c>
      <c r="GI166" s="259">
        <f t="shared" ca="1" si="445"/>
        <v>0</v>
      </c>
      <c r="GJ166" s="259">
        <f t="shared" ca="1" si="446"/>
        <v>0</v>
      </c>
      <c r="GK166" s="259">
        <f t="shared" ca="1" si="447"/>
        <v>0</v>
      </c>
      <c r="GL166" s="259">
        <f t="shared" ca="1" si="447"/>
        <v>0</v>
      </c>
      <c r="GM166" s="259">
        <f ca="1">IF(OR(GK166&gt;0,GL166&gt;0),MAX($GM$2:GM165)+1,0)</f>
        <v>0</v>
      </c>
      <c r="GN166" s="259" t="str">
        <f ca="1">IFERROR(INDEX($GD$3:$GM$400,MATCH(ROWS($GN$3:GN166),$GM$3:$GM$400,0),1),"")</f>
        <v/>
      </c>
      <c r="GO166" s="259" t="str">
        <f ca="1">IFERROR(INDEX($GD$3:$GM$400,MATCH(ROWS($GO$3:GO166),$GM$3:$GM$400,0),8),"")</f>
        <v/>
      </c>
      <c r="GP166" s="259" t="str">
        <f ca="1">IFERROR(INDEX($GD$3:$GM$400,MATCH(ROWS($GP$3:GP166),$GM$3:$GM$400,0),9),"")</f>
        <v/>
      </c>
      <c r="GQ166" s="259">
        <f t="shared" ca="1" si="390"/>
        <v>0</v>
      </c>
      <c r="GR166" s="259">
        <f t="shared" ca="1" si="448"/>
        <v>0</v>
      </c>
      <c r="GS166" s="259" t="str">
        <f t="shared" ca="1" si="449"/>
        <v>chiusura del conto</v>
      </c>
      <c r="GT166" s="259" t="str">
        <f ca="1">IFERROR(INDEX($GD$3:$GS$400,MATCH(ROWS($GT$3:GT166),$GM$3:$GM$400,0),16),"")</f>
        <v/>
      </c>
      <c r="GU166" s="259">
        <f ca="1">IF(GQ166&lt;&gt;0,MAX($GU$2:$GU165)+1,0)</f>
        <v>0</v>
      </c>
      <c r="GV166" s="259">
        <f t="shared" ca="1" si="450"/>
        <v>0</v>
      </c>
      <c r="GW166" s="259" t="str">
        <f ca="1">IF(AND(IFERROR(INDEX($GU$3:$GV$400,MATCH(ROWS($GW$3:GW166),$GU$3:$GU$400,0),2),"")&lt;&gt;"",GW167&lt;&gt;""),CONCATENATE(IFERROR(INDEX($GU$3:$GV$400,MATCH(ROWS($GW$3:GW166),$GU$3:$GU$400,0),2),"")," - "),IFERROR(INDEX($GU$3:$GV$400,MATCH(ROWS($GW$3:GW166),$GU$3:$GU$400,0),2),""))</f>
        <v/>
      </c>
      <c r="GX166" s="259">
        <f ca="1">IF(OR(GN166="IVA NS/CREDITO",GN166="IVA NS/DEBITO",GN166="IVA C/ACCONTO",GN166="IMPOSTE C/ACCONTO"),MAX($GX$2:GX165)+1,0)</f>
        <v>0</v>
      </c>
      <c r="GY166" s="259" t="str">
        <f ca="1">IF(AND(IFERROR(INDEX($GN$3:$GX$200,MATCH(ROWS($GY$3:GY166),$GX$3:$GX$200,0),1),"")&lt;&gt;"",GY167&lt;&gt;""),CONCATENATE(IFERROR(INDEX($GN$3:$GX$200,MATCH(ROWS($GY$3:GY166),$GX$3:$GX$200,0),1),"")," - "),IFERROR(INDEX($GN$3:$GX$200,MATCH(ROWS($GY$3:GY166),$GX$3:$GX$200,0),1),""))</f>
        <v/>
      </c>
      <c r="GZ166" s="279" t="s">
        <v>176</v>
      </c>
      <c r="HA166" s="270" t="s">
        <v>584</v>
      </c>
      <c r="HV166" s="259" t="str">
        <f ca="1">CONCATENATE(IFERROR(INDEX($HS$3:$HT$102,MATCH(ROWS($HV$3:HV166),$HT$3:$HT$102,0),1),""),HR166)</f>
        <v/>
      </c>
      <c r="IC166" s="259">
        <f ca="1">IFERROR(INDEX(PIANO_DEI_CONTI,MATCH(ROWS(DL$3:DL166),$DK$3:DK393,0),2),0)</f>
        <v>0</v>
      </c>
      <c r="ID166" s="259">
        <f t="shared" ca="1" si="451"/>
        <v>0</v>
      </c>
      <c r="IE166" s="259">
        <f t="shared" ca="1" si="452"/>
        <v>0</v>
      </c>
      <c r="IF166" s="259">
        <f t="shared" ca="1" si="453"/>
        <v>0</v>
      </c>
      <c r="IG166" s="259">
        <f t="shared" ca="1" si="479"/>
        <v>0</v>
      </c>
      <c r="IH166" s="259">
        <f ca="1">IF(IG166&lt;&gt;0,MAX($IH$35:IH165)+1,0)</f>
        <v>0</v>
      </c>
      <c r="II166" s="259">
        <f>IF(AD166="costi pluriennali",MAX($II$2:II165)+1,0)</f>
        <v>0</v>
      </c>
      <c r="IJ166" s="259">
        <f>IF($AD166="rettifiche costi pluriennali",MAX($IJ$2:IJ165)+1,0)</f>
        <v>0</v>
      </c>
      <c r="IK166" s="259">
        <f t="shared" si="454"/>
        <v>0</v>
      </c>
      <c r="IL166" s="259" t="str">
        <f t="shared" si="455"/>
        <v/>
      </c>
      <c r="IM166" s="259">
        <f t="shared" ca="1" si="456"/>
        <v>0</v>
      </c>
      <c r="IN166" s="259">
        <f t="shared" ca="1" si="470"/>
        <v>0</v>
      </c>
      <c r="IO166" s="259">
        <f>SUMIFS($IM$3:$IM$200,$IK$3:$IK$200,ROWS($IO$3:IO166))-SUMIFS($IN$3:$IN$200,$IK$3:$IK$200,ROWS($IO$3:IO166))</f>
        <v>0</v>
      </c>
      <c r="IP166" s="259" t="str">
        <f>IF(IO166&lt;0,INDEX($IJ$3:$IL$200,MATCH(ROWS($IP$3:IP166),$IJ$3:$IJ$200,0),3),"")</f>
        <v/>
      </c>
      <c r="IQ166" s="259">
        <f>IF(IP166&lt;&gt;"",MAX($IQ$2:IQ165)+1,0)</f>
        <v>0</v>
      </c>
      <c r="IR166" s="259" t="str">
        <f ca="1">IFERROR(INDEX($IP$3:$IQ$200,MATCH(ROWS($IR$3:IR166),$IQ$3:$IQ$200,0),1),"")</f>
        <v/>
      </c>
      <c r="IS166" s="259" t="str">
        <f t="shared" ca="1" si="457"/>
        <v/>
      </c>
      <c r="IT166" s="259" t="str">
        <f t="shared" ca="1" si="458"/>
        <v/>
      </c>
      <c r="IU166" s="259" t="str">
        <f t="shared" ca="1" si="459"/>
        <v/>
      </c>
      <c r="IV166" s="259" t="str">
        <f t="shared" ca="1" si="460"/>
        <v/>
      </c>
      <c r="IW166" s="259" t="str">
        <f t="shared" ca="1" si="461"/>
        <v/>
      </c>
      <c r="IX166" s="259" t="str">
        <f t="shared" ca="1" si="462"/>
        <v/>
      </c>
      <c r="IY166" s="259" t="str">
        <f t="shared" ca="1" si="463"/>
        <v/>
      </c>
      <c r="IZ166" s="259" t="str">
        <f t="shared" ca="1" si="464"/>
        <v/>
      </c>
      <c r="JA166" s="259" t="str">
        <f t="shared" ca="1" si="465"/>
        <v/>
      </c>
      <c r="JB166" s="259">
        <f t="shared" ca="1" si="391"/>
        <v>0</v>
      </c>
      <c r="JC166" s="259">
        <f t="shared" ca="1" si="351"/>
        <v>0</v>
      </c>
      <c r="JD166" s="259">
        <f t="shared" ca="1" si="352"/>
        <v>0</v>
      </c>
      <c r="JM166" s="259">
        <f t="shared" ca="1" si="353"/>
        <v>0</v>
      </c>
    </row>
    <row r="167" spans="1:273">
      <c r="A167" s="259" t="str">
        <f t="shared" si="392"/>
        <v>34.01</v>
      </c>
      <c r="B167" s="259" t="str">
        <f t="shared" si="393"/>
        <v>AMMORTAMENTO COSTI DI IMPIANTO</v>
      </c>
      <c r="C167" s="259" t="str">
        <f t="shared" si="394"/>
        <v>E</v>
      </c>
      <c r="D167" s="259" t="str">
        <f t="shared" si="395"/>
        <v>D</v>
      </c>
      <c r="E167" s="259" t="str">
        <f t="shared" si="396"/>
        <v>COSTI D'ESERCIZIO</v>
      </c>
      <c r="F167" s="259" t="str">
        <f t="shared" si="397"/>
        <v>SE DARE</v>
      </c>
      <c r="G167" s="259">
        <f t="shared" ca="1" si="398"/>
        <v>0</v>
      </c>
      <c r="H167" s="259">
        <f t="shared" ca="1" si="399"/>
        <v>0</v>
      </c>
      <c r="I167" s="259">
        <f t="shared" ca="1" si="400"/>
        <v>1</v>
      </c>
      <c r="K167" s="259" t="str">
        <f ca="1">IFERROR(IF($I$1=1,INDEX($AA$3:$AS$220,MATCH(ROWS($K$3:K167),$AQ$3:$AQ$220,0),1),IF($I$1=2,INDEX($AA$3:$AS$220,MATCH(ROWS($K$3:K167),$AR$3:$AR$220,0),1),IF($I$1=3,INDEX($AA$3:$AS$220,MATCH(ROWS($K$3:K167),$AS$3:$AS$220,0),1),""))),"")</f>
        <v>INTERESSI ATTIVI POSTALI</v>
      </c>
      <c r="L167" s="259">
        <f ca="1">IF(AND($L$1="VISUALIZZA TUTTI I CONTI",K167&lt;&gt;""),MAX(L166:L166)+1,IFERROR(IF($J$1=1,IF(INDEX(PIANO_DEI_CONTI,MATCH($K167,DENOMINAZIONE,0),5)=$L$1,MAX($L$2:L166)+1,0),IF($J$1=2,IF(INDEX(PIANO_DEI_CONTI,MATCH($K167,DENOMINAZIONE,0),7)=$L$1,MAX($L$2:L166)+1,0))),0))</f>
        <v>165</v>
      </c>
      <c r="M167" s="259" t="str">
        <f ca="1">IFERROR(INDEX($K$3:$K$220,MATCH(ROWS($M$3:M167),$L$3:$L$220,0),1),"")</f>
        <v>INTERESSI ATTIVI POSTALI</v>
      </c>
      <c r="R167" s="259" t="str">
        <f t="shared" ca="1" si="366"/>
        <v/>
      </c>
      <c r="S167" s="259">
        <f ca="1">IF(IFERROR(MATCH(R167,DENOMINAZIONE_GIORNALE,0),0)&gt;0,MAX(S$2:S166)+1,0)</f>
        <v>0</v>
      </c>
      <c r="T167" s="259" t="str">
        <f ca="1">IFERROR(INDEX($R$3:$S$220,MATCH(ROWS($T$3:T167),$S$3:$S$220,0),1),"")</f>
        <v/>
      </c>
      <c r="U167" s="259">
        <f t="shared" ca="1" si="367"/>
        <v>0</v>
      </c>
      <c r="V167" s="259">
        <f ca="1">IF(IF(U167&lt;&gt;0,MAX($V$2:V166)+1,0)=0,0,IF(U167&lt;&gt;0,MAX($V$2:V166)+1,0))</f>
        <v>0</v>
      </c>
      <c r="W167" s="259" t="str">
        <f t="shared" si="401"/>
        <v>34.01</v>
      </c>
      <c r="X167" s="259" t="str">
        <f t="shared" si="402"/>
        <v>AMMORTAMENTO COSTI DI IMPIANTO</v>
      </c>
      <c r="Y167" s="259">
        <f>IF(W167="",0,MAX($Y$2:Y166)+1)</f>
        <v>142</v>
      </c>
      <c r="Z167" s="259" t="str">
        <f>IFERROR(INDEX($W$3:$Y$220,MATCH(ROWS($Z$2:Z166),$Y$3:$Y$220,0),1),"")</f>
        <v>39.11</v>
      </c>
      <c r="AA167" s="259" t="str">
        <f t="shared" si="403"/>
        <v>SOPRAVVENIENZE PASSIVE</v>
      </c>
      <c r="AB167" s="259" t="str">
        <f t="shared" si="404"/>
        <v>E</v>
      </c>
      <c r="AC167" s="259" t="str">
        <f t="shared" si="405"/>
        <v>D</v>
      </c>
      <c r="AD167" s="259" t="str">
        <f t="shared" si="406"/>
        <v>COSTI D'ESERCIZIO</v>
      </c>
      <c r="AE167" s="259" t="str">
        <f t="shared" si="407"/>
        <v>SE DARE</v>
      </c>
      <c r="AF167" s="259" t="str">
        <f t="shared" si="408"/>
        <v>ONERI DIVERSI</v>
      </c>
      <c r="AG167" s="259">
        <f t="shared" ca="1" si="409"/>
        <v>0</v>
      </c>
      <c r="AH167" s="259">
        <f t="shared" ca="1" si="410"/>
        <v>1</v>
      </c>
      <c r="AI167" s="259">
        <f t="shared" ca="1" si="411"/>
        <v>1</v>
      </c>
      <c r="AJ167" s="259" t="str">
        <f t="shared" si="412"/>
        <v>39</v>
      </c>
      <c r="AK167" s="259" t="str">
        <f t="shared" si="413"/>
        <v/>
      </c>
      <c r="AL167" s="259">
        <f>IF(AK167&lt;&gt;"",MAX($AL$2:AL166)+1,0)</f>
        <v>0</v>
      </c>
      <c r="AM167" s="259" t="str">
        <f>IFERROR(INDEX($AK$3:$AL$220,MATCH(ROWS($AM$3:AM167),$AL$3:$AL$220,0),1),"")</f>
        <v/>
      </c>
      <c r="AN167" s="259" t="str">
        <f t="shared" si="414"/>
        <v/>
      </c>
      <c r="AO167" s="259" t="str">
        <f t="shared" si="415"/>
        <v/>
      </c>
      <c r="AP167" s="259" t="str">
        <f t="shared" si="416"/>
        <v>ONERI DIVERSI</v>
      </c>
      <c r="AQ167" s="259">
        <f ca="1">IF(OR(AG167=0,AG167=""),0,MAX(AQ$2:AQ166)+1)</f>
        <v>0</v>
      </c>
      <c r="AR167" s="259">
        <f ca="1">IF(OR(AH167=0,AH167=""),0,MAX(AR$2:AR166)+1)</f>
        <v>111</v>
      </c>
      <c r="AS167" s="259">
        <f ca="1">IF(OR(AI167=0,AI167=""),0,MAX(AS$2:AS166)+1)</f>
        <v>161</v>
      </c>
      <c r="AT167" s="259" t="str">
        <f ca="1">IFERROR(INDEX($AD$3:$AS$220,MATCH(ROWS(AT$3:AT167),AQ$3:AQ$220,0),1),"")</f>
        <v/>
      </c>
      <c r="AU167" s="259" t="str">
        <f ca="1">IFERROR(INDEX($AD$3:$AS$220,MATCH(ROWS(AU$3:AU167),AR$3:AR$220,0),1),"")</f>
        <v/>
      </c>
      <c r="AV167" s="259" t="str">
        <f ca="1">IFERROR(INDEX($AD$3:$AS$220,MATCH(ROWS(AV$3:AV167),AS$3:AS$220,0),1),"")</f>
        <v>RICAVI D'ESERCIZIO</v>
      </c>
      <c r="AW167" s="259" t="str">
        <f ca="1">IFERROR(INDEX($AP$3:$AS$220,MATCH(ROWS(AW$3:AW167),AQ$3:AQ$220,0),1),"")</f>
        <v/>
      </c>
      <c r="AX167" s="259" t="str">
        <f ca="1">IFERROR(INDEX($AP$3:$AS$220,MATCH(ROWS(AX$3:AX167),AR$3:AR$220,0),1),"")</f>
        <v/>
      </c>
      <c r="AY167" s="259" t="str">
        <f ca="1">IFERROR(INDEX($AP$3:$AS$220,MATCH(ROWS(AY$3:AY167),AS$3:AS$220,0),1),"")</f>
        <v>PROVENTI FINANZIARI</v>
      </c>
      <c r="AZ167" s="259" t="str">
        <f t="shared" si="339"/>
        <v>65 V.I.</v>
      </c>
      <c r="BA167" s="259">
        <f t="shared" ref="BA167:BA230" ca="1" si="484">IF(AND(EY67&gt;=INIZIO_AC,EY67&gt;=INIZIO_A_PC,EY67&lt;=FINE_AC),EY67,0)</f>
        <v>0</v>
      </c>
      <c r="BB167" s="259">
        <f t="shared" ca="1" si="340"/>
        <v>0</v>
      </c>
      <c r="BC167" s="259">
        <f t="shared" ca="1" si="341"/>
        <v>0</v>
      </c>
      <c r="BD167" s="259">
        <f t="shared" ca="1" si="342"/>
        <v>0</v>
      </c>
      <c r="BE167" s="259">
        <f t="shared" ca="1" si="343"/>
        <v>0</v>
      </c>
      <c r="BG167" s="259" t="str">
        <f t="shared" ca="1" si="368"/>
        <v/>
      </c>
      <c r="BH167" s="259">
        <f ca="1">IF(IFERROR(MATCH(BG167,DENOMINAZIONE_GIORNALE,0),0)&gt;0,MAX(BH$2:BH166)+1,0)</f>
        <v>0</v>
      </c>
      <c r="BI167" s="259" t="str">
        <f ca="1">IFERROR(INDEX($BG$3:$BH$220,MATCH(ROWS($BI$3:BI167),$BH$3:$BH$220,0),1),"")</f>
        <v/>
      </c>
      <c r="BJ167" s="259" t="str">
        <f t="shared" ca="1" si="369"/>
        <v/>
      </c>
      <c r="BK167" s="259" t="str">
        <f ca="1">IF(IF(BJ167&lt;&gt;"",MAX($BK$2:BK166)+1,0)=0,"",IF(BJ167&lt;&gt;"",MAX($BK$2:BK166)+1,0))</f>
        <v/>
      </c>
      <c r="BL167" s="259" t="str">
        <f ca="1">IFERROR(INDEX($T$3:$U$220, MATCH(ROWS(BL$3:BL167),$V$3:$V$220,0),1),"")</f>
        <v/>
      </c>
      <c r="BM167" s="259" t="str">
        <f ca="1">IFERROR(INDEX($T$3:$U$220, MATCH(ROWS(BM$3:BM167),$V$3:$V$220,0),2),"")</f>
        <v/>
      </c>
      <c r="BN167" s="259" t="str">
        <f ca="1">IF(IFERROR(INDEX($BI$3:$BJ$220,MATCH(ROWS(BN$3:BN167),$BK$3:$BK$220,0),1),"")="PATRIMONIO NETTO","",IFERROR(INDEX($BI$3:$BJ$220,MATCH(ROWS(BN$3:BN167),$BK$3:$BK$220,0),1),""))</f>
        <v/>
      </c>
      <c r="BO167" s="259" t="str">
        <f ca="1">IFERROR(INDEX($BI$3:$BJ$220,MATCH(ROWS(BO$3:BO167),$BK$3:$BK$220,0),2),"")</f>
        <v/>
      </c>
      <c r="BP167" s="259">
        <f ca="1">IF(BN167&lt;&gt;"",MAX(BP$2:$BP166)+1,0)</f>
        <v>0</v>
      </c>
      <c r="BQ167" s="259" t="str">
        <f ca="1">IFERROR(INDEX($BN$3:$BO$200,MATCH(ROWS(BQ$3:BQ167),$BP$3:$BP$220,0),1),"")</f>
        <v/>
      </c>
      <c r="BR167" s="259" t="str">
        <f ca="1">IFERROR(INDEX($BN$3:$BO$220,MATCH(ROWS(BR$3:BR167),$BP$3:$BP$220,0),2),"")</f>
        <v/>
      </c>
      <c r="BS167" s="259" t="str">
        <f ca="1">IFERROR(IF(OR(INDEX($T$3:$U$220,MATCH(ROWS(BL$3:BL167),$V$3:$V$220,0),1)="PRELEVAMENTI EXTRAGESTIONE",INDEX($T$3:$U$220,MATCH(ROWS(BL$3:BL167),$V$3:$V$220,0),1)="TITOLARE C/RITENUTE SUBITE"),"",INDEX($T$3:$U$220,MATCH(ROWS(BL$3:BL167),$V$3:$V$220,0),1)),"")</f>
        <v/>
      </c>
      <c r="BT167" s="259">
        <f t="shared" ca="1" si="417"/>
        <v>0</v>
      </c>
      <c r="BU167" s="259">
        <f ca="1">IF(BS167&lt;&gt;"",MAX(BU$2:BU166)+1,0)</f>
        <v>0</v>
      </c>
      <c r="BV167" s="259" t="str">
        <f ca="1">IFERROR(INDEX($BS$3:$BT$223,MATCH(ROWS(BV$3:BV167),$BU$3:$BU$223,0),1),"")</f>
        <v/>
      </c>
      <c r="BW167" s="259">
        <f t="shared" ca="1" si="418"/>
        <v>0</v>
      </c>
      <c r="CB167" s="259" t="str">
        <f ca="1">IFERROR(IF(OR($BB$1&lt;&gt;$BD$1,$BC$1&lt;&gt;$BE$1,$DS$231&lt;&gt;$DT$231,$DU$231&lt;&gt;$DV$231,$EO$25&lt;&gt;0,$EO$26&lt;&gt;0),INDEX($BI$3:$BK$220,MATCH(ROWS($CB$3:CB167),$BK$3:$BK$220,0),1),CONCATENATE(BQ167,BX167)),"")</f>
        <v/>
      </c>
      <c r="CC167" s="259" t="str">
        <f t="shared" ca="1" si="419"/>
        <v/>
      </c>
      <c r="CD167" s="259" t="str">
        <f t="shared" ca="1" si="370"/>
        <v>SOPRAVVENIENZE PASSIVE</v>
      </c>
      <c r="CE167" s="259">
        <f ca="1">IF(IFERROR(MATCH(CD167,DENOMINAZIONE_GIORNALE,0),0)&gt;0,MAX(CE$2:CE166)+1,0)</f>
        <v>0</v>
      </c>
      <c r="CF167" s="259" t="str">
        <f ca="1">IFERROR(INDEX($CD$3:$CE$220,MATCH(ROWS($CF$3:CF167),$CE$3:$CE$220,0),1),"")</f>
        <v/>
      </c>
      <c r="CG167" s="259">
        <f t="shared" ca="1" si="371"/>
        <v>0</v>
      </c>
      <c r="CH167" s="259" t="str">
        <f ca="1">IF(IF(CG167&lt;&gt;0,MAX($CH$2:CH166)+1,0)=0,"",IF(CG167&lt;&gt;"",MAX($CH$2:CH166)+1,0))</f>
        <v/>
      </c>
      <c r="CI167" s="259" t="str">
        <f ca="1">IFERROR(INDEX($CF$3:$CG$220,MATCH(ROWS($CI$3:CI167),$CH$3:$CH$220,0),1),"")</f>
        <v/>
      </c>
      <c r="CJ167" s="259" t="str">
        <f t="shared" ca="1" si="420"/>
        <v/>
      </c>
      <c r="CK167" s="259" t="str">
        <f t="shared" ca="1" si="372"/>
        <v/>
      </c>
      <c r="CL167" s="259">
        <f ca="1">IF(IFERROR(MATCH(CK167,DENOMINAZIONE_GIORNALE,0),0)&gt;0,MAX(CL$2:CL166)+1,0)</f>
        <v>0</v>
      </c>
      <c r="CM167" s="259" t="str">
        <f ca="1">IFERROR(INDEX($CK$3:$CL$220,MATCH(ROWS($CM$3:CM167),$CL$3:$CL$220,0),1),"")</f>
        <v/>
      </c>
      <c r="CN167" s="259" t="str">
        <f t="shared" ca="1" si="373"/>
        <v/>
      </c>
      <c r="CO167" s="259">
        <f ca="1">IF(IF(CN167&lt;&gt;0,MAX($CO$2:CO166)+1,0)=0,"",IF(CN167&lt;&gt;"",MAX($CO$2:CO166)+1,0))</f>
        <v>0</v>
      </c>
      <c r="CP167" s="259" t="str">
        <f ca="1">IFERROR(INDEX($CM$3:$CN$220,MATCH(ROWS(CP$3:CP167),$CO$3:$CO$220,0),1),"")</f>
        <v/>
      </c>
      <c r="CQ167" s="259" t="str">
        <f ca="1">IFERROR(INDEX($CM$3:$CN$220,MATCH(ROWS(CQ$3:CQ167),$CO$3:$CO$220,0),2),"")</f>
        <v/>
      </c>
      <c r="CS167" s="259">
        <f t="shared" ca="1" si="374"/>
        <v>0</v>
      </c>
      <c r="CT167" s="259">
        <f t="shared" ca="1" si="375"/>
        <v>0</v>
      </c>
      <c r="CU167" s="259">
        <f ca="1">IF(OR(CS167&gt;0,CT167&gt;0),MAX($CU$2:CU166)+1,0)</f>
        <v>0</v>
      </c>
      <c r="CV167" s="259" t="str">
        <f ca="1">IFERROR(INDEX(PIANO_DEI_CONTI,MATCH(ROWS($CV$3:CV167),$CU$3:$CU$200,0),2),"")</f>
        <v/>
      </c>
      <c r="CW167" s="259">
        <f ca="1">IFERROR(IF(CV167&lt;&gt;"",MAX($CW$2:CW166)+1,0),0)</f>
        <v>0</v>
      </c>
      <c r="CX167" s="259">
        <f t="shared" ca="1" si="482"/>
        <v>10</v>
      </c>
      <c r="CY167" s="259" t="str">
        <f t="shared" ca="1" si="469"/>
        <v>MASTRO</v>
      </c>
      <c r="CZ167" s="259" t="e">
        <f t="shared" ref="CZ167:CZ181" ca="1" si="485">SUM(MATCH($CY167,INDIRECT(ADDRESS(SUM(CZ166)+3,54)&amp;":"&amp;ADDRESS(400,54)),0),CZ166)</f>
        <v>#N/A</v>
      </c>
      <c r="DA167" s="259" t="str">
        <f ca="1">IFERROR(INDEX(LIBRO_GIORNALE,CZ167,1),"")</f>
        <v/>
      </c>
      <c r="DB167" s="259" t="str">
        <f t="shared" ref="DB167:DB181" ca="1" si="486">IF(RIGHT(TEXT(IFERROR(INDEX(LIBRO_GIORNALE,CZ167,2),""),"gg/mm/aa"),1)="a",TEXT(IFERROR(INDEX(LIBRO_GIORNALE,CZ167,2),""),"dd/mm/yy"),TEXT(IFERROR(INDEX(LIBRO_GIORNALE,CZ167,2),""),"gg/mm/aa"))</f>
        <v/>
      </c>
      <c r="DC167" s="259" t="str">
        <f t="shared" ref="DC167:DC181" ca="1" si="487">IF(IFERROR(INDEX(LIBRO_GIORNALE,CZ167,4),"")=0,"manca la descrizione dell'operazione",IFERROR(INDEX(LIBRO_GIORNALE,CZ167,4),""))</f>
        <v/>
      </c>
      <c r="DD167" s="259" t="str">
        <f t="shared" ref="DD167:DD181" ca="1" si="488">IFERROR(IF(INDEX(LIBRO_GIORNALE,CZ167,5)&gt;0,INDEX(LIBRO_GIORNALE,CZ167,5),""),"")</f>
        <v/>
      </c>
      <c r="DE167" s="259" t="str">
        <f t="shared" ref="DE167:DE181" ca="1" si="489">IFERROR(IF(INDEX(LIBRO_GIORNALE,CZ167,6)&gt;0,INDEX(LIBRO_GIORNALE,CZ167,6),""),"")</f>
        <v/>
      </c>
      <c r="DF167" s="259">
        <f ca="1">IF(AND(CX167=$DE$2,$DF$2&lt;&gt;0),0,IF(AND(DB167&lt;&gt;"",OR(DB166&lt;&gt;"",DB168&lt;&gt;"")),MAX($DF$2:DF166)+1,0))</f>
        <v>0</v>
      </c>
      <c r="DG167" s="259" t="str">
        <f>IF(IF(LIBRO_GIORNALE!E75="","",IFERROR(INDEX(PIANO_DEI_CONTI,MATCH(BB167,DENOMINAZIONE,0),1),0))=0,"",IF(LIBRO_GIORNALE!E75="","",IFERROR(INDEX(PIANO_DEI_CONTI,MATCH(BB167,DENOMINAZIONE,0),1),0)))</f>
        <v/>
      </c>
      <c r="DH167" s="259">
        <f ca="1">IFERROR(IF($J$1=1,IF(INDEX(PIANO_DEI_CONTI,MATCH($K167,DENOMINAZIONE,0),5)=$DF$1,MAX($DH$2:DH166)+1,0),IF($J$1=2,IF(INDEX(PIANO_DEI_CONTI,MATCH($K167,DENOMINAZIONE,0),7)=$DF$1,MAX($DH$2:DH166)+1,0))),0)</f>
        <v>0</v>
      </c>
      <c r="DI167" s="259">
        <f ca="1">IFERROR(INDEX($K$3:$K$220,MATCH(ROWS($DI$3:DI167),$DH$3:$DH$220,0),1),0)</f>
        <v>0</v>
      </c>
      <c r="DJ167" s="259">
        <f t="shared" ca="1" si="381"/>
        <v>0</v>
      </c>
      <c r="DK167" s="259">
        <f ca="1">IF(DJ167=0,0,MAX(DK$2:DK166)+1)</f>
        <v>0</v>
      </c>
      <c r="DL167" s="259">
        <f ca="1">IFERROR(INDEX(PIANO_DEI_CONTI,MATCH(ROWS(DL$3:DL167),$DK$3:DK394,0),2),0)</f>
        <v>0</v>
      </c>
      <c r="DM167" s="259">
        <f t="shared" ca="1" si="382"/>
        <v>0</v>
      </c>
      <c r="DN167" s="259">
        <f t="shared" ca="1" si="383"/>
        <v>0</v>
      </c>
      <c r="DO167" s="259">
        <f t="shared" ca="1" si="422"/>
        <v>0</v>
      </c>
      <c r="DP167" s="259">
        <f t="shared" ca="1" si="423"/>
        <v>0</v>
      </c>
      <c r="DQ167" s="259">
        <f ca="1">IF(OR($DQ$1="TOTALI",$DQ$1="TOTALI ED ECCEDENZE"),IF(OR(DM167&gt;0,DN167&gt;0),MAX(DQ$2:DQ166)+1,0),IF($DQ$1="ECCEDENZE",IF(OR(DO167&gt;0,DP167&gt;0),MAX(DQ$2:DQ166)+1,0),""))</f>
        <v>0</v>
      </c>
      <c r="DR167" s="259" t="str">
        <f ca="1">IFERROR(INDEX($DL$3:$DQ$230,MATCH(ROWS(DR$3:DR167),$DQ$3:$DQ$230,0),1),"")</f>
        <v/>
      </c>
      <c r="DS167" s="259" t="str">
        <f t="shared" ca="1" si="424"/>
        <v/>
      </c>
      <c r="DT167" s="259" t="str">
        <f t="shared" ca="1" si="425"/>
        <v/>
      </c>
      <c r="DU167" s="259" t="str">
        <f t="shared" ca="1" si="426"/>
        <v/>
      </c>
      <c r="DV167" s="259" t="str">
        <f t="shared" ca="1" si="427"/>
        <v/>
      </c>
      <c r="DW167" s="259">
        <f t="shared" ca="1" si="428"/>
        <v>0</v>
      </c>
      <c r="DX167" s="259" t="str">
        <f t="shared" ca="1" si="429"/>
        <v/>
      </c>
      <c r="DY167" s="259" t="str">
        <f t="shared" ca="1" si="430"/>
        <v/>
      </c>
      <c r="DZ167" s="259" t="str">
        <f t="shared" ca="1" si="431"/>
        <v/>
      </c>
      <c r="EB167" s="259" t="s">
        <v>385</v>
      </c>
      <c r="ED167" s="259">
        <f t="shared" ca="1" si="384"/>
        <v>0</v>
      </c>
      <c r="EH167" s="259" t="str">
        <f t="shared" ca="1" si="432"/>
        <v/>
      </c>
      <c r="EI167" s="260" t="b">
        <f t="shared" ca="1" si="466"/>
        <v>0</v>
      </c>
      <c r="EJ167" s="260" t="b">
        <f t="shared" ca="1" si="467"/>
        <v>0</v>
      </c>
      <c r="EK167" s="260" t="b">
        <f t="shared" ca="1" si="468"/>
        <v>1</v>
      </c>
      <c r="EL167" s="259">
        <f t="shared" si="433"/>
        <v>165</v>
      </c>
      <c r="EM167" s="259">
        <f ca="1">IF(AND(BA167&gt;0,BA167&lt;=$EM$1),MAX($EM$2:EM166)+1,0)</f>
        <v>0</v>
      </c>
      <c r="EN167" s="259">
        <f t="shared" ca="1" si="434"/>
        <v>167</v>
      </c>
      <c r="EP167" s="259" t="str">
        <f t="shared" ca="1" si="385"/>
        <v/>
      </c>
      <c r="EQ167" s="259">
        <f t="shared" ca="1" si="386"/>
        <v>0</v>
      </c>
      <c r="ER167" s="259">
        <f ca="1">IF(ISNA(EQ167),MAX(ER$2:ER166)+1,0)</f>
        <v>0</v>
      </c>
      <c r="ES167" s="259" t="str">
        <f t="shared" ca="1" si="435"/>
        <v/>
      </c>
      <c r="ET167" s="259" t="str">
        <f ca="1">IFERROR(UPPER(INDEX($ER$3:$ES$500,MATCH(ROWS(ET$3:ET167),$ER$3:$ER$500,0),2)),"")</f>
        <v/>
      </c>
      <c r="EW167" s="259">
        <f t="shared" ca="1" si="344"/>
        <v>1</v>
      </c>
      <c r="EX167" s="259">
        <v>65</v>
      </c>
      <c r="EY167" s="259">
        <f t="shared" ca="1" si="345"/>
        <v>0</v>
      </c>
      <c r="EZ167" s="259">
        <f t="shared" ca="1" si="346"/>
        <v>0</v>
      </c>
      <c r="FA167" s="259">
        <f t="shared" ca="1" si="347"/>
        <v>0</v>
      </c>
      <c r="FB167" s="259">
        <f t="shared" ca="1" si="348"/>
        <v>0</v>
      </c>
      <c r="FC167" s="259">
        <f t="shared" ca="1" si="349"/>
        <v>0</v>
      </c>
      <c r="FD167" s="259">
        <f t="shared" ca="1" si="387"/>
        <v>0</v>
      </c>
      <c r="FE167" s="259" t="str">
        <f t="shared" ca="1" si="388"/>
        <v/>
      </c>
      <c r="FF167" s="259" t="str">
        <f t="shared" ca="1" si="350"/>
        <v/>
      </c>
      <c r="FM167" s="259">
        <f t="shared" ca="1" si="389"/>
        <v>0</v>
      </c>
      <c r="FN167" s="259">
        <f ca="1">IF(FM167&lt;0,MAX($FN$2:FN166)+1,0)</f>
        <v>0</v>
      </c>
      <c r="FO167" s="259" t="str">
        <f t="shared" ca="1" si="436"/>
        <v/>
      </c>
      <c r="FP167" s="259" t="str">
        <f ca="1">IFERROR(INDEX($FN$3:$FO$400,MATCH(ROWS($FP$3:FP167),$FN$3:$FN$400,0),2),"")</f>
        <v/>
      </c>
      <c r="FQ167" s="259" t="str">
        <f>IF(AE167="SE AVERE",MAX($FQ$2:FQ166)+1,"")</f>
        <v/>
      </c>
      <c r="FR167" s="259">
        <f>IF(AE167="SE DARE",MAX($FR$2:FR166)+1,"")</f>
        <v>70</v>
      </c>
      <c r="FS167" s="259" t="str">
        <f ca="1">IF(AND(AE167="SP DARE",AA167&lt;&gt;$FS$1,AA167&lt;&gt;$FT$1),MAX($FS$2:FS166)+1,IF(AND(GQ167="SP DARE",AA167&lt;&gt;$FS$1,AA167&lt;&gt;$FT$1),MAX($FS$2:FS166)+1,""))</f>
        <v/>
      </c>
      <c r="FT167" s="259" t="str">
        <f ca="1">IF(AND(AE167="SP AVERE",AA167&lt;&gt;$FU$1),MAX($FT$2:FT166)+1,IF(AND(GQ167="SP AVERE",AA167&lt;&gt;$FU$1),MAX($FT$2:FT166)+1,""))</f>
        <v/>
      </c>
      <c r="FU167" s="259">
        <f t="shared" ca="1" si="437"/>
        <v>70</v>
      </c>
      <c r="FV167" s="259" t="str">
        <f t="shared" si="438"/>
        <v>SOPRAVVENIENZE PASSIVE</v>
      </c>
      <c r="FW167" s="259" t="str">
        <f ca="1">IFERROR(INDEX($FU$3:$FV$500,MATCH(ROWS($FW$3:FW167),$FU$3:$FU$500,0),2),0)</f>
        <v>DEBITI V/ISTITUTI PREVIDENZIALI</v>
      </c>
      <c r="FX167" s="259">
        <f t="shared" ca="1" si="439"/>
        <v>165</v>
      </c>
      <c r="FY167" s="259">
        <f t="shared" ca="1" si="440"/>
        <v>0</v>
      </c>
      <c r="FZ167" s="259">
        <f ca="1">IF(FY167&gt;0,MAX($FZ$2:FZ166)+1,0)</f>
        <v>0</v>
      </c>
      <c r="GA167" s="259">
        <f ca="1">IFERROR(INDEX($FY$3:$FZ$500,MATCH(ROWS($GA$3:GA167),$FZ$3:$FZ$500,0),1),0)</f>
        <v>0</v>
      </c>
      <c r="GC167" s="259">
        <f t="shared" ca="1" si="441"/>
        <v>165</v>
      </c>
      <c r="GD167" s="259" t="str">
        <f t="shared" ca="1" si="442"/>
        <v>DEBITI V/ISTITUTI PREVIDENZIALI</v>
      </c>
      <c r="GG167" s="259">
        <f t="shared" ca="1" si="443"/>
        <v>0</v>
      </c>
      <c r="GH167" s="259">
        <f t="shared" ca="1" si="444"/>
        <v>0</v>
      </c>
      <c r="GI167" s="259">
        <f t="shared" ca="1" si="445"/>
        <v>0</v>
      </c>
      <c r="GJ167" s="259">
        <f t="shared" ca="1" si="446"/>
        <v>0</v>
      </c>
      <c r="GK167" s="259">
        <f t="shared" ca="1" si="447"/>
        <v>0</v>
      </c>
      <c r="GL167" s="259">
        <f t="shared" ca="1" si="447"/>
        <v>0</v>
      </c>
      <c r="GM167" s="259">
        <f ca="1">IF(OR(GK167&gt;0,GL167&gt;0),MAX($GM$2:GM166)+1,0)</f>
        <v>0</v>
      </c>
      <c r="GN167" s="259" t="str">
        <f ca="1">IFERROR(INDEX($GD$3:$GM$400,MATCH(ROWS($GN$3:GN167),$GM$3:$GM$400,0),1),"")</f>
        <v/>
      </c>
      <c r="GO167" s="259" t="str">
        <f ca="1">IFERROR(INDEX($GD$3:$GM$400,MATCH(ROWS($GO$3:GO167),$GM$3:$GM$400,0),8),"")</f>
        <v/>
      </c>
      <c r="GP167" s="259" t="str">
        <f ca="1">IFERROR(INDEX($GD$3:$GM$400,MATCH(ROWS($GP$3:GP167),$GM$3:$GM$400,0),9),"")</f>
        <v/>
      </c>
      <c r="GQ167" s="259">
        <f t="shared" ca="1" si="390"/>
        <v>0</v>
      </c>
      <c r="GR167" s="259">
        <f t="shared" ca="1" si="448"/>
        <v>0</v>
      </c>
      <c r="GS167" s="259" t="str">
        <f t="shared" ca="1" si="449"/>
        <v>chiusura del conto</v>
      </c>
      <c r="GT167" s="259" t="str">
        <f ca="1">IFERROR(INDEX($GD$3:$GS$400,MATCH(ROWS($GT$3:GT167),$GM$3:$GM$400,0),16),"")</f>
        <v/>
      </c>
      <c r="GU167" s="259">
        <f ca="1">IF(GQ167&lt;&gt;0,MAX($GU$2:$GU166)+1,0)</f>
        <v>0</v>
      </c>
      <c r="GV167" s="259">
        <f t="shared" ca="1" si="450"/>
        <v>0</v>
      </c>
      <c r="GW167" s="259" t="str">
        <f ca="1">IF(AND(IFERROR(INDEX($GU$3:$GV$400,MATCH(ROWS($GW$3:GW167),$GU$3:$GU$400,0),2),"")&lt;&gt;"",GW168&lt;&gt;""),CONCATENATE(IFERROR(INDEX($GU$3:$GV$400,MATCH(ROWS($GW$3:GW167),$GU$3:$GU$400,0),2),"")," - "),IFERROR(INDEX($GU$3:$GV$400,MATCH(ROWS($GW$3:GW167),$GU$3:$GU$400,0),2),""))</f>
        <v/>
      </c>
      <c r="GX167" s="259">
        <f ca="1">IF(OR(GN167="IVA NS/CREDITO",GN167="IVA NS/DEBITO",GN167="IVA C/ACCONTO",GN167="IMPOSTE C/ACCONTO"),MAX($GX$2:GX166)+1,0)</f>
        <v>0</v>
      </c>
      <c r="GY167" s="259" t="str">
        <f ca="1">IF(AND(IFERROR(INDEX($GN$3:$GX$200,MATCH(ROWS($GY$3:GY167),$GX$3:$GX$200,0),1),"")&lt;&gt;"",GY168&lt;&gt;""),CONCATENATE(IFERROR(INDEX($GN$3:$GX$200,MATCH(ROWS($GY$3:GY167),$GX$3:$GX$200,0),1),"")," - "),IFERROR(INDEX($GN$3:$GX$200,MATCH(ROWS($GY$3:GY167),$GX$3:$GX$200,0),1),""))</f>
        <v/>
      </c>
      <c r="GZ167" s="279" t="s">
        <v>177</v>
      </c>
      <c r="HA167" s="259" t="s">
        <v>662</v>
      </c>
      <c r="HB167" s="269" t="s">
        <v>256</v>
      </c>
      <c r="HC167" s="269" t="s">
        <v>276</v>
      </c>
      <c r="HD167" s="269" t="s">
        <v>7</v>
      </c>
      <c r="HE167" s="269" t="s">
        <v>214</v>
      </c>
      <c r="HV167" s="259" t="str">
        <f ca="1">CONCATENATE(IFERROR(INDEX($HS$3:$HT$102,MATCH(ROWS($HV$3:HV167),$HT$3:$HT$102,0),1),""),HR167)</f>
        <v/>
      </c>
      <c r="IC167" s="259">
        <f ca="1">IFERROR(INDEX(PIANO_DEI_CONTI,MATCH(ROWS(DL$3:DL167),$DK$3:DK394,0),2),0)</f>
        <v>0</v>
      </c>
      <c r="ID167" s="259">
        <f t="shared" ca="1" si="451"/>
        <v>0</v>
      </c>
      <c r="IE167" s="259">
        <f t="shared" ca="1" si="452"/>
        <v>0</v>
      </c>
      <c r="IF167" s="259">
        <f t="shared" ca="1" si="453"/>
        <v>0</v>
      </c>
      <c r="IG167" s="259">
        <f t="shared" ca="1" si="479"/>
        <v>0</v>
      </c>
      <c r="IH167" s="259">
        <f ca="1">IF(IG167&lt;&gt;0,MAX($IH$35:IH166)+1,0)</f>
        <v>0</v>
      </c>
      <c r="II167" s="259">
        <f>IF(AD167="costi pluriennali",MAX($II$2:II166)+1,0)</f>
        <v>0</v>
      </c>
      <c r="IJ167" s="259">
        <f>IF($AD167="rettifiche costi pluriennali",MAX($IJ$2:IJ166)+1,0)</f>
        <v>0</v>
      </c>
      <c r="IK167" s="259">
        <f t="shared" si="454"/>
        <v>0</v>
      </c>
      <c r="IL167" s="259" t="str">
        <f t="shared" si="455"/>
        <v/>
      </c>
      <c r="IM167" s="259">
        <f t="shared" ca="1" si="456"/>
        <v>0</v>
      </c>
      <c r="IN167" s="259">
        <f t="shared" ca="1" si="470"/>
        <v>0</v>
      </c>
      <c r="IO167" s="259">
        <f>SUMIFS($IM$3:$IM$200,$IK$3:$IK$200,ROWS($IO$3:IO167))-SUMIFS($IN$3:$IN$200,$IK$3:$IK$200,ROWS($IO$3:IO167))</f>
        <v>0</v>
      </c>
      <c r="IP167" s="259" t="str">
        <f>IF(IO167&lt;0,INDEX($IJ$3:$IL$200,MATCH(ROWS($IP$3:IP167),$IJ$3:$IJ$200,0),3),"")</f>
        <v/>
      </c>
      <c r="IQ167" s="259">
        <f>IF(IP167&lt;&gt;"",MAX($IQ$2:IQ166)+1,0)</f>
        <v>0</v>
      </c>
      <c r="IR167" s="259" t="str">
        <f ca="1">IFERROR(INDEX($IP$3:$IQ$200,MATCH(ROWS($IR$3:IR167),$IQ$3:$IQ$200,0),1),"")</f>
        <v/>
      </c>
      <c r="IS167" s="259" t="str">
        <f t="shared" ca="1" si="457"/>
        <v/>
      </c>
      <c r="IT167" s="259" t="str">
        <f t="shared" ca="1" si="458"/>
        <v/>
      </c>
      <c r="IU167" s="259" t="str">
        <f t="shared" ca="1" si="459"/>
        <v/>
      </c>
      <c r="IV167" s="259" t="str">
        <f t="shared" ca="1" si="460"/>
        <v/>
      </c>
      <c r="IW167" s="259" t="str">
        <f t="shared" ca="1" si="461"/>
        <v/>
      </c>
      <c r="IX167" s="259" t="str">
        <f t="shared" ca="1" si="462"/>
        <v/>
      </c>
      <c r="IY167" s="259" t="str">
        <f t="shared" ca="1" si="463"/>
        <v/>
      </c>
      <c r="IZ167" s="259" t="str">
        <f t="shared" ca="1" si="464"/>
        <v/>
      </c>
      <c r="JA167" s="259" t="str">
        <f t="shared" ca="1" si="465"/>
        <v/>
      </c>
      <c r="JB167" s="259">
        <f t="shared" ca="1" si="391"/>
        <v>0</v>
      </c>
      <c r="JC167" s="259">
        <f t="shared" ca="1" si="351"/>
        <v>0</v>
      </c>
      <c r="JD167" s="259">
        <f t="shared" ca="1" si="352"/>
        <v>0</v>
      </c>
      <c r="JM167" s="259">
        <f t="shared" ca="1" si="353"/>
        <v>0</v>
      </c>
    </row>
    <row r="168" spans="1:273">
      <c r="A168" s="259" t="str">
        <f t="shared" si="392"/>
        <v>34.03</v>
      </c>
      <c r="B168" s="259" t="str">
        <f t="shared" si="393"/>
        <v>AMMORTAMENTO BREVETTI</v>
      </c>
      <c r="C168" s="259" t="str">
        <f t="shared" si="394"/>
        <v>E</v>
      </c>
      <c r="D168" s="259" t="str">
        <f t="shared" si="395"/>
        <v>D</v>
      </c>
      <c r="E168" s="259" t="str">
        <f t="shared" si="396"/>
        <v>COSTI D'ESERCIZIO</v>
      </c>
      <c r="F168" s="259" t="str">
        <f t="shared" si="397"/>
        <v>SE DARE</v>
      </c>
      <c r="G168" s="259">
        <f t="shared" ca="1" si="398"/>
        <v>0</v>
      </c>
      <c r="H168" s="259">
        <f t="shared" ca="1" si="399"/>
        <v>0</v>
      </c>
      <c r="I168" s="259">
        <f t="shared" ca="1" si="400"/>
        <v>1</v>
      </c>
      <c r="K168" s="259" t="str">
        <f ca="1">IFERROR(IF($I$1=1,INDEX($AA$3:$AS$220,MATCH(ROWS($K$3:K168),$AQ$3:$AQ$220,0),1),IF($I$1=2,INDEX($AA$3:$AS$220,MATCH(ROWS($K$3:K168),$AR$3:$AR$220,0),1),IF($I$1=3,INDEX($AA$3:$AS$220,MATCH(ROWS($K$3:K168),$AS$3:$AS$220,0),1),""))),"")</f>
        <v>PROVENTI FINANZIARI DIVERSI</v>
      </c>
      <c r="L168" s="259">
        <f ca="1">IF(AND($L$1="VISUALIZZA TUTTI I CONTI",K168&lt;&gt;""),MAX(L167:L167)+1,IFERROR(IF($J$1=1,IF(INDEX(PIANO_DEI_CONTI,MATCH($K168,DENOMINAZIONE,0),5)=$L$1,MAX($L$2:L167)+1,0),IF($J$1=2,IF(INDEX(PIANO_DEI_CONTI,MATCH($K168,DENOMINAZIONE,0),7)=$L$1,MAX($L$2:L167)+1,0))),0))</f>
        <v>166</v>
      </c>
      <c r="M168" s="259" t="str">
        <f ca="1">IFERROR(INDEX($K$3:$K$220,MATCH(ROWS($M$3:M168),$L$3:$L$220,0),1),"")</f>
        <v>PROVENTI FINANZIARI DIVERSI</v>
      </c>
      <c r="R168" s="259" t="str">
        <f t="shared" ca="1" si="366"/>
        <v/>
      </c>
      <c r="S168" s="259">
        <f ca="1">IF(IFERROR(MATCH(R168,DENOMINAZIONE_GIORNALE,0),0)&gt;0,MAX(S$2:S167)+1,0)</f>
        <v>0</v>
      </c>
      <c r="T168" s="259" t="str">
        <f ca="1">IFERROR(INDEX($R$3:$S$220,MATCH(ROWS($T$3:T168),$S$3:$S$220,0),1),"")</f>
        <v/>
      </c>
      <c r="U168" s="259">
        <f t="shared" ca="1" si="367"/>
        <v>0</v>
      </c>
      <c r="V168" s="259">
        <f ca="1">IF(IF(U168&lt;&gt;0,MAX($V$2:V167)+1,0)=0,0,IF(U168&lt;&gt;0,MAX($V$2:V167)+1,0))</f>
        <v>0</v>
      </c>
      <c r="W168" s="259" t="str">
        <f t="shared" si="401"/>
        <v>34.03</v>
      </c>
      <c r="X168" s="259" t="str">
        <f t="shared" si="402"/>
        <v>AMMORTAMENTO BREVETTI</v>
      </c>
      <c r="Y168" s="259">
        <f>IF(W168="",0,MAX($Y$2:Y167)+1)</f>
        <v>143</v>
      </c>
      <c r="Z168" s="259" t="str">
        <f>IFERROR(INDEX($W$3:$Y$220,MATCH(ROWS($Z$2:Z167),$Y$3:$Y$220,0),1),"")</f>
        <v>39.12</v>
      </c>
      <c r="AA168" s="259" t="str">
        <f t="shared" si="403"/>
        <v>INSUSSISTENZE PASSIVE</v>
      </c>
      <c r="AB168" s="259" t="str">
        <f t="shared" si="404"/>
        <v>E</v>
      </c>
      <c r="AC168" s="259" t="str">
        <f t="shared" si="405"/>
        <v>D</v>
      </c>
      <c r="AD168" s="259" t="str">
        <f t="shared" si="406"/>
        <v>COSTI D'ESERCIZIO</v>
      </c>
      <c r="AE168" s="259" t="str">
        <f t="shared" si="407"/>
        <v>SE DARE</v>
      </c>
      <c r="AF168" s="259" t="str">
        <f t="shared" si="408"/>
        <v>ONERI DIVERSI</v>
      </c>
      <c r="AG168" s="259">
        <f t="shared" ca="1" si="409"/>
        <v>0</v>
      </c>
      <c r="AH168" s="259">
        <f t="shared" ca="1" si="410"/>
        <v>1</v>
      </c>
      <c r="AI168" s="259">
        <f t="shared" ca="1" si="411"/>
        <v>1</v>
      </c>
      <c r="AJ168" s="259" t="str">
        <f t="shared" si="412"/>
        <v>39</v>
      </c>
      <c r="AK168" s="259" t="str">
        <f t="shared" si="413"/>
        <v/>
      </c>
      <c r="AL168" s="259">
        <f>IF(AK168&lt;&gt;"",MAX($AL$2:AL167)+1,0)</f>
        <v>0</v>
      </c>
      <c r="AM168" s="259" t="str">
        <f>IFERROR(INDEX($AK$3:$AL$220,MATCH(ROWS($AM$3:AM168),$AL$3:$AL$220,0),1),"")</f>
        <v/>
      </c>
      <c r="AN168" s="259" t="str">
        <f t="shared" si="414"/>
        <v/>
      </c>
      <c r="AO168" s="259" t="str">
        <f t="shared" si="415"/>
        <v/>
      </c>
      <c r="AP168" s="259" t="str">
        <f t="shared" si="416"/>
        <v>ONERI DIVERSI</v>
      </c>
      <c r="AQ168" s="259">
        <f ca="1">IF(OR(AG168=0,AG168=""),0,MAX(AQ$2:AQ167)+1)</f>
        <v>0</v>
      </c>
      <c r="AR168" s="259">
        <f ca="1">IF(OR(AH168=0,AH168=""),0,MAX(AR$2:AR167)+1)</f>
        <v>112</v>
      </c>
      <c r="AS168" s="259">
        <f ca="1">IF(OR(AI168=0,AI168=""),0,MAX(AS$2:AS167)+1)</f>
        <v>162</v>
      </c>
      <c r="AT168" s="259" t="str">
        <f ca="1">IFERROR(INDEX($AD$3:$AS$220,MATCH(ROWS(AT$3:AT168),AQ$3:AQ$220,0),1),"")</f>
        <v/>
      </c>
      <c r="AU168" s="259" t="str">
        <f ca="1">IFERROR(INDEX($AD$3:$AS$220,MATCH(ROWS(AU$3:AU168),AR$3:AR$220,0),1),"")</f>
        <v/>
      </c>
      <c r="AV168" s="259" t="str">
        <f ca="1">IFERROR(INDEX($AD$3:$AS$220,MATCH(ROWS(AV$3:AV168),AS$3:AS$220,0),1),"")</f>
        <v>RICAVI D'ESERCIZIO</v>
      </c>
      <c r="AW168" s="259" t="str">
        <f ca="1">IFERROR(INDEX($AP$3:$AS$220,MATCH(ROWS(AW$3:AW168),AQ$3:AQ$220,0),1),"")</f>
        <v/>
      </c>
      <c r="AX168" s="259" t="str">
        <f ca="1">IFERROR(INDEX($AP$3:$AS$220,MATCH(ROWS(AX$3:AX168),AR$3:AR$220,0),1),"")</f>
        <v/>
      </c>
      <c r="AY168" s="259" t="str">
        <f ca="1">IFERROR(INDEX($AP$3:$AS$220,MATCH(ROWS(AY$3:AY168),AS$3:AS$220,0),1),"")</f>
        <v>PROVENTI FINANZIARI</v>
      </c>
      <c r="AZ168" s="259" t="str">
        <f t="shared" ref="AZ168:AZ202" si="490">CONCATENATE(ROW()-102," V.I.")</f>
        <v>66 V.I.</v>
      </c>
      <c r="BA168" s="259">
        <f t="shared" ca="1" si="484"/>
        <v>0</v>
      </c>
      <c r="BB168" s="259">
        <f t="shared" ref="BB168:BB203" ca="1" si="491">IF($BA168=0,0,EZ68)</f>
        <v>0</v>
      </c>
      <c r="BC168" s="259">
        <f t="shared" ref="BC168:BC203" ca="1" si="492">IF($BA168=0,0,FA68)</f>
        <v>0</v>
      </c>
      <c r="BD168" s="259">
        <f t="shared" ref="BD168:BD203" ca="1" si="493">IF($BA168=0,0,FB68)</f>
        <v>0</v>
      </c>
      <c r="BE168" s="259">
        <f t="shared" ref="BE168:BE203" ca="1" si="494">IF($BA168=0,0,FC68)</f>
        <v>0</v>
      </c>
      <c r="BG168" s="259" t="str">
        <f t="shared" ca="1" si="368"/>
        <v/>
      </c>
      <c r="BH168" s="259">
        <f ca="1">IF(IFERROR(MATCH(BG168,DENOMINAZIONE_GIORNALE,0),0)&gt;0,MAX(BH$2:BH167)+1,0)</f>
        <v>0</v>
      </c>
      <c r="BI168" s="259" t="str">
        <f ca="1">IFERROR(INDEX($BG$3:$BH$220,MATCH(ROWS($BI$3:BI168),$BH$3:$BH$220,0),1),"")</f>
        <v/>
      </c>
      <c r="BJ168" s="259" t="str">
        <f t="shared" ca="1" si="369"/>
        <v/>
      </c>
      <c r="BK168" s="259" t="str">
        <f ca="1">IF(IF(BJ168&lt;&gt;"",MAX($BK$2:BK167)+1,0)=0,"",IF(BJ168&lt;&gt;"",MAX($BK$2:BK167)+1,0))</f>
        <v/>
      </c>
      <c r="BL168" s="259" t="str">
        <f ca="1">IFERROR(INDEX($T$3:$U$220, MATCH(ROWS(BL$3:BL168),$V$3:$V$220,0),1),"")</f>
        <v/>
      </c>
      <c r="BM168" s="259" t="str">
        <f ca="1">IFERROR(INDEX($T$3:$U$220, MATCH(ROWS(BM$3:BM168),$V$3:$V$220,0),2),"")</f>
        <v/>
      </c>
      <c r="BN168" s="259" t="str">
        <f ca="1">IF(IFERROR(INDEX($BI$3:$BJ$220,MATCH(ROWS(BN$3:BN168),$BK$3:$BK$220,0),1),"")="PATRIMONIO NETTO","",IFERROR(INDEX($BI$3:$BJ$220,MATCH(ROWS(BN$3:BN168),$BK$3:$BK$220,0),1),""))</f>
        <v/>
      </c>
      <c r="BO168" s="259" t="str">
        <f ca="1">IFERROR(INDEX($BI$3:$BJ$220,MATCH(ROWS(BO$3:BO168),$BK$3:$BK$220,0),2),"")</f>
        <v/>
      </c>
      <c r="BP168" s="259">
        <f ca="1">IF(BN168&lt;&gt;"",MAX(BP$2:$BP167)+1,0)</f>
        <v>0</v>
      </c>
      <c r="BQ168" s="259" t="str">
        <f ca="1">IFERROR(INDEX($BN$3:$BO$200,MATCH(ROWS(BQ$3:BQ168),$BP$3:$BP$220,0),1),"")</f>
        <v/>
      </c>
      <c r="BR168" s="259" t="str">
        <f ca="1">IFERROR(INDEX($BN$3:$BO$220,MATCH(ROWS(BR$3:BR168),$BP$3:$BP$220,0),2),"")</f>
        <v/>
      </c>
      <c r="BS168" s="259" t="str">
        <f ca="1">IFERROR(IF(OR(INDEX($T$3:$U$220,MATCH(ROWS(BL$3:BL168),$V$3:$V$220,0),1)="PRELEVAMENTI EXTRAGESTIONE",INDEX($T$3:$U$220,MATCH(ROWS(BL$3:BL168),$V$3:$V$220,0),1)="TITOLARE C/RITENUTE SUBITE"),"",INDEX($T$3:$U$220,MATCH(ROWS(BL$3:BL168),$V$3:$V$220,0),1)),"")</f>
        <v/>
      </c>
      <c r="BT168" s="259">
        <f t="shared" ca="1" si="417"/>
        <v>0</v>
      </c>
      <c r="BU168" s="259">
        <f ca="1">IF(BS168&lt;&gt;"",MAX(BU$2:BU167)+1,0)</f>
        <v>0</v>
      </c>
      <c r="BV168" s="259" t="str">
        <f ca="1">IFERROR(INDEX($BS$3:$BT$223,MATCH(ROWS(BV$3:BV168),$BU$3:$BU$223,0),1),"")</f>
        <v/>
      </c>
      <c r="BW168" s="259">
        <f t="shared" ca="1" si="418"/>
        <v>0</v>
      </c>
      <c r="CB168" s="259" t="str">
        <f ca="1">IFERROR(IF(OR($BB$1&lt;&gt;$BD$1,$BC$1&lt;&gt;$BE$1,$DS$231&lt;&gt;$DT$231,$DU$231&lt;&gt;$DV$231,$EO$25&lt;&gt;0,$EO$26&lt;&gt;0),INDEX($BI$3:$BK$220,MATCH(ROWS($CB$3:CB168),$BK$3:$BK$220,0),1),CONCATENATE(BQ168,BX168)),"")</f>
        <v/>
      </c>
      <c r="CC168" s="259" t="str">
        <f t="shared" ca="1" si="419"/>
        <v/>
      </c>
      <c r="CD168" s="259" t="str">
        <f t="shared" ca="1" si="370"/>
        <v>INSUSSISTENZE PASSIVE</v>
      </c>
      <c r="CE168" s="259">
        <f ca="1">IF(IFERROR(MATCH(CD168,DENOMINAZIONE_GIORNALE,0),0)&gt;0,MAX(CE$2:CE167)+1,0)</f>
        <v>0</v>
      </c>
      <c r="CF168" s="259" t="str">
        <f ca="1">IFERROR(INDEX($CD$3:$CE$220,MATCH(ROWS($CF$3:CF168),$CE$3:$CE$220,0),1),"")</f>
        <v/>
      </c>
      <c r="CG168" s="259">
        <f t="shared" ca="1" si="371"/>
        <v>0</v>
      </c>
      <c r="CH168" s="259" t="str">
        <f ca="1">IF(IF(CG168&lt;&gt;0,MAX($CH$2:CH167)+1,0)=0,"",IF(CG168&lt;&gt;"",MAX($CH$2:CH167)+1,0))</f>
        <v/>
      </c>
      <c r="CI168" s="259" t="str">
        <f ca="1">IFERROR(INDEX($CF$3:$CG$220,MATCH(ROWS($CI$3:CI168),$CH$3:$CH$220,0),1),"")</f>
        <v/>
      </c>
      <c r="CJ168" s="259" t="str">
        <f t="shared" ca="1" si="420"/>
        <v/>
      </c>
      <c r="CK168" s="259" t="str">
        <f t="shared" ca="1" si="372"/>
        <v/>
      </c>
      <c r="CL168" s="259">
        <f ca="1">IF(IFERROR(MATCH(CK168,DENOMINAZIONE_GIORNALE,0),0)&gt;0,MAX(CL$2:CL167)+1,0)</f>
        <v>0</v>
      </c>
      <c r="CM168" s="259" t="str">
        <f ca="1">IFERROR(INDEX($CK$3:$CL$220,MATCH(ROWS($CM$3:CM168),$CL$3:$CL$220,0),1),"")</f>
        <v/>
      </c>
      <c r="CN168" s="259" t="str">
        <f t="shared" ca="1" si="373"/>
        <v/>
      </c>
      <c r="CO168" s="259">
        <f ca="1">IF(IF(CN168&lt;&gt;0,MAX($CO$2:CO167)+1,0)=0,"",IF(CN168&lt;&gt;"",MAX($CO$2:CO167)+1,0))</f>
        <v>0</v>
      </c>
      <c r="CP168" s="259" t="str">
        <f ca="1">IFERROR(INDEX($CM$3:$CN$220,MATCH(ROWS(CP$3:CP168),$CO$3:$CO$220,0),1),"")</f>
        <v/>
      </c>
      <c r="CQ168" s="259" t="str">
        <f ca="1">IFERROR(INDEX($CM$3:$CN$220,MATCH(ROWS(CQ$3:CQ168),$CO$3:$CO$220,0),2),"")</f>
        <v/>
      </c>
      <c r="CS168" s="259">
        <f t="shared" ca="1" si="374"/>
        <v>0</v>
      </c>
      <c r="CT168" s="259">
        <f t="shared" ca="1" si="375"/>
        <v>0</v>
      </c>
      <c r="CU168" s="259">
        <f ca="1">IF(OR(CS168&gt;0,CT168&gt;0),MAX($CU$2:CU167)+1,0)</f>
        <v>0</v>
      </c>
      <c r="CV168" s="259" t="str">
        <f ca="1">IFERROR(INDEX(PIANO_DEI_CONTI,MATCH(ROWS($CV$3:CV168),$CU$3:$CU$200,0),2),"")</f>
        <v/>
      </c>
      <c r="CW168" s="259">
        <f ca="1">IFERROR(IF(CV168&lt;&gt;"",MAX($CW$2:CW167)+1,0),0)</f>
        <v>0</v>
      </c>
      <c r="CX168" s="259">
        <f t="shared" ca="1" si="482"/>
        <v>10</v>
      </c>
      <c r="CY168" s="259" t="str">
        <f t="shared" ref="CY168:CY199" ca="1" si="495">IF(ISERROR(INDEX($CV$3:$CX$2300,MATCH(CX168,$CW$3:$CW$2300,0),1)),"MASTRO",INDEX($CV$3:$CX$2300,MATCH(CX168,$CW$3:$CW$2300,0),1))</f>
        <v>MASTRO</v>
      </c>
      <c r="CZ168" s="259" t="e">
        <f t="shared" ca="1" si="485"/>
        <v>#N/A</v>
      </c>
      <c r="DA168" s="259" t="str">
        <f t="shared" ref="DA168:DA181" ca="1" si="496">IFERROR(INDEX(LIBRO_GIORNALE,CZ168,1),"")</f>
        <v/>
      </c>
      <c r="DB168" s="259" t="str">
        <f t="shared" ca="1" si="486"/>
        <v/>
      </c>
      <c r="DC168" s="259" t="str">
        <f t="shared" ca="1" si="487"/>
        <v/>
      </c>
      <c r="DD168" s="259" t="str">
        <f t="shared" ca="1" si="488"/>
        <v/>
      </c>
      <c r="DE168" s="259" t="str">
        <f t="shared" ca="1" si="489"/>
        <v/>
      </c>
      <c r="DF168" s="259">
        <f ca="1">IF(AND(CX168=$DE$2,$DF$2&lt;&gt;0),0,IF(AND(DB168&lt;&gt;"",OR(DB167&lt;&gt;"",DB169&lt;&gt;"")),MAX($DF$2:DF167)+1,0))</f>
        <v>0</v>
      </c>
      <c r="DG168" s="259" t="str">
        <f>IF(IF(LIBRO_GIORNALE!E76="","",IFERROR(INDEX(PIANO_DEI_CONTI,MATCH(BB168,DENOMINAZIONE,0),1),0))=0,"",IF(LIBRO_GIORNALE!E76="","",IFERROR(INDEX(PIANO_DEI_CONTI,MATCH(BB168,DENOMINAZIONE,0),1),0)))</f>
        <v/>
      </c>
      <c r="DH168" s="259">
        <f ca="1">IFERROR(IF($J$1=1,IF(INDEX(PIANO_DEI_CONTI,MATCH($K168,DENOMINAZIONE,0),5)=$DF$1,MAX($DH$2:DH167)+1,0),IF($J$1=2,IF(INDEX(PIANO_DEI_CONTI,MATCH($K168,DENOMINAZIONE,0),7)=$DF$1,MAX($DH$2:DH167)+1,0))),0)</f>
        <v>0</v>
      </c>
      <c r="DI168" s="259">
        <f ca="1">IFERROR(INDEX($K$3:$K$220,MATCH(ROWS($DI$3:DI168),$DH$3:$DH$220,0),1),0)</f>
        <v>0</v>
      </c>
      <c r="DJ168" s="259">
        <f t="shared" ca="1" si="381"/>
        <v>0</v>
      </c>
      <c r="DK168" s="259">
        <f ca="1">IF(DJ168=0,0,MAX(DK$2:DK167)+1)</f>
        <v>0</v>
      </c>
      <c r="DL168" s="259">
        <f ca="1">IFERROR(INDEX(PIANO_DEI_CONTI,MATCH(ROWS(DL$3:DL168),$DK$3:DK395,0),2),0)</f>
        <v>0</v>
      </c>
      <c r="DM168" s="259">
        <f t="shared" ca="1" si="382"/>
        <v>0</v>
      </c>
      <c r="DN168" s="259">
        <f t="shared" ca="1" si="383"/>
        <v>0</v>
      </c>
      <c r="DO168" s="259">
        <f t="shared" ca="1" si="422"/>
        <v>0</v>
      </c>
      <c r="DP168" s="259">
        <f t="shared" ca="1" si="423"/>
        <v>0</v>
      </c>
      <c r="DQ168" s="259">
        <f ca="1">IF(OR($DQ$1="TOTALI",$DQ$1="TOTALI ED ECCEDENZE"),IF(OR(DM168&gt;0,DN168&gt;0),MAX(DQ$2:DQ167)+1,0),IF($DQ$1="ECCEDENZE",IF(OR(DO168&gt;0,DP168&gt;0),MAX(DQ$2:DQ167)+1,0),""))</f>
        <v>0</v>
      </c>
      <c r="DR168" s="259" t="str">
        <f ca="1">IFERROR(INDEX($DL$3:$DQ$230,MATCH(ROWS(DR$3:DR168),$DQ$3:$DQ$230,0),1),"")</f>
        <v/>
      </c>
      <c r="DS168" s="259" t="str">
        <f t="shared" ca="1" si="424"/>
        <v/>
      </c>
      <c r="DT168" s="259" t="str">
        <f t="shared" ca="1" si="425"/>
        <v/>
      </c>
      <c r="DU168" s="259" t="str">
        <f t="shared" ca="1" si="426"/>
        <v/>
      </c>
      <c r="DV168" s="259" t="str">
        <f t="shared" ca="1" si="427"/>
        <v/>
      </c>
      <c r="DW168" s="259">
        <f t="shared" ca="1" si="428"/>
        <v>0</v>
      </c>
      <c r="DX168" s="259" t="str">
        <f t="shared" ca="1" si="429"/>
        <v/>
      </c>
      <c r="DY168" s="259" t="str">
        <f t="shared" ca="1" si="430"/>
        <v/>
      </c>
      <c r="DZ168" s="259" t="str">
        <f t="shared" ca="1" si="431"/>
        <v/>
      </c>
      <c r="EB168" s="259" t="s">
        <v>385</v>
      </c>
      <c r="ED168" s="259">
        <f t="shared" ca="1" si="384"/>
        <v>0</v>
      </c>
      <c r="EH168" s="259" t="str">
        <f t="shared" ca="1" si="432"/>
        <v/>
      </c>
      <c r="EI168" s="260" t="b">
        <f t="shared" ca="1" si="466"/>
        <v>0</v>
      </c>
      <c r="EJ168" s="260" t="b">
        <f t="shared" ca="1" si="467"/>
        <v>0</v>
      </c>
      <c r="EK168" s="260" t="b">
        <f t="shared" ca="1" si="468"/>
        <v>1</v>
      </c>
      <c r="EL168" s="259">
        <f t="shared" si="433"/>
        <v>166</v>
      </c>
      <c r="EM168" s="259">
        <f ca="1">IF(AND(BA168&gt;0,BA168&lt;=$EM$1),MAX($EM$2:EM167)+1,0)</f>
        <v>0</v>
      </c>
      <c r="EN168" s="259">
        <f t="shared" ca="1" si="434"/>
        <v>168</v>
      </c>
      <c r="EP168" s="259" t="str">
        <f t="shared" ca="1" si="385"/>
        <v/>
      </c>
      <c r="EQ168" s="259">
        <f t="shared" ca="1" si="386"/>
        <v>0</v>
      </c>
      <c r="ER168" s="259">
        <f ca="1">IF(ISNA(EQ168),MAX(ER$2:ER167)+1,0)</f>
        <v>0</v>
      </c>
      <c r="ES168" s="259" t="str">
        <f t="shared" ca="1" si="435"/>
        <v/>
      </c>
      <c r="ET168" s="259" t="str">
        <f ca="1">IFERROR(UPPER(INDEX($ER$3:$ES$500,MATCH(ROWS(ET$3:ET168),$ER$3:$ER$500,0),2)),"")</f>
        <v/>
      </c>
      <c r="EW168" s="259">
        <f t="shared" ref="EW168:EW231" ca="1" si="497">IF(AND($EX$3&lt;&gt;0,EX168&gt;=$EX$3),0,1)</f>
        <v>1</v>
      </c>
      <c r="EX168" s="259">
        <v>66</v>
      </c>
      <c r="EY168" s="259">
        <f t="shared" ref="EY168:EY231" ca="1" si="498">IF(EW168=0,0,INDIRECT(ADDRESS(ROW()-92,COLUMN()-151,,,"LIBRO_GIORNALE")))</f>
        <v>0</v>
      </c>
      <c r="EZ168" s="259">
        <f t="shared" ref="EZ168:EZ231" ca="1" si="499">IF(EW168=0,0,INDIRECT(ADDRESS(ROW()-92,COLUMN()-151,,,"LIBRO_GIORNALE")))</f>
        <v>0</v>
      </c>
      <c r="FA168" s="259">
        <f t="shared" ref="FA168:FA231" ca="1" si="500">IF(EW168=0,0,INDIRECT(ADDRESS(ROW()-92,COLUMN()-151,,,"LIBRO_GIORNALE")))</f>
        <v>0</v>
      </c>
      <c r="FB168" s="259">
        <f t="shared" ref="FB168:FB231" ca="1" si="501">IF(EZ168=0,0,ROUND(IF(EW168=0,0,INDIRECT(ADDRESS(ROW()-92,COLUMN()-151,,,"LIBRO_GIORNALE"))),2))</f>
        <v>0</v>
      </c>
      <c r="FC168" s="259">
        <f t="shared" ref="FC168:FC231" ca="1" si="502">IF(EZ168=0,0,ROUND(IF(EW168=0,0,INDIRECT(ADDRESS(ROW()-92,COLUMN()-151,,,"LIBRO_GIORNALE"))),2))</f>
        <v>0</v>
      </c>
      <c r="FD168" s="259">
        <f t="shared" ca="1" si="387"/>
        <v>0</v>
      </c>
      <c r="FE168" s="259" t="str">
        <f t="shared" ca="1" si="388"/>
        <v/>
      </c>
      <c r="FF168" s="259" t="str">
        <f t="shared" ref="FF168:FF231" ca="1" si="503">IF(EZ168&lt;&gt;0,ROW()-102,"")</f>
        <v/>
      </c>
      <c r="FM168" s="259">
        <f t="shared" ca="1" si="389"/>
        <v>0</v>
      </c>
      <c r="FN168" s="259">
        <f ca="1">IF(FM168&lt;0,MAX($FN$2:FN167)+1,0)</f>
        <v>0</v>
      </c>
      <c r="FO168" s="259" t="str">
        <f t="shared" ca="1" si="436"/>
        <v/>
      </c>
      <c r="FP168" s="259" t="str">
        <f ca="1">IFERROR(INDEX($FN$3:$FO$400,MATCH(ROWS($FP$3:FP168),$FN$3:$FN$400,0),2),"")</f>
        <v/>
      </c>
      <c r="FQ168" s="259" t="str">
        <f>IF(AE168="SE AVERE",MAX($FQ$2:FQ167)+1,"")</f>
        <v/>
      </c>
      <c r="FR168" s="259">
        <f>IF(AE168="SE DARE",MAX($FR$2:FR167)+1,"")</f>
        <v>71</v>
      </c>
      <c r="FS168" s="259" t="str">
        <f ca="1">IF(AND(AE168="SP DARE",AA168&lt;&gt;$FS$1,AA168&lt;&gt;$FT$1),MAX($FS$2:FS167)+1,IF(AND(GQ168="SP DARE",AA168&lt;&gt;$FS$1,AA168&lt;&gt;$FT$1),MAX($FS$2:FS167)+1,""))</f>
        <v/>
      </c>
      <c r="FT168" s="259" t="str">
        <f ca="1">IF(AND(AE168="SP AVERE",AA168&lt;&gt;$FU$1),MAX($FT$2:FT167)+1,IF(AND(GQ168="SP AVERE",AA168&lt;&gt;$FU$1),MAX($FT$2:FT167)+1,""))</f>
        <v/>
      </c>
      <c r="FU168" s="259">
        <f t="shared" ca="1" si="437"/>
        <v>71</v>
      </c>
      <c r="FV168" s="259" t="str">
        <f t="shared" si="438"/>
        <v>INSUSSISTENZE PASSIVE</v>
      </c>
      <c r="FW168" s="259" t="str">
        <f ca="1">IFERROR(INDEX($FU$3:$FV$500,MATCH(ROWS($FW$3:FW168),$FU$3:$FU$500,0),2),0)</f>
        <v>DEBITI PER CAUZIONI</v>
      </c>
      <c r="FX168" s="259">
        <f t="shared" ca="1" si="439"/>
        <v>166</v>
      </c>
      <c r="FY168" s="259">
        <f t="shared" ca="1" si="440"/>
        <v>0</v>
      </c>
      <c r="FZ168" s="259">
        <f ca="1">IF(FY168&gt;0,MAX($FZ$2:FZ167)+1,0)</f>
        <v>0</v>
      </c>
      <c r="GA168" s="259">
        <f ca="1">IFERROR(INDEX($FY$3:$FZ$500,MATCH(ROWS($GA$3:GA168),$FZ$3:$FZ$500,0),1),0)</f>
        <v>0</v>
      </c>
      <c r="GC168" s="259">
        <f t="shared" ca="1" si="441"/>
        <v>166</v>
      </c>
      <c r="GD168" s="259" t="str">
        <f t="shared" ca="1" si="442"/>
        <v>DEBITI PER CAUZIONI</v>
      </c>
      <c r="GG168" s="259">
        <f t="shared" ca="1" si="443"/>
        <v>0</v>
      </c>
      <c r="GH168" s="259">
        <f t="shared" ca="1" si="444"/>
        <v>0</v>
      </c>
      <c r="GI168" s="259">
        <f t="shared" ca="1" si="445"/>
        <v>0</v>
      </c>
      <c r="GJ168" s="259">
        <f t="shared" ca="1" si="446"/>
        <v>0</v>
      </c>
      <c r="GK168" s="259">
        <f t="shared" ca="1" si="447"/>
        <v>0</v>
      </c>
      <c r="GL168" s="259">
        <f t="shared" ca="1" si="447"/>
        <v>0</v>
      </c>
      <c r="GM168" s="259">
        <f ca="1">IF(OR(GK168&gt;0,GL168&gt;0),MAX($GM$2:GM167)+1,0)</f>
        <v>0</v>
      </c>
      <c r="GN168" s="259" t="str">
        <f ca="1">IFERROR(INDEX($GD$3:$GM$400,MATCH(ROWS($GN$3:GN168),$GM$3:$GM$400,0),1),"")</f>
        <v/>
      </c>
      <c r="GO168" s="259" t="str">
        <f ca="1">IFERROR(INDEX($GD$3:$GM$400,MATCH(ROWS($GO$3:GO168),$GM$3:$GM$400,0),8),"")</f>
        <v/>
      </c>
      <c r="GP168" s="259" t="str">
        <f ca="1">IFERROR(INDEX($GD$3:$GM$400,MATCH(ROWS($GP$3:GP168),$GM$3:$GM$400,0),9),"")</f>
        <v/>
      </c>
      <c r="GQ168" s="259">
        <f t="shared" ca="1" si="390"/>
        <v>0</v>
      </c>
      <c r="GR168" s="259">
        <f t="shared" ca="1" si="448"/>
        <v>0</v>
      </c>
      <c r="GS168" s="259" t="str">
        <f t="shared" ca="1" si="449"/>
        <v>chiusura del conto</v>
      </c>
      <c r="GT168" s="259" t="str">
        <f ca="1">IFERROR(INDEX($GD$3:$GS$400,MATCH(ROWS($GT$3:GT168),$GM$3:$GM$400,0),16),"")</f>
        <v/>
      </c>
      <c r="GU168" s="259">
        <f ca="1">IF(GQ168&lt;&gt;0,MAX($GU$2:$GU167)+1,0)</f>
        <v>0</v>
      </c>
      <c r="GV168" s="259">
        <f t="shared" ca="1" si="450"/>
        <v>0</v>
      </c>
      <c r="GW168" s="259" t="str">
        <f ca="1">IF(AND(IFERROR(INDEX($GU$3:$GV$400,MATCH(ROWS($GW$3:GW168),$GU$3:$GU$400,0),2),"")&lt;&gt;"",GW169&lt;&gt;""),CONCATENATE(IFERROR(INDEX($GU$3:$GV$400,MATCH(ROWS($GW$3:GW168),$GU$3:$GU$400,0),2),"")," - "),IFERROR(INDEX($GU$3:$GV$400,MATCH(ROWS($GW$3:GW168),$GU$3:$GU$400,0),2),""))</f>
        <v/>
      </c>
      <c r="GX168" s="259">
        <f ca="1">IF(OR(GN168="IVA NS/CREDITO",GN168="IVA NS/DEBITO",GN168="IVA C/ACCONTO",GN168="IMPOSTE C/ACCONTO"),MAX($GX$2:GX167)+1,0)</f>
        <v>0</v>
      </c>
      <c r="GY168" s="259" t="str">
        <f ca="1">IF(AND(IFERROR(INDEX($GN$3:$GX$200,MATCH(ROWS($GY$3:GY168),$GX$3:$GX$200,0),1),"")&lt;&gt;"",GY169&lt;&gt;""),CONCATENATE(IFERROR(INDEX($GN$3:$GX$200,MATCH(ROWS($GY$3:GY168),$GX$3:$GX$200,0),1),"")," - "),IFERROR(INDEX($GN$3:$GX$200,MATCH(ROWS($GY$3:GY168),$GX$3:$GX$200,0),1),""))</f>
        <v/>
      </c>
      <c r="GZ168" s="259" t="s">
        <v>663</v>
      </c>
      <c r="HA168" s="259" t="s">
        <v>664</v>
      </c>
      <c r="HB168" s="269" t="s">
        <v>256</v>
      </c>
      <c r="HC168" s="269" t="s">
        <v>276</v>
      </c>
      <c r="HD168" s="269" t="s">
        <v>7</v>
      </c>
      <c r="HE168" s="269" t="s">
        <v>214</v>
      </c>
      <c r="HV168" s="259" t="str">
        <f ca="1">CONCATENATE(IFERROR(INDEX($HS$3:$HT$102,MATCH(ROWS($HV$3:HV168),$HT$3:$HT$102,0),1),""),HR168)</f>
        <v/>
      </c>
      <c r="IC168" s="259">
        <f ca="1">IFERROR(INDEX(PIANO_DEI_CONTI,MATCH(ROWS(DL$3:DL168),$DK$3:DK395,0),2),0)</f>
        <v>0</v>
      </c>
      <c r="ID168" s="259">
        <f t="shared" ca="1" si="451"/>
        <v>0</v>
      </c>
      <c r="IE168" s="259">
        <f t="shared" ca="1" si="452"/>
        <v>0</v>
      </c>
      <c r="IF168" s="259">
        <f t="shared" ca="1" si="453"/>
        <v>0</v>
      </c>
      <c r="IG168" s="259">
        <f t="shared" ca="1" si="479"/>
        <v>0</v>
      </c>
      <c r="IH168" s="259">
        <f ca="1">IF(IG168&lt;&gt;0,MAX($IH$35:IH167)+1,0)</f>
        <v>0</v>
      </c>
      <c r="II168" s="259">
        <f>IF(AD168="costi pluriennali",MAX($II$2:II167)+1,0)</f>
        <v>0</v>
      </c>
      <c r="IJ168" s="259">
        <f>IF($AD168="rettifiche costi pluriennali",MAX($IJ$2:IJ167)+1,0)</f>
        <v>0</v>
      </c>
      <c r="IK168" s="259">
        <f t="shared" si="454"/>
        <v>0</v>
      </c>
      <c r="IL168" s="259" t="str">
        <f t="shared" si="455"/>
        <v/>
      </c>
      <c r="IM168" s="259">
        <f t="shared" ca="1" si="456"/>
        <v>0</v>
      </c>
      <c r="IN168" s="259">
        <f t="shared" ca="1" si="470"/>
        <v>0</v>
      </c>
      <c r="IO168" s="259">
        <f>SUMIFS($IM$3:$IM$200,$IK$3:$IK$200,ROWS($IO$3:IO168))-SUMIFS($IN$3:$IN$200,$IK$3:$IK$200,ROWS($IO$3:IO168))</f>
        <v>0</v>
      </c>
      <c r="IP168" s="259" t="str">
        <f>IF(IO168&lt;0,INDEX($IJ$3:$IL$200,MATCH(ROWS($IP$3:IP168),$IJ$3:$IJ$200,0),3),"")</f>
        <v/>
      </c>
      <c r="IQ168" s="259">
        <f>IF(IP168&lt;&gt;"",MAX($IQ$2:IQ167)+1,0)</f>
        <v>0</v>
      </c>
      <c r="IR168" s="259" t="str">
        <f ca="1">IFERROR(INDEX($IP$3:$IQ$200,MATCH(ROWS($IR$3:IR168),$IQ$3:$IQ$200,0),1),"")</f>
        <v/>
      </c>
      <c r="IS168" s="259" t="str">
        <f t="shared" ca="1" si="457"/>
        <v/>
      </c>
      <c r="IT168" s="259" t="str">
        <f t="shared" ca="1" si="458"/>
        <v/>
      </c>
      <c r="IU168" s="259" t="str">
        <f t="shared" ca="1" si="459"/>
        <v/>
      </c>
      <c r="IV168" s="259" t="str">
        <f t="shared" ca="1" si="460"/>
        <v/>
      </c>
      <c r="IW168" s="259" t="str">
        <f t="shared" ca="1" si="461"/>
        <v/>
      </c>
      <c r="IX168" s="259" t="str">
        <f t="shared" ca="1" si="462"/>
        <v/>
      </c>
      <c r="IY168" s="259" t="str">
        <f t="shared" ca="1" si="463"/>
        <v/>
      </c>
      <c r="IZ168" s="259" t="str">
        <f t="shared" ca="1" si="464"/>
        <v/>
      </c>
      <c r="JA168" s="259" t="str">
        <f t="shared" ca="1" si="465"/>
        <v/>
      </c>
      <c r="JB168" s="259">
        <f t="shared" ca="1" si="391"/>
        <v>0</v>
      </c>
      <c r="JC168" s="259">
        <f t="shared" ref="JC168:JC231" ca="1" si="504">IF(OR(FB168&lt;0,FC168&lt;0),1,0)</f>
        <v>0</v>
      </c>
      <c r="JD168" s="259">
        <f t="shared" ref="JD168:JD231" ca="1" si="505">IF(AND(FB168&lt;&gt;0,FC168&lt;&gt;0),1,0)</f>
        <v>0</v>
      </c>
      <c r="JM168" s="259">
        <f t="shared" ref="JM168:JM231" ca="1" si="506">IF(AND(EY168&gt;0,EY168&gt;EY169,EY169&lt;&gt;0),1,0)</f>
        <v>0</v>
      </c>
    </row>
    <row r="169" spans="1:273">
      <c r="A169" s="259" t="str">
        <f t="shared" si="392"/>
        <v>34.04</v>
      </c>
      <c r="B169" s="259" t="str">
        <f t="shared" si="393"/>
        <v>AMMORTAMENTO SOFTWARE</v>
      </c>
      <c r="C169" s="259" t="str">
        <f t="shared" si="394"/>
        <v>E</v>
      </c>
      <c r="D169" s="259" t="str">
        <f t="shared" si="395"/>
        <v>D</v>
      </c>
      <c r="E169" s="259" t="str">
        <f t="shared" si="396"/>
        <v>COSTI D'ESERCIZIO</v>
      </c>
      <c r="F169" s="259" t="str">
        <f t="shared" si="397"/>
        <v>SE DARE</v>
      </c>
      <c r="G169" s="259">
        <f t="shared" ca="1" si="398"/>
        <v>0</v>
      </c>
      <c r="H169" s="259">
        <f t="shared" ca="1" si="399"/>
        <v>0</v>
      </c>
      <c r="I169" s="259">
        <f t="shared" ca="1" si="400"/>
        <v>1</v>
      </c>
      <c r="K169" s="259" t="str">
        <f ca="1">IFERROR(IF($I$1=1,INDEX($AA$3:$AS$220,MATCH(ROWS($K$3:K169),$AQ$3:$AQ$220,0),1),IF($I$1=2,INDEX($AA$3:$AS$220,MATCH(ROWS($K$3:K169),$AR$3:$AR$220,0),1),IF($I$1=3,INDEX($AA$3:$AS$220,MATCH(ROWS($K$3:K169),$AS$3:$AS$220,0),1),""))),"")</f>
        <v>INTERESSI PASSIVI A FORNITORI</v>
      </c>
      <c r="L169" s="259">
        <f ca="1">IF(AND($L$1="VISUALIZZA TUTTI I CONTI",K169&lt;&gt;""),MAX(L168:L168)+1,IFERROR(IF($J$1=1,IF(INDEX(PIANO_DEI_CONTI,MATCH($K169,DENOMINAZIONE,0),5)=$L$1,MAX($L$2:L168)+1,0),IF($J$1=2,IF(INDEX(PIANO_DEI_CONTI,MATCH($K169,DENOMINAZIONE,0),7)=$L$1,MAX($L$2:L168)+1,0))),0))</f>
        <v>167</v>
      </c>
      <c r="M169" s="259" t="str">
        <f ca="1">IFERROR(INDEX($K$3:$K$220,MATCH(ROWS($M$3:M169),$L$3:$L$220,0),1),"")</f>
        <v>INTERESSI PASSIVI A FORNITORI</v>
      </c>
      <c r="R169" s="259" t="str">
        <f t="shared" ca="1" si="366"/>
        <v/>
      </c>
      <c r="S169" s="259">
        <f ca="1">IF(IFERROR(MATCH(R169,DENOMINAZIONE_GIORNALE,0),0)&gt;0,MAX(S$2:S168)+1,0)</f>
        <v>0</v>
      </c>
      <c r="T169" s="259" t="str">
        <f ca="1">IFERROR(INDEX($R$3:$S$220,MATCH(ROWS($T$3:T169),$S$3:$S$220,0),1),"")</f>
        <v/>
      </c>
      <c r="U169" s="259">
        <f t="shared" ca="1" si="367"/>
        <v>0</v>
      </c>
      <c r="V169" s="259">
        <f ca="1">IF(IF(U169&lt;&gt;0,MAX($V$2:V168)+1,0)=0,0,IF(U169&lt;&gt;0,MAX($V$2:V168)+1,0))</f>
        <v>0</v>
      </c>
      <c r="W169" s="259" t="str">
        <f t="shared" si="401"/>
        <v>34.04</v>
      </c>
      <c r="X169" s="259" t="str">
        <f t="shared" si="402"/>
        <v>AMMORTAMENTO SOFTWARE</v>
      </c>
      <c r="Y169" s="259">
        <f>IF(W169="",0,MAX($Y$2:Y168)+1)</f>
        <v>144</v>
      </c>
      <c r="Z169" s="259" t="str">
        <f>IFERROR(INDEX($W$3:$Y$220,MATCH(ROWS($Z$2:Z168),$Y$3:$Y$220,0),1),"")</f>
        <v>40.01</v>
      </c>
      <c r="AA169" s="259" t="str">
        <f t="shared" si="403"/>
        <v>INTERESSI ATTIVI DA CLIENTI</v>
      </c>
      <c r="AB169" s="259" t="str">
        <f t="shared" si="404"/>
        <v>E</v>
      </c>
      <c r="AC169" s="259" t="str">
        <f t="shared" si="405"/>
        <v>A</v>
      </c>
      <c r="AD169" s="259" t="str">
        <f t="shared" si="406"/>
        <v>RICAVI D'ESERCIZIO</v>
      </c>
      <c r="AE169" s="259" t="str">
        <f t="shared" si="407"/>
        <v>SE AVERE</v>
      </c>
      <c r="AF169" s="259" t="str">
        <f t="shared" si="408"/>
        <v>PROVENTI FINANZIARI</v>
      </c>
      <c r="AG169" s="259">
        <f t="shared" ca="1" si="409"/>
        <v>1</v>
      </c>
      <c r="AH169" s="259">
        <f t="shared" ca="1" si="410"/>
        <v>1</v>
      </c>
      <c r="AI169" s="259">
        <f t="shared" ca="1" si="411"/>
        <v>1</v>
      </c>
      <c r="AJ169" s="259" t="str">
        <f t="shared" si="412"/>
        <v>40</v>
      </c>
      <c r="AK169" s="259" t="str">
        <f t="shared" si="413"/>
        <v/>
      </c>
      <c r="AL169" s="259">
        <f>IF(AK169&lt;&gt;"",MAX($AL$2:AL168)+1,0)</f>
        <v>0</v>
      </c>
      <c r="AM169" s="259" t="str">
        <f>IFERROR(INDEX($AK$3:$AL$220,MATCH(ROWS($AM$3:AM169),$AL$3:$AL$220,0),1),"")</f>
        <v/>
      </c>
      <c r="AN169" s="259" t="str">
        <f t="shared" si="414"/>
        <v/>
      </c>
      <c r="AO169" s="259" t="str">
        <f t="shared" si="415"/>
        <v/>
      </c>
      <c r="AP169" s="259" t="str">
        <f t="shared" si="416"/>
        <v>PROVENTI FINANZIARI</v>
      </c>
      <c r="AQ169" s="259">
        <f ca="1">IF(OR(AG169=0,AG169=""),0,MAX(AQ$2:AQ168)+1)</f>
        <v>83</v>
      </c>
      <c r="AR169" s="259">
        <f ca="1">IF(OR(AH169=0,AH169=""),0,MAX(AR$2:AR168)+1)</f>
        <v>113</v>
      </c>
      <c r="AS169" s="259">
        <f ca="1">IF(OR(AI169=0,AI169=""),0,MAX(AS$2:AS168)+1)</f>
        <v>163</v>
      </c>
      <c r="AT169" s="259" t="str">
        <f ca="1">IFERROR(INDEX($AD$3:$AS$220,MATCH(ROWS(AT$3:AT169),AQ$3:AQ$220,0),1),"")</f>
        <v/>
      </c>
      <c r="AU169" s="259" t="str">
        <f ca="1">IFERROR(INDEX($AD$3:$AS$220,MATCH(ROWS(AU$3:AU169),AR$3:AR$220,0),1),"")</f>
        <v/>
      </c>
      <c r="AV169" s="259" t="str">
        <f ca="1">IFERROR(INDEX($AD$3:$AS$220,MATCH(ROWS(AV$3:AV169),AS$3:AS$220,0),1),"")</f>
        <v>COSTI D'ESERCIZIO</v>
      </c>
      <c r="AW169" s="259" t="str">
        <f ca="1">IFERROR(INDEX($AP$3:$AS$220,MATCH(ROWS(AW$3:AW169),AQ$3:AQ$220,0),1),"")</f>
        <v/>
      </c>
      <c r="AX169" s="259" t="str">
        <f ca="1">IFERROR(INDEX($AP$3:$AS$220,MATCH(ROWS(AX$3:AX169),AR$3:AR$220,0),1),"")</f>
        <v/>
      </c>
      <c r="AY169" s="259" t="str">
        <f ca="1">IFERROR(INDEX($AP$3:$AS$220,MATCH(ROWS(AY$3:AY169),AS$3:AS$220,0),1),"")</f>
        <v>ONERI FINANZIARI</v>
      </c>
      <c r="AZ169" s="259" t="str">
        <f t="shared" si="490"/>
        <v>67 V.I.</v>
      </c>
      <c r="BA169" s="259">
        <f t="shared" ca="1" si="484"/>
        <v>0</v>
      </c>
      <c r="BB169" s="259">
        <f t="shared" ca="1" si="491"/>
        <v>0</v>
      </c>
      <c r="BC169" s="259">
        <f t="shared" ca="1" si="492"/>
        <v>0</v>
      </c>
      <c r="BD169" s="259">
        <f t="shared" ca="1" si="493"/>
        <v>0</v>
      </c>
      <c r="BE169" s="259">
        <f t="shared" ca="1" si="494"/>
        <v>0</v>
      </c>
      <c r="BG169" s="259" t="str">
        <f t="shared" ca="1" si="368"/>
        <v/>
      </c>
      <c r="BH169" s="259">
        <f ca="1">IF(IFERROR(MATCH(BG169,DENOMINAZIONE_GIORNALE,0),0)&gt;0,MAX(BH$2:BH168)+1,0)</f>
        <v>0</v>
      </c>
      <c r="BI169" s="259" t="str">
        <f ca="1">IFERROR(INDEX($BG$3:$BH$220,MATCH(ROWS($BI$3:BI169),$BH$3:$BH$220,0),1),"")</f>
        <v/>
      </c>
      <c r="BJ169" s="259" t="str">
        <f t="shared" ca="1" si="369"/>
        <v/>
      </c>
      <c r="BK169" s="259" t="str">
        <f ca="1">IF(IF(BJ169&lt;&gt;"",MAX($BK$2:BK168)+1,0)=0,"",IF(BJ169&lt;&gt;"",MAX($BK$2:BK168)+1,0))</f>
        <v/>
      </c>
      <c r="BL169" s="259" t="str">
        <f ca="1">IFERROR(INDEX($T$3:$U$220, MATCH(ROWS(BL$3:BL169),$V$3:$V$220,0),1),"")</f>
        <v/>
      </c>
      <c r="BM169" s="259" t="str">
        <f ca="1">IFERROR(INDEX($T$3:$U$220, MATCH(ROWS(BM$3:BM169),$V$3:$V$220,0),2),"")</f>
        <v/>
      </c>
      <c r="BN169" s="259" t="str">
        <f ca="1">IF(IFERROR(INDEX($BI$3:$BJ$220,MATCH(ROWS(BN$3:BN169),$BK$3:$BK$220,0),1),"")="PATRIMONIO NETTO","",IFERROR(INDEX($BI$3:$BJ$220,MATCH(ROWS(BN$3:BN169),$BK$3:$BK$220,0),1),""))</f>
        <v/>
      </c>
      <c r="BO169" s="259" t="str">
        <f ca="1">IFERROR(INDEX($BI$3:$BJ$220,MATCH(ROWS(BO$3:BO169),$BK$3:$BK$220,0),2),"")</f>
        <v/>
      </c>
      <c r="BP169" s="259">
        <f ca="1">IF(BN169&lt;&gt;"",MAX(BP$2:$BP168)+1,0)</f>
        <v>0</v>
      </c>
      <c r="BQ169" s="259" t="str">
        <f ca="1">IFERROR(INDEX($BN$3:$BO$200,MATCH(ROWS(BQ$3:BQ169),$BP$3:$BP$220,0),1),"")</f>
        <v/>
      </c>
      <c r="BR169" s="259" t="str">
        <f ca="1">IFERROR(INDEX($BN$3:$BO$220,MATCH(ROWS(BR$3:BR169),$BP$3:$BP$220,0),2),"")</f>
        <v/>
      </c>
      <c r="BS169" s="259" t="str">
        <f ca="1">IFERROR(IF(OR(INDEX($T$3:$U$220,MATCH(ROWS(BL$3:BL169),$V$3:$V$220,0),1)="PRELEVAMENTI EXTRAGESTIONE",INDEX($T$3:$U$220,MATCH(ROWS(BL$3:BL169),$V$3:$V$220,0),1)="TITOLARE C/RITENUTE SUBITE"),"",INDEX($T$3:$U$220,MATCH(ROWS(BL$3:BL169),$V$3:$V$220,0),1)),"")</f>
        <v/>
      </c>
      <c r="BT169" s="259">
        <f t="shared" ca="1" si="417"/>
        <v>0</v>
      </c>
      <c r="BU169" s="259">
        <f ca="1">IF(BS169&lt;&gt;"",MAX(BU$2:BU168)+1,0)</f>
        <v>0</v>
      </c>
      <c r="BV169" s="259" t="str">
        <f ca="1">IFERROR(INDEX($BS$3:$BT$223,MATCH(ROWS(BV$3:BV169),$BU$3:$BU$223,0),1),"")</f>
        <v/>
      </c>
      <c r="BW169" s="259">
        <f t="shared" ca="1" si="418"/>
        <v>0</v>
      </c>
      <c r="CB169" s="259" t="str">
        <f ca="1">IFERROR(IF(OR($BB$1&lt;&gt;$BD$1,$BC$1&lt;&gt;$BE$1,$DS$231&lt;&gt;$DT$231,$DU$231&lt;&gt;$DV$231,$EO$25&lt;&gt;0,$EO$26&lt;&gt;0),INDEX($BI$3:$BK$220,MATCH(ROWS($CB$3:CB169),$BK$3:$BK$220,0),1),CONCATENATE(BQ169,BX169)),"")</f>
        <v/>
      </c>
      <c r="CC169" s="259" t="str">
        <f t="shared" ca="1" si="419"/>
        <v/>
      </c>
      <c r="CD169" s="259" t="str">
        <f t="shared" ca="1" si="370"/>
        <v/>
      </c>
      <c r="CE169" s="259">
        <f ca="1">IF(IFERROR(MATCH(CD169,DENOMINAZIONE_GIORNALE,0),0)&gt;0,MAX(CE$2:CE168)+1,0)</f>
        <v>0</v>
      </c>
      <c r="CF169" s="259" t="str">
        <f ca="1">IFERROR(INDEX($CD$3:$CE$220,MATCH(ROWS($CF$3:CF169),$CE$3:$CE$220,0),1),"")</f>
        <v/>
      </c>
      <c r="CG169" s="259">
        <f t="shared" ca="1" si="371"/>
        <v>0</v>
      </c>
      <c r="CH169" s="259" t="str">
        <f ca="1">IF(IF(CG169&lt;&gt;0,MAX($CH$2:CH168)+1,0)=0,"",IF(CG169&lt;&gt;"",MAX($CH$2:CH168)+1,0))</f>
        <v/>
      </c>
      <c r="CI169" s="259" t="str">
        <f ca="1">IFERROR(INDEX($CF$3:$CG$220,MATCH(ROWS($CI$3:CI169),$CH$3:$CH$220,0),1),"")</f>
        <v/>
      </c>
      <c r="CJ169" s="259" t="str">
        <f t="shared" ca="1" si="420"/>
        <v/>
      </c>
      <c r="CK169" s="259" t="str">
        <f t="shared" ca="1" si="372"/>
        <v>INTERESSI ATTIVI DA CLIENTI</v>
      </c>
      <c r="CL169" s="259">
        <f ca="1">IF(IFERROR(MATCH(CK169,DENOMINAZIONE_GIORNALE,0),0)&gt;0,MAX(CL$2:CL168)+1,0)</f>
        <v>0</v>
      </c>
      <c r="CM169" s="259" t="str">
        <f ca="1">IFERROR(INDEX($CK$3:$CL$220,MATCH(ROWS($CM$3:CM169),$CL$3:$CL$220,0),1),"")</f>
        <v/>
      </c>
      <c r="CN169" s="259" t="str">
        <f t="shared" ca="1" si="373"/>
        <v/>
      </c>
      <c r="CO169" s="259">
        <f ca="1">IF(IF(CN169&lt;&gt;0,MAX($CO$2:CO168)+1,0)=0,"",IF(CN169&lt;&gt;"",MAX($CO$2:CO168)+1,0))</f>
        <v>0</v>
      </c>
      <c r="CP169" s="259" t="str">
        <f ca="1">IFERROR(INDEX($CM$3:$CN$220,MATCH(ROWS(CP$3:CP169),$CO$3:$CO$220,0),1),"")</f>
        <v/>
      </c>
      <c r="CQ169" s="259" t="str">
        <f ca="1">IFERROR(INDEX($CM$3:$CN$220,MATCH(ROWS(CQ$3:CQ169),$CO$3:$CO$220,0),2),"")</f>
        <v/>
      </c>
      <c r="CS169" s="259">
        <f t="shared" ca="1" si="374"/>
        <v>0</v>
      </c>
      <c r="CT169" s="259">
        <f t="shared" ca="1" si="375"/>
        <v>0</v>
      </c>
      <c r="CU169" s="259">
        <f ca="1">IF(OR(CS169&gt;0,CT169&gt;0),MAX($CU$2:CU168)+1,0)</f>
        <v>0</v>
      </c>
      <c r="CV169" s="259" t="str">
        <f ca="1">IFERROR(INDEX(PIANO_DEI_CONTI,MATCH(ROWS($CV$3:CV169),$CU$3:$CU$200,0),2),"")</f>
        <v/>
      </c>
      <c r="CW169" s="259">
        <f ca="1">IFERROR(IF(CV169&lt;&gt;"",MAX($CW$2:CW168)+1,0),0)</f>
        <v>0</v>
      </c>
      <c r="CX169" s="259">
        <f t="shared" ca="1" si="482"/>
        <v>10</v>
      </c>
      <c r="CY169" s="259" t="str">
        <f t="shared" ca="1" si="495"/>
        <v>MASTRO</v>
      </c>
      <c r="CZ169" s="259" t="e">
        <f t="shared" ca="1" si="485"/>
        <v>#N/A</v>
      </c>
      <c r="DA169" s="259" t="str">
        <f t="shared" ca="1" si="496"/>
        <v/>
      </c>
      <c r="DB169" s="259" t="str">
        <f t="shared" ca="1" si="486"/>
        <v/>
      </c>
      <c r="DC169" s="259" t="str">
        <f t="shared" ca="1" si="487"/>
        <v/>
      </c>
      <c r="DD169" s="259" t="str">
        <f t="shared" ca="1" si="488"/>
        <v/>
      </c>
      <c r="DE169" s="259" t="str">
        <f t="shared" ca="1" si="489"/>
        <v/>
      </c>
      <c r="DF169" s="259">
        <f ca="1">IF(AND(CX169=$DE$2,$DF$2&lt;&gt;0),0,IF(AND(DB169&lt;&gt;"",OR(DB168&lt;&gt;"",DB170&lt;&gt;"")),MAX($DF$2:DF168)+1,0))</f>
        <v>0</v>
      </c>
      <c r="DG169" s="259" t="str">
        <f>IF(IF(LIBRO_GIORNALE!E77="","",IFERROR(INDEX(PIANO_DEI_CONTI,MATCH(BB169,DENOMINAZIONE,0),1),0))=0,"",IF(LIBRO_GIORNALE!E77="","",IFERROR(INDEX(PIANO_DEI_CONTI,MATCH(BB169,DENOMINAZIONE,0),1),0)))</f>
        <v/>
      </c>
      <c r="DH169" s="259">
        <f ca="1">IFERROR(IF($J$1=1,IF(INDEX(PIANO_DEI_CONTI,MATCH($K169,DENOMINAZIONE,0),5)=$DF$1,MAX($DH$2:DH168)+1,0),IF($J$1=2,IF(INDEX(PIANO_DEI_CONTI,MATCH($K169,DENOMINAZIONE,0),7)=$DF$1,MAX($DH$2:DH168)+1,0))),0)</f>
        <v>0</v>
      </c>
      <c r="DI169" s="259">
        <f ca="1">IFERROR(INDEX($K$3:$K$220,MATCH(ROWS($DI$3:DI169),$DH$3:$DH$220,0),1),0)</f>
        <v>0</v>
      </c>
      <c r="DJ169" s="259">
        <f t="shared" ca="1" si="381"/>
        <v>0</v>
      </c>
      <c r="DK169" s="259">
        <f ca="1">IF(DJ169=0,0,MAX(DK$2:DK168)+1)</f>
        <v>0</v>
      </c>
      <c r="DL169" s="259">
        <f ca="1">IFERROR(INDEX(PIANO_DEI_CONTI,MATCH(ROWS(DL$3:DL169),$DK$3:DK396,0),2),0)</f>
        <v>0</v>
      </c>
      <c r="DM169" s="259">
        <f t="shared" ca="1" si="382"/>
        <v>0</v>
      </c>
      <c r="DN169" s="259">
        <f t="shared" ca="1" si="383"/>
        <v>0</v>
      </c>
      <c r="DO169" s="259">
        <f t="shared" ca="1" si="422"/>
        <v>0</v>
      </c>
      <c r="DP169" s="259">
        <f t="shared" ca="1" si="423"/>
        <v>0</v>
      </c>
      <c r="DQ169" s="259">
        <f ca="1">IF(OR($DQ$1="TOTALI",$DQ$1="TOTALI ED ECCEDENZE"),IF(OR(DM169&gt;0,DN169&gt;0),MAX(DQ$2:DQ168)+1,0),IF($DQ$1="ECCEDENZE",IF(OR(DO169&gt;0,DP169&gt;0),MAX(DQ$2:DQ168)+1,0),""))</f>
        <v>0</v>
      </c>
      <c r="DR169" s="259" t="str">
        <f ca="1">IFERROR(INDEX($DL$3:$DQ$230,MATCH(ROWS(DR$3:DR169),$DQ$3:$DQ$230,0),1),"")</f>
        <v/>
      </c>
      <c r="DS169" s="259" t="str">
        <f t="shared" ca="1" si="424"/>
        <v/>
      </c>
      <c r="DT169" s="259" t="str">
        <f t="shared" ca="1" si="425"/>
        <v/>
      </c>
      <c r="DU169" s="259" t="str">
        <f t="shared" ca="1" si="426"/>
        <v/>
      </c>
      <c r="DV169" s="259" t="str">
        <f t="shared" ca="1" si="427"/>
        <v/>
      </c>
      <c r="DW169" s="259">
        <f t="shared" ca="1" si="428"/>
        <v>0</v>
      </c>
      <c r="DX169" s="259" t="str">
        <f t="shared" ca="1" si="429"/>
        <v/>
      </c>
      <c r="DY169" s="259" t="str">
        <f t="shared" ca="1" si="430"/>
        <v/>
      </c>
      <c r="DZ169" s="259" t="str">
        <f t="shared" ca="1" si="431"/>
        <v/>
      </c>
      <c r="EB169" s="259" t="s">
        <v>390</v>
      </c>
      <c r="ED169" s="259">
        <f t="shared" ca="1" si="384"/>
        <v>0</v>
      </c>
      <c r="EH169" s="259" t="str">
        <f t="shared" ca="1" si="432"/>
        <v/>
      </c>
      <c r="EI169" s="260" t="b">
        <f t="shared" ca="1" si="466"/>
        <v>0</v>
      </c>
      <c r="EJ169" s="260" t="b">
        <f t="shared" ca="1" si="467"/>
        <v>0</v>
      </c>
      <c r="EK169" s="260" t="b">
        <f t="shared" ca="1" si="468"/>
        <v>1</v>
      </c>
      <c r="EL169" s="259">
        <f t="shared" si="433"/>
        <v>167</v>
      </c>
      <c r="EM169" s="259">
        <f ca="1">IF(AND(BA169&gt;0,BA169&lt;=$EM$1),MAX($EM$2:EM168)+1,0)</f>
        <v>0</v>
      </c>
      <c r="EN169" s="259">
        <f t="shared" ca="1" si="434"/>
        <v>169</v>
      </c>
      <c r="EP169" s="259" t="str">
        <f t="shared" ca="1" si="385"/>
        <v/>
      </c>
      <c r="EQ169" s="259">
        <f t="shared" ca="1" si="386"/>
        <v>0</v>
      </c>
      <c r="ER169" s="259">
        <f ca="1">IF(ISNA(EQ169),MAX(ER$2:ER168)+1,0)</f>
        <v>0</v>
      </c>
      <c r="ES169" s="259" t="str">
        <f t="shared" ca="1" si="435"/>
        <v/>
      </c>
      <c r="ET169" s="259" t="str">
        <f ca="1">IFERROR(UPPER(INDEX($ER$3:$ES$500,MATCH(ROWS(ET$3:ET169),$ER$3:$ER$500,0),2)),"")</f>
        <v/>
      </c>
      <c r="EW169" s="259">
        <f t="shared" ca="1" si="497"/>
        <v>1</v>
      </c>
      <c r="EX169" s="259">
        <v>67</v>
      </c>
      <c r="EY169" s="259">
        <f t="shared" ca="1" si="498"/>
        <v>0</v>
      </c>
      <c r="EZ169" s="259">
        <f t="shared" ca="1" si="499"/>
        <v>0</v>
      </c>
      <c r="FA169" s="259">
        <f t="shared" ca="1" si="500"/>
        <v>0</v>
      </c>
      <c r="FB169" s="259">
        <f t="shared" ca="1" si="501"/>
        <v>0</v>
      </c>
      <c r="FC169" s="259">
        <f t="shared" ca="1" si="502"/>
        <v>0</v>
      </c>
      <c r="FD169" s="259">
        <f t="shared" ca="1" si="387"/>
        <v>0</v>
      </c>
      <c r="FE169" s="259" t="str">
        <f t="shared" ca="1" si="388"/>
        <v/>
      </c>
      <c r="FF169" s="259" t="str">
        <f t="shared" ca="1" si="503"/>
        <v/>
      </c>
      <c r="FM169" s="259">
        <f t="shared" ca="1" si="389"/>
        <v>0</v>
      </c>
      <c r="FN169" s="259">
        <f ca="1">IF(FM169&lt;0,MAX($FN$2:FN168)+1,0)</f>
        <v>0</v>
      </c>
      <c r="FO169" s="259" t="str">
        <f t="shared" ca="1" si="436"/>
        <v/>
      </c>
      <c r="FP169" s="259" t="str">
        <f ca="1">IFERROR(INDEX($FN$3:$FO$400,MATCH(ROWS($FP$3:FP169),$FN$3:$FN$400,0),2),"")</f>
        <v/>
      </c>
      <c r="FQ169" s="259">
        <f>IF(AE169="SE AVERE",MAX($FQ$2:FQ168)+1,"")</f>
        <v>16</v>
      </c>
      <c r="FR169" s="259" t="str">
        <f>IF(AE169="SE DARE",MAX($FR$2:FR168)+1,"")</f>
        <v/>
      </c>
      <c r="FS169" s="259" t="str">
        <f ca="1">IF(AND(AE169="SP DARE",AA169&lt;&gt;$FS$1,AA169&lt;&gt;$FT$1),MAX($FS$2:FS168)+1,IF(AND(GQ169="SP DARE",AA169&lt;&gt;$FS$1,AA169&lt;&gt;$FT$1),MAX($FS$2:FS168)+1,""))</f>
        <v/>
      </c>
      <c r="FT169" s="259" t="str">
        <f ca="1">IF(AND(AE169="SP AVERE",AA169&lt;&gt;$FU$1),MAX($FT$2:FT168)+1,IF(AND(GQ169="SP AVERE",AA169&lt;&gt;$FU$1),MAX($FT$2:FT168)+1,""))</f>
        <v/>
      </c>
      <c r="FU169" s="259">
        <f t="shared" ca="1" si="437"/>
        <v>16</v>
      </c>
      <c r="FV169" s="259" t="str">
        <f t="shared" si="438"/>
        <v>INTERESSI ATTIVI DA CLIENTI</v>
      </c>
      <c r="FW169" s="259" t="str">
        <f ca="1">IFERROR(INDEX($FU$3:$FV$500,MATCH(ROWS($FW$3:FW169),$FU$3:$FU$500,0),2),0)</f>
        <v>PERSONALE C/RETRIBUZIONI</v>
      </c>
      <c r="FX169" s="259">
        <f t="shared" ca="1" si="439"/>
        <v>167</v>
      </c>
      <c r="FY169" s="259">
        <f t="shared" ca="1" si="440"/>
        <v>0</v>
      </c>
      <c r="FZ169" s="259">
        <f ca="1">IF(FY169&gt;0,MAX($FZ$2:FZ168)+1,0)</f>
        <v>0</v>
      </c>
      <c r="GA169" s="259">
        <f ca="1">IFERROR(INDEX($FY$3:$FZ$500,MATCH(ROWS($GA$3:GA169),$FZ$3:$FZ$500,0),1),0)</f>
        <v>0</v>
      </c>
      <c r="GC169" s="259">
        <f t="shared" ca="1" si="441"/>
        <v>167</v>
      </c>
      <c r="GD169" s="259" t="str">
        <f t="shared" ca="1" si="442"/>
        <v>PERSONALE C/RETRIBUZIONI</v>
      </c>
      <c r="GG169" s="259">
        <f t="shared" ca="1" si="443"/>
        <v>0</v>
      </c>
      <c r="GH169" s="259">
        <f t="shared" ca="1" si="444"/>
        <v>0</v>
      </c>
      <c r="GI169" s="259">
        <f t="shared" ca="1" si="445"/>
        <v>0</v>
      </c>
      <c r="GJ169" s="259">
        <f t="shared" ca="1" si="446"/>
        <v>0</v>
      </c>
      <c r="GK169" s="259">
        <f t="shared" ca="1" si="447"/>
        <v>0</v>
      </c>
      <c r="GL169" s="259">
        <f t="shared" ca="1" si="447"/>
        <v>0</v>
      </c>
      <c r="GM169" s="259">
        <f ca="1">IF(OR(GK169&gt;0,GL169&gt;0),MAX($GM$2:GM168)+1,0)</f>
        <v>0</v>
      </c>
      <c r="GN169" s="259" t="str">
        <f ca="1">IFERROR(INDEX($GD$3:$GM$400,MATCH(ROWS($GN$3:GN169),$GM$3:$GM$400,0),1),"")</f>
        <v/>
      </c>
      <c r="GO169" s="259" t="str">
        <f ca="1">IFERROR(INDEX($GD$3:$GM$400,MATCH(ROWS($GO$3:GO169),$GM$3:$GM$400,0),8),"")</f>
        <v/>
      </c>
      <c r="GP169" s="259" t="str">
        <f ca="1">IFERROR(INDEX($GD$3:$GM$400,MATCH(ROWS($GP$3:GP169),$GM$3:$GM$400,0),9),"")</f>
        <v/>
      </c>
      <c r="GQ169" s="259">
        <f t="shared" ca="1" si="390"/>
        <v>0</v>
      </c>
      <c r="GR169" s="259">
        <f t="shared" ca="1" si="448"/>
        <v>0</v>
      </c>
      <c r="GS169" s="259" t="str">
        <f t="shared" ca="1" si="449"/>
        <v>chiusura del conto</v>
      </c>
      <c r="GT169" s="259" t="str">
        <f ca="1">IFERROR(INDEX($GD$3:$GS$400,MATCH(ROWS($GT$3:GT169),$GM$3:$GM$400,0),16),"")</f>
        <v/>
      </c>
      <c r="GU169" s="259">
        <f ca="1">IF(GQ169&lt;&gt;0,MAX($GU$2:$GU168)+1,0)</f>
        <v>0</v>
      </c>
      <c r="GV169" s="259">
        <f t="shared" ca="1" si="450"/>
        <v>0</v>
      </c>
      <c r="GW169" s="259" t="str">
        <f ca="1">IF(AND(IFERROR(INDEX($GU$3:$GV$400,MATCH(ROWS($GW$3:GW169),$GU$3:$GU$400,0),2),"")&lt;&gt;"",GW170&lt;&gt;""),CONCATENATE(IFERROR(INDEX($GU$3:$GV$400,MATCH(ROWS($GW$3:GW169),$GU$3:$GU$400,0),2),"")," - "),IFERROR(INDEX($GU$3:$GV$400,MATCH(ROWS($GW$3:GW169),$GU$3:$GU$400,0),2),""))</f>
        <v/>
      </c>
      <c r="GX169" s="259">
        <f ca="1">IF(OR(GN169="IVA NS/CREDITO",GN169="IVA NS/DEBITO",GN169="IVA C/ACCONTO",GN169="IMPOSTE C/ACCONTO"),MAX($GX$2:GX168)+1,0)</f>
        <v>0</v>
      </c>
      <c r="GY169" s="259" t="str">
        <f ca="1">IF(AND(IFERROR(INDEX($GN$3:$GX$200,MATCH(ROWS($GY$3:GY169),$GX$3:$GX$200,0),1),"")&lt;&gt;"",GY170&lt;&gt;""),CONCATENATE(IFERROR(INDEX($GN$3:$GX$200,MATCH(ROWS($GY$3:GY169),$GX$3:$GX$200,0),1),"")," - "),IFERROR(INDEX($GN$3:$GX$200,MATCH(ROWS($GY$3:GY169),$GX$3:$GX$200,0),1),""))</f>
        <v/>
      </c>
      <c r="GZ169" s="259" t="s">
        <v>665</v>
      </c>
      <c r="HA169" s="259" t="s">
        <v>178</v>
      </c>
      <c r="HB169" s="269" t="s">
        <v>256</v>
      </c>
      <c r="HC169" s="269" t="s">
        <v>276</v>
      </c>
      <c r="HD169" s="269" t="s">
        <v>7</v>
      </c>
      <c r="HE169" s="269" t="s">
        <v>214</v>
      </c>
      <c r="HV169" s="259" t="str">
        <f ca="1">CONCATENATE(IFERROR(INDEX($HS$3:$HT$102,MATCH(ROWS($HV$3:HV169),$HT$3:$HT$102,0),1),""),HR169)</f>
        <v/>
      </c>
      <c r="IC169" s="259">
        <f ca="1">IFERROR(INDEX(PIANO_DEI_CONTI,MATCH(ROWS(DL$3:DL169),$DK$3:DK396,0),2),0)</f>
        <v>0</v>
      </c>
      <c r="ID169" s="259">
        <f t="shared" ca="1" si="451"/>
        <v>0</v>
      </c>
      <c r="IE169" s="259">
        <f t="shared" ca="1" si="452"/>
        <v>0</v>
      </c>
      <c r="IF169" s="259">
        <f t="shared" ca="1" si="453"/>
        <v>0</v>
      </c>
      <c r="IG169" s="259">
        <f t="shared" ca="1" si="479"/>
        <v>0</v>
      </c>
      <c r="IH169" s="259">
        <f ca="1">IF(IG169&lt;&gt;0,MAX($IH$35:IH168)+1,0)</f>
        <v>0</v>
      </c>
      <c r="II169" s="259">
        <f>IF(AD169="costi pluriennali",MAX($II$2:II168)+1,0)</f>
        <v>0</v>
      </c>
      <c r="IJ169" s="259">
        <f>IF($AD169="rettifiche costi pluriennali",MAX($IJ$2:IJ168)+1,0)</f>
        <v>0</v>
      </c>
      <c r="IK169" s="259">
        <f t="shared" si="454"/>
        <v>0</v>
      </c>
      <c r="IL169" s="259" t="str">
        <f t="shared" si="455"/>
        <v/>
      </c>
      <c r="IM169" s="259">
        <f t="shared" ca="1" si="456"/>
        <v>0</v>
      </c>
      <c r="IN169" s="259">
        <f t="shared" ca="1" si="470"/>
        <v>0</v>
      </c>
      <c r="IO169" s="259">
        <f>SUMIFS($IM$3:$IM$200,$IK$3:$IK$200,ROWS($IO$3:IO169))-SUMIFS($IN$3:$IN$200,$IK$3:$IK$200,ROWS($IO$3:IO169))</f>
        <v>0</v>
      </c>
      <c r="IP169" s="259" t="str">
        <f>IF(IO169&lt;0,INDEX($IJ$3:$IL$200,MATCH(ROWS($IP$3:IP169),$IJ$3:$IJ$200,0),3),"")</f>
        <v/>
      </c>
      <c r="IQ169" s="259">
        <f>IF(IP169&lt;&gt;"",MAX($IQ$2:IQ168)+1,0)</f>
        <v>0</v>
      </c>
      <c r="IR169" s="259" t="str">
        <f ca="1">IFERROR(INDEX($IP$3:$IQ$200,MATCH(ROWS($IR$3:IR169),$IQ$3:$IQ$200,0),1),"")</f>
        <v/>
      </c>
      <c r="IS169" s="259" t="str">
        <f t="shared" ca="1" si="457"/>
        <v/>
      </c>
      <c r="IT169" s="259" t="str">
        <f t="shared" ca="1" si="458"/>
        <v/>
      </c>
      <c r="IU169" s="259" t="str">
        <f t="shared" ca="1" si="459"/>
        <v/>
      </c>
      <c r="IV169" s="259" t="str">
        <f t="shared" ca="1" si="460"/>
        <v/>
      </c>
      <c r="IW169" s="259" t="str">
        <f t="shared" ca="1" si="461"/>
        <v/>
      </c>
      <c r="IX169" s="259" t="str">
        <f t="shared" ca="1" si="462"/>
        <v/>
      </c>
      <c r="IY169" s="259" t="str">
        <f t="shared" ca="1" si="463"/>
        <v/>
      </c>
      <c r="IZ169" s="259" t="str">
        <f t="shared" ca="1" si="464"/>
        <v/>
      </c>
      <c r="JA169" s="259" t="str">
        <f t="shared" ca="1" si="465"/>
        <v/>
      </c>
      <c r="JB169" s="259">
        <f t="shared" ca="1" si="391"/>
        <v>0</v>
      </c>
      <c r="JC169" s="259">
        <f t="shared" ca="1" si="504"/>
        <v>0</v>
      </c>
      <c r="JD169" s="259">
        <f t="shared" ca="1" si="505"/>
        <v>0</v>
      </c>
      <c r="JM169" s="259">
        <f t="shared" ca="1" si="506"/>
        <v>0</v>
      </c>
    </row>
    <row r="170" spans="1:273">
      <c r="A170" s="259" t="str">
        <f t="shared" si="392"/>
        <v>34.05</v>
      </c>
      <c r="B170" s="259" t="str">
        <f t="shared" si="393"/>
        <v>AMMORTAMENTO AVVIAMENTO</v>
      </c>
      <c r="C170" s="259" t="str">
        <f t="shared" si="394"/>
        <v>E</v>
      </c>
      <c r="D170" s="259" t="str">
        <f t="shared" si="395"/>
        <v>D</v>
      </c>
      <c r="E170" s="259" t="str">
        <f t="shared" si="396"/>
        <v>COSTI D'ESERCIZIO</v>
      </c>
      <c r="F170" s="259" t="str">
        <f t="shared" si="397"/>
        <v>SE DARE</v>
      </c>
      <c r="G170" s="259">
        <f t="shared" ca="1" si="398"/>
        <v>0</v>
      </c>
      <c r="H170" s="259">
        <f t="shared" ca="1" si="399"/>
        <v>0</v>
      </c>
      <c r="I170" s="259">
        <f t="shared" ca="1" si="400"/>
        <v>1</v>
      </c>
      <c r="K170" s="259" t="str">
        <f ca="1">IFERROR(IF($I$1=1,INDEX($AA$3:$AS$220,MATCH(ROWS($K$3:K170),$AQ$3:$AQ$220,0),1),IF($I$1=2,INDEX($AA$3:$AS$220,MATCH(ROWS($K$3:K170),$AR$3:$AR$220,0),1),IF($I$1=3,INDEX($AA$3:$AS$220,MATCH(ROWS($K$3:K170),$AS$3:$AS$220,0),1),""))),"")</f>
        <v>INTERESSI PASSIVI BANCARI</v>
      </c>
      <c r="L170" s="259">
        <f ca="1">IF(AND($L$1="VISUALIZZA TUTTI I CONTI",K170&lt;&gt;""),MAX(L169:L169)+1,IFERROR(IF($J$1=1,IF(INDEX(PIANO_DEI_CONTI,MATCH($K170,DENOMINAZIONE,0),5)=$L$1,MAX($L$2:L169)+1,0),IF($J$1=2,IF(INDEX(PIANO_DEI_CONTI,MATCH($K170,DENOMINAZIONE,0),7)=$L$1,MAX($L$2:L169)+1,0))),0))</f>
        <v>168</v>
      </c>
      <c r="M170" s="259" t="str">
        <f ca="1">IFERROR(INDEX($K$3:$K$220,MATCH(ROWS($M$3:M170),$L$3:$L$220,0),1),"")</f>
        <v>INTERESSI PASSIVI BANCARI</v>
      </c>
      <c r="R170" s="259" t="str">
        <f t="shared" ca="1" si="366"/>
        <v/>
      </c>
      <c r="S170" s="259">
        <f ca="1">IF(IFERROR(MATCH(R170,DENOMINAZIONE_GIORNALE,0),0)&gt;0,MAX(S$2:S169)+1,0)</f>
        <v>0</v>
      </c>
      <c r="T170" s="259" t="str">
        <f ca="1">IFERROR(INDEX($R$3:$S$220,MATCH(ROWS($T$3:T170),$S$3:$S$220,0),1),"")</f>
        <v/>
      </c>
      <c r="U170" s="259">
        <f t="shared" ca="1" si="367"/>
        <v>0</v>
      </c>
      <c r="V170" s="259">
        <f ca="1">IF(IF(U170&lt;&gt;0,MAX($V$2:V169)+1,0)=0,0,IF(U170&lt;&gt;0,MAX($V$2:V169)+1,0))</f>
        <v>0</v>
      </c>
      <c r="W170" s="259" t="str">
        <f t="shared" si="401"/>
        <v>34.05</v>
      </c>
      <c r="X170" s="259" t="str">
        <f t="shared" si="402"/>
        <v>AMMORTAMENTO AVVIAMENTO</v>
      </c>
      <c r="Y170" s="259">
        <f>IF(W170="",0,MAX($Y$2:Y169)+1)</f>
        <v>145</v>
      </c>
      <c r="Z170" s="259" t="str">
        <f>IFERROR(INDEX($W$3:$Y$220,MATCH(ROWS($Z$2:Z169),$Y$3:$Y$220,0),1),"")</f>
        <v>40.02</v>
      </c>
      <c r="AA170" s="259" t="str">
        <f t="shared" si="403"/>
        <v>INTERESSI ATTIVI BANCARI</v>
      </c>
      <c r="AB170" s="259" t="str">
        <f t="shared" si="404"/>
        <v>E</v>
      </c>
      <c r="AC170" s="259" t="str">
        <f t="shared" si="405"/>
        <v>A</v>
      </c>
      <c r="AD170" s="259" t="str">
        <f t="shared" si="406"/>
        <v>RICAVI D'ESERCIZIO</v>
      </c>
      <c r="AE170" s="259" t="str">
        <f t="shared" si="407"/>
        <v>SE AVERE</v>
      </c>
      <c r="AF170" s="259" t="str">
        <f t="shared" si="408"/>
        <v>PROVENTI FINANZIARI</v>
      </c>
      <c r="AG170" s="259">
        <f t="shared" ca="1" si="409"/>
        <v>1</v>
      </c>
      <c r="AH170" s="259">
        <f t="shared" ca="1" si="410"/>
        <v>1</v>
      </c>
      <c r="AI170" s="259">
        <f t="shared" ca="1" si="411"/>
        <v>1</v>
      </c>
      <c r="AJ170" s="259" t="str">
        <f t="shared" si="412"/>
        <v>40</v>
      </c>
      <c r="AK170" s="259" t="str">
        <f t="shared" si="413"/>
        <v/>
      </c>
      <c r="AL170" s="259">
        <f>IF(AK170&lt;&gt;"",MAX($AL$2:AL169)+1,0)</f>
        <v>0</v>
      </c>
      <c r="AM170" s="259" t="str">
        <f>IFERROR(INDEX($AK$3:$AL$220,MATCH(ROWS($AM$3:AM170),$AL$3:$AL$220,0),1),"")</f>
        <v/>
      </c>
      <c r="AN170" s="259" t="str">
        <f t="shared" si="414"/>
        <v/>
      </c>
      <c r="AO170" s="259" t="str">
        <f t="shared" si="415"/>
        <v/>
      </c>
      <c r="AP170" s="259" t="str">
        <f t="shared" si="416"/>
        <v>PROVENTI FINANZIARI</v>
      </c>
      <c r="AQ170" s="259">
        <f ca="1">IF(OR(AG170=0,AG170=""),0,MAX(AQ$2:AQ169)+1)</f>
        <v>84</v>
      </c>
      <c r="AR170" s="259">
        <f ca="1">IF(OR(AH170=0,AH170=""),0,MAX(AR$2:AR169)+1)</f>
        <v>114</v>
      </c>
      <c r="AS170" s="259">
        <f ca="1">IF(OR(AI170=0,AI170=""),0,MAX(AS$2:AS169)+1)</f>
        <v>164</v>
      </c>
      <c r="AT170" s="259" t="str">
        <f ca="1">IFERROR(INDEX($AD$3:$AS$220,MATCH(ROWS(AT$3:AT170),AQ$3:AQ$220,0),1),"")</f>
        <v/>
      </c>
      <c r="AU170" s="259" t="str">
        <f ca="1">IFERROR(INDEX($AD$3:$AS$220,MATCH(ROWS(AU$3:AU170),AR$3:AR$220,0),1),"")</f>
        <v/>
      </c>
      <c r="AV170" s="259" t="str">
        <f ca="1">IFERROR(INDEX($AD$3:$AS$220,MATCH(ROWS(AV$3:AV170),AS$3:AS$220,0),1),"")</f>
        <v>COSTI D'ESERCIZIO</v>
      </c>
      <c r="AW170" s="259" t="str">
        <f ca="1">IFERROR(INDEX($AP$3:$AS$220,MATCH(ROWS(AW$3:AW170),AQ$3:AQ$220,0),1),"")</f>
        <v/>
      </c>
      <c r="AX170" s="259" t="str">
        <f ca="1">IFERROR(INDEX($AP$3:$AS$220,MATCH(ROWS(AX$3:AX170),AR$3:AR$220,0),1),"")</f>
        <v/>
      </c>
      <c r="AY170" s="259" t="str">
        <f ca="1">IFERROR(INDEX($AP$3:$AS$220,MATCH(ROWS(AY$3:AY170),AS$3:AS$220,0),1),"")</f>
        <v>ONERI FINANZIARI</v>
      </c>
      <c r="AZ170" s="259" t="str">
        <f t="shared" si="490"/>
        <v>68 V.I.</v>
      </c>
      <c r="BA170" s="259">
        <f t="shared" ca="1" si="484"/>
        <v>0</v>
      </c>
      <c r="BB170" s="259">
        <f t="shared" ca="1" si="491"/>
        <v>0</v>
      </c>
      <c r="BC170" s="259">
        <f t="shared" ca="1" si="492"/>
        <v>0</v>
      </c>
      <c r="BD170" s="259">
        <f t="shared" ca="1" si="493"/>
        <v>0</v>
      </c>
      <c r="BE170" s="259">
        <f t="shared" ca="1" si="494"/>
        <v>0</v>
      </c>
      <c r="BG170" s="259" t="str">
        <f t="shared" ca="1" si="368"/>
        <v/>
      </c>
      <c r="BH170" s="259">
        <f ca="1">IF(IFERROR(MATCH(BG170,DENOMINAZIONE_GIORNALE,0),0)&gt;0,MAX(BH$2:BH169)+1,0)</f>
        <v>0</v>
      </c>
      <c r="BI170" s="259" t="str">
        <f ca="1">IFERROR(INDEX($BG$3:$BH$220,MATCH(ROWS($BI$3:BI170),$BH$3:$BH$220,0),1),"")</f>
        <v/>
      </c>
      <c r="BJ170" s="259" t="str">
        <f t="shared" ca="1" si="369"/>
        <v/>
      </c>
      <c r="BK170" s="259" t="str">
        <f ca="1">IF(IF(BJ170&lt;&gt;"",MAX($BK$2:BK169)+1,0)=0,"",IF(BJ170&lt;&gt;"",MAX($BK$2:BK169)+1,0))</f>
        <v/>
      </c>
      <c r="BL170" s="259" t="str">
        <f ca="1">IFERROR(INDEX($T$3:$U$220, MATCH(ROWS(BL$3:BL170),$V$3:$V$220,0),1),"")</f>
        <v/>
      </c>
      <c r="BM170" s="259" t="str">
        <f ca="1">IFERROR(INDEX($T$3:$U$220, MATCH(ROWS(BM$3:BM170),$V$3:$V$220,0),2),"")</f>
        <v/>
      </c>
      <c r="BN170" s="259" t="str">
        <f ca="1">IF(IFERROR(INDEX($BI$3:$BJ$220,MATCH(ROWS(BN$3:BN170),$BK$3:$BK$220,0),1),"")="PATRIMONIO NETTO","",IFERROR(INDEX($BI$3:$BJ$220,MATCH(ROWS(BN$3:BN170),$BK$3:$BK$220,0),1),""))</f>
        <v/>
      </c>
      <c r="BO170" s="259" t="str">
        <f ca="1">IFERROR(INDEX($BI$3:$BJ$220,MATCH(ROWS(BO$3:BO170),$BK$3:$BK$220,0),2),"")</f>
        <v/>
      </c>
      <c r="BP170" s="259">
        <f ca="1">IF(BN170&lt;&gt;"",MAX(BP$2:$BP169)+1,0)</f>
        <v>0</v>
      </c>
      <c r="BQ170" s="259" t="str">
        <f ca="1">IFERROR(INDEX($BN$3:$BO$200,MATCH(ROWS(BQ$3:BQ170),$BP$3:$BP$220,0),1),"")</f>
        <v/>
      </c>
      <c r="BR170" s="259" t="str">
        <f ca="1">IFERROR(INDEX($BN$3:$BO$220,MATCH(ROWS(BR$3:BR170),$BP$3:$BP$220,0),2),"")</f>
        <v/>
      </c>
      <c r="BS170" s="259" t="str">
        <f ca="1">IFERROR(IF(OR(INDEX($T$3:$U$220,MATCH(ROWS(BL$3:BL170),$V$3:$V$220,0),1)="PRELEVAMENTI EXTRAGESTIONE",INDEX($T$3:$U$220,MATCH(ROWS(BL$3:BL170),$V$3:$V$220,0),1)="TITOLARE C/RITENUTE SUBITE"),"",INDEX($T$3:$U$220,MATCH(ROWS(BL$3:BL170),$V$3:$V$220,0),1)),"")</f>
        <v/>
      </c>
      <c r="BT170" s="259">
        <f t="shared" ca="1" si="417"/>
        <v>0</v>
      </c>
      <c r="BU170" s="259">
        <f ca="1">IF(BS170&lt;&gt;"",MAX(BU$2:BU169)+1,0)</f>
        <v>0</v>
      </c>
      <c r="BV170" s="259" t="str">
        <f ca="1">IFERROR(INDEX($BS$3:$BT$223,MATCH(ROWS(BV$3:BV170),$BU$3:$BU$223,0),1),"")</f>
        <v/>
      </c>
      <c r="BW170" s="259">
        <f t="shared" ca="1" si="418"/>
        <v>0</v>
      </c>
      <c r="CB170" s="259" t="str">
        <f ca="1">IFERROR(IF(OR($BB$1&lt;&gt;$BD$1,$BC$1&lt;&gt;$BE$1,$DS$231&lt;&gt;$DT$231,$DU$231&lt;&gt;$DV$231,$EO$25&lt;&gt;0,$EO$26&lt;&gt;0),INDEX($BI$3:$BK$220,MATCH(ROWS($CB$3:CB170),$BK$3:$BK$220,0),1),CONCATENATE(BQ170,BX170)),"")</f>
        <v/>
      </c>
      <c r="CC170" s="259" t="str">
        <f t="shared" ca="1" si="419"/>
        <v/>
      </c>
      <c r="CD170" s="259" t="str">
        <f t="shared" ca="1" si="370"/>
        <v/>
      </c>
      <c r="CE170" s="259">
        <f ca="1">IF(IFERROR(MATCH(CD170,DENOMINAZIONE_GIORNALE,0),0)&gt;0,MAX(CE$2:CE169)+1,0)</f>
        <v>0</v>
      </c>
      <c r="CF170" s="259" t="str">
        <f ca="1">IFERROR(INDEX($CD$3:$CE$220,MATCH(ROWS($CF$3:CF170),$CE$3:$CE$220,0),1),"")</f>
        <v/>
      </c>
      <c r="CG170" s="259">
        <f t="shared" ca="1" si="371"/>
        <v>0</v>
      </c>
      <c r="CH170" s="259" t="str">
        <f ca="1">IF(IF(CG170&lt;&gt;0,MAX($CH$2:CH169)+1,0)=0,"",IF(CG170&lt;&gt;"",MAX($CH$2:CH169)+1,0))</f>
        <v/>
      </c>
      <c r="CI170" s="259" t="str">
        <f ca="1">IFERROR(INDEX($CF$3:$CG$220,MATCH(ROWS($CI$3:CI170),$CH$3:$CH$220,0),1),"")</f>
        <v/>
      </c>
      <c r="CJ170" s="259" t="str">
        <f t="shared" ca="1" si="420"/>
        <v/>
      </c>
      <c r="CK170" s="259" t="str">
        <f t="shared" ca="1" si="372"/>
        <v>INTERESSI ATTIVI BANCARI</v>
      </c>
      <c r="CL170" s="259">
        <f ca="1">IF(IFERROR(MATCH(CK170,DENOMINAZIONE_GIORNALE,0),0)&gt;0,MAX(CL$2:CL169)+1,0)</f>
        <v>0</v>
      </c>
      <c r="CM170" s="259" t="str">
        <f ca="1">IFERROR(INDEX($CK$3:$CL$220,MATCH(ROWS($CM$3:CM170),$CL$3:$CL$220,0),1),"")</f>
        <v/>
      </c>
      <c r="CN170" s="259" t="str">
        <f t="shared" ca="1" si="373"/>
        <v/>
      </c>
      <c r="CO170" s="259">
        <f ca="1">IF(IF(CN170&lt;&gt;0,MAX($CO$2:CO169)+1,0)=0,"",IF(CN170&lt;&gt;"",MAX($CO$2:CO169)+1,0))</f>
        <v>0</v>
      </c>
      <c r="CP170" s="259" t="str">
        <f ca="1">IFERROR(INDEX($CM$3:$CN$220,MATCH(ROWS(CP$3:CP170),$CO$3:$CO$220,0),1),"")</f>
        <v/>
      </c>
      <c r="CQ170" s="259" t="str">
        <f ca="1">IFERROR(INDEX($CM$3:$CN$220,MATCH(ROWS(CQ$3:CQ170),$CO$3:$CO$220,0),2),"")</f>
        <v/>
      </c>
      <c r="CS170" s="259">
        <f t="shared" ca="1" si="374"/>
        <v>0</v>
      </c>
      <c r="CT170" s="259">
        <f t="shared" ca="1" si="375"/>
        <v>0</v>
      </c>
      <c r="CU170" s="259">
        <f ca="1">IF(OR(CS170&gt;0,CT170&gt;0),MAX($CU$2:CU169)+1,0)</f>
        <v>0</v>
      </c>
      <c r="CV170" s="259" t="str">
        <f ca="1">IFERROR(INDEX(PIANO_DEI_CONTI,MATCH(ROWS($CV$3:CV170),$CU$3:$CU$200,0),2),"")</f>
        <v/>
      </c>
      <c r="CW170" s="259">
        <f ca="1">IFERROR(IF(CV170&lt;&gt;"",MAX($CW$2:CW169)+1,0),0)</f>
        <v>0</v>
      </c>
      <c r="CX170" s="259">
        <f t="shared" ca="1" si="482"/>
        <v>10</v>
      </c>
      <c r="CY170" s="259" t="str">
        <f t="shared" ca="1" si="495"/>
        <v>MASTRO</v>
      </c>
      <c r="CZ170" s="259" t="e">
        <f t="shared" ca="1" si="485"/>
        <v>#N/A</v>
      </c>
      <c r="DA170" s="259" t="str">
        <f t="shared" ca="1" si="496"/>
        <v/>
      </c>
      <c r="DB170" s="259" t="str">
        <f t="shared" ca="1" si="486"/>
        <v/>
      </c>
      <c r="DC170" s="259" t="str">
        <f t="shared" ca="1" si="487"/>
        <v/>
      </c>
      <c r="DD170" s="259" t="str">
        <f t="shared" ca="1" si="488"/>
        <v/>
      </c>
      <c r="DE170" s="259" t="str">
        <f t="shared" ca="1" si="489"/>
        <v/>
      </c>
      <c r="DF170" s="259">
        <f ca="1">IF(AND(CX170=$DE$2,$DF$2&lt;&gt;0),0,IF(AND(DB170&lt;&gt;"",OR(DB169&lt;&gt;"",DB171&lt;&gt;"")),MAX($DF$2:DF169)+1,0))</f>
        <v>0</v>
      </c>
      <c r="DG170" s="259" t="str">
        <f>IF(IF(LIBRO_GIORNALE!E78="","",IFERROR(INDEX(PIANO_DEI_CONTI,MATCH(BB170,DENOMINAZIONE,0),1),0))=0,"",IF(LIBRO_GIORNALE!E78="","",IFERROR(INDEX(PIANO_DEI_CONTI,MATCH(BB170,DENOMINAZIONE,0),1),0)))</f>
        <v/>
      </c>
      <c r="DH170" s="259">
        <f ca="1">IFERROR(IF($J$1=1,IF(INDEX(PIANO_DEI_CONTI,MATCH($K170,DENOMINAZIONE,0),5)=$DF$1,MAX($DH$2:DH169)+1,0),IF($J$1=2,IF(INDEX(PIANO_DEI_CONTI,MATCH($K170,DENOMINAZIONE,0),7)=$DF$1,MAX($DH$2:DH169)+1,0))),0)</f>
        <v>0</v>
      </c>
      <c r="DI170" s="259">
        <f ca="1">IFERROR(INDEX($K$3:$K$220,MATCH(ROWS($DI$3:DI170),$DH$3:$DH$220,0),1),0)</f>
        <v>0</v>
      </c>
      <c r="DJ170" s="259">
        <f t="shared" ca="1" si="381"/>
        <v>0</v>
      </c>
      <c r="DK170" s="259">
        <f ca="1">IF(DJ170=0,0,MAX(DK$2:DK169)+1)</f>
        <v>0</v>
      </c>
      <c r="DL170" s="259">
        <f ca="1">IFERROR(INDEX(PIANO_DEI_CONTI,MATCH(ROWS(DL$3:DL170),$DK$3:DK397,0),2),0)</f>
        <v>0</v>
      </c>
      <c r="DM170" s="259">
        <f t="shared" ca="1" si="382"/>
        <v>0</v>
      </c>
      <c r="DN170" s="259">
        <f t="shared" ca="1" si="383"/>
        <v>0</v>
      </c>
      <c r="DO170" s="259">
        <f t="shared" ca="1" si="422"/>
        <v>0</v>
      </c>
      <c r="DP170" s="259">
        <f t="shared" ca="1" si="423"/>
        <v>0</v>
      </c>
      <c r="DQ170" s="259">
        <f ca="1">IF(OR($DQ$1="TOTALI",$DQ$1="TOTALI ED ECCEDENZE"),IF(OR(DM170&gt;0,DN170&gt;0),MAX(DQ$2:DQ169)+1,0),IF($DQ$1="ECCEDENZE",IF(OR(DO170&gt;0,DP170&gt;0),MAX(DQ$2:DQ169)+1,0),""))</f>
        <v>0</v>
      </c>
      <c r="DR170" s="259" t="str">
        <f ca="1">IFERROR(INDEX($DL$3:$DQ$230,MATCH(ROWS(DR$3:DR170),$DQ$3:$DQ$230,0),1),"")</f>
        <v/>
      </c>
      <c r="DS170" s="259" t="str">
        <f t="shared" ca="1" si="424"/>
        <v/>
      </c>
      <c r="DT170" s="259" t="str">
        <f t="shared" ca="1" si="425"/>
        <v/>
      </c>
      <c r="DU170" s="259" t="str">
        <f t="shared" ca="1" si="426"/>
        <v/>
      </c>
      <c r="DV170" s="259" t="str">
        <f t="shared" ca="1" si="427"/>
        <v/>
      </c>
      <c r="DW170" s="259">
        <f t="shared" ca="1" si="428"/>
        <v>0</v>
      </c>
      <c r="DX170" s="259" t="str">
        <f t="shared" ca="1" si="429"/>
        <v/>
      </c>
      <c r="DY170" s="259" t="str">
        <f t="shared" ca="1" si="430"/>
        <v/>
      </c>
      <c r="DZ170" s="259" t="str">
        <f t="shared" ca="1" si="431"/>
        <v/>
      </c>
      <c r="EB170" s="259" t="s">
        <v>390</v>
      </c>
      <c r="ED170" s="259">
        <f t="shared" ca="1" si="384"/>
        <v>0</v>
      </c>
      <c r="EH170" s="259" t="str">
        <f t="shared" ca="1" si="432"/>
        <v/>
      </c>
      <c r="EI170" s="260" t="b">
        <f t="shared" ca="1" si="466"/>
        <v>0</v>
      </c>
      <c r="EJ170" s="260" t="b">
        <f t="shared" ca="1" si="467"/>
        <v>0</v>
      </c>
      <c r="EK170" s="260" t="b">
        <f t="shared" ca="1" si="468"/>
        <v>1</v>
      </c>
      <c r="EL170" s="259">
        <f t="shared" si="433"/>
        <v>168</v>
      </c>
      <c r="EM170" s="259">
        <f ca="1">IF(AND(BA170&gt;0,BA170&lt;=$EM$1),MAX($EM$2:EM169)+1,0)</f>
        <v>0</v>
      </c>
      <c r="EN170" s="259">
        <f t="shared" ca="1" si="434"/>
        <v>170</v>
      </c>
      <c r="EP170" s="259" t="str">
        <f t="shared" ca="1" si="385"/>
        <v/>
      </c>
      <c r="EQ170" s="259">
        <f t="shared" ca="1" si="386"/>
        <v>0</v>
      </c>
      <c r="ER170" s="259">
        <f ca="1">IF(ISNA(EQ170),MAX(ER$2:ER169)+1,0)</f>
        <v>0</v>
      </c>
      <c r="ES170" s="259" t="str">
        <f t="shared" ca="1" si="435"/>
        <v/>
      </c>
      <c r="ET170" s="259" t="str">
        <f ca="1">IFERROR(UPPER(INDEX($ER$3:$ES$500,MATCH(ROWS(ET$3:ET170),$ER$3:$ER$500,0),2)),"")</f>
        <v/>
      </c>
      <c r="EW170" s="259">
        <f t="shared" ca="1" si="497"/>
        <v>1</v>
      </c>
      <c r="EX170" s="259">
        <v>68</v>
      </c>
      <c r="EY170" s="259">
        <f t="shared" ca="1" si="498"/>
        <v>0</v>
      </c>
      <c r="EZ170" s="259">
        <f t="shared" ca="1" si="499"/>
        <v>0</v>
      </c>
      <c r="FA170" s="259">
        <f t="shared" ca="1" si="500"/>
        <v>0</v>
      </c>
      <c r="FB170" s="259">
        <f t="shared" ca="1" si="501"/>
        <v>0</v>
      </c>
      <c r="FC170" s="259">
        <f t="shared" ca="1" si="502"/>
        <v>0</v>
      </c>
      <c r="FD170" s="259">
        <f t="shared" ca="1" si="387"/>
        <v>0</v>
      </c>
      <c r="FE170" s="259" t="str">
        <f t="shared" ca="1" si="388"/>
        <v/>
      </c>
      <c r="FF170" s="259" t="str">
        <f t="shared" ca="1" si="503"/>
        <v/>
      </c>
      <c r="FM170" s="259">
        <f t="shared" ca="1" si="389"/>
        <v>0</v>
      </c>
      <c r="FN170" s="259">
        <f ca="1">IF(FM170&lt;0,MAX($FN$2:FN169)+1,0)</f>
        <v>0</v>
      </c>
      <c r="FO170" s="259" t="str">
        <f t="shared" ca="1" si="436"/>
        <v/>
      </c>
      <c r="FP170" s="259" t="str">
        <f ca="1">IFERROR(INDEX($FN$3:$FO$400,MATCH(ROWS($FP$3:FP170),$FN$3:$FN$400,0),2),"")</f>
        <v/>
      </c>
      <c r="FQ170" s="259">
        <f>IF(AE170="SE AVERE",MAX($FQ$2:FQ169)+1,"")</f>
        <v>17</v>
      </c>
      <c r="FR170" s="259" t="str">
        <f>IF(AE170="SE DARE",MAX($FR$2:FR169)+1,"")</f>
        <v/>
      </c>
      <c r="FS170" s="259" t="str">
        <f ca="1">IF(AND(AE170="SP DARE",AA170&lt;&gt;$FS$1,AA170&lt;&gt;$FT$1),MAX($FS$2:FS169)+1,IF(AND(GQ170="SP DARE",AA170&lt;&gt;$FS$1,AA170&lt;&gt;$FT$1),MAX($FS$2:FS169)+1,""))</f>
        <v/>
      </c>
      <c r="FT170" s="259" t="str">
        <f ca="1">IF(AND(AE170="SP AVERE",AA170&lt;&gt;$FU$1),MAX($FT$2:FT169)+1,IF(AND(GQ170="SP AVERE",AA170&lt;&gt;$FU$1),MAX($FT$2:FT169)+1,""))</f>
        <v/>
      </c>
      <c r="FU170" s="259">
        <f t="shared" ca="1" si="437"/>
        <v>17</v>
      </c>
      <c r="FV170" s="259" t="str">
        <f t="shared" si="438"/>
        <v>INTERESSI ATTIVI BANCARI</v>
      </c>
      <c r="FW170" s="259" t="str">
        <f ca="1">IFERROR(INDEX($FU$3:$FV$500,MATCH(ROWS($FW$3:FW170),$FU$3:$FU$500,0),2),0)</f>
        <v>PERSONALE C/LIQUIDAZIONE</v>
      </c>
      <c r="FX170" s="259">
        <f t="shared" ca="1" si="439"/>
        <v>168</v>
      </c>
      <c r="FY170" s="259">
        <f t="shared" ca="1" si="440"/>
        <v>0</v>
      </c>
      <c r="FZ170" s="259">
        <f ca="1">IF(FY170&gt;0,MAX($FZ$2:FZ169)+1,0)</f>
        <v>0</v>
      </c>
      <c r="GA170" s="259">
        <f ca="1">IFERROR(INDEX($FY$3:$FZ$500,MATCH(ROWS($GA$3:GA170),$FZ$3:$FZ$500,0),1),0)</f>
        <v>0</v>
      </c>
      <c r="GC170" s="259">
        <f t="shared" ca="1" si="441"/>
        <v>168</v>
      </c>
      <c r="GD170" s="259" t="str">
        <f t="shared" ca="1" si="442"/>
        <v>PERSONALE C/LIQUIDAZIONE</v>
      </c>
      <c r="GG170" s="259">
        <f t="shared" ca="1" si="443"/>
        <v>0</v>
      </c>
      <c r="GH170" s="259">
        <f t="shared" ca="1" si="444"/>
        <v>0</v>
      </c>
      <c r="GI170" s="259">
        <f t="shared" ca="1" si="445"/>
        <v>0</v>
      </c>
      <c r="GJ170" s="259">
        <f t="shared" ca="1" si="446"/>
        <v>0</v>
      </c>
      <c r="GK170" s="259">
        <f t="shared" ca="1" si="447"/>
        <v>0</v>
      </c>
      <c r="GL170" s="259">
        <f t="shared" ca="1" si="447"/>
        <v>0</v>
      </c>
      <c r="GM170" s="259">
        <f ca="1">IF(OR(GK170&gt;0,GL170&gt;0),MAX($GM$2:GM169)+1,0)</f>
        <v>0</v>
      </c>
      <c r="GN170" s="259" t="str">
        <f ca="1">IFERROR(INDEX($GD$3:$GM$400,MATCH(ROWS($GN$3:GN170),$GM$3:$GM$400,0),1),"")</f>
        <v/>
      </c>
      <c r="GO170" s="259" t="str">
        <f ca="1">IFERROR(INDEX($GD$3:$GM$400,MATCH(ROWS($GO$3:GO170),$GM$3:$GM$400,0),8),"")</f>
        <v/>
      </c>
      <c r="GP170" s="259" t="str">
        <f ca="1">IFERROR(INDEX($GD$3:$GM$400,MATCH(ROWS($GP$3:GP170),$GM$3:$GM$400,0),9),"")</f>
        <v/>
      </c>
      <c r="GQ170" s="259">
        <f t="shared" ca="1" si="390"/>
        <v>0</v>
      </c>
      <c r="GR170" s="259">
        <f t="shared" ca="1" si="448"/>
        <v>0</v>
      </c>
      <c r="GS170" s="259" t="str">
        <f t="shared" ca="1" si="449"/>
        <v>chiusura del conto</v>
      </c>
      <c r="GT170" s="259" t="str">
        <f ca="1">IFERROR(INDEX($GD$3:$GS$400,MATCH(ROWS($GT$3:GT170),$GM$3:$GM$400,0),16),"")</f>
        <v/>
      </c>
      <c r="GU170" s="259">
        <f ca="1">IF(GQ170&lt;&gt;0,MAX($GU$2:$GU169)+1,0)</f>
        <v>0</v>
      </c>
      <c r="GV170" s="259">
        <f t="shared" ca="1" si="450"/>
        <v>0</v>
      </c>
      <c r="GW170" s="259" t="str">
        <f ca="1">IF(AND(IFERROR(INDEX($GU$3:$GV$400,MATCH(ROWS($GW$3:GW170),$GU$3:$GU$400,0),2),"")&lt;&gt;"",GW171&lt;&gt;""),CONCATENATE(IFERROR(INDEX($GU$3:$GV$400,MATCH(ROWS($GW$3:GW170),$GU$3:$GU$400,0),2),"")," - "),IFERROR(INDEX($GU$3:$GV$400,MATCH(ROWS($GW$3:GW170),$GU$3:$GU$400,0),2),""))</f>
        <v/>
      </c>
      <c r="GX170" s="259">
        <f ca="1">IF(OR(GN170="IVA NS/CREDITO",GN170="IVA NS/DEBITO",GN170="IVA C/ACCONTO",GN170="IMPOSTE C/ACCONTO"),MAX($GX$2:GX169)+1,0)</f>
        <v>0</v>
      </c>
      <c r="GY170" s="259" t="str">
        <f ca="1">IF(AND(IFERROR(INDEX($GN$3:$GX$200,MATCH(ROWS($GY$3:GY170),$GX$3:$GX$200,0),1),"")&lt;&gt;"",GY171&lt;&gt;""),CONCATENATE(IFERROR(INDEX($GN$3:$GX$200,MATCH(ROWS($GY$3:GY170),$GX$3:$GX$200,0),1),"")," - "),IFERROR(INDEX($GN$3:$GX$200,MATCH(ROWS($GY$3:GY170),$GX$3:$GX$200,0),1),""))</f>
        <v/>
      </c>
      <c r="GZ170" s="259" t="s">
        <v>666</v>
      </c>
      <c r="HA170" s="259" t="s">
        <v>585</v>
      </c>
      <c r="HB170" s="269" t="s">
        <v>256</v>
      </c>
      <c r="HC170" s="269" t="s">
        <v>276</v>
      </c>
      <c r="HD170" s="269" t="s">
        <v>7</v>
      </c>
      <c r="HE170" s="269" t="s">
        <v>214</v>
      </c>
      <c r="HV170" s="259" t="str">
        <f ca="1">CONCATENATE(IFERROR(INDEX($HS$3:$HT$102,MATCH(ROWS($HV$3:HV170),$HT$3:$HT$102,0),1),""),HR170)</f>
        <v/>
      </c>
      <c r="IC170" s="259">
        <f ca="1">IFERROR(INDEX(PIANO_DEI_CONTI,MATCH(ROWS(DL$3:DL170),$DK$3:DK397,0),2),0)</f>
        <v>0</v>
      </c>
      <c r="ID170" s="259">
        <f t="shared" ca="1" si="451"/>
        <v>0</v>
      </c>
      <c r="IE170" s="259">
        <f t="shared" ca="1" si="452"/>
        <v>0</v>
      </c>
      <c r="IF170" s="259">
        <f t="shared" ca="1" si="453"/>
        <v>0</v>
      </c>
      <c r="IG170" s="259">
        <f t="shared" ca="1" si="479"/>
        <v>0</v>
      </c>
      <c r="IH170" s="259">
        <f ca="1">IF(IG170&lt;&gt;0,MAX($IH$35:IH169)+1,0)</f>
        <v>0</v>
      </c>
      <c r="II170" s="259">
        <f>IF(AD170="costi pluriennali",MAX($II$2:II169)+1,0)</f>
        <v>0</v>
      </c>
      <c r="IJ170" s="259">
        <f>IF($AD170="rettifiche costi pluriennali",MAX($IJ$2:IJ169)+1,0)</f>
        <v>0</v>
      </c>
      <c r="IK170" s="259">
        <f t="shared" si="454"/>
        <v>0</v>
      </c>
      <c r="IL170" s="259" t="str">
        <f t="shared" si="455"/>
        <v/>
      </c>
      <c r="IM170" s="259">
        <f t="shared" ca="1" si="456"/>
        <v>0</v>
      </c>
      <c r="IN170" s="259">
        <f t="shared" ca="1" si="470"/>
        <v>0</v>
      </c>
      <c r="IO170" s="259">
        <f>SUMIFS($IM$3:$IM$200,$IK$3:$IK$200,ROWS($IO$3:IO170))-SUMIFS($IN$3:$IN$200,$IK$3:$IK$200,ROWS($IO$3:IO170))</f>
        <v>0</v>
      </c>
      <c r="IP170" s="259" t="str">
        <f>IF(IO170&lt;0,INDEX($IJ$3:$IL$200,MATCH(ROWS($IP$3:IP170),$IJ$3:$IJ$200,0),3),"")</f>
        <v/>
      </c>
      <c r="IQ170" s="259">
        <f>IF(IP170&lt;&gt;"",MAX($IQ$2:IQ169)+1,0)</f>
        <v>0</v>
      </c>
      <c r="IR170" s="259" t="str">
        <f ca="1">IFERROR(INDEX($IP$3:$IQ$200,MATCH(ROWS($IR$3:IR170),$IQ$3:$IQ$200,0),1),"")</f>
        <v/>
      </c>
      <c r="IS170" s="259" t="str">
        <f t="shared" ca="1" si="457"/>
        <v/>
      </c>
      <c r="IT170" s="259" t="str">
        <f t="shared" ca="1" si="458"/>
        <v/>
      </c>
      <c r="IU170" s="259" t="str">
        <f t="shared" ca="1" si="459"/>
        <v/>
      </c>
      <c r="IV170" s="259" t="str">
        <f t="shared" ca="1" si="460"/>
        <v/>
      </c>
      <c r="IW170" s="259" t="str">
        <f t="shared" ca="1" si="461"/>
        <v/>
      </c>
      <c r="IX170" s="259" t="str">
        <f t="shared" ca="1" si="462"/>
        <v/>
      </c>
      <c r="IY170" s="259" t="str">
        <f t="shared" ca="1" si="463"/>
        <v/>
      </c>
      <c r="IZ170" s="259" t="str">
        <f t="shared" ca="1" si="464"/>
        <v/>
      </c>
      <c r="JA170" s="259" t="str">
        <f t="shared" ca="1" si="465"/>
        <v/>
      </c>
      <c r="JB170" s="259">
        <f t="shared" ca="1" si="391"/>
        <v>0</v>
      </c>
      <c r="JC170" s="259">
        <f t="shared" ca="1" si="504"/>
        <v>0</v>
      </c>
      <c r="JD170" s="259">
        <f t="shared" ca="1" si="505"/>
        <v>0</v>
      </c>
      <c r="JM170" s="259">
        <f t="shared" ca="1" si="506"/>
        <v>0</v>
      </c>
    </row>
    <row r="171" spans="1:273">
      <c r="A171" s="259" t="str">
        <f t="shared" si="392"/>
        <v>35.00</v>
      </c>
      <c r="B171" s="259" t="str">
        <f t="shared" si="393"/>
        <v>AMMORTAMENTI IMMOBILIZZAZIONI MATERIALI</v>
      </c>
      <c r="C171" s="259">
        <f t="shared" si="394"/>
        <v>0</v>
      </c>
      <c r="D171" s="259">
        <f t="shared" si="395"/>
        <v>0</v>
      </c>
      <c r="E171" s="259">
        <f t="shared" si="396"/>
        <v>0</v>
      </c>
      <c r="F171" s="259">
        <f t="shared" si="397"/>
        <v>0</v>
      </c>
      <c r="G171" s="259">
        <f t="shared" ca="1" si="398"/>
        <v>0</v>
      </c>
      <c r="H171" s="259">
        <f t="shared" ca="1" si="399"/>
        <v>0</v>
      </c>
      <c r="I171" s="259">
        <f t="shared" ca="1" si="400"/>
        <v>0</v>
      </c>
      <c r="K171" s="259" t="str">
        <f ca="1">IFERROR(IF($I$1=1,INDEX($AA$3:$AS$220,MATCH(ROWS($K$3:K171),$AQ$3:$AQ$220,0),1),IF($I$1=2,INDEX($AA$3:$AS$220,MATCH(ROWS($K$3:K171),$AR$3:$AR$220,0),1),IF($I$1=3,INDEX($AA$3:$AS$220,MATCH(ROWS($K$3:K171),$AS$3:$AS$220,0),1),""))),"")</f>
        <v>SCONTI PASSIVI BANCARI</v>
      </c>
      <c r="L171" s="259">
        <f ca="1">IF(AND($L$1="VISUALIZZA TUTTI I CONTI",K171&lt;&gt;""),MAX(L170:L170)+1,IFERROR(IF($J$1=1,IF(INDEX(PIANO_DEI_CONTI,MATCH($K171,DENOMINAZIONE,0),5)=$L$1,MAX($L$2:L170)+1,0),IF($J$1=2,IF(INDEX(PIANO_DEI_CONTI,MATCH($K171,DENOMINAZIONE,0),7)=$L$1,MAX($L$2:L170)+1,0))),0))</f>
        <v>169</v>
      </c>
      <c r="M171" s="259" t="str">
        <f ca="1">IFERROR(INDEX($K$3:$K$220,MATCH(ROWS($M$3:M171),$L$3:$L$220,0),1),"")</f>
        <v>SCONTI PASSIVI BANCARI</v>
      </c>
      <c r="R171" s="259" t="str">
        <f t="shared" ca="1" si="366"/>
        <v/>
      </c>
      <c r="S171" s="259">
        <f ca="1">IF(IFERROR(MATCH(R171,DENOMINAZIONE_GIORNALE,0),0)&gt;0,MAX(S$2:S170)+1,0)</f>
        <v>0</v>
      </c>
      <c r="T171" s="259" t="str">
        <f ca="1">IFERROR(INDEX($R$3:$S$220,MATCH(ROWS($T$3:T171),$S$3:$S$220,0),1),"")</f>
        <v/>
      </c>
      <c r="U171" s="259">
        <f t="shared" ca="1" si="367"/>
        <v>0</v>
      </c>
      <c r="V171" s="259">
        <f ca="1">IF(IF(U171&lt;&gt;0,MAX($V$2:V170)+1,0)=0,0,IF(U171&lt;&gt;0,MAX($V$2:V170)+1,0))</f>
        <v>0</v>
      </c>
      <c r="W171" s="259" t="str">
        <f t="shared" si="401"/>
        <v/>
      </c>
      <c r="X171" s="259" t="str">
        <f t="shared" si="402"/>
        <v/>
      </c>
      <c r="Y171" s="259">
        <f>IF(W171="",0,MAX($Y$2:Y170)+1)</f>
        <v>0</v>
      </c>
      <c r="Z171" s="259" t="str">
        <f>IFERROR(INDEX($W$3:$Y$220,MATCH(ROWS($Z$2:Z170),$Y$3:$Y$220,0),1),"")</f>
        <v>40.03</v>
      </c>
      <c r="AA171" s="259" t="str">
        <f t="shared" si="403"/>
        <v>INTERESSI ATTIVI POSTALI</v>
      </c>
      <c r="AB171" s="259" t="str">
        <f t="shared" si="404"/>
        <v>E</v>
      </c>
      <c r="AC171" s="259" t="str">
        <f t="shared" si="405"/>
        <v>A</v>
      </c>
      <c r="AD171" s="259" t="str">
        <f t="shared" si="406"/>
        <v>RICAVI D'ESERCIZIO</v>
      </c>
      <c r="AE171" s="259" t="str">
        <f t="shared" si="407"/>
        <v>SE AVERE</v>
      </c>
      <c r="AF171" s="259" t="str">
        <f t="shared" si="408"/>
        <v>PROVENTI FINANZIARI</v>
      </c>
      <c r="AG171" s="259">
        <f t="shared" ca="1" si="409"/>
        <v>1</v>
      </c>
      <c r="AH171" s="259">
        <f t="shared" ca="1" si="410"/>
        <v>1</v>
      </c>
      <c r="AI171" s="259">
        <f t="shared" ca="1" si="411"/>
        <v>1</v>
      </c>
      <c r="AJ171" s="259" t="str">
        <f t="shared" si="412"/>
        <v>40</v>
      </c>
      <c r="AK171" s="259" t="str">
        <f t="shared" si="413"/>
        <v>35</v>
      </c>
      <c r="AL171" s="259">
        <f>IF(AK171&lt;&gt;"",MAX($AL$2:AL170)+1,0)</f>
        <v>24</v>
      </c>
      <c r="AM171" s="259" t="str">
        <f>IFERROR(INDEX($AK$3:$AL$220,MATCH(ROWS($AM$3:AM171),$AL$3:$AL$220,0),1),"")</f>
        <v/>
      </c>
      <c r="AN171" s="259" t="str">
        <f t="shared" si="414"/>
        <v/>
      </c>
      <c r="AO171" s="259" t="str">
        <f t="shared" si="415"/>
        <v/>
      </c>
      <c r="AP171" s="259" t="str">
        <f t="shared" si="416"/>
        <v>PROVENTI FINANZIARI</v>
      </c>
      <c r="AQ171" s="259">
        <f ca="1">IF(OR(AG171=0,AG171=""),0,MAX(AQ$2:AQ170)+1)</f>
        <v>85</v>
      </c>
      <c r="AR171" s="259">
        <f ca="1">IF(OR(AH171=0,AH171=""),0,MAX(AR$2:AR170)+1)</f>
        <v>115</v>
      </c>
      <c r="AS171" s="259">
        <f ca="1">IF(OR(AI171=0,AI171=""),0,MAX(AS$2:AS170)+1)</f>
        <v>165</v>
      </c>
      <c r="AT171" s="259" t="str">
        <f ca="1">IFERROR(INDEX($AD$3:$AS$220,MATCH(ROWS(AT$3:AT171),AQ$3:AQ$220,0),1),"")</f>
        <v/>
      </c>
      <c r="AU171" s="259" t="str">
        <f ca="1">IFERROR(INDEX($AD$3:$AS$220,MATCH(ROWS(AU$3:AU171),AR$3:AR$220,0),1),"")</f>
        <v/>
      </c>
      <c r="AV171" s="259" t="str">
        <f ca="1">IFERROR(INDEX($AD$3:$AS$220,MATCH(ROWS(AV$3:AV171),AS$3:AS$220,0),1),"")</f>
        <v>COSTI D'ESERCIZIO</v>
      </c>
      <c r="AW171" s="259" t="str">
        <f ca="1">IFERROR(INDEX($AP$3:$AS$220,MATCH(ROWS(AW$3:AW171),AQ$3:AQ$220,0),1),"")</f>
        <v/>
      </c>
      <c r="AX171" s="259" t="str">
        <f ca="1">IFERROR(INDEX($AP$3:$AS$220,MATCH(ROWS(AX$3:AX171),AR$3:AR$220,0),1),"")</f>
        <v/>
      </c>
      <c r="AY171" s="259" t="str">
        <f ca="1">IFERROR(INDEX($AP$3:$AS$220,MATCH(ROWS(AY$3:AY171),AS$3:AS$220,0),1),"")</f>
        <v>ONERI FINANZIARI</v>
      </c>
      <c r="AZ171" s="259" t="str">
        <f t="shared" si="490"/>
        <v>69 V.I.</v>
      </c>
      <c r="BA171" s="259">
        <f t="shared" ca="1" si="484"/>
        <v>0</v>
      </c>
      <c r="BB171" s="259">
        <f t="shared" ca="1" si="491"/>
        <v>0</v>
      </c>
      <c r="BC171" s="259">
        <f t="shared" ca="1" si="492"/>
        <v>0</v>
      </c>
      <c r="BD171" s="259">
        <f t="shared" ca="1" si="493"/>
        <v>0</v>
      </c>
      <c r="BE171" s="259">
        <f t="shared" ca="1" si="494"/>
        <v>0</v>
      </c>
      <c r="BG171" s="259" t="str">
        <f t="shared" ca="1" si="368"/>
        <v/>
      </c>
      <c r="BH171" s="259">
        <f ca="1">IF(IFERROR(MATCH(BG171,DENOMINAZIONE_GIORNALE,0),0)&gt;0,MAX(BH$2:BH170)+1,0)</f>
        <v>0</v>
      </c>
      <c r="BI171" s="259" t="str">
        <f ca="1">IFERROR(INDEX($BG$3:$BH$220,MATCH(ROWS($BI$3:BI171),$BH$3:$BH$220,0),1),"")</f>
        <v/>
      </c>
      <c r="BJ171" s="259" t="str">
        <f t="shared" ca="1" si="369"/>
        <v/>
      </c>
      <c r="BK171" s="259" t="str">
        <f ca="1">IF(IF(BJ171&lt;&gt;"",MAX($BK$2:BK170)+1,0)=0,"",IF(BJ171&lt;&gt;"",MAX($BK$2:BK170)+1,0))</f>
        <v/>
      </c>
      <c r="BL171" s="259" t="str">
        <f ca="1">IFERROR(INDEX($T$3:$U$220, MATCH(ROWS(BL$3:BL171),$V$3:$V$220,0),1),"")</f>
        <v/>
      </c>
      <c r="BM171" s="259" t="str">
        <f ca="1">IFERROR(INDEX($T$3:$U$220, MATCH(ROWS(BM$3:BM171),$V$3:$V$220,0),2),"")</f>
        <v/>
      </c>
      <c r="BN171" s="259" t="str">
        <f ca="1">IF(IFERROR(INDEX($BI$3:$BJ$220,MATCH(ROWS(BN$3:BN171),$BK$3:$BK$220,0),1),"")="PATRIMONIO NETTO","",IFERROR(INDEX($BI$3:$BJ$220,MATCH(ROWS(BN$3:BN171),$BK$3:$BK$220,0),1),""))</f>
        <v/>
      </c>
      <c r="BO171" s="259" t="str">
        <f ca="1">IFERROR(INDEX($BI$3:$BJ$220,MATCH(ROWS(BO$3:BO171),$BK$3:$BK$220,0),2),"")</f>
        <v/>
      </c>
      <c r="BP171" s="259">
        <f ca="1">IF(BN171&lt;&gt;"",MAX(BP$2:$BP170)+1,0)</f>
        <v>0</v>
      </c>
      <c r="BQ171" s="259" t="str">
        <f ca="1">IFERROR(INDEX($BN$3:$BO$200,MATCH(ROWS(BQ$3:BQ171),$BP$3:$BP$220,0),1),"")</f>
        <v/>
      </c>
      <c r="BR171" s="259" t="str">
        <f ca="1">IFERROR(INDEX($BN$3:$BO$220,MATCH(ROWS(BR$3:BR171),$BP$3:$BP$220,0),2),"")</f>
        <v/>
      </c>
      <c r="BS171" s="259" t="str">
        <f ca="1">IFERROR(IF(OR(INDEX($T$3:$U$220,MATCH(ROWS(BL$3:BL171),$V$3:$V$220,0),1)="PRELEVAMENTI EXTRAGESTIONE",INDEX($T$3:$U$220,MATCH(ROWS(BL$3:BL171),$V$3:$V$220,0),1)="TITOLARE C/RITENUTE SUBITE"),"",INDEX($T$3:$U$220,MATCH(ROWS(BL$3:BL171),$V$3:$V$220,0),1)),"")</f>
        <v/>
      </c>
      <c r="BT171" s="259">
        <f t="shared" ca="1" si="417"/>
        <v>0</v>
      </c>
      <c r="BU171" s="259">
        <f ca="1">IF(BS171&lt;&gt;"",MAX(BU$2:BU170)+1,0)</f>
        <v>0</v>
      </c>
      <c r="BV171" s="259" t="str">
        <f ca="1">IFERROR(INDEX($BS$3:$BT$223,MATCH(ROWS(BV$3:BV171),$BU$3:$BU$223,0),1),"")</f>
        <v/>
      </c>
      <c r="BW171" s="259">
        <f t="shared" ca="1" si="418"/>
        <v>0</v>
      </c>
      <c r="CB171" s="259" t="str">
        <f ca="1">IFERROR(IF(OR($BB$1&lt;&gt;$BD$1,$BC$1&lt;&gt;$BE$1,$DS$231&lt;&gt;$DT$231,$DU$231&lt;&gt;$DV$231,$EO$25&lt;&gt;0,$EO$26&lt;&gt;0),INDEX($BI$3:$BK$220,MATCH(ROWS($CB$3:CB171),$BK$3:$BK$220,0),1),CONCATENATE(BQ171,BX171)),"")</f>
        <v/>
      </c>
      <c r="CC171" s="259" t="str">
        <f t="shared" ca="1" si="419"/>
        <v/>
      </c>
      <c r="CD171" s="259" t="str">
        <f t="shared" ca="1" si="370"/>
        <v/>
      </c>
      <c r="CE171" s="259">
        <f ca="1">IF(IFERROR(MATCH(CD171,DENOMINAZIONE_GIORNALE,0),0)&gt;0,MAX(CE$2:CE170)+1,0)</f>
        <v>0</v>
      </c>
      <c r="CF171" s="259" t="str">
        <f ca="1">IFERROR(INDEX($CD$3:$CE$220,MATCH(ROWS($CF$3:CF171),$CE$3:$CE$220,0),1),"")</f>
        <v/>
      </c>
      <c r="CG171" s="259">
        <f t="shared" ca="1" si="371"/>
        <v>0</v>
      </c>
      <c r="CH171" s="259" t="str">
        <f ca="1">IF(IF(CG171&lt;&gt;0,MAX($CH$2:CH170)+1,0)=0,"",IF(CG171&lt;&gt;"",MAX($CH$2:CH170)+1,0))</f>
        <v/>
      </c>
      <c r="CI171" s="259" t="str">
        <f ca="1">IFERROR(INDEX($CF$3:$CG$220,MATCH(ROWS($CI$3:CI171),$CH$3:$CH$220,0),1),"")</f>
        <v/>
      </c>
      <c r="CJ171" s="259" t="str">
        <f t="shared" ca="1" si="420"/>
        <v/>
      </c>
      <c r="CK171" s="259" t="str">
        <f t="shared" ca="1" si="372"/>
        <v>INTERESSI ATTIVI POSTALI</v>
      </c>
      <c r="CL171" s="259">
        <f ca="1">IF(IFERROR(MATCH(CK171,DENOMINAZIONE_GIORNALE,0),0)&gt;0,MAX(CL$2:CL170)+1,0)</f>
        <v>0</v>
      </c>
      <c r="CM171" s="259" t="str">
        <f ca="1">IFERROR(INDEX($CK$3:$CL$220,MATCH(ROWS($CM$3:CM171),$CL$3:$CL$220,0),1),"")</f>
        <v/>
      </c>
      <c r="CN171" s="259" t="str">
        <f t="shared" ca="1" si="373"/>
        <v/>
      </c>
      <c r="CO171" s="259">
        <f ca="1">IF(IF(CN171&lt;&gt;0,MAX($CO$2:CO170)+1,0)=0,"",IF(CN171&lt;&gt;"",MAX($CO$2:CO170)+1,0))</f>
        <v>0</v>
      </c>
      <c r="CP171" s="259" t="str">
        <f ca="1">IFERROR(INDEX($CM$3:$CN$220,MATCH(ROWS(CP$3:CP171),$CO$3:$CO$220,0),1),"")</f>
        <v/>
      </c>
      <c r="CQ171" s="259" t="str">
        <f ca="1">IFERROR(INDEX($CM$3:$CN$220,MATCH(ROWS(CQ$3:CQ171),$CO$3:$CO$220,0),2),"")</f>
        <v/>
      </c>
      <c r="CS171" s="259">
        <f t="shared" ca="1" si="374"/>
        <v>0</v>
      </c>
      <c r="CT171" s="259">
        <f t="shared" ca="1" si="375"/>
        <v>0</v>
      </c>
      <c r="CU171" s="259">
        <f ca="1">IF(OR(CS171&gt;0,CT171&gt;0),MAX($CU$2:CU170)+1,0)</f>
        <v>0</v>
      </c>
      <c r="CV171" s="259" t="str">
        <f ca="1">IFERROR(INDEX(PIANO_DEI_CONTI,MATCH(ROWS($CV$3:CV171),$CU$3:$CU$200,0),2),"")</f>
        <v/>
      </c>
      <c r="CW171" s="259">
        <f ca="1">IFERROR(IF(CV171&lt;&gt;"",MAX($CW$2:CW170)+1,0),0)</f>
        <v>0</v>
      </c>
      <c r="CX171" s="259">
        <f t="shared" ca="1" si="482"/>
        <v>10</v>
      </c>
      <c r="CY171" s="259" t="str">
        <f t="shared" ca="1" si="495"/>
        <v>MASTRO</v>
      </c>
      <c r="CZ171" s="259" t="e">
        <f t="shared" ca="1" si="485"/>
        <v>#N/A</v>
      </c>
      <c r="DA171" s="259" t="str">
        <f t="shared" ca="1" si="496"/>
        <v/>
      </c>
      <c r="DB171" s="259" t="str">
        <f t="shared" ca="1" si="486"/>
        <v/>
      </c>
      <c r="DC171" s="259" t="str">
        <f t="shared" ca="1" si="487"/>
        <v/>
      </c>
      <c r="DD171" s="259" t="str">
        <f t="shared" ca="1" si="488"/>
        <v/>
      </c>
      <c r="DE171" s="259" t="str">
        <f t="shared" ca="1" si="489"/>
        <v/>
      </c>
      <c r="DF171" s="259">
        <f ca="1">IF(AND(CX171=$DE$2,$DF$2&lt;&gt;0),0,IF(AND(DB171&lt;&gt;"",OR(DB170&lt;&gt;"",DB172&lt;&gt;"")),MAX($DF$2:DF170)+1,0))</f>
        <v>0</v>
      </c>
      <c r="DG171" s="259" t="str">
        <f>IF(IF(LIBRO_GIORNALE!E79="","",IFERROR(INDEX(PIANO_DEI_CONTI,MATCH(BB171,DENOMINAZIONE,0),1),0))=0,"",IF(LIBRO_GIORNALE!E79="","",IFERROR(INDEX(PIANO_DEI_CONTI,MATCH(BB171,DENOMINAZIONE,0),1),0)))</f>
        <v/>
      </c>
      <c r="DH171" s="259">
        <f ca="1">IFERROR(IF($J$1=1,IF(INDEX(PIANO_DEI_CONTI,MATCH($K171,DENOMINAZIONE,0),5)=$DF$1,MAX($DH$2:DH170)+1,0),IF($J$1=2,IF(INDEX(PIANO_DEI_CONTI,MATCH($K171,DENOMINAZIONE,0),7)=$DF$1,MAX($DH$2:DH170)+1,0))),0)</f>
        <v>0</v>
      </c>
      <c r="DI171" s="259">
        <f ca="1">IFERROR(INDEX($K$3:$K$220,MATCH(ROWS($DI$3:DI171),$DH$3:$DH$220,0),1),0)</f>
        <v>0</v>
      </c>
      <c r="DJ171" s="259">
        <f t="shared" ca="1" si="381"/>
        <v>0</v>
      </c>
      <c r="DK171" s="259">
        <f ca="1">IF(DJ171=0,0,MAX(DK$2:DK170)+1)</f>
        <v>0</v>
      </c>
      <c r="DL171" s="259">
        <f ca="1">IFERROR(INDEX(PIANO_DEI_CONTI,MATCH(ROWS(DL$3:DL171),$DK$3:DK398,0),2),0)</f>
        <v>0</v>
      </c>
      <c r="DM171" s="259">
        <f t="shared" ca="1" si="382"/>
        <v>0</v>
      </c>
      <c r="DN171" s="259">
        <f t="shared" ca="1" si="383"/>
        <v>0</v>
      </c>
      <c r="DO171" s="259">
        <f t="shared" ca="1" si="422"/>
        <v>0</v>
      </c>
      <c r="DP171" s="259">
        <f t="shared" ca="1" si="423"/>
        <v>0</v>
      </c>
      <c r="DQ171" s="259">
        <f ca="1">IF(OR($DQ$1="TOTALI",$DQ$1="TOTALI ED ECCEDENZE"),IF(OR(DM171&gt;0,DN171&gt;0),MAX(DQ$2:DQ170)+1,0),IF($DQ$1="ECCEDENZE",IF(OR(DO171&gt;0,DP171&gt;0),MAX(DQ$2:DQ170)+1,0),""))</f>
        <v>0</v>
      </c>
      <c r="DR171" s="259" t="str">
        <f ca="1">IFERROR(INDEX($DL$3:$DQ$230,MATCH(ROWS(DR$3:DR171),$DQ$3:$DQ$230,0),1),"")</f>
        <v/>
      </c>
      <c r="DS171" s="259" t="str">
        <f t="shared" ca="1" si="424"/>
        <v/>
      </c>
      <c r="DT171" s="259" t="str">
        <f t="shared" ca="1" si="425"/>
        <v/>
      </c>
      <c r="DU171" s="259" t="str">
        <f t="shared" ca="1" si="426"/>
        <v/>
      </c>
      <c r="DV171" s="259" t="str">
        <f t="shared" ca="1" si="427"/>
        <v/>
      </c>
      <c r="DW171" s="259">
        <f t="shared" ca="1" si="428"/>
        <v>0</v>
      </c>
      <c r="DX171" s="259" t="str">
        <f t="shared" ca="1" si="429"/>
        <v/>
      </c>
      <c r="DY171" s="259" t="str">
        <f t="shared" ca="1" si="430"/>
        <v/>
      </c>
      <c r="DZ171" s="259" t="str">
        <f t="shared" ca="1" si="431"/>
        <v/>
      </c>
      <c r="EB171" s="259" t="s">
        <v>390</v>
      </c>
      <c r="ED171" s="259">
        <f t="shared" ca="1" si="384"/>
        <v>0</v>
      </c>
      <c r="EH171" s="259" t="str">
        <f t="shared" ca="1" si="432"/>
        <v/>
      </c>
      <c r="EI171" s="260" t="b">
        <f t="shared" ca="1" si="466"/>
        <v>0</v>
      </c>
      <c r="EJ171" s="260" t="b">
        <f t="shared" ca="1" si="467"/>
        <v>0</v>
      </c>
      <c r="EK171" s="260" t="b">
        <f t="shared" ca="1" si="468"/>
        <v>0</v>
      </c>
      <c r="EL171" s="259">
        <f t="shared" si="433"/>
        <v>169</v>
      </c>
      <c r="EM171" s="259">
        <f ca="1">IF(AND(BA171&gt;0,BA171&lt;=$EM$1),MAX($EM$2:EM170)+1,0)</f>
        <v>0</v>
      </c>
      <c r="EN171" s="259">
        <f t="shared" ca="1" si="434"/>
        <v>171</v>
      </c>
      <c r="EP171" s="259" t="str">
        <f t="shared" ca="1" si="385"/>
        <v/>
      </c>
      <c r="EQ171" s="259">
        <f t="shared" ca="1" si="386"/>
        <v>0</v>
      </c>
      <c r="ER171" s="259">
        <f ca="1">IF(ISNA(EQ171),MAX(ER$2:ER170)+1,0)</f>
        <v>0</v>
      </c>
      <c r="ES171" s="259" t="str">
        <f t="shared" ca="1" si="435"/>
        <v/>
      </c>
      <c r="ET171" s="259" t="str">
        <f ca="1">IFERROR(UPPER(INDEX($ER$3:$ES$500,MATCH(ROWS(ET$3:ET171),$ER$3:$ER$500,0),2)),"")</f>
        <v/>
      </c>
      <c r="EW171" s="259">
        <f t="shared" ca="1" si="497"/>
        <v>1</v>
      </c>
      <c r="EX171" s="259">
        <v>69</v>
      </c>
      <c r="EY171" s="259">
        <f t="shared" ca="1" si="498"/>
        <v>0</v>
      </c>
      <c r="EZ171" s="259">
        <f t="shared" ca="1" si="499"/>
        <v>0</v>
      </c>
      <c r="FA171" s="259">
        <f t="shared" ca="1" si="500"/>
        <v>0</v>
      </c>
      <c r="FB171" s="259">
        <f t="shared" ca="1" si="501"/>
        <v>0</v>
      </c>
      <c r="FC171" s="259">
        <f t="shared" ca="1" si="502"/>
        <v>0</v>
      </c>
      <c r="FD171" s="259">
        <f t="shared" ca="1" si="387"/>
        <v>0</v>
      </c>
      <c r="FE171" s="259" t="str">
        <f t="shared" ca="1" si="388"/>
        <v/>
      </c>
      <c r="FF171" s="259" t="str">
        <f t="shared" ca="1" si="503"/>
        <v/>
      </c>
      <c r="FM171" s="259">
        <f t="shared" ca="1" si="389"/>
        <v>0</v>
      </c>
      <c r="FN171" s="259">
        <f ca="1">IF(FM171&lt;0,MAX($FN$2:FN170)+1,0)</f>
        <v>0</v>
      </c>
      <c r="FO171" s="259" t="str">
        <f t="shared" ca="1" si="436"/>
        <v/>
      </c>
      <c r="FP171" s="259" t="str">
        <f ca="1">IFERROR(INDEX($FN$3:$FO$400,MATCH(ROWS($FP$3:FP171),$FN$3:$FN$400,0),2),"")</f>
        <v/>
      </c>
      <c r="FQ171" s="259">
        <f>IF(AE171="SE AVERE",MAX($FQ$2:FQ170)+1,"")</f>
        <v>18</v>
      </c>
      <c r="FR171" s="259" t="str">
        <f>IF(AE171="SE DARE",MAX($FR$2:FR170)+1,"")</f>
        <v/>
      </c>
      <c r="FS171" s="259" t="str">
        <f ca="1">IF(AND(AE171="SP DARE",AA171&lt;&gt;$FS$1,AA171&lt;&gt;$FT$1),MAX($FS$2:FS170)+1,IF(AND(GQ171="SP DARE",AA171&lt;&gt;$FS$1,AA171&lt;&gt;$FT$1),MAX($FS$2:FS170)+1,""))</f>
        <v/>
      </c>
      <c r="FT171" s="259" t="str">
        <f ca="1">IF(AND(AE171="SP AVERE",AA171&lt;&gt;$FU$1),MAX($FT$2:FT170)+1,IF(AND(GQ171="SP AVERE",AA171&lt;&gt;$FU$1),MAX($FT$2:FT170)+1,""))</f>
        <v/>
      </c>
      <c r="FU171" s="259">
        <f t="shared" ca="1" si="437"/>
        <v>18</v>
      </c>
      <c r="FV171" s="259" t="str">
        <f t="shared" si="438"/>
        <v>INTERESSI ATTIVI POSTALI</v>
      </c>
      <c r="FW171" s="259" t="str">
        <f ca="1">IFERROR(INDEX($FU$3:$FV$500,MATCH(ROWS($FW$3:FW171),$FU$3:$FU$500,0),2),0)</f>
        <v>DEBITI V/FONDI PENSIONE</v>
      </c>
      <c r="FX171" s="259">
        <f t="shared" ca="1" si="439"/>
        <v>169</v>
      </c>
      <c r="FY171" s="259">
        <f t="shared" ca="1" si="440"/>
        <v>0</v>
      </c>
      <c r="FZ171" s="259">
        <f ca="1">IF(FY171&gt;0,MAX($FZ$2:FZ170)+1,0)</f>
        <v>0</v>
      </c>
      <c r="GA171" s="259">
        <f ca="1">IFERROR(INDEX($FY$3:$FZ$500,MATCH(ROWS($GA$3:GA171),$FZ$3:$FZ$500,0),1),0)</f>
        <v>0</v>
      </c>
      <c r="GC171" s="259">
        <f t="shared" ca="1" si="441"/>
        <v>169</v>
      </c>
      <c r="GD171" s="259" t="str">
        <f t="shared" ca="1" si="442"/>
        <v>DEBITI V/FONDI PENSIONE</v>
      </c>
      <c r="GG171" s="259">
        <f t="shared" ca="1" si="443"/>
        <v>0</v>
      </c>
      <c r="GH171" s="259">
        <f t="shared" ca="1" si="444"/>
        <v>0</v>
      </c>
      <c r="GI171" s="259">
        <f t="shared" ca="1" si="445"/>
        <v>0</v>
      </c>
      <c r="GJ171" s="259">
        <f t="shared" ca="1" si="446"/>
        <v>0</v>
      </c>
      <c r="GK171" s="259">
        <f t="shared" ca="1" si="447"/>
        <v>0</v>
      </c>
      <c r="GL171" s="259">
        <f t="shared" ca="1" si="447"/>
        <v>0</v>
      </c>
      <c r="GM171" s="259">
        <f ca="1">IF(OR(GK171&gt;0,GL171&gt;0),MAX($GM$2:GM170)+1,0)</f>
        <v>0</v>
      </c>
      <c r="GN171" s="259" t="str">
        <f ca="1">IFERROR(INDEX($GD$3:$GM$400,MATCH(ROWS($GN$3:GN171),$GM$3:$GM$400,0),1),"")</f>
        <v/>
      </c>
      <c r="GO171" s="259" t="str">
        <f ca="1">IFERROR(INDEX($GD$3:$GM$400,MATCH(ROWS($GO$3:GO171),$GM$3:$GM$400,0),8),"")</f>
        <v/>
      </c>
      <c r="GP171" s="259" t="str">
        <f ca="1">IFERROR(INDEX($GD$3:$GM$400,MATCH(ROWS($GP$3:GP171),$GM$3:$GM$400,0),9),"")</f>
        <v/>
      </c>
      <c r="GQ171" s="259">
        <f t="shared" ca="1" si="390"/>
        <v>0</v>
      </c>
      <c r="GR171" s="259">
        <f t="shared" ca="1" si="448"/>
        <v>0</v>
      </c>
      <c r="GS171" s="259" t="str">
        <f t="shared" ca="1" si="449"/>
        <v>chiusura del conto</v>
      </c>
      <c r="GT171" s="259" t="str">
        <f ca="1">IFERROR(INDEX($GD$3:$GS$400,MATCH(ROWS($GT$3:GT171),$GM$3:$GM$400,0),16),"")</f>
        <v/>
      </c>
      <c r="GU171" s="259">
        <f ca="1">IF(GQ171&lt;&gt;0,MAX($GU$2:$GU170)+1,0)</f>
        <v>0</v>
      </c>
      <c r="GV171" s="259">
        <f t="shared" ca="1" si="450"/>
        <v>0</v>
      </c>
      <c r="GW171" s="259" t="str">
        <f ca="1">IF(AND(IFERROR(INDEX($GU$3:$GV$400,MATCH(ROWS($GW$3:GW171),$GU$3:$GU$400,0),2),"")&lt;&gt;"",GW172&lt;&gt;""),CONCATENATE(IFERROR(INDEX($GU$3:$GV$400,MATCH(ROWS($GW$3:GW171),$GU$3:$GU$400,0),2),"")," - "),IFERROR(INDEX($GU$3:$GV$400,MATCH(ROWS($GW$3:GW171),$GU$3:$GU$400,0),2),""))</f>
        <v/>
      </c>
      <c r="GX171" s="259">
        <f ca="1">IF(OR(GN171="IVA NS/CREDITO",GN171="IVA NS/DEBITO",GN171="IVA C/ACCONTO",GN171="IMPOSTE C/ACCONTO"),MAX($GX$2:GX170)+1,0)</f>
        <v>0</v>
      </c>
      <c r="GY171" s="259" t="str">
        <f ca="1">IF(AND(IFERROR(INDEX($GN$3:$GX$200,MATCH(ROWS($GY$3:GY171),$GX$3:$GX$200,0),1),"")&lt;&gt;"",GY172&lt;&gt;""),CONCATENATE(IFERROR(INDEX($GN$3:$GX$200,MATCH(ROWS($GY$3:GY171),$GX$3:$GX$200,0),1),"")," - "),IFERROR(INDEX($GN$3:$GX$200,MATCH(ROWS($GY$3:GY171),$GX$3:$GX$200,0),1),""))</f>
        <v/>
      </c>
      <c r="GZ171" s="259" t="s">
        <v>586</v>
      </c>
      <c r="HA171" s="270" t="s">
        <v>587</v>
      </c>
      <c r="HV171" s="259" t="str">
        <f ca="1">CONCATENATE(IFERROR(INDEX($HS$3:$HT$102,MATCH(ROWS($HV$3:HV171),$HT$3:$HT$102,0),1),""),HR171)</f>
        <v/>
      </c>
      <c r="IC171" s="259">
        <f ca="1">IFERROR(INDEX(PIANO_DEI_CONTI,MATCH(ROWS(DL$3:DL171),$DK$3:DK398,0),2),0)</f>
        <v>0</v>
      </c>
      <c r="ID171" s="259">
        <f t="shared" ca="1" si="451"/>
        <v>0</v>
      </c>
      <c r="IE171" s="259">
        <f t="shared" ca="1" si="452"/>
        <v>0</v>
      </c>
      <c r="IF171" s="259">
        <f t="shared" ca="1" si="453"/>
        <v>0</v>
      </c>
      <c r="IG171" s="259">
        <f t="shared" ca="1" si="479"/>
        <v>0</v>
      </c>
      <c r="IH171" s="259">
        <f ca="1">IF(IG171&lt;&gt;0,MAX($IH$35:IH170)+1,0)</f>
        <v>0</v>
      </c>
      <c r="II171" s="259">
        <f>IF(AD171="costi pluriennali",MAX($II$2:II170)+1,0)</f>
        <v>0</v>
      </c>
      <c r="IJ171" s="259">
        <f>IF($AD171="rettifiche costi pluriennali",MAX($IJ$2:IJ170)+1,0)</f>
        <v>0</v>
      </c>
      <c r="IK171" s="259">
        <f t="shared" si="454"/>
        <v>0</v>
      </c>
      <c r="IL171" s="259" t="str">
        <f t="shared" si="455"/>
        <v/>
      </c>
      <c r="IM171" s="259">
        <f t="shared" ca="1" si="456"/>
        <v>0</v>
      </c>
      <c r="IN171" s="259">
        <f t="shared" ca="1" si="470"/>
        <v>0</v>
      </c>
      <c r="IO171" s="259">
        <f>SUMIFS($IM$3:$IM$200,$IK$3:$IK$200,ROWS($IO$3:IO171))-SUMIFS($IN$3:$IN$200,$IK$3:$IK$200,ROWS($IO$3:IO171))</f>
        <v>0</v>
      </c>
      <c r="IP171" s="259" t="str">
        <f>IF(IO171&lt;0,INDEX($IJ$3:$IL$200,MATCH(ROWS($IP$3:IP171),$IJ$3:$IJ$200,0),3),"")</f>
        <v/>
      </c>
      <c r="IQ171" s="259">
        <f>IF(IP171&lt;&gt;"",MAX($IQ$2:IQ170)+1,0)</f>
        <v>0</v>
      </c>
      <c r="IR171" s="259" t="str">
        <f ca="1">IFERROR(INDEX($IP$3:$IQ$200,MATCH(ROWS($IR$3:IR171),$IQ$3:$IQ$200,0),1),"")</f>
        <v/>
      </c>
      <c r="IS171" s="259" t="str">
        <f t="shared" ca="1" si="457"/>
        <v/>
      </c>
      <c r="IT171" s="259" t="str">
        <f t="shared" ca="1" si="458"/>
        <v/>
      </c>
      <c r="IU171" s="259" t="str">
        <f t="shared" ca="1" si="459"/>
        <v/>
      </c>
      <c r="IV171" s="259" t="str">
        <f t="shared" ca="1" si="460"/>
        <v/>
      </c>
      <c r="IW171" s="259" t="str">
        <f t="shared" ca="1" si="461"/>
        <v/>
      </c>
      <c r="IX171" s="259" t="str">
        <f t="shared" ca="1" si="462"/>
        <v/>
      </c>
      <c r="IY171" s="259" t="str">
        <f t="shared" ca="1" si="463"/>
        <v/>
      </c>
      <c r="IZ171" s="259" t="str">
        <f t="shared" ca="1" si="464"/>
        <v/>
      </c>
      <c r="JA171" s="259" t="str">
        <f t="shared" ca="1" si="465"/>
        <v/>
      </c>
      <c r="JB171" s="259">
        <f t="shared" ca="1" si="391"/>
        <v>0</v>
      </c>
      <c r="JC171" s="259">
        <f t="shared" ca="1" si="504"/>
        <v>0</v>
      </c>
      <c r="JD171" s="259">
        <f t="shared" ca="1" si="505"/>
        <v>0</v>
      </c>
      <c r="JM171" s="259">
        <f t="shared" ca="1" si="506"/>
        <v>0</v>
      </c>
    </row>
    <row r="172" spans="1:273">
      <c r="A172" s="259" t="str">
        <f t="shared" si="392"/>
        <v>35.01</v>
      </c>
      <c r="B172" s="259" t="str">
        <f t="shared" si="393"/>
        <v>AMMORTAMENTO FABBRICATI</v>
      </c>
      <c r="C172" s="259" t="str">
        <f t="shared" si="394"/>
        <v>E</v>
      </c>
      <c r="D172" s="259" t="str">
        <f t="shared" si="395"/>
        <v>D</v>
      </c>
      <c r="E172" s="259" t="str">
        <f t="shared" si="396"/>
        <v>COSTI D'ESERCIZIO</v>
      </c>
      <c r="F172" s="259" t="str">
        <f t="shared" si="397"/>
        <v>SE DARE</v>
      </c>
      <c r="G172" s="259">
        <f t="shared" ca="1" si="398"/>
        <v>0</v>
      </c>
      <c r="H172" s="259">
        <f t="shared" ca="1" si="399"/>
        <v>0</v>
      </c>
      <c r="I172" s="259">
        <f t="shared" ca="1" si="400"/>
        <v>1</v>
      </c>
      <c r="K172" s="259" t="str">
        <f ca="1">IFERROR(IF($I$1=1,INDEX($AA$3:$AS$220,MATCH(ROWS($K$3:K172),$AQ$3:$AQ$220,0),1),IF($I$1=2,INDEX($AA$3:$AS$220,MATCH(ROWS($K$3:K172),$AR$3:$AR$220,0),1),IF($I$1=3,INDEX($AA$3:$AS$220,MATCH(ROWS($K$3:K172),$AS$3:$AS$220,0),1),""))),"")</f>
        <v>INTERESSI PASSIVI SU MUTUI</v>
      </c>
      <c r="L172" s="259">
        <f ca="1">IF(AND($L$1="VISUALIZZA TUTTI I CONTI",K172&lt;&gt;""),MAX(L171:L171)+1,IFERROR(IF($J$1=1,IF(INDEX(PIANO_DEI_CONTI,MATCH($K172,DENOMINAZIONE,0),5)=$L$1,MAX($L$2:L171)+1,0),IF($J$1=2,IF(INDEX(PIANO_DEI_CONTI,MATCH($K172,DENOMINAZIONE,0),7)=$L$1,MAX($L$2:L171)+1,0))),0))</f>
        <v>170</v>
      </c>
      <c r="M172" s="259" t="str">
        <f ca="1">IFERROR(INDEX($K$3:$K$220,MATCH(ROWS($M$3:M172),$L$3:$L$220,0),1),"")</f>
        <v>INTERESSI PASSIVI SU MUTUI</v>
      </c>
      <c r="R172" s="259" t="str">
        <f t="shared" ca="1" si="366"/>
        <v/>
      </c>
      <c r="S172" s="259">
        <f ca="1">IF(IFERROR(MATCH(R172,DENOMINAZIONE_GIORNALE,0),0)&gt;0,MAX(S$2:S171)+1,0)</f>
        <v>0</v>
      </c>
      <c r="T172" s="259" t="str">
        <f ca="1">IFERROR(INDEX($R$3:$S$220,MATCH(ROWS($T$3:T172),$S$3:$S$220,0),1),"")</f>
        <v/>
      </c>
      <c r="U172" s="259">
        <f t="shared" ca="1" si="367"/>
        <v>0</v>
      </c>
      <c r="V172" s="259">
        <f ca="1">IF(IF(U172&lt;&gt;0,MAX($V$2:V171)+1,0)=0,0,IF(U172&lt;&gt;0,MAX($V$2:V171)+1,0))</f>
        <v>0</v>
      </c>
      <c r="W172" s="259" t="str">
        <f t="shared" si="401"/>
        <v>35.01</v>
      </c>
      <c r="X172" s="259" t="str">
        <f t="shared" si="402"/>
        <v>AMMORTAMENTO FABBRICATI</v>
      </c>
      <c r="Y172" s="259">
        <f>IF(W172="",0,MAX($Y$2:Y171)+1)</f>
        <v>146</v>
      </c>
      <c r="Z172" s="259" t="str">
        <f>IFERROR(INDEX($W$3:$Y$220,MATCH(ROWS($Z$2:Z171),$Y$3:$Y$220,0),1),"")</f>
        <v>40.20</v>
      </c>
      <c r="AA172" s="259" t="str">
        <f t="shared" si="403"/>
        <v>PROVENTI FINANZIARI DIVERSI</v>
      </c>
      <c r="AB172" s="259" t="str">
        <f t="shared" si="404"/>
        <v>E</v>
      </c>
      <c r="AC172" s="259" t="str">
        <f t="shared" si="405"/>
        <v>A</v>
      </c>
      <c r="AD172" s="259" t="str">
        <f t="shared" si="406"/>
        <v>RICAVI D'ESERCIZIO</v>
      </c>
      <c r="AE172" s="259" t="str">
        <f t="shared" si="407"/>
        <v>SE AVERE</v>
      </c>
      <c r="AF172" s="259" t="str">
        <f t="shared" si="408"/>
        <v>PROVENTI FINANZIARI</v>
      </c>
      <c r="AG172" s="259">
        <f t="shared" ca="1" si="409"/>
        <v>1</v>
      </c>
      <c r="AH172" s="259">
        <f t="shared" ca="1" si="410"/>
        <v>1</v>
      </c>
      <c r="AI172" s="259">
        <f t="shared" ca="1" si="411"/>
        <v>1</v>
      </c>
      <c r="AJ172" s="259" t="str">
        <f t="shared" si="412"/>
        <v>40</v>
      </c>
      <c r="AK172" s="259" t="str">
        <f t="shared" si="413"/>
        <v/>
      </c>
      <c r="AL172" s="259">
        <f>IF(AK172&lt;&gt;"",MAX($AL$2:AL171)+1,0)</f>
        <v>0</v>
      </c>
      <c r="AM172" s="259" t="str">
        <f>IFERROR(INDEX($AK$3:$AL$220,MATCH(ROWS($AM$3:AM172),$AL$3:$AL$220,0),1),"")</f>
        <v/>
      </c>
      <c r="AN172" s="259" t="str">
        <f t="shared" si="414"/>
        <v/>
      </c>
      <c r="AO172" s="259" t="str">
        <f t="shared" si="415"/>
        <v/>
      </c>
      <c r="AP172" s="259" t="str">
        <f t="shared" si="416"/>
        <v>PROVENTI FINANZIARI</v>
      </c>
      <c r="AQ172" s="259">
        <f ca="1">IF(OR(AG172=0,AG172=""),0,MAX(AQ$2:AQ171)+1)</f>
        <v>86</v>
      </c>
      <c r="AR172" s="259">
        <f ca="1">IF(OR(AH172=0,AH172=""),0,MAX(AR$2:AR171)+1)</f>
        <v>116</v>
      </c>
      <c r="AS172" s="259">
        <f ca="1">IF(OR(AI172=0,AI172=""),0,MAX(AS$2:AS171)+1)</f>
        <v>166</v>
      </c>
      <c r="AT172" s="259" t="str">
        <f ca="1">IFERROR(INDEX($AD$3:$AS$220,MATCH(ROWS(AT$3:AT172),AQ$3:AQ$220,0),1),"")</f>
        <v/>
      </c>
      <c r="AU172" s="259" t="str">
        <f ca="1">IFERROR(INDEX($AD$3:$AS$220,MATCH(ROWS(AU$3:AU172),AR$3:AR$220,0),1),"")</f>
        <v/>
      </c>
      <c r="AV172" s="259" t="str">
        <f ca="1">IFERROR(INDEX($AD$3:$AS$220,MATCH(ROWS(AV$3:AV172),AS$3:AS$220,0),1),"")</f>
        <v>COSTI D'ESERCIZIO</v>
      </c>
      <c r="AW172" s="259" t="str">
        <f ca="1">IFERROR(INDEX($AP$3:$AS$220,MATCH(ROWS(AW$3:AW172),AQ$3:AQ$220,0),1),"")</f>
        <v/>
      </c>
      <c r="AX172" s="259" t="str">
        <f ca="1">IFERROR(INDEX($AP$3:$AS$220,MATCH(ROWS(AX$3:AX172),AR$3:AR$220,0),1),"")</f>
        <v/>
      </c>
      <c r="AY172" s="259" t="str">
        <f ca="1">IFERROR(INDEX($AP$3:$AS$220,MATCH(ROWS(AY$3:AY172),AS$3:AS$220,0),1),"")</f>
        <v>ONERI FINANZIARI</v>
      </c>
      <c r="AZ172" s="259" t="str">
        <f t="shared" si="490"/>
        <v>70 V.I.</v>
      </c>
      <c r="BA172" s="259">
        <f t="shared" ca="1" si="484"/>
        <v>0</v>
      </c>
      <c r="BB172" s="259">
        <f t="shared" ca="1" si="491"/>
        <v>0</v>
      </c>
      <c r="BC172" s="259">
        <f t="shared" ca="1" si="492"/>
        <v>0</v>
      </c>
      <c r="BD172" s="259">
        <f t="shared" ca="1" si="493"/>
        <v>0</v>
      </c>
      <c r="BE172" s="259">
        <f t="shared" ca="1" si="494"/>
        <v>0</v>
      </c>
      <c r="BG172" s="259" t="str">
        <f t="shared" ca="1" si="368"/>
        <v/>
      </c>
      <c r="BH172" s="259">
        <f ca="1">IF(IFERROR(MATCH(BG172,DENOMINAZIONE_GIORNALE,0),0)&gt;0,MAX(BH$2:BH171)+1,0)</f>
        <v>0</v>
      </c>
      <c r="BI172" s="259" t="str">
        <f ca="1">IFERROR(INDEX($BG$3:$BH$220,MATCH(ROWS($BI$3:BI172),$BH$3:$BH$220,0),1),"")</f>
        <v/>
      </c>
      <c r="BJ172" s="259" t="str">
        <f t="shared" ca="1" si="369"/>
        <v/>
      </c>
      <c r="BK172" s="259" t="str">
        <f ca="1">IF(IF(BJ172&lt;&gt;"",MAX($BK$2:BK171)+1,0)=0,"",IF(BJ172&lt;&gt;"",MAX($BK$2:BK171)+1,0))</f>
        <v/>
      </c>
      <c r="BL172" s="259" t="str">
        <f ca="1">IFERROR(INDEX($T$3:$U$220, MATCH(ROWS(BL$3:BL172),$V$3:$V$220,0),1),"")</f>
        <v/>
      </c>
      <c r="BM172" s="259" t="str">
        <f ca="1">IFERROR(INDEX($T$3:$U$220, MATCH(ROWS(BM$3:BM172),$V$3:$V$220,0),2),"")</f>
        <v/>
      </c>
      <c r="BN172" s="259" t="str">
        <f ca="1">IF(IFERROR(INDEX($BI$3:$BJ$220,MATCH(ROWS(BN$3:BN172),$BK$3:$BK$220,0),1),"")="PATRIMONIO NETTO","",IFERROR(INDEX($BI$3:$BJ$220,MATCH(ROWS(BN$3:BN172),$BK$3:$BK$220,0),1),""))</f>
        <v/>
      </c>
      <c r="BO172" s="259" t="str">
        <f ca="1">IFERROR(INDEX($BI$3:$BJ$220,MATCH(ROWS(BO$3:BO172),$BK$3:$BK$220,0),2),"")</f>
        <v/>
      </c>
      <c r="BP172" s="259">
        <f ca="1">IF(BN172&lt;&gt;"",MAX(BP$2:$BP171)+1,0)</f>
        <v>0</v>
      </c>
      <c r="BQ172" s="259" t="str">
        <f ca="1">IFERROR(INDEX($BN$3:$BO$200,MATCH(ROWS(BQ$3:BQ172),$BP$3:$BP$220,0),1),"")</f>
        <v/>
      </c>
      <c r="BR172" s="259" t="str">
        <f ca="1">IFERROR(INDEX($BN$3:$BO$220,MATCH(ROWS(BR$3:BR172),$BP$3:$BP$220,0),2),"")</f>
        <v/>
      </c>
      <c r="BS172" s="259" t="str">
        <f ca="1">IFERROR(IF(OR(INDEX($T$3:$U$220,MATCH(ROWS(BL$3:BL172),$V$3:$V$220,0),1)="PRELEVAMENTI EXTRAGESTIONE",INDEX($T$3:$U$220,MATCH(ROWS(BL$3:BL172),$V$3:$V$220,0),1)="TITOLARE C/RITENUTE SUBITE"),"",INDEX($T$3:$U$220,MATCH(ROWS(BL$3:BL172),$V$3:$V$220,0),1)),"")</f>
        <v/>
      </c>
      <c r="BT172" s="259">
        <f t="shared" ca="1" si="417"/>
        <v>0</v>
      </c>
      <c r="BU172" s="259">
        <f ca="1">IF(BS172&lt;&gt;"",MAX(BU$2:BU171)+1,0)</f>
        <v>0</v>
      </c>
      <c r="BV172" s="259" t="str">
        <f ca="1">IFERROR(INDEX($BS$3:$BT$223,MATCH(ROWS(BV$3:BV172),$BU$3:$BU$223,0),1),"")</f>
        <v/>
      </c>
      <c r="BW172" s="259">
        <f t="shared" ca="1" si="418"/>
        <v>0</v>
      </c>
      <c r="CB172" s="259" t="str">
        <f ca="1">IFERROR(IF(OR($BB$1&lt;&gt;$BD$1,$BC$1&lt;&gt;$BE$1,$DS$231&lt;&gt;$DT$231,$DU$231&lt;&gt;$DV$231,$EO$25&lt;&gt;0,$EO$26&lt;&gt;0),INDEX($BI$3:$BK$220,MATCH(ROWS($CB$3:CB172),$BK$3:$BK$220,0),1),CONCATENATE(BQ172,BX172)),"")</f>
        <v/>
      </c>
      <c r="CC172" s="259" t="str">
        <f t="shared" ca="1" si="419"/>
        <v/>
      </c>
      <c r="CD172" s="259" t="str">
        <f t="shared" ca="1" si="370"/>
        <v/>
      </c>
      <c r="CE172" s="259">
        <f ca="1">IF(IFERROR(MATCH(CD172,DENOMINAZIONE_GIORNALE,0),0)&gt;0,MAX(CE$2:CE171)+1,0)</f>
        <v>0</v>
      </c>
      <c r="CF172" s="259" t="str">
        <f ca="1">IFERROR(INDEX($CD$3:$CE$220,MATCH(ROWS($CF$3:CF172),$CE$3:$CE$220,0),1),"")</f>
        <v/>
      </c>
      <c r="CG172" s="259">
        <f t="shared" ca="1" si="371"/>
        <v>0</v>
      </c>
      <c r="CH172" s="259" t="str">
        <f ca="1">IF(IF(CG172&lt;&gt;0,MAX($CH$2:CH171)+1,0)=0,"",IF(CG172&lt;&gt;"",MAX($CH$2:CH171)+1,0))</f>
        <v/>
      </c>
      <c r="CI172" s="259" t="str">
        <f ca="1">IFERROR(INDEX($CF$3:$CG$220,MATCH(ROWS($CI$3:CI172),$CH$3:$CH$220,0),1),"")</f>
        <v/>
      </c>
      <c r="CJ172" s="259" t="str">
        <f t="shared" ca="1" si="420"/>
        <v/>
      </c>
      <c r="CK172" s="259" t="str">
        <f t="shared" ca="1" si="372"/>
        <v>PROVENTI FINANZIARI DIVERSI</v>
      </c>
      <c r="CL172" s="259">
        <f ca="1">IF(IFERROR(MATCH(CK172,DENOMINAZIONE_GIORNALE,0),0)&gt;0,MAX(CL$2:CL171)+1,0)</f>
        <v>0</v>
      </c>
      <c r="CM172" s="259" t="str">
        <f ca="1">IFERROR(INDEX($CK$3:$CL$220,MATCH(ROWS($CM$3:CM172),$CL$3:$CL$220,0),1),"")</f>
        <v/>
      </c>
      <c r="CN172" s="259" t="str">
        <f t="shared" ca="1" si="373"/>
        <v/>
      </c>
      <c r="CO172" s="259">
        <f ca="1">IF(IF(CN172&lt;&gt;0,MAX($CO$2:CO171)+1,0)=0,"",IF(CN172&lt;&gt;"",MAX($CO$2:CO171)+1,0))</f>
        <v>0</v>
      </c>
      <c r="CP172" s="259" t="str">
        <f ca="1">IFERROR(INDEX($CM$3:$CN$220,MATCH(ROWS(CP$3:CP172),$CO$3:$CO$220,0),1),"")</f>
        <v/>
      </c>
      <c r="CQ172" s="259" t="str">
        <f ca="1">IFERROR(INDEX($CM$3:$CN$220,MATCH(ROWS(CQ$3:CQ172),$CO$3:$CO$220,0),2),"")</f>
        <v/>
      </c>
      <c r="CS172" s="259">
        <f t="shared" ca="1" si="374"/>
        <v>0</v>
      </c>
      <c r="CT172" s="259">
        <f t="shared" ca="1" si="375"/>
        <v>0</v>
      </c>
      <c r="CU172" s="259">
        <f ca="1">IF(OR(CS172&gt;0,CT172&gt;0),MAX($CU$2:CU171)+1,0)</f>
        <v>0</v>
      </c>
      <c r="CV172" s="259" t="str">
        <f ca="1">IFERROR(INDEX(PIANO_DEI_CONTI,MATCH(ROWS($CV$3:CV172),$CU$3:$CU$200,0),2),"")</f>
        <v/>
      </c>
      <c r="CW172" s="259">
        <f ca="1">IFERROR(IF(CV172&lt;&gt;"",MAX($CW$2:CW171)+1,0),0)</f>
        <v>0</v>
      </c>
      <c r="CX172" s="259">
        <f t="shared" ca="1" si="482"/>
        <v>10</v>
      </c>
      <c r="CY172" s="259" t="str">
        <f t="shared" ca="1" si="495"/>
        <v>MASTRO</v>
      </c>
      <c r="CZ172" s="259" t="e">
        <f t="shared" ca="1" si="485"/>
        <v>#N/A</v>
      </c>
      <c r="DA172" s="259" t="str">
        <f t="shared" ca="1" si="496"/>
        <v/>
      </c>
      <c r="DB172" s="259" t="str">
        <f t="shared" ca="1" si="486"/>
        <v/>
      </c>
      <c r="DC172" s="259" t="str">
        <f t="shared" ca="1" si="487"/>
        <v/>
      </c>
      <c r="DD172" s="259" t="str">
        <f t="shared" ca="1" si="488"/>
        <v/>
      </c>
      <c r="DE172" s="259" t="str">
        <f t="shared" ca="1" si="489"/>
        <v/>
      </c>
      <c r="DF172" s="259">
        <f ca="1">IF(AND(CX172=$DE$2,$DF$2&lt;&gt;0),0,IF(AND(DB172&lt;&gt;"",OR(DB171&lt;&gt;"",DB173&lt;&gt;"")),MAX($DF$2:DF171)+1,0))</f>
        <v>0</v>
      </c>
      <c r="DG172" s="259" t="str">
        <f>IF(IF(LIBRO_GIORNALE!E80="","",IFERROR(INDEX(PIANO_DEI_CONTI,MATCH(BB172,DENOMINAZIONE,0),1),0))=0,"",IF(LIBRO_GIORNALE!E80="","",IFERROR(INDEX(PIANO_DEI_CONTI,MATCH(BB172,DENOMINAZIONE,0),1),0)))</f>
        <v/>
      </c>
      <c r="DH172" s="259">
        <f ca="1">IFERROR(IF($J$1=1,IF(INDEX(PIANO_DEI_CONTI,MATCH($K172,DENOMINAZIONE,0),5)=$DF$1,MAX($DH$2:DH171)+1,0),IF($J$1=2,IF(INDEX(PIANO_DEI_CONTI,MATCH($K172,DENOMINAZIONE,0),7)=$DF$1,MAX($DH$2:DH171)+1,0))),0)</f>
        <v>0</v>
      </c>
      <c r="DI172" s="259">
        <f ca="1">IFERROR(INDEX($K$3:$K$220,MATCH(ROWS($DI$3:DI172),$DH$3:$DH$220,0),1),0)</f>
        <v>0</v>
      </c>
      <c r="DJ172" s="259">
        <f t="shared" ca="1" si="381"/>
        <v>0</v>
      </c>
      <c r="DK172" s="259">
        <f ca="1">IF(DJ172=0,0,MAX(DK$2:DK171)+1)</f>
        <v>0</v>
      </c>
      <c r="DL172" s="259">
        <f ca="1">IFERROR(INDEX(PIANO_DEI_CONTI,MATCH(ROWS(DL$3:DL172),$DK$3:DK399,0),2),0)</f>
        <v>0</v>
      </c>
      <c r="DM172" s="259">
        <f t="shared" ca="1" si="382"/>
        <v>0</v>
      </c>
      <c r="DN172" s="259">
        <f t="shared" ca="1" si="383"/>
        <v>0</v>
      </c>
      <c r="DO172" s="259">
        <f t="shared" ca="1" si="422"/>
        <v>0</v>
      </c>
      <c r="DP172" s="259">
        <f t="shared" ca="1" si="423"/>
        <v>0</v>
      </c>
      <c r="DQ172" s="259">
        <f ca="1">IF(OR($DQ$1="TOTALI",$DQ$1="TOTALI ED ECCEDENZE"),IF(OR(DM172&gt;0,DN172&gt;0),MAX(DQ$2:DQ171)+1,0),IF($DQ$1="ECCEDENZE",IF(OR(DO172&gt;0,DP172&gt;0),MAX(DQ$2:DQ171)+1,0),""))</f>
        <v>0</v>
      </c>
      <c r="DR172" s="259" t="str">
        <f ca="1">IFERROR(INDEX($DL$3:$DQ$230,MATCH(ROWS(DR$3:DR172),$DQ$3:$DQ$230,0),1),"")</f>
        <v/>
      </c>
      <c r="DS172" s="259" t="str">
        <f t="shared" ca="1" si="424"/>
        <v/>
      </c>
      <c r="DT172" s="259" t="str">
        <f t="shared" ca="1" si="425"/>
        <v/>
      </c>
      <c r="DU172" s="259" t="str">
        <f t="shared" ca="1" si="426"/>
        <v/>
      </c>
      <c r="DV172" s="259" t="str">
        <f t="shared" ca="1" si="427"/>
        <v/>
      </c>
      <c r="DW172" s="259">
        <f t="shared" ca="1" si="428"/>
        <v>0</v>
      </c>
      <c r="DX172" s="259" t="str">
        <f t="shared" ca="1" si="429"/>
        <v/>
      </c>
      <c r="DY172" s="259" t="str">
        <f t="shared" ca="1" si="430"/>
        <v/>
      </c>
      <c r="DZ172" s="259" t="str">
        <f t="shared" ca="1" si="431"/>
        <v/>
      </c>
      <c r="EB172" s="259" t="s">
        <v>390</v>
      </c>
      <c r="ED172" s="259">
        <f t="shared" ca="1" si="384"/>
        <v>0</v>
      </c>
      <c r="EH172" s="259" t="str">
        <f t="shared" ca="1" si="432"/>
        <v/>
      </c>
      <c r="EI172" s="260" t="b">
        <f t="shared" ca="1" si="466"/>
        <v>0</v>
      </c>
      <c r="EJ172" s="260" t="b">
        <f t="shared" ca="1" si="467"/>
        <v>0</v>
      </c>
      <c r="EK172" s="260" t="b">
        <f t="shared" ca="1" si="468"/>
        <v>1</v>
      </c>
      <c r="EL172" s="259">
        <f t="shared" si="433"/>
        <v>170</v>
      </c>
      <c r="EM172" s="259">
        <f ca="1">IF(AND(BA172&gt;0,BA172&lt;=$EM$1),MAX($EM$2:EM171)+1,0)</f>
        <v>0</v>
      </c>
      <c r="EN172" s="259">
        <f t="shared" ca="1" si="434"/>
        <v>172</v>
      </c>
      <c r="EP172" s="259" t="str">
        <f t="shared" ca="1" si="385"/>
        <v/>
      </c>
      <c r="EQ172" s="259">
        <f t="shared" ca="1" si="386"/>
        <v>0</v>
      </c>
      <c r="ER172" s="259">
        <f ca="1">IF(ISNA(EQ172),MAX(ER$2:ER171)+1,0)</f>
        <v>0</v>
      </c>
      <c r="ES172" s="259" t="str">
        <f t="shared" ca="1" si="435"/>
        <v/>
      </c>
      <c r="ET172" s="259" t="str">
        <f ca="1">IFERROR(UPPER(INDEX($ER$3:$ES$500,MATCH(ROWS(ET$3:ET172),$ER$3:$ER$500,0),2)),"")</f>
        <v/>
      </c>
      <c r="EW172" s="259">
        <f t="shared" ca="1" si="497"/>
        <v>1</v>
      </c>
      <c r="EX172" s="259">
        <v>70</v>
      </c>
      <c r="EY172" s="259">
        <f t="shared" ca="1" si="498"/>
        <v>0</v>
      </c>
      <c r="EZ172" s="259">
        <f t="shared" ca="1" si="499"/>
        <v>0</v>
      </c>
      <c r="FA172" s="259">
        <f t="shared" ca="1" si="500"/>
        <v>0</v>
      </c>
      <c r="FB172" s="259">
        <f t="shared" ca="1" si="501"/>
        <v>0</v>
      </c>
      <c r="FC172" s="259">
        <f t="shared" ca="1" si="502"/>
        <v>0</v>
      </c>
      <c r="FD172" s="259">
        <f t="shared" ca="1" si="387"/>
        <v>0</v>
      </c>
      <c r="FE172" s="259" t="str">
        <f t="shared" ca="1" si="388"/>
        <v/>
      </c>
      <c r="FF172" s="259" t="str">
        <f t="shared" ca="1" si="503"/>
        <v/>
      </c>
      <c r="FM172" s="259">
        <f t="shared" ca="1" si="389"/>
        <v>0</v>
      </c>
      <c r="FN172" s="259">
        <f ca="1">IF(FM172&lt;0,MAX($FN$2:FN171)+1,0)</f>
        <v>0</v>
      </c>
      <c r="FO172" s="259" t="str">
        <f t="shared" ca="1" si="436"/>
        <v/>
      </c>
      <c r="FP172" s="259" t="str">
        <f ca="1">IFERROR(INDEX($FN$3:$FO$400,MATCH(ROWS($FP$3:FP172),$FN$3:$FN$400,0),2),"")</f>
        <v/>
      </c>
      <c r="FQ172" s="259">
        <f>IF(AE172="SE AVERE",MAX($FQ$2:FQ171)+1,"")</f>
        <v>19</v>
      </c>
      <c r="FR172" s="259" t="str">
        <f>IF(AE172="SE DARE",MAX($FR$2:FR171)+1,"")</f>
        <v/>
      </c>
      <c r="FS172" s="259" t="str">
        <f ca="1">IF(AND(AE172="SP DARE",AA172&lt;&gt;$FS$1,AA172&lt;&gt;$FT$1),MAX($FS$2:FS171)+1,IF(AND(GQ172="SP DARE",AA172&lt;&gt;$FS$1,AA172&lt;&gt;$FT$1),MAX($FS$2:FS171)+1,""))</f>
        <v/>
      </c>
      <c r="FT172" s="259" t="str">
        <f ca="1">IF(AND(AE172="SP AVERE",AA172&lt;&gt;$FU$1),MAX($FT$2:FT171)+1,IF(AND(GQ172="SP AVERE",AA172&lt;&gt;$FU$1),MAX($FT$2:FT171)+1,""))</f>
        <v/>
      </c>
      <c r="FU172" s="259">
        <f t="shared" ca="1" si="437"/>
        <v>19</v>
      </c>
      <c r="FV172" s="259" t="str">
        <f t="shared" si="438"/>
        <v>PROVENTI FINANZIARI DIVERSI</v>
      </c>
      <c r="FW172" s="259" t="str">
        <f ca="1">IFERROR(INDEX($FU$3:$FV$500,MATCH(ROWS($FW$3:FW172),$FU$3:$FU$500,0),2),0)</f>
        <v>CEDENTE C/CESSIONE</v>
      </c>
      <c r="FX172" s="259">
        <f t="shared" ca="1" si="439"/>
        <v>170</v>
      </c>
      <c r="FY172" s="259">
        <f t="shared" ca="1" si="440"/>
        <v>0</v>
      </c>
      <c r="FZ172" s="259">
        <f ca="1">IF(FY172&gt;0,MAX($FZ$2:FZ171)+1,0)</f>
        <v>0</v>
      </c>
      <c r="GA172" s="259">
        <f ca="1">IFERROR(INDEX($FY$3:$FZ$500,MATCH(ROWS($GA$3:GA172),$FZ$3:$FZ$500,0),1),0)</f>
        <v>0</v>
      </c>
      <c r="GC172" s="259">
        <f t="shared" ca="1" si="441"/>
        <v>170</v>
      </c>
      <c r="GD172" s="259" t="str">
        <f t="shared" ca="1" si="442"/>
        <v>CEDENTE C/CESSIONE</v>
      </c>
      <c r="GG172" s="259">
        <f t="shared" ca="1" si="443"/>
        <v>0</v>
      </c>
      <c r="GH172" s="259">
        <f t="shared" ca="1" si="444"/>
        <v>0</v>
      </c>
      <c r="GI172" s="259">
        <f t="shared" ca="1" si="445"/>
        <v>0</v>
      </c>
      <c r="GJ172" s="259">
        <f t="shared" ca="1" si="446"/>
        <v>0</v>
      </c>
      <c r="GK172" s="259">
        <f t="shared" ca="1" si="447"/>
        <v>0</v>
      </c>
      <c r="GL172" s="259">
        <f t="shared" ca="1" si="447"/>
        <v>0</v>
      </c>
      <c r="GM172" s="259">
        <f ca="1">IF(OR(GK172&gt;0,GL172&gt;0),MAX($GM$2:GM171)+1,0)</f>
        <v>0</v>
      </c>
      <c r="GN172" s="259" t="str">
        <f ca="1">IFERROR(INDEX($GD$3:$GM$400,MATCH(ROWS($GN$3:GN172),$GM$3:$GM$400,0),1),"")</f>
        <v/>
      </c>
      <c r="GO172" s="259" t="str">
        <f ca="1">IFERROR(INDEX($GD$3:$GM$400,MATCH(ROWS($GO$3:GO172),$GM$3:$GM$400,0),8),"")</f>
        <v/>
      </c>
      <c r="GP172" s="259" t="str">
        <f ca="1">IFERROR(INDEX($GD$3:$GM$400,MATCH(ROWS($GP$3:GP172),$GM$3:$GM$400,0),9),"")</f>
        <v/>
      </c>
      <c r="GQ172" s="259">
        <f t="shared" ca="1" si="390"/>
        <v>0</v>
      </c>
      <c r="GR172" s="259">
        <f t="shared" ca="1" si="448"/>
        <v>0</v>
      </c>
      <c r="GS172" s="259" t="str">
        <f t="shared" ca="1" si="449"/>
        <v>chiusura del conto</v>
      </c>
      <c r="GT172" s="259" t="str">
        <f ca="1">IFERROR(INDEX($GD$3:$GS$400,MATCH(ROWS($GT$3:GT172),$GM$3:$GM$400,0),16),"")</f>
        <v/>
      </c>
      <c r="GU172" s="259">
        <f ca="1">IF(GQ172&lt;&gt;0,MAX($GU$2:$GU171)+1,0)</f>
        <v>0</v>
      </c>
      <c r="GV172" s="259">
        <f t="shared" ca="1" si="450"/>
        <v>0</v>
      </c>
      <c r="GW172" s="259" t="str">
        <f ca="1">IF(AND(IFERROR(INDEX($GU$3:$GV$400,MATCH(ROWS($GW$3:GW172),$GU$3:$GU$400,0),2),"")&lt;&gt;"",GW173&lt;&gt;""),CONCATENATE(IFERROR(INDEX($GU$3:$GV$400,MATCH(ROWS($GW$3:GW172),$GU$3:$GU$400,0),2),"")," - "),IFERROR(INDEX($GU$3:$GV$400,MATCH(ROWS($GW$3:GW172),$GU$3:$GU$400,0),2),""))</f>
        <v/>
      </c>
      <c r="GX172" s="259">
        <f ca="1">IF(OR(GN172="IVA NS/CREDITO",GN172="IVA NS/DEBITO",GN172="IVA C/ACCONTO",GN172="IMPOSTE C/ACCONTO"),MAX($GX$2:GX171)+1,0)</f>
        <v>0</v>
      </c>
      <c r="GY172" s="259" t="str">
        <f ca="1">IF(AND(IFERROR(INDEX($GN$3:$GX$200,MATCH(ROWS($GY$3:GY172),$GX$3:$GX$200,0),1),"")&lt;&gt;"",GY173&lt;&gt;""),CONCATENATE(IFERROR(INDEX($GN$3:$GX$200,MATCH(ROWS($GY$3:GY172),$GX$3:$GX$200,0),1),"")," - "),IFERROR(INDEX($GN$3:$GX$200,MATCH(ROWS($GY$3:GY172),$GX$3:$GX$200,0),1),""))</f>
        <v/>
      </c>
      <c r="GZ172" s="259" t="s">
        <v>588</v>
      </c>
      <c r="HA172" s="259" t="s">
        <v>179</v>
      </c>
      <c r="HB172" s="269" t="s">
        <v>256</v>
      </c>
      <c r="HC172" s="269" t="s">
        <v>276</v>
      </c>
      <c r="HD172" s="269" t="s">
        <v>7</v>
      </c>
      <c r="HE172" s="269" t="s">
        <v>214</v>
      </c>
      <c r="HV172" s="259" t="str">
        <f ca="1">CONCATENATE(IFERROR(INDEX($HS$3:$HT$102,MATCH(ROWS($HV$3:HV172),$HT$3:$HT$102,0),1),""),HR172)</f>
        <v/>
      </c>
      <c r="IC172" s="259">
        <f ca="1">IFERROR(INDEX(PIANO_DEI_CONTI,MATCH(ROWS(DL$3:DL172),$DK$3:DK399,0),2),0)</f>
        <v>0</v>
      </c>
      <c r="ID172" s="259">
        <f t="shared" ca="1" si="451"/>
        <v>0</v>
      </c>
      <c r="IE172" s="259">
        <f t="shared" ca="1" si="452"/>
        <v>0</v>
      </c>
      <c r="IF172" s="259">
        <f t="shared" ca="1" si="453"/>
        <v>0</v>
      </c>
      <c r="IG172" s="259">
        <f t="shared" ca="1" si="479"/>
        <v>0</v>
      </c>
      <c r="IH172" s="259">
        <f ca="1">IF(IG172&lt;&gt;0,MAX($IH$35:IH171)+1,0)</f>
        <v>0</v>
      </c>
      <c r="II172" s="259">
        <f>IF(AD172="costi pluriennali",MAX($II$2:II171)+1,0)</f>
        <v>0</v>
      </c>
      <c r="IJ172" s="259">
        <f>IF($AD172="rettifiche costi pluriennali",MAX($IJ$2:IJ171)+1,0)</f>
        <v>0</v>
      </c>
      <c r="IK172" s="259">
        <f t="shared" si="454"/>
        <v>0</v>
      </c>
      <c r="IL172" s="259" t="str">
        <f t="shared" si="455"/>
        <v/>
      </c>
      <c r="IM172" s="259">
        <f t="shared" ca="1" si="456"/>
        <v>0</v>
      </c>
      <c r="IN172" s="259">
        <f t="shared" ca="1" si="470"/>
        <v>0</v>
      </c>
      <c r="IO172" s="259">
        <f>SUMIFS($IM$3:$IM$200,$IK$3:$IK$200,ROWS($IO$3:IO172))-SUMIFS($IN$3:$IN$200,$IK$3:$IK$200,ROWS($IO$3:IO172))</f>
        <v>0</v>
      </c>
      <c r="IP172" s="259" t="str">
        <f>IF(IO172&lt;0,INDEX($IJ$3:$IL$200,MATCH(ROWS($IP$3:IP172),$IJ$3:$IJ$200,0),3),"")</f>
        <v/>
      </c>
      <c r="IQ172" s="259">
        <f>IF(IP172&lt;&gt;"",MAX($IQ$2:IQ171)+1,0)</f>
        <v>0</v>
      </c>
      <c r="IR172" s="259" t="str">
        <f ca="1">IFERROR(INDEX($IP$3:$IQ$200,MATCH(ROWS($IR$3:IR172),$IQ$3:$IQ$200,0),1),"")</f>
        <v/>
      </c>
      <c r="IS172" s="259" t="str">
        <f t="shared" ca="1" si="457"/>
        <v/>
      </c>
      <c r="IT172" s="259" t="str">
        <f t="shared" ca="1" si="458"/>
        <v/>
      </c>
      <c r="IU172" s="259" t="str">
        <f t="shared" ca="1" si="459"/>
        <v/>
      </c>
      <c r="IV172" s="259" t="str">
        <f t="shared" ca="1" si="460"/>
        <v/>
      </c>
      <c r="IW172" s="259" t="str">
        <f t="shared" ca="1" si="461"/>
        <v/>
      </c>
      <c r="IX172" s="259" t="str">
        <f t="shared" ca="1" si="462"/>
        <v/>
      </c>
      <c r="IY172" s="259" t="str">
        <f t="shared" ca="1" si="463"/>
        <v/>
      </c>
      <c r="IZ172" s="259" t="str">
        <f t="shared" ca="1" si="464"/>
        <v/>
      </c>
      <c r="JA172" s="259" t="str">
        <f t="shared" ca="1" si="465"/>
        <v/>
      </c>
      <c r="JB172" s="259">
        <f t="shared" ca="1" si="391"/>
        <v>0</v>
      </c>
      <c r="JC172" s="259">
        <f t="shared" ca="1" si="504"/>
        <v>0</v>
      </c>
      <c r="JD172" s="259">
        <f t="shared" ca="1" si="505"/>
        <v>0</v>
      </c>
      <c r="JM172" s="259">
        <f t="shared" ca="1" si="506"/>
        <v>0</v>
      </c>
    </row>
    <row r="173" spans="1:273">
      <c r="A173" s="259" t="str">
        <f t="shared" si="392"/>
        <v>35.02</v>
      </c>
      <c r="B173" s="259" t="str">
        <f t="shared" si="393"/>
        <v>AMMORTAMENTO IMPIANTI E MACCHINARI</v>
      </c>
      <c r="C173" s="259" t="str">
        <f t="shared" si="394"/>
        <v>E</v>
      </c>
      <c r="D173" s="259" t="str">
        <f t="shared" si="395"/>
        <v>D</v>
      </c>
      <c r="E173" s="259" t="str">
        <f t="shared" si="396"/>
        <v>COSTI D'ESERCIZIO</v>
      </c>
      <c r="F173" s="259" t="str">
        <f t="shared" si="397"/>
        <v>SE DARE</v>
      </c>
      <c r="G173" s="259">
        <f t="shared" ca="1" si="398"/>
        <v>0</v>
      </c>
      <c r="H173" s="259">
        <f t="shared" ca="1" si="399"/>
        <v>0</v>
      </c>
      <c r="I173" s="259">
        <f t="shared" ca="1" si="400"/>
        <v>1</v>
      </c>
      <c r="K173" s="259" t="str">
        <f ca="1">IFERROR(IF($I$1=1,INDEX($AA$3:$AS$220,MATCH(ROWS($K$3:K173),$AQ$3:$AQ$220,0),1),IF($I$1=2,INDEX($AA$3:$AS$220,MATCH(ROWS($K$3:K173),$AR$3:$AR$220,0),1),IF($I$1=3,INDEX($AA$3:$AS$220,MATCH(ROWS($K$3:K173),$AS$3:$AS$220,0),1),""))),"")</f>
        <v>ONERI FINANZIARI DIVERSI</v>
      </c>
      <c r="L173" s="259">
        <f ca="1">IF(AND($L$1="VISUALIZZA TUTTI I CONTI",K173&lt;&gt;""),MAX(L172:L172)+1,IFERROR(IF($J$1=1,IF(INDEX(PIANO_DEI_CONTI,MATCH($K173,DENOMINAZIONE,0),5)=$L$1,MAX($L$2:L172)+1,0),IF($J$1=2,IF(INDEX(PIANO_DEI_CONTI,MATCH($K173,DENOMINAZIONE,0),7)=$L$1,MAX($L$2:L172)+1,0))),0))</f>
        <v>171</v>
      </c>
      <c r="M173" s="259" t="str">
        <f ca="1">IFERROR(INDEX($K$3:$K$220,MATCH(ROWS($M$3:M173),$L$3:$L$220,0),1),"")</f>
        <v>ONERI FINANZIARI DIVERSI</v>
      </c>
      <c r="R173" s="259" t="str">
        <f t="shared" ca="1" si="366"/>
        <v/>
      </c>
      <c r="S173" s="259">
        <f ca="1">IF(IFERROR(MATCH(R173,DENOMINAZIONE_GIORNALE,0),0)&gt;0,MAX(S$2:S172)+1,0)</f>
        <v>0</v>
      </c>
      <c r="T173" s="259" t="str">
        <f ca="1">IFERROR(INDEX($R$3:$S$220,MATCH(ROWS($T$3:T173),$S$3:$S$220,0),1),"")</f>
        <v/>
      </c>
      <c r="U173" s="259">
        <f t="shared" ca="1" si="367"/>
        <v>0</v>
      </c>
      <c r="V173" s="259">
        <f ca="1">IF(IF(U173&lt;&gt;0,MAX($V$2:V172)+1,0)=0,0,IF(U173&lt;&gt;0,MAX($V$2:V172)+1,0))</f>
        <v>0</v>
      </c>
      <c r="W173" s="259" t="str">
        <f t="shared" si="401"/>
        <v>35.02</v>
      </c>
      <c r="X173" s="259" t="str">
        <f t="shared" si="402"/>
        <v>AMMORTAMENTO IMPIANTI E MACCHINARI</v>
      </c>
      <c r="Y173" s="259">
        <f>IF(W173="",0,MAX($Y$2:Y172)+1)</f>
        <v>147</v>
      </c>
      <c r="Z173" s="259" t="str">
        <f>IFERROR(INDEX($W$3:$Y$220,MATCH(ROWS($Z$2:Z172),$Y$3:$Y$220,0),1),"")</f>
        <v>41.01</v>
      </c>
      <c r="AA173" s="259" t="str">
        <f t="shared" si="403"/>
        <v>INTERESSI PASSIVI A FORNITORI</v>
      </c>
      <c r="AB173" s="259" t="str">
        <f t="shared" si="404"/>
        <v>E</v>
      </c>
      <c r="AC173" s="259" t="str">
        <f t="shared" si="405"/>
        <v>D</v>
      </c>
      <c r="AD173" s="259" t="str">
        <f t="shared" si="406"/>
        <v>COSTI D'ESERCIZIO</v>
      </c>
      <c r="AE173" s="259" t="str">
        <f t="shared" si="407"/>
        <v>SE DARE</v>
      </c>
      <c r="AF173" s="259" t="str">
        <f t="shared" si="408"/>
        <v>ONERI FINANZIARI</v>
      </c>
      <c r="AG173" s="259">
        <f t="shared" ca="1" si="409"/>
        <v>1</v>
      </c>
      <c r="AH173" s="259">
        <f t="shared" ca="1" si="410"/>
        <v>1</v>
      </c>
      <c r="AI173" s="259">
        <f t="shared" ca="1" si="411"/>
        <v>1</v>
      </c>
      <c r="AJ173" s="259" t="str">
        <f t="shared" si="412"/>
        <v>41</v>
      </c>
      <c r="AK173" s="259" t="str">
        <f t="shared" si="413"/>
        <v/>
      </c>
      <c r="AL173" s="259">
        <f>IF(AK173&lt;&gt;"",MAX($AL$2:AL172)+1,0)</f>
        <v>0</v>
      </c>
      <c r="AM173" s="259" t="str">
        <f>IFERROR(INDEX($AK$3:$AL$220,MATCH(ROWS($AM$3:AM173),$AL$3:$AL$220,0),1),"")</f>
        <v/>
      </c>
      <c r="AN173" s="259" t="str">
        <f t="shared" si="414"/>
        <v/>
      </c>
      <c r="AO173" s="259" t="str">
        <f t="shared" si="415"/>
        <v/>
      </c>
      <c r="AP173" s="259" t="str">
        <f t="shared" si="416"/>
        <v>ONERI FINANZIARI</v>
      </c>
      <c r="AQ173" s="259">
        <f ca="1">IF(OR(AG173=0,AG173=""),0,MAX(AQ$2:AQ172)+1)</f>
        <v>87</v>
      </c>
      <c r="AR173" s="259">
        <f ca="1">IF(OR(AH173=0,AH173=""),0,MAX(AR$2:AR172)+1)</f>
        <v>117</v>
      </c>
      <c r="AS173" s="259">
        <f ca="1">IF(OR(AI173=0,AI173=""),0,MAX(AS$2:AS172)+1)</f>
        <v>167</v>
      </c>
      <c r="AT173" s="259" t="str">
        <f ca="1">IFERROR(INDEX($AD$3:$AS$220,MATCH(ROWS(AT$3:AT173),AQ$3:AQ$220,0),1),"")</f>
        <v/>
      </c>
      <c r="AU173" s="259" t="str">
        <f ca="1">IFERROR(INDEX($AD$3:$AS$220,MATCH(ROWS(AU$3:AU173),AR$3:AR$220,0),1),"")</f>
        <v/>
      </c>
      <c r="AV173" s="259" t="str">
        <f ca="1">IFERROR(INDEX($AD$3:$AS$220,MATCH(ROWS(AV$3:AV173),AS$3:AS$220,0),1),"")</f>
        <v>COSTI D'ESERCIZIO</v>
      </c>
      <c r="AW173" s="259" t="str">
        <f ca="1">IFERROR(INDEX($AP$3:$AS$220,MATCH(ROWS(AW$3:AW173),AQ$3:AQ$220,0),1),"")</f>
        <v/>
      </c>
      <c r="AX173" s="259" t="str">
        <f ca="1">IFERROR(INDEX($AP$3:$AS$220,MATCH(ROWS(AX$3:AX173),AR$3:AR$220,0),1),"")</f>
        <v/>
      </c>
      <c r="AY173" s="259" t="str">
        <f ca="1">IFERROR(INDEX($AP$3:$AS$220,MATCH(ROWS(AY$3:AY173),AS$3:AS$220,0),1),"")</f>
        <v>ONERI FINANZIARI</v>
      </c>
      <c r="AZ173" s="259" t="str">
        <f t="shared" si="490"/>
        <v>71 V.I.</v>
      </c>
      <c r="BA173" s="259">
        <f t="shared" ca="1" si="484"/>
        <v>0</v>
      </c>
      <c r="BB173" s="259">
        <f t="shared" ca="1" si="491"/>
        <v>0</v>
      </c>
      <c r="BC173" s="259">
        <f t="shared" ca="1" si="492"/>
        <v>0</v>
      </c>
      <c r="BD173" s="259">
        <f t="shared" ca="1" si="493"/>
        <v>0</v>
      </c>
      <c r="BE173" s="259">
        <f t="shared" ca="1" si="494"/>
        <v>0</v>
      </c>
      <c r="BG173" s="259" t="str">
        <f t="shared" ca="1" si="368"/>
        <v/>
      </c>
      <c r="BH173" s="259">
        <f ca="1">IF(IFERROR(MATCH(BG173,DENOMINAZIONE_GIORNALE,0),0)&gt;0,MAX(BH$2:BH172)+1,0)</f>
        <v>0</v>
      </c>
      <c r="BI173" s="259" t="str">
        <f ca="1">IFERROR(INDEX($BG$3:$BH$220,MATCH(ROWS($BI$3:BI173),$BH$3:$BH$220,0),1),"")</f>
        <v/>
      </c>
      <c r="BJ173" s="259" t="str">
        <f t="shared" ca="1" si="369"/>
        <v/>
      </c>
      <c r="BK173" s="259" t="str">
        <f ca="1">IF(IF(BJ173&lt;&gt;"",MAX($BK$2:BK172)+1,0)=0,"",IF(BJ173&lt;&gt;"",MAX($BK$2:BK172)+1,0))</f>
        <v/>
      </c>
      <c r="BL173" s="259" t="str">
        <f ca="1">IFERROR(INDEX($T$3:$U$220, MATCH(ROWS(BL$3:BL173),$V$3:$V$220,0),1),"")</f>
        <v/>
      </c>
      <c r="BM173" s="259" t="str">
        <f ca="1">IFERROR(INDEX($T$3:$U$220, MATCH(ROWS(BM$3:BM173),$V$3:$V$220,0),2),"")</f>
        <v/>
      </c>
      <c r="BN173" s="259" t="str">
        <f ca="1">IF(IFERROR(INDEX($BI$3:$BJ$220,MATCH(ROWS(BN$3:BN173),$BK$3:$BK$220,0),1),"")="PATRIMONIO NETTO","",IFERROR(INDEX($BI$3:$BJ$220,MATCH(ROWS(BN$3:BN173),$BK$3:$BK$220,0),1),""))</f>
        <v/>
      </c>
      <c r="BO173" s="259" t="str">
        <f ca="1">IFERROR(INDEX($BI$3:$BJ$220,MATCH(ROWS(BO$3:BO173),$BK$3:$BK$220,0),2),"")</f>
        <v/>
      </c>
      <c r="BP173" s="259">
        <f ca="1">IF(BN173&lt;&gt;"",MAX(BP$2:$BP172)+1,0)</f>
        <v>0</v>
      </c>
      <c r="BQ173" s="259" t="str">
        <f ca="1">IFERROR(INDEX($BN$3:$BO$200,MATCH(ROWS(BQ$3:BQ173),$BP$3:$BP$220,0),1),"")</f>
        <v/>
      </c>
      <c r="BR173" s="259" t="str">
        <f ca="1">IFERROR(INDEX($BN$3:$BO$220,MATCH(ROWS(BR$3:BR173),$BP$3:$BP$220,0),2),"")</f>
        <v/>
      </c>
      <c r="BS173" s="259" t="str">
        <f ca="1">IFERROR(IF(OR(INDEX($T$3:$U$220,MATCH(ROWS(BL$3:BL173),$V$3:$V$220,0),1)="PRELEVAMENTI EXTRAGESTIONE",INDEX($T$3:$U$220,MATCH(ROWS(BL$3:BL173),$V$3:$V$220,0),1)="TITOLARE C/RITENUTE SUBITE"),"",INDEX($T$3:$U$220,MATCH(ROWS(BL$3:BL173),$V$3:$V$220,0),1)),"")</f>
        <v/>
      </c>
      <c r="BT173" s="259">
        <f t="shared" ca="1" si="417"/>
        <v>0</v>
      </c>
      <c r="BU173" s="259">
        <f ca="1">IF(BS173&lt;&gt;"",MAX(BU$2:BU172)+1,0)</f>
        <v>0</v>
      </c>
      <c r="BV173" s="259" t="str">
        <f ca="1">IFERROR(INDEX($BS$3:$BT$223,MATCH(ROWS(BV$3:BV173),$BU$3:$BU$223,0),1),"")</f>
        <v/>
      </c>
      <c r="BW173" s="259">
        <f t="shared" ca="1" si="418"/>
        <v>0</v>
      </c>
      <c r="CB173" s="259" t="str">
        <f ca="1">IFERROR(IF(OR($BB$1&lt;&gt;$BD$1,$BC$1&lt;&gt;$BE$1,$DS$231&lt;&gt;$DT$231,$DU$231&lt;&gt;$DV$231,$EO$25&lt;&gt;0,$EO$26&lt;&gt;0),INDEX($BI$3:$BK$220,MATCH(ROWS($CB$3:CB173),$BK$3:$BK$220,0),1),CONCATENATE(BQ173,BX173)),"")</f>
        <v/>
      </c>
      <c r="CC173" s="259" t="str">
        <f t="shared" ca="1" si="419"/>
        <v/>
      </c>
      <c r="CD173" s="259" t="str">
        <f t="shared" ca="1" si="370"/>
        <v>INTERESSI PASSIVI A FORNITORI</v>
      </c>
      <c r="CE173" s="259">
        <f ca="1">IF(IFERROR(MATCH(CD173,DENOMINAZIONE_GIORNALE,0),0)&gt;0,MAX(CE$2:CE172)+1,0)</f>
        <v>0</v>
      </c>
      <c r="CF173" s="259" t="str">
        <f ca="1">IFERROR(INDEX($CD$3:$CE$220,MATCH(ROWS($CF$3:CF173),$CE$3:$CE$220,0),1),"")</f>
        <v/>
      </c>
      <c r="CG173" s="259">
        <f t="shared" ca="1" si="371"/>
        <v>0</v>
      </c>
      <c r="CH173" s="259" t="str">
        <f ca="1">IF(IF(CG173&lt;&gt;0,MAX($CH$2:CH172)+1,0)=0,"",IF(CG173&lt;&gt;"",MAX($CH$2:CH172)+1,0))</f>
        <v/>
      </c>
      <c r="CI173" s="259" t="str">
        <f ca="1">IFERROR(INDEX($CF$3:$CG$220,MATCH(ROWS($CI$3:CI173),$CH$3:$CH$220,0),1),"")</f>
        <v/>
      </c>
      <c r="CJ173" s="259" t="str">
        <f t="shared" ca="1" si="420"/>
        <v/>
      </c>
      <c r="CK173" s="259" t="str">
        <f t="shared" ca="1" si="372"/>
        <v/>
      </c>
      <c r="CL173" s="259">
        <f ca="1">IF(IFERROR(MATCH(CK173,DENOMINAZIONE_GIORNALE,0),0)&gt;0,MAX(CL$2:CL172)+1,0)</f>
        <v>0</v>
      </c>
      <c r="CM173" s="259" t="str">
        <f ca="1">IFERROR(INDEX($CK$3:$CL$220,MATCH(ROWS($CM$3:CM173),$CL$3:$CL$220,0),1),"")</f>
        <v/>
      </c>
      <c r="CN173" s="259" t="str">
        <f t="shared" ca="1" si="373"/>
        <v/>
      </c>
      <c r="CO173" s="259">
        <f ca="1">IF(IF(CN173&lt;&gt;0,MAX($CO$2:CO172)+1,0)=0,"",IF(CN173&lt;&gt;"",MAX($CO$2:CO172)+1,0))</f>
        <v>0</v>
      </c>
      <c r="CP173" s="259" t="str">
        <f ca="1">IFERROR(INDEX($CM$3:$CN$220,MATCH(ROWS(CP$3:CP173),$CO$3:$CO$220,0),1),"")</f>
        <v/>
      </c>
      <c r="CQ173" s="259" t="str">
        <f ca="1">IFERROR(INDEX($CM$3:$CN$220,MATCH(ROWS(CQ$3:CQ173),$CO$3:$CO$220,0),2),"")</f>
        <v/>
      </c>
      <c r="CS173" s="259">
        <f t="shared" ca="1" si="374"/>
        <v>0</v>
      </c>
      <c r="CT173" s="259">
        <f t="shared" ca="1" si="375"/>
        <v>0</v>
      </c>
      <c r="CU173" s="259">
        <f ca="1">IF(OR(CS173&gt;0,CT173&gt;0),MAX($CU$2:CU172)+1,0)</f>
        <v>0</v>
      </c>
      <c r="CV173" s="259" t="str">
        <f ca="1">IFERROR(INDEX(PIANO_DEI_CONTI,MATCH(ROWS($CV$3:CV173),$CU$3:$CU$200,0),2),"")</f>
        <v/>
      </c>
      <c r="CW173" s="259">
        <f ca="1">IFERROR(IF(CV173&lt;&gt;"",MAX($CW$2:CW172)+1,0),0)</f>
        <v>0</v>
      </c>
      <c r="CX173" s="259">
        <f t="shared" ca="1" si="482"/>
        <v>10</v>
      </c>
      <c r="CY173" s="259" t="str">
        <f t="shared" ca="1" si="495"/>
        <v>MASTRO</v>
      </c>
      <c r="CZ173" s="259" t="e">
        <f t="shared" ca="1" si="485"/>
        <v>#N/A</v>
      </c>
      <c r="DA173" s="259" t="str">
        <f t="shared" ca="1" si="496"/>
        <v/>
      </c>
      <c r="DB173" s="259" t="str">
        <f t="shared" ca="1" si="486"/>
        <v/>
      </c>
      <c r="DC173" s="259" t="str">
        <f t="shared" ca="1" si="487"/>
        <v/>
      </c>
      <c r="DD173" s="259" t="str">
        <f t="shared" ca="1" si="488"/>
        <v/>
      </c>
      <c r="DE173" s="259" t="str">
        <f t="shared" ca="1" si="489"/>
        <v/>
      </c>
      <c r="DF173" s="259">
        <f ca="1">IF(AND(CX173=$DE$2,$DF$2&lt;&gt;0),0,IF(AND(DB173&lt;&gt;"",OR(DB172&lt;&gt;"",DB174&lt;&gt;"")),MAX($DF$2:DF172)+1,0))</f>
        <v>0</v>
      </c>
      <c r="DG173" s="259" t="str">
        <f>IF(IF(LIBRO_GIORNALE!E81="","",IFERROR(INDEX(PIANO_DEI_CONTI,MATCH(BB173,DENOMINAZIONE,0),1),0))=0,"",IF(LIBRO_GIORNALE!E81="","",IFERROR(INDEX(PIANO_DEI_CONTI,MATCH(BB173,DENOMINAZIONE,0),1),0)))</f>
        <v/>
      </c>
      <c r="DH173" s="259">
        <f ca="1">IFERROR(IF($J$1=1,IF(INDEX(PIANO_DEI_CONTI,MATCH($K173,DENOMINAZIONE,0),5)=$DF$1,MAX($DH$2:DH172)+1,0),IF($J$1=2,IF(INDEX(PIANO_DEI_CONTI,MATCH($K173,DENOMINAZIONE,0),7)=$DF$1,MAX($DH$2:DH172)+1,0))),0)</f>
        <v>0</v>
      </c>
      <c r="DI173" s="259">
        <f ca="1">IFERROR(INDEX($K$3:$K$220,MATCH(ROWS($DI$3:DI173),$DH$3:$DH$220,0),1),0)</f>
        <v>0</v>
      </c>
      <c r="DJ173" s="259">
        <f t="shared" ca="1" si="381"/>
        <v>0</v>
      </c>
      <c r="DK173" s="259">
        <f ca="1">IF(DJ173=0,0,MAX(DK$2:DK172)+1)</f>
        <v>0</v>
      </c>
      <c r="DL173" s="259">
        <f ca="1">IFERROR(INDEX(PIANO_DEI_CONTI,MATCH(ROWS(DL$3:DL173),$DK$3:DK400,0),2),0)</f>
        <v>0</v>
      </c>
      <c r="DM173" s="259">
        <f t="shared" ca="1" si="382"/>
        <v>0</v>
      </c>
      <c r="DN173" s="259">
        <f t="shared" ca="1" si="383"/>
        <v>0</v>
      </c>
      <c r="DO173" s="259">
        <f t="shared" ca="1" si="422"/>
        <v>0</v>
      </c>
      <c r="DP173" s="259">
        <f t="shared" ca="1" si="423"/>
        <v>0</v>
      </c>
      <c r="DQ173" s="259">
        <f ca="1">IF(OR($DQ$1="TOTALI",$DQ$1="TOTALI ED ECCEDENZE"),IF(OR(DM173&gt;0,DN173&gt;0),MAX(DQ$2:DQ172)+1,0),IF($DQ$1="ECCEDENZE",IF(OR(DO173&gt;0,DP173&gt;0),MAX(DQ$2:DQ172)+1,0),""))</f>
        <v>0</v>
      </c>
      <c r="DR173" s="259" t="str">
        <f ca="1">IFERROR(INDEX($DL$3:$DQ$230,MATCH(ROWS(DR$3:DR173),$DQ$3:$DQ$230,0),1),"")</f>
        <v/>
      </c>
      <c r="DS173" s="259" t="str">
        <f t="shared" ca="1" si="424"/>
        <v/>
      </c>
      <c r="DT173" s="259" t="str">
        <f t="shared" ca="1" si="425"/>
        <v/>
      </c>
      <c r="DU173" s="259" t="str">
        <f t="shared" ca="1" si="426"/>
        <v/>
      </c>
      <c r="DV173" s="259" t="str">
        <f t="shared" ca="1" si="427"/>
        <v/>
      </c>
      <c r="DW173" s="259">
        <f t="shared" ca="1" si="428"/>
        <v>0</v>
      </c>
      <c r="DX173" s="259" t="str">
        <f t="shared" ca="1" si="429"/>
        <v/>
      </c>
      <c r="DY173" s="259" t="str">
        <f t="shared" ca="1" si="430"/>
        <v/>
      </c>
      <c r="DZ173" s="259" t="str">
        <f t="shared" ca="1" si="431"/>
        <v/>
      </c>
      <c r="EB173" s="259" t="s">
        <v>391</v>
      </c>
      <c r="ED173" s="259">
        <f t="shared" ca="1" si="384"/>
        <v>0</v>
      </c>
      <c r="EH173" s="259" t="str">
        <f t="shared" ca="1" si="432"/>
        <v/>
      </c>
      <c r="EI173" s="260" t="b">
        <f t="shared" ca="1" si="466"/>
        <v>0</v>
      </c>
      <c r="EJ173" s="260" t="b">
        <f t="shared" ca="1" si="467"/>
        <v>0</v>
      </c>
      <c r="EK173" s="260" t="b">
        <f t="shared" ca="1" si="468"/>
        <v>1</v>
      </c>
      <c r="EL173" s="259">
        <f t="shared" si="433"/>
        <v>171</v>
      </c>
      <c r="EM173" s="259">
        <f ca="1">IF(AND(BA173&gt;0,BA173&lt;=$EM$1),MAX($EM$2:EM172)+1,0)</f>
        <v>0</v>
      </c>
      <c r="EN173" s="259">
        <f t="shared" ca="1" si="434"/>
        <v>173</v>
      </c>
      <c r="EP173" s="259" t="str">
        <f t="shared" ca="1" si="385"/>
        <v/>
      </c>
      <c r="EQ173" s="259">
        <f t="shared" ca="1" si="386"/>
        <v>0</v>
      </c>
      <c r="ER173" s="259">
        <f ca="1">IF(ISNA(EQ173),MAX(ER$2:ER172)+1,0)</f>
        <v>0</v>
      </c>
      <c r="ES173" s="259" t="str">
        <f t="shared" ca="1" si="435"/>
        <v/>
      </c>
      <c r="ET173" s="259" t="str">
        <f ca="1">IFERROR(UPPER(INDEX($ER$3:$ES$500,MATCH(ROWS(ET$3:ET173),$ER$3:$ER$500,0),2)),"")</f>
        <v/>
      </c>
      <c r="EW173" s="259">
        <f t="shared" ca="1" si="497"/>
        <v>1</v>
      </c>
      <c r="EX173" s="259">
        <v>71</v>
      </c>
      <c r="EY173" s="259">
        <f t="shared" ca="1" si="498"/>
        <v>0</v>
      </c>
      <c r="EZ173" s="259">
        <f t="shared" ca="1" si="499"/>
        <v>0</v>
      </c>
      <c r="FA173" s="259">
        <f t="shared" ca="1" si="500"/>
        <v>0</v>
      </c>
      <c r="FB173" s="259">
        <f t="shared" ca="1" si="501"/>
        <v>0</v>
      </c>
      <c r="FC173" s="259">
        <f t="shared" ca="1" si="502"/>
        <v>0</v>
      </c>
      <c r="FD173" s="259">
        <f t="shared" ca="1" si="387"/>
        <v>0</v>
      </c>
      <c r="FE173" s="259" t="str">
        <f t="shared" ca="1" si="388"/>
        <v/>
      </c>
      <c r="FF173" s="259" t="str">
        <f t="shared" ca="1" si="503"/>
        <v/>
      </c>
      <c r="FM173" s="259">
        <f t="shared" ca="1" si="389"/>
        <v>0</v>
      </c>
      <c r="FN173" s="259">
        <f ca="1">IF(FM173&lt;0,MAX($FN$2:FN172)+1,0)</f>
        <v>0</v>
      </c>
      <c r="FO173" s="259" t="str">
        <f t="shared" ca="1" si="436"/>
        <v/>
      </c>
      <c r="FP173" s="259" t="str">
        <f ca="1">IFERROR(INDEX($FN$3:$FO$400,MATCH(ROWS($FP$3:FP173),$FN$3:$FN$400,0),2),"")</f>
        <v/>
      </c>
      <c r="FQ173" s="259" t="str">
        <f>IF(AE173="SE AVERE",MAX($FQ$2:FQ172)+1,"")</f>
        <v/>
      </c>
      <c r="FR173" s="259">
        <f>IF(AE173="SE DARE",MAX($FR$2:FR172)+1,"")</f>
        <v>72</v>
      </c>
      <c r="FS173" s="259" t="str">
        <f ca="1">IF(AND(AE173="SP DARE",AA173&lt;&gt;$FS$1,AA173&lt;&gt;$FT$1),MAX($FS$2:FS172)+1,IF(AND(GQ173="SP DARE",AA173&lt;&gt;$FS$1,AA173&lt;&gt;$FT$1),MAX($FS$2:FS172)+1,""))</f>
        <v/>
      </c>
      <c r="FT173" s="259" t="str">
        <f ca="1">IF(AND(AE173="SP AVERE",AA173&lt;&gt;$FU$1),MAX($FT$2:FT172)+1,IF(AND(GQ173="SP AVERE",AA173&lt;&gt;$FU$1),MAX($FT$2:FT172)+1,""))</f>
        <v/>
      </c>
      <c r="FU173" s="259">
        <f t="shared" ca="1" si="437"/>
        <v>72</v>
      </c>
      <c r="FV173" s="259" t="str">
        <f t="shared" si="438"/>
        <v>INTERESSI PASSIVI A FORNITORI</v>
      </c>
      <c r="FW173" s="259" t="str">
        <f ca="1">IFERROR(INDEX($FU$3:$FV$500,MATCH(ROWS($FW$3:FW173),$FU$3:$FU$500,0),2),0)</f>
        <v>DEBITI DIVERSI</v>
      </c>
      <c r="FX173" s="259">
        <f t="shared" ca="1" si="439"/>
        <v>171</v>
      </c>
      <c r="FY173" s="259">
        <f t="shared" ca="1" si="440"/>
        <v>0</v>
      </c>
      <c r="FZ173" s="259">
        <f ca="1">IF(FY173&gt;0,MAX($FZ$2:FZ172)+1,0)</f>
        <v>0</v>
      </c>
      <c r="GA173" s="259">
        <f ca="1">IFERROR(INDEX($FY$3:$FZ$500,MATCH(ROWS($GA$3:GA173),$FZ$3:$FZ$500,0),1),0)</f>
        <v>0</v>
      </c>
      <c r="GC173" s="259">
        <f t="shared" ca="1" si="441"/>
        <v>171</v>
      </c>
      <c r="GD173" s="259" t="str">
        <f t="shared" ca="1" si="442"/>
        <v>DEBITI DIVERSI</v>
      </c>
      <c r="GG173" s="259">
        <f t="shared" ca="1" si="443"/>
        <v>0</v>
      </c>
      <c r="GH173" s="259">
        <f t="shared" ca="1" si="444"/>
        <v>0</v>
      </c>
      <c r="GI173" s="259">
        <f t="shared" ca="1" si="445"/>
        <v>0</v>
      </c>
      <c r="GJ173" s="259">
        <f t="shared" ca="1" si="446"/>
        <v>0</v>
      </c>
      <c r="GK173" s="259">
        <f t="shared" ca="1" si="447"/>
        <v>0</v>
      </c>
      <c r="GL173" s="259">
        <f t="shared" ca="1" si="447"/>
        <v>0</v>
      </c>
      <c r="GM173" s="259">
        <f ca="1">IF(OR(GK173&gt;0,GL173&gt;0),MAX($GM$2:GM172)+1,0)</f>
        <v>0</v>
      </c>
      <c r="GN173" s="259" t="str">
        <f ca="1">IFERROR(INDEX($GD$3:$GM$400,MATCH(ROWS($GN$3:GN173),$GM$3:$GM$400,0),1),"")</f>
        <v/>
      </c>
      <c r="GO173" s="259" t="str">
        <f ca="1">IFERROR(INDEX($GD$3:$GM$400,MATCH(ROWS($GO$3:GO173),$GM$3:$GM$400,0),8),"")</f>
        <v/>
      </c>
      <c r="GP173" s="259" t="str">
        <f ca="1">IFERROR(INDEX($GD$3:$GM$400,MATCH(ROWS($GP$3:GP173),$GM$3:$GM$400,0),9),"")</f>
        <v/>
      </c>
      <c r="GQ173" s="259">
        <f t="shared" ca="1" si="390"/>
        <v>0</v>
      </c>
      <c r="GR173" s="259">
        <f t="shared" ca="1" si="448"/>
        <v>0</v>
      </c>
      <c r="GS173" s="259" t="str">
        <f t="shared" ca="1" si="449"/>
        <v>chiusura del conto</v>
      </c>
      <c r="GT173" s="259" t="str">
        <f ca="1">IFERROR(INDEX($GD$3:$GS$400,MATCH(ROWS($GT$3:GT173),$GM$3:$GM$400,0),16),"")</f>
        <v/>
      </c>
      <c r="GU173" s="259">
        <f ca="1">IF(GQ173&lt;&gt;0,MAX($GU$2:$GU172)+1,0)</f>
        <v>0</v>
      </c>
      <c r="GV173" s="259">
        <f t="shared" ca="1" si="450"/>
        <v>0</v>
      </c>
      <c r="GW173" s="259" t="str">
        <f ca="1">IF(AND(IFERROR(INDEX($GU$3:$GV$400,MATCH(ROWS($GW$3:GW173),$GU$3:$GU$400,0),2),"")&lt;&gt;"",GW174&lt;&gt;""),CONCATENATE(IFERROR(INDEX($GU$3:$GV$400,MATCH(ROWS($GW$3:GW173),$GU$3:$GU$400,0),2),"")," - "),IFERROR(INDEX($GU$3:$GV$400,MATCH(ROWS($GW$3:GW173),$GU$3:$GU$400,0),2),""))</f>
        <v/>
      </c>
      <c r="GX173" s="259">
        <f ca="1">IF(OR(GN173="IVA NS/CREDITO",GN173="IVA NS/DEBITO",GN173="IVA C/ACCONTO",GN173="IMPOSTE C/ACCONTO"),MAX($GX$2:GX172)+1,0)</f>
        <v>0</v>
      </c>
      <c r="GY173" s="259" t="str">
        <f ca="1">IF(AND(IFERROR(INDEX($GN$3:$GX$200,MATCH(ROWS($GY$3:GY173),$GX$3:$GX$200,0),1),"")&lt;&gt;"",GY174&lt;&gt;""),CONCATENATE(IFERROR(INDEX($GN$3:$GX$200,MATCH(ROWS($GY$3:GY173),$GX$3:$GX$200,0),1),"")," - "),IFERROR(INDEX($GN$3:$GX$200,MATCH(ROWS($GY$3:GY173),$GX$3:$GX$200,0),1),""))</f>
        <v/>
      </c>
      <c r="GZ173" s="259" t="s">
        <v>589</v>
      </c>
      <c r="HA173" s="259" t="s">
        <v>180</v>
      </c>
      <c r="HB173" s="269" t="s">
        <v>256</v>
      </c>
      <c r="HC173" s="269" t="s">
        <v>276</v>
      </c>
      <c r="HD173" s="269" t="s">
        <v>7</v>
      </c>
      <c r="HE173" s="269" t="s">
        <v>214</v>
      </c>
      <c r="HV173" s="259" t="str">
        <f ca="1">CONCATENATE(IFERROR(INDEX($HS$3:$HT$102,MATCH(ROWS($HV$3:HV173),$HT$3:$HT$102,0),1),""),HR173)</f>
        <v/>
      </c>
      <c r="IC173" s="259">
        <f ca="1">IFERROR(INDEX(PIANO_DEI_CONTI,MATCH(ROWS(DL$3:DL173),$DK$3:DK400,0),2),0)</f>
        <v>0</v>
      </c>
      <c r="ID173" s="259">
        <f t="shared" ca="1" si="451"/>
        <v>0</v>
      </c>
      <c r="IE173" s="259">
        <f t="shared" ca="1" si="452"/>
        <v>0</v>
      </c>
      <c r="IF173" s="259">
        <f t="shared" ca="1" si="453"/>
        <v>0</v>
      </c>
      <c r="IG173" s="259">
        <f t="shared" ca="1" si="479"/>
        <v>0</v>
      </c>
      <c r="IH173" s="259">
        <f ca="1">IF(IG173&lt;&gt;0,MAX($IH$35:IH172)+1,0)</f>
        <v>0</v>
      </c>
      <c r="II173" s="259">
        <f>IF(AD173="costi pluriennali",MAX($II$2:II172)+1,0)</f>
        <v>0</v>
      </c>
      <c r="IJ173" s="259">
        <f>IF($AD173="rettifiche costi pluriennali",MAX($IJ$2:IJ172)+1,0)</f>
        <v>0</v>
      </c>
      <c r="IK173" s="259">
        <f t="shared" si="454"/>
        <v>0</v>
      </c>
      <c r="IL173" s="259" t="str">
        <f t="shared" si="455"/>
        <v/>
      </c>
      <c r="IM173" s="259">
        <f t="shared" ca="1" si="456"/>
        <v>0</v>
      </c>
      <c r="IN173" s="259">
        <f t="shared" ca="1" si="470"/>
        <v>0</v>
      </c>
      <c r="IO173" s="259">
        <f>SUMIFS($IM$3:$IM$200,$IK$3:$IK$200,ROWS($IO$3:IO173))-SUMIFS($IN$3:$IN$200,$IK$3:$IK$200,ROWS($IO$3:IO173))</f>
        <v>0</v>
      </c>
      <c r="IP173" s="259" t="str">
        <f>IF(IO173&lt;0,INDEX($IJ$3:$IL$200,MATCH(ROWS($IP$3:IP173),$IJ$3:$IJ$200,0),3),"")</f>
        <v/>
      </c>
      <c r="IQ173" s="259">
        <f>IF(IP173&lt;&gt;"",MAX($IQ$2:IQ172)+1,0)</f>
        <v>0</v>
      </c>
      <c r="IR173" s="259" t="str">
        <f ca="1">IFERROR(INDEX($IP$3:$IQ$200,MATCH(ROWS($IR$3:IR173),$IQ$3:$IQ$200,0),1),"")</f>
        <v/>
      </c>
      <c r="IS173" s="259" t="str">
        <f t="shared" ca="1" si="457"/>
        <v/>
      </c>
      <c r="IT173" s="259" t="str">
        <f t="shared" ca="1" si="458"/>
        <v/>
      </c>
      <c r="IU173" s="259" t="str">
        <f t="shared" ca="1" si="459"/>
        <v/>
      </c>
      <c r="IV173" s="259" t="str">
        <f t="shared" ca="1" si="460"/>
        <v/>
      </c>
      <c r="IW173" s="259" t="str">
        <f t="shared" ca="1" si="461"/>
        <v/>
      </c>
      <c r="IX173" s="259" t="str">
        <f t="shared" ca="1" si="462"/>
        <v/>
      </c>
      <c r="IY173" s="259" t="str">
        <f t="shared" ca="1" si="463"/>
        <v/>
      </c>
      <c r="IZ173" s="259" t="str">
        <f t="shared" ca="1" si="464"/>
        <v/>
      </c>
      <c r="JA173" s="259" t="str">
        <f t="shared" ca="1" si="465"/>
        <v/>
      </c>
      <c r="JB173" s="259">
        <f t="shared" ca="1" si="391"/>
        <v>0</v>
      </c>
      <c r="JC173" s="259">
        <f t="shared" ca="1" si="504"/>
        <v>0</v>
      </c>
      <c r="JD173" s="259">
        <f t="shared" ca="1" si="505"/>
        <v>0</v>
      </c>
      <c r="JM173" s="259">
        <f t="shared" ca="1" si="506"/>
        <v>0</v>
      </c>
    </row>
    <row r="174" spans="1:273">
      <c r="A174" s="259" t="str">
        <f t="shared" si="392"/>
        <v>35.04</v>
      </c>
      <c r="B174" s="259" t="str">
        <f t="shared" si="393"/>
        <v>AMMORTAMENTO ATTREZZATURE COMMERCIALI</v>
      </c>
      <c r="C174" s="259" t="str">
        <f t="shared" si="394"/>
        <v>E</v>
      </c>
      <c r="D174" s="259" t="str">
        <f t="shared" si="395"/>
        <v>D</v>
      </c>
      <c r="E174" s="259" t="str">
        <f t="shared" si="396"/>
        <v>COSTI D'ESERCIZIO</v>
      </c>
      <c r="F174" s="259" t="str">
        <f t="shared" si="397"/>
        <v>SE DARE</v>
      </c>
      <c r="G174" s="259">
        <f t="shared" ca="1" si="398"/>
        <v>0</v>
      </c>
      <c r="H174" s="259">
        <f t="shared" ca="1" si="399"/>
        <v>0</v>
      </c>
      <c r="I174" s="259">
        <f t="shared" ca="1" si="400"/>
        <v>1</v>
      </c>
      <c r="K174" s="259" t="str">
        <f ca="1">IFERROR(IF($I$1=1,INDEX($AA$3:$AS$220,MATCH(ROWS($K$3:K174),$AQ$3:$AQ$220,0),1),IF($I$1=2,INDEX($AA$3:$AS$220,MATCH(ROWS($K$3:K174),$AR$3:$AR$220,0),1),IF($I$1=3,INDEX($AA$3:$AS$220,MATCH(ROWS($K$3:K174),$AS$3:$AS$220,0),1),""))),"")</f>
        <v/>
      </c>
      <c r="L174" s="259">
        <f ca="1">IF(AND($L$1="VISUALIZZA TUTTI I CONTI",K174&lt;&gt;""),MAX(L173:L173)+1,IFERROR(IF($J$1=1,IF(INDEX(PIANO_DEI_CONTI,MATCH($K174,DENOMINAZIONE,0),5)=$L$1,MAX($L$2:L173)+1,0),IF($J$1=2,IF(INDEX(PIANO_DEI_CONTI,MATCH($K174,DENOMINAZIONE,0),7)=$L$1,MAX($L$2:L173)+1,0))),0))</f>
        <v>0</v>
      </c>
      <c r="M174" s="259" t="str">
        <f ca="1">IFERROR(INDEX($K$3:$K$220,MATCH(ROWS($M$3:M174),$L$3:$L$220,0),1),"")</f>
        <v/>
      </c>
      <c r="R174" s="259" t="str">
        <f t="shared" ca="1" si="366"/>
        <v/>
      </c>
      <c r="S174" s="259">
        <f ca="1">IF(IFERROR(MATCH(R174,DENOMINAZIONE_GIORNALE,0),0)&gt;0,MAX(S$2:S173)+1,0)</f>
        <v>0</v>
      </c>
      <c r="T174" s="259" t="str">
        <f ca="1">IFERROR(INDEX($R$3:$S$220,MATCH(ROWS($T$3:T174),$S$3:$S$220,0),1),"")</f>
        <v/>
      </c>
      <c r="U174" s="259">
        <f t="shared" ca="1" si="367"/>
        <v>0</v>
      </c>
      <c r="V174" s="259">
        <f ca="1">IF(IF(U174&lt;&gt;0,MAX($V$2:V173)+1,0)=0,0,IF(U174&lt;&gt;0,MAX($V$2:V173)+1,0))</f>
        <v>0</v>
      </c>
      <c r="W174" s="259" t="str">
        <f t="shared" si="401"/>
        <v>35.04</v>
      </c>
      <c r="X174" s="259" t="str">
        <f t="shared" si="402"/>
        <v>AMMORTAMENTO ATTREZZATURE COMMERCIALI</v>
      </c>
      <c r="Y174" s="259">
        <f>IF(W174="",0,MAX($Y$2:Y173)+1)</f>
        <v>148</v>
      </c>
      <c r="Z174" s="259" t="str">
        <f>IFERROR(INDEX($W$3:$Y$220,MATCH(ROWS($Z$2:Z173),$Y$3:$Y$220,0),1),"")</f>
        <v>41.02</v>
      </c>
      <c r="AA174" s="259" t="str">
        <f t="shared" si="403"/>
        <v>INTERESSI PASSIVI BANCARI</v>
      </c>
      <c r="AB174" s="259" t="str">
        <f t="shared" si="404"/>
        <v>E</v>
      </c>
      <c r="AC174" s="259" t="str">
        <f t="shared" si="405"/>
        <v>D</v>
      </c>
      <c r="AD174" s="259" t="str">
        <f t="shared" si="406"/>
        <v>COSTI D'ESERCIZIO</v>
      </c>
      <c r="AE174" s="259" t="str">
        <f t="shared" si="407"/>
        <v>SE DARE</v>
      </c>
      <c r="AF174" s="259" t="str">
        <f t="shared" si="408"/>
        <v>ONERI FINANZIARI</v>
      </c>
      <c r="AG174" s="259">
        <f t="shared" ca="1" si="409"/>
        <v>1</v>
      </c>
      <c r="AH174" s="259">
        <f t="shared" ca="1" si="410"/>
        <v>1</v>
      </c>
      <c r="AI174" s="259">
        <f t="shared" ca="1" si="411"/>
        <v>1</v>
      </c>
      <c r="AJ174" s="259" t="str">
        <f t="shared" si="412"/>
        <v>41</v>
      </c>
      <c r="AK174" s="259" t="str">
        <f t="shared" si="413"/>
        <v/>
      </c>
      <c r="AL174" s="259">
        <f>IF(AK174&lt;&gt;"",MAX($AL$2:AL173)+1,0)</f>
        <v>0</v>
      </c>
      <c r="AM174" s="259" t="str">
        <f>IFERROR(INDEX($AK$3:$AL$220,MATCH(ROWS($AM$3:AM174),$AL$3:$AL$220,0),1),"")</f>
        <v/>
      </c>
      <c r="AN174" s="259" t="str">
        <f t="shared" si="414"/>
        <v/>
      </c>
      <c r="AO174" s="259" t="str">
        <f t="shared" si="415"/>
        <v/>
      </c>
      <c r="AP174" s="259" t="str">
        <f t="shared" si="416"/>
        <v>ONERI FINANZIARI</v>
      </c>
      <c r="AQ174" s="259">
        <f ca="1">IF(OR(AG174=0,AG174=""),0,MAX(AQ$2:AQ173)+1)</f>
        <v>88</v>
      </c>
      <c r="AR174" s="259">
        <f ca="1">IF(OR(AH174=0,AH174=""),0,MAX(AR$2:AR173)+1)</f>
        <v>118</v>
      </c>
      <c r="AS174" s="259">
        <f ca="1">IF(OR(AI174=0,AI174=""),0,MAX(AS$2:AS173)+1)</f>
        <v>168</v>
      </c>
      <c r="AT174" s="259" t="str">
        <f ca="1">IFERROR(INDEX($AD$3:$AS$220,MATCH(ROWS(AT$3:AT174),AQ$3:AQ$220,0),1),"")</f>
        <v/>
      </c>
      <c r="AU174" s="259" t="str">
        <f ca="1">IFERROR(INDEX($AD$3:$AS$220,MATCH(ROWS(AU$3:AU174),AR$3:AR$220,0),1),"")</f>
        <v/>
      </c>
      <c r="AV174" s="259" t="str">
        <f ca="1">IFERROR(INDEX($AD$3:$AS$220,MATCH(ROWS(AV$3:AV174),AS$3:AS$220,0),1),"")</f>
        <v/>
      </c>
      <c r="AW174" s="259" t="str">
        <f ca="1">IFERROR(INDEX($AP$3:$AS$220,MATCH(ROWS(AW$3:AW174),AQ$3:AQ$220,0),1),"")</f>
        <v/>
      </c>
      <c r="AX174" s="259" t="str">
        <f ca="1">IFERROR(INDEX($AP$3:$AS$220,MATCH(ROWS(AX$3:AX174),AR$3:AR$220,0),1),"")</f>
        <v/>
      </c>
      <c r="AY174" s="259" t="str">
        <f ca="1">IFERROR(INDEX($AP$3:$AS$220,MATCH(ROWS(AY$3:AY174),AS$3:AS$220,0),1),"")</f>
        <v/>
      </c>
      <c r="AZ174" s="259" t="str">
        <f t="shared" si="490"/>
        <v>72 V.I.</v>
      </c>
      <c r="BA174" s="259">
        <f t="shared" ca="1" si="484"/>
        <v>0</v>
      </c>
      <c r="BB174" s="259">
        <f t="shared" ca="1" si="491"/>
        <v>0</v>
      </c>
      <c r="BC174" s="259">
        <f t="shared" ca="1" si="492"/>
        <v>0</v>
      </c>
      <c r="BD174" s="259">
        <f t="shared" ca="1" si="493"/>
        <v>0</v>
      </c>
      <c r="BE174" s="259">
        <f t="shared" ca="1" si="494"/>
        <v>0</v>
      </c>
      <c r="BG174" s="259" t="str">
        <f t="shared" ca="1" si="368"/>
        <v/>
      </c>
      <c r="BH174" s="259">
        <f ca="1">IF(IFERROR(MATCH(BG174,DENOMINAZIONE_GIORNALE,0),0)&gt;0,MAX(BH$2:BH173)+1,0)</f>
        <v>0</v>
      </c>
      <c r="BI174" s="259" t="str">
        <f ca="1">IFERROR(INDEX($BG$3:$BH$220,MATCH(ROWS($BI$3:BI174),$BH$3:$BH$220,0),1),"")</f>
        <v/>
      </c>
      <c r="BJ174" s="259" t="str">
        <f t="shared" ca="1" si="369"/>
        <v/>
      </c>
      <c r="BK174" s="259" t="str">
        <f ca="1">IF(IF(BJ174&lt;&gt;"",MAX($BK$2:BK173)+1,0)=0,"",IF(BJ174&lt;&gt;"",MAX($BK$2:BK173)+1,0))</f>
        <v/>
      </c>
      <c r="BL174" s="259" t="str">
        <f ca="1">IFERROR(INDEX($T$3:$U$220, MATCH(ROWS(BL$3:BL174),$V$3:$V$220,0),1),"")</f>
        <v/>
      </c>
      <c r="BM174" s="259" t="str">
        <f ca="1">IFERROR(INDEX($T$3:$U$220, MATCH(ROWS(BM$3:BM174),$V$3:$V$220,0),2),"")</f>
        <v/>
      </c>
      <c r="BN174" s="259" t="str">
        <f ca="1">IF(IFERROR(INDEX($BI$3:$BJ$220,MATCH(ROWS(BN$3:BN174),$BK$3:$BK$220,0),1),"")="PATRIMONIO NETTO","",IFERROR(INDEX($BI$3:$BJ$220,MATCH(ROWS(BN$3:BN174),$BK$3:$BK$220,0),1),""))</f>
        <v/>
      </c>
      <c r="BO174" s="259" t="str">
        <f ca="1">IFERROR(INDEX($BI$3:$BJ$220,MATCH(ROWS(BO$3:BO174),$BK$3:$BK$220,0),2),"")</f>
        <v/>
      </c>
      <c r="BP174" s="259">
        <f ca="1">IF(BN174&lt;&gt;"",MAX(BP$2:$BP173)+1,0)</f>
        <v>0</v>
      </c>
      <c r="BQ174" s="259" t="str">
        <f ca="1">IFERROR(INDEX($BN$3:$BO$200,MATCH(ROWS(BQ$3:BQ174),$BP$3:$BP$220,0),1),"")</f>
        <v/>
      </c>
      <c r="BR174" s="259" t="str">
        <f ca="1">IFERROR(INDEX($BN$3:$BO$220,MATCH(ROWS(BR$3:BR174),$BP$3:$BP$220,0),2),"")</f>
        <v/>
      </c>
      <c r="BS174" s="259" t="str">
        <f ca="1">IFERROR(IF(OR(INDEX($T$3:$U$220,MATCH(ROWS(BL$3:BL174),$V$3:$V$220,0),1)="PRELEVAMENTI EXTRAGESTIONE",INDEX($T$3:$U$220,MATCH(ROWS(BL$3:BL174),$V$3:$V$220,0),1)="TITOLARE C/RITENUTE SUBITE"),"",INDEX($T$3:$U$220,MATCH(ROWS(BL$3:BL174),$V$3:$V$220,0),1)),"")</f>
        <v/>
      </c>
      <c r="BT174" s="259">
        <f t="shared" ca="1" si="417"/>
        <v>0</v>
      </c>
      <c r="BU174" s="259">
        <f ca="1">IF(BS174&lt;&gt;"",MAX(BU$2:BU173)+1,0)</f>
        <v>0</v>
      </c>
      <c r="BV174" s="259" t="str">
        <f ca="1">IFERROR(INDEX($BS$3:$BT$223,MATCH(ROWS(BV$3:BV174),$BU$3:$BU$223,0),1),"")</f>
        <v/>
      </c>
      <c r="BW174" s="259">
        <f t="shared" ca="1" si="418"/>
        <v>0</v>
      </c>
      <c r="CB174" s="259" t="str">
        <f ca="1">IFERROR(IF(OR($BB$1&lt;&gt;$BD$1,$BC$1&lt;&gt;$BE$1,$DS$231&lt;&gt;$DT$231,$DU$231&lt;&gt;$DV$231,$EO$25&lt;&gt;0,$EO$26&lt;&gt;0),INDEX($BI$3:$BK$220,MATCH(ROWS($CB$3:CB174),$BK$3:$BK$220,0),1),CONCATENATE(BQ174,BX174)),"")</f>
        <v/>
      </c>
      <c r="CC174" s="259" t="str">
        <f t="shared" ca="1" si="419"/>
        <v/>
      </c>
      <c r="CD174" s="259" t="str">
        <f t="shared" ca="1" si="370"/>
        <v>INTERESSI PASSIVI BANCARI</v>
      </c>
      <c r="CE174" s="259">
        <f ca="1">IF(IFERROR(MATCH(CD174,DENOMINAZIONE_GIORNALE,0),0)&gt;0,MAX(CE$2:CE173)+1,0)</f>
        <v>0</v>
      </c>
      <c r="CF174" s="259" t="str">
        <f ca="1">IFERROR(INDEX($CD$3:$CE$220,MATCH(ROWS($CF$3:CF174),$CE$3:$CE$220,0),1),"")</f>
        <v/>
      </c>
      <c r="CG174" s="259">
        <f t="shared" ca="1" si="371"/>
        <v>0</v>
      </c>
      <c r="CH174" s="259" t="str">
        <f ca="1">IF(IF(CG174&lt;&gt;0,MAX($CH$2:CH173)+1,0)=0,"",IF(CG174&lt;&gt;"",MAX($CH$2:CH173)+1,0))</f>
        <v/>
      </c>
      <c r="CI174" s="259" t="str">
        <f ca="1">IFERROR(INDEX($CF$3:$CG$220,MATCH(ROWS($CI$3:CI174),$CH$3:$CH$220,0),1),"")</f>
        <v/>
      </c>
      <c r="CJ174" s="259" t="str">
        <f t="shared" ca="1" si="420"/>
        <v/>
      </c>
      <c r="CK174" s="259" t="str">
        <f t="shared" ca="1" si="372"/>
        <v/>
      </c>
      <c r="CL174" s="259">
        <f ca="1">IF(IFERROR(MATCH(CK174,DENOMINAZIONE_GIORNALE,0),0)&gt;0,MAX(CL$2:CL173)+1,0)</f>
        <v>0</v>
      </c>
      <c r="CM174" s="259" t="str">
        <f ca="1">IFERROR(INDEX($CK$3:$CL$220,MATCH(ROWS($CM$3:CM174),$CL$3:$CL$220,0),1),"")</f>
        <v/>
      </c>
      <c r="CN174" s="259" t="str">
        <f t="shared" ca="1" si="373"/>
        <v/>
      </c>
      <c r="CO174" s="259">
        <f ca="1">IF(IF(CN174&lt;&gt;0,MAX($CO$2:CO173)+1,0)=0,"",IF(CN174&lt;&gt;"",MAX($CO$2:CO173)+1,0))</f>
        <v>0</v>
      </c>
      <c r="CP174" s="259" t="str">
        <f ca="1">IFERROR(INDEX($CM$3:$CN$220,MATCH(ROWS(CP$3:CP174),$CO$3:$CO$220,0),1),"")</f>
        <v/>
      </c>
      <c r="CQ174" s="259" t="str">
        <f ca="1">IFERROR(INDEX($CM$3:$CN$220,MATCH(ROWS(CQ$3:CQ174),$CO$3:$CO$220,0),2),"")</f>
        <v/>
      </c>
      <c r="CS174" s="259">
        <f t="shared" ca="1" si="374"/>
        <v>0</v>
      </c>
      <c r="CT174" s="259">
        <f t="shared" ca="1" si="375"/>
        <v>0</v>
      </c>
      <c r="CU174" s="259">
        <f ca="1">IF(OR(CS174&gt;0,CT174&gt;0),MAX($CU$2:CU173)+1,0)</f>
        <v>0</v>
      </c>
      <c r="CV174" s="259" t="str">
        <f ca="1">IFERROR(INDEX(PIANO_DEI_CONTI,MATCH(ROWS($CV$3:CV174),$CU$3:$CU$200,0),2),"")</f>
        <v/>
      </c>
      <c r="CW174" s="259">
        <f ca="1">IFERROR(IF(CV174&lt;&gt;"",MAX($CW$2:CW173)+1,0),0)</f>
        <v>0</v>
      </c>
      <c r="CX174" s="259">
        <f t="shared" ca="1" si="482"/>
        <v>10</v>
      </c>
      <c r="CY174" s="259" t="str">
        <f t="shared" ca="1" si="495"/>
        <v>MASTRO</v>
      </c>
      <c r="CZ174" s="259" t="e">
        <f t="shared" ca="1" si="485"/>
        <v>#N/A</v>
      </c>
      <c r="DA174" s="259" t="str">
        <f t="shared" ca="1" si="496"/>
        <v/>
      </c>
      <c r="DB174" s="259" t="str">
        <f t="shared" ca="1" si="486"/>
        <v/>
      </c>
      <c r="DC174" s="259" t="str">
        <f t="shared" ca="1" si="487"/>
        <v/>
      </c>
      <c r="DD174" s="259" t="str">
        <f t="shared" ca="1" si="488"/>
        <v/>
      </c>
      <c r="DE174" s="259" t="str">
        <f t="shared" ca="1" si="489"/>
        <v/>
      </c>
      <c r="DF174" s="259">
        <f ca="1">IF(AND(CX174=$DE$2,$DF$2&lt;&gt;0),0,IF(AND(DB174&lt;&gt;"",OR(DB173&lt;&gt;"",DB175&lt;&gt;"")),MAX($DF$2:DF173)+1,0))</f>
        <v>0</v>
      </c>
      <c r="DG174" s="259" t="str">
        <f>IF(IF(LIBRO_GIORNALE!E82="","",IFERROR(INDEX(PIANO_DEI_CONTI,MATCH(BB174,DENOMINAZIONE,0),1),0))=0,"",IF(LIBRO_GIORNALE!E82="","",IFERROR(INDEX(PIANO_DEI_CONTI,MATCH(BB174,DENOMINAZIONE,0),1),0)))</f>
        <v/>
      </c>
      <c r="DH174" s="259">
        <f ca="1">IFERROR(IF($J$1=1,IF(INDEX(PIANO_DEI_CONTI,MATCH($K174,DENOMINAZIONE,0),5)=$DF$1,MAX($DH$2:DH173)+1,0),IF($J$1=2,IF(INDEX(PIANO_DEI_CONTI,MATCH($K174,DENOMINAZIONE,0),7)=$DF$1,MAX($DH$2:DH173)+1,0))),0)</f>
        <v>0</v>
      </c>
      <c r="DI174" s="259">
        <f ca="1">IFERROR(INDEX($K$3:$K$220,MATCH(ROWS($DI$3:DI174),$DH$3:$DH$220,0),1),0)</f>
        <v>0</v>
      </c>
      <c r="DJ174" s="259">
        <f t="shared" ca="1" si="381"/>
        <v>0</v>
      </c>
      <c r="DK174" s="259">
        <f ca="1">IF(DJ174=0,0,MAX(DK$2:DK173)+1)</f>
        <v>0</v>
      </c>
      <c r="DL174" s="259">
        <f ca="1">IFERROR(INDEX(PIANO_DEI_CONTI,MATCH(ROWS(DL$3:DL174),$DK$3:DK401,0),2),0)</f>
        <v>0</v>
      </c>
      <c r="DM174" s="259">
        <f t="shared" ca="1" si="382"/>
        <v>0</v>
      </c>
      <c r="DN174" s="259">
        <f t="shared" ca="1" si="383"/>
        <v>0</v>
      </c>
      <c r="DO174" s="259">
        <f t="shared" ca="1" si="422"/>
        <v>0</v>
      </c>
      <c r="DP174" s="259">
        <f t="shared" ca="1" si="423"/>
        <v>0</v>
      </c>
      <c r="DQ174" s="259">
        <f ca="1">IF(OR($DQ$1="TOTALI",$DQ$1="TOTALI ED ECCEDENZE"),IF(OR(DM174&gt;0,DN174&gt;0),MAX(DQ$2:DQ173)+1,0),IF($DQ$1="ECCEDENZE",IF(OR(DO174&gt;0,DP174&gt;0),MAX(DQ$2:DQ173)+1,0),""))</f>
        <v>0</v>
      </c>
      <c r="DR174" s="259" t="str">
        <f ca="1">IFERROR(INDEX($DL$3:$DQ$230,MATCH(ROWS(DR$3:DR174),$DQ$3:$DQ$230,0),1),"")</f>
        <v/>
      </c>
      <c r="DS174" s="259" t="str">
        <f t="shared" ca="1" si="424"/>
        <v/>
      </c>
      <c r="DT174" s="259" t="str">
        <f t="shared" ca="1" si="425"/>
        <v/>
      </c>
      <c r="DU174" s="259" t="str">
        <f t="shared" ca="1" si="426"/>
        <v/>
      </c>
      <c r="DV174" s="259" t="str">
        <f t="shared" ca="1" si="427"/>
        <v/>
      </c>
      <c r="DW174" s="259">
        <f t="shared" ca="1" si="428"/>
        <v>0</v>
      </c>
      <c r="DX174" s="259" t="str">
        <f t="shared" ca="1" si="429"/>
        <v/>
      </c>
      <c r="DY174" s="259" t="str">
        <f t="shared" ca="1" si="430"/>
        <v/>
      </c>
      <c r="DZ174" s="259" t="str">
        <f t="shared" ca="1" si="431"/>
        <v/>
      </c>
      <c r="EB174" s="259" t="s">
        <v>391</v>
      </c>
      <c r="ED174" s="259">
        <f t="shared" ca="1" si="384"/>
        <v>0</v>
      </c>
      <c r="EH174" s="259" t="str">
        <f t="shared" ca="1" si="432"/>
        <v/>
      </c>
      <c r="EI174" s="260" t="b">
        <f t="shared" ca="1" si="466"/>
        <v>0</v>
      </c>
      <c r="EJ174" s="260" t="b">
        <f t="shared" ca="1" si="467"/>
        <v>0</v>
      </c>
      <c r="EK174" s="260" t="b">
        <f t="shared" ca="1" si="468"/>
        <v>1</v>
      </c>
      <c r="EL174" s="259">
        <f t="shared" si="433"/>
        <v>172</v>
      </c>
      <c r="EM174" s="259">
        <f ca="1">IF(AND(BA174&gt;0,BA174&lt;=$EM$1),MAX($EM$2:EM173)+1,0)</f>
        <v>0</v>
      </c>
      <c r="EN174" s="259">
        <f t="shared" ca="1" si="434"/>
        <v>174</v>
      </c>
      <c r="EP174" s="259" t="str">
        <f t="shared" ca="1" si="385"/>
        <v/>
      </c>
      <c r="EQ174" s="259">
        <f t="shared" ca="1" si="386"/>
        <v>0</v>
      </c>
      <c r="ER174" s="259">
        <f ca="1">IF(ISNA(EQ174),MAX(ER$2:ER173)+1,0)</f>
        <v>0</v>
      </c>
      <c r="ES174" s="259" t="str">
        <f t="shared" ca="1" si="435"/>
        <v/>
      </c>
      <c r="ET174" s="259" t="str">
        <f ca="1">IFERROR(UPPER(INDEX($ER$3:$ES$500,MATCH(ROWS(ET$3:ET174),$ER$3:$ER$500,0),2)),"")</f>
        <v/>
      </c>
      <c r="EW174" s="259">
        <f t="shared" ca="1" si="497"/>
        <v>1</v>
      </c>
      <c r="EX174" s="259">
        <v>72</v>
      </c>
      <c r="EY174" s="259">
        <f t="shared" ca="1" si="498"/>
        <v>0</v>
      </c>
      <c r="EZ174" s="259">
        <f t="shared" ca="1" si="499"/>
        <v>0</v>
      </c>
      <c r="FA174" s="259">
        <f t="shared" ca="1" si="500"/>
        <v>0</v>
      </c>
      <c r="FB174" s="259">
        <f t="shared" ca="1" si="501"/>
        <v>0</v>
      </c>
      <c r="FC174" s="259">
        <f t="shared" ca="1" si="502"/>
        <v>0</v>
      </c>
      <c r="FD174" s="259">
        <f t="shared" ca="1" si="387"/>
        <v>0</v>
      </c>
      <c r="FE174" s="259" t="str">
        <f t="shared" ca="1" si="388"/>
        <v/>
      </c>
      <c r="FF174" s="259" t="str">
        <f t="shared" ca="1" si="503"/>
        <v/>
      </c>
      <c r="FM174" s="259">
        <f t="shared" ca="1" si="389"/>
        <v>0</v>
      </c>
      <c r="FN174" s="259">
        <f ca="1">IF(FM174&lt;0,MAX($FN$2:FN173)+1,0)</f>
        <v>0</v>
      </c>
      <c r="FO174" s="259" t="str">
        <f t="shared" ca="1" si="436"/>
        <v/>
      </c>
      <c r="FP174" s="259" t="str">
        <f ca="1">IFERROR(INDEX($FN$3:$FO$400,MATCH(ROWS($FP$3:FP174),$FN$3:$FN$400,0),2),"")</f>
        <v/>
      </c>
      <c r="FQ174" s="259" t="str">
        <f>IF(AE174="SE AVERE",MAX($FQ$2:FQ173)+1,"")</f>
        <v/>
      </c>
      <c r="FR174" s="259">
        <f>IF(AE174="SE DARE",MAX($FR$2:FR173)+1,"")</f>
        <v>73</v>
      </c>
      <c r="FS174" s="259" t="str">
        <f ca="1">IF(AND(AE174="SP DARE",AA174&lt;&gt;$FS$1,AA174&lt;&gt;$FT$1),MAX($FS$2:FS173)+1,IF(AND(GQ174="SP DARE",AA174&lt;&gt;$FS$1,AA174&lt;&gt;$FT$1),MAX($FS$2:FS173)+1,""))</f>
        <v/>
      </c>
      <c r="FT174" s="259" t="str">
        <f ca="1">IF(AND(AE174="SP AVERE",AA174&lt;&gt;$FU$1),MAX($FT$2:FT173)+1,IF(AND(GQ174="SP AVERE",AA174&lt;&gt;$FU$1),MAX($FT$2:FT173)+1,""))</f>
        <v/>
      </c>
      <c r="FU174" s="259">
        <f t="shared" ca="1" si="437"/>
        <v>73</v>
      </c>
      <c r="FV174" s="259" t="str">
        <f t="shared" si="438"/>
        <v>INTERESSI PASSIVI BANCARI</v>
      </c>
      <c r="FW174" s="259" t="str">
        <f ca="1">IFERROR(INDEX($FU$3:$FV$500,MATCH(ROWS($FW$3:FW174),$FU$3:$FU$500,0),2),0)</f>
        <v>RATEI PASSIVI</v>
      </c>
      <c r="FX174" s="259">
        <f t="shared" ca="1" si="439"/>
        <v>172</v>
      </c>
      <c r="FY174" s="259">
        <f t="shared" ca="1" si="440"/>
        <v>0</v>
      </c>
      <c r="FZ174" s="259">
        <f ca="1">IF(FY174&gt;0,MAX($FZ$2:FZ173)+1,0)</f>
        <v>0</v>
      </c>
      <c r="GA174" s="259">
        <f ca="1">IFERROR(INDEX($FY$3:$FZ$500,MATCH(ROWS($GA$3:GA174),$FZ$3:$FZ$500,0),1),0)</f>
        <v>0</v>
      </c>
      <c r="GC174" s="259">
        <f t="shared" ca="1" si="441"/>
        <v>172</v>
      </c>
      <c r="GD174" s="259" t="str">
        <f t="shared" ca="1" si="442"/>
        <v>RATEI PASSIVI</v>
      </c>
      <c r="GG174" s="259">
        <f t="shared" ca="1" si="443"/>
        <v>0</v>
      </c>
      <c r="GH174" s="259">
        <f t="shared" ca="1" si="444"/>
        <v>0</v>
      </c>
      <c r="GI174" s="259">
        <f t="shared" ca="1" si="445"/>
        <v>0</v>
      </c>
      <c r="GJ174" s="259">
        <f t="shared" ca="1" si="446"/>
        <v>0</v>
      </c>
      <c r="GK174" s="259">
        <f t="shared" ca="1" si="447"/>
        <v>0</v>
      </c>
      <c r="GL174" s="259">
        <f t="shared" ca="1" si="447"/>
        <v>0</v>
      </c>
      <c r="GM174" s="259">
        <f ca="1">IF(OR(GK174&gt;0,GL174&gt;0),MAX($GM$2:GM173)+1,0)</f>
        <v>0</v>
      </c>
      <c r="GN174" s="259" t="str">
        <f ca="1">IFERROR(INDEX($GD$3:$GM$400,MATCH(ROWS($GN$3:GN174),$GM$3:$GM$400,0),1),"")</f>
        <v/>
      </c>
      <c r="GO174" s="259" t="str">
        <f ca="1">IFERROR(INDEX($GD$3:$GM$400,MATCH(ROWS($GO$3:GO174),$GM$3:$GM$400,0),8),"")</f>
        <v/>
      </c>
      <c r="GP174" s="259" t="str">
        <f ca="1">IFERROR(INDEX($GD$3:$GM$400,MATCH(ROWS($GP$3:GP174),$GM$3:$GM$400,0),9),"")</f>
        <v/>
      </c>
      <c r="GQ174" s="259">
        <f t="shared" ca="1" si="390"/>
        <v>0</v>
      </c>
      <c r="GR174" s="259">
        <f t="shared" ca="1" si="448"/>
        <v>0</v>
      </c>
      <c r="GS174" s="259" t="str">
        <f t="shared" ca="1" si="449"/>
        <v>chiusura del conto</v>
      </c>
      <c r="GT174" s="259" t="str">
        <f ca="1">IFERROR(INDEX($GD$3:$GS$400,MATCH(ROWS($GT$3:GT174),$GM$3:$GM$400,0),16),"")</f>
        <v/>
      </c>
      <c r="GU174" s="259">
        <f ca="1">IF(GQ174&lt;&gt;0,MAX($GU$2:$GU173)+1,0)</f>
        <v>0</v>
      </c>
      <c r="GV174" s="259">
        <f t="shared" ca="1" si="450"/>
        <v>0</v>
      </c>
      <c r="GW174" s="259" t="str">
        <f ca="1">IF(AND(IFERROR(INDEX($GU$3:$GV$400,MATCH(ROWS($GW$3:GW174),$GU$3:$GU$400,0),2),"")&lt;&gt;"",GW175&lt;&gt;""),CONCATENATE(IFERROR(INDEX($GU$3:$GV$400,MATCH(ROWS($GW$3:GW174),$GU$3:$GU$400,0),2),"")," - "),IFERROR(INDEX($GU$3:$GV$400,MATCH(ROWS($GW$3:GW174),$GU$3:$GU$400,0),2),""))</f>
        <v/>
      </c>
      <c r="GX174" s="259">
        <f ca="1">IF(OR(GN174="IVA NS/CREDITO",GN174="IVA NS/DEBITO",GN174="IVA C/ACCONTO",GN174="IMPOSTE C/ACCONTO"),MAX($GX$2:GX173)+1,0)</f>
        <v>0</v>
      </c>
      <c r="GY174" s="259" t="str">
        <f ca="1">IF(AND(IFERROR(INDEX($GN$3:$GX$200,MATCH(ROWS($GY$3:GY174),$GX$3:$GX$200,0),1),"")&lt;&gt;"",GY175&lt;&gt;""),CONCATENATE(IFERROR(INDEX($GN$3:$GX$200,MATCH(ROWS($GY$3:GY174),$GX$3:$GX$200,0),1),"")," - "),IFERROR(INDEX($GN$3:$GX$200,MATCH(ROWS($GY$3:GY174),$GX$3:$GX$200,0),1),""))</f>
        <v/>
      </c>
      <c r="GZ174" s="259" t="s">
        <v>590</v>
      </c>
      <c r="HA174" s="259" t="s">
        <v>667</v>
      </c>
      <c r="HB174" s="269" t="s">
        <v>256</v>
      </c>
      <c r="HC174" s="269" t="s">
        <v>276</v>
      </c>
      <c r="HD174" s="269" t="s">
        <v>7</v>
      </c>
      <c r="HE174" s="269" t="s">
        <v>214</v>
      </c>
      <c r="HV174" s="259" t="str">
        <f ca="1">CONCATENATE(IFERROR(INDEX($HS$3:$HT$102,MATCH(ROWS($HV$3:HV174),$HT$3:$HT$102,0),1),""),HR174)</f>
        <v/>
      </c>
      <c r="IC174" s="259">
        <f ca="1">IFERROR(INDEX(PIANO_DEI_CONTI,MATCH(ROWS(DL$3:DL174),$DK$3:DK401,0),2),0)</f>
        <v>0</v>
      </c>
      <c r="ID174" s="259">
        <f t="shared" ca="1" si="451"/>
        <v>0</v>
      </c>
      <c r="IE174" s="259">
        <f t="shared" ca="1" si="452"/>
        <v>0</v>
      </c>
      <c r="IF174" s="259">
        <f t="shared" ca="1" si="453"/>
        <v>0</v>
      </c>
      <c r="IG174" s="259">
        <f t="shared" ca="1" si="479"/>
        <v>0</v>
      </c>
      <c r="IH174" s="259">
        <f ca="1">IF(IG174&lt;&gt;0,MAX($IH$35:IH173)+1,0)</f>
        <v>0</v>
      </c>
      <c r="II174" s="259">
        <f>IF(AD174="costi pluriennali",MAX($II$2:II173)+1,0)</f>
        <v>0</v>
      </c>
      <c r="IJ174" s="259">
        <f>IF($AD174="rettifiche costi pluriennali",MAX($IJ$2:IJ173)+1,0)</f>
        <v>0</v>
      </c>
      <c r="IK174" s="259">
        <f t="shared" si="454"/>
        <v>0</v>
      </c>
      <c r="IL174" s="259" t="str">
        <f t="shared" si="455"/>
        <v/>
      </c>
      <c r="IM174" s="259">
        <f t="shared" ca="1" si="456"/>
        <v>0</v>
      </c>
      <c r="IN174" s="259">
        <f t="shared" ca="1" si="470"/>
        <v>0</v>
      </c>
      <c r="IO174" s="259">
        <f>SUMIFS($IM$3:$IM$200,$IK$3:$IK$200,ROWS($IO$3:IO174))-SUMIFS($IN$3:$IN$200,$IK$3:$IK$200,ROWS($IO$3:IO174))</f>
        <v>0</v>
      </c>
      <c r="IP174" s="259" t="str">
        <f>IF(IO174&lt;0,INDEX($IJ$3:$IL$200,MATCH(ROWS($IP$3:IP174),$IJ$3:$IJ$200,0),3),"")</f>
        <v/>
      </c>
      <c r="IQ174" s="259">
        <f>IF(IP174&lt;&gt;"",MAX($IQ$2:IQ173)+1,0)</f>
        <v>0</v>
      </c>
      <c r="IR174" s="259" t="str">
        <f ca="1">IFERROR(INDEX($IP$3:$IQ$200,MATCH(ROWS($IR$3:IR174),$IQ$3:$IQ$200,0),1),"")</f>
        <v/>
      </c>
      <c r="IS174" s="259" t="str">
        <f t="shared" ca="1" si="457"/>
        <v/>
      </c>
      <c r="IT174" s="259" t="str">
        <f t="shared" ca="1" si="458"/>
        <v/>
      </c>
      <c r="IU174" s="259" t="str">
        <f t="shared" ca="1" si="459"/>
        <v/>
      </c>
      <c r="IV174" s="259" t="str">
        <f t="shared" ca="1" si="460"/>
        <v/>
      </c>
      <c r="IW174" s="259" t="str">
        <f t="shared" ca="1" si="461"/>
        <v/>
      </c>
      <c r="IX174" s="259" t="str">
        <f t="shared" ca="1" si="462"/>
        <v/>
      </c>
      <c r="IY174" s="259" t="str">
        <f t="shared" ca="1" si="463"/>
        <v/>
      </c>
      <c r="IZ174" s="259" t="str">
        <f t="shared" ca="1" si="464"/>
        <v/>
      </c>
      <c r="JA174" s="259" t="str">
        <f t="shared" ca="1" si="465"/>
        <v/>
      </c>
      <c r="JB174" s="259">
        <f t="shared" ca="1" si="391"/>
        <v>0</v>
      </c>
      <c r="JC174" s="259">
        <f t="shared" ca="1" si="504"/>
        <v>0</v>
      </c>
      <c r="JD174" s="259">
        <f t="shared" ca="1" si="505"/>
        <v>0</v>
      </c>
      <c r="JM174" s="259">
        <f t="shared" ca="1" si="506"/>
        <v>0</v>
      </c>
    </row>
    <row r="175" spans="1:273">
      <c r="A175" s="259" t="str">
        <f t="shared" si="392"/>
        <v>35.05</v>
      </c>
      <c r="B175" s="259" t="str">
        <f t="shared" si="393"/>
        <v>AMMORTAMENTO MACCHINE D'UFFICIO</v>
      </c>
      <c r="C175" s="259" t="str">
        <f t="shared" si="394"/>
        <v>E</v>
      </c>
      <c r="D175" s="259" t="str">
        <f t="shared" si="395"/>
        <v>D</v>
      </c>
      <c r="E175" s="259" t="str">
        <f t="shared" si="396"/>
        <v>COSTI D'ESERCIZIO</v>
      </c>
      <c r="F175" s="259" t="str">
        <f t="shared" si="397"/>
        <v>SE DARE</v>
      </c>
      <c r="G175" s="259">
        <f t="shared" ca="1" si="398"/>
        <v>0</v>
      </c>
      <c r="H175" s="259">
        <f t="shared" ca="1" si="399"/>
        <v>0</v>
      </c>
      <c r="I175" s="259">
        <f t="shared" ca="1" si="400"/>
        <v>1</v>
      </c>
      <c r="K175" s="259" t="str">
        <f ca="1">IFERROR(IF($I$1=1,INDEX($AA$3:$AS$220,MATCH(ROWS($K$3:K175),$AQ$3:$AQ$220,0),1),IF($I$1=2,INDEX($AA$3:$AS$220,MATCH(ROWS($K$3:K175),$AR$3:$AR$220,0),1),IF($I$1=3,INDEX($AA$3:$AS$220,MATCH(ROWS($K$3:K175),$AS$3:$AS$220,0),1),""))),"")</f>
        <v/>
      </c>
      <c r="L175" s="259">
        <f ca="1">IF(AND($L$1="VISUALIZZA TUTTI I CONTI",K175&lt;&gt;""),MAX(L174:L174)+1,IFERROR(IF($J$1=1,IF(INDEX(PIANO_DEI_CONTI,MATCH($K175,DENOMINAZIONE,0),5)=$L$1,MAX($L$2:L174)+1,0),IF($J$1=2,IF(INDEX(PIANO_DEI_CONTI,MATCH($K175,DENOMINAZIONE,0),7)=$L$1,MAX($L$2:L174)+1,0))),0))</f>
        <v>0</v>
      </c>
      <c r="M175" s="259" t="str">
        <f ca="1">IFERROR(INDEX($K$3:$K$220,MATCH(ROWS($M$3:M175),$L$3:$L$220,0),1),"")</f>
        <v/>
      </c>
      <c r="R175" s="259" t="str">
        <f t="shared" ca="1" si="366"/>
        <v/>
      </c>
      <c r="S175" s="259">
        <f ca="1">IF(IFERROR(MATCH(R175,DENOMINAZIONE_GIORNALE,0),0)&gt;0,MAX(S$2:S174)+1,0)</f>
        <v>0</v>
      </c>
      <c r="T175" s="259" t="str">
        <f ca="1">IFERROR(INDEX($R$3:$S$220,MATCH(ROWS($T$3:T175),$S$3:$S$220,0),1),"")</f>
        <v/>
      </c>
      <c r="U175" s="259">
        <f t="shared" ca="1" si="367"/>
        <v>0</v>
      </c>
      <c r="V175" s="259">
        <f ca="1">IF(IF(U175&lt;&gt;0,MAX($V$2:V174)+1,0)=0,0,IF(U175&lt;&gt;0,MAX($V$2:V174)+1,0))</f>
        <v>0</v>
      </c>
      <c r="W175" s="259" t="str">
        <f t="shared" si="401"/>
        <v>35.05</v>
      </c>
      <c r="X175" s="259" t="str">
        <f t="shared" si="402"/>
        <v>AMMORTAMENTO MACCHINE D'UFFICIO</v>
      </c>
      <c r="Y175" s="259">
        <f>IF(W175="",0,MAX($Y$2:Y174)+1)</f>
        <v>149</v>
      </c>
      <c r="Z175" s="259" t="str">
        <f>IFERROR(INDEX($W$3:$Y$220,MATCH(ROWS($Z$2:Z174),$Y$3:$Y$220,0),1),"")</f>
        <v>41.03</v>
      </c>
      <c r="AA175" s="259" t="str">
        <f t="shared" si="403"/>
        <v>SCONTI PASSIVI BANCARI</v>
      </c>
      <c r="AB175" s="259" t="str">
        <f t="shared" si="404"/>
        <v>E</v>
      </c>
      <c r="AC175" s="259" t="str">
        <f t="shared" si="405"/>
        <v>D</v>
      </c>
      <c r="AD175" s="259" t="str">
        <f t="shared" si="406"/>
        <v>COSTI D'ESERCIZIO</v>
      </c>
      <c r="AE175" s="259" t="str">
        <f t="shared" si="407"/>
        <v>SE DARE</v>
      </c>
      <c r="AF175" s="259" t="str">
        <f t="shared" si="408"/>
        <v>ONERI FINANZIARI</v>
      </c>
      <c r="AG175" s="259">
        <f t="shared" ca="1" si="409"/>
        <v>0</v>
      </c>
      <c r="AH175" s="259">
        <f t="shared" ca="1" si="410"/>
        <v>1</v>
      </c>
      <c r="AI175" s="259">
        <f t="shared" ca="1" si="411"/>
        <v>1</v>
      </c>
      <c r="AJ175" s="259" t="str">
        <f t="shared" si="412"/>
        <v>41</v>
      </c>
      <c r="AK175" s="259" t="str">
        <f t="shared" si="413"/>
        <v/>
      </c>
      <c r="AL175" s="259">
        <f>IF(AK175&lt;&gt;"",MAX($AL$2:AL174)+1,0)</f>
        <v>0</v>
      </c>
      <c r="AM175" s="259" t="str">
        <f>IFERROR(INDEX($AK$3:$AL$220,MATCH(ROWS($AM$3:AM175),$AL$3:$AL$220,0),1),"")</f>
        <v/>
      </c>
      <c r="AN175" s="259" t="str">
        <f t="shared" si="414"/>
        <v/>
      </c>
      <c r="AO175" s="259" t="str">
        <f t="shared" si="415"/>
        <v/>
      </c>
      <c r="AP175" s="259" t="str">
        <f t="shared" si="416"/>
        <v>ONERI FINANZIARI</v>
      </c>
      <c r="AQ175" s="259">
        <f ca="1">IF(OR(AG175=0,AG175=""),0,MAX(AQ$2:AQ174)+1)</f>
        <v>0</v>
      </c>
      <c r="AR175" s="259">
        <f ca="1">IF(OR(AH175=0,AH175=""),0,MAX(AR$2:AR174)+1)</f>
        <v>119</v>
      </c>
      <c r="AS175" s="259">
        <f ca="1">IF(OR(AI175=0,AI175=""),0,MAX(AS$2:AS174)+1)</f>
        <v>169</v>
      </c>
      <c r="AT175" s="259" t="str">
        <f ca="1">IFERROR(INDEX($AD$3:$AS$220,MATCH(ROWS(AT$3:AT175),AQ$3:AQ$220,0),1),"")</f>
        <v/>
      </c>
      <c r="AU175" s="259" t="str">
        <f ca="1">IFERROR(INDEX($AD$3:$AS$220,MATCH(ROWS(AU$3:AU175),AR$3:AR$220,0),1),"")</f>
        <v/>
      </c>
      <c r="AV175" s="259" t="str">
        <f ca="1">IFERROR(INDEX($AD$3:$AS$220,MATCH(ROWS(AV$3:AV175),AS$3:AS$220,0),1),"")</f>
        <v/>
      </c>
      <c r="AW175" s="259" t="str">
        <f ca="1">IFERROR(INDEX($AP$3:$AS$220,MATCH(ROWS(AW$3:AW175),AQ$3:AQ$220,0),1),"")</f>
        <v/>
      </c>
      <c r="AX175" s="259" t="str">
        <f ca="1">IFERROR(INDEX($AP$3:$AS$220,MATCH(ROWS(AX$3:AX175),AR$3:AR$220,0),1),"")</f>
        <v/>
      </c>
      <c r="AY175" s="259" t="str">
        <f ca="1">IFERROR(INDEX($AP$3:$AS$220,MATCH(ROWS(AY$3:AY175),AS$3:AS$220,0),1),"")</f>
        <v/>
      </c>
      <c r="AZ175" s="259" t="str">
        <f t="shared" si="490"/>
        <v>73 V.I.</v>
      </c>
      <c r="BA175" s="259">
        <f t="shared" ca="1" si="484"/>
        <v>0</v>
      </c>
      <c r="BB175" s="259">
        <f t="shared" ca="1" si="491"/>
        <v>0</v>
      </c>
      <c r="BC175" s="259">
        <f t="shared" ca="1" si="492"/>
        <v>0</v>
      </c>
      <c r="BD175" s="259">
        <f t="shared" ca="1" si="493"/>
        <v>0</v>
      </c>
      <c r="BE175" s="259">
        <f t="shared" ca="1" si="494"/>
        <v>0</v>
      </c>
      <c r="BG175" s="259" t="str">
        <f t="shared" ca="1" si="368"/>
        <v/>
      </c>
      <c r="BH175" s="259">
        <f ca="1">IF(IFERROR(MATCH(BG175,DENOMINAZIONE_GIORNALE,0),0)&gt;0,MAX(BH$2:BH174)+1,0)</f>
        <v>0</v>
      </c>
      <c r="BI175" s="259" t="str">
        <f ca="1">IFERROR(INDEX($BG$3:$BH$220,MATCH(ROWS($BI$3:BI175),$BH$3:$BH$220,0),1),"")</f>
        <v/>
      </c>
      <c r="BJ175" s="259" t="str">
        <f t="shared" ca="1" si="369"/>
        <v/>
      </c>
      <c r="BK175" s="259" t="str">
        <f ca="1">IF(IF(BJ175&lt;&gt;"",MAX($BK$2:BK174)+1,0)=0,"",IF(BJ175&lt;&gt;"",MAX($BK$2:BK174)+1,0))</f>
        <v/>
      </c>
      <c r="BL175" s="259" t="str">
        <f ca="1">IFERROR(INDEX($T$3:$U$220, MATCH(ROWS(BL$3:BL175),$V$3:$V$220,0),1),"")</f>
        <v/>
      </c>
      <c r="BM175" s="259" t="str">
        <f ca="1">IFERROR(INDEX($T$3:$U$220, MATCH(ROWS(BM$3:BM175),$V$3:$V$220,0),2),"")</f>
        <v/>
      </c>
      <c r="BN175" s="259" t="str">
        <f ca="1">IF(IFERROR(INDEX($BI$3:$BJ$220,MATCH(ROWS(BN$3:BN175),$BK$3:$BK$220,0),1),"")="PATRIMONIO NETTO","",IFERROR(INDEX($BI$3:$BJ$220,MATCH(ROWS(BN$3:BN175),$BK$3:$BK$220,0),1),""))</f>
        <v/>
      </c>
      <c r="BO175" s="259" t="str">
        <f ca="1">IFERROR(INDEX($BI$3:$BJ$220,MATCH(ROWS(BO$3:BO175),$BK$3:$BK$220,0),2),"")</f>
        <v/>
      </c>
      <c r="BP175" s="259">
        <f ca="1">IF(BN175&lt;&gt;"",MAX(BP$2:$BP174)+1,0)</f>
        <v>0</v>
      </c>
      <c r="BQ175" s="259" t="str">
        <f ca="1">IFERROR(INDEX($BN$3:$BO$200,MATCH(ROWS(BQ$3:BQ175),$BP$3:$BP$220,0),1),"")</f>
        <v/>
      </c>
      <c r="BR175" s="259" t="str">
        <f ca="1">IFERROR(INDEX($BN$3:$BO$220,MATCH(ROWS(BR$3:BR175),$BP$3:$BP$220,0),2),"")</f>
        <v/>
      </c>
      <c r="BS175" s="259" t="str">
        <f ca="1">IFERROR(IF(OR(INDEX($T$3:$U$220,MATCH(ROWS(BL$3:BL175),$V$3:$V$220,0),1)="PRELEVAMENTI EXTRAGESTIONE",INDEX($T$3:$U$220,MATCH(ROWS(BL$3:BL175),$V$3:$V$220,0),1)="TITOLARE C/RITENUTE SUBITE"),"",INDEX($T$3:$U$220,MATCH(ROWS(BL$3:BL175),$V$3:$V$220,0),1)),"")</f>
        <v/>
      </c>
      <c r="BT175" s="259">
        <f t="shared" ca="1" si="417"/>
        <v>0</v>
      </c>
      <c r="BU175" s="259">
        <f ca="1">IF(BS175&lt;&gt;"",MAX(BU$2:BU174)+1,0)</f>
        <v>0</v>
      </c>
      <c r="BV175" s="259" t="str">
        <f ca="1">IFERROR(INDEX($BS$3:$BT$223,MATCH(ROWS(BV$3:BV175),$BU$3:$BU$223,0),1),"")</f>
        <v/>
      </c>
      <c r="BW175" s="259">
        <f t="shared" ca="1" si="418"/>
        <v>0</v>
      </c>
      <c r="CB175" s="259" t="str">
        <f ca="1">IFERROR(IF(OR($BB$1&lt;&gt;$BD$1,$BC$1&lt;&gt;$BE$1,$DS$231&lt;&gt;$DT$231,$DU$231&lt;&gt;$DV$231,$EO$25&lt;&gt;0,$EO$26&lt;&gt;0),INDEX($BI$3:$BK$220,MATCH(ROWS($CB$3:CB175),$BK$3:$BK$220,0),1),CONCATENATE(BQ175,BX175)),"")</f>
        <v/>
      </c>
      <c r="CC175" s="259" t="str">
        <f t="shared" ca="1" si="419"/>
        <v/>
      </c>
      <c r="CD175" s="259" t="str">
        <f t="shared" ca="1" si="370"/>
        <v>SCONTI PASSIVI BANCARI</v>
      </c>
      <c r="CE175" s="259">
        <f ca="1">IF(IFERROR(MATCH(CD175,DENOMINAZIONE_GIORNALE,0),0)&gt;0,MAX(CE$2:CE174)+1,0)</f>
        <v>0</v>
      </c>
      <c r="CF175" s="259" t="str">
        <f ca="1">IFERROR(INDEX($CD$3:$CE$220,MATCH(ROWS($CF$3:CF175),$CE$3:$CE$220,0),1),"")</f>
        <v/>
      </c>
      <c r="CG175" s="259">
        <f t="shared" ca="1" si="371"/>
        <v>0</v>
      </c>
      <c r="CH175" s="259" t="str">
        <f ca="1">IF(IF(CG175&lt;&gt;0,MAX($CH$2:CH174)+1,0)=0,"",IF(CG175&lt;&gt;"",MAX($CH$2:CH174)+1,0))</f>
        <v/>
      </c>
      <c r="CI175" s="259" t="str">
        <f ca="1">IFERROR(INDEX($CF$3:$CG$220,MATCH(ROWS($CI$3:CI175),$CH$3:$CH$220,0),1),"")</f>
        <v/>
      </c>
      <c r="CJ175" s="259" t="str">
        <f t="shared" ca="1" si="420"/>
        <v/>
      </c>
      <c r="CK175" s="259" t="str">
        <f t="shared" ca="1" si="372"/>
        <v/>
      </c>
      <c r="CL175" s="259">
        <f ca="1">IF(IFERROR(MATCH(CK175,DENOMINAZIONE_GIORNALE,0),0)&gt;0,MAX(CL$2:CL174)+1,0)</f>
        <v>0</v>
      </c>
      <c r="CM175" s="259" t="str">
        <f ca="1">IFERROR(INDEX($CK$3:$CL$220,MATCH(ROWS($CM$3:CM175),$CL$3:$CL$220,0),1),"")</f>
        <v/>
      </c>
      <c r="CN175" s="259" t="str">
        <f t="shared" ca="1" si="373"/>
        <v/>
      </c>
      <c r="CO175" s="259">
        <f ca="1">IF(IF(CN175&lt;&gt;0,MAX($CO$2:CO174)+1,0)=0,"",IF(CN175&lt;&gt;"",MAX($CO$2:CO174)+1,0))</f>
        <v>0</v>
      </c>
      <c r="CP175" s="259" t="str">
        <f ca="1">IFERROR(INDEX($CM$3:$CN$220,MATCH(ROWS(CP$3:CP175),$CO$3:$CO$220,0),1),"")</f>
        <v/>
      </c>
      <c r="CQ175" s="259" t="str">
        <f ca="1">IFERROR(INDEX($CM$3:$CN$220,MATCH(ROWS(CQ$3:CQ175),$CO$3:$CO$220,0),2),"")</f>
        <v/>
      </c>
      <c r="CS175" s="259">
        <f t="shared" ca="1" si="374"/>
        <v>0</v>
      </c>
      <c r="CT175" s="259">
        <f t="shared" ca="1" si="375"/>
        <v>0</v>
      </c>
      <c r="CU175" s="259">
        <f ca="1">IF(OR(CS175&gt;0,CT175&gt;0),MAX($CU$2:CU174)+1,0)</f>
        <v>0</v>
      </c>
      <c r="CV175" s="259" t="str">
        <f ca="1">IFERROR(INDEX(PIANO_DEI_CONTI,MATCH(ROWS($CV$3:CV175),$CU$3:$CU$200,0),2),"")</f>
        <v/>
      </c>
      <c r="CW175" s="259">
        <f ca="1">IFERROR(IF(CV175&lt;&gt;"",MAX($CW$2:CW174)+1,0),0)</f>
        <v>0</v>
      </c>
      <c r="CX175" s="259">
        <f t="shared" ca="1" si="482"/>
        <v>10</v>
      </c>
      <c r="CY175" s="259" t="str">
        <f t="shared" ca="1" si="495"/>
        <v>MASTRO</v>
      </c>
      <c r="CZ175" s="259" t="e">
        <f t="shared" ca="1" si="485"/>
        <v>#N/A</v>
      </c>
      <c r="DA175" s="259" t="str">
        <f t="shared" ca="1" si="496"/>
        <v/>
      </c>
      <c r="DB175" s="259" t="str">
        <f t="shared" ca="1" si="486"/>
        <v/>
      </c>
      <c r="DC175" s="259" t="str">
        <f t="shared" ca="1" si="487"/>
        <v/>
      </c>
      <c r="DD175" s="259" t="str">
        <f t="shared" ca="1" si="488"/>
        <v/>
      </c>
      <c r="DE175" s="259" t="str">
        <f t="shared" ca="1" si="489"/>
        <v/>
      </c>
      <c r="DF175" s="259">
        <f ca="1">IF(AND(CX175=$DE$2,$DF$2&lt;&gt;0),0,IF(AND(DB175&lt;&gt;"",OR(DB174&lt;&gt;"",DB176&lt;&gt;"")),MAX($DF$2:DF174)+1,0))</f>
        <v>0</v>
      </c>
      <c r="DG175" s="259" t="str">
        <f>IF(IF(LIBRO_GIORNALE!E83="","",IFERROR(INDEX(PIANO_DEI_CONTI,MATCH(BB175,DENOMINAZIONE,0),1),0))=0,"",IF(LIBRO_GIORNALE!E83="","",IFERROR(INDEX(PIANO_DEI_CONTI,MATCH(BB175,DENOMINAZIONE,0),1),0)))</f>
        <v/>
      </c>
      <c r="DH175" s="259">
        <f ca="1">IFERROR(IF($J$1=1,IF(INDEX(PIANO_DEI_CONTI,MATCH($K175,DENOMINAZIONE,0),5)=$DF$1,MAX($DH$2:DH174)+1,0),IF($J$1=2,IF(INDEX(PIANO_DEI_CONTI,MATCH($K175,DENOMINAZIONE,0),7)=$DF$1,MAX($DH$2:DH174)+1,0))),0)</f>
        <v>0</v>
      </c>
      <c r="DI175" s="259">
        <f ca="1">IFERROR(INDEX($K$3:$K$220,MATCH(ROWS($DI$3:DI175),$DH$3:$DH$220,0),1),0)</f>
        <v>0</v>
      </c>
      <c r="DJ175" s="259">
        <f t="shared" ca="1" si="381"/>
        <v>0</v>
      </c>
      <c r="DK175" s="259">
        <f ca="1">IF(DJ175=0,0,MAX(DK$2:DK174)+1)</f>
        <v>0</v>
      </c>
      <c r="DL175" s="259">
        <f ca="1">IFERROR(INDEX(PIANO_DEI_CONTI,MATCH(ROWS(DL$3:DL175),$DK$3:DK402,0),2),0)</f>
        <v>0</v>
      </c>
      <c r="DM175" s="259">
        <f t="shared" ca="1" si="382"/>
        <v>0</v>
      </c>
      <c r="DN175" s="259">
        <f t="shared" ca="1" si="383"/>
        <v>0</v>
      </c>
      <c r="DO175" s="259">
        <f t="shared" ca="1" si="422"/>
        <v>0</v>
      </c>
      <c r="DP175" s="259">
        <f t="shared" ca="1" si="423"/>
        <v>0</v>
      </c>
      <c r="DQ175" s="259">
        <f ca="1">IF(OR($DQ$1="TOTALI",$DQ$1="TOTALI ED ECCEDENZE"),IF(OR(DM175&gt;0,DN175&gt;0),MAX(DQ$2:DQ174)+1,0),IF($DQ$1="ECCEDENZE",IF(OR(DO175&gt;0,DP175&gt;0),MAX(DQ$2:DQ174)+1,0),""))</f>
        <v>0</v>
      </c>
      <c r="DR175" s="259" t="str">
        <f ca="1">IFERROR(INDEX($DL$3:$DQ$230,MATCH(ROWS(DR$3:DR175),$DQ$3:$DQ$230,0),1),"")</f>
        <v/>
      </c>
      <c r="DS175" s="259" t="str">
        <f t="shared" ca="1" si="424"/>
        <v/>
      </c>
      <c r="DT175" s="259" t="str">
        <f t="shared" ca="1" si="425"/>
        <v/>
      </c>
      <c r="DU175" s="259" t="str">
        <f t="shared" ca="1" si="426"/>
        <v/>
      </c>
      <c r="DV175" s="259" t="str">
        <f t="shared" ca="1" si="427"/>
        <v/>
      </c>
      <c r="DW175" s="259">
        <f t="shared" ca="1" si="428"/>
        <v>0</v>
      </c>
      <c r="DX175" s="259" t="str">
        <f t="shared" ca="1" si="429"/>
        <v/>
      </c>
      <c r="DY175" s="259" t="str">
        <f t="shared" ca="1" si="430"/>
        <v/>
      </c>
      <c r="DZ175" s="259" t="str">
        <f t="shared" ca="1" si="431"/>
        <v/>
      </c>
      <c r="EB175" s="259" t="s">
        <v>391</v>
      </c>
      <c r="ED175" s="259">
        <f t="shared" ca="1" si="384"/>
        <v>0</v>
      </c>
      <c r="EH175" s="259" t="str">
        <f t="shared" ca="1" si="432"/>
        <v/>
      </c>
      <c r="EI175" s="260" t="b">
        <f t="shared" ca="1" si="466"/>
        <v>0</v>
      </c>
      <c r="EJ175" s="260" t="b">
        <f t="shared" ca="1" si="467"/>
        <v>0</v>
      </c>
      <c r="EK175" s="260" t="b">
        <f t="shared" ca="1" si="468"/>
        <v>1</v>
      </c>
      <c r="EL175" s="259">
        <f t="shared" si="433"/>
        <v>173</v>
      </c>
      <c r="EM175" s="259">
        <f ca="1">IF(AND(BA175&gt;0,BA175&lt;=$EM$1),MAX($EM$2:EM174)+1,0)</f>
        <v>0</v>
      </c>
      <c r="EN175" s="259">
        <f t="shared" ca="1" si="434"/>
        <v>175</v>
      </c>
      <c r="EP175" s="259" t="str">
        <f t="shared" ca="1" si="385"/>
        <v/>
      </c>
      <c r="EQ175" s="259">
        <f t="shared" ca="1" si="386"/>
        <v>0</v>
      </c>
      <c r="ER175" s="259">
        <f ca="1">IF(ISNA(EQ175),MAX(ER$2:ER174)+1,0)</f>
        <v>0</v>
      </c>
      <c r="ES175" s="259" t="str">
        <f t="shared" ca="1" si="435"/>
        <v/>
      </c>
      <c r="ET175" s="259" t="str">
        <f ca="1">IFERROR(UPPER(INDEX($ER$3:$ES$500,MATCH(ROWS(ET$3:ET175),$ER$3:$ER$500,0),2)),"")</f>
        <v/>
      </c>
      <c r="EW175" s="259">
        <f t="shared" ca="1" si="497"/>
        <v>1</v>
      </c>
      <c r="EX175" s="259">
        <v>73</v>
      </c>
      <c r="EY175" s="259">
        <f t="shared" ca="1" si="498"/>
        <v>0</v>
      </c>
      <c r="EZ175" s="259">
        <f t="shared" ca="1" si="499"/>
        <v>0</v>
      </c>
      <c r="FA175" s="259">
        <f t="shared" ca="1" si="500"/>
        <v>0</v>
      </c>
      <c r="FB175" s="259">
        <f t="shared" ca="1" si="501"/>
        <v>0</v>
      </c>
      <c r="FC175" s="259">
        <f t="shared" ca="1" si="502"/>
        <v>0</v>
      </c>
      <c r="FD175" s="259">
        <f t="shared" ca="1" si="387"/>
        <v>0</v>
      </c>
      <c r="FE175" s="259" t="str">
        <f t="shared" ca="1" si="388"/>
        <v/>
      </c>
      <c r="FF175" s="259" t="str">
        <f t="shared" ca="1" si="503"/>
        <v/>
      </c>
      <c r="FM175" s="259">
        <f t="shared" ca="1" si="389"/>
        <v>0</v>
      </c>
      <c r="FN175" s="259">
        <f ca="1">IF(FM175&lt;0,MAX($FN$2:FN174)+1,0)</f>
        <v>0</v>
      </c>
      <c r="FO175" s="259" t="str">
        <f t="shared" ca="1" si="436"/>
        <v/>
      </c>
      <c r="FP175" s="259" t="str">
        <f ca="1">IFERROR(INDEX($FN$3:$FO$400,MATCH(ROWS($FP$3:FP175),$FN$3:$FN$400,0),2),"")</f>
        <v/>
      </c>
      <c r="FQ175" s="259" t="str">
        <f>IF(AE175="SE AVERE",MAX($FQ$2:FQ174)+1,"")</f>
        <v/>
      </c>
      <c r="FR175" s="259">
        <f>IF(AE175="SE DARE",MAX($FR$2:FR174)+1,"")</f>
        <v>74</v>
      </c>
      <c r="FS175" s="259" t="str">
        <f ca="1">IF(AND(AE175="SP DARE",AA175&lt;&gt;$FS$1,AA175&lt;&gt;$FT$1),MAX($FS$2:FS174)+1,IF(AND(GQ175="SP DARE",AA175&lt;&gt;$FS$1,AA175&lt;&gt;$FT$1),MAX($FS$2:FS174)+1,""))</f>
        <v/>
      </c>
      <c r="FT175" s="259" t="str">
        <f ca="1">IF(AND(AE175="SP AVERE",AA175&lt;&gt;$FU$1),MAX($FT$2:FT174)+1,IF(AND(GQ175="SP AVERE",AA175&lt;&gt;$FU$1),MAX($FT$2:FT174)+1,""))</f>
        <v/>
      </c>
      <c r="FU175" s="259">
        <f t="shared" ca="1" si="437"/>
        <v>74</v>
      </c>
      <c r="FV175" s="259" t="str">
        <f t="shared" si="438"/>
        <v>SCONTI PASSIVI BANCARI</v>
      </c>
      <c r="FW175" s="259" t="str">
        <f ca="1">IFERROR(INDEX($FU$3:$FV$500,MATCH(ROWS($FW$3:FW175),$FU$3:$FU$500,0),2),0)</f>
        <v>RISCONTI PASSIVI</v>
      </c>
      <c r="FX175" s="259">
        <f t="shared" ca="1" si="439"/>
        <v>173</v>
      </c>
      <c r="FY175" s="259">
        <f t="shared" ca="1" si="440"/>
        <v>0</v>
      </c>
      <c r="FZ175" s="259">
        <f ca="1">IF(FY175&gt;0,MAX($FZ$2:FZ174)+1,0)</f>
        <v>0</v>
      </c>
      <c r="GA175" s="259">
        <f ca="1">IFERROR(INDEX($FY$3:$FZ$500,MATCH(ROWS($GA$3:GA175),$FZ$3:$FZ$500,0),1),0)</f>
        <v>0</v>
      </c>
      <c r="GC175" s="259">
        <f t="shared" ca="1" si="441"/>
        <v>173</v>
      </c>
      <c r="GD175" s="259" t="str">
        <f t="shared" ca="1" si="442"/>
        <v>RISCONTI PASSIVI</v>
      </c>
      <c r="GG175" s="259">
        <f t="shared" ca="1" si="443"/>
        <v>0</v>
      </c>
      <c r="GH175" s="259">
        <f t="shared" ca="1" si="444"/>
        <v>0</v>
      </c>
      <c r="GI175" s="259">
        <f t="shared" ca="1" si="445"/>
        <v>0</v>
      </c>
      <c r="GJ175" s="259">
        <f t="shared" ca="1" si="446"/>
        <v>0</v>
      </c>
      <c r="GK175" s="259">
        <f t="shared" ca="1" si="447"/>
        <v>0</v>
      </c>
      <c r="GL175" s="259">
        <f t="shared" ca="1" si="447"/>
        <v>0</v>
      </c>
      <c r="GM175" s="259">
        <f ca="1">IF(OR(GK175&gt;0,GL175&gt;0),MAX($GM$2:GM174)+1,0)</f>
        <v>0</v>
      </c>
      <c r="GN175" s="259" t="str">
        <f ca="1">IFERROR(INDEX($GD$3:$GM$400,MATCH(ROWS($GN$3:GN175),$GM$3:$GM$400,0),1),"")</f>
        <v/>
      </c>
      <c r="GO175" s="259" t="str">
        <f ca="1">IFERROR(INDEX($GD$3:$GM$400,MATCH(ROWS($GO$3:GO175),$GM$3:$GM$400,0),8),"")</f>
        <v/>
      </c>
      <c r="GP175" s="259" t="str">
        <f ca="1">IFERROR(INDEX($GD$3:$GM$400,MATCH(ROWS($GP$3:GP175),$GM$3:$GM$400,0),9),"")</f>
        <v/>
      </c>
      <c r="GQ175" s="259">
        <f t="shared" ca="1" si="390"/>
        <v>0</v>
      </c>
      <c r="GR175" s="259">
        <f t="shared" ca="1" si="448"/>
        <v>0</v>
      </c>
      <c r="GS175" s="259" t="str">
        <f t="shared" ca="1" si="449"/>
        <v>chiusura del conto</v>
      </c>
      <c r="GT175" s="259" t="str">
        <f ca="1">IFERROR(INDEX($GD$3:$GS$400,MATCH(ROWS($GT$3:GT175),$GM$3:$GM$400,0),16),"")</f>
        <v/>
      </c>
      <c r="GU175" s="259">
        <f ca="1">IF(GQ175&lt;&gt;0,MAX($GU$2:$GU174)+1,0)</f>
        <v>0</v>
      </c>
      <c r="GV175" s="259">
        <f t="shared" ca="1" si="450"/>
        <v>0</v>
      </c>
      <c r="GW175" s="259" t="str">
        <f ca="1">IF(AND(IFERROR(INDEX($GU$3:$GV$400,MATCH(ROWS($GW$3:GW175),$GU$3:$GU$400,0),2),"")&lt;&gt;"",GW176&lt;&gt;""),CONCATENATE(IFERROR(INDEX($GU$3:$GV$400,MATCH(ROWS($GW$3:GW175),$GU$3:$GU$400,0),2),"")," - "),IFERROR(INDEX($GU$3:$GV$400,MATCH(ROWS($GW$3:GW175),$GU$3:$GU$400,0),2),""))</f>
        <v/>
      </c>
      <c r="GX175" s="259">
        <f ca="1">IF(OR(GN175="IVA NS/CREDITO",GN175="IVA NS/DEBITO",GN175="IVA C/ACCONTO",GN175="IMPOSTE C/ACCONTO"),MAX($GX$2:GX174)+1,0)</f>
        <v>0</v>
      </c>
      <c r="GY175" s="259" t="str">
        <f ca="1">IF(AND(IFERROR(INDEX($GN$3:$GX$200,MATCH(ROWS($GY$3:GY175),$GX$3:$GX$200,0),1),"")&lt;&gt;"",GY176&lt;&gt;""),CONCATENATE(IFERROR(INDEX($GN$3:$GX$200,MATCH(ROWS($GY$3:GY175),$GX$3:$GX$200,0),1),"")," - "),IFERROR(INDEX($GN$3:$GX$200,MATCH(ROWS($GY$3:GY175),$GX$3:$GX$200,0),1),""))</f>
        <v/>
      </c>
      <c r="GZ175" s="259" t="s">
        <v>591</v>
      </c>
      <c r="HA175" s="259" t="s">
        <v>181</v>
      </c>
      <c r="HB175" s="269" t="s">
        <v>256</v>
      </c>
      <c r="HC175" s="269" t="s">
        <v>276</v>
      </c>
      <c r="HD175" s="269" t="s">
        <v>7</v>
      </c>
      <c r="HE175" s="269" t="s">
        <v>214</v>
      </c>
      <c r="HV175" s="259" t="str">
        <f ca="1">CONCATENATE(IFERROR(INDEX($HS$3:$HT$102,MATCH(ROWS($HV$3:HV175),$HT$3:$HT$102,0),1),""),HR175)</f>
        <v/>
      </c>
      <c r="IC175" s="259">
        <f ca="1">IFERROR(INDEX(PIANO_DEI_CONTI,MATCH(ROWS(DL$3:DL175),$DK$3:DK402,0),2),0)</f>
        <v>0</v>
      </c>
      <c r="ID175" s="259">
        <f t="shared" ca="1" si="451"/>
        <v>0</v>
      </c>
      <c r="IE175" s="259">
        <f t="shared" ca="1" si="452"/>
        <v>0</v>
      </c>
      <c r="IF175" s="259">
        <f t="shared" ca="1" si="453"/>
        <v>0</v>
      </c>
      <c r="IG175" s="259">
        <f t="shared" ca="1" si="479"/>
        <v>0</v>
      </c>
      <c r="IH175" s="259">
        <f ca="1">IF(IG175&lt;&gt;0,MAX($IH$35:IH174)+1,0)</f>
        <v>0</v>
      </c>
      <c r="II175" s="259">
        <f>IF(AD175="costi pluriennali",MAX($II$2:II174)+1,0)</f>
        <v>0</v>
      </c>
      <c r="IJ175" s="259">
        <f>IF($AD175="rettifiche costi pluriennali",MAX($IJ$2:IJ174)+1,0)</f>
        <v>0</v>
      </c>
      <c r="IK175" s="259">
        <f t="shared" si="454"/>
        <v>0</v>
      </c>
      <c r="IL175" s="259" t="str">
        <f t="shared" si="455"/>
        <v/>
      </c>
      <c r="IM175" s="259">
        <f t="shared" ca="1" si="456"/>
        <v>0</v>
      </c>
      <c r="IN175" s="259">
        <f t="shared" ca="1" si="470"/>
        <v>0</v>
      </c>
      <c r="IO175" s="259">
        <f>SUMIFS($IM$3:$IM$200,$IK$3:$IK$200,ROWS($IO$3:IO175))-SUMIFS($IN$3:$IN$200,$IK$3:$IK$200,ROWS($IO$3:IO175))</f>
        <v>0</v>
      </c>
      <c r="IP175" s="259" t="str">
        <f>IF(IO175&lt;0,INDEX($IJ$3:$IL$200,MATCH(ROWS($IP$3:IP175),$IJ$3:$IJ$200,0),3),"")</f>
        <v/>
      </c>
      <c r="IQ175" s="259">
        <f>IF(IP175&lt;&gt;"",MAX($IQ$2:IQ174)+1,0)</f>
        <v>0</v>
      </c>
      <c r="IR175" s="259" t="str">
        <f ca="1">IFERROR(INDEX($IP$3:$IQ$200,MATCH(ROWS($IR$3:IR175),$IQ$3:$IQ$200,0),1),"")</f>
        <v/>
      </c>
      <c r="IS175" s="259" t="str">
        <f t="shared" ca="1" si="457"/>
        <v/>
      </c>
      <c r="IT175" s="259" t="str">
        <f t="shared" ca="1" si="458"/>
        <v/>
      </c>
      <c r="IU175" s="259" t="str">
        <f t="shared" ca="1" si="459"/>
        <v/>
      </c>
      <c r="IV175" s="259" t="str">
        <f t="shared" ca="1" si="460"/>
        <v/>
      </c>
      <c r="IW175" s="259" t="str">
        <f t="shared" ca="1" si="461"/>
        <v/>
      </c>
      <c r="IX175" s="259" t="str">
        <f t="shared" ca="1" si="462"/>
        <v/>
      </c>
      <c r="IY175" s="259" t="str">
        <f t="shared" ca="1" si="463"/>
        <v/>
      </c>
      <c r="IZ175" s="259" t="str">
        <f t="shared" ca="1" si="464"/>
        <v/>
      </c>
      <c r="JA175" s="259" t="str">
        <f t="shared" ca="1" si="465"/>
        <v/>
      </c>
      <c r="JB175" s="259">
        <f t="shared" ca="1" si="391"/>
        <v>0</v>
      </c>
      <c r="JC175" s="259">
        <f t="shared" ca="1" si="504"/>
        <v>0</v>
      </c>
      <c r="JD175" s="259">
        <f t="shared" ca="1" si="505"/>
        <v>0</v>
      </c>
      <c r="JM175" s="259">
        <f t="shared" ca="1" si="506"/>
        <v>0</v>
      </c>
    </row>
    <row r="176" spans="1:273">
      <c r="A176" s="259" t="str">
        <f t="shared" si="392"/>
        <v>35.06</v>
      </c>
      <c r="B176" s="259" t="str">
        <f t="shared" si="393"/>
        <v>AMMORTAMENTO ARREDAMENTO</v>
      </c>
      <c r="C176" s="259" t="str">
        <f t="shared" si="394"/>
        <v>E</v>
      </c>
      <c r="D176" s="259" t="str">
        <f t="shared" si="395"/>
        <v>D</v>
      </c>
      <c r="E176" s="259" t="str">
        <f t="shared" si="396"/>
        <v>COSTI D'ESERCIZIO</v>
      </c>
      <c r="F176" s="259" t="str">
        <f t="shared" si="397"/>
        <v>SE DARE</v>
      </c>
      <c r="G176" s="259">
        <f t="shared" ca="1" si="398"/>
        <v>0</v>
      </c>
      <c r="H176" s="259">
        <f t="shared" ca="1" si="399"/>
        <v>0</v>
      </c>
      <c r="I176" s="259">
        <f t="shared" ca="1" si="400"/>
        <v>1</v>
      </c>
      <c r="K176" s="259" t="str">
        <f ca="1">IFERROR(IF($I$1=1,INDEX($AA$3:$AS$220,MATCH(ROWS($K$3:K176),$AQ$3:$AQ$220,0),1),IF($I$1=2,INDEX($AA$3:$AS$220,MATCH(ROWS($K$3:K176),$AR$3:$AR$220,0),1),IF($I$1=3,INDEX($AA$3:$AS$220,MATCH(ROWS($K$3:K176),$AS$3:$AS$220,0),1),""))),"")</f>
        <v/>
      </c>
      <c r="L176" s="259">
        <f ca="1">IF(AND($L$1="VISUALIZZA TUTTI I CONTI",K176&lt;&gt;""),MAX(L175:L175)+1,IFERROR(IF($J$1=1,IF(INDEX(PIANO_DEI_CONTI,MATCH($K176,DENOMINAZIONE,0),5)=$L$1,MAX($L$2:L175)+1,0),IF($J$1=2,IF(INDEX(PIANO_DEI_CONTI,MATCH($K176,DENOMINAZIONE,0),7)=$L$1,MAX($L$2:L175)+1,0))),0))</f>
        <v>0</v>
      </c>
      <c r="M176" s="259" t="str">
        <f ca="1">IFERROR(INDEX($K$3:$K$220,MATCH(ROWS($M$3:M176),$L$3:$L$220,0),1),"")</f>
        <v/>
      </c>
      <c r="R176" s="259" t="str">
        <f t="shared" ca="1" si="366"/>
        <v/>
      </c>
      <c r="S176" s="259">
        <f ca="1">IF(IFERROR(MATCH(R176,DENOMINAZIONE_GIORNALE,0),0)&gt;0,MAX(S$2:S175)+1,0)</f>
        <v>0</v>
      </c>
      <c r="T176" s="259" t="str">
        <f ca="1">IFERROR(INDEX($R$3:$S$220,MATCH(ROWS($T$3:T176),$S$3:$S$220,0),1),"")</f>
        <v/>
      </c>
      <c r="U176" s="259">
        <f t="shared" ca="1" si="367"/>
        <v>0</v>
      </c>
      <c r="V176" s="259">
        <f ca="1">IF(IF(U176&lt;&gt;0,MAX($V$2:V175)+1,0)=0,0,IF(U176&lt;&gt;0,MAX($V$2:V175)+1,0))</f>
        <v>0</v>
      </c>
      <c r="W176" s="259" t="str">
        <f t="shared" si="401"/>
        <v>35.06</v>
      </c>
      <c r="X176" s="259" t="str">
        <f t="shared" si="402"/>
        <v>AMMORTAMENTO ARREDAMENTO</v>
      </c>
      <c r="Y176" s="259">
        <f>IF(W176="",0,MAX($Y$2:Y175)+1)</f>
        <v>150</v>
      </c>
      <c r="Z176" s="259" t="str">
        <f>IFERROR(INDEX($W$3:$Y$220,MATCH(ROWS($Z$2:Z175),$Y$3:$Y$220,0),1),"")</f>
        <v>41.04</v>
      </c>
      <c r="AA176" s="259" t="str">
        <f t="shared" si="403"/>
        <v>INTERESSI PASSIVI SU MUTUI</v>
      </c>
      <c r="AB176" s="259" t="str">
        <f t="shared" si="404"/>
        <v>E</v>
      </c>
      <c r="AC176" s="259" t="str">
        <f t="shared" si="405"/>
        <v>D</v>
      </c>
      <c r="AD176" s="259" t="str">
        <f t="shared" si="406"/>
        <v>COSTI D'ESERCIZIO</v>
      </c>
      <c r="AE176" s="259" t="str">
        <f t="shared" si="407"/>
        <v>SE DARE</v>
      </c>
      <c r="AF176" s="259" t="str">
        <f t="shared" si="408"/>
        <v>ONERI FINANZIARI</v>
      </c>
      <c r="AG176" s="259">
        <f t="shared" ca="1" si="409"/>
        <v>1</v>
      </c>
      <c r="AH176" s="259">
        <f t="shared" ca="1" si="410"/>
        <v>1</v>
      </c>
      <c r="AI176" s="259">
        <f t="shared" ca="1" si="411"/>
        <v>1</v>
      </c>
      <c r="AJ176" s="259" t="str">
        <f t="shared" si="412"/>
        <v>41</v>
      </c>
      <c r="AK176" s="259" t="str">
        <f t="shared" si="413"/>
        <v/>
      </c>
      <c r="AL176" s="259">
        <f>IF(AK176&lt;&gt;"",MAX($AL$2:AL175)+1,0)</f>
        <v>0</v>
      </c>
      <c r="AM176" s="259" t="str">
        <f>IFERROR(INDEX($AK$3:$AL$220,MATCH(ROWS($AM$3:AM176),$AL$3:$AL$220,0),1),"")</f>
        <v/>
      </c>
      <c r="AN176" s="259" t="str">
        <f t="shared" si="414"/>
        <v/>
      </c>
      <c r="AO176" s="259" t="str">
        <f t="shared" si="415"/>
        <v/>
      </c>
      <c r="AP176" s="259" t="str">
        <f t="shared" si="416"/>
        <v>ONERI FINANZIARI</v>
      </c>
      <c r="AQ176" s="259">
        <f ca="1">IF(OR(AG176=0,AG176=""),0,MAX(AQ$2:AQ175)+1)</f>
        <v>89</v>
      </c>
      <c r="AR176" s="259">
        <f ca="1">IF(OR(AH176=0,AH176=""),0,MAX(AR$2:AR175)+1)</f>
        <v>120</v>
      </c>
      <c r="AS176" s="259">
        <f ca="1">IF(OR(AI176=0,AI176=""),0,MAX(AS$2:AS175)+1)</f>
        <v>170</v>
      </c>
      <c r="AT176" s="259" t="str">
        <f ca="1">IFERROR(INDEX($AD$3:$AS$220,MATCH(ROWS(AT$3:AT176),AQ$3:AQ$220,0),1),"")</f>
        <v/>
      </c>
      <c r="AU176" s="259" t="str">
        <f ca="1">IFERROR(INDEX($AD$3:$AS$220,MATCH(ROWS(AU$3:AU176),AR$3:AR$220,0),1),"")</f>
        <v/>
      </c>
      <c r="AV176" s="259" t="str">
        <f ca="1">IFERROR(INDEX($AD$3:$AS$220,MATCH(ROWS(AV$3:AV176),AS$3:AS$220,0),1),"")</f>
        <v/>
      </c>
      <c r="AW176" s="259" t="str">
        <f ca="1">IFERROR(INDEX($AP$3:$AS$220,MATCH(ROWS(AW$3:AW176),AQ$3:AQ$220,0),1),"")</f>
        <v/>
      </c>
      <c r="AX176" s="259" t="str">
        <f ca="1">IFERROR(INDEX($AP$3:$AS$220,MATCH(ROWS(AX$3:AX176),AR$3:AR$220,0),1),"")</f>
        <v/>
      </c>
      <c r="AY176" s="259" t="str">
        <f ca="1">IFERROR(INDEX($AP$3:$AS$220,MATCH(ROWS(AY$3:AY176),AS$3:AS$220,0),1),"")</f>
        <v/>
      </c>
      <c r="AZ176" s="259" t="str">
        <f t="shared" si="490"/>
        <v>74 V.I.</v>
      </c>
      <c r="BA176" s="259">
        <f t="shared" ca="1" si="484"/>
        <v>0</v>
      </c>
      <c r="BB176" s="259">
        <f t="shared" ca="1" si="491"/>
        <v>0</v>
      </c>
      <c r="BC176" s="259">
        <f t="shared" ca="1" si="492"/>
        <v>0</v>
      </c>
      <c r="BD176" s="259">
        <f t="shared" ca="1" si="493"/>
        <v>0</v>
      </c>
      <c r="BE176" s="259">
        <f t="shared" ca="1" si="494"/>
        <v>0</v>
      </c>
      <c r="BG176" s="259" t="str">
        <f t="shared" ca="1" si="368"/>
        <v/>
      </c>
      <c r="BH176" s="259">
        <f ca="1">IF(IFERROR(MATCH(BG176,DENOMINAZIONE_GIORNALE,0),0)&gt;0,MAX(BH$2:BH175)+1,0)</f>
        <v>0</v>
      </c>
      <c r="BI176" s="259" t="str">
        <f ca="1">IFERROR(INDEX($BG$3:$BH$220,MATCH(ROWS($BI$3:BI176),$BH$3:$BH$220,0),1),"")</f>
        <v/>
      </c>
      <c r="BJ176" s="259" t="str">
        <f t="shared" ca="1" si="369"/>
        <v/>
      </c>
      <c r="BK176" s="259" t="str">
        <f ca="1">IF(IF(BJ176&lt;&gt;"",MAX($BK$2:BK175)+1,0)=0,"",IF(BJ176&lt;&gt;"",MAX($BK$2:BK175)+1,0))</f>
        <v/>
      </c>
      <c r="BL176" s="259" t="str">
        <f ca="1">IFERROR(INDEX($T$3:$U$220, MATCH(ROWS(BL$3:BL176),$V$3:$V$220,0),1),"")</f>
        <v/>
      </c>
      <c r="BM176" s="259" t="str">
        <f ca="1">IFERROR(INDEX($T$3:$U$220, MATCH(ROWS(BM$3:BM176),$V$3:$V$220,0),2),"")</f>
        <v/>
      </c>
      <c r="BN176" s="259" t="str">
        <f ca="1">IF(IFERROR(INDEX($BI$3:$BJ$220,MATCH(ROWS(BN$3:BN176),$BK$3:$BK$220,0),1),"")="PATRIMONIO NETTO","",IFERROR(INDEX($BI$3:$BJ$220,MATCH(ROWS(BN$3:BN176),$BK$3:$BK$220,0),1),""))</f>
        <v/>
      </c>
      <c r="BO176" s="259" t="str">
        <f ca="1">IFERROR(INDEX($BI$3:$BJ$220,MATCH(ROWS(BO$3:BO176),$BK$3:$BK$220,0),2),"")</f>
        <v/>
      </c>
      <c r="BP176" s="259">
        <f ca="1">IF(BN176&lt;&gt;"",MAX(BP$2:$BP175)+1,0)</f>
        <v>0</v>
      </c>
      <c r="BQ176" s="259" t="str">
        <f ca="1">IFERROR(INDEX($BN$3:$BO$200,MATCH(ROWS(BQ$3:BQ176),$BP$3:$BP$220,0),1),"")</f>
        <v/>
      </c>
      <c r="BR176" s="259" t="str">
        <f ca="1">IFERROR(INDEX($BN$3:$BO$220,MATCH(ROWS(BR$3:BR176),$BP$3:$BP$220,0),2),"")</f>
        <v/>
      </c>
      <c r="BS176" s="259" t="str">
        <f ca="1">IFERROR(IF(OR(INDEX($T$3:$U$220,MATCH(ROWS(BL$3:BL176),$V$3:$V$220,0),1)="PRELEVAMENTI EXTRAGESTIONE",INDEX($T$3:$U$220,MATCH(ROWS(BL$3:BL176),$V$3:$V$220,0),1)="TITOLARE C/RITENUTE SUBITE"),"",INDEX($T$3:$U$220,MATCH(ROWS(BL$3:BL176),$V$3:$V$220,0),1)),"")</f>
        <v/>
      </c>
      <c r="BT176" s="259">
        <f t="shared" ca="1" si="417"/>
        <v>0</v>
      </c>
      <c r="BU176" s="259">
        <f ca="1">IF(BS176&lt;&gt;"",MAX(BU$2:BU175)+1,0)</f>
        <v>0</v>
      </c>
      <c r="BV176" s="259" t="str">
        <f ca="1">IFERROR(INDEX($BS$3:$BT$223,MATCH(ROWS(BV$3:BV176),$BU$3:$BU$223,0),1),"")</f>
        <v/>
      </c>
      <c r="BW176" s="259">
        <f t="shared" ca="1" si="418"/>
        <v>0</v>
      </c>
      <c r="CB176" s="259" t="str">
        <f ca="1">IFERROR(IF(OR($BB$1&lt;&gt;$BD$1,$BC$1&lt;&gt;$BE$1,$DS$231&lt;&gt;$DT$231,$DU$231&lt;&gt;$DV$231,$EO$25&lt;&gt;0,$EO$26&lt;&gt;0),INDEX($BI$3:$BK$220,MATCH(ROWS($CB$3:CB176),$BK$3:$BK$220,0),1),CONCATENATE(BQ176,BX176)),"")</f>
        <v/>
      </c>
      <c r="CC176" s="259" t="str">
        <f t="shared" ca="1" si="419"/>
        <v/>
      </c>
      <c r="CD176" s="259" t="str">
        <f t="shared" ca="1" si="370"/>
        <v>INTERESSI PASSIVI SU MUTUI</v>
      </c>
      <c r="CE176" s="259">
        <f ca="1">IF(IFERROR(MATCH(CD176,DENOMINAZIONE_GIORNALE,0),0)&gt;0,MAX(CE$2:CE175)+1,0)</f>
        <v>0</v>
      </c>
      <c r="CF176" s="259" t="str">
        <f ca="1">IFERROR(INDEX($CD$3:$CE$220,MATCH(ROWS($CF$3:CF176),$CE$3:$CE$220,0),1),"")</f>
        <v/>
      </c>
      <c r="CG176" s="259">
        <f t="shared" ca="1" si="371"/>
        <v>0</v>
      </c>
      <c r="CH176" s="259" t="str">
        <f ca="1">IF(IF(CG176&lt;&gt;0,MAX($CH$2:CH175)+1,0)=0,"",IF(CG176&lt;&gt;"",MAX($CH$2:CH175)+1,0))</f>
        <v/>
      </c>
      <c r="CI176" s="259" t="str">
        <f ca="1">IFERROR(INDEX($CF$3:$CG$220,MATCH(ROWS($CI$3:CI176),$CH$3:$CH$220,0),1),"")</f>
        <v/>
      </c>
      <c r="CJ176" s="259" t="str">
        <f t="shared" ca="1" si="420"/>
        <v/>
      </c>
      <c r="CK176" s="259" t="str">
        <f t="shared" ca="1" si="372"/>
        <v/>
      </c>
      <c r="CL176" s="259">
        <f ca="1">IF(IFERROR(MATCH(CK176,DENOMINAZIONE_GIORNALE,0),0)&gt;0,MAX(CL$2:CL175)+1,0)</f>
        <v>0</v>
      </c>
      <c r="CM176" s="259" t="str">
        <f ca="1">IFERROR(INDEX($CK$3:$CL$220,MATCH(ROWS($CM$3:CM176),$CL$3:$CL$220,0),1),"")</f>
        <v/>
      </c>
      <c r="CN176" s="259" t="str">
        <f t="shared" ca="1" si="373"/>
        <v/>
      </c>
      <c r="CO176" s="259">
        <f ca="1">IF(IF(CN176&lt;&gt;0,MAX($CO$2:CO175)+1,0)=0,"",IF(CN176&lt;&gt;"",MAX($CO$2:CO175)+1,0))</f>
        <v>0</v>
      </c>
      <c r="CP176" s="259" t="str">
        <f ca="1">IFERROR(INDEX($CM$3:$CN$220,MATCH(ROWS(CP$3:CP176),$CO$3:$CO$220,0),1),"")</f>
        <v/>
      </c>
      <c r="CQ176" s="259" t="str">
        <f ca="1">IFERROR(INDEX($CM$3:$CN$220,MATCH(ROWS(CQ$3:CQ176),$CO$3:$CO$220,0),2),"")</f>
        <v/>
      </c>
      <c r="CS176" s="259">
        <f t="shared" ca="1" si="374"/>
        <v>0</v>
      </c>
      <c r="CT176" s="259">
        <f t="shared" ca="1" si="375"/>
        <v>0</v>
      </c>
      <c r="CU176" s="259">
        <f ca="1">IF(OR(CS176&gt;0,CT176&gt;0),MAX($CU$2:CU175)+1,0)</f>
        <v>0</v>
      </c>
      <c r="CV176" s="259" t="str">
        <f ca="1">IFERROR(INDEX(PIANO_DEI_CONTI,MATCH(ROWS($CV$3:CV176),$CU$3:$CU$200,0),2),"")</f>
        <v/>
      </c>
      <c r="CW176" s="259">
        <f ca="1">IFERROR(IF(CV176&lt;&gt;"",MAX($CW$2:CW175)+1,0),0)</f>
        <v>0</v>
      </c>
      <c r="CX176" s="259">
        <f t="shared" ca="1" si="482"/>
        <v>10</v>
      </c>
      <c r="CY176" s="259" t="str">
        <f t="shared" ca="1" si="495"/>
        <v>MASTRO</v>
      </c>
      <c r="CZ176" s="259" t="e">
        <f t="shared" ca="1" si="485"/>
        <v>#N/A</v>
      </c>
      <c r="DA176" s="259" t="str">
        <f t="shared" ca="1" si="496"/>
        <v/>
      </c>
      <c r="DB176" s="259" t="str">
        <f t="shared" ca="1" si="486"/>
        <v/>
      </c>
      <c r="DC176" s="259" t="str">
        <f t="shared" ca="1" si="487"/>
        <v/>
      </c>
      <c r="DD176" s="259" t="str">
        <f t="shared" ca="1" si="488"/>
        <v/>
      </c>
      <c r="DE176" s="259" t="str">
        <f t="shared" ca="1" si="489"/>
        <v/>
      </c>
      <c r="DF176" s="259">
        <f ca="1">IF(AND(CX176=$DE$2,$DF$2&lt;&gt;0),0,IF(AND(DB176&lt;&gt;"",OR(DB175&lt;&gt;"",DB177&lt;&gt;"")),MAX($DF$2:DF175)+1,0))</f>
        <v>0</v>
      </c>
      <c r="DG176" s="259" t="str">
        <f>IF(IF(LIBRO_GIORNALE!E84="","",IFERROR(INDEX(PIANO_DEI_CONTI,MATCH(BB176,DENOMINAZIONE,0),1),0))=0,"",IF(LIBRO_GIORNALE!E84="","",IFERROR(INDEX(PIANO_DEI_CONTI,MATCH(BB176,DENOMINAZIONE,0),1),0)))</f>
        <v/>
      </c>
      <c r="DH176" s="259">
        <f ca="1">IFERROR(IF($J$1=1,IF(INDEX(PIANO_DEI_CONTI,MATCH($K176,DENOMINAZIONE,0),5)=$DF$1,MAX($DH$2:DH175)+1,0),IF($J$1=2,IF(INDEX(PIANO_DEI_CONTI,MATCH($K176,DENOMINAZIONE,0),7)=$DF$1,MAX($DH$2:DH175)+1,0))),0)</f>
        <v>0</v>
      </c>
      <c r="DI176" s="259">
        <f ca="1">IFERROR(INDEX($K$3:$K$220,MATCH(ROWS($DI$3:DI176),$DH$3:$DH$220,0),1),0)</f>
        <v>0</v>
      </c>
      <c r="DJ176" s="259">
        <f t="shared" ca="1" si="381"/>
        <v>0</v>
      </c>
      <c r="DK176" s="259">
        <f ca="1">IF(DJ176=0,0,MAX(DK$2:DK175)+1)</f>
        <v>0</v>
      </c>
      <c r="DL176" s="259">
        <f ca="1">IFERROR(INDEX(PIANO_DEI_CONTI,MATCH(ROWS(DL$3:DL176),$DK$3:DK403,0),2),0)</f>
        <v>0</v>
      </c>
      <c r="DM176" s="259">
        <f t="shared" ca="1" si="382"/>
        <v>0</v>
      </c>
      <c r="DN176" s="259">
        <f t="shared" ca="1" si="383"/>
        <v>0</v>
      </c>
      <c r="DO176" s="259">
        <f t="shared" ca="1" si="422"/>
        <v>0</v>
      </c>
      <c r="DP176" s="259">
        <f t="shared" ca="1" si="423"/>
        <v>0</v>
      </c>
      <c r="DQ176" s="259">
        <f ca="1">IF(OR($DQ$1="TOTALI",$DQ$1="TOTALI ED ECCEDENZE"),IF(OR(DM176&gt;0,DN176&gt;0),MAX(DQ$2:DQ175)+1,0),IF($DQ$1="ECCEDENZE",IF(OR(DO176&gt;0,DP176&gt;0),MAX(DQ$2:DQ175)+1,0),""))</f>
        <v>0</v>
      </c>
      <c r="DR176" s="259" t="str">
        <f ca="1">IFERROR(INDEX($DL$3:$DQ$230,MATCH(ROWS(DR$3:DR176),$DQ$3:$DQ$230,0),1),"")</f>
        <v/>
      </c>
      <c r="DS176" s="259" t="str">
        <f t="shared" ca="1" si="424"/>
        <v/>
      </c>
      <c r="DT176" s="259" t="str">
        <f t="shared" ca="1" si="425"/>
        <v/>
      </c>
      <c r="DU176" s="259" t="str">
        <f t="shared" ca="1" si="426"/>
        <v/>
      </c>
      <c r="DV176" s="259" t="str">
        <f t="shared" ca="1" si="427"/>
        <v/>
      </c>
      <c r="DW176" s="259">
        <f t="shared" ca="1" si="428"/>
        <v>0</v>
      </c>
      <c r="DX176" s="259" t="str">
        <f t="shared" ca="1" si="429"/>
        <v/>
      </c>
      <c r="DY176" s="259" t="str">
        <f t="shared" ca="1" si="430"/>
        <v/>
      </c>
      <c r="DZ176" s="259" t="str">
        <f t="shared" ca="1" si="431"/>
        <v/>
      </c>
      <c r="EB176" s="259" t="s">
        <v>391</v>
      </c>
      <c r="ED176" s="259">
        <f t="shared" ca="1" si="384"/>
        <v>0</v>
      </c>
      <c r="EH176" s="259" t="str">
        <f t="shared" ca="1" si="432"/>
        <v/>
      </c>
      <c r="EI176" s="260" t="b">
        <f t="shared" ca="1" si="466"/>
        <v>0</v>
      </c>
      <c r="EJ176" s="260" t="b">
        <f t="shared" ca="1" si="467"/>
        <v>0</v>
      </c>
      <c r="EK176" s="260" t="b">
        <f t="shared" ca="1" si="468"/>
        <v>1</v>
      </c>
      <c r="EL176" s="259">
        <f t="shared" si="433"/>
        <v>174</v>
      </c>
      <c r="EM176" s="259">
        <f ca="1">IF(AND(BA176&gt;0,BA176&lt;=$EM$1),MAX($EM$2:EM175)+1,0)</f>
        <v>0</v>
      </c>
      <c r="EN176" s="259">
        <f t="shared" ca="1" si="434"/>
        <v>176</v>
      </c>
      <c r="EP176" s="259" t="str">
        <f t="shared" ca="1" si="385"/>
        <v/>
      </c>
      <c r="EQ176" s="259">
        <f t="shared" ca="1" si="386"/>
        <v>0</v>
      </c>
      <c r="ER176" s="259">
        <f ca="1">IF(ISNA(EQ176),MAX(ER$2:ER175)+1,0)</f>
        <v>0</v>
      </c>
      <c r="ES176" s="259" t="str">
        <f t="shared" ca="1" si="435"/>
        <v/>
      </c>
      <c r="ET176" s="259" t="str">
        <f ca="1">IFERROR(UPPER(INDEX($ER$3:$ES$500,MATCH(ROWS(ET$3:ET176),$ER$3:$ER$500,0),2)),"")</f>
        <v/>
      </c>
      <c r="EW176" s="259">
        <f t="shared" ca="1" si="497"/>
        <v>1</v>
      </c>
      <c r="EX176" s="259">
        <v>74</v>
      </c>
      <c r="EY176" s="259">
        <f t="shared" ca="1" si="498"/>
        <v>0</v>
      </c>
      <c r="EZ176" s="259">
        <f t="shared" ca="1" si="499"/>
        <v>0</v>
      </c>
      <c r="FA176" s="259">
        <f t="shared" ca="1" si="500"/>
        <v>0</v>
      </c>
      <c r="FB176" s="259">
        <f t="shared" ca="1" si="501"/>
        <v>0</v>
      </c>
      <c r="FC176" s="259">
        <f t="shared" ca="1" si="502"/>
        <v>0</v>
      </c>
      <c r="FD176" s="259">
        <f t="shared" ca="1" si="387"/>
        <v>0</v>
      </c>
      <c r="FE176" s="259" t="str">
        <f t="shared" ca="1" si="388"/>
        <v/>
      </c>
      <c r="FF176" s="259" t="str">
        <f t="shared" ca="1" si="503"/>
        <v/>
      </c>
      <c r="FM176" s="259">
        <f t="shared" ca="1" si="389"/>
        <v>0</v>
      </c>
      <c r="FN176" s="259">
        <f ca="1">IF(FM176&lt;0,MAX($FN$2:FN175)+1,0)</f>
        <v>0</v>
      </c>
      <c r="FO176" s="259" t="str">
        <f t="shared" ca="1" si="436"/>
        <v/>
      </c>
      <c r="FP176" s="259" t="str">
        <f ca="1">IFERROR(INDEX($FN$3:$FO$400,MATCH(ROWS($FP$3:FP176),$FN$3:$FN$400,0),2),"")</f>
        <v/>
      </c>
      <c r="FQ176" s="259" t="str">
        <f>IF(AE176="SE AVERE",MAX($FQ$2:FQ175)+1,"")</f>
        <v/>
      </c>
      <c r="FR176" s="259">
        <f>IF(AE176="SE DARE",MAX($FR$2:FR175)+1,"")</f>
        <v>75</v>
      </c>
      <c r="FS176" s="259" t="str">
        <f ca="1">IF(AND(AE176="SP DARE",AA176&lt;&gt;$FS$1,AA176&lt;&gt;$FT$1),MAX($FS$2:FS175)+1,IF(AND(GQ176="SP DARE",AA176&lt;&gt;$FS$1,AA176&lt;&gt;$FT$1),MAX($FS$2:FS175)+1,""))</f>
        <v/>
      </c>
      <c r="FT176" s="259" t="str">
        <f ca="1">IF(AND(AE176="SP AVERE",AA176&lt;&gt;$FU$1),MAX($FT$2:FT175)+1,IF(AND(GQ176="SP AVERE",AA176&lt;&gt;$FU$1),MAX($FT$2:FT175)+1,""))</f>
        <v/>
      </c>
      <c r="FU176" s="259">
        <f t="shared" ca="1" si="437"/>
        <v>75</v>
      </c>
      <c r="FV176" s="259" t="str">
        <f t="shared" si="438"/>
        <v>INTERESSI PASSIVI SU MUTUI</v>
      </c>
      <c r="FW176" s="259">
        <f ca="1">IFERROR(INDEX($FU$3:$FV$500,MATCH(ROWS($FW$3:FW176),$FU$3:$FU$500,0),2),0)</f>
        <v>0</v>
      </c>
      <c r="FX176" s="259">
        <f t="shared" ca="1" si="439"/>
        <v>0</v>
      </c>
      <c r="FY176" s="259">
        <f t="shared" ca="1" si="440"/>
        <v>174</v>
      </c>
      <c r="FZ176" s="259">
        <f ca="1">IF(FY176&gt;0,MAX($FZ$2:FZ175)+1,0)</f>
        <v>16</v>
      </c>
      <c r="GA176" s="259">
        <f ca="1">IFERROR(INDEX($FY$3:$FZ$500,MATCH(ROWS($GA$3:GA176),$FZ$3:$FZ$500,0),1),0)</f>
        <v>0</v>
      </c>
      <c r="GC176" s="259">
        <f t="shared" ca="1" si="441"/>
        <v>174</v>
      </c>
      <c r="GD176" s="259" t="str">
        <f t="shared" ca="1" si="442"/>
        <v>BILANCIO DI CHIUSURA</v>
      </c>
      <c r="GG176" s="259">
        <f t="shared" ca="1" si="443"/>
        <v>0</v>
      </c>
      <c r="GH176" s="259">
        <f t="shared" ca="1" si="444"/>
        <v>0</v>
      </c>
      <c r="GI176" s="259">
        <f t="shared" ca="1" si="445"/>
        <v>0</v>
      </c>
      <c r="GJ176" s="259">
        <f t="shared" ca="1" si="446"/>
        <v>0</v>
      </c>
      <c r="GK176" s="259">
        <f t="shared" ca="1" si="447"/>
        <v>0</v>
      </c>
      <c r="GL176" s="259">
        <f t="shared" ca="1" si="447"/>
        <v>0</v>
      </c>
      <c r="GM176" s="259">
        <f ca="1">IF(OR(GK176&gt;0,GL176&gt;0),MAX($GM$2:GM175)+1,0)</f>
        <v>0</v>
      </c>
      <c r="GN176" s="259" t="str">
        <f ca="1">IFERROR(INDEX($GD$3:$GM$400,MATCH(ROWS($GN$3:GN176),$GM$3:$GM$400,0),1),"")</f>
        <v/>
      </c>
      <c r="GO176" s="259" t="str">
        <f ca="1">IFERROR(INDEX($GD$3:$GM$400,MATCH(ROWS($GO$3:GO176),$GM$3:$GM$400,0),8),"")</f>
        <v/>
      </c>
      <c r="GP176" s="259" t="str">
        <f ca="1">IFERROR(INDEX($GD$3:$GM$400,MATCH(ROWS($GP$3:GP176),$GM$3:$GM$400,0),9),"")</f>
        <v/>
      </c>
      <c r="GQ176" s="259">
        <f t="shared" ca="1" si="390"/>
        <v>0</v>
      </c>
      <c r="GR176" s="259">
        <f t="shared" ca="1" si="448"/>
        <v>0</v>
      </c>
      <c r="GS176" s="259" t="str">
        <f t="shared" ca="1" si="449"/>
        <v>totale passività</v>
      </c>
      <c r="GT176" s="259" t="str">
        <f ca="1">IFERROR(INDEX($GD$3:$GS$400,MATCH(ROWS($GT$3:GT176),$GM$3:$GM$400,0),16),"")</f>
        <v/>
      </c>
      <c r="GU176" s="259">
        <f ca="1">IF(GQ176&lt;&gt;0,MAX($GU$2:$GU175)+1,0)</f>
        <v>0</v>
      </c>
      <c r="GV176" s="259">
        <f t="shared" ca="1" si="450"/>
        <v>0</v>
      </c>
      <c r="GW176" s="259" t="str">
        <f ca="1">IF(AND(IFERROR(INDEX($GU$3:$GV$400,MATCH(ROWS($GW$3:GW176),$GU$3:$GU$400,0),2),"")&lt;&gt;"",GW177&lt;&gt;""),CONCATENATE(IFERROR(INDEX($GU$3:$GV$400,MATCH(ROWS($GW$3:GW176),$GU$3:$GU$400,0),2),"")," - "),IFERROR(INDEX($GU$3:$GV$400,MATCH(ROWS($GW$3:GW176),$GU$3:$GU$400,0),2),""))</f>
        <v/>
      </c>
      <c r="GX176" s="259">
        <f ca="1">IF(OR(GN176="IVA NS/CREDITO",GN176="IVA NS/DEBITO",GN176="IVA C/ACCONTO",GN176="IMPOSTE C/ACCONTO"),MAX($GX$2:GX175)+1,0)</f>
        <v>0</v>
      </c>
      <c r="GY176" s="259" t="str">
        <f ca="1">IF(AND(IFERROR(INDEX($GN$3:$GX$200,MATCH(ROWS($GY$3:GY176),$GX$3:$GX$200,0),1),"")&lt;&gt;"",GY177&lt;&gt;""),CONCATENATE(IFERROR(INDEX($GN$3:$GX$200,MATCH(ROWS($GY$3:GY176),$GX$3:$GX$200,0),1),"")," - "),IFERROR(INDEX($GN$3:$GX$200,MATCH(ROWS($GY$3:GY176),$GX$3:$GX$200,0),1),""))</f>
        <v/>
      </c>
      <c r="GZ176" s="259" t="s">
        <v>592</v>
      </c>
      <c r="HA176" s="259" t="s">
        <v>182</v>
      </c>
      <c r="HB176" s="269" t="s">
        <v>256</v>
      </c>
      <c r="HC176" s="269" t="s">
        <v>276</v>
      </c>
      <c r="HD176" s="269" t="s">
        <v>7</v>
      </c>
      <c r="HE176" s="269" t="s">
        <v>214</v>
      </c>
      <c r="HV176" s="259" t="str">
        <f ca="1">CONCATENATE(IFERROR(INDEX($HS$3:$HT$102,MATCH(ROWS($HV$3:HV176),$HT$3:$HT$102,0),1),""),HR176)</f>
        <v/>
      </c>
      <c r="IC176" s="259">
        <f ca="1">IFERROR(INDEX(PIANO_DEI_CONTI,MATCH(ROWS(DL$3:DL176),$DK$3:DK403,0),2),0)</f>
        <v>0</v>
      </c>
      <c r="ID176" s="259">
        <f t="shared" ca="1" si="451"/>
        <v>0</v>
      </c>
      <c r="IE176" s="259">
        <f t="shared" ca="1" si="452"/>
        <v>0</v>
      </c>
      <c r="IF176" s="259">
        <f t="shared" ca="1" si="453"/>
        <v>0</v>
      </c>
      <c r="IG176" s="259">
        <f t="shared" ca="1" si="479"/>
        <v>0</v>
      </c>
      <c r="IH176" s="259">
        <f ca="1">IF(IG176&lt;&gt;0,MAX($IH$35:IH175)+1,0)</f>
        <v>0</v>
      </c>
      <c r="II176" s="259">
        <f>IF(AD176="costi pluriennali",MAX($II$2:II175)+1,0)</f>
        <v>0</v>
      </c>
      <c r="IJ176" s="259">
        <f>IF($AD176="rettifiche costi pluriennali",MAX($IJ$2:IJ175)+1,0)</f>
        <v>0</v>
      </c>
      <c r="IK176" s="259">
        <f t="shared" si="454"/>
        <v>0</v>
      </c>
      <c r="IL176" s="259" t="str">
        <f t="shared" si="455"/>
        <v/>
      </c>
      <c r="IM176" s="259">
        <f t="shared" ca="1" si="456"/>
        <v>0</v>
      </c>
      <c r="IN176" s="259">
        <f t="shared" ca="1" si="470"/>
        <v>0</v>
      </c>
      <c r="IO176" s="259">
        <f>SUMIFS($IM$3:$IM$200,$IK$3:$IK$200,ROWS($IO$3:IO176))-SUMIFS($IN$3:$IN$200,$IK$3:$IK$200,ROWS($IO$3:IO176))</f>
        <v>0</v>
      </c>
      <c r="IP176" s="259" t="str">
        <f>IF(IO176&lt;0,INDEX($IJ$3:$IL$200,MATCH(ROWS($IP$3:IP176),$IJ$3:$IJ$200,0),3),"")</f>
        <v/>
      </c>
      <c r="IQ176" s="259">
        <f>IF(IP176&lt;&gt;"",MAX($IQ$2:IQ175)+1,0)</f>
        <v>0</v>
      </c>
      <c r="IR176" s="259" t="str">
        <f ca="1">IFERROR(INDEX($IP$3:$IQ$200,MATCH(ROWS($IR$3:IR176),$IQ$3:$IQ$200,0),1),"")</f>
        <v/>
      </c>
      <c r="IS176" s="259" t="str">
        <f t="shared" ca="1" si="457"/>
        <v/>
      </c>
      <c r="IT176" s="259" t="str">
        <f t="shared" ca="1" si="458"/>
        <v/>
      </c>
      <c r="IU176" s="259" t="str">
        <f t="shared" ca="1" si="459"/>
        <v/>
      </c>
      <c r="IV176" s="259" t="str">
        <f t="shared" ca="1" si="460"/>
        <v/>
      </c>
      <c r="IW176" s="259" t="str">
        <f t="shared" ca="1" si="461"/>
        <v/>
      </c>
      <c r="IX176" s="259" t="str">
        <f t="shared" ca="1" si="462"/>
        <v/>
      </c>
      <c r="IY176" s="259" t="str">
        <f t="shared" ca="1" si="463"/>
        <v/>
      </c>
      <c r="IZ176" s="259" t="str">
        <f t="shared" ca="1" si="464"/>
        <v/>
      </c>
      <c r="JA176" s="259" t="str">
        <f t="shared" ca="1" si="465"/>
        <v/>
      </c>
      <c r="JB176" s="259">
        <f t="shared" ca="1" si="391"/>
        <v>0</v>
      </c>
      <c r="JC176" s="259">
        <f t="shared" ca="1" si="504"/>
        <v>0</v>
      </c>
      <c r="JD176" s="259">
        <f t="shared" ca="1" si="505"/>
        <v>0</v>
      </c>
      <c r="JM176" s="259">
        <f t="shared" ca="1" si="506"/>
        <v>0</v>
      </c>
    </row>
    <row r="177" spans="1:273">
      <c r="A177" s="259" t="str">
        <f t="shared" si="392"/>
        <v>35.07</v>
      </c>
      <c r="B177" s="259" t="str">
        <f t="shared" si="393"/>
        <v>AMMORTAMENTO AUTOMEZZI</v>
      </c>
      <c r="C177" s="259" t="str">
        <f t="shared" si="394"/>
        <v>E</v>
      </c>
      <c r="D177" s="259" t="str">
        <f t="shared" si="395"/>
        <v>D</v>
      </c>
      <c r="E177" s="259" t="str">
        <f t="shared" si="396"/>
        <v>COSTI D'ESERCIZIO</v>
      </c>
      <c r="F177" s="259" t="str">
        <f t="shared" si="397"/>
        <v>SE DARE</v>
      </c>
      <c r="G177" s="259">
        <f t="shared" ca="1" si="398"/>
        <v>0</v>
      </c>
      <c r="H177" s="259">
        <f t="shared" ca="1" si="399"/>
        <v>0</v>
      </c>
      <c r="I177" s="259">
        <f t="shared" ca="1" si="400"/>
        <v>1</v>
      </c>
      <c r="K177" s="259" t="str">
        <f ca="1">IFERROR(IF($I$1=1,INDEX($AA$3:$AS$220,MATCH(ROWS($K$3:K177),$AQ$3:$AQ$220,0),1),IF($I$1=2,INDEX($AA$3:$AS$220,MATCH(ROWS($K$3:K177),$AR$3:$AR$220,0),1),IF($I$1=3,INDEX($AA$3:$AS$220,MATCH(ROWS($K$3:K177),$AS$3:$AS$220,0),1),""))),"")</f>
        <v/>
      </c>
      <c r="L177" s="259">
        <f ca="1">IF(AND($L$1="VISUALIZZA TUTTI I CONTI",K177&lt;&gt;""),MAX(L176:L176)+1,IFERROR(IF($J$1=1,IF(INDEX(PIANO_DEI_CONTI,MATCH($K177,DENOMINAZIONE,0),5)=$L$1,MAX($L$2:L176)+1,0),IF($J$1=2,IF(INDEX(PIANO_DEI_CONTI,MATCH($K177,DENOMINAZIONE,0),7)=$L$1,MAX($L$2:L176)+1,0))),0))</f>
        <v>0</v>
      </c>
      <c r="M177" s="259" t="str">
        <f ca="1">IFERROR(INDEX($K$3:$K$220,MATCH(ROWS($M$3:M177),$L$3:$L$220,0),1),"")</f>
        <v/>
      </c>
      <c r="R177" s="259" t="str">
        <f t="shared" ca="1" si="366"/>
        <v/>
      </c>
      <c r="S177" s="259">
        <f ca="1">IF(IFERROR(MATCH(R177,DENOMINAZIONE_GIORNALE,0),0)&gt;0,MAX(S$2:S176)+1,0)</f>
        <v>0</v>
      </c>
      <c r="T177" s="259" t="str">
        <f ca="1">IFERROR(INDEX($R$3:$S$220,MATCH(ROWS($T$3:T177),$S$3:$S$220,0),1),"")</f>
        <v/>
      </c>
      <c r="U177" s="259">
        <f t="shared" ca="1" si="367"/>
        <v>0</v>
      </c>
      <c r="V177" s="259">
        <f ca="1">IF(IF(U177&lt;&gt;0,MAX($V$2:V176)+1,0)=0,0,IF(U177&lt;&gt;0,MAX($V$2:V176)+1,0))</f>
        <v>0</v>
      </c>
      <c r="W177" s="259" t="str">
        <f t="shared" si="401"/>
        <v>35.07</v>
      </c>
      <c r="X177" s="259" t="str">
        <f t="shared" si="402"/>
        <v>AMMORTAMENTO AUTOMEZZI</v>
      </c>
      <c r="Y177" s="259">
        <f>IF(W177="",0,MAX($Y$2:Y176)+1)</f>
        <v>151</v>
      </c>
      <c r="Z177" s="259" t="str">
        <f>IFERROR(INDEX($W$3:$Y$220,MATCH(ROWS($Z$2:Z176),$Y$3:$Y$220,0),1),"")</f>
        <v>41.20</v>
      </c>
      <c r="AA177" s="259" t="str">
        <f t="shared" si="403"/>
        <v>ONERI FINANZIARI DIVERSI</v>
      </c>
      <c r="AB177" s="259" t="str">
        <f t="shared" si="404"/>
        <v>E</v>
      </c>
      <c r="AC177" s="259" t="str">
        <f t="shared" si="405"/>
        <v>D</v>
      </c>
      <c r="AD177" s="259" t="str">
        <f t="shared" si="406"/>
        <v>COSTI D'ESERCIZIO</v>
      </c>
      <c r="AE177" s="259" t="str">
        <f t="shared" si="407"/>
        <v>SE DARE</v>
      </c>
      <c r="AF177" s="259" t="str">
        <f t="shared" si="408"/>
        <v>ONERI FINANZIARI</v>
      </c>
      <c r="AG177" s="259">
        <f t="shared" ca="1" si="409"/>
        <v>1</v>
      </c>
      <c r="AH177" s="259">
        <f t="shared" ca="1" si="410"/>
        <v>1</v>
      </c>
      <c r="AI177" s="259">
        <f t="shared" ca="1" si="411"/>
        <v>1</v>
      </c>
      <c r="AJ177" s="259" t="str">
        <f t="shared" si="412"/>
        <v>41</v>
      </c>
      <c r="AK177" s="259" t="str">
        <f t="shared" si="413"/>
        <v/>
      </c>
      <c r="AL177" s="259">
        <f>IF(AK177&lt;&gt;"",MAX($AL$2:AL176)+1,0)</f>
        <v>0</v>
      </c>
      <c r="AM177" s="259" t="str">
        <f>IFERROR(INDEX($AK$3:$AL$220,MATCH(ROWS($AM$3:AM177),$AL$3:$AL$220,0),1),"")</f>
        <v/>
      </c>
      <c r="AN177" s="259" t="str">
        <f t="shared" si="414"/>
        <v/>
      </c>
      <c r="AO177" s="259" t="str">
        <f t="shared" si="415"/>
        <v/>
      </c>
      <c r="AP177" s="259" t="str">
        <f t="shared" si="416"/>
        <v>ONERI FINANZIARI</v>
      </c>
      <c r="AQ177" s="259">
        <f ca="1">IF(OR(AG177=0,AG177=""),0,MAX(AQ$2:AQ176)+1)</f>
        <v>90</v>
      </c>
      <c r="AR177" s="259">
        <f ca="1">IF(OR(AH177=0,AH177=""),0,MAX(AR$2:AR176)+1)</f>
        <v>121</v>
      </c>
      <c r="AS177" s="259">
        <f ca="1">IF(OR(AI177=0,AI177=""),0,MAX(AS$2:AS176)+1)</f>
        <v>171</v>
      </c>
      <c r="AT177" s="259" t="str">
        <f ca="1">IFERROR(INDEX($AD$3:$AS$220,MATCH(ROWS(AT$3:AT177),AQ$3:AQ$220,0),1),"")</f>
        <v/>
      </c>
      <c r="AU177" s="259" t="str">
        <f ca="1">IFERROR(INDEX($AD$3:$AS$220,MATCH(ROWS(AU$3:AU177),AR$3:AR$220,0),1),"")</f>
        <v/>
      </c>
      <c r="AV177" s="259" t="str">
        <f ca="1">IFERROR(INDEX($AD$3:$AS$220,MATCH(ROWS(AV$3:AV177),AS$3:AS$220,0),1),"")</f>
        <v/>
      </c>
      <c r="AW177" s="259" t="str">
        <f ca="1">IFERROR(INDEX($AP$3:$AS$220,MATCH(ROWS(AW$3:AW177),AQ$3:AQ$220,0),1),"")</f>
        <v/>
      </c>
      <c r="AX177" s="259" t="str">
        <f ca="1">IFERROR(INDEX($AP$3:$AS$220,MATCH(ROWS(AX$3:AX177),AR$3:AR$220,0),1),"")</f>
        <v/>
      </c>
      <c r="AY177" s="259" t="str">
        <f ca="1">IFERROR(INDEX($AP$3:$AS$220,MATCH(ROWS(AY$3:AY177),AS$3:AS$220,0),1),"")</f>
        <v/>
      </c>
      <c r="AZ177" s="259" t="str">
        <f t="shared" si="490"/>
        <v>75 V.I.</v>
      </c>
      <c r="BA177" s="259">
        <f t="shared" ca="1" si="484"/>
        <v>0</v>
      </c>
      <c r="BB177" s="259">
        <f t="shared" ca="1" si="491"/>
        <v>0</v>
      </c>
      <c r="BC177" s="259">
        <f t="shared" ca="1" si="492"/>
        <v>0</v>
      </c>
      <c r="BD177" s="259">
        <f t="shared" ca="1" si="493"/>
        <v>0</v>
      </c>
      <c r="BE177" s="259">
        <f t="shared" ca="1" si="494"/>
        <v>0</v>
      </c>
      <c r="BG177" s="259" t="str">
        <f t="shared" ca="1" si="368"/>
        <v/>
      </c>
      <c r="BH177" s="259">
        <f ca="1">IF(IFERROR(MATCH(BG177,DENOMINAZIONE_GIORNALE,0),0)&gt;0,MAX(BH$2:BH176)+1,0)</f>
        <v>0</v>
      </c>
      <c r="BI177" s="259" t="str">
        <f ca="1">IFERROR(INDEX($BG$3:$BH$220,MATCH(ROWS($BI$3:BI177),$BH$3:$BH$220,0),1),"")</f>
        <v/>
      </c>
      <c r="BJ177" s="259" t="str">
        <f t="shared" ca="1" si="369"/>
        <v/>
      </c>
      <c r="BK177" s="259" t="str">
        <f ca="1">IF(IF(BJ177&lt;&gt;"",MAX($BK$2:BK176)+1,0)=0,"",IF(BJ177&lt;&gt;"",MAX($BK$2:BK176)+1,0))</f>
        <v/>
      </c>
      <c r="BL177" s="259" t="str">
        <f ca="1">IFERROR(INDEX($T$3:$U$220, MATCH(ROWS(BL$3:BL177),$V$3:$V$220,0),1),"")</f>
        <v/>
      </c>
      <c r="BM177" s="259" t="str">
        <f ca="1">IFERROR(INDEX($T$3:$U$220, MATCH(ROWS(BM$3:BM177),$V$3:$V$220,0),2),"")</f>
        <v/>
      </c>
      <c r="BN177" s="259" t="str">
        <f ca="1">IF(IFERROR(INDEX($BI$3:$BJ$220,MATCH(ROWS(BN$3:BN177),$BK$3:$BK$220,0),1),"")="PATRIMONIO NETTO","",IFERROR(INDEX($BI$3:$BJ$220,MATCH(ROWS(BN$3:BN177),$BK$3:$BK$220,0),1),""))</f>
        <v/>
      </c>
      <c r="BO177" s="259" t="str">
        <f ca="1">IFERROR(INDEX($BI$3:$BJ$220,MATCH(ROWS(BO$3:BO177),$BK$3:$BK$220,0),2),"")</f>
        <v/>
      </c>
      <c r="BP177" s="259">
        <f ca="1">IF(BN177&lt;&gt;"",MAX(BP$2:$BP176)+1,0)</f>
        <v>0</v>
      </c>
      <c r="BQ177" s="259" t="str">
        <f ca="1">IFERROR(INDEX($BN$3:$BO$200,MATCH(ROWS(BQ$3:BQ177),$BP$3:$BP$220,0),1),"")</f>
        <v/>
      </c>
      <c r="BR177" s="259" t="str">
        <f ca="1">IFERROR(INDEX($BN$3:$BO$220,MATCH(ROWS(BR$3:BR177),$BP$3:$BP$220,0),2),"")</f>
        <v/>
      </c>
      <c r="BS177" s="259" t="str">
        <f ca="1">IFERROR(IF(OR(INDEX($T$3:$U$220,MATCH(ROWS(BL$3:BL177),$V$3:$V$220,0),1)="PRELEVAMENTI EXTRAGESTIONE",INDEX($T$3:$U$220,MATCH(ROWS(BL$3:BL177),$V$3:$V$220,0),1)="TITOLARE C/RITENUTE SUBITE"),"",INDEX($T$3:$U$220,MATCH(ROWS(BL$3:BL177),$V$3:$V$220,0),1)),"")</f>
        <v/>
      </c>
      <c r="BT177" s="259">
        <f t="shared" ca="1" si="417"/>
        <v>0</v>
      </c>
      <c r="BU177" s="259">
        <f ca="1">IF(BS177&lt;&gt;"",MAX(BU$2:BU176)+1,0)</f>
        <v>0</v>
      </c>
      <c r="BV177" s="259" t="str">
        <f ca="1">IFERROR(INDEX($BS$3:$BT$223,MATCH(ROWS(BV$3:BV177),$BU$3:$BU$223,0),1),"")</f>
        <v/>
      </c>
      <c r="BW177" s="259">
        <f t="shared" ca="1" si="418"/>
        <v>0</v>
      </c>
      <c r="CB177" s="259" t="str">
        <f ca="1">IFERROR(IF(OR($BB$1&lt;&gt;$BD$1,$BC$1&lt;&gt;$BE$1,$DS$231&lt;&gt;$DT$231,$DU$231&lt;&gt;$DV$231,$EO$25&lt;&gt;0,$EO$26&lt;&gt;0),INDEX($BI$3:$BK$220,MATCH(ROWS($CB$3:CB177),$BK$3:$BK$220,0),1),CONCATENATE(BQ177,BX177)),"")</f>
        <v/>
      </c>
      <c r="CC177" s="259" t="str">
        <f t="shared" ca="1" si="419"/>
        <v/>
      </c>
      <c r="CD177" s="259" t="str">
        <f t="shared" ca="1" si="370"/>
        <v>ONERI FINANZIARI DIVERSI</v>
      </c>
      <c r="CE177" s="259">
        <f ca="1">IF(IFERROR(MATCH(CD177,DENOMINAZIONE_GIORNALE,0),0)&gt;0,MAX(CE$2:CE176)+1,0)</f>
        <v>0</v>
      </c>
      <c r="CF177" s="259" t="str">
        <f ca="1">IFERROR(INDEX($CD$3:$CE$220,MATCH(ROWS($CF$3:CF177),$CE$3:$CE$220,0),1),"")</f>
        <v/>
      </c>
      <c r="CG177" s="259">
        <f t="shared" ca="1" si="371"/>
        <v>0</v>
      </c>
      <c r="CH177" s="259" t="str">
        <f ca="1">IF(IF(CG177&lt;&gt;0,MAX($CH$2:CH176)+1,0)=0,"",IF(CG177&lt;&gt;"",MAX($CH$2:CH176)+1,0))</f>
        <v/>
      </c>
      <c r="CI177" s="259" t="str">
        <f ca="1">IFERROR(INDEX($CF$3:$CG$220,MATCH(ROWS($CI$3:CI177),$CH$3:$CH$220,0),1),"")</f>
        <v/>
      </c>
      <c r="CJ177" s="259" t="str">
        <f t="shared" ca="1" si="420"/>
        <v/>
      </c>
      <c r="CK177" s="259" t="str">
        <f t="shared" ca="1" si="372"/>
        <v/>
      </c>
      <c r="CL177" s="259">
        <f ca="1">IF(IFERROR(MATCH(CK177,DENOMINAZIONE_GIORNALE,0),0)&gt;0,MAX(CL$2:CL176)+1,0)</f>
        <v>0</v>
      </c>
      <c r="CM177" s="259" t="str">
        <f ca="1">IFERROR(INDEX($CK$3:$CL$220,MATCH(ROWS($CM$3:CM177),$CL$3:$CL$220,0),1),"")</f>
        <v/>
      </c>
      <c r="CN177" s="259" t="str">
        <f t="shared" ca="1" si="373"/>
        <v/>
      </c>
      <c r="CO177" s="259">
        <f ca="1">IF(IF(CN177&lt;&gt;0,MAX($CO$2:CO176)+1,0)=0,"",IF(CN177&lt;&gt;"",MAX($CO$2:CO176)+1,0))</f>
        <v>0</v>
      </c>
      <c r="CP177" s="259" t="str">
        <f ca="1">IFERROR(INDEX($CM$3:$CN$220,MATCH(ROWS(CP$3:CP177),$CO$3:$CO$220,0),1),"")</f>
        <v/>
      </c>
      <c r="CQ177" s="259" t="str">
        <f ca="1">IFERROR(INDEX($CM$3:$CN$220,MATCH(ROWS(CQ$3:CQ177),$CO$3:$CO$220,0),2),"")</f>
        <v/>
      </c>
      <c r="CS177" s="259">
        <f t="shared" ca="1" si="374"/>
        <v>0</v>
      </c>
      <c r="CT177" s="259">
        <f t="shared" ca="1" si="375"/>
        <v>0</v>
      </c>
      <c r="CU177" s="259">
        <f ca="1">IF(OR(CS177&gt;0,CT177&gt;0),MAX($CU$2:CU176)+1,0)</f>
        <v>0</v>
      </c>
      <c r="CV177" s="259" t="str">
        <f ca="1">IFERROR(INDEX(PIANO_DEI_CONTI,MATCH(ROWS($CV$3:CV177),$CU$3:$CU$200,0),2),"")</f>
        <v/>
      </c>
      <c r="CW177" s="259">
        <f ca="1">IFERROR(IF(CV177&lt;&gt;"",MAX($CW$2:CW176)+1,0),0)</f>
        <v>0</v>
      </c>
      <c r="CX177" s="259">
        <f t="shared" ca="1" si="482"/>
        <v>10</v>
      </c>
      <c r="CY177" s="259" t="str">
        <f t="shared" ca="1" si="495"/>
        <v>MASTRO</v>
      </c>
      <c r="CZ177" s="259" t="e">
        <f t="shared" ca="1" si="485"/>
        <v>#N/A</v>
      </c>
      <c r="DA177" s="259" t="str">
        <f t="shared" ca="1" si="496"/>
        <v/>
      </c>
      <c r="DB177" s="259" t="str">
        <f t="shared" ca="1" si="486"/>
        <v/>
      </c>
      <c r="DC177" s="259" t="str">
        <f t="shared" ca="1" si="487"/>
        <v/>
      </c>
      <c r="DD177" s="259" t="str">
        <f t="shared" ca="1" si="488"/>
        <v/>
      </c>
      <c r="DE177" s="259" t="str">
        <f t="shared" ca="1" si="489"/>
        <v/>
      </c>
      <c r="DF177" s="259">
        <f ca="1">IF(AND(CX177=$DE$2,$DF$2&lt;&gt;0),0,IF(AND(DB177&lt;&gt;"",OR(DB176&lt;&gt;"",DB178&lt;&gt;"")),MAX($DF$2:DF176)+1,0))</f>
        <v>0</v>
      </c>
      <c r="DG177" s="259" t="str">
        <f>IF(IF(LIBRO_GIORNALE!E85="","",IFERROR(INDEX(PIANO_DEI_CONTI,MATCH(BB177,DENOMINAZIONE,0),1),0))=0,"",IF(LIBRO_GIORNALE!E85="","",IFERROR(INDEX(PIANO_DEI_CONTI,MATCH(BB177,DENOMINAZIONE,0),1),0)))</f>
        <v/>
      </c>
      <c r="DH177" s="259">
        <f ca="1">IFERROR(IF($J$1=1,IF(INDEX(PIANO_DEI_CONTI,MATCH($K177,DENOMINAZIONE,0),5)=$DF$1,MAX($DH$2:DH176)+1,0),IF($J$1=2,IF(INDEX(PIANO_DEI_CONTI,MATCH($K177,DENOMINAZIONE,0),7)=$DF$1,MAX($DH$2:DH176)+1,0))),0)</f>
        <v>0</v>
      </c>
      <c r="DI177" s="259">
        <f ca="1">IFERROR(INDEX($K$3:$K$220,MATCH(ROWS($DI$3:DI177),$DH$3:$DH$220,0),1),0)</f>
        <v>0</v>
      </c>
      <c r="DJ177" s="259">
        <f t="shared" ca="1" si="381"/>
        <v>0</v>
      </c>
      <c r="DK177" s="259">
        <f ca="1">IF(DJ177=0,0,MAX(DK$2:DK176)+1)</f>
        <v>0</v>
      </c>
      <c r="DL177" s="259">
        <f ca="1">IFERROR(INDEX(PIANO_DEI_CONTI,MATCH(ROWS(DL$3:DL177),$DK$3:DK404,0),2),0)</f>
        <v>0</v>
      </c>
      <c r="DM177" s="259">
        <f t="shared" ca="1" si="382"/>
        <v>0</v>
      </c>
      <c r="DN177" s="259">
        <f t="shared" ca="1" si="383"/>
        <v>0</v>
      </c>
      <c r="DO177" s="259">
        <f t="shared" ca="1" si="422"/>
        <v>0</v>
      </c>
      <c r="DP177" s="259">
        <f t="shared" ca="1" si="423"/>
        <v>0</v>
      </c>
      <c r="DQ177" s="259">
        <f ca="1">IF(OR($DQ$1="TOTALI",$DQ$1="TOTALI ED ECCEDENZE"),IF(OR(DM177&gt;0,DN177&gt;0),MAX(DQ$2:DQ176)+1,0),IF($DQ$1="ECCEDENZE",IF(OR(DO177&gt;0,DP177&gt;0),MAX(DQ$2:DQ176)+1,0),""))</f>
        <v>0</v>
      </c>
      <c r="DR177" s="259" t="str">
        <f ca="1">IFERROR(INDEX($DL$3:$DQ$230,MATCH(ROWS(DR$3:DR177),$DQ$3:$DQ$230,0),1),"")</f>
        <v/>
      </c>
      <c r="DS177" s="259" t="str">
        <f t="shared" ca="1" si="424"/>
        <v/>
      </c>
      <c r="DT177" s="259" t="str">
        <f t="shared" ca="1" si="425"/>
        <v/>
      </c>
      <c r="DU177" s="259" t="str">
        <f t="shared" ca="1" si="426"/>
        <v/>
      </c>
      <c r="DV177" s="259" t="str">
        <f t="shared" ca="1" si="427"/>
        <v/>
      </c>
      <c r="DW177" s="259">
        <f t="shared" ca="1" si="428"/>
        <v>0</v>
      </c>
      <c r="DX177" s="259" t="str">
        <f t="shared" ca="1" si="429"/>
        <v/>
      </c>
      <c r="DY177" s="259" t="str">
        <f t="shared" ca="1" si="430"/>
        <v/>
      </c>
      <c r="DZ177" s="259" t="str">
        <f t="shared" ca="1" si="431"/>
        <v/>
      </c>
      <c r="EB177" s="259" t="s">
        <v>391</v>
      </c>
      <c r="ED177" s="259">
        <f t="shared" ca="1" si="384"/>
        <v>0</v>
      </c>
      <c r="EH177" s="259" t="str">
        <f t="shared" ca="1" si="432"/>
        <v/>
      </c>
      <c r="EI177" s="260" t="b">
        <f t="shared" ca="1" si="466"/>
        <v>0</v>
      </c>
      <c r="EJ177" s="260" t="b">
        <f t="shared" ca="1" si="467"/>
        <v>0</v>
      </c>
      <c r="EK177" s="260" t="b">
        <f t="shared" ca="1" si="468"/>
        <v>1</v>
      </c>
      <c r="EL177" s="259">
        <f t="shared" si="433"/>
        <v>175</v>
      </c>
      <c r="EM177" s="259">
        <f ca="1">IF(AND(BA177&gt;0,BA177&lt;=$EM$1),MAX($EM$2:EM176)+1,0)</f>
        <v>0</v>
      </c>
      <c r="EN177" s="259">
        <f t="shared" ca="1" si="434"/>
        <v>177</v>
      </c>
      <c r="EP177" s="259" t="str">
        <f t="shared" ca="1" si="385"/>
        <v/>
      </c>
      <c r="EQ177" s="259">
        <f t="shared" ca="1" si="386"/>
        <v>0</v>
      </c>
      <c r="ER177" s="259">
        <f ca="1">IF(ISNA(EQ177),MAX(ER$2:ER176)+1,0)</f>
        <v>0</v>
      </c>
      <c r="ES177" s="259" t="str">
        <f t="shared" ca="1" si="435"/>
        <v/>
      </c>
      <c r="ET177" s="259" t="str">
        <f ca="1">IFERROR(UPPER(INDEX($ER$3:$ES$500,MATCH(ROWS(ET$3:ET177),$ER$3:$ER$500,0),2)),"")</f>
        <v/>
      </c>
      <c r="EW177" s="259">
        <f t="shared" ca="1" si="497"/>
        <v>1</v>
      </c>
      <c r="EX177" s="259">
        <v>75</v>
      </c>
      <c r="EY177" s="259">
        <f t="shared" ca="1" si="498"/>
        <v>0</v>
      </c>
      <c r="EZ177" s="259">
        <f t="shared" ca="1" si="499"/>
        <v>0</v>
      </c>
      <c r="FA177" s="259">
        <f t="shared" ca="1" si="500"/>
        <v>0</v>
      </c>
      <c r="FB177" s="259">
        <f t="shared" ca="1" si="501"/>
        <v>0</v>
      </c>
      <c r="FC177" s="259">
        <f t="shared" ca="1" si="502"/>
        <v>0</v>
      </c>
      <c r="FD177" s="259">
        <f t="shared" ca="1" si="387"/>
        <v>0</v>
      </c>
      <c r="FE177" s="259" t="str">
        <f t="shared" ca="1" si="388"/>
        <v/>
      </c>
      <c r="FF177" s="259" t="str">
        <f t="shared" ca="1" si="503"/>
        <v/>
      </c>
      <c r="FM177" s="259">
        <f t="shared" ca="1" si="389"/>
        <v>0</v>
      </c>
      <c r="FN177" s="259">
        <f ca="1">IF(FM177&lt;0,MAX($FN$2:FN176)+1,0)</f>
        <v>0</v>
      </c>
      <c r="FO177" s="259" t="str">
        <f t="shared" ca="1" si="436"/>
        <v/>
      </c>
      <c r="FP177" s="259" t="str">
        <f ca="1">IFERROR(INDEX($FN$3:$FO$400,MATCH(ROWS($FP$3:FP177),$FN$3:$FN$400,0),2),"")</f>
        <v/>
      </c>
      <c r="FQ177" s="259" t="str">
        <f>IF(AE177="SE AVERE",MAX($FQ$2:FQ176)+1,"")</f>
        <v/>
      </c>
      <c r="FR177" s="259">
        <f>IF(AE177="SE DARE",MAX($FR$2:FR176)+1,"")</f>
        <v>76</v>
      </c>
      <c r="FS177" s="259" t="str">
        <f ca="1">IF(AND(AE177="SP DARE",AA177&lt;&gt;$FS$1,AA177&lt;&gt;$FT$1),MAX($FS$2:FS176)+1,IF(AND(GQ177="SP DARE",AA177&lt;&gt;$FS$1,AA177&lt;&gt;$FT$1),MAX($FS$2:FS176)+1,""))</f>
        <v/>
      </c>
      <c r="FT177" s="259" t="str">
        <f ca="1">IF(AND(AE177="SP AVERE",AA177&lt;&gt;$FU$1),MAX($FT$2:FT176)+1,IF(AND(GQ177="SP AVERE",AA177&lt;&gt;$FU$1),MAX($FT$2:FT176)+1,""))</f>
        <v/>
      </c>
      <c r="FU177" s="259">
        <f t="shared" ca="1" si="437"/>
        <v>76</v>
      </c>
      <c r="FV177" s="259" t="str">
        <f t="shared" si="438"/>
        <v>ONERI FINANZIARI DIVERSI</v>
      </c>
      <c r="FW177" s="259">
        <f ca="1">IFERROR(INDEX($FU$3:$FV$500,MATCH(ROWS($FW$3:FW177),$FU$3:$FU$500,0),2),0)</f>
        <v>0</v>
      </c>
      <c r="FX177" s="259">
        <f t="shared" ca="1" si="439"/>
        <v>0</v>
      </c>
      <c r="FY177" s="259">
        <f t="shared" ca="1" si="440"/>
        <v>175</v>
      </c>
      <c r="FZ177" s="259">
        <f ca="1">IF(FY177&gt;0,MAX($FZ$2:FZ176)+1,0)</f>
        <v>17</v>
      </c>
      <c r="GA177" s="259">
        <f ca="1">IFERROR(INDEX($FY$3:$FZ$500,MATCH(ROWS($GA$3:GA177),$FZ$3:$FZ$500,0),1),0)</f>
        <v>0</v>
      </c>
      <c r="GC177" s="259">
        <f t="shared" ca="1" si="441"/>
        <v>175</v>
      </c>
      <c r="GD177" s="259" t="str">
        <f t="shared" ca="1" si="442"/>
        <v>PATRIMONIO NETTO</v>
      </c>
      <c r="GG177" s="259">
        <f t="shared" ca="1" si="443"/>
        <v>0</v>
      </c>
      <c r="GH177" s="259">
        <f t="shared" ca="1" si="444"/>
        <v>0</v>
      </c>
      <c r="GI177" s="259">
        <f t="shared" ca="1" si="445"/>
        <v>0</v>
      </c>
      <c r="GJ177" s="259">
        <f t="shared" ca="1" si="446"/>
        <v>0</v>
      </c>
      <c r="GK177" s="259">
        <f t="shared" ca="1" si="447"/>
        <v>0</v>
      </c>
      <c r="GL177" s="259">
        <f t="shared" ca="1" si="447"/>
        <v>0</v>
      </c>
      <c r="GM177" s="259">
        <f ca="1">IF(OR(GK177&gt;0,GL177&gt;0),MAX($GM$2:GM176)+1,0)</f>
        <v>0</v>
      </c>
      <c r="GN177" s="259" t="str">
        <f ca="1">IFERROR(INDEX($GD$3:$GM$400,MATCH(ROWS($GN$3:GN177),$GM$3:$GM$400,0),1),"")</f>
        <v/>
      </c>
      <c r="GO177" s="259" t="str">
        <f ca="1">IFERROR(INDEX($GD$3:$GM$400,MATCH(ROWS($GO$3:GO177),$GM$3:$GM$400,0),8),"")</f>
        <v/>
      </c>
      <c r="GP177" s="259" t="str">
        <f ca="1">IFERROR(INDEX($GD$3:$GM$400,MATCH(ROWS($GP$3:GP177),$GM$3:$GM$400,0),9),"")</f>
        <v/>
      </c>
      <c r="GQ177" s="259">
        <f t="shared" ca="1" si="390"/>
        <v>0</v>
      </c>
      <c r="GR177" s="259">
        <f t="shared" ca="1" si="448"/>
        <v>0</v>
      </c>
      <c r="GS177" s="259" t="str">
        <f t="shared" ca="1" si="449"/>
        <v>chiusura del conto</v>
      </c>
      <c r="GT177" s="259" t="str">
        <f ca="1">IFERROR(INDEX($GD$3:$GS$400,MATCH(ROWS($GT$3:GT177),$GM$3:$GM$400,0),16),"")</f>
        <v/>
      </c>
      <c r="GU177" s="259">
        <f ca="1">IF(GQ177&lt;&gt;0,MAX($GU$2:$GU176)+1,0)</f>
        <v>0</v>
      </c>
      <c r="GV177" s="259">
        <f t="shared" ca="1" si="450"/>
        <v>0</v>
      </c>
      <c r="GW177" s="259" t="str">
        <f ca="1">IF(AND(IFERROR(INDEX($GU$3:$GV$400,MATCH(ROWS($GW$3:GW177),$GU$3:$GU$400,0),2),"")&lt;&gt;"",GW178&lt;&gt;""),CONCATENATE(IFERROR(INDEX($GU$3:$GV$400,MATCH(ROWS($GW$3:GW177),$GU$3:$GU$400,0),2),"")," - "),IFERROR(INDEX($GU$3:$GV$400,MATCH(ROWS($GW$3:GW177),$GU$3:$GU$400,0),2),""))</f>
        <v/>
      </c>
      <c r="GX177" s="259">
        <f ca="1">IF(OR(GN177="IVA NS/CREDITO",GN177="IVA NS/DEBITO",GN177="IVA C/ACCONTO",GN177="IMPOSTE C/ACCONTO"),MAX($GX$2:GX176)+1,0)</f>
        <v>0</v>
      </c>
      <c r="GY177" s="259" t="str">
        <f ca="1">IF(AND(IFERROR(INDEX($GN$3:$GX$200,MATCH(ROWS($GY$3:GY177),$GX$3:$GX$200,0),1),"")&lt;&gt;"",GY178&lt;&gt;""),CONCATENATE(IFERROR(INDEX($GN$3:$GX$200,MATCH(ROWS($GY$3:GY177),$GX$3:$GX$200,0),1),"")," - "),IFERROR(INDEX($GN$3:$GX$200,MATCH(ROWS($GY$3:GY177),$GX$3:$GX$200,0),1),""))</f>
        <v/>
      </c>
      <c r="GZ177" s="259" t="s">
        <v>593</v>
      </c>
      <c r="HA177" s="259" t="s">
        <v>183</v>
      </c>
      <c r="HB177" s="269" t="s">
        <v>256</v>
      </c>
      <c r="HC177" s="269" t="s">
        <v>276</v>
      </c>
      <c r="HD177" s="269" t="s">
        <v>7</v>
      </c>
      <c r="HE177" s="269" t="s">
        <v>214</v>
      </c>
      <c r="HV177" s="259" t="str">
        <f ca="1">CONCATENATE(IFERROR(INDEX($HS$3:$HT$102,MATCH(ROWS($HV$3:HV177),$HT$3:$HT$102,0),1),""),HR177)</f>
        <v/>
      </c>
      <c r="IC177" s="259">
        <f ca="1">IFERROR(INDEX(PIANO_DEI_CONTI,MATCH(ROWS(DL$3:DL177),$DK$3:DK404,0),2),0)</f>
        <v>0</v>
      </c>
      <c r="ID177" s="259">
        <f t="shared" ca="1" si="451"/>
        <v>0</v>
      </c>
      <c r="IE177" s="259">
        <f t="shared" ca="1" si="452"/>
        <v>0</v>
      </c>
      <c r="IF177" s="259">
        <f t="shared" ca="1" si="453"/>
        <v>0</v>
      </c>
      <c r="IG177" s="259">
        <f t="shared" ca="1" si="479"/>
        <v>0</v>
      </c>
      <c r="IH177" s="259">
        <f ca="1">IF(IG177&lt;&gt;0,MAX($IH$35:IH176)+1,0)</f>
        <v>0</v>
      </c>
      <c r="II177" s="259">
        <f>IF(AD177="costi pluriennali",MAX($II$2:II176)+1,0)</f>
        <v>0</v>
      </c>
      <c r="IJ177" s="259">
        <f>IF($AD177="rettifiche costi pluriennali",MAX($IJ$2:IJ176)+1,0)</f>
        <v>0</v>
      </c>
      <c r="IK177" s="259">
        <f t="shared" si="454"/>
        <v>0</v>
      </c>
      <c r="IL177" s="259" t="str">
        <f t="shared" si="455"/>
        <v/>
      </c>
      <c r="IM177" s="259">
        <f t="shared" ca="1" si="456"/>
        <v>0</v>
      </c>
      <c r="IN177" s="259">
        <f t="shared" ca="1" si="470"/>
        <v>0</v>
      </c>
      <c r="IO177" s="259">
        <f>SUMIFS($IM$3:$IM$200,$IK$3:$IK$200,ROWS($IO$3:IO177))-SUMIFS($IN$3:$IN$200,$IK$3:$IK$200,ROWS($IO$3:IO177))</f>
        <v>0</v>
      </c>
      <c r="IP177" s="259" t="str">
        <f>IF(IO177&lt;0,INDEX($IJ$3:$IL$200,MATCH(ROWS($IP$3:IP177),$IJ$3:$IJ$200,0),3),"")</f>
        <v/>
      </c>
      <c r="IQ177" s="259">
        <f>IF(IP177&lt;&gt;"",MAX($IQ$2:IQ176)+1,0)</f>
        <v>0</v>
      </c>
      <c r="IR177" s="259" t="str">
        <f ca="1">IFERROR(INDEX($IP$3:$IQ$200,MATCH(ROWS($IR$3:IR177),$IQ$3:$IQ$200,0),1),"")</f>
        <v/>
      </c>
      <c r="IS177" s="259" t="str">
        <f t="shared" ca="1" si="457"/>
        <v/>
      </c>
      <c r="IT177" s="259" t="str">
        <f t="shared" ca="1" si="458"/>
        <v/>
      </c>
      <c r="IU177" s="259" t="str">
        <f t="shared" ca="1" si="459"/>
        <v/>
      </c>
      <c r="IV177" s="259" t="str">
        <f t="shared" ca="1" si="460"/>
        <v/>
      </c>
      <c r="IW177" s="259" t="str">
        <f t="shared" ca="1" si="461"/>
        <v/>
      </c>
      <c r="IX177" s="259" t="str">
        <f t="shared" ca="1" si="462"/>
        <v/>
      </c>
      <c r="IY177" s="259" t="str">
        <f t="shared" ca="1" si="463"/>
        <v/>
      </c>
      <c r="IZ177" s="259" t="str">
        <f t="shared" ca="1" si="464"/>
        <v/>
      </c>
      <c r="JA177" s="259" t="str">
        <f t="shared" ca="1" si="465"/>
        <v/>
      </c>
      <c r="JB177" s="259">
        <f t="shared" ca="1" si="391"/>
        <v>0</v>
      </c>
      <c r="JC177" s="259">
        <f t="shared" ca="1" si="504"/>
        <v>0</v>
      </c>
      <c r="JD177" s="259">
        <f t="shared" ca="1" si="505"/>
        <v>0</v>
      </c>
      <c r="JM177" s="259">
        <f t="shared" ca="1" si="506"/>
        <v>0</v>
      </c>
    </row>
    <row r="178" spans="1:273">
      <c r="A178" s="259" t="str">
        <f t="shared" si="392"/>
        <v>35.08</v>
      </c>
      <c r="B178" s="259" t="str">
        <f t="shared" si="393"/>
        <v>AMMORTAMENTO IMBALLAGGI DUREVOLI</v>
      </c>
      <c r="C178" s="259" t="str">
        <f t="shared" si="394"/>
        <v>E</v>
      </c>
      <c r="D178" s="259" t="str">
        <f t="shared" si="395"/>
        <v>D</v>
      </c>
      <c r="E178" s="259" t="str">
        <f t="shared" si="396"/>
        <v>COSTI D'ESERCIZIO</v>
      </c>
      <c r="F178" s="259" t="str">
        <f t="shared" si="397"/>
        <v>SE DARE</v>
      </c>
      <c r="G178" s="259">
        <f t="shared" ca="1" si="398"/>
        <v>0</v>
      </c>
      <c r="H178" s="259">
        <f t="shared" ca="1" si="399"/>
        <v>0</v>
      </c>
      <c r="I178" s="259">
        <f t="shared" ca="1" si="400"/>
        <v>1</v>
      </c>
      <c r="K178" s="259" t="str">
        <f ca="1">IFERROR(IF($I$1=1,INDEX($AA$3:$AS$220,MATCH(ROWS($K$3:K178),$AQ$3:$AQ$220,0),1),IF($I$1=2,INDEX($AA$3:$AS$220,MATCH(ROWS($K$3:K178),$AR$3:$AR$220,0),1),IF($I$1=3,INDEX($AA$3:$AS$220,MATCH(ROWS($K$3:K178),$AS$3:$AS$220,0),1),""))),"")</f>
        <v/>
      </c>
      <c r="L178" s="259">
        <f ca="1">IF(AND($L$1="VISUALIZZA TUTTI I CONTI",K178&lt;&gt;""),MAX(L177:L177)+1,IFERROR(IF($J$1=1,IF(INDEX(PIANO_DEI_CONTI,MATCH($K178,DENOMINAZIONE,0),5)=$L$1,MAX($L$2:L177)+1,0),IF($J$1=2,IF(INDEX(PIANO_DEI_CONTI,MATCH($K178,DENOMINAZIONE,0),7)=$L$1,MAX($L$2:L177)+1,0))),0))</f>
        <v>0</v>
      </c>
      <c r="M178" s="259" t="str">
        <f ca="1">IFERROR(INDEX($K$3:$K$220,MATCH(ROWS($M$3:M178),$L$3:$L$220,0),1),"")</f>
        <v/>
      </c>
      <c r="R178" s="259" t="str">
        <f t="shared" ca="1" si="366"/>
        <v/>
      </c>
      <c r="S178" s="259">
        <f ca="1">IF(IFERROR(MATCH(R178,DENOMINAZIONE_GIORNALE,0),0)&gt;0,MAX(S$2:S177)+1,0)</f>
        <v>0</v>
      </c>
      <c r="T178" s="259" t="str">
        <f ca="1">IFERROR(INDEX($R$3:$S$220,MATCH(ROWS($T$3:T178),$S$3:$S$220,0),1),"")</f>
        <v/>
      </c>
      <c r="U178" s="259">
        <f t="shared" ca="1" si="367"/>
        <v>0</v>
      </c>
      <c r="V178" s="259">
        <f ca="1">IF(IF(U178&lt;&gt;0,MAX($V$2:V177)+1,0)=0,0,IF(U178&lt;&gt;0,MAX($V$2:V177)+1,0))</f>
        <v>0</v>
      </c>
      <c r="W178" s="259" t="str">
        <f t="shared" si="401"/>
        <v>35.08</v>
      </c>
      <c r="X178" s="259" t="str">
        <f t="shared" si="402"/>
        <v>AMMORTAMENTO IMBALLAGGI DUREVOLI</v>
      </c>
      <c r="Y178" s="259">
        <f>IF(W178="",0,MAX($Y$2:Y177)+1)</f>
        <v>152</v>
      </c>
      <c r="Z178" s="259" t="str">
        <f>IFERROR(INDEX($W$3:$Y$220,MATCH(ROWS($Z$2:Z177),$Y$3:$Y$220,0),1),"")</f>
        <v>90.01</v>
      </c>
      <c r="AA178" s="259" t="str">
        <f t="shared" si="403"/>
        <v>CONTO DI RISULTATO ECONOMICO</v>
      </c>
      <c r="AB178" s="259" t="str">
        <f t="shared" si="404"/>
        <v>E</v>
      </c>
      <c r="AC178" s="259" t="str">
        <f t="shared" si="405"/>
        <v>D/A</v>
      </c>
      <c r="AD178" s="259" t="str">
        <f t="shared" si="406"/>
        <v>CONTO DI RISULTATO ECONOMICO</v>
      </c>
      <c r="AE178" s="259">
        <f t="shared" si="407"/>
        <v>0</v>
      </c>
      <c r="AF178" s="259" t="str">
        <f t="shared" si="408"/>
        <v>CONTI DI RISULTATO</v>
      </c>
      <c r="AG178" s="259">
        <f t="shared" ca="1" si="409"/>
        <v>0</v>
      </c>
      <c r="AH178" s="259">
        <f t="shared" ca="1" si="410"/>
        <v>0</v>
      </c>
      <c r="AI178" s="259">
        <f t="shared" ca="1" si="411"/>
        <v>0</v>
      </c>
      <c r="AJ178" s="259" t="str">
        <f t="shared" si="412"/>
        <v>90</v>
      </c>
      <c r="AK178" s="259" t="str">
        <f t="shared" si="413"/>
        <v/>
      </c>
      <c r="AL178" s="259">
        <f>IF(AK178&lt;&gt;"",MAX($AL$2:AL177)+1,0)</f>
        <v>0</v>
      </c>
      <c r="AM178" s="259" t="str">
        <f>IFERROR(INDEX($AK$3:$AL$220,MATCH(ROWS($AM$3:AM178),$AL$3:$AL$220,0),1),"")</f>
        <v/>
      </c>
      <c r="AN178" s="259" t="str">
        <f t="shared" si="414"/>
        <v/>
      </c>
      <c r="AO178" s="259" t="str">
        <f t="shared" si="415"/>
        <v/>
      </c>
      <c r="AP178" s="259" t="str">
        <f t="shared" si="416"/>
        <v>CONTI DI RISULTATO</v>
      </c>
      <c r="AQ178" s="259">
        <f ca="1">IF(OR(AG178=0,AG178=""),0,MAX(AQ$2:AQ177)+1)</f>
        <v>0</v>
      </c>
      <c r="AR178" s="259">
        <f ca="1">IF(OR(AH178=0,AH178=""),0,MAX(AR$2:AR177)+1)</f>
        <v>0</v>
      </c>
      <c r="AS178" s="259">
        <f ca="1">IF(OR(AI178=0,AI178=""),0,MAX(AS$2:AS177)+1)</f>
        <v>0</v>
      </c>
      <c r="AT178" s="259" t="str">
        <f ca="1">IFERROR(INDEX($AD$3:$AS$220,MATCH(ROWS(AT$3:AT178),AQ$3:AQ$220,0),1),"")</f>
        <v/>
      </c>
      <c r="AU178" s="259" t="str">
        <f ca="1">IFERROR(INDEX($AD$3:$AS$220,MATCH(ROWS(AU$3:AU178),AR$3:AR$220,0),1),"")</f>
        <v/>
      </c>
      <c r="AV178" s="259" t="str">
        <f ca="1">IFERROR(INDEX($AD$3:$AS$220,MATCH(ROWS(AV$3:AV178),AS$3:AS$220,0),1),"")</f>
        <v/>
      </c>
      <c r="AW178" s="259" t="str">
        <f ca="1">IFERROR(INDEX($AP$3:$AS$220,MATCH(ROWS(AW$3:AW178),AQ$3:AQ$220,0),1),"")</f>
        <v/>
      </c>
      <c r="AX178" s="259" t="str">
        <f ca="1">IFERROR(INDEX($AP$3:$AS$220,MATCH(ROWS(AX$3:AX178),AR$3:AR$220,0),1),"")</f>
        <v/>
      </c>
      <c r="AY178" s="259" t="str">
        <f ca="1">IFERROR(INDEX($AP$3:$AS$220,MATCH(ROWS(AY$3:AY178),AS$3:AS$220,0),1),"")</f>
        <v/>
      </c>
      <c r="AZ178" s="259" t="str">
        <f t="shared" si="490"/>
        <v>76 V.I.</v>
      </c>
      <c r="BA178" s="259">
        <f t="shared" ca="1" si="484"/>
        <v>0</v>
      </c>
      <c r="BB178" s="259">
        <f t="shared" ca="1" si="491"/>
        <v>0</v>
      </c>
      <c r="BC178" s="259">
        <f t="shared" ca="1" si="492"/>
        <v>0</v>
      </c>
      <c r="BD178" s="259">
        <f t="shared" ca="1" si="493"/>
        <v>0</v>
      </c>
      <c r="BE178" s="259">
        <f t="shared" ca="1" si="494"/>
        <v>0</v>
      </c>
      <c r="BG178" s="259" t="str">
        <f t="shared" ca="1" si="368"/>
        <v/>
      </c>
      <c r="BH178" s="259">
        <f ca="1">IF(IFERROR(MATCH(BG178,DENOMINAZIONE_GIORNALE,0),0)&gt;0,MAX(BH$2:BH177)+1,0)</f>
        <v>0</v>
      </c>
      <c r="BI178" s="259" t="str">
        <f ca="1">IFERROR(INDEX($BG$3:$BH$220,MATCH(ROWS($BI$3:BI178),$BH$3:$BH$220,0),1),"")</f>
        <v/>
      </c>
      <c r="BJ178" s="259" t="str">
        <f t="shared" ca="1" si="369"/>
        <v/>
      </c>
      <c r="BK178" s="259" t="str">
        <f ca="1">IF(IF(BJ178&lt;&gt;"",MAX($BK$2:BK177)+1,0)=0,"",IF(BJ178&lt;&gt;"",MAX($BK$2:BK177)+1,0))</f>
        <v/>
      </c>
      <c r="BL178" s="259" t="str">
        <f ca="1">IFERROR(INDEX($T$3:$U$220, MATCH(ROWS(BL$3:BL178),$V$3:$V$220,0),1),"")</f>
        <v/>
      </c>
      <c r="BM178" s="259" t="str">
        <f ca="1">IFERROR(INDEX($T$3:$U$220, MATCH(ROWS(BM$3:BM178),$V$3:$V$220,0),2),"")</f>
        <v/>
      </c>
      <c r="BN178" s="259" t="str">
        <f ca="1">IF(IFERROR(INDEX($BI$3:$BJ$220,MATCH(ROWS(BN$3:BN178),$BK$3:$BK$220,0),1),"")="PATRIMONIO NETTO","",IFERROR(INDEX($BI$3:$BJ$220,MATCH(ROWS(BN$3:BN178),$BK$3:$BK$220,0),1),""))</f>
        <v/>
      </c>
      <c r="BO178" s="259" t="str">
        <f ca="1">IFERROR(INDEX($BI$3:$BJ$220,MATCH(ROWS(BO$3:BO178),$BK$3:$BK$220,0),2),"")</f>
        <v/>
      </c>
      <c r="BP178" s="259">
        <f ca="1">IF(BN178&lt;&gt;"",MAX(BP$2:$BP177)+1,0)</f>
        <v>0</v>
      </c>
      <c r="BQ178" s="259" t="str">
        <f ca="1">IFERROR(INDEX($BN$3:$BO$200,MATCH(ROWS(BQ$3:BQ178),$BP$3:$BP$220,0),1),"")</f>
        <v/>
      </c>
      <c r="BR178" s="259" t="str">
        <f ca="1">IFERROR(INDEX($BN$3:$BO$220,MATCH(ROWS(BR$3:BR178),$BP$3:$BP$220,0),2),"")</f>
        <v/>
      </c>
      <c r="BS178" s="259" t="str">
        <f ca="1">IFERROR(IF(OR(INDEX($T$3:$U$220,MATCH(ROWS(BL$3:BL178),$V$3:$V$220,0),1)="PRELEVAMENTI EXTRAGESTIONE",INDEX($T$3:$U$220,MATCH(ROWS(BL$3:BL178),$V$3:$V$220,0),1)="TITOLARE C/RITENUTE SUBITE"),"",INDEX($T$3:$U$220,MATCH(ROWS(BL$3:BL178),$V$3:$V$220,0),1)),"")</f>
        <v/>
      </c>
      <c r="BT178" s="259">
        <f t="shared" ca="1" si="417"/>
        <v>0</v>
      </c>
      <c r="BU178" s="259">
        <f ca="1">IF(BS178&lt;&gt;"",MAX(BU$2:BU177)+1,0)</f>
        <v>0</v>
      </c>
      <c r="BV178" s="259" t="str">
        <f ca="1">IFERROR(INDEX($BS$3:$BT$223,MATCH(ROWS(BV$3:BV178),$BU$3:$BU$223,0),1),"")</f>
        <v/>
      </c>
      <c r="BW178" s="259">
        <f t="shared" ca="1" si="418"/>
        <v>0</v>
      </c>
      <c r="CB178" s="259" t="str">
        <f ca="1">IFERROR(IF(OR($BB$1&lt;&gt;$BD$1,$BC$1&lt;&gt;$BE$1,$DS$231&lt;&gt;$DT$231,$DU$231&lt;&gt;$DV$231,$EO$25&lt;&gt;0,$EO$26&lt;&gt;0),INDEX($BI$3:$BK$220,MATCH(ROWS($CB$3:CB178),$BK$3:$BK$220,0),1),CONCATENATE(BQ178,BX178)),"")</f>
        <v/>
      </c>
      <c r="CC178" s="259" t="str">
        <f t="shared" ca="1" si="419"/>
        <v/>
      </c>
      <c r="CD178" s="259" t="str">
        <f t="shared" ca="1" si="370"/>
        <v/>
      </c>
      <c r="CE178" s="259">
        <f ca="1">IF(IFERROR(MATCH(CD178,DENOMINAZIONE_GIORNALE,0),0)&gt;0,MAX(CE$2:CE177)+1,0)</f>
        <v>0</v>
      </c>
      <c r="CF178" s="259" t="str">
        <f ca="1">IFERROR(INDEX($CD$3:$CE$220,MATCH(ROWS($CF$3:CF178),$CE$3:$CE$220,0),1),"")</f>
        <v/>
      </c>
      <c r="CG178" s="259">
        <f t="shared" ca="1" si="371"/>
        <v>0</v>
      </c>
      <c r="CH178" s="259" t="str">
        <f ca="1">IF(IF(CG178&lt;&gt;0,MAX($CH$2:CH177)+1,0)=0,"",IF(CG178&lt;&gt;"",MAX($CH$2:CH177)+1,0))</f>
        <v/>
      </c>
      <c r="CI178" s="259" t="str">
        <f ca="1">IFERROR(INDEX($CF$3:$CG$220,MATCH(ROWS($CI$3:CI178),$CH$3:$CH$220,0),1),"")</f>
        <v/>
      </c>
      <c r="CJ178" s="259" t="str">
        <f t="shared" ca="1" si="420"/>
        <v/>
      </c>
      <c r="CK178" s="259" t="str">
        <f t="shared" ca="1" si="372"/>
        <v/>
      </c>
      <c r="CL178" s="259">
        <f ca="1">IF(IFERROR(MATCH(CK178,DENOMINAZIONE_GIORNALE,0),0)&gt;0,MAX(CL$2:CL177)+1,0)</f>
        <v>0</v>
      </c>
      <c r="CM178" s="259" t="str">
        <f ca="1">IFERROR(INDEX($CK$3:$CL$220,MATCH(ROWS($CM$3:CM178),$CL$3:$CL$220,0),1),"")</f>
        <v/>
      </c>
      <c r="CN178" s="259" t="str">
        <f t="shared" ca="1" si="373"/>
        <v/>
      </c>
      <c r="CO178" s="259">
        <f ca="1">IF(IF(CN178&lt;&gt;0,MAX($CO$2:CO177)+1,0)=0,"",IF(CN178&lt;&gt;"",MAX($CO$2:CO177)+1,0))</f>
        <v>0</v>
      </c>
      <c r="CP178" s="259" t="str">
        <f ca="1">IFERROR(INDEX($CM$3:$CN$220,MATCH(ROWS(CP$3:CP178),$CO$3:$CO$220,0),1),"")</f>
        <v/>
      </c>
      <c r="CQ178" s="259" t="str">
        <f ca="1">IFERROR(INDEX($CM$3:$CN$220,MATCH(ROWS(CQ$3:CQ178),$CO$3:$CO$220,0),2),"")</f>
        <v/>
      </c>
      <c r="CS178" s="259">
        <f t="shared" ca="1" si="374"/>
        <v>0</v>
      </c>
      <c r="CT178" s="259">
        <f t="shared" ca="1" si="375"/>
        <v>0</v>
      </c>
      <c r="CU178" s="259">
        <f ca="1">IF(OR(CS178&gt;0,CT178&gt;0),MAX($CU$2:CU177)+1,0)</f>
        <v>0</v>
      </c>
      <c r="CV178" s="259" t="str">
        <f ca="1">IFERROR(INDEX(PIANO_DEI_CONTI,MATCH(ROWS($CV$3:CV178),$CU$3:$CU$200,0),2),"")</f>
        <v/>
      </c>
      <c r="CW178" s="259">
        <f ca="1">IFERROR(IF(CV178&lt;&gt;"",MAX($CW$2:CW177)+1,0),0)</f>
        <v>0</v>
      </c>
      <c r="CX178" s="259">
        <f t="shared" ca="1" si="482"/>
        <v>10</v>
      </c>
      <c r="CY178" s="259" t="str">
        <f t="shared" ca="1" si="495"/>
        <v>MASTRO</v>
      </c>
      <c r="CZ178" s="259" t="e">
        <f t="shared" ca="1" si="485"/>
        <v>#N/A</v>
      </c>
      <c r="DA178" s="259" t="str">
        <f t="shared" ca="1" si="496"/>
        <v/>
      </c>
      <c r="DB178" s="259" t="str">
        <f t="shared" ca="1" si="486"/>
        <v/>
      </c>
      <c r="DC178" s="259" t="str">
        <f t="shared" ca="1" si="487"/>
        <v/>
      </c>
      <c r="DD178" s="259" t="str">
        <f t="shared" ca="1" si="488"/>
        <v/>
      </c>
      <c r="DE178" s="259" t="str">
        <f t="shared" ca="1" si="489"/>
        <v/>
      </c>
      <c r="DF178" s="259">
        <f ca="1">IF(AND(CX178=$DE$2,$DF$2&lt;&gt;0),0,IF(AND(DB178&lt;&gt;"",OR(DB177&lt;&gt;"",DB179&lt;&gt;"")),MAX($DF$2:DF177)+1,0))</f>
        <v>0</v>
      </c>
      <c r="DG178" s="259" t="str">
        <f>IF(IF(LIBRO_GIORNALE!E86="","",IFERROR(INDEX(PIANO_DEI_CONTI,MATCH(BB178,DENOMINAZIONE,0),1),0))=0,"",IF(LIBRO_GIORNALE!E86="","",IFERROR(INDEX(PIANO_DEI_CONTI,MATCH(BB178,DENOMINAZIONE,0),1),0)))</f>
        <v/>
      </c>
      <c r="DH178" s="259">
        <f ca="1">IFERROR(IF($J$1=1,IF(INDEX(PIANO_DEI_CONTI,MATCH($K178,DENOMINAZIONE,0),5)=$DF$1,MAX($DH$2:DH177)+1,0),IF($J$1=2,IF(INDEX(PIANO_DEI_CONTI,MATCH($K178,DENOMINAZIONE,0),7)=$DF$1,MAX($DH$2:DH177)+1,0))),0)</f>
        <v>0</v>
      </c>
      <c r="DI178" s="259">
        <f ca="1">IFERROR(INDEX($K$3:$K$220,MATCH(ROWS($DI$3:DI178),$DH$3:$DH$220,0),1),0)</f>
        <v>0</v>
      </c>
      <c r="DJ178" s="259">
        <f t="shared" ca="1" si="381"/>
        <v>0</v>
      </c>
      <c r="DK178" s="259">
        <f ca="1">IF(DJ178=0,0,MAX(DK$2:DK177)+1)</f>
        <v>0</v>
      </c>
      <c r="DL178" s="259">
        <f ca="1">IFERROR(INDEX(PIANO_DEI_CONTI,MATCH(ROWS(DL$3:DL178),$DK$3:DK405,0),2),0)</f>
        <v>0</v>
      </c>
      <c r="DM178" s="259">
        <f t="shared" ca="1" si="382"/>
        <v>0</v>
      </c>
      <c r="DN178" s="259">
        <f t="shared" ca="1" si="383"/>
        <v>0</v>
      </c>
      <c r="DO178" s="259">
        <f t="shared" ca="1" si="422"/>
        <v>0</v>
      </c>
      <c r="DP178" s="259">
        <f t="shared" ca="1" si="423"/>
        <v>0</v>
      </c>
      <c r="DQ178" s="259">
        <f ca="1">IF(OR($DQ$1="TOTALI",$DQ$1="TOTALI ED ECCEDENZE"),IF(OR(DM178&gt;0,DN178&gt;0),MAX(DQ$2:DQ177)+1,0),IF($DQ$1="ECCEDENZE",IF(OR(DO178&gt;0,DP178&gt;0),MAX(DQ$2:DQ177)+1,0),""))</f>
        <v>0</v>
      </c>
      <c r="DR178" s="259" t="str">
        <f ca="1">IFERROR(INDEX($DL$3:$DQ$230,MATCH(ROWS(DR$3:DR178),$DQ$3:$DQ$230,0),1),"")</f>
        <v/>
      </c>
      <c r="DS178" s="259" t="str">
        <f t="shared" ca="1" si="424"/>
        <v/>
      </c>
      <c r="DT178" s="259" t="str">
        <f t="shared" ca="1" si="425"/>
        <v/>
      </c>
      <c r="DU178" s="259" t="str">
        <f t="shared" ca="1" si="426"/>
        <v/>
      </c>
      <c r="DV178" s="259" t="str">
        <f t="shared" ca="1" si="427"/>
        <v/>
      </c>
      <c r="DW178" s="259">
        <f t="shared" ca="1" si="428"/>
        <v>0</v>
      </c>
      <c r="DX178" s="259" t="str">
        <f t="shared" ca="1" si="429"/>
        <v/>
      </c>
      <c r="DY178" s="259" t="str">
        <f t="shared" ca="1" si="430"/>
        <v/>
      </c>
      <c r="DZ178" s="259" t="str">
        <f t="shared" ca="1" si="431"/>
        <v/>
      </c>
      <c r="ED178" s="259">
        <f t="shared" ca="1" si="384"/>
        <v>0</v>
      </c>
      <c r="EH178" s="259" t="str">
        <f t="shared" ca="1" si="432"/>
        <v/>
      </c>
      <c r="EI178" s="260" t="b">
        <f t="shared" ca="1" si="466"/>
        <v>0</v>
      </c>
      <c r="EJ178" s="260" t="b">
        <f t="shared" ca="1" si="467"/>
        <v>0</v>
      </c>
      <c r="EK178" s="260" t="b">
        <f t="shared" ca="1" si="468"/>
        <v>1</v>
      </c>
      <c r="EL178" s="259">
        <f t="shared" si="433"/>
        <v>176</v>
      </c>
      <c r="EM178" s="259">
        <f ca="1">IF(AND(BA178&gt;0,BA178&lt;=$EM$1),MAX($EM$2:EM177)+1,0)</f>
        <v>0</v>
      </c>
      <c r="EN178" s="259">
        <f t="shared" ca="1" si="434"/>
        <v>178</v>
      </c>
      <c r="EP178" s="259" t="str">
        <f t="shared" ca="1" si="385"/>
        <v/>
      </c>
      <c r="EQ178" s="259">
        <f t="shared" ca="1" si="386"/>
        <v>0</v>
      </c>
      <c r="ER178" s="259">
        <f ca="1">IF(ISNA(EQ178),MAX(ER$2:ER177)+1,0)</f>
        <v>0</v>
      </c>
      <c r="ES178" s="259" t="str">
        <f t="shared" ca="1" si="435"/>
        <v/>
      </c>
      <c r="ET178" s="259" t="str">
        <f ca="1">IFERROR(UPPER(INDEX($ER$3:$ES$500,MATCH(ROWS(ET$3:ET178),$ER$3:$ER$500,0),2)),"")</f>
        <v/>
      </c>
      <c r="EW178" s="259">
        <f t="shared" ca="1" si="497"/>
        <v>1</v>
      </c>
      <c r="EX178" s="259">
        <v>76</v>
      </c>
      <c r="EY178" s="259">
        <f t="shared" ca="1" si="498"/>
        <v>0</v>
      </c>
      <c r="EZ178" s="259">
        <f t="shared" ca="1" si="499"/>
        <v>0</v>
      </c>
      <c r="FA178" s="259">
        <f t="shared" ca="1" si="500"/>
        <v>0</v>
      </c>
      <c r="FB178" s="259">
        <f t="shared" ca="1" si="501"/>
        <v>0</v>
      </c>
      <c r="FC178" s="259">
        <f t="shared" ca="1" si="502"/>
        <v>0</v>
      </c>
      <c r="FD178" s="259">
        <f t="shared" ca="1" si="387"/>
        <v>0</v>
      </c>
      <c r="FE178" s="259" t="str">
        <f t="shared" ca="1" si="388"/>
        <v/>
      </c>
      <c r="FF178" s="259" t="str">
        <f t="shared" ca="1" si="503"/>
        <v/>
      </c>
      <c r="FM178" s="259">
        <f t="shared" si="389"/>
        <v>0</v>
      </c>
      <c r="FN178" s="259">
        <f>IF(FM178&lt;0,MAX($FN$2:FN177)+1,0)</f>
        <v>0</v>
      </c>
      <c r="FO178" s="259" t="str">
        <f t="shared" si="436"/>
        <v/>
      </c>
      <c r="FP178" s="259" t="str">
        <f ca="1">IFERROR(INDEX($FN$3:$FO$400,MATCH(ROWS($FP$3:FP178),$FN$3:$FN$400,0),2),"")</f>
        <v/>
      </c>
      <c r="FQ178" s="259" t="str">
        <f>IF(AE178="SE AVERE",MAX($FQ$2:FQ177)+1,"")</f>
        <v/>
      </c>
      <c r="FR178" s="259" t="str">
        <f>IF(AE178="SE DARE",MAX($FR$2:FR177)+1,"")</f>
        <v/>
      </c>
      <c r="FS178" s="259" t="str">
        <f ca="1">IF(AND(AE178="SP DARE",AA178&lt;&gt;$FS$1,AA178&lt;&gt;$FT$1),MAX($FS$2:FS177)+1,IF(AND(GQ178="SP DARE",AA178&lt;&gt;$FS$1,AA178&lt;&gt;$FT$1),MAX($FS$2:FS177)+1,""))</f>
        <v/>
      </c>
      <c r="FT178" s="259" t="str">
        <f ca="1">IF(AND(AE178="SP AVERE",AA178&lt;&gt;$FU$1),MAX($FT$2:FT177)+1,IF(AND(GQ178="SP AVERE",AA178&lt;&gt;$FU$1),MAX($FT$2:FT177)+1,""))</f>
        <v/>
      </c>
      <c r="FU178" s="259">
        <f t="shared" ca="1" si="437"/>
        <v>0</v>
      </c>
      <c r="FV178" s="259" t="str">
        <f t="shared" si="438"/>
        <v>CONTO DI RISULTATO ECONOMICO</v>
      </c>
      <c r="FW178" s="259">
        <f ca="1">IFERROR(INDEX($FU$3:$FV$500,MATCH(ROWS($FW$3:FW178),$FU$3:$FU$500,0),2),0)</f>
        <v>0</v>
      </c>
      <c r="FX178" s="259">
        <f t="shared" ca="1" si="439"/>
        <v>0</v>
      </c>
      <c r="FY178" s="259">
        <f t="shared" ca="1" si="440"/>
        <v>176</v>
      </c>
      <c r="FZ178" s="259">
        <f ca="1">IF(FY178&gt;0,MAX($FZ$2:FZ177)+1,0)</f>
        <v>18</v>
      </c>
      <c r="GA178" s="259">
        <f ca="1">IFERROR(INDEX($FY$3:$FZ$500,MATCH(ROWS($GA$3:GA178),$FZ$3:$FZ$500,0),1),0)</f>
        <v>0</v>
      </c>
      <c r="GC178" s="259">
        <f t="shared" ca="1" si="441"/>
        <v>176</v>
      </c>
      <c r="GD178" s="259" t="str">
        <f t="shared" ca="1" si="442"/>
        <v>BILANCIO DI CHIUSURA</v>
      </c>
      <c r="GG178" s="259">
        <f t="shared" ca="1" si="443"/>
        <v>0</v>
      </c>
      <c r="GH178" s="259">
        <f t="shared" ca="1" si="444"/>
        <v>0</v>
      </c>
      <c r="GI178" s="259">
        <f t="shared" ca="1" si="445"/>
        <v>0</v>
      </c>
      <c r="GJ178" s="259">
        <f t="shared" ca="1" si="446"/>
        <v>0</v>
      </c>
      <c r="GK178" s="259">
        <f t="shared" ca="1" si="447"/>
        <v>0</v>
      </c>
      <c r="GL178" s="259">
        <f t="shared" ca="1" si="447"/>
        <v>0</v>
      </c>
      <c r="GM178" s="259">
        <f ca="1">IF(OR(GK178&gt;0,GL178&gt;0),MAX($GM$2:GM177)+1,0)</f>
        <v>0</v>
      </c>
      <c r="GN178" s="259" t="str">
        <f ca="1">IFERROR(INDEX($GD$3:$GM$400,MATCH(ROWS($GN$3:GN178),$GM$3:$GM$400,0),1),"")</f>
        <v/>
      </c>
      <c r="GO178" s="259" t="str">
        <f ca="1">IFERROR(INDEX($GD$3:$GM$400,MATCH(ROWS($GO$3:GO178),$GM$3:$GM$400,0),8),"")</f>
        <v/>
      </c>
      <c r="GP178" s="259" t="str">
        <f ca="1">IFERROR(INDEX($GD$3:$GM$400,MATCH(ROWS($GP$3:GP178),$GM$3:$GM$400,0),9),"")</f>
        <v/>
      </c>
      <c r="GQ178" s="259">
        <f t="shared" ca="1" si="390"/>
        <v>0</v>
      </c>
      <c r="GR178" s="259">
        <f t="shared" ca="1" si="448"/>
        <v>0</v>
      </c>
      <c r="GS178" s="259" t="str">
        <f t="shared" ca="1" si="449"/>
        <v>patrimonio netto finale</v>
      </c>
      <c r="GT178" s="259" t="str">
        <f ca="1">IFERROR(INDEX($GD$3:$GS$400,MATCH(ROWS($GT$3:GT178),$GM$3:$GM$400,0),16),"")</f>
        <v/>
      </c>
      <c r="GU178" s="259">
        <f ca="1">IF(GQ178&lt;&gt;0,MAX($GU$2:$GU177)+1,0)</f>
        <v>0</v>
      </c>
      <c r="GV178" s="259">
        <f t="shared" ca="1" si="450"/>
        <v>0</v>
      </c>
      <c r="GW178" s="259" t="str">
        <f ca="1">IF(AND(IFERROR(INDEX($GU$3:$GV$400,MATCH(ROWS($GW$3:GW178),$GU$3:$GU$400,0),2),"")&lt;&gt;"",GW179&lt;&gt;""),CONCATENATE(IFERROR(INDEX($GU$3:$GV$400,MATCH(ROWS($GW$3:GW178),$GU$3:$GU$400,0),2),"")," - "),IFERROR(INDEX($GU$3:$GV$400,MATCH(ROWS($GW$3:GW178),$GU$3:$GU$400,0),2),""))</f>
        <v/>
      </c>
      <c r="GX178" s="259">
        <f ca="1">IF(OR(GN178="IVA NS/CREDITO",GN178="IVA NS/DEBITO",GN178="IVA C/ACCONTO",GN178="IMPOSTE C/ACCONTO"),MAX($GX$2:GX177)+1,0)</f>
        <v>0</v>
      </c>
      <c r="GY178" s="259" t="str">
        <f ca="1">IF(AND(IFERROR(INDEX($GN$3:$GX$200,MATCH(ROWS($GY$3:GY178),$GX$3:$GX$200,0),1),"")&lt;&gt;"",GY179&lt;&gt;""),CONCATENATE(IFERROR(INDEX($GN$3:$GX$200,MATCH(ROWS($GY$3:GY178),$GX$3:$GX$200,0),1),"")," - "),IFERROR(INDEX($GN$3:$GX$200,MATCH(ROWS($GY$3:GY178),$GX$3:$GX$200,0),1),""))</f>
        <v/>
      </c>
      <c r="GZ178" s="259" t="s">
        <v>594</v>
      </c>
      <c r="HA178" s="259" t="s">
        <v>595</v>
      </c>
      <c r="HB178" s="269" t="s">
        <v>256</v>
      </c>
      <c r="HC178" s="269" t="s">
        <v>276</v>
      </c>
      <c r="HD178" s="269" t="s">
        <v>7</v>
      </c>
      <c r="HE178" s="269" t="s">
        <v>214</v>
      </c>
      <c r="HV178" s="259" t="str">
        <f ca="1">CONCATENATE(IFERROR(INDEX($HS$3:$HT$102,MATCH(ROWS($HV$3:HV178),$HT$3:$HT$102,0),1),""),HR178)</f>
        <v/>
      </c>
      <c r="IC178" s="259">
        <f ca="1">IFERROR(INDEX(PIANO_DEI_CONTI,MATCH(ROWS(DL$3:DL178),$DK$3:DK405,0),2),0)</f>
        <v>0</v>
      </c>
      <c r="ID178" s="259">
        <f t="shared" ca="1" si="451"/>
        <v>0</v>
      </c>
      <c r="IE178" s="259">
        <f t="shared" ca="1" si="452"/>
        <v>0</v>
      </c>
      <c r="IF178" s="259">
        <f t="shared" ca="1" si="453"/>
        <v>0</v>
      </c>
      <c r="IG178" s="259">
        <f t="shared" ca="1" si="479"/>
        <v>0</v>
      </c>
      <c r="IH178" s="259">
        <f ca="1">IF(IG178&lt;&gt;0,MAX($IH$35:IH177)+1,0)</f>
        <v>0</v>
      </c>
      <c r="II178" s="259">
        <f>IF(AD178="costi pluriennali",MAX($II$2:II177)+1,0)</f>
        <v>0</v>
      </c>
      <c r="IJ178" s="259">
        <f>IF($AD178="rettifiche costi pluriennali",MAX($IJ$2:IJ177)+1,0)</f>
        <v>0</v>
      </c>
      <c r="IK178" s="259">
        <f t="shared" si="454"/>
        <v>0</v>
      </c>
      <c r="IL178" s="259" t="str">
        <f t="shared" si="455"/>
        <v/>
      </c>
      <c r="IM178" s="259">
        <f t="shared" ca="1" si="456"/>
        <v>0</v>
      </c>
      <c r="IN178" s="259">
        <f t="shared" ca="1" si="470"/>
        <v>0</v>
      </c>
      <c r="IO178" s="259">
        <f>SUMIFS($IM$3:$IM$200,$IK$3:$IK$200,ROWS($IO$3:IO178))-SUMIFS($IN$3:$IN$200,$IK$3:$IK$200,ROWS($IO$3:IO178))</f>
        <v>0</v>
      </c>
      <c r="IP178" s="259" t="str">
        <f>IF(IO178&lt;0,INDEX($IJ$3:$IL$200,MATCH(ROWS($IP$3:IP178),$IJ$3:$IJ$200,0),3),"")</f>
        <v/>
      </c>
      <c r="IQ178" s="259">
        <f>IF(IP178&lt;&gt;"",MAX($IQ$2:IQ177)+1,0)</f>
        <v>0</v>
      </c>
      <c r="IR178" s="259" t="str">
        <f ca="1">IFERROR(INDEX($IP$3:$IQ$200,MATCH(ROWS($IR$3:IR178),$IQ$3:$IQ$200,0),1),"")</f>
        <v/>
      </c>
      <c r="IS178" s="259" t="str">
        <f t="shared" ca="1" si="457"/>
        <v/>
      </c>
      <c r="IT178" s="259" t="str">
        <f t="shared" ca="1" si="458"/>
        <v/>
      </c>
      <c r="IU178" s="259" t="str">
        <f t="shared" ca="1" si="459"/>
        <v/>
      </c>
      <c r="IV178" s="259" t="str">
        <f t="shared" ca="1" si="460"/>
        <v/>
      </c>
      <c r="IW178" s="259" t="str">
        <f t="shared" ca="1" si="461"/>
        <v/>
      </c>
      <c r="IX178" s="259" t="str">
        <f t="shared" ca="1" si="462"/>
        <v/>
      </c>
      <c r="IY178" s="259" t="str">
        <f t="shared" ca="1" si="463"/>
        <v/>
      </c>
      <c r="IZ178" s="259" t="str">
        <f t="shared" ca="1" si="464"/>
        <v/>
      </c>
      <c r="JA178" s="259" t="str">
        <f t="shared" ca="1" si="465"/>
        <v/>
      </c>
      <c r="JB178" s="259">
        <f t="shared" ca="1" si="391"/>
        <v>0</v>
      </c>
      <c r="JC178" s="259">
        <f t="shared" ca="1" si="504"/>
        <v>0</v>
      </c>
      <c r="JD178" s="259">
        <f t="shared" ca="1" si="505"/>
        <v>0</v>
      </c>
      <c r="JM178" s="259">
        <f t="shared" ca="1" si="506"/>
        <v>0</v>
      </c>
    </row>
    <row r="179" spans="1:273">
      <c r="A179" s="259" t="str">
        <f t="shared" si="392"/>
        <v>36.00</v>
      </c>
      <c r="B179" s="259" t="str">
        <f t="shared" si="393"/>
        <v>SVALUTAZIONI</v>
      </c>
      <c r="C179" s="259">
        <f t="shared" si="394"/>
        <v>0</v>
      </c>
      <c r="D179" s="259">
        <f t="shared" si="395"/>
        <v>0</v>
      </c>
      <c r="E179" s="259">
        <f t="shared" si="396"/>
        <v>0</v>
      </c>
      <c r="F179" s="259">
        <f t="shared" si="397"/>
        <v>0</v>
      </c>
      <c r="G179" s="259">
        <f t="shared" ca="1" si="398"/>
        <v>0</v>
      </c>
      <c r="H179" s="259">
        <f t="shared" ca="1" si="399"/>
        <v>0</v>
      </c>
      <c r="I179" s="259">
        <f t="shared" ca="1" si="400"/>
        <v>0</v>
      </c>
      <c r="K179" s="259" t="str">
        <f ca="1">IFERROR(IF($I$1=1,INDEX($AA$3:$AS$220,MATCH(ROWS($K$3:K179),$AQ$3:$AQ$220,0),1),IF($I$1=2,INDEX($AA$3:$AS$220,MATCH(ROWS($K$3:K179),$AR$3:$AR$220,0),1),IF($I$1=3,INDEX($AA$3:$AS$220,MATCH(ROWS($K$3:K179),$AS$3:$AS$220,0),1),""))),"")</f>
        <v/>
      </c>
      <c r="L179" s="259">
        <f ca="1">IF(AND($L$1="VISUALIZZA TUTTI I CONTI",K179&lt;&gt;""),MAX(L178:L178)+1,IFERROR(IF($J$1=1,IF(INDEX(PIANO_DEI_CONTI,MATCH($K179,DENOMINAZIONE,0),5)=$L$1,MAX($L$2:L178)+1,0),IF($J$1=2,IF(INDEX(PIANO_DEI_CONTI,MATCH($K179,DENOMINAZIONE,0),7)=$L$1,MAX($L$2:L178)+1,0))),0))</f>
        <v>0</v>
      </c>
      <c r="M179" s="259" t="str">
        <f ca="1">IFERROR(INDEX($K$3:$K$220,MATCH(ROWS($M$3:M179),$L$3:$L$220,0),1),"")</f>
        <v/>
      </c>
      <c r="R179" s="259" t="str">
        <f t="shared" ca="1" si="366"/>
        <v/>
      </c>
      <c r="S179" s="259">
        <f ca="1">IF(IFERROR(MATCH(R179,DENOMINAZIONE_GIORNALE,0),0)&gt;0,MAX(S$2:S178)+1,0)</f>
        <v>0</v>
      </c>
      <c r="T179" s="259" t="str">
        <f ca="1">IFERROR(INDEX($R$3:$S$220,MATCH(ROWS($T$3:T179),$S$3:$S$220,0),1),"")</f>
        <v/>
      </c>
      <c r="U179" s="259">
        <f t="shared" ca="1" si="367"/>
        <v>0</v>
      </c>
      <c r="V179" s="259">
        <f ca="1">IF(IF(U179&lt;&gt;0,MAX($V$2:V178)+1,0)=0,0,IF(U179&lt;&gt;0,MAX($V$2:V178)+1,0))</f>
        <v>0</v>
      </c>
      <c r="W179" s="259" t="str">
        <f t="shared" si="401"/>
        <v/>
      </c>
      <c r="X179" s="259" t="str">
        <f t="shared" si="402"/>
        <v/>
      </c>
      <c r="Y179" s="259">
        <f>IF(W179="",0,MAX($Y$2:Y178)+1)</f>
        <v>0</v>
      </c>
      <c r="Z179" s="259">
        <f>IFERROR(INDEX($W$3:$Y$220,MATCH(ROWS($Z$2:Z178),$Y$3:$Y$220,0),1),"")</f>
        <v>0</v>
      </c>
      <c r="AA179" s="259">
        <f t="shared" si="403"/>
        <v>0</v>
      </c>
      <c r="AB179" s="259">
        <f t="shared" si="404"/>
        <v>0</v>
      </c>
      <c r="AC179" s="259">
        <f t="shared" si="405"/>
        <v>0</v>
      </c>
      <c r="AD179" s="259">
        <f t="shared" si="406"/>
        <v>0</v>
      </c>
      <c r="AE179" s="259">
        <f t="shared" si="407"/>
        <v>0</v>
      </c>
      <c r="AF179" s="259" t="str">
        <f t="shared" si="408"/>
        <v/>
      </c>
      <c r="AG179" s="259">
        <f t="shared" ca="1" si="409"/>
        <v>0</v>
      </c>
      <c r="AH179" s="259">
        <f t="shared" ca="1" si="410"/>
        <v>0</v>
      </c>
      <c r="AI179" s="259">
        <f t="shared" ca="1" si="411"/>
        <v>0</v>
      </c>
      <c r="AJ179" s="259" t="str">
        <f t="shared" si="412"/>
        <v>0</v>
      </c>
      <c r="AK179" s="259" t="str">
        <f t="shared" si="413"/>
        <v>36</v>
      </c>
      <c r="AL179" s="259">
        <f>IF(AK179&lt;&gt;"",MAX($AL$2:AL178)+1,0)</f>
        <v>25</v>
      </c>
      <c r="AM179" s="259" t="str">
        <f>IFERROR(INDEX($AK$3:$AL$220,MATCH(ROWS($AM$3:AM179),$AL$3:$AL$220,0),1),"")</f>
        <v/>
      </c>
      <c r="AN179" s="259" t="str">
        <f t="shared" si="414"/>
        <v/>
      </c>
      <c r="AO179" s="259" t="str">
        <f t="shared" si="415"/>
        <v/>
      </c>
      <c r="AP179" s="259" t="str">
        <f t="shared" si="416"/>
        <v/>
      </c>
      <c r="AQ179" s="259">
        <f ca="1">IF(OR(AG179=0,AG179=""),0,MAX(AQ$2:AQ178)+1)</f>
        <v>0</v>
      </c>
      <c r="AR179" s="259">
        <f ca="1">IF(OR(AH179=0,AH179=""),0,MAX(AR$2:AR178)+1)</f>
        <v>0</v>
      </c>
      <c r="AS179" s="259">
        <f ca="1">IF(OR(AI179=0,AI179=""),0,MAX(AS$2:AS178)+1)</f>
        <v>0</v>
      </c>
      <c r="AT179" s="259" t="str">
        <f ca="1">IFERROR(INDEX($AD$3:$AS$220,MATCH(ROWS(AT$3:AT179),AQ$3:AQ$220,0),1),"")</f>
        <v/>
      </c>
      <c r="AU179" s="259" t="str">
        <f ca="1">IFERROR(INDEX($AD$3:$AS$220,MATCH(ROWS(AU$3:AU179),AR$3:AR$220,0),1),"")</f>
        <v/>
      </c>
      <c r="AV179" s="259" t="str">
        <f ca="1">IFERROR(INDEX($AD$3:$AS$220,MATCH(ROWS(AV$3:AV179),AS$3:AS$220,0),1),"")</f>
        <v/>
      </c>
      <c r="AW179" s="259" t="str">
        <f ca="1">IFERROR(INDEX($AP$3:$AS$220,MATCH(ROWS(AW$3:AW179),AQ$3:AQ$220,0),1),"")</f>
        <v/>
      </c>
      <c r="AX179" s="259" t="str">
        <f ca="1">IFERROR(INDEX($AP$3:$AS$220,MATCH(ROWS(AX$3:AX179),AR$3:AR$220,0),1),"")</f>
        <v/>
      </c>
      <c r="AY179" s="259" t="str">
        <f ca="1">IFERROR(INDEX($AP$3:$AS$220,MATCH(ROWS(AY$3:AY179),AS$3:AS$220,0),1),"")</f>
        <v/>
      </c>
      <c r="AZ179" s="259" t="str">
        <f t="shared" si="490"/>
        <v>77 V.I.</v>
      </c>
      <c r="BA179" s="259">
        <f t="shared" ca="1" si="484"/>
        <v>0</v>
      </c>
      <c r="BB179" s="259">
        <f t="shared" ca="1" si="491"/>
        <v>0</v>
      </c>
      <c r="BC179" s="259">
        <f t="shared" ca="1" si="492"/>
        <v>0</v>
      </c>
      <c r="BD179" s="259">
        <f t="shared" ca="1" si="493"/>
        <v>0</v>
      </c>
      <c r="BE179" s="259">
        <f t="shared" ca="1" si="494"/>
        <v>0</v>
      </c>
      <c r="BG179" s="259" t="str">
        <f t="shared" ca="1" si="368"/>
        <v/>
      </c>
      <c r="BH179" s="259">
        <f ca="1">IF(IFERROR(MATCH(BG179,DENOMINAZIONE_GIORNALE,0),0)&gt;0,MAX(BH$2:BH178)+1,0)</f>
        <v>0</v>
      </c>
      <c r="BI179" s="259" t="str">
        <f ca="1">IFERROR(INDEX($BG$3:$BH$220,MATCH(ROWS($BI$3:BI179),$BH$3:$BH$220,0),1),"")</f>
        <v/>
      </c>
      <c r="BJ179" s="259" t="str">
        <f t="shared" ca="1" si="369"/>
        <v/>
      </c>
      <c r="BK179" s="259" t="str">
        <f ca="1">IF(IF(BJ179&lt;&gt;"",MAX($BK$2:BK178)+1,0)=0,"",IF(BJ179&lt;&gt;"",MAX($BK$2:BK178)+1,0))</f>
        <v/>
      </c>
      <c r="BL179" s="259" t="str">
        <f ca="1">IFERROR(INDEX($T$3:$U$220, MATCH(ROWS(BL$3:BL179),$V$3:$V$220,0),1),"")</f>
        <v/>
      </c>
      <c r="BM179" s="259" t="str">
        <f ca="1">IFERROR(INDEX($T$3:$U$220, MATCH(ROWS(BM$3:BM179),$V$3:$V$220,0),2),"")</f>
        <v/>
      </c>
      <c r="BN179" s="259" t="str">
        <f ca="1">IF(IFERROR(INDEX($BI$3:$BJ$220,MATCH(ROWS(BN$3:BN179),$BK$3:$BK$220,0),1),"")="PATRIMONIO NETTO","",IFERROR(INDEX($BI$3:$BJ$220,MATCH(ROWS(BN$3:BN179),$BK$3:$BK$220,0),1),""))</f>
        <v/>
      </c>
      <c r="BO179" s="259" t="str">
        <f ca="1">IFERROR(INDEX($BI$3:$BJ$220,MATCH(ROWS(BO$3:BO179),$BK$3:$BK$220,0),2),"")</f>
        <v/>
      </c>
      <c r="BP179" s="259">
        <f ca="1">IF(BN179&lt;&gt;"",MAX(BP$2:$BP178)+1,0)</f>
        <v>0</v>
      </c>
      <c r="BQ179" s="259" t="str">
        <f ca="1">IFERROR(INDEX($BN$3:$BO$200,MATCH(ROWS(BQ$3:BQ179),$BP$3:$BP$220,0),1),"")</f>
        <v/>
      </c>
      <c r="BR179" s="259" t="str">
        <f ca="1">IFERROR(INDEX($BN$3:$BO$220,MATCH(ROWS(BR$3:BR179),$BP$3:$BP$220,0),2),"")</f>
        <v/>
      </c>
      <c r="BS179" s="259" t="str">
        <f ca="1">IFERROR(IF(OR(INDEX($T$3:$U$220,MATCH(ROWS(BL$3:BL179),$V$3:$V$220,0),1)="PRELEVAMENTI EXTRAGESTIONE",INDEX($T$3:$U$220,MATCH(ROWS(BL$3:BL179),$V$3:$V$220,0),1)="TITOLARE C/RITENUTE SUBITE"),"",INDEX($T$3:$U$220,MATCH(ROWS(BL$3:BL179),$V$3:$V$220,0),1)),"")</f>
        <v/>
      </c>
      <c r="BT179" s="259">
        <f t="shared" ca="1" si="417"/>
        <v>0</v>
      </c>
      <c r="BU179" s="259">
        <f ca="1">IF(BS179&lt;&gt;"",MAX(BU$2:BU178)+1,0)</f>
        <v>0</v>
      </c>
      <c r="BV179" s="259" t="str">
        <f ca="1">IFERROR(INDEX($BS$3:$BT$223,MATCH(ROWS(BV$3:BV179),$BU$3:$BU$223,0),1),"")</f>
        <v/>
      </c>
      <c r="BW179" s="259">
        <f t="shared" ca="1" si="418"/>
        <v>0</v>
      </c>
      <c r="CB179" s="259" t="str">
        <f ca="1">IFERROR(IF(OR($BB$1&lt;&gt;$BD$1,$BC$1&lt;&gt;$BE$1,$DS$231&lt;&gt;$DT$231,$DU$231&lt;&gt;$DV$231,$EO$25&lt;&gt;0,$EO$26&lt;&gt;0),INDEX($BI$3:$BK$220,MATCH(ROWS($CB$3:CB179),$BK$3:$BK$220,0),1),CONCATENATE(BQ179,BX179)),"")</f>
        <v/>
      </c>
      <c r="CC179" s="259" t="str">
        <f t="shared" ca="1" si="419"/>
        <v/>
      </c>
      <c r="CD179" s="259" t="str">
        <f t="shared" ca="1" si="370"/>
        <v/>
      </c>
      <c r="CE179" s="259">
        <f ca="1">IF(IFERROR(MATCH(CD179,DENOMINAZIONE_GIORNALE,0),0)&gt;0,MAX(CE$2:CE178)+1,0)</f>
        <v>0</v>
      </c>
      <c r="CF179" s="259" t="str">
        <f ca="1">IFERROR(INDEX($CD$3:$CE$220,MATCH(ROWS($CF$3:CF179),$CE$3:$CE$220,0),1),"")</f>
        <v/>
      </c>
      <c r="CG179" s="259">
        <f t="shared" ca="1" si="371"/>
        <v>0</v>
      </c>
      <c r="CH179" s="259" t="str">
        <f ca="1">IF(IF(CG179&lt;&gt;0,MAX($CH$2:CH178)+1,0)=0,"",IF(CG179&lt;&gt;"",MAX($CH$2:CH178)+1,0))</f>
        <v/>
      </c>
      <c r="CI179" s="259" t="str">
        <f ca="1">IFERROR(INDEX($CF$3:$CG$220,MATCH(ROWS($CI$3:CI179),$CH$3:$CH$220,0),1),"")</f>
        <v/>
      </c>
      <c r="CJ179" s="259" t="str">
        <f t="shared" ca="1" si="420"/>
        <v/>
      </c>
      <c r="CK179" s="259" t="str">
        <f t="shared" ca="1" si="372"/>
        <v/>
      </c>
      <c r="CL179" s="259">
        <f ca="1">IF(IFERROR(MATCH(CK179,DENOMINAZIONE_GIORNALE,0),0)&gt;0,MAX(CL$2:CL178)+1,0)</f>
        <v>0</v>
      </c>
      <c r="CM179" s="259" t="str">
        <f ca="1">IFERROR(INDEX($CK$3:$CL$220,MATCH(ROWS($CM$3:CM179),$CL$3:$CL$220,0),1),"")</f>
        <v/>
      </c>
      <c r="CN179" s="259" t="str">
        <f t="shared" ca="1" si="373"/>
        <v/>
      </c>
      <c r="CO179" s="259">
        <f ca="1">IF(IF(CN179&lt;&gt;0,MAX($CO$2:CO178)+1,0)=0,"",IF(CN179&lt;&gt;"",MAX($CO$2:CO178)+1,0))</f>
        <v>0</v>
      </c>
      <c r="CP179" s="259" t="str">
        <f ca="1">IFERROR(INDEX($CM$3:$CN$220,MATCH(ROWS(CP$3:CP179),$CO$3:$CO$220,0),1),"")</f>
        <v/>
      </c>
      <c r="CQ179" s="259" t="str">
        <f ca="1">IFERROR(INDEX($CM$3:$CN$220,MATCH(ROWS(CQ$3:CQ179),$CO$3:$CO$220,0),2),"")</f>
        <v/>
      </c>
      <c r="CS179" s="259">
        <f t="shared" ca="1" si="374"/>
        <v>0</v>
      </c>
      <c r="CT179" s="259">
        <f t="shared" ca="1" si="375"/>
        <v>0</v>
      </c>
      <c r="CU179" s="259">
        <f ca="1">IF(OR(CS179&gt;0,CT179&gt;0),MAX($CU$2:CU178)+1,0)</f>
        <v>0</v>
      </c>
      <c r="CV179" s="259" t="str">
        <f ca="1">IFERROR(INDEX(PIANO_DEI_CONTI,MATCH(ROWS($CV$3:CV179),$CU$3:$CU$200,0),2),"")</f>
        <v/>
      </c>
      <c r="CW179" s="259">
        <f ca="1">IFERROR(IF(CV179&lt;&gt;"",MAX($CW$2:CW178)+1,0),0)</f>
        <v>0</v>
      </c>
      <c r="CX179" s="259">
        <f t="shared" ca="1" si="482"/>
        <v>10</v>
      </c>
      <c r="CY179" s="259" t="str">
        <f t="shared" ca="1" si="495"/>
        <v>MASTRO</v>
      </c>
      <c r="CZ179" s="259" t="e">
        <f t="shared" ca="1" si="485"/>
        <v>#N/A</v>
      </c>
      <c r="DA179" s="259" t="str">
        <f t="shared" ca="1" si="496"/>
        <v/>
      </c>
      <c r="DB179" s="259" t="str">
        <f t="shared" ca="1" si="486"/>
        <v/>
      </c>
      <c r="DC179" s="259" t="str">
        <f t="shared" ca="1" si="487"/>
        <v/>
      </c>
      <c r="DD179" s="259" t="str">
        <f t="shared" ca="1" si="488"/>
        <v/>
      </c>
      <c r="DE179" s="259" t="str">
        <f t="shared" ca="1" si="489"/>
        <v/>
      </c>
      <c r="DF179" s="259">
        <f ca="1">IF(AND(CX179=$DE$2,$DF$2&lt;&gt;0),0,IF(AND(DB179&lt;&gt;"",OR(DB178&lt;&gt;"",DB180&lt;&gt;"")),MAX($DF$2:DF178)+1,0))</f>
        <v>0</v>
      </c>
      <c r="DG179" s="259" t="str">
        <f>IF(IF(LIBRO_GIORNALE!E87="","",IFERROR(INDEX(PIANO_DEI_CONTI,MATCH(BB179,DENOMINAZIONE,0),1),0))=0,"",IF(LIBRO_GIORNALE!E87="","",IFERROR(INDEX(PIANO_DEI_CONTI,MATCH(BB179,DENOMINAZIONE,0),1),0)))</f>
        <v/>
      </c>
      <c r="DH179" s="259">
        <f ca="1">IFERROR(IF($J$1=1,IF(INDEX(PIANO_DEI_CONTI,MATCH($K179,DENOMINAZIONE,0),5)=$DF$1,MAX($DH$2:DH178)+1,0),IF($J$1=2,IF(INDEX(PIANO_DEI_CONTI,MATCH($K179,DENOMINAZIONE,0),7)=$DF$1,MAX($DH$2:DH178)+1,0))),0)</f>
        <v>0</v>
      </c>
      <c r="DI179" s="259">
        <f ca="1">IFERROR(INDEX($K$3:$K$220,MATCH(ROWS($DI$3:DI179),$DH$3:$DH$220,0),1),0)</f>
        <v>0</v>
      </c>
      <c r="DJ179" s="259">
        <f t="shared" ca="1" si="381"/>
        <v>177</v>
      </c>
      <c r="DK179" s="259">
        <f ca="1">IF(DJ179=0,0,MAX(DK$2:DK178)+1)</f>
        <v>1</v>
      </c>
      <c r="DL179" s="259">
        <f ca="1">IFERROR(INDEX(PIANO_DEI_CONTI,MATCH(ROWS(DL$3:DL179),$DK$3:DK406,0),2),0)</f>
        <v>0</v>
      </c>
      <c r="DM179" s="259">
        <f t="shared" ca="1" si="382"/>
        <v>0</v>
      </c>
      <c r="DN179" s="259">
        <f t="shared" ca="1" si="383"/>
        <v>0</v>
      </c>
      <c r="DO179" s="259">
        <f t="shared" ca="1" si="422"/>
        <v>0</v>
      </c>
      <c r="DP179" s="259">
        <f t="shared" ca="1" si="423"/>
        <v>0</v>
      </c>
      <c r="DQ179" s="259">
        <f ca="1">IF(OR($DQ$1="TOTALI",$DQ$1="TOTALI ED ECCEDENZE"),IF(OR(DM179&gt;0,DN179&gt;0),MAX(DQ$2:DQ178)+1,0),IF($DQ$1="ECCEDENZE",IF(OR(DO179&gt;0,DP179&gt;0),MAX(DQ$2:DQ178)+1,0),""))</f>
        <v>0</v>
      </c>
      <c r="DR179" s="259" t="str">
        <f ca="1">IFERROR(INDEX($DL$3:$DQ$230,MATCH(ROWS(DR$3:DR179),$DQ$3:$DQ$230,0),1),"")</f>
        <v/>
      </c>
      <c r="DS179" s="259" t="str">
        <f t="shared" ca="1" si="424"/>
        <v/>
      </c>
      <c r="DT179" s="259" t="str">
        <f t="shared" ca="1" si="425"/>
        <v/>
      </c>
      <c r="DU179" s="259" t="str">
        <f t="shared" ca="1" si="426"/>
        <v/>
      </c>
      <c r="DV179" s="259" t="str">
        <f t="shared" ca="1" si="427"/>
        <v/>
      </c>
      <c r="DW179" s="259">
        <f t="shared" ca="1" si="428"/>
        <v>0</v>
      </c>
      <c r="DX179" s="259" t="str">
        <f t="shared" ca="1" si="429"/>
        <v/>
      </c>
      <c r="DY179" s="259" t="str">
        <f t="shared" ca="1" si="430"/>
        <v/>
      </c>
      <c r="DZ179" s="259" t="str">
        <f t="shared" ca="1" si="431"/>
        <v/>
      </c>
      <c r="ED179" s="259">
        <f t="shared" ca="1" si="384"/>
        <v>0</v>
      </c>
      <c r="EH179" s="259" t="str">
        <f t="shared" ca="1" si="432"/>
        <v/>
      </c>
      <c r="EI179" s="260" t="b">
        <f t="shared" ca="1" si="466"/>
        <v>0</v>
      </c>
      <c r="EJ179" s="260" t="b">
        <f t="shared" ca="1" si="467"/>
        <v>0</v>
      </c>
      <c r="EK179" s="260" t="b">
        <f t="shared" ca="1" si="468"/>
        <v>0</v>
      </c>
      <c r="EL179" s="259">
        <f t="shared" si="433"/>
        <v>177</v>
      </c>
      <c r="EM179" s="259">
        <f ca="1">IF(AND(BA179&gt;0,BA179&lt;=$EM$1),MAX($EM$2:EM178)+1,0)</f>
        <v>0</v>
      </c>
      <c r="EN179" s="259">
        <f t="shared" ca="1" si="434"/>
        <v>179</v>
      </c>
      <c r="EP179" s="259" t="str">
        <f t="shared" ca="1" si="385"/>
        <v/>
      </c>
      <c r="EQ179" s="259">
        <f t="shared" ca="1" si="386"/>
        <v>0</v>
      </c>
      <c r="ER179" s="259">
        <f ca="1">IF(ISNA(EQ179),MAX(ER$2:ER178)+1,0)</f>
        <v>0</v>
      </c>
      <c r="ES179" s="259" t="str">
        <f t="shared" ca="1" si="435"/>
        <v/>
      </c>
      <c r="ET179" s="259" t="str">
        <f ca="1">IFERROR(UPPER(INDEX($ER$3:$ES$500,MATCH(ROWS(ET$3:ET179),$ER$3:$ER$500,0),2)),"")</f>
        <v/>
      </c>
      <c r="EW179" s="259">
        <f t="shared" ca="1" si="497"/>
        <v>1</v>
      </c>
      <c r="EX179" s="259">
        <v>77</v>
      </c>
      <c r="EY179" s="259">
        <f t="shared" ca="1" si="498"/>
        <v>0</v>
      </c>
      <c r="EZ179" s="259">
        <f t="shared" ca="1" si="499"/>
        <v>0</v>
      </c>
      <c r="FA179" s="259">
        <f t="shared" ca="1" si="500"/>
        <v>0</v>
      </c>
      <c r="FB179" s="259">
        <f t="shared" ca="1" si="501"/>
        <v>0</v>
      </c>
      <c r="FC179" s="259">
        <f t="shared" ca="1" si="502"/>
        <v>0</v>
      </c>
      <c r="FD179" s="259">
        <f t="shared" ca="1" si="387"/>
        <v>0</v>
      </c>
      <c r="FE179" s="259" t="str">
        <f t="shared" ca="1" si="388"/>
        <v/>
      </c>
      <c r="FF179" s="259" t="str">
        <f t="shared" ca="1" si="503"/>
        <v/>
      </c>
      <c r="FM179" s="259">
        <f t="shared" si="389"/>
        <v>0</v>
      </c>
      <c r="FN179" s="259">
        <f>IF(FM179&lt;0,MAX($FN$2:FN178)+1,0)</f>
        <v>0</v>
      </c>
      <c r="FO179" s="259" t="str">
        <f t="shared" si="436"/>
        <v/>
      </c>
      <c r="FP179" s="259" t="str">
        <f ca="1">IFERROR(INDEX($FN$3:$FO$400,MATCH(ROWS($FP$3:FP179),$FN$3:$FN$400,0),2),"")</f>
        <v/>
      </c>
      <c r="FQ179" s="259" t="str">
        <f>IF(AE179="SE AVERE",MAX($FQ$2:FQ178)+1,"")</f>
        <v/>
      </c>
      <c r="FR179" s="259" t="str">
        <f>IF(AE179="SE DARE",MAX($FR$2:FR178)+1,"")</f>
        <v/>
      </c>
      <c r="FS179" s="259" t="str">
        <f ca="1">IF(AND(AE179="SP DARE",AA179&lt;&gt;$FS$1,AA179&lt;&gt;$FT$1),MAX($FS$2:FS178)+1,IF(AND(GQ179="SP DARE",AA179&lt;&gt;$FS$1,AA179&lt;&gt;$FT$1),MAX($FS$2:FS178)+1,""))</f>
        <v/>
      </c>
      <c r="FT179" s="259" t="str">
        <f ca="1">IF(AND(AE179="SP AVERE",AA179&lt;&gt;$FU$1),MAX($FT$2:FT178)+1,IF(AND(GQ179="SP AVERE",AA179&lt;&gt;$FU$1),MAX($FT$2:FT178)+1,""))</f>
        <v/>
      </c>
      <c r="FU179" s="259">
        <f t="shared" ca="1" si="437"/>
        <v>0</v>
      </c>
      <c r="FV179" s="259">
        <f t="shared" si="438"/>
        <v>0</v>
      </c>
      <c r="FW179" s="259">
        <f ca="1">IFERROR(INDEX($FU$3:$FV$500,MATCH(ROWS($FW$3:FW179),$FU$3:$FU$500,0),2),0)</f>
        <v>0</v>
      </c>
      <c r="FX179" s="259">
        <f t="shared" ca="1" si="439"/>
        <v>0</v>
      </c>
      <c r="FY179" s="259">
        <f t="shared" ca="1" si="440"/>
        <v>0</v>
      </c>
      <c r="FZ179" s="259">
        <f ca="1">IF(FY179&gt;0,MAX($FZ$2:FZ178)+1,0)</f>
        <v>0</v>
      </c>
      <c r="GA179" s="259">
        <f ca="1">IFERROR(INDEX($FY$3:$FZ$500,MATCH(ROWS($GA$3:GA179),$FZ$3:$FZ$500,0),1),0)</f>
        <v>0</v>
      </c>
      <c r="GC179" s="259">
        <f t="shared" ca="1" si="441"/>
        <v>0</v>
      </c>
      <c r="GD179" s="259">
        <f t="shared" ca="1" si="442"/>
        <v>0</v>
      </c>
      <c r="GG179" s="259">
        <f t="shared" ca="1" si="443"/>
        <v>0</v>
      </c>
      <c r="GH179" s="259">
        <f t="shared" ca="1" si="444"/>
        <v>0</v>
      </c>
      <c r="GI179" s="259">
        <f t="shared" ca="1" si="445"/>
        <v>0</v>
      </c>
      <c r="GJ179" s="259">
        <f t="shared" ca="1" si="446"/>
        <v>0</v>
      </c>
      <c r="GK179" s="259">
        <f t="shared" ca="1" si="447"/>
        <v>0</v>
      </c>
      <c r="GL179" s="259">
        <f t="shared" ca="1" si="447"/>
        <v>0</v>
      </c>
      <c r="GM179" s="259">
        <f ca="1">IF(OR(GK179&gt;0,GL179&gt;0),MAX($GM$2:GM178)+1,0)</f>
        <v>0</v>
      </c>
      <c r="GN179" s="259" t="str">
        <f ca="1">IFERROR(INDEX($GD$3:$GM$400,MATCH(ROWS($GN$3:GN179),$GM$3:$GM$400,0),1),"")</f>
        <v/>
      </c>
      <c r="GO179" s="259" t="str">
        <f ca="1">IFERROR(INDEX($GD$3:$GM$400,MATCH(ROWS($GO$3:GO179),$GM$3:$GM$400,0),8),"")</f>
        <v/>
      </c>
      <c r="GP179" s="259" t="str">
        <f ca="1">IFERROR(INDEX($GD$3:$GM$400,MATCH(ROWS($GP$3:GP179),$GM$3:$GM$400,0),9),"")</f>
        <v/>
      </c>
      <c r="GQ179" s="259">
        <f t="shared" ca="1" si="390"/>
        <v>0</v>
      </c>
      <c r="GR179" s="259">
        <f t="shared" ca="1" si="448"/>
        <v>0</v>
      </c>
      <c r="GS179" s="259" t="str">
        <f t="shared" ca="1" si="449"/>
        <v/>
      </c>
      <c r="GT179" s="259" t="str">
        <f ca="1">IFERROR(INDEX($GD$3:$GS$400,MATCH(ROWS($GT$3:GT179),$GM$3:$GM$400,0),16),"")</f>
        <v/>
      </c>
      <c r="GU179" s="259">
        <f ca="1">IF(GQ179&lt;&gt;0,MAX($GU$2:$GU178)+1,0)</f>
        <v>0</v>
      </c>
      <c r="GV179" s="259">
        <f t="shared" ca="1" si="450"/>
        <v>0</v>
      </c>
      <c r="GW179" s="259" t="str">
        <f ca="1">IF(AND(IFERROR(INDEX($GU$3:$GV$400,MATCH(ROWS($GW$3:GW179),$GU$3:$GU$400,0),2),"")&lt;&gt;"",GW180&lt;&gt;""),CONCATENATE(IFERROR(INDEX($GU$3:$GV$400,MATCH(ROWS($GW$3:GW179),$GU$3:$GU$400,0),2),"")," - "),IFERROR(INDEX($GU$3:$GV$400,MATCH(ROWS($GW$3:GW179),$GU$3:$GU$400,0),2),""))</f>
        <v/>
      </c>
      <c r="GX179" s="259">
        <f ca="1">IF(OR(GN179="IVA NS/CREDITO",GN179="IVA NS/DEBITO",GN179="IVA C/ACCONTO",GN179="IMPOSTE C/ACCONTO"),MAX($GX$2:GX178)+1,0)</f>
        <v>0</v>
      </c>
      <c r="GY179" s="259" t="str">
        <f ca="1">IF(AND(IFERROR(INDEX($GN$3:$GX$200,MATCH(ROWS($GY$3:GY179),$GX$3:$GX$200,0),1),"")&lt;&gt;"",GY180&lt;&gt;""),CONCATENATE(IFERROR(INDEX($GN$3:$GX$200,MATCH(ROWS($GY$3:GY179),$GX$3:$GX$200,0),1),"")," - "),IFERROR(INDEX($GN$3:$GX$200,MATCH(ROWS($GY$3:GY179),$GX$3:$GX$200,0),1),""))</f>
        <v/>
      </c>
      <c r="GZ179" s="259" t="s">
        <v>596</v>
      </c>
      <c r="HA179" s="270" t="s">
        <v>597</v>
      </c>
      <c r="HV179" s="259" t="str">
        <f ca="1">CONCATENATE(IFERROR(INDEX($HS$3:$HT$102,MATCH(ROWS($HV$3:HV179),$HT$3:$HT$102,0),1),""),HR179)</f>
        <v/>
      </c>
      <c r="IC179" s="259">
        <f ca="1">IFERROR(INDEX(PIANO_DEI_CONTI,MATCH(ROWS(DL$3:DL179),$DK$3:DK406,0),2),0)</f>
        <v>0</v>
      </c>
      <c r="ID179" s="259">
        <f t="shared" ca="1" si="451"/>
        <v>0</v>
      </c>
      <c r="IE179" s="259">
        <f t="shared" ca="1" si="452"/>
        <v>0</v>
      </c>
      <c r="IF179" s="259">
        <f t="shared" ca="1" si="453"/>
        <v>0</v>
      </c>
      <c r="IG179" s="259">
        <f t="shared" ca="1" si="479"/>
        <v>0</v>
      </c>
      <c r="IH179" s="259">
        <f ca="1">IF(IG179&lt;&gt;0,MAX($IH$35:IH178)+1,0)</f>
        <v>0</v>
      </c>
      <c r="II179" s="259">
        <f>IF(AD179="costi pluriennali",MAX($II$2:II178)+1,0)</f>
        <v>0</v>
      </c>
      <c r="IJ179" s="259">
        <f>IF($AD179="rettifiche costi pluriennali",MAX($IJ$2:IJ178)+1,0)</f>
        <v>0</v>
      </c>
      <c r="IK179" s="259">
        <f t="shared" si="454"/>
        <v>0</v>
      </c>
      <c r="IL179" s="259" t="str">
        <f t="shared" si="455"/>
        <v/>
      </c>
      <c r="IM179" s="259">
        <f t="shared" ca="1" si="456"/>
        <v>0</v>
      </c>
      <c r="IN179" s="259">
        <f t="shared" ca="1" si="470"/>
        <v>0</v>
      </c>
      <c r="IO179" s="259">
        <f>SUMIFS($IM$3:$IM$200,$IK$3:$IK$200,ROWS($IO$3:IO179))-SUMIFS($IN$3:$IN$200,$IK$3:$IK$200,ROWS($IO$3:IO179))</f>
        <v>0</v>
      </c>
      <c r="IP179" s="259" t="str">
        <f>IF(IO179&lt;0,INDEX($IJ$3:$IL$200,MATCH(ROWS($IP$3:IP179),$IJ$3:$IJ$200,0),3),"")</f>
        <v/>
      </c>
      <c r="IQ179" s="259">
        <f>IF(IP179&lt;&gt;"",MAX($IQ$2:IQ178)+1,0)</f>
        <v>0</v>
      </c>
      <c r="IR179" s="259" t="str">
        <f ca="1">IFERROR(INDEX($IP$3:$IQ$200,MATCH(ROWS($IR$3:IR179),$IQ$3:$IQ$200,0),1),"")</f>
        <v/>
      </c>
      <c r="IS179" s="259" t="str">
        <f t="shared" ca="1" si="457"/>
        <v/>
      </c>
      <c r="IT179" s="259" t="str">
        <f t="shared" ca="1" si="458"/>
        <v/>
      </c>
      <c r="IU179" s="259" t="str">
        <f t="shared" ca="1" si="459"/>
        <v/>
      </c>
      <c r="IV179" s="259" t="str">
        <f t="shared" ca="1" si="460"/>
        <v/>
      </c>
      <c r="IW179" s="259" t="str">
        <f t="shared" ca="1" si="461"/>
        <v/>
      </c>
      <c r="IX179" s="259" t="str">
        <f t="shared" ca="1" si="462"/>
        <v/>
      </c>
      <c r="IY179" s="259" t="str">
        <f t="shared" ca="1" si="463"/>
        <v/>
      </c>
      <c r="IZ179" s="259" t="str">
        <f t="shared" ca="1" si="464"/>
        <v/>
      </c>
      <c r="JA179" s="259" t="str">
        <f t="shared" ca="1" si="465"/>
        <v/>
      </c>
      <c r="JB179" s="259">
        <f t="shared" ca="1" si="391"/>
        <v>0</v>
      </c>
      <c r="JC179" s="259">
        <f t="shared" ca="1" si="504"/>
        <v>0</v>
      </c>
      <c r="JD179" s="259">
        <f t="shared" ca="1" si="505"/>
        <v>0</v>
      </c>
      <c r="JM179" s="259">
        <f t="shared" ca="1" si="506"/>
        <v>0</v>
      </c>
    </row>
    <row r="180" spans="1:273">
      <c r="A180" s="259" t="str">
        <f t="shared" si="392"/>
        <v>36.20</v>
      </c>
      <c r="B180" s="259" t="str">
        <f t="shared" si="393"/>
        <v>SVALUTAZIONE CREDITI</v>
      </c>
      <c r="C180" s="259" t="str">
        <f t="shared" si="394"/>
        <v>E</v>
      </c>
      <c r="D180" s="259" t="str">
        <f t="shared" si="395"/>
        <v>D</v>
      </c>
      <c r="E180" s="259" t="str">
        <f t="shared" si="396"/>
        <v>COSTI D'ESERCIZIO</v>
      </c>
      <c r="F180" s="259" t="str">
        <f t="shared" si="397"/>
        <v>SE DARE</v>
      </c>
      <c r="G180" s="259">
        <f t="shared" ca="1" si="398"/>
        <v>0</v>
      </c>
      <c r="H180" s="259">
        <f t="shared" ca="1" si="399"/>
        <v>0</v>
      </c>
      <c r="I180" s="259">
        <f t="shared" ca="1" si="400"/>
        <v>1</v>
      </c>
      <c r="K180" s="259" t="str">
        <f ca="1">IFERROR(IF($I$1=1,INDEX($AA$3:$AS$220,MATCH(ROWS($K$3:K180),$AQ$3:$AQ$220,0),1),IF($I$1=2,INDEX($AA$3:$AS$220,MATCH(ROWS($K$3:K180),$AR$3:$AR$220,0),1),IF($I$1=3,INDEX($AA$3:$AS$220,MATCH(ROWS($K$3:K180),$AS$3:$AS$220,0),1),""))),"")</f>
        <v/>
      </c>
      <c r="L180" s="259">
        <f ca="1">IF(AND($L$1="VISUALIZZA TUTTI I CONTI",K180&lt;&gt;""),MAX(L179:L179)+1,IFERROR(IF($J$1=1,IF(INDEX(PIANO_DEI_CONTI,MATCH($K180,DENOMINAZIONE,0),5)=$L$1,MAX($L$2:L179)+1,0),IF($J$1=2,IF(INDEX(PIANO_DEI_CONTI,MATCH($K180,DENOMINAZIONE,0),7)=$L$1,MAX($L$2:L179)+1,0))),0))</f>
        <v>0</v>
      </c>
      <c r="M180" s="259" t="str">
        <f ca="1">IFERROR(INDEX($K$3:$K$220,MATCH(ROWS($M$3:M180),$L$3:$L$220,0),1),"")</f>
        <v/>
      </c>
      <c r="R180" s="259" t="str">
        <f t="shared" ca="1" si="366"/>
        <v/>
      </c>
      <c r="S180" s="259">
        <f ca="1">IF(IFERROR(MATCH(R180,DENOMINAZIONE_GIORNALE,0),0)&gt;0,MAX(S$2:S179)+1,0)</f>
        <v>0</v>
      </c>
      <c r="T180" s="259" t="str">
        <f ca="1">IFERROR(INDEX($R$3:$S$220,MATCH(ROWS($T$3:T180),$S$3:$S$220,0),1),"")</f>
        <v/>
      </c>
      <c r="U180" s="259">
        <f t="shared" ca="1" si="367"/>
        <v>0</v>
      </c>
      <c r="V180" s="259">
        <f ca="1">IF(IF(U180&lt;&gt;0,MAX($V$2:V179)+1,0)=0,0,IF(U180&lt;&gt;0,MAX($V$2:V179)+1,0))</f>
        <v>0</v>
      </c>
      <c r="W180" s="259" t="str">
        <f t="shared" si="401"/>
        <v>36.20</v>
      </c>
      <c r="X180" s="259" t="str">
        <f t="shared" si="402"/>
        <v>SVALUTAZIONE CREDITI</v>
      </c>
      <c r="Y180" s="259">
        <f>IF(W180="",0,MAX($Y$2:Y179)+1)</f>
        <v>153</v>
      </c>
      <c r="Z180" s="259">
        <f>IFERROR(INDEX($W$3:$Y$220,MATCH(ROWS($Z$2:Z179),$Y$3:$Y$220,0),1),"")</f>
        <v>0</v>
      </c>
      <c r="AA180" s="259">
        <f t="shared" si="403"/>
        <v>0</v>
      </c>
      <c r="AB180" s="259">
        <f t="shared" si="404"/>
        <v>0</v>
      </c>
      <c r="AC180" s="259">
        <f t="shared" si="405"/>
        <v>0</v>
      </c>
      <c r="AD180" s="259">
        <f t="shared" si="406"/>
        <v>0</v>
      </c>
      <c r="AE180" s="259">
        <f t="shared" si="407"/>
        <v>0</v>
      </c>
      <c r="AF180" s="259" t="str">
        <f t="shared" si="408"/>
        <v/>
      </c>
      <c r="AG180" s="259">
        <f t="shared" ca="1" si="409"/>
        <v>0</v>
      </c>
      <c r="AH180" s="259">
        <f t="shared" ca="1" si="410"/>
        <v>0</v>
      </c>
      <c r="AI180" s="259">
        <f t="shared" ca="1" si="411"/>
        <v>0</v>
      </c>
      <c r="AJ180" s="259" t="str">
        <f t="shared" si="412"/>
        <v>0</v>
      </c>
      <c r="AK180" s="259" t="str">
        <f t="shared" si="413"/>
        <v/>
      </c>
      <c r="AL180" s="259">
        <f>IF(AK180&lt;&gt;"",MAX($AL$2:AL179)+1,0)</f>
        <v>0</v>
      </c>
      <c r="AM180" s="259" t="str">
        <f>IFERROR(INDEX($AK$3:$AL$220,MATCH(ROWS($AM$3:AM180),$AL$3:$AL$220,0),1),"")</f>
        <v/>
      </c>
      <c r="AN180" s="259" t="str">
        <f t="shared" si="414"/>
        <v/>
      </c>
      <c r="AO180" s="259" t="str">
        <f t="shared" si="415"/>
        <v/>
      </c>
      <c r="AP180" s="259" t="str">
        <f t="shared" si="416"/>
        <v/>
      </c>
      <c r="AQ180" s="259">
        <f ca="1">IF(OR(AG180=0,AG180=""),0,MAX(AQ$2:AQ179)+1)</f>
        <v>0</v>
      </c>
      <c r="AR180" s="259">
        <f ca="1">IF(OR(AH180=0,AH180=""),0,MAX(AR$2:AR179)+1)</f>
        <v>0</v>
      </c>
      <c r="AS180" s="259">
        <f ca="1">IF(OR(AI180=0,AI180=""),0,MAX(AS$2:AS179)+1)</f>
        <v>0</v>
      </c>
      <c r="AT180" s="259" t="str">
        <f ca="1">IFERROR(INDEX($AD$3:$AS$220,MATCH(ROWS(AT$3:AT180),AQ$3:AQ$220,0),1),"")</f>
        <v/>
      </c>
      <c r="AU180" s="259" t="str">
        <f ca="1">IFERROR(INDEX($AD$3:$AS$220,MATCH(ROWS(AU$3:AU180),AR$3:AR$220,0),1),"")</f>
        <v/>
      </c>
      <c r="AV180" s="259" t="str">
        <f ca="1">IFERROR(INDEX($AD$3:$AS$220,MATCH(ROWS(AV$3:AV180),AS$3:AS$220,0),1),"")</f>
        <v/>
      </c>
      <c r="AW180" s="259" t="str">
        <f ca="1">IFERROR(INDEX($AP$3:$AS$220,MATCH(ROWS(AW$3:AW180),AQ$3:AQ$220,0),1),"")</f>
        <v/>
      </c>
      <c r="AX180" s="259" t="str">
        <f ca="1">IFERROR(INDEX($AP$3:$AS$220,MATCH(ROWS(AX$3:AX180),AR$3:AR$220,0),1),"")</f>
        <v/>
      </c>
      <c r="AY180" s="259" t="str">
        <f ca="1">IFERROR(INDEX($AP$3:$AS$220,MATCH(ROWS(AY$3:AY180),AS$3:AS$220,0),1),"")</f>
        <v/>
      </c>
      <c r="AZ180" s="259" t="str">
        <f t="shared" si="490"/>
        <v>78 V.I.</v>
      </c>
      <c r="BA180" s="259">
        <f t="shared" ca="1" si="484"/>
        <v>0</v>
      </c>
      <c r="BB180" s="259">
        <f t="shared" ca="1" si="491"/>
        <v>0</v>
      </c>
      <c r="BC180" s="259">
        <f t="shared" ca="1" si="492"/>
        <v>0</v>
      </c>
      <c r="BD180" s="259">
        <f t="shared" ca="1" si="493"/>
        <v>0</v>
      </c>
      <c r="BE180" s="259">
        <f t="shared" ca="1" si="494"/>
        <v>0</v>
      </c>
      <c r="BG180" s="259" t="str">
        <f t="shared" ca="1" si="368"/>
        <v/>
      </c>
      <c r="BH180" s="259">
        <f ca="1">IF(IFERROR(MATCH(BG180,DENOMINAZIONE_GIORNALE,0),0)&gt;0,MAX(BH$2:BH179)+1,0)</f>
        <v>0</v>
      </c>
      <c r="BI180" s="259" t="str">
        <f ca="1">IFERROR(INDEX($BG$3:$BH$220,MATCH(ROWS($BI$3:BI180),$BH$3:$BH$220,0),1),"")</f>
        <v/>
      </c>
      <c r="BJ180" s="259" t="str">
        <f t="shared" ca="1" si="369"/>
        <v/>
      </c>
      <c r="BK180" s="259" t="str">
        <f ca="1">IF(IF(BJ180&lt;&gt;"",MAX($BK$2:BK179)+1,0)=0,"",IF(BJ180&lt;&gt;"",MAX($BK$2:BK179)+1,0))</f>
        <v/>
      </c>
      <c r="BL180" s="259" t="str">
        <f ca="1">IFERROR(INDEX($T$3:$U$220, MATCH(ROWS(BL$3:BL180),$V$3:$V$220,0),1),"")</f>
        <v/>
      </c>
      <c r="BM180" s="259" t="str">
        <f ca="1">IFERROR(INDEX($T$3:$U$220, MATCH(ROWS(BM$3:BM180),$V$3:$V$220,0),2),"")</f>
        <v/>
      </c>
      <c r="BN180" s="259" t="str">
        <f ca="1">IF(IFERROR(INDEX($BI$3:$BJ$220,MATCH(ROWS(BN$3:BN180),$BK$3:$BK$220,0),1),"")="PATRIMONIO NETTO","",IFERROR(INDEX($BI$3:$BJ$220,MATCH(ROWS(BN$3:BN180),$BK$3:$BK$220,0),1),""))</f>
        <v/>
      </c>
      <c r="BO180" s="259" t="str">
        <f ca="1">IFERROR(INDEX($BI$3:$BJ$220,MATCH(ROWS(BO$3:BO180),$BK$3:$BK$220,0),2),"")</f>
        <v/>
      </c>
      <c r="BP180" s="259">
        <f ca="1">IF(BN180&lt;&gt;"",MAX(BP$2:$BP179)+1,0)</f>
        <v>0</v>
      </c>
      <c r="BQ180" s="259" t="str">
        <f ca="1">IFERROR(INDEX($BN$3:$BO$200,MATCH(ROWS(BQ$3:BQ180),$BP$3:$BP$220,0),1),"")</f>
        <v/>
      </c>
      <c r="BR180" s="259" t="str">
        <f ca="1">IFERROR(INDEX($BN$3:$BO$220,MATCH(ROWS(BR$3:BR180),$BP$3:$BP$220,0),2),"")</f>
        <v/>
      </c>
      <c r="BS180" s="259" t="str">
        <f ca="1">IFERROR(IF(OR(INDEX($T$3:$U$220,MATCH(ROWS(BL$3:BL180),$V$3:$V$220,0),1)="PRELEVAMENTI EXTRAGESTIONE",INDEX($T$3:$U$220,MATCH(ROWS(BL$3:BL180),$V$3:$V$220,0),1)="TITOLARE C/RITENUTE SUBITE"),"",INDEX($T$3:$U$220,MATCH(ROWS(BL$3:BL180),$V$3:$V$220,0),1)),"")</f>
        <v/>
      </c>
      <c r="BT180" s="259">
        <f t="shared" ca="1" si="417"/>
        <v>0</v>
      </c>
      <c r="BU180" s="259">
        <f ca="1">IF(BS180&lt;&gt;"",MAX(BU$2:BU179)+1,0)</f>
        <v>0</v>
      </c>
      <c r="BV180" s="259" t="str">
        <f ca="1">IFERROR(INDEX($BS$3:$BT$223,MATCH(ROWS(BV$3:BV180),$BU$3:$BU$223,0),1),"")</f>
        <v/>
      </c>
      <c r="BW180" s="259">
        <f t="shared" ca="1" si="418"/>
        <v>0</v>
      </c>
      <c r="CB180" s="259" t="str">
        <f ca="1">IFERROR(IF(OR($BB$1&lt;&gt;$BD$1,$BC$1&lt;&gt;$BE$1,$DS$231&lt;&gt;$DT$231,$DU$231&lt;&gt;$DV$231,$EO$25&lt;&gt;0,$EO$26&lt;&gt;0),INDEX($BI$3:$BK$220,MATCH(ROWS($CB$3:CB180),$BK$3:$BK$220,0),1),CONCATENATE(BQ180,BX180)),"")</f>
        <v/>
      </c>
      <c r="CC180" s="259" t="str">
        <f t="shared" ca="1" si="419"/>
        <v/>
      </c>
      <c r="CD180" s="259" t="str">
        <f t="shared" ca="1" si="370"/>
        <v/>
      </c>
      <c r="CE180" s="259">
        <f ca="1">IF(IFERROR(MATCH(CD180,DENOMINAZIONE_GIORNALE,0),0)&gt;0,MAX(CE$2:CE179)+1,0)</f>
        <v>0</v>
      </c>
      <c r="CF180" s="259" t="str">
        <f ca="1">IFERROR(INDEX($CD$3:$CE$220,MATCH(ROWS($CF$3:CF180),$CE$3:$CE$220,0),1),"")</f>
        <v/>
      </c>
      <c r="CG180" s="259">
        <f t="shared" ca="1" si="371"/>
        <v>0</v>
      </c>
      <c r="CH180" s="259" t="str">
        <f ca="1">IF(IF(CG180&lt;&gt;0,MAX($CH$2:CH179)+1,0)=0,"",IF(CG180&lt;&gt;"",MAX($CH$2:CH179)+1,0))</f>
        <v/>
      </c>
      <c r="CI180" s="259" t="str">
        <f ca="1">IFERROR(INDEX($CF$3:$CG$220,MATCH(ROWS($CI$3:CI180),$CH$3:$CH$220,0),1),"")</f>
        <v/>
      </c>
      <c r="CJ180" s="259" t="str">
        <f t="shared" ca="1" si="420"/>
        <v/>
      </c>
      <c r="CK180" s="259" t="str">
        <f t="shared" ca="1" si="372"/>
        <v/>
      </c>
      <c r="CL180" s="259">
        <f ca="1">IF(IFERROR(MATCH(CK180,DENOMINAZIONE_GIORNALE,0),0)&gt;0,MAX(CL$2:CL179)+1,0)</f>
        <v>0</v>
      </c>
      <c r="CM180" s="259" t="str">
        <f ca="1">IFERROR(INDEX($CK$3:$CL$220,MATCH(ROWS($CM$3:CM180),$CL$3:$CL$220,0),1),"")</f>
        <v/>
      </c>
      <c r="CN180" s="259" t="str">
        <f t="shared" ca="1" si="373"/>
        <v/>
      </c>
      <c r="CO180" s="259">
        <f ca="1">IF(IF(CN180&lt;&gt;0,MAX($CO$2:CO179)+1,0)=0,"",IF(CN180&lt;&gt;"",MAX($CO$2:CO179)+1,0))</f>
        <v>0</v>
      </c>
      <c r="CP180" s="259" t="str">
        <f ca="1">IFERROR(INDEX($CM$3:$CN$220,MATCH(ROWS(CP$3:CP180),$CO$3:$CO$220,0),1),"")</f>
        <v/>
      </c>
      <c r="CQ180" s="259" t="str">
        <f ca="1">IFERROR(INDEX($CM$3:$CN$220,MATCH(ROWS(CQ$3:CQ180),$CO$3:$CO$220,0),2),"")</f>
        <v/>
      </c>
      <c r="CS180" s="259">
        <f t="shared" ca="1" si="374"/>
        <v>0</v>
      </c>
      <c r="CT180" s="259">
        <f t="shared" ca="1" si="375"/>
        <v>0</v>
      </c>
      <c r="CU180" s="259">
        <f ca="1">IF(OR(CS180&gt;0,CT180&gt;0),MAX($CU$2:CU179)+1,0)</f>
        <v>0</v>
      </c>
      <c r="CV180" s="259" t="str">
        <f ca="1">IFERROR(INDEX(PIANO_DEI_CONTI,MATCH(ROWS($CV$3:CV180),$CU$3:$CU$200,0),2),"")</f>
        <v/>
      </c>
      <c r="CW180" s="259">
        <f ca="1">IFERROR(IF(CV180&lt;&gt;"",MAX($CW$2:CW179)+1,0),0)</f>
        <v>0</v>
      </c>
      <c r="CX180" s="259">
        <f t="shared" ca="1" si="482"/>
        <v>10</v>
      </c>
      <c r="CY180" s="259" t="str">
        <f t="shared" ca="1" si="495"/>
        <v>MASTRO</v>
      </c>
      <c r="CZ180" s="259" t="e">
        <f t="shared" ca="1" si="485"/>
        <v>#N/A</v>
      </c>
      <c r="DA180" s="259" t="str">
        <f t="shared" ca="1" si="496"/>
        <v/>
      </c>
      <c r="DB180" s="259" t="str">
        <f t="shared" ca="1" si="486"/>
        <v/>
      </c>
      <c r="DC180" s="259" t="str">
        <f t="shared" ca="1" si="487"/>
        <v/>
      </c>
      <c r="DD180" s="259" t="str">
        <f t="shared" ca="1" si="488"/>
        <v/>
      </c>
      <c r="DE180" s="259" t="str">
        <f t="shared" ca="1" si="489"/>
        <v/>
      </c>
      <c r="DF180" s="259">
        <f ca="1">IF(AND(CX180=$DE$2,$DF$2&lt;&gt;0),0,IF(AND(DB180&lt;&gt;"",OR(DB179&lt;&gt;"",DB181&lt;&gt;"")),MAX($DF$2:DF179)+1,0))</f>
        <v>0</v>
      </c>
      <c r="DG180" s="259" t="str">
        <f>IF(IF(LIBRO_GIORNALE!E88="","",IFERROR(INDEX(PIANO_DEI_CONTI,MATCH(BB180,DENOMINAZIONE,0),1),0))=0,"",IF(LIBRO_GIORNALE!E88="","",IFERROR(INDEX(PIANO_DEI_CONTI,MATCH(BB180,DENOMINAZIONE,0),1),0)))</f>
        <v/>
      </c>
      <c r="DH180" s="259">
        <f ca="1">IFERROR(IF($J$1=1,IF(INDEX(PIANO_DEI_CONTI,MATCH($K180,DENOMINAZIONE,0),5)=$DF$1,MAX($DH$2:DH179)+1,0),IF($J$1=2,IF(INDEX(PIANO_DEI_CONTI,MATCH($K180,DENOMINAZIONE,0),7)=$DF$1,MAX($DH$2:DH179)+1,0))),0)</f>
        <v>0</v>
      </c>
      <c r="DI180" s="259">
        <f ca="1">IFERROR(INDEX($K$3:$K$220,MATCH(ROWS($DI$3:DI180),$DH$3:$DH$220,0),1),0)</f>
        <v>0</v>
      </c>
      <c r="DJ180" s="259">
        <f t="shared" ca="1" si="381"/>
        <v>178</v>
      </c>
      <c r="DK180" s="259">
        <f ca="1">IF(DJ180=0,0,MAX(DK$2:DK179)+1)</f>
        <v>2</v>
      </c>
      <c r="DL180" s="259">
        <f ca="1">IFERROR(INDEX(PIANO_DEI_CONTI,MATCH(ROWS(DL$3:DL180),$DK$3:DK407,0),2),0)</f>
        <v>0</v>
      </c>
      <c r="DM180" s="259">
        <f t="shared" ca="1" si="382"/>
        <v>0</v>
      </c>
      <c r="DN180" s="259">
        <f t="shared" ca="1" si="383"/>
        <v>0</v>
      </c>
      <c r="DO180" s="259">
        <f t="shared" ca="1" si="422"/>
        <v>0</v>
      </c>
      <c r="DP180" s="259">
        <f t="shared" ca="1" si="423"/>
        <v>0</v>
      </c>
      <c r="DQ180" s="259">
        <f ca="1">IF(OR($DQ$1="TOTALI",$DQ$1="TOTALI ED ECCEDENZE"),IF(OR(DM180&gt;0,DN180&gt;0),MAX(DQ$2:DQ179)+1,0),IF($DQ$1="ECCEDENZE",IF(OR(DO180&gt;0,DP180&gt;0),MAX(DQ$2:DQ179)+1,0),""))</f>
        <v>0</v>
      </c>
      <c r="DR180" s="259" t="str">
        <f ca="1">IFERROR(INDEX($DL$3:$DQ$230,MATCH(ROWS(DR$3:DR180),$DQ$3:$DQ$230,0),1),"")</f>
        <v/>
      </c>
      <c r="DS180" s="259" t="str">
        <f t="shared" ca="1" si="424"/>
        <v/>
      </c>
      <c r="DT180" s="259" t="str">
        <f t="shared" ca="1" si="425"/>
        <v/>
      </c>
      <c r="DU180" s="259" t="str">
        <f t="shared" ca="1" si="426"/>
        <v/>
      </c>
      <c r="DV180" s="259" t="str">
        <f t="shared" ca="1" si="427"/>
        <v/>
      </c>
      <c r="DW180" s="259">
        <f t="shared" ca="1" si="428"/>
        <v>0</v>
      </c>
      <c r="DX180" s="259" t="str">
        <f t="shared" ca="1" si="429"/>
        <v/>
      </c>
      <c r="DY180" s="259" t="str">
        <f t="shared" ca="1" si="430"/>
        <v/>
      </c>
      <c r="DZ180" s="259" t="str">
        <f t="shared" ca="1" si="431"/>
        <v/>
      </c>
      <c r="ED180" s="259">
        <f t="shared" ca="1" si="384"/>
        <v>0</v>
      </c>
      <c r="EH180" s="259" t="str">
        <f t="shared" ca="1" si="432"/>
        <v/>
      </c>
      <c r="EI180" s="260" t="b">
        <f t="shared" ca="1" si="466"/>
        <v>0</v>
      </c>
      <c r="EJ180" s="260" t="b">
        <f t="shared" ca="1" si="467"/>
        <v>0</v>
      </c>
      <c r="EK180" s="260" t="b">
        <f t="shared" ca="1" si="468"/>
        <v>1</v>
      </c>
      <c r="EL180" s="259">
        <f t="shared" si="433"/>
        <v>178</v>
      </c>
      <c r="EM180" s="259">
        <f ca="1">IF(AND(BA180&gt;0,BA180&lt;=$EM$1),MAX($EM$2:EM179)+1,0)</f>
        <v>0</v>
      </c>
      <c r="EN180" s="259">
        <f t="shared" ca="1" si="434"/>
        <v>180</v>
      </c>
      <c r="EP180" s="259" t="str">
        <f t="shared" ca="1" si="385"/>
        <v/>
      </c>
      <c r="EQ180" s="259">
        <f t="shared" ca="1" si="386"/>
        <v>0</v>
      </c>
      <c r="ER180" s="259">
        <f ca="1">IF(ISNA(EQ180),MAX(ER$2:ER179)+1,0)</f>
        <v>0</v>
      </c>
      <c r="ES180" s="259" t="str">
        <f t="shared" ca="1" si="435"/>
        <v/>
      </c>
      <c r="ET180" s="259" t="str">
        <f ca="1">IFERROR(UPPER(INDEX($ER$3:$ES$500,MATCH(ROWS(ET$3:ET180),$ER$3:$ER$500,0),2)),"")</f>
        <v/>
      </c>
      <c r="EW180" s="259">
        <f t="shared" ca="1" si="497"/>
        <v>1</v>
      </c>
      <c r="EX180" s="259">
        <v>78</v>
      </c>
      <c r="EY180" s="259">
        <f t="shared" ca="1" si="498"/>
        <v>0</v>
      </c>
      <c r="EZ180" s="259">
        <f t="shared" ca="1" si="499"/>
        <v>0</v>
      </c>
      <c r="FA180" s="259">
        <f t="shared" ca="1" si="500"/>
        <v>0</v>
      </c>
      <c r="FB180" s="259">
        <f t="shared" ca="1" si="501"/>
        <v>0</v>
      </c>
      <c r="FC180" s="259">
        <f t="shared" ca="1" si="502"/>
        <v>0</v>
      </c>
      <c r="FD180" s="259">
        <f t="shared" ca="1" si="387"/>
        <v>0</v>
      </c>
      <c r="FE180" s="259" t="str">
        <f t="shared" ca="1" si="388"/>
        <v/>
      </c>
      <c r="FF180" s="259" t="str">
        <f t="shared" ca="1" si="503"/>
        <v/>
      </c>
      <c r="FM180" s="259">
        <f t="shared" si="389"/>
        <v>0</v>
      </c>
      <c r="FN180" s="259">
        <f>IF(FM180&lt;0,MAX($FN$2:FN179)+1,0)</f>
        <v>0</v>
      </c>
      <c r="FO180" s="259" t="str">
        <f t="shared" si="436"/>
        <v/>
      </c>
      <c r="FP180" s="259" t="str">
        <f ca="1">IFERROR(INDEX($FN$3:$FO$400,MATCH(ROWS($FP$3:FP180),$FN$3:$FN$400,0),2),"")</f>
        <v/>
      </c>
      <c r="FQ180" s="259" t="str">
        <f>IF(AE180="SE AVERE",MAX($FQ$2:FQ179)+1,"")</f>
        <v/>
      </c>
      <c r="FR180" s="259" t="str">
        <f>IF(AE180="SE DARE",MAX($FR$2:FR179)+1,"")</f>
        <v/>
      </c>
      <c r="FS180" s="259" t="str">
        <f ca="1">IF(AND(AE180="SP DARE",AA180&lt;&gt;$FS$1,AA180&lt;&gt;$FT$1),MAX($FS$2:FS179)+1,IF(AND(GQ180="SP DARE",AA180&lt;&gt;$FS$1,AA180&lt;&gt;$FT$1),MAX($FS$2:FS179)+1,""))</f>
        <v/>
      </c>
      <c r="FT180" s="259" t="str">
        <f ca="1">IF(AND(AE180="SP AVERE",AA180&lt;&gt;$FU$1),MAX($FT$2:FT179)+1,IF(AND(GQ180="SP AVERE",AA180&lt;&gt;$FU$1),MAX($FT$2:FT179)+1,""))</f>
        <v/>
      </c>
      <c r="FU180" s="259">
        <f t="shared" ca="1" si="437"/>
        <v>0</v>
      </c>
      <c r="FV180" s="259">
        <f t="shared" si="438"/>
        <v>0</v>
      </c>
      <c r="FW180" s="259">
        <f ca="1">IFERROR(INDEX($FU$3:$FV$500,MATCH(ROWS($FW$3:FW180),$FU$3:$FU$500,0),2),0)</f>
        <v>0</v>
      </c>
      <c r="FX180" s="259">
        <f t="shared" ca="1" si="439"/>
        <v>0</v>
      </c>
      <c r="FY180" s="259">
        <f t="shared" ca="1" si="440"/>
        <v>0</v>
      </c>
      <c r="FZ180" s="259">
        <f ca="1">IF(FY180&gt;0,MAX($FZ$2:FZ179)+1,0)</f>
        <v>0</v>
      </c>
      <c r="GA180" s="259">
        <f ca="1">IFERROR(INDEX($FY$3:$FZ$500,MATCH(ROWS($GA$3:GA180),$FZ$3:$FZ$500,0),1),0)</f>
        <v>0</v>
      </c>
      <c r="GC180" s="259">
        <f t="shared" ca="1" si="441"/>
        <v>0</v>
      </c>
      <c r="GD180" s="259">
        <f t="shared" ca="1" si="442"/>
        <v>0</v>
      </c>
      <c r="GG180" s="259">
        <f t="shared" ca="1" si="443"/>
        <v>0</v>
      </c>
      <c r="GH180" s="259">
        <f t="shared" ca="1" si="444"/>
        <v>0</v>
      </c>
      <c r="GI180" s="259">
        <f t="shared" ca="1" si="445"/>
        <v>0</v>
      </c>
      <c r="GJ180" s="259">
        <f t="shared" ca="1" si="446"/>
        <v>0</v>
      </c>
      <c r="GK180" s="259">
        <f t="shared" ca="1" si="447"/>
        <v>0</v>
      </c>
      <c r="GL180" s="259">
        <f t="shared" ca="1" si="447"/>
        <v>0</v>
      </c>
      <c r="GM180" s="259">
        <f ca="1">IF(OR(GK180&gt;0,GL180&gt;0),MAX($GM$2:GM179)+1,0)</f>
        <v>0</v>
      </c>
      <c r="GN180" s="259" t="str">
        <f ca="1">IFERROR(INDEX($GD$3:$GM$400,MATCH(ROWS($GN$3:GN180),$GM$3:$GM$400,0),1),"")</f>
        <v/>
      </c>
      <c r="GO180" s="259" t="str">
        <f ca="1">IFERROR(INDEX($GD$3:$GM$400,MATCH(ROWS($GO$3:GO180),$GM$3:$GM$400,0),8),"")</f>
        <v/>
      </c>
      <c r="GP180" s="259" t="str">
        <f ca="1">IFERROR(INDEX($GD$3:$GM$400,MATCH(ROWS($GP$3:GP180),$GM$3:$GM$400,0),9),"")</f>
        <v/>
      </c>
      <c r="GQ180" s="259">
        <f t="shared" ca="1" si="390"/>
        <v>0</v>
      </c>
      <c r="GR180" s="259">
        <f t="shared" ca="1" si="448"/>
        <v>0</v>
      </c>
      <c r="GS180" s="259" t="str">
        <f t="shared" ca="1" si="449"/>
        <v/>
      </c>
      <c r="GT180" s="259" t="str">
        <f ca="1">IFERROR(INDEX($GD$3:$GS$400,MATCH(ROWS($GT$3:GT180),$GM$3:$GM$400,0),16),"")</f>
        <v/>
      </c>
      <c r="GU180" s="259">
        <f ca="1">IF(GQ180&lt;&gt;0,MAX($GU$2:$GU179)+1,0)</f>
        <v>0</v>
      </c>
      <c r="GV180" s="259">
        <f t="shared" ca="1" si="450"/>
        <v>0</v>
      </c>
      <c r="GW180" s="259" t="str">
        <f ca="1">IF(AND(IFERROR(INDEX($GU$3:$GV$400,MATCH(ROWS($GW$3:GW180),$GU$3:$GU$400,0),2),"")&lt;&gt;"",GW181&lt;&gt;""),CONCATENATE(IFERROR(INDEX($GU$3:$GV$400,MATCH(ROWS($GW$3:GW180),$GU$3:$GU$400,0),2),"")," - "),IFERROR(INDEX($GU$3:$GV$400,MATCH(ROWS($GW$3:GW180),$GU$3:$GU$400,0),2),""))</f>
        <v/>
      </c>
      <c r="GX180" s="259">
        <f ca="1">IF(OR(GN180="IVA NS/CREDITO",GN180="IVA NS/DEBITO",GN180="IVA C/ACCONTO",GN180="IMPOSTE C/ACCONTO"),MAX($GX$2:GX179)+1,0)</f>
        <v>0</v>
      </c>
      <c r="GY180" s="259" t="str">
        <f ca="1">IF(AND(IFERROR(INDEX($GN$3:$GX$200,MATCH(ROWS($GY$3:GY180),$GX$3:$GX$200,0),1),"")&lt;&gt;"",GY181&lt;&gt;""),CONCATENATE(IFERROR(INDEX($GN$3:$GX$200,MATCH(ROWS($GY$3:GY180),$GX$3:$GX$200,0),1),"")," - "),IFERROR(INDEX($GN$3:$GX$200,MATCH(ROWS($GY$3:GY180),$GX$3:$GX$200,0),1),""))</f>
        <v/>
      </c>
      <c r="GZ180" s="259" t="s">
        <v>668</v>
      </c>
      <c r="HA180" s="259" t="s">
        <v>223</v>
      </c>
      <c r="HB180" s="269" t="s">
        <v>256</v>
      </c>
      <c r="HC180" s="269" t="s">
        <v>276</v>
      </c>
      <c r="HD180" s="269" t="s">
        <v>7</v>
      </c>
      <c r="HE180" s="269" t="s">
        <v>214</v>
      </c>
      <c r="HV180" s="259" t="str">
        <f ca="1">CONCATENATE(IFERROR(INDEX($HS$3:$HT$102,MATCH(ROWS($HV$3:HV180),$HT$3:$HT$102,0),1),""),HR180)</f>
        <v/>
      </c>
      <c r="IC180" s="259">
        <f ca="1">IFERROR(INDEX(PIANO_DEI_CONTI,MATCH(ROWS(DL$3:DL180),$DK$3:DK407,0),2),0)</f>
        <v>0</v>
      </c>
      <c r="ID180" s="259">
        <f t="shared" ca="1" si="451"/>
        <v>0</v>
      </c>
      <c r="IE180" s="259">
        <f t="shared" ca="1" si="452"/>
        <v>0</v>
      </c>
      <c r="IF180" s="259">
        <f t="shared" ca="1" si="453"/>
        <v>0</v>
      </c>
      <c r="IG180" s="259">
        <f t="shared" ca="1" si="479"/>
        <v>0</v>
      </c>
      <c r="IH180" s="259">
        <f ca="1">IF(IG180&lt;&gt;0,MAX($IH$35:IH179)+1,0)</f>
        <v>0</v>
      </c>
      <c r="II180" s="259">
        <f>IF(AD180="costi pluriennali",MAX($II$2:II179)+1,0)</f>
        <v>0</v>
      </c>
      <c r="IJ180" s="259">
        <f>IF($AD180="rettifiche costi pluriennali",MAX($IJ$2:IJ179)+1,0)</f>
        <v>0</v>
      </c>
      <c r="IK180" s="259">
        <f t="shared" si="454"/>
        <v>0</v>
      </c>
      <c r="IL180" s="259" t="str">
        <f t="shared" si="455"/>
        <v/>
      </c>
      <c r="IM180" s="259">
        <f t="shared" ca="1" si="456"/>
        <v>0</v>
      </c>
      <c r="IN180" s="259">
        <f t="shared" ca="1" si="470"/>
        <v>0</v>
      </c>
      <c r="IO180" s="259">
        <f>SUMIFS($IM$3:$IM$200,$IK$3:$IK$200,ROWS($IO$3:IO180))-SUMIFS($IN$3:$IN$200,$IK$3:$IK$200,ROWS($IO$3:IO180))</f>
        <v>0</v>
      </c>
      <c r="IP180" s="259" t="str">
        <f>IF(IO180&lt;0,INDEX($IJ$3:$IL$200,MATCH(ROWS($IP$3:IP180),$IJ$3:$IJ$200,0),3),"")</f>
        <v/>
      </c>
      <c r="IQ180" s="259">
        <f>IF(IP180&lt;&gt;"",MAX($IQ$2:IQ179)+1,0)</f>
        <v>0</v>
      </c>
      <c r="IR180" s="259" t="str">
        <f ca="1">IFERROR(INDEX($IP$3:$IQ$200,MATCH(ROWS($IR$3:IR180),$IQ$3:$IQ$200,0),1),"")</f>
        <v/>
      </c>
      <c r="IS180" s="259" t="str">
        <f t="shared" ca="1" si="457"/>
        <v/>
      </c>
      <c r="IT180" s="259" t="str">
        <f t="shared" ca="1" si="458"/>
        <v/>
      </c>
      <c r="IU180" s="259" t="str">
        <f t="shared" ca="1" si="459"/>
        <v/>
      </c>
      <c r="IV180" s="259" t="str">
        <f t="shared" ca="1" si="460"/>
        <v/>
      </c>
      <c r="IW180" s="259" t="str">
        <f t="shared" ca="1" si="461"/>
        <v/>
      </c>
      <c r="IX180" s="259" t="str">
        <f t="shared" ca="1" si="462"/>
        <v/>
      </c>
      <c r="IY180" s="259" t="str">
        <f t="shared" ca="1" si="463"/>
        <v/>
      </c>
      <c r="IZ180" s="259" t="str">
        <f t="shared" ca="1" si="464"/>
        <v/>
      </c>
      <c r="JA180" s="259" t="str">
        <f t="shared" ca="1" si="465"/>
        <v/>
      </c>
      <c r="JB180" s="259">
        <f t="shared" ca="1" si="391"/>
        <v>0</v>
      </c>
      <c r="JC180" s="259">
        <f t="shared" ca="1" si="504"/>
        <v>0</v>
      </c>
      <c r="JD180" s="259">
        <f t="shared" ca="1" si="505"/>
        <v>0</v>
      </c>
      <c r="JM180" s="259">
        <f t="shared" ca="1" si="506"/>
        <v>0</v>
      </c>
    </row>
    <row r="181" spans="1:273">
      <c r="A181" s="259" t="str">
        <f t="shared" si="392"/>
        <v>37.00</v>
      </c>
      <c r="B181" s="259" t="str">
        <f t="shared" si="393"/>
        <v>VARIAZIONI RIMANENZE MERCI E MATERIE DI CONSUMO</v>
      </c>
      <c r="C181" s="259">
        <f t="shared" si="394"/>
        <v>0</v>
      </c>
      <c r="D181" s="259">
        <f t="shared" si="395"/>
        <v>0</v>
      </c>
      <c r="E181" s="259">
        <f t="shared" si="396"/>
        <v>0</v>
      </c>
      <c r="F181" s="259">
        <f t="shared" si="397"/>
        <v>0</v>
      </c>
      <c r="G181" s="259">
        <f t="shared" ca="1" si="398"/>
        <v>0</v>
      </c>
      <c r="H181" s="259">
        <f t="shared" ca="1" si="399"/>
        <v>0</v>
      </c>
      <c r="I181" s="259">
        <f t="shared" ca="1" si="400"/>
        <v>0</v>
      </c>
      <c r="K181" s="259" t="str">
        <f ca="1">IFERROR(IF($I$1=1,INDEX($AA$3:$AS$220,MATCH(ROWS($K$3:K181),$AQ$3:$AQ$220,0),1),IF($I$1=2,INDEX($AA$3:$AS$220,MATCH(ROWS($K$3:K181),$AR$3:$AR$220,0),1),IF($I$1=3,INDEX($AA$3:$AS$220,MATCH(ROWS($K$3:K181),$AS$3:$AS$220,0),1),""))),"")</f>
        <v/>
      </c>
      <c r="L181" s="259">
        <f ca="1">IF(AND($L$1="VISUALIZZA TUTTI I CONTI",K181&lt;&gt;""),MAX(L180:L180)+1,IFERROR(IF($J$1=1,IF(INDEX(PIANO_DEI_CONTI,MATCH($K181,DENOMINAZIONE,0),5)=$L$1,MAX($L$2:L180)+1,0),IF($J$1=2,IF(INDEX(PIANO_DEI_CONTI,MATCH($K181,DENOMINAZIONE,0),7)=$L$1,MAX($L$2:L180)+1,0))),0))</f>
        <v>0</v>
      </c>
      <c r="M181" s="259" t="str">
        <f ca="1">IFERROR(INDEX($K$3:$K$220,MATCH(ROWS($M$3:M181),$L$3:$L$220,0),1),"")</f>
        <v/>
      </c>
      <c r="R181" s="259" t="str">
        <f t="shared" ca="1" si="366"/>
        <v/>
      </c>
      <c r="S181" s="259">
        <f ca="1">IF(IFERROR(MATCH(R181,DENOMINAZIONE_GIORNALE,0),0)&gt;0,MAX(S$2:S180)+1,0)</f>
        <v>0</v>
      </c>
      <c r="T181" s="259" t="str">
        <f ca="1">IFERROR(INDEX($R$3:$S$220,MATCH(ROWS($T$3:T181),$S$3:$S$220,0),1),"")</f>
        <v/>
      </c>
      <c r="U181" s="259">
        <f t="shared" ca="1" si="367"/>
        <v>0</v>
      </c>
      <c r="V181" s="259">
        <f ca="1">IF(IF(U181&lt;&gt;0,MAX($V$2:V180)+1,0)=0,0,IF(U181&lt;&gt;0,MAX($V$2:V180)+1,0))</f>
        <v>0</v>
      </c>
      <c r="W181" s="259" t="str">
        <f t="shared" si="401"/>
        <v/>
      </c>
      <c r="X181" s="259" t="str">
        <f t="shared" si="402"/>
        <v/>
      </c>
      <c r="Y181" s="259">
        <f>IF(W181="",0,MAX($Y$2:Y180)+1)</f>
        <v>0</v>
      </c>
      <c r="Z181" s="259">
        <f>IFERROR(INDEX($W$3:$Y$220,MATCH(ROWS($Z$2:Z180),$Y$3:$Y$220,0),1),"")</f>
        <v>0</v>
      </c>
      <c r="AA181" s="259">
        <f t="shared" si="403"/>
        <v>0</v>
      </c>
      <c r="AB181" s="259">
        <f t="shared" si="404"/>
        <v>0</v>
      </c>
      <c r="AC181" s="259">
        <f t="shared" si="405"/>
        <v>0</v>
      </c>
      <c r="AD181" s="259">
        <f t="shared" si="406"/>
        <v>0</v>
      </c>
      <c r="AE181" s="259">
        <f t="shared" si="407"/>
        <v>0</v>
      </c>
      <c r="AF181" s="259" t="str">
        <f t="shared" si="408"/>
        <v/>
      </c>
      <c r="AG181" s="259">
        <f t="shared" ca="1" si="409"/>
        <v>0</v>
      </c>
      <c r="AH181" s="259">
        <f t="shared" ca="1" si="410"/>
        <v>0</v>
      </c>
      <c r="AI181" s="259">
        <f t="shared" ca="1" si="411"/>
        <v>0</v>
      </c>
      <c r="AJ181" s="259" t="str">
        <f t="shared" si="412"/>
        <v>0</v>
      </c>
      <c r="AK181" s="259" t="str">
        <f t="shared" si="413"/>
        <v>37</v>
      </c>
      <c r="AL181" s="259">
        <f>IF(AK181&lt;&gt;"",MAX($AL$2:AL180)+1,0)</f>
        <v>26</v>
      </c>
      <c r="AM181" s="259" t="str">
        <f>IFERROR(INDEX($AK$3:$AL$220,MATCH(ROWS($AM$3:AM181),$AL$3:$AL$220,0),1),"")</f>
        <v/>
      </c>
      <c r="AN181" s="259" t="str">
        <f t="shared" si="414"/>
        <v/>
      </c>
      <c r="AO181" s="259" t="str">
        <f t="shared" si="415"/>
        <v/>
      </c>
      <c r="AP181" s="259" t="str">
        <f t="shared" si="416"/>
        <v/>
      </c>
      <c r="AQ181" s="259">
        <f ca="1">IF(OR(AG181=0,AG181=""),0,MAX(AQ$2:AQ180)+1)</f>
        <v>0</v>
      </c>
      <c r="AR181" s="259">
        <f ca="1">IF(OR(AH181=0,AH181=""),0,MAX(AR$2:AR180)+1)</f>
        <v>0</v>
      </c>
      <c r="AS181" s="259">
        <f ca="1">IF(OR(AI181=0,AI181=""),0,MAX(AS$2:AS180)+1)</f>
        <v>0</v>
      </c>
      <c r="AT181" s="259" t="str">
        <f ca="1">IFERROR(INDEX($AD$3:$AS$220,MATCH(ROWS(AT$3:AT181),AQ$3:AQ$220,0),1),"")</f>
        <v/>
      </c>
      <c r="AU181" s="259" t="str">
        <f ca="1">IFERROR(INDEX($AD$3:$AS$220,MATCH(ROWS(AU$3:AU181),AR$3:AR$220,0),1),"")</f>
        <v/>
      </c>
      <c r="AV181" s="259" t="str">
        <f ca="1">IFERROR(INDEX($AD$3:$AS$220,MATCH(ROWS(AV$3:AV181),AS$3:AS$220,0),1),"")</f>
        <v/>
      </c>
      <c r="AW181" s="259" t="str">
        <f ca="1">IFERROR(INDEX($AP$3:$AS$220,MATCH(ROWS(AW$3:AW181),AQ$3:AQ$220,0),1),"")</f>
        <v/>
      </c>
      <c r="AX181" s="259" t="str">
        <f ca="1">IFERROR(INDEX($AP$3:$AS$220,MATCH(ROWS(AX$3:AX181),AR$3:AR$220,0),1),"")</f>
        <v/>
      </c>
      <c r="AY181" s="259" t="str">
        <f ca="1">IFERROR(INDEX($AP$3:$AS$220,MATCH(ROWS(AY$3:AY181),AS$3:AS$220,0),1),"")</f>
        <v/>
      </c>
      <c r="AZ181" s="259" t="str">
        <f t="shared" si="490"/>
        <v>79 V.I.</v>
      </c>
      <c r="BA181" s="259">
        <f t="shared" ca="1" si="484"/>
        <v>0</v>
      </c>
      <c r="BB181" s="259">
        <f t="shared" ca="1" si="491"/>
        <v>0</v>
      </c>
      <c r="BC181" s="259">
        <f t="shared" ca="1" si="492"/>
        <v>0</v>
      </c>
      <c r="BD181" s="259">
        <f t="shared" ca="1" si="493"/>
        <v>0</v>
      </c>
      <c r="BE181" s="259">
        <f t="shared" ca="1" si="494"/>
        <v>0</v>
      </c>
      <c r="BG181" s="259" t="str">
        <f t="shared" ca="1" si="368"/>
        <v/>
      </c>
      <c r="BH181" s="259">
        <f ca="1">IF(IFERROR(MATCH(BG181,DENOMINAZIONE_GIORNALE,0),0)&gt;0,MAX(BH$2:BH180)+1,0)</f>
        <v>0</v>
      </c>
      <c r="BI181" s="259" t="str">
        <f ca="1">IFERROR(INDEX($BG$3:$BH$220,MATCH(ROWS($BI$3:BI181),$BH$3:$BH$220,0),1),"")</f>
        <v/>
      </c>
      <c r="BJ181" s="259" t="str">
        <f t="shared" ca="1" si="369"/>
        <v/>
      </c>
      <c r="BK181" s="259" t="str">
        <f ca="1">IF(IF(BJ181&lt;&gt;"",MAX($BK$2:BK180)+1,0)=0,"",IF(BJ181&lt;&gt;"",MAX($BK$2:BK180)+1,0))</f>
        <v/>
      </c>
      <c r="BL181" s="259" t="str">
        <f ca="1">IFERROR(INDEX($T$3:$U$220, MATCH(ROWS(BL$3:BL181),$V$3:$V$220,0),1),"")</f>
        <v/>
      </c>
      <c r="BM181" s="259" t="str">
        <f ca="1">IFERROR(INDEX($T$3:$U$220, MATCH(ROWS(BM$3:BM181),$V$3:$V$220,0),2),"")</f>
        <v/>
      </c>
      <c r="BN181" s="259" t="str">
        <f ca="1">IF(IFERROR(INDEX($BI$3:$BJ$220,MATCH(ROWS(BN$3:BN181),$BK$3:$BK$220,0),1),"")="PATRIMONIO NETTO","",IFERROR(INDEX($BI$3:$BJ$220,MATCH(ROWS(BN$3:BN181),$BK$3:$BK$220,0),1),""))</f>
        <v/>
      </c>
      <c r="BO181" s="259" t="str">
        <f ca="1">IFERROR(INDEX($BI$3:$BJ$220,MATCH(ROWS(BO$3:BO181),$BK$3:$BK$220,0),2),"")</f>
        <v/>
      </c>
      <c r="BP181" s="259">
        <f ca="1">IF(BN181&lt;&gt;"",MAX(BP$2:$BP180)+1,0)</f>
        <v>0</v>
      </c>
      <c r="BQ181" s="259" t="str">
        <f ca="1">IFERROR(INDEX($BN$3:$BO$200,MATCH(ROWS(BQ$3:BQ181),$BP$3:$BP$220,0),1),"")</f>
        <v/>
      </c>
      <c r="BR181" s="259" t="str">
        <f ca="1">IFERROR(INDEX($BN$3:$BO$220,MATCH(ROWS(BR$3:BR181),$BP$3:$BP$220,0),2),"")</f>
        <v/>
      </c>
      <c r="BS181" s="259" t="str">
        <f ca="1">IFERROR(IF(OR(INDEX($T$3:$U$220,MATCH(ROWS(BL$3:BL181),$V$3:$V$220,0),1)="PRELEVAMENTI EXTRAGESTIONE",INDEX($T$3:$U$220,MATCH(ROWS(BL$3:BL181),$V$3:$V$220,0),1)="TITOLARE C/RITENUTE SUBITE"),"",INDEX($T$3:$U$220,MATCH(ROWS(BL$3:BL181),$V$3:$V$220,0),1)),"")</f>
        <v/>
      </c>
      <c r="BT181" s="259">
        <f t="shared" ca="1" si="417"/>
        <v>0</v>
      </c>
      <c r="BU181" s="259">
        <f ca="1">IF(BS181&lt;&gt;"",MAX(BU$2:BU180)+1,0)</f>
        <v>0</v>
      </c>
      <c r="BV181" s="259" t="str">
        <f ca="1">IFERROR(INDEX($BS$3:$BT$223,MATCH(ROWS(BV$3:BV181),$BU$3:$BU$223,0),1),"")</f>
        <v/>
      </c>
      <c r="BW181" s="259">
        <f t="shared" ca="1" si="418"/>
        <v>0</v>
      </c>
      <c r="CB181" s="259" t="str">
        <f ca="1">IFERROR(IF(OR($BB$1&lt;&gt;$BD$1,$BC$1&lt;&gt;$BE$1,$DS$231&lt;&gt;$DT$231,$DU$231&lt;&gt;$DV$231,$EO$25&lt;&gt;0,$EO$26&lt;&gt;0),INDEX($BI$3:$BK$220,MATCH(ROWS($CB$3:CB181),$BK$3:$BK$220,0),1),CONCATENATE(BQ181,BX181)),"")</f>
        <v/>
      </c>
      <c r="CC181" s="259" t="str">
        <f t="shared" ca="1" si="419"/>
        <v/>
      </c>
      <c r="CD181" s="259" t="str">
        <f t="shared" ca="1" si="370"/>
        <v/>
      </c>
      <c r="CE181" s="259">
        <f ca="1">IF(IFERROR(MATCH(CD181,DENOMINAZIONE_GIORNALE,0),0)&gt;0,MAX(CE$2:CE180)+1,0)</f>
        <v>0</v>
      </c>
      <c r="CF181" s="259" t="str">
        <f ca="1">IFERROR(INDEX($CD$3:$CE$220,MATCH(ROWS($CF$3:CF181),$CE$3:$CE$220,0),1),"")</f>
        <v/>
      </c>
      <c r="CG181" s="259">
        <f t="shared" ca="1" si="371"/>
        <v>0</v>
      </c>
      <c r="CH181" s="259" t="str">
        <f ca="1">IF(IF(CG181&lt;&gt;0,MAX($CH$2:CH180)+1,0)=0,"",IF(CG181&lt;&gt;"",MAX($CH$2:CH180)+1,0))</f>
        <v/>
      </c>
      <c r="CI181" s="259" t="str">
        <f ca="1">IFERROR(INDEX($CF$3:$CG$220,MATCH(ROWS($CI$3:CI181),$CH$3:$CH$220,0),1),"")</f>
        <v/>
      </c>
      <c r="CJ181" s="259" t="str">
        <f t="shared" ca="1" si="420"/>
        <v/>
      </c>
      <c r="CK181" s="259" t="str">
        <f t="shared" ca="1" si="372"/>
        <v/>
      </c>
      <c r="CL181" s="259">
        <f ca="1">IF(IFERROR(MATCH(CK181,DENOMINAZIONE_GIORNALE,0),0)&gt;0,MAX(CL$2:CL180)+1,0)</f>
        <v>0</v>
      </c>
      <c r="CM181" s="259" t="str">
        <f ca="1">IFERROR(INDEX($CK$3:$CL$220,MATCH(ROWS($CM$3:CM181),$CL$3:$CL$220,0),1),"")</f>
        <v/>
      </c>
      <c r="CN181" s="259" t="str">
        <f t="shared" ca="1" si="373"/>
        <v/>
      </c>
      <c r="CO181" s="259">
        <f ca="1">IF(IF(CN181&lt;&gt;0,MAX($CO$2:CO180)+1,0)=0,"",IF(CN181&lt;&gt;"",MAX($CO$2:CO180)+1,0))</f>
        <v>0</v>
      </c>
      <c r="CP181" s="259" t="str">
        <f ca="1">IFERROR(INDEX($CM$3:$CN$220,MATCH(ROWS(CP$3:CP181),$CO$3:$CO$220,0),1),"")</f>
        <v/>
      </c>
      <c r="CQ181" s="259" t="str">
        <f ca="1">IFERROR(INDEX($CM$3:$CN$220,MATCH(ROWS(CQ$3:CQ181),$CO$3:$CO$220,0),2),"")</f>
        <v/>
      </c>
      <c r="CS181" s="259">
        <f t="shared" ca="1" si="374"/>
        <v>0</v>
      </c>
      <c r="CT181" s="259">
        <f t="shared" ca="1" si="375"/>
        <v>0</v>
      </c>
      <c r="CU181" s="259">
        <f ca="1">IF(OR(CS181&gt;0,CT181&gt;0),MAX($CU$2:CU180)+1,0)</f>
        <v>0</v>
      </c>
      <c r="CV181" s="259" t="str">
        <f ca="1">IFERROR(INDEX(PIANO_DEI_CONTI,MATCH(ROWS($CV$3:CV181),$CU$3:$CU$200,0),2),"")</f>
        <v/>
      </c>
      <c r="CW181" s="259">
        <f ca="1">IFERROR(IF(CV181&lt;&gt;"",MAX($CW$2:CW180)+1,0),0)</f>
        <v>0</v>
      </c>
      <c r="CX181" s="259">
        <f t="shared" ca="1" si="482"/>
        <v>10</v>
      </c>
      <c r="CY181" s="259" t="str">
        <f t="shared" ca="1" si="495"/>
        <v>MASTRO</v>
      </c>
      <c r="CZ181" s="259" t="e">
        <f t="shared" ca="1" si="485"/>
        <v>#N/A</v>
      </c>
      <c r="DA181" s="259" t="str">
        <f t="shared" ca="1" si="496"/>
        <v/>
      </c>
      <c r="DB181" s="259" t="str">
        <f t="shared" ca="1" si="486"/>
        <v/>
      </c>
      <c r="DC181" s="259" t="str">
        <f t="shared" ca="1" si="487"/>
        <v/>
      </c>
      <c r="DD181" s="259" t="str">
        <f t="shared" ca="1" si="488"/>
        <v/>
      </c>
      <c r="DE181" s="259" t="str">
        <f t="shared" ca="1" si="489"/>
        <v/>
      </c>
      <c r="DF181" s="259">
        <f ca="1">IF(AND(CX181=$DE$2,$DF$2&lt;&gt;0),0,IF(AND(DB181&lt;&gt;"",OR(DB180&lt;&gt;"",DB182&lt;&gt;"")),MAX($DF$2:DF180)+1,0))</f>
        <v>0</v>
      </c>
      <c r="DG181" s="259" t="str">
        <f>IF(IF(LIBRO_GIORNALE!E89="","",IFERROR(INDEX(PIANO_DEI_CONTI,MATCH(BB181,DENOMINAZIONE,0),1),0))=0,"",IF(LIBRO_GIORNALE!E89="","",IFERROR(INDEX(PIANO_DEI_CONTI,MATCH(BB181,DENOMINAZIONE,0),1),0)))</f>
        <v/>
      </c>
      <c r="DH181" s="259">
        <f ca="1">IFERROR(IF($J$1=1,IF(INDEX(PIANO_DEI_CONTI,MATCH($K181,DENOMINAZIONE,0),5)=$DF$1,MAX($DH$2:DH180)+1,0),IF($J$1=2,IF(INDEX(PIANO_DEI_CONTI,MATCH($K181,DENOMINAZIONE,0),7)=$DF$1,MAX($DH$2:DH180)+1,0))),0)</f>
        <v>0</v>
      </c>
      <c r="DI181" s="259">
        <f ca="1">IFERROR(INDEX($K$3:$K$220,MATCH(ROWS($DI$3:DI181),$DH$3:$DH$220,0),1),0)</f>
        <v>0</v>
      </c>
      <c r="DJ181" s="259">
        <f t="shared" ca="1" si="381"/>
        <v>179</v>
      </c>
      <c r="DK181" s="259">
        <f ca="1">IF(DJ181=0,0,MAX(DK$2:DK180)+1)</f>
        <v>3</v>
      </c>
      <c r="DL181" s="259">
        <f ca="1">IFERROR(INDEX(PIANO_DEI_CONTI,MATCH(ROWS(DL$3:DL181),$DK$3:DK408,0),2),0)</f>
        <v>0</v>
      </c>
      <c r="DM181" s="259">
        <f t="shared" ca="1" si="382"/>
        <v>0</v>
      </c>
      <c r="DN181" s="259">
        <f t="shared" ca="1" si="383"/>
        <v>0</v>
      </c>
      <c r="DO181" s="259">
        <f t="shared" ca="1" si="422"/>
        <v>0</v>
      </c>
      <c r="DP181" s="259">
        <f t="shared" ca="1" si="423"/>
        <v>0</v>
      </c>
      <c r="DQ181" s="259">
        <f ca="1">IF(OR($DQ$1="TOTALI",$DQ$1="TOTALI ED ECCEDENZE"),IF(OR(DM181&gt;0,DN181&gt;0),MAX(DQ$2:DQ180)+1,0),IF($DQ$1="ECCEDENZE",IF(OR(DO181&gt;0,DP181&gt;0),MAX(DQ$2:DQ180)+1,0),""))</f>
        <v>0</v>
      </c>
      <c r="DR181" s="259" t="str">
        <f ca="1">IFERROR(INDEX($DL$3:$DQ$230,MATCH(ROWS(DR$3:DR181),$DQ$3:$DQ$230,0),1),"")</f>
        <v/>
      </c>
      <c r="DS181" s="259" t="str">
        <f t="shared" ca="1" si="424"/>
        <v/>
      </c>
      <c r="DT181" s="259" t="str">
        <f t="shared" ca="1" si="425"/>
        <v/>
      </c>
      <c r="DU181" s="259" t="str">
        <f t="shared" ca="1" si="426"/>
        <v/>
      </c>
      <c r="DV181" s="259" t="str">
        <f t="shared" ca="1" si="427"/>
        <v/>
      </c>
      <c r="DW181" s="259">
        <f t="shared" ca="1" si="428"/>
        <v>0</v>
      </c>
      <c r="DX181" s="259" t="str">
        <f t="shared" ca="1" si="429"/>
        <v/>
      </c>
      <c r="DY181" s="259" t="str">
        <f t="shared" ca="1" si="430"/>
        <v/>
      </c>
      <c r="DZ181" s="259" t="str">
        <f t="shared" ca="1" si="431"/>
        <v/>
      </c>
      <c r="ED181" s="259">
        <f t="shared" ca="1" si="384"/>
        <v>0</v>
      </c>
      <c r="EH181" s="259" t="str">
        <f t="shared" ca="1" si="432"/>
        <v/>
      </c>
      <c r="EI181" s="260" t="b">
        <f t="shared" ca="1" si="466"/>
        <v>0</v>
      </c>
      <c r="EJ181" s="260" t="b">
        <f t="shared" ca="1" si="467"/>
        <v>0</v>
      </c>
      <c r="EK181" s="260" t="b">
        <f t="shared" ca="1" si="468"/>
        <v>0</v>
      </c>
      <c r="EL181" s="259">
        <f t="shared" si="433"/>
        <v>179</v>
      </c>
      <c r="EM181" s="259">
        <f ca="1">IF(AND(BA181&gt;0,BA181&lt;=$EM$1),MAX($EM$2:EM180)+1,0)</f>
        <v>0</v>
      </c>
      <c r="EN181" s="259">
        <f t="shared" ca="1" si="434"/>
        <v>181</v>
      </c>
      <c r="EP181" s="259" t="str">
        <f t="shared" ca="1" si="385"/>
        <v/>
      </c>
      <c r="EQ181" s="259">
        <f t="shared" ca="1" si="386"/>
        <v>0</v>
      </c>
      <c r="ER181" s="259">
        <f ca="1">IF(ISNA(EQ181),MAX(ER$2:ER180)+1,0)</f>
        <v>0</v>
      </c>
      <c r="ES181" s="259" t="str">
        <f t="shared" ca="1" si="435"/>
        <v/>
      </c>
      <c r="ET181" s="259" t="str">
        <f ca="1">IFERROR(UPPER(INDEX($ER$3:$ES$500,MATCH(ROWS(ET$3:ET181),$ER$3:$ER$500,0),2)),"")</f>
        <v/>
      </c>
      <c r="EW181" s="259">
        <f t="shared" ca="1" si="497"/>
        <v>1</v>
      </c>
      <c r="EX181" s="259">
        <v>79</v>
      </c>
      <c r="EY181" s="259">
        <f t="shared" ca="1" si="498"/>
        <v>0</v>
      </c>
      <c r="EZ181" s="259">
        <f t="shared" ca="1" si="499"/>
        <v>0</v>
      </c>
      <c r="FA181" s="259">
        <f t="shared" ca="1" si="500"/>
        <v>0</v>
      </c>
      <c r="FB181" s="259">
        <f t="shared" ca="1" si="501"/>
        <v>0</v>
      </c>
      <c r="FC181" s="259">
        <f t="shared" ca="1" si="502"/>
        <v>0</v>
      </c>
      <c r="FD181" s="259">
        <f t="shared" ca="1" si="387"/>
        <v>0</v>
      </c>
      <c r="FE181" s="259" t="str">
        <f t="shared" ca="1" si="388"/>
        <v/>
      </c>
      <c r="FF181" s="259" t="str">
        <f t="shared" ca="1" si="503"/>
        <v/>
      </c>
      <c r="FM181" s="259">
        <f t="shared" si="389"/>
        <v>0</v>
      </c>
      <c r="FN181" s="259">
        <f>IF(FM181&lt;0,MAX($FN$2:FN180)+1,0)</f>
        <v>0</v>
      </c>
      <c r="FO181" s="259" t="str">
        <f t="shared" si="436"/>
        <v/>
      </c>
      <c r="FP181" s="259" t="str">
        <f ca="1">IFERROR(INDEX($FN$3:$FO$400,MATCH(ROWS($FP$3:FP181),$FN$3:$FN$400,0),2),"")</f>
        <v/>
      </c>
      <c r="FQ181" s="259" t="str">
        <f>IF(AE181="SE AVERE",MAX($FQ$2:FQ180)+1,"")</f>
        <v/>
      </c>
      <c r="FR181" s="259" t="str">
        <f>IF(AE181="SE DARE",MAX($FR$2:FR180)+1,"")</f>
        <v/>
      </c>
      <c r="FS181" s="259" t="str">
        <f ca="1">IF(AND(AE181="SP DARE",AA181&lt;&gt;$FS$1,AA181&lt;&gt;$FT$1),MAX($FS$2:FS180)+1,IF(AND(GQ181="SP DARE",AA181&lt;&gt;$FS$1,AA181&lt;&gt;$FT$1),MAX($FS$2:FS180)+1,""))</f>
        <v/>
      </c>
      <c r="FT181" s="259" t="str">
        <f ca="1">IF(AND(AE181="SP AVERE",AA181&lt;&gt;$FU$1),MAX($FT$2:FT180)+1,IF(AND(GQ181="SP AVERE",AA181&lt;&gt;$FU$1),MAX($FT$2:FT180)+1,""))</f>
        <v/>
      </c>
      <c r="FU181" s="259">
        <f t="shared" ca="1" si="437"/>
        <v>0</v>
      </c>
      <c r="FV181" s="259">
        <f t="shared" si="438"/>
        <v>0</v>
      </c>
      <c r="FW181" s="259">
        <f ca="1">IFERROR(INDEX($FU$3:$FV$500,MATCH(ROWS($FW$3:FW181),$FU$3:$FU$500,0),2),0)</f>
        <v>0</v>
      </c>
      <c r="FX181" s="259">
        <f t="shared" ca="1" si="439"/>
        <v>0</v>
      </c>
      <c r="FY181" s="259">
        <f t="shared" ca="1" si="440"/>
        <v>0</v>
      </c>
      <c r="FZ181" s="259">
        <f ca="1">IF(FY181&gt;0,MAX($FZ$2:FZ180)+1,0)</f>
        <v>0</v>
      </c>
      <c r="GA181" s="259">
        <f ca="1">IFERROR(INDEX($FY$3:$FZ$500,MATCH(ROWS($GA$3:GA181),$FZ$3:$FZ$500,0),1),0)</f>
        <v>0</v>
      </c>
      <c r="GC181" s="259">
        <f t="shared" ca="1" si="441"/>
        <v>0</v>
      </c>
      <c r="GD181" s="259">
        <f t="shared" ca="1" si="442"/>
        <v>0</v>
      </c>
      <c r="GG181" s="259">
        <f t="shared" ca="1" si="443"/>
        <v>0</v>
      </c>
      <c r="GH181" s="259">
        <f t="shared" ca="1" si="444"/>
        <v>0</v>
      </c>
      <c r="GI181" s="259">
        <f t="shared" ca="1" si="445"/>
        <v>0</v>
      </c>
      <c r="GJ181" s="259">
        <f t="shared" ca="1" si="446"/>
        <v>0</v>
      </c>
      <c r="GK181" s="259">
        <f t="shared" ca="1" si="447"/>
        <v>0</v>
      </c>
      <c r="GL181" s="259">
        <f t="shared" ca="1" si="447"/>
        <v>0</v>
      </c>
      <c r="GM181" s="259">
        <f ca="1">IF(OR(GK181&gt;0,GL181&gt;0),MAX($GM$2:GM180)+1,0)</f>
        <v>0</v>
      </c>
      <c r="GN181" s="259" t="str">
        <f ca="1">IFERROR(INDEX($GD$3:$GM$400,MATCH(ROWS($GN$3:GN181),$GM$3:$GM$400,0),1),"")</f>
        <v/>
      </c>
      <c r="GO181" s="259" t="str">
        <f ca="1">IFERROR(INDEX($GD$3:$GM$400,MATCH(ROWS($GO$3:GO181),$GM$3:$GM$400,0),8),"")</f>
        <v/>
      </c>
      <c r="GP181" s="259" t="str">
        <f ca="1">IFERROR(INDEX($GD$3:$GM$400,MATCH(ROWS($GP$3:GP181),$GM$3:$GM$400,0),9),"")</f>
        <v/>
      </c>
      <c r="GQ181" s="259">
        <f t="shared" ca="1" si="390"/>
        <v>0</v>
      </c>
      <c r="GR181" s="259">
        <f t="shared" ca="1" si="448"/>
        <v>0</v>
      </c>
      <c r="GS181" s="259" t="str">
        <f t="shared" ca="1" si="449"/>
        <v/>
      </c>
      <c r="GT181" s="259" t="str">
        <f ca="1">IFERROR(INDEX($GD$3:$GS$400,MATCH(ROWS($GT$3:GT181),$GM$3:$GM$400,0),16),"")</f>
        <v/>
      </c>
      <c r="GU181" s="259">
        <f ca="1">IF(GQ181&lt;&gt;0,MAX($GU$2:$GU180)+1,0)</f>
        <v>0</v>
      </c>
      <c r="GV181" s="259">
        <f t="shared" ca="1" si="450"/>
        <v>0</v>
      </c>
      <c r="GW181" s="259" t="str">
        <f ca="1">IF(AND(IFERROR(INDEX($GU$3:$GV$400,MATCH(ROWS($GW$3:GW181),$GU$3:$GU$400,0),2),"")&lt;&gt;"",GW182&lt;&gt;""),CONCATENATE(IFERROR(INDEX($GU$3:$GV$400,MATCH(ROWS($GW$3:GW181),$GU$3:$GU$400,0),2),"")," - "),IFERROR(INDEX($GU$3:$GV$400,MATCH(ROWS($GW$3:GW181),$GU$3:$GU$400,0),2),""))</f>
        <v/>
      </c>
      <c r="GX181" s="259">
        <f ca="1">IF(OR(GN181="IVA NS/CREDITO",GN181="IVA NS/DEBITO",GN181="IVA C/ACCONTO",GN181="IMPOSTE C/ACCONTO"),MAX($GX$2:GX180)+1,0)</f>
        <v>0</v>
      </c>
      <c r="GY181" s="259" t="str">
        <f ca="1">IF(AND(IFERROR(INDEX($GN$3:$GX$200,MATCH(ROWS($GY$3:GY181),$GX$3:$GX$200,0),1),"")&lt;&gt;"",GY182&lt;&gt;""),CONCATENATE(IFERROR(INDEX($GN$3:$GX$200,MATCH(ROWS($GY$3:GY181),$GX$3:$GX$200,0),1),"")," - "),IFERROR(INDEX($GN$3:$GX$200,MATCH(ROWS($GY$3:GY181),$GX$3:$GX$200,0),1),""))</f>
        <v/>
      </c>
      <c r="GZ181" s="259" t="s">
        <v>598</v>
      </c>
      <c r="HA181" s="270" t="s">
        <v>669</v>
      </c>
      <c r="HV181" s="259" t="str">
        <f ca="1">CONCATENATE(IFERROR(INDEX($HS$3:$HT$102,MATCH(ROWS($HV$3:HV181),$HT$3:$HT$102,0),1),""),HR181)</f>
        <v/>
      </c>
      <c r="IC181" s="259">
        <f ca="1">IFERROR(INDEX(PIANO_DEI_CONTI,MATCH(ROWS(DL$3:DL181),$DK$3:DK408,0),2),0)</f>
        <v>0</v>
      </c>
      <c r="ID181" s="259">
        <f t="shared" ca="1" si="451"/>
        <v>0</v>
      </c>
      <c r="IE181" s="259">
        <f t="shared" ca="1" si="452"/>
        <v>0</v>
      </c>
      <c r="IF181" s="259">
        <f t="shared" ca="1" si="453"/>
        <v>0</v>
      </c>
      <c r="IG181" s="259">
        <f t="shared" ca="1" si="479"/>
        <v>0</v>
      </c>
      <c r="IH181" s="259">
        <f ca="1">IF(IG181&lt;&gt;0,MAX($IH$35:IH180)+1,0)</f>
        <v>0</v>
      </c>
      <c r="II181" s="259">
        <f>IF(AD181="costi pluriennali",MAX($II$2:II180)+1,0)</f>
        <v>0</v>
      </c>
      <c r="IJ181" s="259">
        <f>IF($AD181="rettifiche costi pluriennali",MAX($IJ$2:IJ180)+1,0)</f>
        <v>0</v>
      </c>
      <c r="IK181" s="259">
        <f t="shared" si="454"/>
        <v>0</v>
      </c>
      <c r="IL181" s="259" t="str">
        <f t="shared" si="455"/>
        <v/>
      </c>
      <c r="IM181" s="259">
        <f t="shared" ca="1" si="456"/>
        <v>0</v>
      </c>
      <c r="IN181" s="259">
        <f t="shared" ca="1" si="470"/>
        <v>0</v>
      </c>
      <c r="IO181" s="259">
        <f>SUMIFS($IM$3:$IM$200,$IK$3:$IK$200,ROWS($IO$3:IO181))-SUMIFS($IN$3:$IN$200,$IK$3:$IK$200,ROWS($IO$3:IO181))</f>
        <v>0</v>
      </c>
      <c r="IP181" s="259" t="str">
        <f>IF(IO181&lt;0,INDEX($IJ$3:$IL$200,MATCH(ROWS($IP$3:IP181),$IJ$3:$IJ$200,0),3),"")</f>
        <v/>
      </c>
      <c r="IQ181" s="259">
        <f>IF(IP181&lt;&gt;"",MAX($IQ$2:IQ180)+1,0)</f>
        <v>0</v>
      </c>
      <c r="IR181" s="259" t="str">
        <f ca="1">IFERROR(INDEX($IP$3:$IQ$200,MATCH(ROWS($IR$3:IR181),$IQ$3:$IQ$200,0),1),"")</f>
        <v/>
      </c>
      <c r="IS181" s="259" t="str">
        <f t="shared" ca="1" si="457"/>
        <v/>
      </c>
      <c r="IT181" s="259" t="str">
        <f t="shared" ca="1" si="458"/>
        <v/>
      </c>
      <c r="IU181" s="259" t="str">
        <f t="shared" ca="1" si="459"/>
        <v/>
      </c>
      <c r="IV181" s="259" t="str">
        <f t="shared" ca="1" si="460"/>
        <v/>
      </c>
      <c r="IW181" s="259" t="str">
        <f t="shared" ca="1" si="461"/>
        <v/>
      </c>
      <c r="IX181" s="259" t="str">
        <f t="shared" ca="1" si="462"/>
        <v/>
      </c>
      <c r="IY181" s="259" t="str">
        <f t="shared" ca="1" si="463"/>
        <v/>
      </c>
      <c r="IZ181" s="259" t="str">
        <f t="shared" ca="1" si="464"/>
        <v/>
      </c>
      <c r="JA181" s="259" t="str">
        <f t="shared" ca="1" si="465"/>
        <v/>
      </c>
      <c r="JB181" s="259">
        <f t="shared" ca="1" si="391"/>
        <v>0</v>
      </c>
      <c r="JC181" s="259">
        <f t="shared" ca="1" si="504"/>
        <v>0</v>
      </c>
      <c r="JD181" s="259">
        <f t="shared" ca="1" si="505"/>
        <v>0</v>
      </c>
      <c r="JM181" s="259">
        <f t="shared" ca="1" si="506"/>
        <v>0</v>
      </c>
    </row>
    <row r="182" spans="1:273">
      <c r="A182" s="259" t="str">
        <f t="shared" si="392"/>
        <v>37.01</v>
      </c>
      <c r="B182" s="259" t="str">
        <f t="shared" si="393"/>
        <v>MERCI C/ESISTENZE INIZIALI</v>
      </c>
      <c r="C182" s="259" t="str">
        <f t="shared" si="394"/>
        <v>E</v>
      </c>
      <c r="D182" s="259" t="str">
        <f t="shared" si="395"/>
        <v>D</v>
      </c>
      <c r="E182" s="259" t="str">
        <f t="shared" si="396"/>
        <v>COSTI D'ESERCIZIO</v>
      </c>
      <c r="F182" s="259" t="str">
        <f t="shared" si="397"/>
        <v>SE DARE</v>
      </c>
      <c r="G182" s="259">
        <f t="shared" ca="1" si="398"/>
        <v>0</v>
      </c>
      <c r="H182" s="259">
        <f t="shared" ca="1" si="399"/>
        <v>0</v>
      </c>
      <c r="I182" s="259">
        <f t="shared" ca="1" si="400"/>
        <v>1</v>
      </c>
      <c r="K182" s="259" t="str">
        <f ca="1">IFERROR(IF($I$1=1,INDEX($AA$3:$AS$220,MATCH(ROWS($K$3:K182),$AQ$3:$AQ$220,0),1),IF($I$1=2,INDEX($AA$3:$AS$220,MATCH(ROWS($K$3:K182),$AR$3:$AR$220,0),1),IF($I$1=3,INDEX($AA$3:$AS$220,MATCH(ROWS($K$3:K182),$AS$3:$AS$220,0),1),""))),"")</f>
        <v/>
      </c>
      <c r="L182" s="259">
        <f ca="1">IF(AND($L$1="VISUALIZZA TUTTI I CONTI",K182&lt;&gt;""),MAX(L181:L181)+1,IFERROR(IF($J$1=1,IF(INDEX(PIANO_DEI_CONTI,MATCH($K182,DENOMINAZIONE,0),5)=$L$1,MAX($L$2:L181)+1,0),IF($J$1=2,IF(INDEX(PIANO_DEI_CONTI,MATCH($K182,DENOMINAZIONE,0),7)=$L$1,MAX($L$2:L181)+1,0))),0))</f>
        <v>0</v>
      </c>
      <c r="M182" s="259" t="str">
        <f ca="1">IFERROR(INDEX($K$3:$K$220,MATCH(ROWS($M$3:M182),$L$3:$L$220,0),1),"")</f>
        <v/>
      </c>
      <c r="R182" s="259" t="str">
        <f t="shared" ca="1" si="366"/>
        <v/>
      </c>
      <c r="S182" s="259">
        <f ca="1">IF(IFERROR(MATCH(R182,DENOMINAZIONE_GIORNALE,0),0)&gt;0,MAX(S$2:S181)+1,0)</f>
        <v>0</v>
      </c>
      <c r="T182" s="259" t="str">
        <f ca="1">IFERROR(INDEX($R$3:$S$220,MATCH(ROWS($T$3:T182),$S$3:$S$220,0),1),"")</f>
        <v/>
      </c>
      <c r="U182" s="259">
        <f t="shared" ca="1" si="367"/>
        <v>0</v>
      </c>
      <c r="V182" s="259">
        <f ca="1">IF(IF(U182&lt;&gt;0,MAX($V$2:V181)+1,0)=0,0,IF(U182&lt;&gt;0,MAX($V$2:V181)+1,0))</f>
        <v>0</v>
      </c>
      <c r="W182" s="259" t="str">
        <f t="shared" si="401"/>
        <v>37.01</v>
      </c>
      <c r="X182" s="259" t="str">
        <f t="shared" si="402"/>
        <v>MERCI C/ESISTENZE INIZIALI</v>
      </c>
      <c r="Y182" s="259">
        <f>IF(W182="",0,MAX($Y$2:Y181)+1)</f>
        <v>154</v>
      </c>
      <c r="Z182" s="259">
        <f>IFERROR(INDEX($W$3:$Y$220,MATCH(ROWS($Z$2:Z181),$Y$3:$Y$220,0),1),"")</f>
        <v>0</v>
      </c>
      <c r="AA182" s="259">
        <f t="shared" si="403"/>
        <v>0</v>
      </c>
      <c r="AB182" s="259">
        <f t="shared" si="404"/>
        <v>0</v>
      </c>
      <c r="AC182" s="259">
        <f t="shared" si="405"/>
        <v>0</v>
      </c>
      <c r="AD182" s="259">
        <f t="shared" si="406"/>
        <v>0</v>
      </c>
      <c r="AE182" s="259">
        <f t="shared" si="407"/>
        <v>0</v>
      </c>
      <c r="AF182" s="259" t="str">
        <f t="shared" si="408"/>
        <v/>
      </c>
      <c r="AG182" s="259">
        <f t="shared" ca="1" si="409"/>
        <v>0</v>
      </c>
      <c r="AH182" s="259">
        <f t="shared" ca="1" si="410"/>
        <v>0</v>
      </c>
      <c r="AI182" s="259">
        <f t="shared" ca="1" si="411"/>
        <v>0</v>
      </c>
      <c r="AJ182" s="259" t="str">
        <f t="shared" si="412"/>
        <v>0</v>
      </c>
      <c r="AK182" s="259" t="str">
        <f t="shared" si="413"/>
        <v/>
      </c>
      <c r="AL182" s="259">
        <f>IF(AK182&lt;&gt;"",MAX($AL$2:AL181)+1,0)</f>
        <v>0</v>
      </c>
      <c r="AM182" s="259" t="str">
        <f>IFERROR(INDEX($AK$3:$AL$220,MATCH(ROWS($AM$3:AM182),$AL$3:$AL$220,0),1),"")</f>
        <v/>
      </c>
      <c r="AN182" s="259" t="str">
        <f t="shared" si="414"/>
        <v/>
      </c>
      <c r="AO182" s="259" t="str">
        <f t="shared" si="415"/>
        <v/>
      </c>
      <c r="AP182" s="259" t="str">
        <f t="shared" si="416"/>
        <v/>
      </c>
      <c r="AQ182" s="259">
        <f ca="1">IF(OR(AG182=0,AG182=""),0,MAX(AQ$2:AQ181)+1)</f>
        <v>0</v>
      </c>
      <c r="AR182" s="259">
        <f ca="1">IF(OR(AH182=0,AH182=""),0,MAX(AR$2:AR181)+1)</f>
        <v>0</v>
      </c>
      <c r="AS182" s="259">
        <f ca="1">IF(OR(AI182=0,AI182=""),0,MAX(AS$2:AS181)+1)</f>
        <v>0</v>
      </c>
      <c r="AT182" s="259" t="str">
        <f ca="1">IFERROR(INDEX($AD$3:$AS$220,MATCH(ROWS(AT$3:AT182),AQ$3:AQ$220,0),1),"")</f>
        <v/>
      </c>
      <c r="AU182" s="259" t="str">
        <f ca="1">IFERROR(INDEX($AD$3:$AS$220,MATCH(ROWS(AU$3:AU182),AR$3:AR$220,0),1),"")</f>
        <v/>
      </c>
      <c r="AV182" s="259" t="str">
        <f ca="1">IFERROR(INDEX($AD$3:$AS$220,MATCH(ROWS(AV$3:AV182),AS$3:AS$220,0),1),"")</f>
        <v/>
      </c>
      <c r="AW182" s="259" t="str">
        <f ca="1">IFERROR(INDEX($AP$3:$AS$220,MATCH(ROWS(AW$3:AW182),AQ$3:AQ$220,0),1),"")</f>
        <v/>
      </c>
      <c r="AX182" s="259" t="str">
        <f ca="1">IFERROR(INDEX($AP$3:$AS$220,MATCH(ROWS(AX$3:AX182),AR$3:AR$220,0),1),"")</f>
        <v/>
      </c>
      <c r="AY182" s="259" t="str">
        <f ca="1">IFERROR(INDEX($AP$3:$AS$220,MATCH(ROWS(AY$3:AY182),AS$3:AS$220,0),1),"")</f>
        <v/>
      </c>
      <c r="AZ182" s="259" t="str">
        <f t="shared" si="490"/>
        <v>80 V.I.</v>
      </c>
      <c r="BA182" s="259">
        <f t="shared" ca="1" si="484"/>
        <v>0</v>
      </c>
      <c r="BB182" s="259">
        <f t="shared" ca="1" si="491"/>
        <v>0</v>
      </c>
      <c r="BC182" s="259">
        <f t="shared" ca="1" si="492"/>
        <v>0</v>
      </c>
      <c r="BD182" s="259">
        <f t="shared" ca="1" si="493"/>
        <v>0</v>
      </c>
      <c r="BE182" s="259">
        <f t="shared" ca="1" si="494"/>
        <v>0</v>
      </c>
      <c r="BG182" s="259" t="str">
        <f t="shared" ca="1" si="368"/>
        <v/>
      </c>
      <c r="BH182" s="259">
        <f ca="1">IF(IFERROR(MATCH(BG182,DENOMINAZIONE_GIORNALE,0),0)&gt;0,MAX(BH$2:BH181)+1,0)</f>
        <v>0</v>
      </c>
      <c r="BI182" s="259" t="str">
        <f ca="1">IFERROR(INDEX($BG$3:$BH$220,MATCH(ROWS($BI$3:BI182),$BH$3:$BH$220,0),1),"")</f>
        <v/>
      </c>
      <c r="BJ182" s="259" t="str">
        <f t="shared" ca="1" si="369"/>
        <v/>
      </c>
      <c r="BK182" s="259" t="str">
        <f ca="1">IF(IF(BJ182&lt;&gt;"",MAX($BK$2:BK181)+1,0)=0,"",IF(BJ182&lt;&gt;"",MAX($BK$2:BK181)+1,0))</f>
        <v/>
      </c>
      <c r="BL182" s="259" t="str">
        <f ca="1">IFERROR(INDEX($T$3:$U$220, MATCH(ROWS(BL$3:BL182),$V$3:$V$220,0),1),"")</f>
        <v/>
      </c>
      <c r="BM182" s="259" t="str">
        <f ca="1">IFERROR(INDEX($T$3:$U$220, MATCH(ROWS(BM$3:BM182),$V$3:$V$220,0),2),"")</f>
        <v/>
      </c>
      <c r="BN182" s="259" t="str">
        <f ca="1">IF(IFERROR(INDEX($BI$3:$BJ$220,MATCH(ROWS(BN$3:BN182),$BK$3:$BK$220,0),1),"")="PATRIMONIO NETTO","",IFERROR(INDEX($BI$3:$BJ$220,MATCH(ROWS(BN$3:BN182),$BK$3:$BK$220,0),1),""))</f>
        <v/>
      </c>
      <c r="BO182" s="259" t="str">
        <f ca="1">IFERROR(INDEX($BI$3:$BJ$220,MATCH(ROWS(BO$3:BO182),$BK$3:$BK$220,0),2),"")</f>
        <v/>
      </c>
      <c r="BP182" s="259">
        <f ca="1">IF(BN182&lt;&gt;"",MAX(BP$2:$BP181)+1,0)</f>
        <v>0</v>
      </c>
      <c r="BQ182" s="259" t="str">
        <f ca="1">IFERROR(INDEX($BN$3:$BO$200,MATCH(ROWS(BQ$3:BQ182),$BP$3:$BP$220,0),1),"")</f>
        <v/>
      </c>
      <c r="BR182" s="259" t="str">
        <f ca="1">IFERROR(INDEX($BN$3:$BO$220,MATCH(ROWS(BR$3:BR182),$BP$3:$BP$220,0),2),"")</f>
        <v/>
      </c>
      <c r="BS182" s="259" t="str">
        <f ca="1">IFERROR(IF(OR(INDEX($T$3:$U$220,MATCH(ROWS(BL$3:BL182),$V$3:$V$220,0),1)="PRELEVAMENTI EXTRAGESTIONE",INDEX($T$3:$U$220,MATCH(ROWS(BL$3:BL182),$V$3:$V$220,0),1)="TITOLARE C/RITENUTE SUBITE"),"",INDEX($T$3:$U$220,MATCH(ROWS(BL$3:BL182),$V$3:$V$220,0),1)),"")</f>
        <v/>
      </c>
      <c r="BT182" s="259">
        <f t="shared" ca="1" si="417"/>
        <v>0</v>
      </c>
      <c r="BU182" s="259">
        <f ca="1">IF(BS182&lt;&gt;"",MAX(BU$2:BU181)+1,0)</f>
        <v>0</v>
      </c>
      <c r="BV182" s="259" t="str">
        <f ca="1">IFERROR(INDEX($BS$3:$BT$223,MATCH(ROWS(BV$3:BV182),$BU$3:$BU$223,0),1),"")</f>
        <v/>
      </c>
      <c r="BW182" s="259">
        <f t="shared" ca="1" si="418"/>
        <v>0</v>
      </c>
      <c r="CB182" s="259" t="str">
        <f ca="1">IFERROR(IF(OR($BB$1&lt;&gt;$BD$1,$BC$1&lt;&gt;$BE$1,$DS$231&lt;&gt;$DT$231,$DU$231&lt;&gt;$DV$231,$EO$25&lt;&gt;0,$EO$26&lt;&gt;0),INDEX($BI$3:$BK$220,MATCH(ROWS($CB$3:CB182),$BK$3:$BK$220,0),1),CONCATENATE(BQ182,BX182)),"")</f>
        <v/>
      </c>
      <c r="CC182" s="259" t="str">
        <f t="shared" ca="1" si="419"/>
        <v/>
      </c>
      <c r="CD182" s="259" t="str">
        <f t="shared" ca="1" si="370"/>
        <v/>
      </c>
      <c r="CE182" s="259">
        <f ca="1">IF(IFERROR(MATCH(CD182,DENOMINAZIONE_GIORNALE,0),0)&gt;0,MAX(CE$2:CE181)+1,0)</f>
        <v>0</v>
      </c>
      <c r="CF182" s="259" t="str">
        <f ca="1">IFERROR(INDEX($CD$3:$CE$220,MATCH(ROWS($CF$3:CF182),$CE$3:$CE$220,0),1),"")</f>
        <v/>
      </c>
      <c r="CG182" s="259">
        <f t="shared" ca="1" si="371"/>
        <v>0</v>
      </c>
      <c r="CH182" s="259" t="str">
        <f ca="1">IF(IF(CG182&lt;&gt;0,MAX($CH$2:CH181)+1,0)=0,"",IF(CG182&lt;&gt;"",MAX($CH$2:CH181)+1,0))</f>
        <v/>
      </c>
      <c r="CI182" s="259" t="str">
        <f ca="1">IFERROR(INDEX($CF$3:$CG$220,MATCH(ROWS($CI$3:CI182),$CH$3:$CH$220,0),1),"")</f>
        <v/>
      </c>
      <c r="CJ182" s="259" t="str">
        <f t="shared" ca="1" si="420"/>
        <v/>
      </c>
      <c r="CK182" s="259" t="str">
        <f t="shared" ca="1" si="372"/>
        <v/>
      </c>
      <c r="CL182" s="259">
        <f ca="1">IF(IFERROR(MATCH(CK182,DENOMINAZIONE_GIORNALE,0),0)&gt;0,MAX(CL$2:CL181)+1,0)</f>
        <v>0</v>
      </c>
      <c r="CM182" s="259" t="str">
        <f ca="1">IFERROR(INDEX($CK$3:$CL$220,MATCH(ROWS($CM$3:CM182),$CL$3:$CL$220,0),1),"")</f>
        <v/>
      </c>
      <c r="CN182" s="259" t="str">
        <f t="shared" ca="1" si="373"/>
        <v/>
      </c>
      <c r="CO182" s="259">
        <f ca="1">IF(IF(CN182&lt;&gt;0,MAX($CO$2:CO181)+1,0)=0,"",IF(CN182&lt;&gt;"",MAX($CO$2:CO181)+1,0))</f>
        <v>0</v>
      </c>
      <c r="CP182" s="259" t="str">
        <f ca="1">IFERROR(INDEX($CM$3:$CN$220,MATCH(ROWS(CP$3:CP182),$CO$3:$CO$220,0),1),"")</f>
        <v/>
      </c>
      <c r="CQ182" s="259" t="str">
        <f ca="1">IFERROR(INDEX($CM$3:$CN$220,MATCH(ROWS(CQ$3:CQ182),$CO$3:$CO$220,0),2),"")</f>
        <v/>
      </c>
      <c r="CS182" s="259">
        <f t="shared" ca="1" si="374"/>
        <v>0</v>
      </c>
      <c r="CT182" s="259">
        <f t="shared" ca="1" si="375"/>
        <v>0</v>
      </c>
      <c r="CU182" s="259">
        <f ca="1">IF(OR(CS182&gt;0,CT182&gt;0),MAX($CU$2:CU181)+1,0)</f>
        <v>0</v>
      </c>
      <c r="CV182" s="259" t="str">
        <f ca="1">IFERROR(INDEX(PIANO_DEI_CONTI,MATCH(ROWS($CV$3:CV182),$CU$3:$CU$200,0),2),"")</f>
        <v/>
      </c>
      <c r="CW182" s="259">
        <f ca="1">IFERROR(IF(CV182&lt;&gt;"",MAX($CW$2:CW181)+1,0),0)</f>
        <v>0</v>
      </c>
      <c r="CX182" s="259" t="str">
        <f>IFERROR(IF(CX164+1=1,"",(CX164+1)),"")</f>
        <v/>
      </c>
      <c r="CY182" s="259" t="str">
        <f t="shared" ca="1" si="495"/>
        <v>MASTRO</v>
      </c>
      <c r="DB182" s="259" t="str">
        <f t="shared" ref="DB182" ca="1" si="507">CY182</f>
        <v>MASTRO</v>
      </c>
      <c r="DF182" s="259">
        <f ca="1">IF(AND(CX182=$DE$2,$DF$2&lt;&gt;0),0,IF(AND(DB182&lt;&gt;"",OR(DB181&lt;&gt;"",DB183&lt;&gt;"")),MAX($DF$2:DF181)+1,0))</f>
        <v>0</v>
      </c>
      <c r="DG182" s="259" t="str">
        <f>IF(IF(LIBRO_GIORNALE!E90="","",IFERROR(INDEX(PIANO_DEI_CONTI,MATCH(BB182,DENOMINAZIONE,0),1),0))=0,"",IF(LIBRO_GIORNALE!E90="","",IFERROR(INDEX(PIANO_DEI_CONTI,MATCH(BB182,DENOMINAZIONE,0),1),0)))</f>
        <v/>
      </c>
      <c r="DH182" s="259">
        <f ca="1">IFERROR(IF($J$1=1,IF(INDEX(PIANO_DEI_CONTI,MATCH($K182,DENOMINAZIONE,0),5)=$DF$1,MAX($DH$2:DH181)+1,0),IF($J$1=2,IF(INDEX(PIANO_DEI_CONTI,MATCH($K182,DENOMINAZIONE,0),7)=$DF$1,MAX($DH$2:DH181)+1,0))),0)</f>
        <v>0</v>
      </c>
      <c r="DI182" s="259">
        <f ca="1">IFERROR(INDEX($K$3:$K$220,MATCH(ROWS($DI$3:DI182),$DH$3:$DH$220,0),1),0)</f>
        <v>0</v>
      </c>
      <c r="DJ182" s="259">
        <f t="shared" ca="1" si="381"/>
        <v>180</v>
      </c>
      <c r="DK182" s="259">
        <f ca="1">IF(DJ182=0,0,MAX(DK$2:DK181)+1)</f>
        <v>4</v>
      </c>
      <c r="DL182" s="259">
        <f ca="1">IFERROR(INDEX(PIANO_DEI_CONTI,MATCH(ROWS(DL$3:DL182),$DK$3:DK409,0),2),0)</f>
        <v>0</v>
      </c>
      <c r="DM182" s="259">
        <f t="shared" ca="1" si="382"/>
        <v>0</v>
      </c>
      <c r="DN182" s="259">
        <f t="shared" ca="1" si="383"/>
        <v>0</v>
      </c>
      <c r="DO182" s="259">
        <f t="shared" ca="1" si="422"/>
        <v>0</v>
      </c>
      <c r="DP182" s="259">
        <f t="shared" ca="1" si="423"/>
        <v>0</v>
      </c>
      <c r="DQ182" s="259">
        <f ca="1">IF(OR($DQ$1="TOTALI",$DQ$1="TOTALI ED ECCEDENZE"),IF(OR(DM182&gt;0,DN182&gt;0),MAX(DQ$2:DQ181)+1,0),IF($DQ$1="ECCEDENZE",IF(OR(DO182&gt;0,DP182&gt;0),MAX(DQ$2:DQ181)+1,0),""))</f>
        <v>0</v>
      </c>
      <c r="DR182" s="259" t="str">
        <f ca="1">IFERROR(INDEX($DL$3:$DQ$230,MATCH(ROWS(DR$3:DR182),$DQ$3:$DQ$230,0),1),"")</f>
        <v/>
      </c>
      <c r="DS182" s="259" t="str">
        <f t="shared" ca="1" si="424"/>
        <v/>
      </c>
      <c r="DT182" s="259" t="str">
        <f t="shared" ca="1" si="425"/>
        <v/>
      </c>
      <c r="DU182" s="259" t="str">
        <f t="shared" ca="1" si="426"/>
        <v/>
      </c>
      <c r="DV182" s="259" t="str">
        <f t="shared" ca="1" si="427"/>
        <v/>
      </c>
      <c r="DW182" s="259">
        <f t="shared" ca="1" si="428"/>
        <v>0</v>
      </c>
      <c r="DX182" s="259" t="str">
        <f t="shared" ca="1" si="429"/>
        <v/>
      </c>
      <c r="DY182" s="259" t="str">
        <f t="shared" ca="1" si="430"/>
        <v/>
      </c>
      <c r="DZ182" s="259" t="str">
        <f t="shared" ca="1" si="431"/>
        <v/>
      </c>
      <c r="ED182" s="259">
        <f t="shared" ca="1" si="384"/>
        <v>0</v>
      </c>
      <c r="EH182" s="259" t="str">
        <f t="shared" ca="1" si="432"/>
        <v/>
      </c>
      <c r="EI182" s="260" t="b">
        <f t="shared" ca="1" si="466"/>
        <v>0</v>
      </c>
      <c r="EJ182" s="260" t="b">
        <f t="shared" ca="1" si="467"/>
        <v>0</v>
      </c>
      <c r="EK182" s="260" t="b">
        <f t="shared" ca="1" si="468"/>
        <v>1</v>
      </c>
      <c r="EL182" s="259">
        <f t="shared" si="433"/>
        <v>180</v>
      </c>
      <c r="EM182" s="259">
        <f ca="1">IF(AND(BA182&gt;0,BA182&lt;=$EM$1),MAX($EM$2:EM181)+1,0)</f>
        <v>0</v>
      </c>
      <c r="EN182" s="259">
        <f t="shared" ca="1" si="434"/>
        <v>182</v>
      </c>
      <c r="EP182" s="259" t="str">
        <f t="shared" ca="1" si="385"/>
        <v/>
      </c>
      <c r="EQ182" s="259">
        <f t="shared" ca="1" si="386"/>
        <v>0</v>
      </c>
      <c r="ER182" s="259">
        <f ca="1">IF(ISNA(EQ182),MAX(ER$2:ER181)+1,0)</f>
        <v>0</v>
      </c>
      <c r="ES182" s="259" t="str">
        <f t="shared" ca="1" si="435"/>
        <v/>
      </c>
      <c r="ET182" s="259" t="str">
        <f ca="1">IFERROR(UPPER(INDEX($ER$3:$ES$500,MATCH(ROWS(ET$3:ET182),$ER$3:$ER$500,0),2)),"")</f>
        <v/>
      </c>
      <c r="EW182" s="259">
        <f t="shared" ca="1" si="497"/>
        <v>1</v>
      </c>
      <c r="EX182" s="259">
        <v>80</v>
      </c>
      <c r="EY182" s="259">
        <f t="shared" ca="1" si="498"/>
        <v>0</v>
      </c>
      <c r="EZ182" s="259">
        <f t="shared" ca="1" si="499"/>
        <v>0</v>
      </c>
      <c r="FA182" s="259">
        <f t="shared" ca="1" si="500"/>
        <v>0</v>
      </c>
      <c r="FB182" s="259">
        <f t="shared" ca="1" si="501"/>
        <v>0</v>
      </c>
      <c r="FC182" s="259">
        <f t="shared" ca="1" si="502"/>
        <v>0</v>
      </c>
      <c r="FD182" s="259">
        <f t="shared" ca="1" si="387"/>
        <v>0</v>
      </c>
      <c r="FE182" s="259" t="str">
        <f t="shared" ca="1" si="388"/>
        <v/>
      </c>
      <c r="FF182" s="259" t="str">
        <f t="shared" ca="1" si="503"/>
        <v/>
      </c>
      <c r="FM182" s="259">
        <f t="shared" si="389"/>
        <v>0</v>
      </c>
      <c r="FN182" s="259">
        <f>IF(FM182&lt;0,MAX($FN$2:FN181)+1,0)</f>
        <v>0</v>
      </c>
      <c r="FO182" s="259" t="str">
        <f t="shared" si="436"/>
        <v/>
      </c>
      <c r="FP182" s="259" t="str">
        <f ca="1">IFERROR(INDEX($FN$3:$FO$400,MATCH(ROWS($FP$3:FP182),$FN$3:$FN$400,0),2),"")</f>
        <v/>
      </c>
      <c r="FQ182" s="259" t="str">
        <f>IF(AE182="SE AVERE",MAX($FQ$2:FQ181)+1,"")</f>
        <v/>
      </c>
      <c r="FR182" s="259" t="str">
        <f>IF(AE182="SE DARE",MAX($FR$2:FR181)+1,"")</f>
        <v/>
      </c>
      <c r="FS182" s="259" t="str">
        <f ca="1">IF(AND(AE182="SP DARE",AA182&lt;&gt;$FS$1,AA182&lt;&gt;$FT$1),MAX($FS$2:FS181)+1,IF(AND(GQ182="SP DARE",AA182&lt;&gt;$FS$1,AA182&lt;&gt;$FT$1),MAX($FS$2:FS181)+1,""))</f>
        <v/>
      </c>
      <c r="FT182" s="259" t="str">
        <f ca="1">IF(AND(AE182="SP AVERE",AA182&lt;&gt;$FU$1),MAX($FT$2:FT181)+1,IF(AND(GQ182="SP AVERE",AA182&lt;&gt;$FU$1),MAX($FT$2:FT181)+1,""))</f>
        <v/>
      </c>
      <c r="FU182" s="259">
        <f t="shared" ca="1" si="437"/>
        <v>0</v>
      </c>
      <c r="FV182" s="259">
        <f t="shared" si="438"/>
        <v>0</v>
      </c>
      <c r="FW182" s="259">
        <f ca="1">IFERROR(INDEX($FU$3:$FV$500,MATCH(ROWS($FW$3:FW182),$FU$3:$FU$500,0),2),0)</f>
        <v>0</v>
      </c>
      <c r="FX182" s="259">
        <f t="shared" ca="1" si="439"/>
        <v>0</v>
      </c>
      <c r="FY182" s="259">
        <f t="shared" ca="1" si="440"/>
        <v>0</v>
      </c>
      <c r="FZ182" s="259">
        <f ca="1">IF(FY182&gt;0,MAX($FZ$2:FZ181)+1,0)</f>
        <v>0</v>
      </c>
      <c r="GA182" s="259">
        <f ca="1">IFERROR(INDEX($FY$3:$FZ$500,MATCH(ROWS($GA$3:GA182),$FZ$3:$FZ$500,0),1),0)</f>
        <v>0</v>
      </c>
      <c r="GC182" s="259">
        <f t="shared" ca="1" si="441"/>
        <v>0</v>
      </c>
      <c r="GD182" s="259">
        <f t="shared" ca="1" si="442"/>
        <v>0</v>
      </c>
      <c r="GG182" s="259">
        <f t="shared" ca="1" si="443"/>
        <v>0</v>
      </c>
      <c r="GH182" s="259">
        <f t="shared" ca="1" si="444"/>
        <v>0</v>
      </c>
      <c r="GI182" s="259">
        <f t="shared" ca="1" si="445"/>
        <v>0</v>
      </c>
      <c r="GJ182" s="259">
        <f t="shared" ca="1" si="446"/>
        <v>0</v>
      </c>
      <c r="GK182" s="259">
        <f t="shared" ca="1" si="447"/>
        <v>0</v>
      </c>
      <c r="GL182" s="259">
        <f t="shared" ca="1" si="447"/>
        <v>0</v>
      </c>
      <c r="GM182" s="259">
        <f ca="1">IF(OR(GK182&gt;0,GL182&gt;0),MAX($GM$2:GM181)+1,0)</f>
        <v>0</v>
      </c>
      <c r="GN182" s="259" t="str">
        <f ca="1">IFERROR(INDEX($GD$3:$GM$400,MATCH(ROWS($GN$3:GN182),$GM$3:$GM$400,0),1),"")</f>
        <v/>
      </c>
      <c r="GO182" s="259" t="str">
        <f ca="1">IFERROR(INDEX($GD$3:$GM$400,MATCH(ROWS($GO$3:GO182),$GM$3:$GM$400,0),8),"")</f>
        <v/>
      </c>
      <c r="GP182" s="259" t="str">
        <f ca="1">IFERROR(INDEX($GD$3:$GM$400,MATCH(ROWS($GP$3:GP182),$GM$3:$GM$400,0),9),"")</f>
        <v/>
      </c>
      <c r="GQ182" s="259">
        <f t="shared" ca="1" si="390"/>
        <v>0</v>
      </c>
      <c r="GR182" s="259">
        <f t="shared" ca="1" si="448"/>
        <v>0</v>
      </c>
      <c r="GS182" s="259" t="str">
        <f t="shared" ca="1" si="449"/>
        <v/>
      </c>
      <c r="GT182" s="259" t="str">
        <f ca="1">IFERROR(INDEX($GD$3:$GS$400,MATCH(ROWS($GT$3:GT182),$GM$3:$GM$400,0),16),"")</f>
        <v/>
      </c>
      <c r="GU182" s="259">
        <f ca="1">IF(GQ182&lt;&gt;0,MAX($GU$2:$GU181)+1,0)</f>
        <v>0</v>
      </c>
      <c r="GV182" s="259">
        <f t="shared" ca="1" si="450"/>
        <v>0</v>
      </c>
      <c r="GW182" s="259" t="str">
        <f ca="1">IF(AND(IFERROR(INDEX($GU$3:$GV$400,MATCH(ROWS($GW$3:GW182),$GU$3:$GU$400,0),2),"")&lt;&gt;"",GW183&lt;&gt;""),CONCATENATE(IFERROR(INDEX($GU$3:$GV$400,MATCH(ROWS($GW$3:GW182),$GU$3:$GU$400,0),2),"")," - "),IFERROR(INDEX($GU$3:$GV$400,MATCH(ROWS($GW$3:GW182),$GU$3:$GU$400,0),2),""))</f>
        <v/>
      </c>
      <c r="GX182" s="259">
        <f ca="1">IF(OR(GN182="IVA NS/CREDITO",GN182="IVA NS/DEBITO",GN182="IVA C/ACCONTO",GN182="IMPOSTE C/ACCONTO"),MAX($GX$2:GX181)+1,0)</f>
        <v>0</v>
      </c>
      <c r="GY182" s="259" t="str">
        <f ca="1">IF(AND(IFERROR(INDEX($GN$3:$GX$200,MATCH(ROWS($GY$3:GY182),$GX$3:$GX$200,0),1),"")&lt;&gt;"",GY183&lt;&gt;""),CONCATENATE(IFERROR(INDEX($GN$3:$GX$200,MATCH(ROWS($GY$3:GY182),$GX$3:$GX$200,0),1),"")," - "),IFERROR(INDEX($GN$3:$GX$200,MATCH(ROWS($GY$3:GY182),$GX$3:$GX$200,0),1),""))</f>
        <v/>
      </c>
      <c r="GZ182" s="259" t="s">
        <v>670</v>
      </c>
      <c r="HA182" s="259" t="s">
        <v>570</v>
      </c>
      <c r="HB182" s="269" t="s">
        <v>256</v>
      </c>
      <c r="HC182" s="269" t="s">
        <v>276</v>
      </c>
      <c r="HD182" s="269" t="s">
        <v>7</v>
      </c>
      <c r="HE182" s="269" t="s">
        <v>214</v>
      </c>
      <c r="HV182" s="259" t="str">
        <f ca="1">CONCATENATE(IFERROR(INDEX($HS$3:$HT$102,MATCH(ROWS($HV$3:HV182),$HT$3:$HT$102,0),1),""),HR182)</f>
        <v/>
      </c>
      <c r="IC182" s="259">
        <f ca="1">IFERROR(INDEX(PIANO_DEI_CONTI,MATCH(ROWS(DL$3:DL182),$DK$3:DK409,0),2),0)</f>
        <v>0</v>
      </c>
      <c r="ID182" s="259">
        <f t="shared" ca="1" si="451"/>
        <v>0</v>
      </c>
      <c r="IE182" s="259">
        <f t="shared" ca="1" si="452"/>
        <v>0</v>
      </c>
      <c r="IF182" s="259">
        <f t="shared" ca="1" si="453"/>
        <v>0</v>
      </c>
      <c r="IG182" s="259">
        <f t="shared" ca="1" si="479"/>
        <v>0</v>
      </c>
      <c r="IH182" s="259">
        <f ca="1">IF(IG182&lt;&gt;0,MAX($IH$35:IH181)+1,0)</f>
        <v>0</v>
      </c>
      <c r="II182" s="259">
        <f>IF(AD182="costi pluriennali",MAX($II$2:II181)+1,0)</f>
        <v>0</v>
      </c>
      <c r="IJ182" s="259">
        <f>IF($AD182="rettifiche costi pluriennali",MAX($IJ$2:IJ181)+1,0)</f>
        <v>0</v>
      </c>
      <c r="IK182" s="259">
        <f t="shared" si="454"/>
        <v>0</v>
      </c>
      <c r="IL182" s="259" t="str">
        <f t="shared" si="455"/>
        <v/>
      </c>
      <c r="IM182" s="259">
        <f t="shared" ca="1" si="456"/>
        <v>0</v>
      </c>
      <c r="IN182" s="259">
        <f t="shared" ca="1" si="470"/>
        <v>0</v>
      </c>
      <c r="IO182" s="259">
        <f>SUMIFS($IM$3:$IM$200,$IK$3:$IK$200,ROWS($IO$3:IO182))-SUMIFS($IN$3:$IN$200,$IK$3:$IK$200,ROWS($IO$3:IO182))</f>
        <v>0</v>
      </c>
      <c r="IP182" s="259" t="str">
        <f>IF(IO182&lt;0,INDEX($IJ$3:$IL$200,MATCH(ROWS($IP$3:IP182),$IJ$3:$IJ$200,0),3),"")</f>
        <v/>
      </c>
      <c r="IQ182" s="259">
        <f>IF(IP182&lt;&gt;"",MAX($IQ$2:IQ181)+1,0)</f>
        <v>0</v>
      </c>
      <c r="IR182" s="259" t="str">
        <f ca="1">IFERROR(INDEX($IP$3:$IQ$200,MATCH(ROWS($IR$3:IR182),$IQ$3:$IQ$200,0),1),"")</f>
        <v/>
      </c>
      <c r="IS182" s="259" t="str">
        <f t="shared" ca="1" si="457"/>
        <v/>
      </c>
      <c r="IT182" s="259" t="str">
        <f t="shared" ca="1" si="458"/>
        <v/>
      </c>
      <c r="IU182" s="259" t="str">
        <f t="shared" ca="1" si="459"/>
        <v/>
      </c>
      <c r="IV182" s="259" t="str">
        <f t="shared" ca="1" si="460"/>
        <v/>
      </c>
      <c r="IW182" s="259" t="str">
        <f t="shared" ca="1" si="461"/>
        <v/>
      </c>
      <c r="IX182" s="259" t="str">
        <f t="shared" ca="1" si="462"/>
        <v/>
      </c>
      <c r="IY182" s="259" t="str">
        <f t="shared" ca="1" si="463"/>
        <v/>
      </c>
      <c r="IZ182" s="259" t="str">
        <f t="shared" ca="1" si="464"/>
        <v/>
      </c>
      <c r="JA182" s="259" t="str">
        <f t="shared" ca="1" si="465"/>
        <v/>
      </c>
      <c r="JB182" s="259">
        <f t="shared" ca="1" si="391"/>
        <v>0</v>
      </c>
      <c r="JC182" s="259">
        <f t="shared" ca="1" si="504"/>
        <v>0</v>
      </c>
      <c r="JD182" s="259">
        <f t="shared" ca="1" si="505"/>
        <v>0</v>
      </c>
      <c r="JM182" s="259">
        <f t="shared" ca="1" si="506"/>
        <v>0</v>
      </c>
    </row>
    <row r="183" spans="1:273">
      <c r="A183" s="259" t="str">
        <f t="shared" si="392"/>
        <v>37.02</v>
      </c>
      <c r="B183" s="259" t="str">
        <f t="shared" si="393"/>
        <v>MATERIE DI CONSUMO C/ESISTENZE INIZIALI</v>
      </c>
      <c r="C183" s="259" t="str">
        <f t="shared" si="394"/>
        <v>E</v>
      </c>
      <c r="D183" s="259" t="str">
        <f t="shared" si="395"/>
        <v>D</v>
      </c>
      <c r="E183" s="259" t="str">
        <f t="shared" si="396"/>
        <v>COSTI D'ESERCIZIO</v>
      </c>
      <c r="F183" s="259" t="str">
        <f t="shared" si="397"/>
        <v>SE DARE</v>
      </c>
      <c r="G183" s="259">
        <f t="shared" ca="1" si="398"/>
        <v>0</v>
      </c>
      <c r="H183" s="259">
        <f t="shared" ca="1" si="399"/>
        <v>0</v>
      </c>
      <c r="I183" s="259">
        <f t="shared" ca="1" si="400"/>
        <v>1</v>
      </c>
      <c r="K183" s="259" t="str">
        <f ca="1">IFERROR(IF($I$1=1,INDEX($AA$3:$AS$220,MATCH(ROWS($K$3:K183),$AQ$3:$AQ$220,0),1),IF($I$1=2,INDEX($AA$3:$AS$220,MATCH(ROWS($K$3:K183),$AR$3:$AR$220,0),1),IF($I$1=3,INDEX($AA$3:$AS$220,MATCH(ROWS($K$3:K183),$AS$3:$AS$220,0),1),""))),"")</f>
        <v/>
      </c>
      <c r="L183" s="259">
        <f ca="1">IF(AND($L$1="VISUALIZZA TUTTI I CONTI",K183&lt;&gt;""),MAX(L182:L182)+1,IFERROR(IF($J$1=1,IF(INDEX(PIANO_DEI_CONTI,MATCH($K183,DENOMINAZIONE,0),5)=$L$1,MAX($L$2:L182)+1,0),IF($J$1=2,IF(INDEX(PIANO_DEI_CONTI,MATCH($K183,DENOMINAZIONE,0),7)=$L$1,MAX($L$2:L182)+1,0))),0))</f>
        <v>0</v>
      </c>
      <c r="M183" s="259" t="str">
        <f ca="1">IFERROR(INDEX($K$3:$K$220,MATCH(ROWS($M$3:M183),$L$3:$L$220,0),1),"")</f>
        <v/>
      </c>
      <c r="R183" s="259" t="str">
        <f t="shared" ca="1" si="366"/>
        <v/>
      </c>
      <c r="S183" s="259">
        <f ca="1">IF(IFERROR(MATCH(R183,DENOMINAZIONE_GIORNALE,0),0)&gt;0,MAX(S$2:S182)+1,0)</f>
        <v>0</v>
      </c>
      <c r="T183" s="259" t="str">
        <f ca="1">IFERROR(INDEX($R$3:$S$220,MATCH(ROWS($T$3:T183),$S$3:$S$220,0),1),"")</f>
        <v/>
      </c>
      <c r="U183" s="259">
        <f t="shared" ca="1" si="367"/>
        <v>0</v>
      </c>
      <c r="V183" s="259">
        <f ca="1">IF(IF(U183&lt;&gt;0,MAX($V$2:V182)+1,0)=0,0,IF(U183&lt;&gt;0,MAX($V$2:V182)+1,0))</f>
        <v>0</v>
      </c>
      <c r="W183" s="259" t="str">
        <f t="shared" si="401"/>
        <v>37.02</v>
      </c>
      <c r="X183" s="259" t="str">
        <f t="shared" si="402"/>
        <v>MATERIE DI CONSUMO C/ESISTENZE INIZIALI</v>
      </c>
      <c r="Y183" s="259">
        <f>IF(W183="",0,MAX($Y$2:Y182)+1)</f>
        <v>155</v>
      </c>
      <c r="Z183" s="259" t="str">
        <f>IFERROR(INDEX($W$3:$Y$220,MATCH(ROWS($Z$2:Z182),$Y$3:$Y$220,0),1),"")</f>
        <v/>
      </c>
      <c r="AA183" s="259" t="str">
        <f t="shared" si="403"/>
        <v/>
      </c>
      <c r="AB183" s="259" t="str">
        <f t="shared" si="404"/>
        <v/>
      </c>
      <c r="AC183" s="259" t="str">
        <f t="shared" si="405"/>
        <v/>
      </c>
      <c r="AD183" s="259" t="str">
        <f t="shared" si="406"/>
        <v/>
      </c>
      <c r="AE183" s="259" t="str">
        <f t="shared" si="407"/>
        <v/>
      </c>
      <c r="AF183" s="259" t="str">
        <f t="shared" si="408"/>
        <v/>
      </c>
      <c r="AG183" s="259" t="str">
        <f t="shared" si="409"/>
        <v/>
      </c>
      <c r="AH183" s="259" t="str">
        <f t="shared" si="410"/>
        <v/>
      </c>
      <c r="AI183" s="259" t="str">
        <f t="shared" si="411"/>
        <v/>
      </c>
      <c r="AJ183" s="259" t="str">
        <f t="shared" si="412"/>
        <v/>
      </c>
      <c r="AK183" s="259" t="str">
        <f t="shared" si="413"/>
        <v/>
      </c>
      <c r="AL183" s="259">
        <f>IF(AK183&lt;&gt;"",MAX($AL$2:AL182)+1,0)</f>
        <v>0</v>
      </c>
      <c r="AM183" s="259" t="str">
        <f>IFERROR(INDEX($AK$3:$AL$220,MATCH(ROWS($AM$3:AM183),$AL$3:$AL$220,0),1),"")</f>
        <v/>
      </c>
      <c r="AN183" s="259" t="str">
        <f t="shared" si="414"/>
        <v/>
      </c>
      <c r="AO183" s="259" t="str">
        <f t="shared" si="415"/>
        <v/>
      </c>
      <c r="AP183" s="259" t="str">
        <f t="shared" si="416"/>
        <v/>
      </c>
      <c r="AQ183" s="259">
        <f>IF(OR(AG183=0,AG183=""),0,MAX(AQ$2:AQ182)+1)</f>
        <v>0</v>
      </c>
      <c r="AR183" s="259">
        <f>IF(OR(AH183=0,AH183=""),0,MAX(AR$2:AR182)+1)</f>
        <v>0</v>
      </c>
      <c r="AS183" s="259">
        <f>IF(OR(AI183=0,AI183=""),0,MAX(AS$2:AS182)+1)</f>
        <v>0</v>
      </c>
      <c r="AT183" s="259" t="str">
        <f ca="1">IFERROR(INDEX($AD$3:$AS$220,MATCH(ROWS(AT$3:AT183),AQ$3:AQ$220,0),1),"")</f>
        <v/>
      </c>
      <c r="AU183" s="259" t="str">
        <f ca="1">IFERROR(INDEX($AD$3:$AS$220,MATCH(ROWS(AU$3:AU183),AR$3:AR$220,0),1),"")</f>
        <v/>
      </c>
      <c r="AV183" s="259" t="str">
        <f ca="1">IFERROR(INDEX($AD$3:$AS$220,MATCH(ROWS(AV$3:AV183),AS$3:AS$220,0),1),"")</f>
        <v/>
      </c>
      <c r="AW183" s="259" t="str">
        <f ca="1">IFERROR(INDEX($AP$3:$AS$220,MATCH(ROWS(AW$3:AW183),AQ$3:AQ$220,0),1),"")</f>
        <v/>
      </c>
      <c r="AX183" s="259" t="str">
        <f ca="1">IFERROR(INDEX($AP$3:$AS$220,MATCH(ROWS(AX$3:AX183),AR$3:AR$220,0),1),"")</f>
        <v/>
      </c>
      <c r="AY183" s="259" t="str">
        <f ca="1">IFERROR(INDEX($AP$3:$AS$220,MATCH(ROWS(AY$3:AY183),AS$3:AS$220,0),1),"")</f>
        <v/>
      </c>
      <c r="AZ183" s="259" t="str">
        <f t="shared" si="490"/>
        <v>81 V.I.</v>
      </c>
      <c r="BA183" s="259">
        <f t="shared" ca="1" si="484"/>
        <v>0</v>
      </c>
      <c r="BB183" s="259">
        <f t="shared" ca="1" si="491"/>
        <v>0</v>
      </c>
      <c r="BC183" s="259">
        <f t="shared" ca="1" si="492"/>
        <v>0</v>
      </c>
      <c r="BD183" s="259">
        <f t="shared" ca="1" si="493"/>
        <v>0</v>
      </c>
      <c r="BE183" s="259">
        <f t="shared" ca="1" si="494"/>
        <v>0</v>
      </c>
      <c r="BG183" s="259" t="str">
        <f t="shared" ca="1" si="368"/>
        <v/>
      </c>
      <c r="BH183" s="259">
        <f ca="1">IF(IFERROR(MATCH(BG183,DENOMINAZIONE_GIORNALE,0),0)&gt;0,MAX(BH$2:BH182)+1,0)</f>
        <v>0</v>
      </c>
      <c r="BI183" s="259" t="str">
        <f ca="1">IFERROR(INDEX($BG$3:$BH$220,MATCH(ROWS($BI$3:BI183),$BH$3:$BH$220,0),1),"")</f>
        <v/>
      </c>
      <c r="BJ183" s="259" t="str">
        <f t="shared" ca="1" si="369"/>
        <v/>
      </c>
      <c r="BK183" s="259" t="str">
        <f ca="1">IF(IF(BJ183&lt;&gt;"",MAX($BK$2:BK182)+1,0)=0,"",IF(BJ183&lt;&gt;"",MAX($BK$2:BK182)+1,0))</f>
        <v/>
      </c>
      <c r="BL183" s="259" t="str">
        <f ca="1">IFERROR(INDEX($T$3:$U$220, MATCH(ROWS(BL$3:BL183),$V$3:$V$220,0),1),"")</f>
        <v/>
      </c>
      <c r="BM183" s="259" t="str">
        <f ca="1">IFERROR(INDEX($T$3:$U$220, MATCH(ROWS(BM$3:BM183),$V$3:$V$220,0),2),"")</f>
        <v/>
      </c>
      <c r="BN183" s="259" t="str">
        <f ca="1">IF(IFERROR(INDEX($BI$3:$BJ$220,MATCH(ROWS(BN$3:BN183),$BK$3:$BK$220,0),1),"")="PATRIMONIO NETTO","",IFERROR(INDEX($BI$3:$BJ$220,MATCH(ROWS(BN$3:BN183),$BK$3:$BK$220,0),1),""))</f>
        <v/>
      </c>
      <c r="BO183" s="259" t="str">
        <f ca="1">IFERROR(INDEX($BI$3:$BJ$220,MATCH(ROWS(BO$3:BO183),$BK$3:$BK$220,0),2),"")</f>
        <v/>
      </c>
      <c r="BP183" s="259">
        <f ca="1">IF(BN183&lt;&gt;"",MAX(BP$2:$BP182)+1,0)</f>
        <v>0</v>
      </c>
      <c r="BQ183" s="259" t="str">
        <f ca="1">IFERROR(INDEX($BN$3:$BO$200,MATCH(ROWS(BQ$3:BQ183),$BP$3:$BP$220,0),1),"")</f>
        <v/>
      </c>
      <c r="BR183" s="259" t="str">
        <f ca="1">IFERROR(INDEX($BN$3:$BO$220,MATCH(ROWS(BR$3:BR183),$BP$3:$BP$220,0),2),"")</f>
        <v/>
      </c>
      <c r="BS183" s="259" t="str">
        <f ca="1">IFERROR(IF(OR(INDEX($T$3:$U$220,MATCH(ROWS(BL$3:BL183),$V$3:$V$220,0),1)="PRELEVAMENTI EXTRAGESTIONE",INDEX($T$3:$U$220,MATCH(ROWS(BL$3:BL183),$V$3:$V$220,0),1)="TITOLARE C/RITENUTE SUBITE"),"",INDEX($T$3:$U$220,MATCH(ROWS(BL$3:BL183),$V$3:$V$220,0),1)),"")</f>
        <v/>
      </c>
      <c r="BT183" s="259">
        <f t="shared" ca="1" si="417"/>
        <v>0</v>
      </c>
      <c r="BU183" s="259">
        <f ca="1">IF(BS183&lt;&gt;"",MAX(BU$2:BU182)+1,0)</f>
        <v>0</v>
      </c>
      <c r="BV183" s="259" t="str">
        <f ca="1">IFERROR(INDEX($BS$3:$BT$223,MATCH(ROWS(BV$3:BV183),$BU$3:$BU$223,0),1),"")</f>
        <v/>
      </c>
      <c r="BW183" s="259">
        <f t="shared" ca="1" si="418"/>
        <v>0</v>
      </c>
      <c r="CB183" s="259" t="str">
        <f ca="1">IFERROR(IF(OR($BB$1&lt;&gt;$BD$1,$BC$1&lt;&gt;$BE$1,$DS$231&lt;&gt;$DT$231,$DU$231&lt;&gt;$DV$231,$EO$25&lt;&gt;0,$EO$26&lt;&gt;0),INDEX($BI$3:$BK$220,MATCH(ROWS($CB$3:CB183),$BK$3:$BK$220,0),1),CONCATENATE(BQ183,BX183)),"")</f>
        <v/>
      </c>
      <c r="CC183" s="259" t="str">
        <f t="shared" ca="1" si="419"/>
        <v/>
      </c>
      <c r="CD183" s="259" t="str">
        <f t="shared" ca="1" si="370"/>
        <v/>
      </c>
      <c r="CE183" s="259">
        <f ca="1">IF(IFERROR(MATCH(CD183,DENOMINAZIONE_GIORNALE,0),0)&gt;0,MAX(CE$2:CE182)+1,0)</f>
        <v>0</v>
      </c>
      <c r="CF183" s="259" t="str">
        <f ca="1">IFERROR(INDEX($CD$3:$CE$220,MATCH(ROWS($CF$3:CF183),$CE$3:$CE$220,0),1),"")</f>
        <v/>
      </c>
      <c r="CG183" s="259">
        <f t="shared" ca="1" si="371"/>
        <v>0</v>
      </c>
      <c r="CH183" s="259" t="str">
        <f ca="1">IF(IF(CG183&lt;&gt;0,MAX($CH$2:CH182)+1,0)=0,"",IF(CG183&lt;&gt;"",MAX($CH$2:CH182)+1,0))</f>
        <v/>
      </c>
      <c r="CI183" s="259" t="str">
        <f ca="1">IFERROR(INDEX($CF$3:$CG$220,MATCH(ROWS($CI$3:CI183),$CH$3:$CH$220,0),1),"")</f>
        <v/>
      </c>
      <c r="CJ183" s="259" t="str">
        <f t="shared" ca="1" si="420"/>
        <v/>
      </c>
      <c r="CK183" s="259" t="str">
        <f t="shared" ca="1" si="372"/>
        <v/>
      </c>
      <c r="CL183" s="259">
        <f ca="1">IF(IFERROR(MATCH(CK183,DENOMINAZIONE_GIORNALE,0),0)&gt;0,MAX(CL$2:CL182)+1,0)</f>
        <v>0</v>
      </c>
      <c r="CM183" s="259" t="str">
        <f ca="1">IFERROR(INDEX($CK$3:$CL$220,MATCH(ROWS($CM$3:CM183),$CL$3:$CL$220,0),1),"")</f>
        <v/>
      </c>
      <c r="CN183" s="259" t="str">
        <f t="shared" ca="1" si="373"/>
        <v/>
      </c>
      <c r="CO183" s="259">
        <f ca="1">IF(IF(CN183&lt;&gt;0,MAX($CO$2:CO182)+1,0)=0,"",IF(CN183&lt;&gt;"",MAX($CO$2:CO182)+1,0))</f>
        <v>0</v>
      </c>
      <c r="CP183" s="259" t="str">
        <f ca="1">IFERROR(INDEX($CM$3:$CN$220,MATCH(ROWS(CP$3:CP183),$CO$3:$CO$220,0),1),"")</f>
        <v/>
      </c>
      <c r="CQ183" s="259" t="str">
        <f ca="1">IFERROR(INDEX($CM$3:$CN$220,MATCH(ROWS(CQ$3:CQ183),$CO$3:$CO$220,0),2),"")</f>
        <v/>
      </c>
      <c r="CS183" s="259">
        <f t="shared" ca="1" si="374"/>
        <v>0</v>
      </c>
      <c r="CT183" s="259">
        <f t="shared" ca="1" si="375"/>
        <v>0</v>
      </c>
      <c r="CU183" s="259">
        <f ca="1">IF(OR(CS183&gt;0,CT183&gt;0),MAX($CU$2:CU182)+1,0)</f>
        <v>0</v>
      </c>
      <c r="CV183" s="259" t="str">
        <f ca="1">IFERROR(INDEX(PIANO_DEI_CONTI,MATCH(ROWS($CV$3:CV183),$CU$3:$CU$200,0),2),"")</f>
        <v/>
      </c>
      <c r="CW183" s="259">
        <f ca="1">IFERROR(IF(CV183&lt;&gt;"",MAX($CW$2:CW182)+1,0),0)</f>
        <v>0</v>
      </c>
      <c r="CX183" s="259">
        <f ca="1">$EA$13</f>
        <v>11</v>
      </c>
      <c r="CY183" s="259" t="str">
        <f t="shared" ca="1" si="495"/>
        <v>MASTRO</v>
      </c>
      <c r="DA183" s="259" t="str">
        <f ca="1">IF(CY182="MASTRO","Conto n.","")</f>
        <v>Conto n.</v>
      </c>
      <c r="DB183" s="259" t="str">
        <f ca="1">IF(CY183=0,"",INDEX(PIANO_DEI_CONTI,MATCH(DC183,DENOMINAZIONE,0),1))</f>
        <v/>
      </c>
      <c r="DC183" s="259" t="str">
        <f ca="1">IF(OR(CY183=0,CY183="mastro"),"",CY183)</f>
        <v/>
      </c>
      <c r="DD183" s="259" t="str">
        <f ca="1">IF(AND($DA$2=TRUE,OR(INDEX(PIANO_DEI_CONTI,MATCH($DC183,DENOMINAZIONE,0),4)="A",INDEX(PIANO_DEI_CONTI,MATCH($DC183,DENOMINAZIONE,0),4)="D/A"),SUMIFS(AVERE,DENOMINAZIONE_GIORNALE,"="&amp;$DC183)&gt;SUMIFS(DARE,DENOMINAZIONE_GIORNALE,"="&amp;$DC183)),CONCATENATE("s ",FIXED(ABS(SUMIFS(AVERE,DENOMINAZIONE_GIORNALE,"="&amp;$DC183)-SUMIFS(DARE,DENOMINAZIONE_GIORNALE,"="&amp;$DC183)),2)),"")</f>
        <v/>
      </c>
      <c r="DE183" s="259" t="str">
        <f ca="1">IF(AND($DA$2=TRUE,OR(INDEX(PIANO_DEI_CONTI,MATCH($DC183,DENOMINAZIONE,0),4)="D",INDEX(PIANO_DEI_CONTI,MATCH($DC183,DENOMINAZIONE,0),4)="D/A"),SUMIFS(DARE,DENOMINAZIONE_GIORNALE,"="&amp;$DC183)&gt;SUMIFS(AVERE,DENOMINAZIONE_GIORNALE,"="&amp;$DC183)),CONCATENATE("s ",FIXED(ABS(SUMIFS(DARE,DENOMINAZIONE_GIORNALE,"="&amp;$DC183)-SUMIFS(AVERE,DENOMINAZIONE_GIORNALE,"="&amp;$DC183)),2)),"")</f>
        <v/>
      </c>
      <c r="DF183" s="259">
        <f ca="1">IF(AND(CX183=$DE$2,$DF$2&lt;&gt;0),0,IF(AND(DB183&lt;&gt;"",OR(DB182&lt;&gt;"",DB184&lt;&gt;"")),MAX($DF$2:DF182)+1,0))</f>
        <v>0</v>
      </c>
      <c r="DG183" s="259" t="str">
        <f>IF(IF(LIBRO_GIORNALE!E91="","",IFERROR(INDEX(PIANO_DEI_CONTI,MATCH(BB183,DENOMINAZIONE,0),1),0))=0,"",IF(LIBRO_GIORNALE!E91="","",IFERROR(INDEX(PIANO_DEI_CONTI,MATCH(BB183,DENOMINAZIONE,0),1),0)))</f>
        <v/>
      </c>
      <c r="DH183" s="259">
        <f ca="1">IFERROR(IF($J$1=1,IF(INDEX(PIANO_DEI_CONTI,MATCH($K183,DENOMINAZIONE,0),5)=$DF$1,MAX($DH$2:DH182)+1,0),IF($J$1=2,IF(INDEX(PIANO_DEI_CONTI,MATCH($K183,DENOMINAZIONE,0),7)=$DF$1,MAX($DH$2:DH182)+1,0))),0)</f>
        <v>0</v>
      </c>
      <c r="DI183" s="259">
        <f ca="1">IFERROR(INDEX($K$3:$K$220,MATCH(ROWS($DI$3:DI183),$DH$3:$DH$220,0),1),0)</f>
        <v>0</v>
      </c>
      <c r="DJ183" s="259">
        <f t="shared" ca="1" si="381"/>
        <v>0</v>
      </c>
      <c r="DK183" s="259">
        <f ca="1">IF(DJ183=0,0,MAX(DK$2:DK182)+1)</f>
        <v>0</v>
      </c>
      <c r="DL183" s="259">
        <f ca="1">IFERROR(INDEX(PIANO_DEI_CONTI,MATCH(ROWS(DL$3:DL183),$DK$3:DK410,0),2),0)</f>
        <v>0</v>
      </c>
      <c r="DM183" s="259">
        <f t="shared" ca="1" si="382"/>
        <v>0</v>
      </c>
      <c r="DN183" s="259">
        <f t="shared" ca="1" si="383"/>
        <v>0</v>
      </c>
      <c r="DO183" s="259">
        <f t="shared" ca="1" si="422"/>
        <v>0</v>
      </c>
      <c r="DP183" s="259">
        <f t="shared" ca="1" si="423"/>
        <v>0</v>
      </c>
      <c r="DQ183" s="259">
        <f ca="1">IF(OR($DQ$1="TOTALI",$DQ$1="TOTALI ED ECCEDENZE"),IF(OR(DM183&gt;0,DN183&gt;0),MAX(DQ$2:DQ182)+1,0),IF($DQ$1="ECCEDENZE",IF(OR(DO183&gt;0,DP183&gt;0),MAX(DQ$2:DQ182)+1,0),""))</f>
        <v>0</v>
      </c>
      <c r="DR183" s="259" t="str">
        <f ca="1">IFERROR(INDEX($DL$3:$DQ$230,MATCH(ROWS(DR$3:DR183),$DQ$3:$DQ$230,0),1),"")</f>
        <v/>
      </c>
      <c r="DS183" s="259" t="str">
        <f t="shared" ca="1" si="424"/>
        <v/>
      </c>
      <c r="DT183" s="259" t="str">
        <f t="shared" ca="1" si="425"/>
        <v/>
      </c>
      <c r="DU183" s="259" t="str">
        <f t="shared" ca="1" si="426"/>
        <v/>
      </c>
      <c r="DV183" s="259" t="str">
        <f t="shared" ca="1" si="427"/>
        <v/>
      </c>
      <c r="DW183" s="259">
        <f t="shared" ca="1" si="428"/>
        <v>0</v>
      </c>
      <c r="DX183" s="259" t="str">
        <f t="shared" ca="1" si="429"/>
        <v/>
      </c>
      <c r="DY183" s="259" t="str">
        <f t="shared" ca="1" si="430"/>
        <v/>
      </c>
      <c r="DZ183" s="259" t="str">
        <f t="shared" ca="1" si="431"/>
        <v/>
      </c>
      <c r="ED183" s="259">
        <f t="shared" ca="1" si="384"/>
        <v>0</v>
      </c>
      <c r="EH183" s="259" t="str">
        <f t="shared" ca="1" si="432"/>
        <v/>
      </c>
      <c r="EI183" s="260" t="b">
        <f t="shared" ca="1" si="466"/>
        <v>0</v>
      </c>
      <c r="EJ183" s="260" t="b">
        <f t="shared" ca="1" si="467"/>
        <v>0</v>
      </c>
      <c r="EK183" s="260" t="b">
        <f t="shared" ca="1" si="468"/>
        <v>1</v>
      </c>
      <c r="EL183" s="259">
        <f t="shared" si="433"/>
        <v>181</v>
      </c>
      <c r="EM183" s="259">
        <f ca="1">IF(AND(BA183&gt;0,BA183&lt;=$EM$1),MAX($EM$2:EM182)+1,0)</f>
        <v>0</v>
      </c>
      <c r="EN183" s="259">
        <f t="shared" ca="1" si="434"/>
        <v>183</v>
      </c>
      <c r="EP183" s="259" t="str">
        <f t="shared" ca="1" si="385"/>
        <v/>
      </c>
      <c r="EQ183" s="259">
        <f t="shared" ca="1" si="386"/>
        <v>0</v>
      </c>
      <c r="ER183" s="259">
        <f ca="1">IF(ISNA(EQ183),MAX(ER$2:ER182)+1,0)</f>
        <v>0</v>
      </c>
      <c r="ES183" s="259" t="str">
        <f t="shared" ca="1" si="435"/>
        <v/>
      </c>
      <c r="ET183" s="259" t="str">
        <f ca="1">IFERROR(UPPER(INDEX($ER$3:$ES$500,MATCH(ROWS(ET$3:ET183),$ER$3:$ER$500,0),2)),"")</f>
        <v/>
      </c>
      <c r="EW183" s="259">
        <f t="shared" ca="1" si="497"/>
        <v>1</v>
      </c>
      <c r="EX183" s="259">
        <v>81</v>
      </c>
      <c r="EY183" s="259">
        <f t="shared" ca="1" si="498"/>
        <v>0</v>
      </c>
      <c r="EZ183" s="259">
        <f t="shared" ca="1" si="499"/>
        <v>0</v>
      </c>
      <c r="FA183" s="259">
        <f t="shared" ca="1" si="500"/>
        <v>0</v>
      </c>
      <c r="FB183" s="259">
        <f t="shared" ca="1" si="501"/>
        <v>0</v>
      </c>
      <c r="FC183" s="259">
        <f t="shared" ca="1" si="502"/>
        <v>0</v>
      </c>
      <c r="FD183" s="259">
        <f t="shared" ca="1" si="387"/>
        <v>0</v>
      </c>
      <c r="FE183" s="259" t="str">
        <f t="shared" ca="1" si="388"/>
        <v/>
      </c>
      <c r="FF183" s="259" t="str">
        <f t="shared" ca="1" si="503"/>
        <v/>
      </c>
      <c r="FM183" s="259">
        <f t="shared" si="389"/>
        <v>0</v>
      </c>
      <c r="FN183" s="259">
        <f>IF(FM183&lt;0,MAX($FN$2:FN182)+1,0)</f>
        <v>0</v>
      </c>
      <c r="FO183" s="259" t="str">
        <f t="shared" si="436"/>
        <v/>
      </c>
      <c r="FP183" s="259" t="str">
        <f ca="1">IFERROR(INDEX($FN$3:$FO$400,MATCH(ROWS($FP$3:FP183),$FN$3:$FN$400,0),2),"")</f>
        <v/>
      </c>
      <c r="FQ183" s="259" t="str">
        <f>IF(AE183="SE AVERE",MAX($FQ$2:FQ182)+1,"")</f>
        <v/>
      </c>
      <c r="FR183" s="259" t="str">
        <f>IF(AE183="SE DARE",MAX($FR$2:FR182)+1,"")</f>
        <v/>
      </c>
      <c r="FS183" s="259" t="str">
        <f ca="1">IF(AND(AE183="SP DARE",AA183&lt;&gt;$FS$1,AA183&lt;&gt;$FT$1),MAX($FS$2:FS182)+1,IF(AND(GQ183="SP DARE",AA183&lt;&gt;$FS$1,AA183&lt;&gt;$FT$1),MAX($FS$2:FS182)+1,""))</f>
        <v/>
      </c>
      <c r="FT183" s="259" t="str">
        <f ca="1">IF(AND(AE183="SP AVERE",AA183&lt;&gt;$FU$1),MAX($FT$2:FT182)+1,IF(AND(GQ183="SP AVERE",AA183&lt;&gt;$FU$1),MAX($FT$2:FT182)+1,""))</f>
        <v/>
      </c>
      <c r="FU183" s="259">
        <f t="shared" ca="1" si="437"/>
        <v>0</v>
      </c>
      <c r="FV183" s="259" t="str">
        <f t="shared" si="438"/>
        <v/>
      </c>
      <c r="FW183" s="259">
        <f ca="1">IFERROR(INDEX($FU$3:$FV$500,MATCH(ROWS($FW$3:FW183),$FU$3:$FU$500,0),2),0)</f>
        <v>0</v>
      </c>
      <c r="FX183" s="259">
        <f t="shared" ca="1" si="439"/>
        <v>0</v>
      </c>
      <c r="FY183" s="259">
        <f t="shared" ca="1" si="440"/>
        <v>0</v>
      </c>
      <c r="FZ183" s="259">
        <f ca="1">IF(FY183&gt;0,MAX($FZ$2:FZ182)+1,0)</f>
        <v>0</v>
      </c>
      <c r="GA183" s="259">
        <f ca="1">IFERROR(INDEX($FY$3:$FZ$500,MATCH(ROWS($GA$3:GA183),$FZ$3:$FZ$500,0),1),0)</f>
        <v>0</v>
      </c>
      <c r="GC183" s="259">
        <f t="shared" ca="1" si="441"/>
        <v>0</v>
      </c>
      <c r="GD183" s="259">
        <f t="shared" ca="1" si="442"/>
        <v>0</v>
      </c>
      <c r="GG183" s="259">
        <f t="shared" ca="1" si="443"/>
        <v>0</v>
      </c>
      <c r="GH183" s="259">
        <f t="shared" ca="1" si="444"/>
        <v>0</v>
      </c>
      <c r="GI183" s="259">
        <f t="shared" ca="1" si="445"/>
        <v>0</v>
      </c>
      <c r="GJ183" s="259">
        <f t="shared" ca="1" si="446"/>
        <v>0</v>
      </c>
      <c r="GK183" s="259">
        <f t="shared" ca="1" si="447"/>
        <v>0</v>
      </c>
      <c r="GL183" s="259">
        <f t="shared" ca="1" si="447"/>
        <v>0</v>
      </c>
      <c r="GM183" s="259">
        <f ca="1">IF(OR(GK183&gt;0,GL183&gt;0),MAX($GM$2:GM182)+1,0)</f>
        <v>0</v>
      </c>
      <c r="GN183" s="259" t="str">
        <f ca="1">IFERROR(INDEX($GD$3:$GM$400,MATCH(ROWS($GN$3:GN183),$GM$3:$GM$400,0),1),"")</f>
        <v/>
      </c>
      <c r="GO183" s="259" t="str">
        <f ca="1">IFERROR(INDEX($GD$3:$GM$400,MATCH(ROWS($GO$3:GO183),$GM$3:$GM$400,0),8),"")</f>
        <v/>
      </c>
      <c r="GP183" s="259" t="str">
        <f ca="1">IFERROR(INDEX($GD$3:$GM$400,MATCH(ROWS($GP$3:GP183),$GM$3:$GM$400,0),9),"")</f>
        <v/>
      </c>
      <c r="GQ183" s="259">
        <f t="shared" ca="1" si="390"/>
        <v>0</v>
      </c>
      <c r="GR183" s="259">
        <f t="shared" ca="1" si="448"/>
        <v>0</v>
      </c>
      <c r="GS183" s="259" t="str">
        <f t="shared" ca="1" si="449"/>
        <v/>
      </c>
      <c r="GT183" s="259" t="str">
        <f ca="1">IFERROR(INDEX($GD$3:$GS$400,MATCH(ROWS($GT$3:GT183),$GM$3:$GM$400,0),16),"")</f>
        <v/>
      </c>
      <c r="GU183" s="259">
        <f ca="1">IF(GQ183&lt;&gt;0,MAX($GU$2:$GU182)+1,0)</f>
        <v>0</v>
      </c>
      <c r="GV183" s="259">
        <f t="shared" ca="1" si="450"/>
        <v>0</v>
      </c>
      <c r="GW183" s="259" t="str">
        <f ca="1">IF(AND(IFERROR(INDEX($GU$3:$GV$400,MATCH(ROWS($GW$3:GW183),$GU$3:$GU$400,0),2),"")&lt;&gt;"",GW184&lt;&gt;""),CONCATENATE(IFERROR(INDEX($GU$3:$GV$400,MATCH(ROWS($GW$3:GW183),$GU$3:$GU$400,0),2),"")," - "),IFERROR(INDEX($GU$3:$GV$400,MATCH(ROWS($GW$3:GW183),$GU$3:$GU$400,0),2),""))</f>
        <v/>
      </c>
      <c r="GX183" s="259">
        <f ca="1">IF(OR(GN183="IVA NS/CREDITO",GN183="IVA NS/DEBITO",GN183="IVA C/ACCONTO",GN183="IMPOSTE C/ACCONTO"),MAX($GX$2:GX182)+1,0)</f>
        <v>0</v>
      </c>
      <c r="GY183" s="259" t="str">
        <f ca="1">IF(AND(IFERROR(INDEX($GN$3:$GX$200,MATCH(ROWS($GY$3:GY183),$GX$3:$GX$200,0),1),"")&lt;&gt;"",GY184&lt;&gt;""),CONCATENATE(IFERROR(INDEX($GN$3:$GX$200,MATCH(ROWS($GY$3:GY183),$GX$3:$GX$200,0),1),"")," - "),IFERROR(INDEX($GN$3:$GX$200,MATCH(ROWS($GY$3:GY183),$GX$3:$GX$200,0),1),""))</f>
        <v/>
      </c>
      <c r="GZ183" s="259" t="s">
        <v>671</v>
      </c>
      <c r="HA183" s="259" t="s">
        <v>184</v>
      </c>
      <c r="HB183" s="269" t="s">
        <v>256</v>
      </c>
      <c r="HC183" s="269" t="s">
        <v>276</v>
      </c>
      <c r="HD183" s="269" t="s">
        <v>7</v>
      </c>
      <c r="HE183" s="269" t="s">
        <v>214</v>
      </c>
      <c r="HV183" s="259" t="str">
        <f ca="1">CONCATENATE(IFERROR(INDEX($HS$3:$HT$102,MATCH(ROWS($HV$3:HV183),$HT$3:$HT$102,0),1),""),HR183)</f>
        <v/>
      </c>
      <c r="IC183" s="259">
        <f ca="1">IFERROR(INDEX(PIANO_DEI_CONTI,MATCH(ROWS(DL$3:DL183),$DK$3:DK410,0),2),0)</f>
        <v>0</v>
      </c>
      <c r="ID183" s="259">
        <f t="shared" ca="1" si="451"/>
        <v>0</v>
      </c>
      <c r="IE183" s="259">
        <f t="shared" ca="1" si="452"/>
        <v>0</v>
      </c>
      <c r="IF183" s="259">
        <f t="shared" ca="1" si="453"/>
        <v>0</v>
      </c>
      <c r="IG183" s="259">
        <f t="shared" ca="1" si="479"/>
        <v>0</v>
      </c>
      <c r="IH183" s="259">
        <f ca="1">IF(IG183&lt;&gt;0,MAX($IH$35:IH182)+1,0)</f>
        <v>0</v>
      </c>
      <c r="II183" s="259">
        <f>IF(AD183="costi pluriennali",MAX($II$2:II182)+1,0)</f>
        <v>0</v>
      </c>
      <c r="IJ183" s="259">
        <f>IF($AD183="rettifiche costi pluriennali",MAX($IJ$2:IJ182)+1,0)</f>
        <v>0</v>
      </c>
      <c r="IK183" s="259">
        <f t="shared" si="454"/>
        <v>0</v>
      </c>
      <c r="IL183" s="259" t="str">
        <f t="shared" si="455"/>
        <v/>
      </c>
      <c r="IM183" s="259">
        <f t="shared" ca="1" si="456"/>
        <v>0</v>
      </c>
      <c r="IN183" s="259">
        <f t="shared" ca="1" si="470"/>
        <v>0</v>
      </c>
      <c r="IO183" s="259">
        <f>SUMIFS($IM$3:$IM$200,$IK$3:$IK$200,ROWS($IO$3:IO183))-SUMIFS($IN$3:$IN$200,$IK$3:$IK$200,ROWS($IO$3:IO183))</f>
        <v>0</v>
      </c>
      <c r="IP183" s="259" t="str">
        <f>IF(IO183&lt;0,INDEX($IJ$3:$IL$200,MATCH(ROWS($IP$3:IP183),$IJ$3:$IJ$200,0),3),"")</f>
        <v/>
      </c>
      <c r="IQ183" s="259">
        <f>IF(IP183&lt;&gt;"",MAX($IQ$2:IQ182)+1,0)</f>
        <v>0</v>
      </c>
      <c r="IR183" s="259" t="str">
        <f ca="1">IFERROR(INDEX($IP$3:$IQ$200,MATCH(ROWS($IR$3:IR183),$IQ$3:$IQ$200,0),1),"")</f>
        <v/>
      </c>
      <c r="IS183" s="259" t="str">
        <f t="shared" ca="1" si="457"/>
        <v/>
      </c>
      <c r="IT183" s="259" t="str">
        <f t="shared" ca="1" si="458"/>
        <v/>
      </c>
      <c r="IU183" s="259" t="str">
        <f t="shared" ca="1" si="459"/>
        <v/>
      </c>
      <c r="IV183" s="259" t="str">
        <f t="shared" ca="1" si="460"/>
        <v/>
      </c>
      <c r="IW183" s="259" t="str">
        <f t="shared" ca="1" si="461"/>
        <v/>
      </c>
      <c r="IX183" s="259" t="str">
        <f t="shared" ca="1" si="462"/>
        <v/>
      </c>
      <c r="IY183" s="259" t="str">
        <f t="shared" ca="1" si="463"/>
        <v/>
      </c>
      <c r="IZ183" s="259" t="str">
        <f t="shared" ca="1" si="464"/>
        <v/>
      </c>
      <c r="JA183" s="259" t="str">
        <f t="shared" ca="1" si="465"/>
        <v/>
      </c>
      <c r="JB183" s="259">
        <f t="shared" ca="1" si="391"/>
        <v>0</v>
      </c>
      <c r="JC183" s="259">
        <f t="shared" ca="1" si="504"/>
        <v>0</v>
      </c>
      <c r="JD183" s="259">
        <f t="shared" ca="1" si="505"/>
        <v>0</v>
      </c>
      <c r="JM183" s="259">
        <f t="shared" ca="1" si="506"/>
        <v>0</v>
      </c>
    </row>
    <row r="184" spans="1:273">
      <c r="A184" s="259" t="str">
        <f t="shared" si="392"/>
        <v>37.10</v>
      </c>
      <c r="B184" s="259" t="str">
        <f t="shared" si="393"/>
        <v>MERCI C/RIMANENZE FINALI</v>
      </c>
      <c r="C184" s="259" t="str">
        <f t="shared" si="394"/>
        <v>E</v>
      </c>
      <c r="D184" s="259" t="str">
        <f t="shared" si="395"/>
        <v>A</v>
      </c>
      <c r="E184" s="259" t="str">
        <f t="shared" si="396"/>
        <v>RETTIFICHE COSTI D'ESERCIZIO</v>
      </c>
      <c r="F184" s="259" t="str">
        <f t="shared" si="397"/>
        <v>SE AVERE</v>
      </c>
      <c r="G184" s="259">
        <f t="shared" ca="1" si="398"/>
        <v>0</v>
      </c>
      <c r="H184" s="259">
        <f t="shared" ca="1" si="399"/>
        <v>0</v>
      </c>
      <c r="I184" s="259">
        <f t="shared" ca="1" si="400"/>
        <v>1</v>
      </c>
      <c r="K184" s="259" t="str">
        <f ca="1">IFERROR(IF($I$1=1,INDEX($AA$3:$AS$220,MATCH(ROWS($K$3:K184),$AQ$3:$AQ$220,0),1),IF($I$1=2,INDEX($AA$3:$AS$220,MATCH(ROWS($K$3:K184),$AR$3:$AR$220,0),1),IF($I$1=3,INDEX($AA$3:$AS$220,MATCH(ROWS($K$3:K184),$AS$3:$AS$220,0),1),""))),"")</f>
        <v/>
      </c>
      <c r="L184" s="259">
        <f ca="1">IF(AND($L$1="VISUALIZZA TUTTI I CONTI",K184&lt;&gt;""),MAX(L183:L183)+1,IFERROR(IF($J$1=1,IF(INDEX(PIANO_DEI_CONTI,MATCH($K184,DENOMINAZIONE,0),5)=$L$1,MAX($L$2:L183)+1,0),IF($J$1=2,IF(INDEX(PIANO_DEI_CONTI,MATCH($K184,DENOMINAZIONE,0),7)=$L$1,MAX($L$2:L183)+1,0))),0))</f>
        <v>0</v>
      </c>
      <c r="M184" s="259" t="str">
        <f ca="1">IFERROR(INDEX($K$3:$K$220,MATCH(ROWS($M$3:M184),$L$3:$L$220,0),1),"")</f>
        <v/>
      </c>
      <c r="R184" s="259" t="str">
        <f t="shared" ca="1" si="366"/>
        <v/>
      </c>
      <c r="S184" s="259">
        <f ca="1">IF(IFERROR(MATCH(R184,DENOMINAZIONE_GIORNALE,0),0)&gt;0,MAX(S$2:S183)+1,0)</f>
        <v>0</v>
      </c>
      <c r="T184" s="259" t="str">
        <f ca="1">IFERROR(INDEX($R$3:$S$220,MATCH(ROWS($T$3:T184),$S$3:$S$220,0),1),"")</f>
        <v/>
      </c>
      <c r="U184" s="259">
        <f t="shared" ca="1" si="367"/>
        <v>0</v>
      </c>
      <c r="V184" s="259">
        <f ca="1">IF(IF(U184&lt;&gt;0,MAX($V$2:V183)+1,0)=0,0,IF(U184&lt;&gt;0,MAX($V$2:V183)+1,0))</f>
        <v>0</v>
      </c>
      <c r="W184" s="259" t="str">
        <f t="shared" si="401"/>
        <v>37.10</v>
      </c>
      <c r="X184" s="259" t="str">
        <f t="shared" si="402"/>
        <v>MERCI C/RIMANENZE FINALI</v>
      </c>
      <c r="Y184" s="259">
        <f>IF(W184="",0,MAX($Y$2:Y183)+1)</f>
        <v>156</v>
      </c>
      <c r="Z184" s="259" t="str">
        <f>IFERROR(INDEX($W$3:$Y$220,MATCH(ROWS($Z$2:Z183),$Y$3:$Y$220,0),1),"")</f>
        <v/>
      </c>
      <c r="AA184" s="259" t="str">
        <f t="shared" si="403"/>
        <v/>
      </c>
      <c r="AB184" s="259" t="str">
        <f t="shared" si="404"/>
        <v/>
      </c>
      <c r="AC184" s="259" t="str">
        <f t="shared" si="405"/>
        <v/>
      </c>
      <c r="AD184" s="259" t="str">
        <f t="shared" si="406"/>
        <v/>
      </c>
      <c r="AE184" s="259" t="str">
        <f t="shared" si="407"/>
        <v/>
      </c>
      <c r="AF184" s="259" t="str">
        <f t="shared" si="408"/>
        <v/>
      </c>
      <c r="AG184" s="259" t="str">
        <f t="shared" si="409"/>
        <v/>
      </c>
      <c r="AH184" s="259" t="str">
        <f t="shared" si="410"/>
        <v/>
      </c>
      <c r="AI184" s="259" t="str">
        <f t="shared" si="411"/>
        <v/>
      </c>
      <c r="AJ184" s="259" t="str">
        <f t="shared" si="412"/>
        <v/>
      </c>
      <c r="AK184" s="259" t="str">
        <f t="shared" si="413"/>
        <v/>
      </c>
      <c r="AL184" s="259">
        <f>IF(AK184&lt;&gt;"",MAX($AL$2:AL183)+1,0)</f>
        <v>0</v>
      </c>
      <c r="AM184" s="259" t="str">
        <f>IFERROR(INDEX($AK$3:$AL$220,MATCH(ROWS($AM$3:AM184),$AL$3:$AL$220,0),1),"")</f>
        <v/>
      </c>
      <c r="AN184" s="259" t="str">
        <f t="shared" si="414"/>
        <v/>
      </c>
      <c r="AO184" s="259" t="str">
        <f t="shared" si="415"/>
        <v/>
      </c>
      <c r="AP184" s="259" t="str">
        <f t="shared" si="416"/>
        <v/>
      </c>
      <c r="AQ184" s="259">
        <f>IF(OR(AG184=0,AG184=""),0,MAX(AQ$2:AQ183)+1)</f>
        <v>0</v>
      </c>
      <c r="AR184" s="259">
        <f>IF(OR(AH184=0,AH184=""),0,MAX(AR$2:AR183)+1)</f>
        <v>0</v>
      </c>
      <c r="AS184" s="259">
        <f>IF(OR(AI184=0,AI184=""),0,MAX(AS$2:AS183)+1)</f>
        <v>0</v>
      </c>
      <c r="AT184" s="259" t="str">
        <f ca="1">IFERROR(INDEX($AD$3:$AS$220,MATCH(ROWS(AT$3:AT184),AQ$3:AQ$220,0),1),"")</f>
        <v/>
      </c>
      <c r="AU184" s="259" t="str">
        <f ca="1">IFERROR(INDEX($AD$3:$AS$220,MATCH(ROWS(AU$3:AU184),AR$3:AR$220,0),1),"")</f>
        <v/>
      </c>
      <c r="AV184" s="259" t="str">
        <f ca="1">IFERROR(INDEX($AD$3:$AS$220,MATCH(ROWS(AV$3:AV184),AS$3:AS$220,0),1),"")</f>
        <v/>
      </c>
      <c r="AW184" s="259" t="str">
        <f ca="1">IFERROR(INDEX($AP$3:$AS$220,MATCH(ROWS(AW$3:AW184),AQ$3:AQ$220,0),1),"")</f>
        <v/>
      </c>
      <c r="AX184" s="259" t="str">
        <f ca="1">IFERROR(INDEX($AP$3:$AS$220,MATCH(ROWS(AX$3:AX184),AR$3:AR$220,0),1),"")</f>
        <v/>
      </c>
      <c r="AY184" s="259" t="str">
        <f ca="1">IFERROR(INDEX($AP$3:$AS$220,MATCH(ROWS(AY$3:AY184),AS$3:AS$220,0),1),"")</f>
        <v/>
      </c>
      <c r="AZ184" s="259" t="str">
        <f t="shared" si="490"/>
        <v>82 V.I.</v>
      </c>
      <c r="BA184" s="259">
        <f t="shared" ca="1" si="484"/>
        <v>0</v>
      </c>
      <c r="BB184" s="259">
        <f t="shared" ca="1" si="491"/>
        <v>0</v>
      </c>
      <c r="BC184" s="259">
        <f t="shared" ca="1" si="492"/>
        <v>0</v>
      </c>
      <c r="BD184" s="259">
        <f t="shared" ca="1" si="493"/>
        <v>0</v>
      </c>
      <c r="BE184" s="259">
        <f t="shared" ca="1" si="494"/>
        <v>0</v>
      </c>
      <c r="BG184" s="259" t="str">
        <f t="shared" ca="1" si="368"/>
        <v/>
      </c>
      <c r="BH184" s="259">
        <f ca="1">IF(IFERROR(MATCH(BG184,DENOMINAZIONE_GIORNALE,0),0)&gt;0,MAX(BH$2:BH183)+1,0)</f>
        <v>0</v>
      </c>
      <c r="BI184" s="259" t="str">
        <f ca="1">IFERROR(INDEX($BG$3:$BH$220,MATCH(ROWS($BI$3:BI184),$BH$3:$BH$220,0),1),"")</f>
        <v/>
      </c>
      <c r="BJ184" s="259" t="str">
        <f t="shared" ca="1" si="369"/>
        <v/>
      </c>
      <c r="BK184" s="259" t="str">
        <f ca="1">IF(IF(BJ184&lt;&gt;"",MAX($BK$2:BK183)+1,0)=0,"",IF(BJ184&lt;&gt;"",MAX($BK$2:BK183)+1,0))</f>
        <v/>
      </c>
      <c r="BL184" s="259" t="str">
        <f ca="1">IFERROR(INDEX($T$3:$U$220, MATCH(ROWS(BL$3:BL184),$V$3:$V$220,0),1),"")</f>
        <v/>
      </c>
      <c r="BM184" s="259" t="str">
        <f ca="1">IFERROR(INDEX($T$3:$U$220, MATCH(ROWS(BM$3:BM184),$V$3:$V$220,0),2),"")</f>
        <v/>
      </c>
      <c r="BN184" s="259" t="str">
        <f ca="1">IF(IFERROR(INDEX($BI$3:$BJ$220,MATCH(ROWS(BN$3:BN184),$BK$3:$BK$220,0),1),"")="PATRIMONIO NETTO","",IFERROR(INDEX($BI$3:$BJ$220,MATCH(ROWS(BN$3:BN184),$BK$3:$BK$220,0),1),""))</f>
        <v/>
      </c>
      <c r="BO184" s="259" t="str">
        <f ca="1">IFERROR(INDEX($BI$3:$BJ$220,MATCH(ROWS(BO$3:BO184),$BK$3:$BK$220,0),2),"")</f>
        <v/>
      </c>
      <c r="BP184" s="259">
        <f ca="1">IF(BN184&lt;&gt;"",MAX(BP$2:$BP183)+1,0)</f>
        <v>0</v>
      </c>
      <c r="BQ184" s="259" t="str">
        <f ca="1">IFERROR(INDEX($BN$3:$BO$200,MATCH(ROWS(BQ$3:BQ184),$BP$3:$BP$220,0),1),"")</f>
        <v/>
      </c>
      <c r="BR184" s="259" t="str">
        <f ca="1">IFERROR(INDEX($BN$3:$BO$220,MATCH(ROWS(BR$3:BR184),$BP$3:$BP$220,0),2),"")</f>
        <v/>
      </c>
      <c r="BS184" s="259" t="str">
        <f ca="1">IFERROR(IF(OR(INDEX($T$3:$U$220,MATCH(ROWS(BL$3:BL184),$V$3:$V$220,0),1)="PRELEVAMENTI EXTRAGESTIONE",INDEX($T$3:$U$220,MATCH(ROWS(BL$3:BL184),$V$3:$V$220,0),1)="TITOLARE C/RITENUTE SUBITE"),"",INDEX($T$3:$U$220,MATCH(ROWS(BL$3:BL184),$V$3:$V$220,0),1)),"")</f>
        <v/>
      </c>
      <c r="BT184" s="259">
        <f t="shared" ca="1" si="417"/>
        <v>0</v>
      </c>
      <c r="BU184" s="259">
        <f ca="1">IF(BS184&lt;&gt;"",MAX(BU$2:BU183)+1,0)</f>
        <v>0</v>
      </c>
      <c r="BV184" s="259" t="str">
        <f ca="1">IFERROR(INDEX($BS$3:$BT$223,MATCH(ROWS(BV$3:BV184),$BU$3:$BU$223,0),1),"")</f>
        <v/>
      </c>
      <c r="BW184" s="259">
        <f t="shared" ca="1" si="418"/>
        <v>0</v>
      </c>
      <c r="CB184" s="259" t="str">
        <f ca="1">IFERROR(IF(OR($BB$1&lt;&gt;$BD$1,$BC$1&lt;&gt;$BE$1,$DS$231&lt;&gt;$DT$231,$DU$231&lt;&gt;$DV$231,$EO$25&lt;&gt;0,$EO$26&lt;&gt;0),INDEX($BI$3:$BK$220,MATCH(ROWS($CB$3:CB184),$BK$3:$BK$220,0),1),CONCATENATE(BQ184,BX184)),"")</f>
        <v/>
      </c>
      <c r="CC184" s="259" t="str">
        <f t="shared" ca="1" si="419"/>
        <v/>
      </c>
      <c r="CD184" s="259" t="str">
        <f t="shared" ca="1" si="370"/>
        <v/>
      </c>
      <c r="CE184" s="259">
        <f ca="1">IF(IFERROR(MATCH(CD184,DENOMINAZIONE_GIORNALE,0),0)&gt;0,MAX(CE$2:CE183)+1,0)</f>
        <v>0</v>
      </c>
      <c r="CF184" s="259" t="str">
        <f ca="1">IFERROR(INDEX($CD$3:$CE$220,MATCH(ROWS($CF$3:CF184),$CE$3:$CE$220,0),1),"")</f>
        <v/>
      </c>
      <c r="CG184" s="259">
        <f t="shared" ca="1" si="371"/>
        <v>0</v>
      </c>
      <c r="CH184" s="259" t="str">
        <f ca="1">IF(IF(CG184&lt;&gt;0,MAX($CH$2:CH183)+1,0)=0,"",IF(CG184&lt;&gt;"",MAX($CH$2:CH183)+1,0))</f>
        <v/>
      </c>
      <c r="CI184" s="259" t="str">
        <f ca="1">IFERROR(INDEX($CF$3:$CG$220,MATCH(ROWS($CI$3:CI184),$CH$3:$CH$220,0),1),"")</f>
        <v/>
      </c>
      <c r="CJ184" s="259" t="str">
        <f t="shared" ca="1" si="420"/>
        <v/>
      </c>
      <c r="CK184" s="259" t="str">
        <f t="shared" ca="1" si="372"/>
        <v/>
      </c>
      <c r="CL184" s="259">
        <f ca="1">IF(IFERROR(MATCH(CK184,DENOMINAZIONE_GIORNALE,0),0)&gt;0,MAX(CL$2:CL183)+1,0)</f>
        <v>0</v>
      </c>
      <c r="CM184" s="259" t="str">
        <f ca="1">IFERROR(INDEX($CK$3:$CL$220,MATCH(ROWS($CM$3:CM184),$CL$3:$CL$220,0),1),"")</f>
        <v/>
      </c>
      <c r="CN184" s="259" t="str">
        <f t="shared" ca="1" si="373"/>
        <v/>
      </c>
      <c r="CO184" s="259">
        <f ca="1">IF(IF(CN184&lt;&gt;0,MAX($CO$2:CO183)+1,0)=0,"",IF(CN184&lt;&gt;"",MAX($CO$2:CO183)+1,0))</f>
        <v>0</v>
      </c>
      <c r="CP184" s="259" t="str">
        <f ca="1">IFERROR(INDEX($CM$3:$CN$220,MATCH(ROWS(CP$3:CP184),$CO$3:$CO$220,0),1),"")</f>
        <v/>
      </c>
      <c r="CQ184" s="259" t="str">
        <f ca="1">IFERROR(INDEX($CM$3:$CN$220,MATCH(ROWS(CQ$3:CQ184),$CO$3:$CO$220,0),2),"")</f>
        <v/>
      </c>
      <c r="CS184" s="259">
        <f t="shared" ca="1" si="374"/>
        <v>0</v>
      </c>
      <c r="CT184" s="259">
        <f t="shared" ca="1" si="375"/>
        <v>0</v>
      </c>
      <c r="CU184" s="259">
        <f ca="1">IF(OR(CS184&gt;0,CT184&gt;0),MAX($CU$2:CU183)+1,0)</f>
        <v>0</v>
      </c>
      <c r="CV184" s="259" t="str">
        <f ca="1">IFERROR(INDEX(PIANO_DEI_CONTI,MATCH(ROWS($CV$3:CV184),$CU$3:$CU$200,0),2),"")</f>
        <v/>
      </c>
      <c r="CW184" s="259">
        <f ca="1">IFERROR(IF(CV184&lt;&gt;"",MAX($CW$2:CW183)+1,0),0)</f>
        <v>0</v>
      </c>
      <c r="CX184" s="259">
        <f t="shared" ref="CX184:CX199" ca="1" si="508">$EA$13</f>
        <v>11</v>
      </c>
      <c r="CY184" s="259" t="str">
        <f t="shared" ca="1" si="495"/>
        <v>MASTRO</v>
      </c>
      <c r="DA184" s="259" t="str">
        <f ca="1">IF(DB183="","","Num. riga")</f>
        <v/>
      </c>
      <c r="DB184" s="259" t="str">
        <f t="shared" ref="DB184" ca="1" si="509">IF(DB183="","","Data")</f>
        <v/>
      </c>
      <c r="DC184" s="259" t="str">
        <f ca="1">IF(DB183="","","Operazioni")</f>
        <v/>
      </c>
      <c r="DD184" s="259" t="str">
        <f ca="1">IF(DB183="","","Dare        ")</f>
        <v/>
      </c>
      <c r="DE184" s="259" t="str">
        <f ca="1">IF(DB183="","","Avere        ")</f>
        <v/>
      </c>
      <c r="DF184" s="259">
        <f ca="1">IF(AND(CX184=$DE$2,$DF$2&lt;&gt;0),0,IF(AND(DB184&lt;&gt;"",OR(DB183&lt;&gt;"",DB185&lt;&gt;"")),MAX($DF$2:DF183)+1,0))</f>
        <v>0</v>
      </c>
      <c r="DG184" s="259" t="str">
        <f>IF(IF(LIBRO_GIORNALE!E92="","",IFERROR(INDEX(PIANO_DEI_CONTI,MATCH(BB184,DENOMINAZIONE,0),1),0))=0,"",IF(LIBRO_GIORNALE!E92="","",IFERROR(INDEX(PIANO_DEI_CONTI,MATCH(BB184,DENOMINAZIONE,0),1),0)))</f>
        <v/>
      </c>
      <c r="DH184" s="259">
        <f ca="1">IFERROR(IF($J$1=1,IF(INDEX(PIANO_DEI_CONTI,MATCH($K184,DENOMINAZIONE,0),5)=$DF$1,MAX($DH$2:DH183)+1,0),IF($J$1=2,IF(INDEX(PIANO_DEI_CONTI,MATCH($K184,DENOMINAZIONE,0),7)=$DF$1,MAX($DH$2:DH183)+1,0))),0)</f>
        <v>0</v>
      </c>
      <c r="DI184" s="259">
        <f ca="1">IFERROR(INDEX($K$3:$K$220,MATCH(ROWS($DI$3:DI184),$DH$3:$DH$220,0),1),0)</f>
        <v>0</v>
      </c>
      <c r="DJ184" s="259">
        <f t="shared" ca="1" si="381"/>
        <v>0</v>
      </c>
      <c r="DK184" s="259">
        <f ca="1">IF(DJ184=0,0,MAX(DK$2:DK183)+1)</f>
        <v>0</v>
      </c>
      <c r="DL184" s="259">
        <f ca="1">IFERROR(INDEX(PIANO_DEI_CONTI,MATCH(ROWS(DL$3:DL184),$DK$3:DK411,0),2),0)</f>
        <v>0</v>
      </c>
      <c r="DM184" s="259">
        <f t="shared" ca="1" si="382"/>
        <v>0</v>
      </c>
      <c r="DN184" s="259">
        <f t="shared" ca="1" si="383"/>
        <v>0</v>
      </c>
      <c r="DO184" s="259">
        <f t="shared" ca="1" si="422"/>
        <v>0</v>
      </c>
      <c r="DP184" s="259">
        <f t="shared" ca="1" si="423"/>
        <v>0</v>
      </c>
      <c r="DQ184" s="259">
        <f ca="1">IF(OR($DQ$1="TOTALI",$DQ$1="TOTALI ED ECCEDENZE"),IF(OR(DM184&gt;0,DN184&gt;0),MAX(DQ$2:DQ183)+1,0),IF($DQ$1="ECCEDENZE",IF(OR(DO184&gt;0,DP184&gt;0),MAX(DQ$2:DQ183)+1,0),""))</f>
        <v>0</v>
      </c>
      <c r="DR184" s="259" t="str">
        <f ca="1">IFERROR(INDEX($DL$3:$DQ$230,MATCH(ROWS(DR$3:DR184),$DQ$3:$DQ$230,0),1),"")</f>
        <v/>
      </c>
      <c r="DS184" s="259" t="str">
        <f t="shared" ca="1" si="424"/>
        <v/>
      </c>
      <c r="DT184" s="259" t="str">
        <f t="shared" ca="1" si="425"/>
        <v/>
      </c>
      <c r="DU184" s="259" t="str">
        <f t="shared" ca="1" si="426"/>
        <v/>
      </c>
      <c r="DV184" s="259" t="str">
        <f t="shared" ca="1" si="427"/>
        <v/>
      </c>
      <c r="DW184" s="259">
        <f t="shared" ca="1" si="428"/>
        <v>0</v>
      </c>
      <c r="DX184" s="259" t="str">
        <f t="shared" ca="1" si="429"/>
        <v/>
      </c>
      <c r="DY184" s="259" t="str">
        <f t="shared" ca="1" si="430"/>
        <v/>
      </c>
      <c r="DZ184" s="259" t="str">
        <f t="shared" ca="1" si="431"/>
        <v/>
      </c>
      <c r="ED184" s="259">
        <f t="shared" ca="1" si="384"/>
        <v>0</v>
      </c>
      <c r="EH184" s="259" t="str">
        <f t="shared" ca="1" si="432"/>
        <v/>
      </c>
      <c r="EI184" s="260" t="b">
        <f t="shared" ca="1" si="466"/>
        <v>0</v>
      </c>
      <c r="EJ184" s="260" t="b">
        <f t="shared" ca="1" si="467"/>
        <v>0</v>
      </c>
      <c r="EK184" s="260" t="b">
        <f t="shared" ca="1" si="468"/>
        <v>1</v>
      </c>
      <c r="EL184" s="259">
        <f t="shared" si="433"/>
        <v>182</v>
      </c>
      <c r="EM184" s="259">
        <f ca="1">IF(AND(BA184&gt;0,BA184&lt;=$EM$1),MAX($EM$2:EM183)+1,0)</f>
        <v>0</v>
      </c>
      <c r="EN184" s="259">
        <f t="shared" ca="1" si="434"/>
        <v>184</v>
      </c>
      <c r="EP184" s="259" t="str">
        <f t="shared" ca="1" si="385"/>
        <v/>
      </c>
      <c r="EQ184" s="259">
        <f t="shared" ca="1" si="386"/>
        <v>0</v>
      </c>
      <c r="ER184" s="259">
        <f ca="1">IF(ISNA(EQ184),MAX(ER$2:ER183)+1,0)</f>
        <v>0</v>
      </c>
      <c r="ES184" s="259" t="str">
        <f t="shared" ca="1" si="435"/>
        <v/>
      </c>
      <c r="ET184" s="259" t="str">
        <f ca="1">IFERROR(UPPER(INDEX($ER$3:$ES$500,MATCH(ROWS(ET$3:ET184),$ER$3:$ER$500,0),2)),"")</f>
        <v/>
      </c>
      <c r="EW184" s="259">
        <f t="shared" ca="1" si="497"/>
        <v>1</v>
      </c>
      <c r="EX184" s="259">
        <v>82</v>
      </c>
      <c r="EY184" s="259">
        <f t="shared" ca="1" si="498"/>
        <v>0</v>
      </c>
      <c r="EZ184" s="259">
        <f t="shared" ca="1" si="499"/>
        <v>0</v>
      </c>
      <c r="FA184" s="259">
        <f t="shared" ca="1" si="500"/>
        <v>0</v>
      </c>
      <c r="FB184" s="259">
        <f t="shared" ca="1" si="501"/>
        <v>0</v>
      </c>
      <c r="FC184" s="259">
        <f t="shared" ca="1" si="502"/>
        <v>0</v>
      </c>
      <c r="FD184" s="259">
        <f t="shared" ca="1" si="387"/>
        <v>0</v>
      </c>
      <c r="FE184" s="259" t="str">
        <f t="shared" ca="1" si="388"/>
        <v/>
      </c>
      <c r="FF184" s="259" t="str">
        <f t="shared" ca="1" si="503"/>
        <v/>
      </c>
      <c r="FM184" s="259">
        <f t="shared" si="389"/>
        <v>0</v>
      </c>
      <c r="FN184" s="259">
        <f>IF(FM184&lt;0,MAX($FN$2:FN183)+1,0)</f>
        <v>0</v>
      </c>
      <c r="FO184" s="259" t="str">
        <f t="shared" si="436"/>
        <v/>
      </c>
      <c r="FP184" s="259" t="str">
        <f ca="1">IFERROR(INDEX($FN$3:$FO$400,MATCH(ROWS($FP$3:FP184),$FN$3:$FN$400,0),2),"")</f>
        <v/>
      </c>
      <c r="FQ184" s="259" t="str">
        <f>IF(AE184="SE AVERE",MAX($FQ$2:FQ183)+1,"")</f>
        <v/>
      </c>
      <c r="FR184" s="259" t="str">
        <f>IF(AE184="SE DARE",MAX($FR$2:FR183)+1,"")</f>
        <v/>
      </c>
      <c r="FS184" s="259" t="str">
        <f ca="1">IF(AND(AE184="SP DARE",AA184&lt;&gt;$FS$1,AA184&lt;&gt;$FT$1),MAX($FS$2:FS183)+1,IF(AND(GQ184="SP DARE",AA184&lt;&gt;$FS$1,AA184&lt;&gt;$FT$1),MAX($FS$2:FS183)+1,""))</f>
        <v/>
      </c>
      <c r="FT184" s="259" t="str">
        <f ca="1">IF(AND(AE184="SP AVERE",AA184&lt;&gt;$FU$1),MAX($FT$2:FT183)+1,IF(AND(GQ184="SP AVERE",AA184&lt;&gt;$FU$1),MAX($FT$2:FT183)+1,""))</f>
        <v/>
      </c>
      <c r="FU184" s="259">
        <f t="shared" ca="1" si="437"/>
        <v>0</v>
      </c>
      <c r="FV184" s="259" t="str">
        <f t="shared" si="438"/>
        <v/>
      </c>
      <c r="FW184" s="259">
        <f ca="1">IFERROR(INDEX($FU$3:$FV$500,MATCH(ROWS($FW$3:FW184),$FU$3:$FU$500,0),2),0)</f>
        <v>0</v>
      </c>
      <c r="FX184" s="259">
        <f t="shared" ca="1" si="439"/>
        <v>0</v>
      </c>
      <c r="FY184" s="259">
        <f t="shared" ca="1" si="440"/>
        <v>0</v>
      </c>
      <c r="FZ184" s="259">
        <f ca="1">IF(FY184&gt;0,MAX($FZ$2:FZ183)+1,0)</f>
        <v>0</v>
      </c>
      <c r="GA184" s="259">
        <f ca="1">IFERROR(INDEX($FY$3:$FZ$500,MATCH(ROWS($GA$3:GA184),$FZ$3:$FZ$500,0),1),0)</f>
        <v>0</v>
      </c>
      <c r="GC184" s="259">
        <f t="shared" ca="1" si="441"/>
        <v>0</v>
      </c>
      <c r="GD184" s="259">
        <f t="shared" ca="1" si="442"/>
        <v>0</v>
      </c>
      <c r="GG184" s="259">
        <f t="shared" ca="1" si="443"/>
        <v>0</v>
      </c>
      <c r="GH184" s="259">
        <f t="shared" ca="1" si="444"/>
        <v>0</v>
      </c>
      <c r="GI184" s="259">
        <f t="shared" ca="1" si="445"/>
        <v>0</v>
      </c>
      <c r="GJ184" s="259">
        <f t="shared" ca="1" si="446"/>
        <v>0</v>
      </c>
      <c r="GK184" s="259">
        <f t="shared" ca="1" si="447"/>
        <v>0</v>
      </c>
      <c r="GL184" s="259">
        <f t="shared" ca="1" si="447"/>
        <v>0</v>
      </c>
      <c r="GM184" s="259">
        <f ca="1">IF(OR(GK184&gt;0,GL184&gt;0),MAX($GM$2:GM183)+1,0)</f>
        <v>0</v>
      </c>
      <c r="GN184" s="259" t="str">
        <f ca="1">IFERROR(INDEX($GD$3:$GM$400,MATCH(ROWS($GN$3:GN184),$GM$3:$GM$400,0),1),"")</f>
        <v/>
      </c>
      <c r="GO184" s="259" t="str">
        <f ca="1">IFERROR(INDEX($GD$3:$GM$400,MATCH(ROWS($GO$3:GO184),$GM$3:$GM$400,0),8),"")</f>
        <v/>
      </c>
      <c r="GP184" s="259" t="str">
        <f ca="1">IFERROR(INDEX($GD$3:$GM$400,MATCH(ROWS($GP$3:GP184),$GM$3:$GM$400,0),9),"")</f>
        <v/>
      </c>
      <c r="GQ184" s="259">
        <f t="shared" ca="1" si="390"/>
        <v>0</v>
      </c>
      <c r="GR184" s="259">
        <f t="shared" ca="1" si="448"/>
        <v>0</v>
      </c>
      <c r="GS184" s="259" t="str">
        <f t="shared" ca="1" si="449"/>
        <v/>
      </c>
      <c r="GT184" s="259" t="str">
        <f ca="1">IFERROR(INDEX($GD$3:$GS$400,MATCH(ROWS($GT$3:GT184),$GM$3:$GM$400,0),16),"")</f>
        <v/>
      </c>
      <c r="GU184" s="259">
        <f ca="1">IF(GQ184&lt;&gt;0,MAX($GU$2:$GU183)+1,0)</f>
        <v>0</v>
      </c>
      <c r="GV184" s="259">
        <f t="shared" ca="1" si="450"/>
        <v>0</v>
      </c>
      <c r="GW184" s="259" t="str">
        <f ca="1">IF(AND(IFERROR(INDEX($GU$3:$GV$400,MATCH(ROWS($GW$3:GW184),$GU$3:$GU$400,0),2),"")&lt;&gt;"",GW185&lt;&gt;""),CONCATENATE(IFERROR(INDEX($GU$3:$GV$400,MATCH(ROWS($GW$3:GW184),$GU$3:$GU$400,0),2),"")," - "),IFERROR(INDEX($GU$3:$GV$400,MATCH(ROWS($GW$3:GW184),$GU$3:$GU$400,0),2),""))</f>
        <v/>
      </c>
      <c r="GX184" s="259">
        <f ca="1">IF(OR(GN184="IVA NS/CREDITO",GN184="IVA NS/DEBITO",GN184="IVA C/ACCONTO",GN184="IMPOSTE C/ACCONTO"),MAX($GX$2:GX183)+1,0)</f>
        <v>0</v>
      </c>
      <c r="GY184" s="259" t="str">
        <f ca="1">IF(AND(IFERROR(INDEX($GN$3:$GX$200,MATCH(ROWS($GY$3:GY184),$GX$3:$GX$200,0),1),"")&lt;&gt;"",GY185&lt;&gt;""),CONCATENATE(IFERROR(INDEX($GN$3:$GX$200,MATCH(ROWS($GY$3:GY184),$GX$3:$GX$200,0),1),"")," - "),IFERROR(INDEX($GN$3:$GX$200,MATCH(ROWS($GY$3:GY184),$GX$3:$GX$200,0),1),""))</f>
        <v/>
      </c>
      <c r="GZ184" s="259" t="s">
        <v>672</v>
      </c>
      <c r="HA184" s="259" t="s">
        <v>571</v>
      </c>
      <c r="HB184" s="269" t="s">
        <v>256</v>
      </c>
      <c r="HC184" s="269" t="s">
        <v>211</v>
      </c>
      <c r="HD184" s="269" t="s">
        <v>268</v>
      </c>
      <c r="HE184" s="269" t="s">
        <v>213</v>
      </c>
      <c r="HV184" s="259" t="str">
        <f ca="1">CONCATENATE(IFERROR(INDEX($HS$3:$HT$102,MATCH(ROWS($HV$3:HV184),$HT$3:$HT$102,0),1),""),HR184)</f>
        <v/>
      </c>
      <c r="IC184" s="259">
        <f ca="1">IFERROR(INDEX(PIANO_DEI_CONTI,MATCH(ROWS(DL$3:DL184),$DK$3:DK411,0),2),0)</f>
        <v>0</v>
      </c>
      <c r="ID184" s="259">
        <f t="shared" ca="1" si="451"/>
        <v>0</v>
      </c>
      <c r="IE184" s="259">
        <f t="shared" ca="1" si="452"/>
        <v>0</v>
      </c>
      <c r="IF184" s="259">
        <f t="shared" ca="1" si="453"/>
        <v>0</v>
      </c>
      <c r="IG184" s="259">
        <f t="shared" ca="1" si="479"/>
        <v>0</v>
      </c>
      <c r="IH184" s="259">
        <f ca="1">IF(IG184&lt;&gt;0,MAX($IH$35:IH183)+1,0)</f>
        <v>0</v>
      </c>
      <c r="II184" s="259">
        <f>IF(AD184="costi pluriennali",MAX($II$2:II183)+1,0)</f>
        <v>0</v>
      </c>
      <c r="IJ184" s="259">
        <f>IF($AD184="rettifiche costi pluriennali",MAX($IJ$2:IJ183)+1,0)</f>
        <v>0</v>
      </c>
      <c r="IK184" s="259">
        <f t="shared" si="454"/>
        <v>0</v>
      </c>
      <c r="IL184" s="259" t="str">
        <f t="shared" si="455"/>
        <v/>
      </c>
      <c r="IM184" s="259">
        <f t="shared" ca="1" si="456"/>
        <v>0</v>
      </c>
      <c r="IN184" s="259">
        <f t="shared" ca="1" si="470"/>
        <v>0</v>
      </c>
      <c r="IO184" s="259">
        <f>SUMIFS($IM$3:$IM$200,$IK$3:$IK$200,ROWS($IO$3:IO184))-SUMIFS($IN$3:$IN$200,$IK$3:$IK$200,ROWS($IO$3:IO184))</f>
        <v>0</v>
      </c>
      <c r="IP184" s="259" t="str">
        <f>IF(IO184&lt;0,INDEX($IJ$3:$IL$200,MATCH(ROWS($IP$3:IP184),$IJ$3:$IJ$200,0),3),"")</f>
        <v/>
      </c>
      <c r="IQ184" s="259">
        <f>IF(IP184&lt;&gt;"",MAX($IQ$2:IQ183)+1,0)</f>
        <v>0</v>
      </c>
      <c r="IR184" s="259" t="str">
        <f ca="1">IFERROR(INDEX($IP$3:$IQ$200,MATCH(ROWS($IR$3:IR184),$IQ$3:$IQ$200,0),1),"")</f>
        <v/>
      </c>
      <c r="IS184" s="259" t="str">
        <f t="shared" ca="1" si="457"/>
        <v/>
      </c>
      <c r="IT184" s="259" t="str">
        <f t="shared" ca="1" si="458"/>
        <v/>
      </c>
      <c r="IU184" s="259" t="str">
        <f t="shared" ca="1" si="459"/>
        <v/>
      </c>
      <c r="IV184" s="259" t="str">
        <f t="shared" ca="1" si="460"/>
        <v/>
      </c>
      <c r="IW184" s="259" t="str">
        <f t="shared" ca="1" si="461"/>
        <v/>
      </c>
      <c r="IX184" s="259" t="str">
        <f t="shared" ca="1" si="462"/>
        <v/>
      </c>
      <c r="IY184" s="259" t="str">
        <f t="shared" ca="1" si="463"/>
        <v/>
      </c>
      <c r="IZ184" s="259" t="str">
        <f t="shared" ca="1" si="464"/>
        <v/>
      </c>
      <c r="JA184" s="259" t="str">
        <f t="shared" ca="1" si="465"/>
        <v/>
      </c>
      <c r="JB184" s="259">
        <f t="shared" ca="1" si="391"/>
        <v>0</v>
      </c>
      <c r="JC184" s="259">
        <f t="shared" ca="1" si="504"/>
        <v>0</v>
      </c>
      <c r="JD184" s="259">
        <f t="shared" ca="1" si="505"/>
        <v>0</v>
      </c>
      <c r="JM184" s="259">
        <f t="shared" ca="1" si="506"/>
        <v>0</v>
      </c>
    </row>
    <row r="185" spans="1:273">
      <c r="A185" s="259" t="str">
        <f t="shared" si="392"/>
        <v>37.11</v>
      </c>
      <c r="B185" s="259" t="str">
        <f t="shared" si="393"/>
        <v>MATERIE DI CONSUMO C/RIMANENZE FINALI</v>
      </c>
      <c r="C185" s="259" t="str">
        <f t="shared" si="394"/>
        <v>E</v>
      </c>
      <c r="D185" s="259" t="str">
        <f t="shared" si="395"/>
        <v>A</v>
      </c>
      <c r="E185" s="259" t="str">
        <f t="shared" si="396"/>
        <v>RETTIFICHE COSTI D'ESERCIZIO</v>
      </c>
      <c r="F185" s="259" t="str">
        <f t="shared" si="397"/>
        <v>SE AVERE</v>
      </c>
      <c r="G185" s="259">
        <f t="shared" ca="1" si="398"/>
        <v>0</v>
      </c>
      <c r="H185" s="259">
        <f t="shared" ca="1" si="399"/>
        <v>0</v>
      </c>
      <c r="I185" s="259">
        <f t="shared" ca="1" si="400"/>
        <v>1</v>
      </c>
      <c r="K185" s="259" t="str">
        <f ca="1">IFERROR(IF($I$1=1,INDEX($AA$3:$AS$220,MATCH(ROWS($K$3:K185),$AQ$3:$AQ$220,0),1),IF($I$1=2,INDEX($AA$3:$AS$220,MATCH(ROWS($K$3:K185),$AR$3:$AR$220,0),1),IF($I$1=3,INDEX($AA$3:$AS$220,MATCH(ROWS($K$3:K185),$AS$3:$AS$220,0),1),""))),"")</f>
        <v/>
      </c>
      <c r="L185" s="259">
        <f ca="1">IF(AND($L$1="VISUALIZZA TUTTI I CONTI",K185&lt;&gt;""),MAX(L184:L184)+1,IFERROR(IF($J$1=1,IF(INDEX(PIANO_DEI_CONTI,MATCH($K185,DENOMINAZIONE,0),5)=$L$1,MAX($L$2:L184)+1,0),IF($J$1=2,IF(INDEX(PIANO_DEI_CONTI,MATCH($K185,DENOMINAZIONE,0),7)=$L$1,MAX($L$2:L184)+1,0))),0))</f>
        <v>0</v>
      </c>
      <c r="M185" s="259" t="str">
        <f ca="1">IFERROR(INDEX($K$3:$K$220,MATCH(ROWS($M$3:M185),$L$3:$L$220,0),1),"")</f>
        <v/>
      </c>
      <c r="R185" s="259" t="str">
        <f t="shared" ca="1" si="366"/>
        <v/>
      </c>
      <c r="S185" s="259">
        <f ca="1">IF(IFERROR(MATCH(R185,DENOMINAZIONE_GIORNALE,0),0)&gt;0,MAX(S$2:S184)+1,0)</f>
        <v>0</v>
      </c>
      <c r="T185" s="259" t="str">
        <f ca="1">IFERROR(INDEX($R$3:$S$220,MATCH(ROWS($T$3:T185),$S$3:$S$220,0),1),"")</f>
        <v/>
      </c>
      <c r="U185" s="259">
        <f t="shared" ca="1" si="367"/>
        <v>0</v>
      </c>
      <c r="V185" s="259">
        <f ca="1">IF(IF(U185&lt;&gt;0,MAX($V$2:V184)+1,0)=0,0,IF(U185&lt;&gt;0,MAX($V$2:V184)+1,0))</f>
        <v>0</v>
      </c>
      <c r="W185" s="259" t="str">
        <f t="shared" si="401"/>
        <v>37.11</v>
      </c>
      <c r="X185" s="259" t="str">
        <f t="shared" si="402"/>
        <v>MATERIE DI CONSUMO C/RIMANENZE FINALI</v>
      </c>
      <c r="Y185" s="259">
        <f>IF(W185="",0,MAX($Y$2:Y184)+1)</f>
        <v>157</v>
      </c>
      <c r="Z185" s="259" t="str">
        <f>IFERROR(INDEX($W$3:$Y$220,MATCH(ROWS($Z$2:Z184),$Y$3:$Y$220,0),1),"")</f>
        <v/>
      </c>
      <c r="AA185" s="259" t="str">
        <f t="shared" si="403"/>
        <v/>
      </c>
      <c r="AB185" s="259" t="str">
        <f t="shared" si="404"/>
        <v/>
      </c>
      <c r="AC185" s="259" t="str">
        <f t="shared" si="405"/>
        <v/>
      </c>
      <c r="AD185" s="259" t="str">
        <f t="shared" si="406"/>
        <v/>
      </c>
      <c r="AE185" s="259" t="str">
        <f t="shared" si="407"/>
        <v/>
      </c>
      <c r="AF185" s="259" t="str">
        <f t="shared" si="408"/>
        <v/>
      </c>
      <c r="AG185" s="259" t="str">
        <f t="shared" si="409"/>
        <v/>
      </c>
      <c r="AH185" s="259" t="str">
        <f t="shared" si="410"/>
        <v/>
      </c>
      <c r="AI185" s="259" t="str">
        <f t="shared" si="411"/>
        <v/>
      </c>
      <c r="AJ185" s="259" t="str">
        <f t="shared" si="412"/>
        <v/>
      </c>
      <c r="AK185" s="259" t="str">
        <f t="shared" si="413"/>
        <v/>
      </c>
      <c r="AL185" s="259">
        <f>IF(AK185&lt;&gt;"",MAX($AL$2:AL184)+1,0)</f>
        <v>0</v>
      </c>
      <c r="AM185" s="259" t="str">
        <f>IFERROR(INDEX($AK$3:$AL$220,MATCH(ROWS($AM$3:AM185),$AL$3:$AL$220,0),1),"")</f>
        <v/>
      </c>
      <c r="AN185" s="259" t="str">
        <f t="shared" si="414"/>
        <v/>
      </c>
      <c r="AO185" s="259" t="str">
        <f t="shared" si="415"/>
        <v/>
      </c>
      <c r="AP185" s="259" t="str">
        <f t="shared" si="416"/>
        <v/>
      </c>
      <c r="AQ185" s="259">
        <f>IF(OR(AG185=0,AG185=""),0,MAX(AQ$2:AQ184)+1)</f>
        <v>0</v>
      </c>
      <c r="AR185" s="259">
        <f>IF(OR(AH185=0,AH185=""),0,MAX(AR$2:AR184)+1)</f>
        <v>0</v>
      </c>
      <c r="AS185" s="259">
        <f>IF(OR(AI185=0,AI185=""),0,MAX(AS$2:AS184)+1)</f>
        <v>0</v>
      </c>
      <c r="AT185" s="259" t="str">
        <f ca="1">IFERROR(INDEX($AD$3:$AS$220,MATCH(ROWS(AT$3:AT185),AQ$3:AQ$220,0),1),"")</f>
        <v/>
      </c>
      <c r="AU185" s="259" t="str">
        <f ca="1">IFERROR(INDEX($AD$3:$AS$220,MATCH(ROWS(AU$3:AU185),AR$3:AR$220,0),1),"")</f>
        <v/>
      </c>
      <c r="AV185" s="259" t="str">
        <f ca="1">IFERROR(INDEX($AD$3:$AS$220,MATCH(ROWS(AV$3:AV185),AS$3:AS$220,0),1),"")</f>
        <v/>
      </c>
      <c r="AW185" s="259" t="str">
        <f ca="1">IFERROR(INDEX($AP$3:$AS$220,MATCH(ROWS(AW$3:AW185),AQ$3:AQ$220,0),1),"")</f>
        <v/>
      </c>
      <c r="AX185" s="259" t="str">
        <f ca="1">IFERROR(INDEX($AP$3:$AS$220,MATCH(ROWS(AX$3:AX185),AR$3:AR$220,0),1),"")</f>
        <v/>
      </c>
      <c r="AY185" s="259" t="str">
        <f ca="1">IFERROR(INDEX($AP$3:$AS$220,MATCH(ROWS(AY$3:AY185),AS$3:AS$220,0),1),"")</f>
        <v/>
      </c>
      <c r="AZ185" s="259" t="str">
        <f t="shared" si="490"/>
        <v>83 V.I.</v>
      </c>
      <c r="BA185" s="259">
        <f t="shared" ca="1" si="484"/>
        <v>0</v>
      </c>
      <c r="BB185" s="259">
        <f t="shared" ca="1" si="491"/>
        <v>0</v>
      </c>
      <c r="BC185" s="259">
        <f t="shared" ca="1" si="492"/>
        <v>0</v>
      </c>
      <c r="BD185" s="259">
        <f t="shared" ca="1" si="493"/>
        <v>0</v>
      </c>
      <c r="BE185" s="259">
        <f t="shared" ca="1" si="494"/>
        <v>0</v>
      </c>
      <c r="BG185" s="259" t="str">
        <f t="shared" ca="1" si="368"/>
        <v/>
      </c>
      <c r="BH185" s="259">
        <f ca="1">IF(IFERROR(MATCH(BG185,DENOMINAZIONE_GIORNALE,0),0)&gt;0,MAX(BH$2:BH184)+1,0)</f>
        <v>0</v>
      </c>
      <c r="BI185" s="259" t="str">
        <f ca="1">IFERROR(INDEX($BG$3:$BH$220,MATCH(ROWS($BI$3:BI185),$BH$3:$BH$220,0),1),"")</f>
        <v/>
      </c>
      <c r="BJ185" s="259" t="str">
        <f t="shared" ca="1" si="369"/>
        <v/>
      </c>
      <c r="BK185" s="259" t="str">
        <f ca="1">IF(IF(BJ185&lt;&gt;"",MAX($BK$2:BK184)+1,0)=0,"",IF(BJ185&lt;&gt;"",MAX($BK$2:BK184)+1,0))</f>
        <v/>
      </c>
      <c r="BL185" s="259" t="str">
        <f ca="1">IFERROR(INDEX($T$3:$U$220, MATCH(ROWS(BL$3:BL185),$V$3:$V$220,0),1),"")</f>
        <v/>
      </c>
      <c r="BM185" s="259" t="str">
        <f ca="1">IFERROR(INDEX($T$3:$U$220, MATCH(ROWS(BM$3:BM185),$V$3:$V$220,0),2),"")</f>
        <v/>
      </c>
      <c r="BN185" s="259" t="str">
        <f ca="1">IF(IFERROR(INDEX($BI$3:$BJ$220,MATCH(ROWS(BN$3:BN185),$BK$3:$BK$220,0),1),"")="PATRIMONIO NETTO","",IFERROR(INDEX($BI$3:$BJ$220,MATCH(ROWS(BN$3:BN185),$BK$3:$BK$220,0),1),""))</f>
        <v/>
      </c>
      <c r="BO185" s="259" t="str">
        <f ca="1">IFERROR(INDEX($BI$3:$BJ$220,MATCH(ROWS(BO$3:BO185),$BK$3:$BK$220,0),2),"")</f>
        <v/>
      </c>
      <c r="BP185" s="259">
        <f ca="1">IF(BN185&lt;&gt;"",MAX(BP$2:$BP184)+1,0)</f>
        <v>0</v>
      </c>
      <c r="BQ185" s="259" t="str">
        <f ca="1">IFERROR(INDEX($BN$3:$BO$200,MATCH(ROWS(BQ$3:BQ185),$BP$3:$BP$220,0),1),"")</f>
        <v/>
      </c>
      <c r="BR185" s="259" t="str">
        <f ca="1">IFERROR(INDEX($BN$3:$BO$220,MATCH(ROWS(BR$3:BR185),$BP$3:$BP$220,0),2),"")</f>
        <v/>
      </c>
      <c r="BS185" s="259" t="str">
        <f ca="1">IFERROR(IF(OR(INDEX($T$3:$U$220,MATCH(ROWS(BL$3:BL185),$V$3:$V$220,0),1)="PRELEVAMENTI EXTRAGESTIONE",INDEX($T$3:$U$220,MATCH(ROWS(BL$3:BL185),$V$3:$V$220,0),1)="TITOLARE C/RITENUTE SUBITE"),"",INDEX($T$3:$U$220,MATCH(ROWS(BL$3:BL185),$V$3:$V$220,0),1)),"")</f>
        <v/>
      </c>
      <c r="BT185" s="259">
        <f t="shared" ca="1" si="417"/>
        <v>0</v>
      </c>
      <c r="BU185" s="259">
        <f ca="1">IF(BS185&lt;&gt;"",MAX(BU$2:BU184)+1,0)</f>
        <v>0</v>
      </c>
      <c r="BV185" s="259" t="str">
        <f ca="1">IFERROR(INDEX($BS$3:$BT$223,MATCH(ROWS(BV$3:BV185),$BU$3:$BU$223,0),1),"")</f>
        <v/>
      </c>
      <c r="BW185" s="259">
        <f t="shared" ca="1" si="418"/>
        <v>0</v>
      </c>
      <c r="CB185" s="259" t="str">
        <f ca="1">IFERROR(IF(OR($BB$1&lt;&gt;$BD$1,$BC$1&lt;&gt;$BE$1,$DS$231&lt;&gt;$DT$231,$DU$231&lt;&gt;$DV$231,$EO$25&lt;&gt;0,$EO$26&lt;&gt;0),INDEX($BI$3:$BK$220,MATCH(ROWS($CB$3:CB185),$BK$3:$BK$220,0),1),CONCATENATE(BQ185,BX185)),"")</f>
        <v/>
      </c>
      <c r="CC185" s="259" t="str">
        <f t="shared" ca="1" si="419"/>
        <v/>
      </c>
      <c r="CD185" s="259" t="str">
        <f t="shared" ca="1" si="370"/>
        <v/>
      </c>
      <c r="CE185" s="259">
        <f ca="1">IF(IFERROR(MATCH(CD185,DENOMINAZIONE_GIORNALE,0),0)&gt;0,MAX(CE$2:CE184)+1,0)</f>
        <v>0</v>
      </c>
      <c r="CF185" s="259" t="str">
        <f ca="1">IFERROR(INDEX($CD$3:$CE$220,MATCH(ROWS($CF$3:CF185),$CE$3:$CE$220,0),1),"")</f>
        <v/>
      </c>
      <c r="CG185" s="259">
        <f t="shared" ca="1" si="371"/>
        <v>0</v>
      </c>
      <c r="CH185" s="259" t="str">
        <f ca="1">IF(IF(CG185&lt;&gt;0,MAX($CH$2:CH184)+1,0)=0,"",IF(CG185&lt;&gt;"",MAX($CH$2:CH184)+1,0))</f>
        <v/>
      </c>
      <c r="CI185" s="259" t="str">
        <f ca="1">IFERROR(INDEX($CF$3:$CG$220,MATCH(ROWS($CI$3:CI185),$CH$3:$CH$220,0),1),"")</f>
        <v/>
      </c>
      <c r="CJ185" s="259" t="str">
        <f t="shared" ca="1" si="420"/>
        <v/>
      </c>
      <c r="CK185" s="259" t="str">
        <f t="shared" ca="1" si="372"/>
        <v/>
      </c>
      <c r="CL185" s="259">
        <f ca="1">IF(IFERROR(MATCH(CK185,DENOMINAZIONE_GIORNALE,0),0)&gt;0,MAX(CL$2:CL184)+1,0)</f>
        <v>0</v>
      </c>
      <c r="CM185" s="259" t="str">
        <f ca="1">IFERROR(INDEX($CK$3:$CL$220,MATCH(ROWS($CM$3:CM185),$CL$3:$CL$220,0),1),"")</f>
        <v/>
      </c>
      <c r="CN185" s="259" t="str">
        <f t="shared" ca="1" si="373"/>
        <v/>
      </c>
      <c r="CO185" s="259">
        <f ca="1">IF(IF(CN185&lt;&gt;0,MAX($CO$2:CO184)+1,0)=0,"",IF(CN185&lt;&gt;"",MAX($CO$2:CO184)+1,0))</f>
        <v>0</v>
      </c>
      <c r="CP185" s="259" t="str">
        <f ca="1">IFERROR(INDEX($CM$3:$CN$220,MATCH(ROWS(CP$3:CP185),$CO$3:$CO$220,0),1),"")</f>
        <v/>
      </c>
      <c r="CQ185" s="259" t="str">
        <f ca="1">IFERROR(INDEX($CM$3:$CN$220,MATCH(ROWS(CQ$3:CQ185),$CO$3:$CO$220,0),2),"")</f>
        <v/>
      </c>
      <c r="CS185" s="259">
        <f t="shared" ca="1" si="374"/>
        <v>0</v>
      </c>
      <c r="CT185" s="259">
        <f t="shared" ca="1" si="375"/>
        <v>0</v>
      </c>
      <c r="CU185" s="259">
        <f ca="1">IF(OR(CS185&gt;0,CT185&gt;0),MAX($CU$2:CU184)+1,0)</f>
        <v>0</v>
      </c>
      <c r="CV185" s="259" t="str">
        <f ca="1">IFERROR(INDEX(PIANO_DEI_CONTI,MATCH(ROWS($CV$3:CV185),$CU$3:$CU$200,0),2),"")</f>
        <v/>
      </c>
      <c r="CW185" s="259">
        <f ca="1">IFERROR(IF(CV185&lt;&gt;"",MAX($CW$2:CW184)+1,0),0)</f>
        <v>0</v>
      </c>
      <c r="CX185" s="259">
        <f t="shared" ca="1" si="508"/>
        <v>11</v>
      </c>
      <c r="CY185" s="259" t="str">
        <f t="shared" ca="1" si="495"/>
        <v>MASTRO</v>
      </c>
      <c r="CZ185" s="259" t="e">
        <f t="shared" ref="CZ185:CZ199" ca="1" si="510">SUM(MATCH($CY185,INDIRECT(ADDRESS(SUM(CZ184)+3,54)&amp;":"&amp;ADDRESS(400,54)),0),CZ184)</f>
        <v>#N/A</v>
      </c>
      <c r="DA185" s="259" t="str">
        <f ca="1">IFERROR(INDEX(LIBRO_GIORNALE,CZ185,1),"")</f>
        <v/>
      </c>
      <c r="DB185" s="259" t="str">
        <f t="shared" ref="DB185:DB199" ca="1" si="511">IF(RIGHT(TEXT(IFERROR(INDEX(LIBRO_GIORNALE,CZ185,2),""),"gg/mm/aa"),1)="a",TEXT(IFERROR(INDEX(LIBRO_GIORNALE,CZ185,2),""),"dd/mm/yy"),TEXT(IFERROR(INDEX(LIBRO_GIORNALE,CZ185,2),""),"gg/mm/aa"))</f>
        <v/>
      </c>
      <c r="DC185" s="259" t="str">
        <f t="shared" ref="DC185:DC199" ca="1" si="512">IF(IFERROR(INDEX(LIBRO_GIORNALE,CZ185,4),"")=0,"manca la descrizione dell'operazione",IFERROR(INDEX(LIBRO_GIORNALE,CZ185,4),""))</f>
        <v/>
      </c>
      <c r="DD185" s="259" t="str">
        <f t="shared" ref="DD185:DD199" ca="1" si="513">IFERROR(IF(INDEX(LIBRO_GIORNALE,CZ185,5)&gt;0,INDEX(LIBRO_GIORNALE,CZ185,5),""),"")</f>
        <v/>
      </c>
      <c r="DE185" s="259" t="str">
        <f t="shared" ref="DE185:DE199" ca="1" si="514">IFERROR(IF(INDEX(LIBRO_GIORNALE,CZ185,6)&gt;0,INDEX(LIBRO_GIORNALE,CZ185,6),""),"")</f>
        <v/>
      </c>
      <c r="DF185" s="259">
        <f ca="1">IF(AND(CX185=$DE$2,$DF$2&lt;&gt;0),0,IF(AND(DB185&lt;&gt;"",OR(DB184&lt;&gt;"",DB186&lt;&gt;"")),MAX($DF$2:DF184)+1,0))</f>
        <v>0</v>
      </c>
      <c r="DG185" s="259" t="str">
        <f>IF(IF(LIBRO_GIORNALE!E93="","",IFERROR(INDEX(PIANO_DEI_CONTI,MATCH(BB185,DENOMINAZIONE,0),1),0))=0,"",IF(LIBRO_GIORNALE!E93="","",IFERROR(INDEX(PIANO_DEI_CONTI,MATCH(BB185,DENOMINAZIONE,0),1),0)))</f>
        <v/>
      </c>
      <c r="DH185" s="259">
        <f ca="1">IFERROR(IF($J$1=1,IF(INDEX(PIANO_DEI_CONTI,MATCH($K185,DENOMINAZIONE,0),5)=$DF$1,MAX($DH$2:DH184)+1,0),IF($J$1=2,IF(INDEX(PIANO_DEI_CONTI,MATCH($K185,DENOMINAZIONE,0),7)=$DF$1,MAX($DH$2:DH184)+1,0))),0)</f>
        <v>0</v>
      </c>
      <c r="DI185" s="259">
        <f ca="1">IFERROR(INDEX($K$3:$K$220,MATCH(ROWS($DI$3:DI185),$DH$3:$DH$220,0),1),0)</f>
        <v>0</v>
      </c>
      <c r="DJ185" s="259">
        <f t="shared" ca="1" si="381"/>
        <v>0</v>
      </c>
      <c r="DK185" s="259">
        <f ca="1">IF(DJ185=0,0,MAX(DK$2:DK184)+1)</f>
        <v>0</v>
      </c>
      <c r="DL185" s="259">
        <f ca="1">IFERROR(INDEX(PIANO_DEI_CONTI,MATCH(ROWS(DL$3:DL185),$DK$3:DK412,0),2),0)</f>
        <v>0</v>
      </c>
      <c r="DM185" s="259">
        <f t="shared" ca="1" si="382"/>
        <v>0</v>
      </c>
      <c r="DN185" s="259">
        <f t="shared" ca="1" si="383"/>
        <v>0</v>
      </c>
      <c r="DO185" s="259">
        <f t="shared" ca="1" si="422"/>
        <v>0</v>
      </c>
      <c r="DP185" s="259">
        <f t="shared" ca="1" si="423"/>
        <v>0</v>
      </c>
      <c r="DQ185" s="259">
        <f ca="1">IF(OR($DQ$1="TOTALI",$DQ$1="TOTALI ED ECCEDENZE"),IF(OR(DM185&gt;0,DN185&gt;0),MAX(DQ$2:DQ184)+1,0),IF($DQ$1="ECCEDENZE",IF(OR(DO185&gt;0,DP185&gt;0),MAX(DQ$2:DQ184)+1,0),""))</f>
        <v>0</v>
      </c>
      <c r="DR185" s="259" t="str">
        <f ca="1">IFERROR(INDEX($DL$3:$DQ$230,MATCH(ROWS(DR$3:DR185),$DQ$3:$DQ$230,0),1),"")</f>
        <v/>
      </c>
      <c r="DS185" s="259" t="str">
        <f t="shared" ca="1" si="424"/>
        <v/>
      </c>
      <c r="DT185" s="259" t="str">
        <f t="shared" ca="1" si="425"/>
        <v/>
      </c>
      <c r="DU185" s="259" t="str">
        <f t="shared" ca="1" si="426"/>
        <v/>
      </c>
      <c r="DV185" s="259" t="str">
        <f t="shared" ca="1" si="427"/>
        <v/>
      </c>
      <c r="DW185" s="259">
        <f t="shared" ca="1" si="428"/>
        <v>0</v>
      </c>
      <c r="DX185" s="259" t="str">
        <f t="shared" ca="1" si="429"/>
        <v/>
      </c>
      <c r="DY185" s="259" t="str">
        <f t="shared" ca="1" si="430"/>
        <v/>
      </c>
      <c r="DZ185" s="259" t="str">
        <f t="shared" ca="1" si="431"/>
        <v/>
      </c>
      <c r="ED185" s="259">
        <f t="shared" ca="1" si="384"/>
        <v>0</v>
      </c>
      <c r="EH185" s="259" t="str">
        <f t="shared" ca="1" si="432"/>
        <v/>
      </c>
      <c r="EI185" s="260" t="b">
        <f t="shared" ca="1" si="466"/>
        <v>0</v>
      </c>
      <c r="EJ185" s="260" t="b">
        <f t="shared" ca="1" si="467"/>
        <v>0</v>
      </c>
      <c r="EK185" s="260" t="b">
        <f t="shared" ca="1" si="468"/>
        <v>1</v>
      </c>
      <c r="EL185" s="259">
        <f t="shared" si="433"/>
        <v>183</v>
      </c>
      <c r="EM185" s="259">
        <f ca="1">IF(AND(BA185&gt;0,BA185&lt;=$EM$1),MAX($EM$2:EM184)+1,0)</f>
        <v>0</v>
      </c>
      <c r="EN185" s="259">
        <f t="shared" ca="1" si="434"/>
        <v>185</v>
      </c>
      <c r="EP185" s="259" t="str">
        <f t="shared" ca="1" si="385"/>
        <v/>
      </c>
      <c r="EQ185" s="259">
        <f t="shared" ca="1" si="386"/>
        <v>0</v>
      </c>
      <c r="ER185" s="259">
        <f ca="1">IF(ISNA(EQ185),MAX(ER$2:ER184)+1,0)</f>
        <v>0</v>
      </c>
      <c r="ES185" s="259" t="str">
        <f t="shared" ca="1" si="435"/>
        <v/>
      </c>
      <c r="ET185" s="259" t="str">
        <f ca="1">IFERROR(UPPER(INDEX($ER$3:$ES$500,MATCH(ROWS(ET$3:ET185),$ER$3:$ER$500,0),2)),"")</f>
        <v/>
      </c>
      <c r="EW185" s="259">
        <f t="shared" ca="1" si="497"/>
        <v>1</v>
      </c>
      <c r="EX185" s="259">
        <v>83</v>
      </c>
      <c r="EY185" s="259">
        <f t="shared" ca="1" si="498"/>
        <v>0</v>
      </c>
      <c r="EZ185" s="259">
        <f t="shared" ca="1" si="499"/>
        <v>0</v>
      </c>
      <c r="FA185" s="259">
        <f t="shared" ca="1" si="500"/>
        <v>0</v>
      </c>
      <c r="FB185" s="259">
        <f t="shared" ca="1" si="501"/>
        <v>0</v>
      </c>
      <c r="FC185" s="259">
        <f t="shared" ca="1" si="502"/>
        <v>0</v>
      </c>
      <c r="FD185" s="259">
        <f t="shared" ca="1" si="387"/>
        <v>0</v>
      </c>
      <c r="FE185" s="259" t="str">
        <f t="shared" ca="1" si="388"/>
        <v/>
      </c>
      <c r="FF185" s="259" t="str">
        <f t="shared" ca="1" si="503"/>
        <v/>
      </c>
      <c r="FM185" s="259">
        <f t="shared" si="389"/>
        <v>0</v>
      </c>
      <c r="FN185" s="259">
        <f>IF(FM185&lt;0,MAX($FN$2:FN184)+1,0)</f>
        <v>0</v>
      </c>
      <c r="FO185" s="259" t="str">
        <f t="shared" si="436"/>
        <v/>
      </c>
      <c r="FP185" s="259" t="str">
        <f ca="1">IFERROR(INDEX($FN$3:$FO$400,MATCH(ROWS($FP$3:FP185),$FN$3:$FN$400,0),2),"")</f>
        <v/>
      </c>
      <c r="FQ185" s="259" t="str">
        <f>IF(AE185="SE AVERE",MAX($FQ$2:FQ184)+1,"")</f>
        <v/>
      </c>
      <c r="FR185" s="259" t="str">
        <f>IF(AE185="SE DARE",MAX($FR$2:FR184)+1,"")</f>
        <v/>
      </c>
      <c r="FS185" s="259" t="str">
        <f ca="1">IF(AND(AE185="SP DARE",AA185&lt;&gt;$FS$1,AA185&lt;&gt;$FT$1),MAX($FS$2:FS184)+1,IF(AND(GQ185="SP DARE",AA185&lt;&gt;$FS$1,AA185&lt;&gt;$FT$1),MAX($FS$2:FS184)+1,""))</f>
        <v/>
      </c>
      <c r="FT185" s="259" t="str">
        <f ca="1">IF(AND(AE185="SP AVERE",AA185&lt;&gt;$FU$1),MAX($FT$2:FT184)+1,IF(AND(GQ185="SP AVERE",AA185&lt;&gt;$FU$1),MAX($FT$2:FT184)+1,""))</f>
        <v/>
      </c>
      <c r="FU185" s="259">
        <f t="shared" ca="1" si="437"/>
        <v>0</v>
      </c>
      <c r="FV185" s="259" t="str">
        <f t="shared" si="438"/>
        <v/>
      </c>
      <c r="FW185" s="259">
        <f ca="1">IFERROR(INDEX($FU$3:$FV$500,MATCH(ROWS($FW$3:FW185),$FU$3:$FU$500,0),2),0)</f>
        <v>0</v>
      </c>
      <c r="FX185" s="259">
        <f t="shared" ca="1" si="439"/>
        <v>0</v>
      </c>
      <c r="FY185" s="259">
        <f t="shared" ca="1" si="440"/>
        <v>0</v>
      </c>
      <c r="FZ185" s="259">
        <f ca="1">IF(FY185&gt;0,MAX($FZ$2:FZ184)+1,0)</f>
        <v>0</v>
      </c>
      <c r="GA185" s="259">
        <f ca="1">IFERROR(INDEX($FY$3:$FZ$500,MATCH(ROWS($GA$3:GA185),$FZ$3:$FZ$500,0),1),0)</f>
        <v>0</v>
      </c>
      <c r="GC185" s="259">
        <f t="shared" ca="1" si="441"/>
        <v>0</v>
      </c>
      <c r="GD185" s="259">
        <f t="shared" ca="1" si="442"/>
        <v>0</v>
      </c>
      <c r="GG185" s="259">
        <f t="shared" ca="1" si="443"/>
        <v>0</v>
      </c>
      <c r="GH185" s="259">
        <f t="shared" ca="1" si="444"/>
        <v>0</v>
      </c>
      <c r="GI185" s="259">
        <f t="shared" ca="1" si="445"/>
        <v>0</v>
      </c>
      <c r="GJ185" s="259">
        <f t="shared" ca="1" si="446"/>
        <v>0</v>
      </c>
      <c r="GK185" s="259">
        <f t="shared" ca="1" si="447"/>
        <v>0</v>
      </c>
      <c r="GL185" s="259">
        <f t="shared" ca="1" si="447"/>
        <v>0</v>
      </c>
      <c r="GM185" s="259">
        <f ca="1">IF(OR(GK185&gt;0,GL185&gt;0),MAX($GM$2:GM184)+1,0)</f>
        <v>0</v>
      </c>
      <c r="GN185" s="259" t="str">
        <f ca="1">IFERROR(INDEX($GD$3:$GM$400,MATCH(ROWS($GN$3:GN185),$GM$3:$GM$400,0),1),"")</f>
        <v/>
      </c>
      <c r="GO185" s="259" t="str">
        <f ca="1">IFERROR(INDEX($GD$3:$GM$400,MATCH(ROWS($GO$3:GO185),$GM$3:$GM$400,0),8),"")</f>
        <v/>
      </c>
      <c r="GP185" s="259" t="str">
        <f ca="1">IFERROR(INDEX($GD$3:$GM$400,MATCH(ROWS($GP$3:GP185),$GM$3:$GM$400,0),9),"")</f>
        <v/>
      </c>
      <c r="GQ185" s="259">
        <f t="shared" ca="1" si="390"/>
        <v>0</v>
      </c>
      <c r="GR185" s="259">
        <f t="shared" ca="1" si="448"/>
        <v>0</v>
      </c>
      <c r="GS185" s="259" t="str">
        <f t="shared" ca="1" si="449"/>
        <v/>
      </c>
      <c r="GT185" s="259" t="str">
        <f ca="1">IFERROR(INDEX($GD$3:$GS$400,MATCH(ROWS($GT$3:GT185),$GM$3:$GM$400,0),16),"")</f>
        <v/>
      </c>
      <c r="GU185" s="259">
        <f ca="1">IF(GQ185&lt;&gt;0,MAX($GU$2:$GU184)+1,0)</f>
        <v>0</v>
      </c>
      <c r="GV185" s="259">
        <f t="shared" ca="1" si="450"/>
        <v>0</v>
      </c>
      <c r="GW185" s="259" t="str">
        <f ca="1">IF(AND(IFERROR(INDEX($GU$3:$GV$400,MATCH(ROWS($GW$3:GW185),$GU$3:$GU$400,0),2),"")&lt;&gt;"",GW186&lt;&gt;""),CONCATENATE(IFERROR(INDEX($GU$3:$GV$400,MATCH(ROWS($GW$3:GW185),$GU$3:$GU$400,0),2),"")," - "),IFERROR(INDEX($GU$3:$GV$400,MATCH(ROWS($GW$3:GW185),$GU$3:$GU$400,0),2),""))</f>
        <v/>
      </c>
      <c r="GX185" s="259">
        <f ca="1">IF(OR(GN185="IVA NS/CREDITO",GN185="IVA NS/DEBITO",GN185="IVA C/ACCONTO",GN185="IMPOSTE C/ACCONTO"),MAX($GX$2:GX184)+1,0)</f>
        <v>0</v>
      </c>
      <c r="GY185" s="259" t="str">
        <f ca="1">IF(AND(IFERROR(INDEX($GN$3:$GX$200,MATCH(ROWS($GY$3:GY185),$GX$3:$GX$200,0),1),"")&lt;&gt;"",GY186&lt;&gt;""),CONCATENATE(IFERROR(INDEX($GN$3:$GX$200,MATCH(ROWS($GY$3:GY185),$GX$3:$GX$200,0),1),"")," - "),IFERROR(INDEX($GN$3:$GX$200,MATCH(ROWS($GY$3:GY185),$GX$3:$GX$200,0),1),""))</f>
        <v/>
      </c>
      <c r="GZ185" s="259" t="s">
        <v>673</v>
      </c>
      <c r="HA185" s="259" t="s">
        <v>185</v>
      </c>
      <c r="HB185" s="269" t="s">
        <v>256</v>
      </c>
      <c r="HC185" s="269" t="s">
        <v>211</v>
      </c>
      <c r="HD185" s="269" t="s">
        <v>268</v>
      </c>
      <c r="HE185" s="269" t="s">
        <v>213</v>
      </c>
      <c r="HV185" s="259" t="str">
        <f ca="1">CONCATENATE(IFERROR(INDEX($HS$3:$HT$102,MATCH(ROWS($HV$3:HV185),$HT$3:$HT$102,0),1),""),HR185)</f>
        <v/>
      </c>
      <c r="IC185" s="259">
        <f ca="1">IFERROR(INDEX(PIANO_DEI_CONTI,MATCH(ROWS(DL$3:DL185),$DK$3:DK412,0),2),0)</f>
        <v>0</v>
      </c>
      <c r="ID185" s="259">
        <f t="shared" ca="1" si="451"/>
        <v>0</v>
      </c>
      <c r="IE185" s="259">
        <f t="shared" ca="1" si="452"/>
        <v>0</v>
      </c>
      <c r="IF185" s="259">
        <f t="shared" ca="1" si="453"/>
        <v>0</v>
      </c>
      <c r="IG185" s="259">
        <f t="shared" ca="1" si="479"/>
        <v>0</v>
      </c>
      <c r="IH185" s="259">
        <f ca="1">IF(IG185&lt;&gt;0,MAX($IH$35:IH184)+1,0)</f>
        <v>0</v>
      </c>
      <c r="II185" s="259">
        <f>IF(AD185="costi pluriennali",MAX($II$2:II184)+1,0)</f>
        <v>0</v>
      </c>
      <c r="IJ185" s="259">
        <f>IF($AD185="rettifiche costi pluriennali",MAX($IJ$2:IJ184)+1,0)</f>
        <v>0</v>
      </c>
      <c r="IK185" s="259">
        <f t="shared" si="454"/>
        <v>0</v>
      </c>
      <c r="IL185" s="259" t="str">
        <f t="shared" si="455"/>
        <v/>
      </c>
      <c r="IM185" s="259">
        <f t="shared" ca="1" si="456"/>
        <v>0</v>
      </c>
      <c r="IN185" s="259">
        <f t="shared" ca="1" si="470"/>
        <v>0</v>
      </c>
      <c r="IO185" s="259">
        <f>SUMIFS($IM$3:$IM$200,$IK$3:$IK$200,ROWS($IO$3:IO185))-SUMIFS($IN$3:$IN$200,$IK$3:$IK$200,ROWS($IO$3:IO185))</f>
        <v>0</v>
      </c>
      <c r="IP185" s="259" t="str">
        <f>IF(IO185&lt;0,INDEX($IJ$3:$IL$200,MATCH(ROWS($IP$3:IP185),$IJ$3:$IJ$200,0),3),"")</f>
        <v/>
      </c>
      <c r="IQ185" s="259">
        <f>IF(IP185&lt;&gt;"",MAX($IQ$2:IQ184)+1,0)</f>
        <v>0</v>
      </c>
      <c r="IR185" s="259" t="str">
        <f ca="1">IFERROR(INDEX($IP$3:$IQ$200,MATCH(ROWS($IR$3:IR185),$IQ$3:$IQ$200,0),1),"")</f>
        <v/>
      </c>
      <c r="IS185" s="259" t="str">
        <f t="shared" ca="1" si="457"/>
        <v/>
      </c>
      <c r="IT185" s="259" t="str">
        <f t="shared" ca="1" si="458"/>
        <v/>
      </c>
      <c r="IU185" s="259" t="str">
        <f t="shared" ca="1" si="459"/>
        <v/>
      </c>
      <c r="IV185" s="259" t="str">
        <f t="shared" ca="1" si="460"/>
        <v/>
      </c>
      <c r="IW185" s="259" t="str">
        <f t="shared" ca="1" si="461"/>
        <v/>
      </c>
      <c r="IX185" s="259" t="str">
        <f t="shared" ca="1" si="462"/>
        <v/>
      </c>
      <c r="IY185" s="259" t="str">
        <f t="shared" ca="1" si="463"/>
        <v/>
      </c>
      <c r="IZ185" s="259" t="str">
        <f t="shared" ca="1" si="464"/>
        <v/>
      </c>
      <c r="JA185" s="259" t="str">
        <f t="shared" ca="1" si="465"/>
        <v/>
      </c>
      <c r="JB185" s="259">
        <f t="shared" ca="1" si="391"/>
        <v>0</v>
      </c>
      <c r="JC185" s="259">
        <f t="shared" ca="1" si="504"/>
        <v>0</v>
      </c>
      <c r="JD185" s="259">
        <f t="shared" ca="1" si="505"/>
        <v>0</v>
      </c>
      <c r="JM185" s="259">
        <f t="shared" ca="1" si="506"/>
        <v>0</v>
      </c>
    </row>
    <row r="186" spans="1:273">
      <c r="A186" s="259" t="str">
        <f t="shared" si="392"/>
        <v>38.00</v>
      </c>
      <c r="B186" s="259" t="str">
        <f t="shared" si="393"/>
        <v xml:space="preserve">ACCANTONAMENTI </v>
      </c>
      <c r="C186" s="259">
        <f t="shared" si="394"/>
        <v>0</v>
      </c>
      <c r="D186" s="259">
        <f t="shared" si="395"/>
        <v>0</v>
      </c>
      <c r="E186" s="259">
        <f t="shared" si="396"/>
        <v>0</v>
      </c>
      <c r="F186" s="259">
        <f t="shared" si="397"/>
        <v>0</v>
      </c>
      <c r="G186" s="259">
        <f t="shared" ca="1" si="398"/>
        <v>0</v>
      </c>
      <c r="H186" s="259">
        <f t="shared" ca="1" si="399"/>
        <v>0</v>
      </c>
      <c r="I186" s="259">
        <f t="shared" ca="1" si="400"/>
        <v>0</v>
      </c>
      <c r="K186" s="259" t="str">
        <f ca="1">IFERROR(IF($I$1=1,INDEX($AA$3:$AS$220,MATCH(ROWS($K$3:K186),$AQ$3:$AQ$220,0),1),IF($I$1=2,INDEX($AA$3:$AS$220,MATCH(ROWS($K$3:K186),$AR$3:$AR$220,0),1),IF($I$1=3,INDEX($AA$3:$AS$220,MATCH(ROWS($K$3:K186),$AS$3:$AS$220,0),1),""))),"")</f>
        <v/>
      </c>
      <c r="L186" s="259">
        <f ca="1">IF(AND($L$1="VISUALIZZA TUTTI I CONTI",K186&lt;&gt;""),MAX(L185:L185)+1,IFERROR(IF($J$1=1,IF(INDEX(PIANO_DEI_CONTI,MATCH($K186,DENOMINAZIONE,0),5)=$L$1,MAX($L$2:L185)+1,0),IF($J$1=2,IF(INDEX(PIANO_DEI_CONTI,MATCH($K186,DENOMINAZIONE,0),7)=$L$1,MAX($L$2:L185)+1,0))),0))</f>
        <v>0</v>
      </c>
      <c r="M186" s="259" t="str">
        <f ca="1">IFERROR(INDEX($K$3:$K$220,MATCH(ROWS($M$3:M186),$L$3:$L$220,0),1),"")</f>
        <v/>
      </c>
      <c r="R186" s="259" t="str">
        <f t="shared" ca="1" si="366"/>
        <v/>
      </c>
      <c r="S186" s="259">
        <f ca="1">IF(IFERROR(MATCH(R186,DENOMINAZIONE_GIORNALE,0),0)&gt;0,MAX(S$2:S185)+1,0)</f>
        <v>0</v>
      </c>
      <c r="T186" s="259" t="str">
        <f ca="1">IFERROR(INDEX($R$3:$S$220,MATCH(ROWS($T$3:T186),$S$3:$S$220,0),1),"")</f>
        <v/>
      </c>
      <c r="U186" s="259">
        <f t="shared" ca="1" si="367"/>
        <v>0</v>
      </c>
      <c r="V186" s="259">
        <f ca="1">IF(IF(U186&lt;&gt;0,MAX($V$2:V185)+1,0)=0,0,IF(U186&lt;&gt;0,MAX($V$2:V185)+1,0))</f>
        <v>0</v>
      </c>
      <c r="W186" s="259" t="str">
        <f t="shared" si="401"/>
        <v/>
      </c>
      <c r="X186" s="259" t="str">
        <f t="shared" si="402"/>
        <v/>
      </c>
      <c r="Y186" s="259">
        <f>IF(W186="",0,MAX($Y$2:Y185)+1)</f>
        <v>0</v>
      </c>
      <c r="Z186" s="259" t="str">
        <f>IFERROR(INDEX($W$3:$Y$220,MATCH(ROWS($Z$2:Z185),$Y$3:$Y$220,0),1),"")</f>
        <v/>
      </c>
      <c r="AA186" s="259" t="str">
        <f t="shared" si="403"/>
        <v/>
      </c>
      <c r="AB186" s="259" t="str">
        <f t="shared" si="404"/>
        <v/>
      </c>
      <c r="AC186" s="259" t="str">
        <f t="shared" si="405"/>
        <v/>
      </c>
      <c r="AD186" s="259" t="str">
        <f t="shared" si="406"/>
        <v/>
      </c>
      <c r="AE186" s="259" t="str">
        <f t="shared" si="407"/>
        <v/>
      </c>
      <c r="AF186" s="259" t="str">
        <f t="shared" si="408"/>
        <v/>
      </c>
      <c r="AG186" s="259" t="str">
        <f t="shared" si="409"/>
        <v/>
      </c>
      <c r="AH186" s="259" t="str">
        <f t="shared" si="410"/>
        <v/>
      </c>
      <c r="AI186" s="259" t="str">
        <f t="shared" si="411"/>
        <v/>
      </c>
      <c r="AJ186" s="259" t="str">
        <f t="shared" si="412"/>
        <v/>
      </c>
      <c r="AK186" s="259" t="str">
        <f t="shared" si="413"/>
        <v>38</v>
      </c>
      <c r="AL186" s="259">
        <f>IF(AK186&lt;&gt;"",MAX($AL$2:AL185)+1,0)</f>
        <v>27</v>
      </c>
      <c r="AM186" s="259" t="str">
        <f>IFERROR(INDEX($AK$3:$AL$220,MATCH(ROWS($AM$3:AM186),$AL$3:$AL$220,0),1),"")</f>
        <v/>
      </c>
      <c r="AN186" s="259" t="str">
        <f t="shared" si="414"/>
        <v/>
      </c>
      <c r="AO186" s="259" t="str">
        <f t="shared" si="415"/>
        <v/>
      </c>
      <c r="AP186" s="259" t="str">
        <f t="shared" si="416"/>
        <v/>
      </c>
      <c r="AQ186" s="259">
        <f>IF(OR(AG186=0,AG186=""),0,MAX(AQ$2:AQ185)+1)</f>
        <v>0</v>
      </c>
      <c r="AR186" s="259">
        <f>IF(OR(AH186=0,AH186=""),0,MAX(AR$2:AR185)+1)</f>
        <v>0</v>
      </c>
      <c r="AS186" s="259">
        <f>IF(OR(AI186=0,AI186=""),0,MAX(AS$2:AS185)+1)</f>
        <v>0</v>
      </c>
      <c r="AT186" s="259" t="str">
        <f ca="1">IFERROR(INDEX($AD$3:$AS$220,MATCH(ROWS(AT$3:AT186),AQ$3:AQ$220,0),1),"")</f>
        <v/>
      </c>
      <c r="AU186" s="259" t="str">
        <f ca="1">IFERROR(INDEX($AD$3:$AS$220,MATCH(ROWS(AU$3:AU186),AR$3:AR$220,0),1),"")</f>
        <v/>
      </c>
      <c r="AV186" s="259" t="str">
        <f ca="1">IFERROR(INDEX($AD$3:$AS$220,MATCH(ROWS(AV$3:AV186),AS$3:AS$220,0),1),"")</f>
        <v/>
      </c>
      <c r="AW186" s="259" t="str">
        <f ca="1">IFERROR(INDEX($AP$3:$AS$220,MATCH(ROWS(AW$3:AW186),AQ$3:AQ$220,0),1),"")</f>
        <v/>
      </c>
      <c r="AX186" s="259" t="str">
        <f ca="1">IFERROR(INDEX($AP$3:$AS$220,MATCH(ROWS(AX$3:AX186),AR$3:AR$220,0),1),"")</f>
        <v/>
      </c>
      <c r="AY186" s="259" t="str">
        <f ca="1">IFERROR(INDEX($AP$3:$AS$220,MATCH(ROWS(AY$3:AY186),AS$3:AS$220,0),1),"")</f>
        <v/>
      </c>
      <c r="AZ186" s="259" t="str">
        <f t="shared" si="490"/>
        <v>84 V.I.</v>
      </c>
      <c r="BA186" s="259">
        <f t="shared" ca="1" si="484"/>
        <v>0</v>
      </c>
      <c r="BB186" s="259">
        <f t="shared" ca="1" si="491"/>
        <v>0</v>
      </c>
      <c r="BC186" s="259">
        <f t="shared" ca="1" si="492"/>
        <v>0</v>
      </c>
      <c r="BD186" s="259">
        <f t="shared" ca="1" si="493"/>
        <v>0</v>
      </c>
      <c r="BE186" s="259">
        <f t="shared" ca="1" si="494"/>
        <v>0</v>
      </c>
      <c r="BG186" s="259" t="str">
        <f t="shared" ca="1" si="368"/>
        <v/>
      </c>
      <c r="BH186" s="259">
        <f ca="1">IF(IFERROR(MATCH(BG186,DENOMINAZIONE_GIORNALE,0),0)&gt;0,MAX(BH$2:BH185)+1,0)</f>
        <v>0</v>
      </c>
      <c r="BI186" s="259" t="str">
        <f ca="1">IFERROR(INDEX($BG$3:$BH$220,MATCH(ROWS($BI$3:BI186),$BH$3:$BH$220,0),1),"")</f>
        <v/>
      </c>
      <c r="BJ186" s="259" t="str">
        <f t="shared" ca="1" si="369"/>
        <v/>
      </c>
      <c r="BK186" s="259" t="str">
        <f ca="1">IF(IF(BJ186&lt;&gt;"",MAX($BK$2:BK185)+1,0)=0,"",IF(BJ186&lt;&gt;"",MAX($BK$2:BK185)+1,0))</f>
        <v/>
      </c>
      <c r="BL186" s="259" t="str">
        <f ca="1">IFERROR(INDEX($T$3:$U$220, MATCH(ROWS(BL$3:BL186),$V$3:$V$220,0),1),"")</f>
        <v/>
      </c>
      <c r="BM186" s="259" t="str">
        <f ca="1">IFERROR(INDEX($T$3:$U$220, MATCH(ROWS(BM$3:BM186),$V$3:$V$220,0),2),"")</f>
        <v/>
      </c>
      <c r="BN186" s="259" t="str">
        <f ca="1">IF(IFERROR(INDEX($BI$3:$BJ$220,MATCH(ROWS(BN$3:BN186),$BK$3:$BK$220,0),1),"")="PATRIMONIO NETTO","",IFERROR(INDEX($BI$3:$BJ$220,MATCH(ROWS(BN$3:BN186),$BK$3:$BK$220,0),1),""))</f>
        <v/>
      </c>
      <c r="BO186" s="259" t="str">
        <f ca="1">IFERROR(INDEX($BI$3:$BJ$220,MATCH(ROWS(BO$3:BO186),$BK$3:$BK$220,0),2),"")</f>
        <v/>
      </c>
      <c r="BP186" s="259">
        <f ca="1">IF(BN186&lt;&gt;"",MAX(BP$2:$BP185)+1,0)</f>
        <v>0</v>
      </c>
      <c r="BQ186" s="259" t="str">
        <f ca="1">IFERROR(INDEX($BN$3:$BO$200,MATCH(ROWS(BQ$3:BQ186),$BP$3:$BP$220,0),1),"")</f>
        <v/>
      </c>
      <c r="BR186" s="259" t="str">
        <f ca="1">IFERROR(INDEX($BN$3:$BO$220,MATCH(ROWS(BR$3:BR186),$BP$3:$BP$220,0),2),"")</f>
        <v/>
      </c>
      <c r="BS186" s="259" t="str">
        <f ca="1">IFERROR(IF(OR(INDEX($T$3:$U$220,MATCH(ROWS(BL$3:BL186),$V$3:$V$220,0),1)="PRELEVAMENTI EXTRAGESTIONE",INDEX($T$3:$U$220,MATCH(ROWS(BL$3:BL186),$V$3:$V$220,0),1)="TITOLARE C/RITENUTE SUBITE"),"",INDEX($T$3:$U$220,MATCH(ROWS(BL$3:BL186),$V$3:$V$220,0),1)),"")</f>
        <v/>
      </c>
      <c r="BT186" s="259">
        <f t="shared" ca="1" si="417"/>
        <v>0</v>
      </c>
      <c r="BU186" s="259">
        <f ca="1">IF(BS186&lt;&gt;"",MAX(BU$2:BU185)+1,0)</f>
        <v>0</v>
      </c>
      <c r="BV186" s="259" t="str">
        <f ca="1">IFERROR(INDEX($BS$3:$BT$223,MATCH(ROWS(BV$3:BV186),$BU$3:$BU$223,0),1),"")</f>
        <v/>
      </c>
      <c r="BW186" s="259">
        <f t="shared" ca="1" si="418"/>
        <v>0</v>
      </c>
      <c r="CB186" s="259" t="str">
        <f ca="1">IFERROR(IF(OR($BB$1&lt;&gt;$BD$1,$BC$1&lt;&gt;$BE$1,$DS$231&lt;&gt;$DT$231,$DU$231&lt;&gt;$DV$231,$EO$25&lt;&gt;0,$EO$26&lt;&gt;0),INDEX($BI$3:$BK$220,MATCH(ROWS($CB$3:CB186),$BK$3:$BK$220,0),1),CONCATENATE(BQ186,BX186)),"")</f>
        <v/>
      </c>
      <c r="CC186" s="259" t="str">
        <f t="shared" ca="1" si="419"/>
        <v/>
      </c>
      <c r="CD186" s="259" t="str">
        <f t="shared" ca="1" si="370"/>
        <v/>
      </c>
      <c r="CE186" s="259">
        <f ca="1">IF(IFERROR(MATCH(CD186,DENOMINAZIONE_GIORNALE,0),0)&gt;0,MAX(CE$2:CE185)+1,0)</f>
        <v>0</v>
      </c>
      <c r="CF186" s="259" t="str">
        <f ca="1">IFERROR(INDEX($CD$3:$CE$220,MATCH(ROWS($CF$3:CF186),$CE$3:$CE$220,0),1),"")</f>
        <v/>
      </c>
      <c r="CG186" s="259">
        <f t="shared" ca="1" si="371"/>
        <v>0</v>
      </c>
      <c r="CH186" s="259" t="str">
        <f ca="1">IF(IF(CG186&lt;&gt;0,MAX($CH$2:CH185)+1,0)=0,"",IF(CG186&lt;&gt;"",MAX($CH$2:CH185)+1,0))</f>
        <v/>
      </c>
      <c r="CI186" s="259" t="str">
        <f ca="1">IFERROR(INDEX($CF$3:$CG$220,MATCH(ROWS($CI$3:CI186),$CH$3:$CH$220,0),1),"")</f>
        <v/>
      </c>
      <c r="CJ186" s="259" t="str">
        <f t="shared" ca="1" si="420"/>
        <v/>
      </c>
      <c r="CK186" s="259" t="str">
        <f t="shared" ca="1" si="372"/>
        <v/>
      </c>
      <c r="CL186" s="259">
        <f ca="1">IF(IFERROR(MATCH(CK186,DENOMINAZIONE_GIORNALE,0),0)&gt;0,MAX(CL$2:CL185)+1,0)</f>
        <v>0</v>
      </c>
      <c r="CM186" s="259" t="str">
        <f ca="1">IFERROR(INDEX($CK$3:$CL$220,MATCH(ROWS($CM$3:CM186),$CL$3:$CL$220,0),1),"")</f>
        <v/>
      </c>
      <c r="CN186" s="259" t="str">
        <f t="shared" ca="1" si="373"/>
        <v/>
      </c>
      <c r="CO186" s="259">
        <f ca="1">IF(IF(CN186&lt;&gt;0,MAX($CO$2:CO185)+1,0)=0,"",IF(CN186&lt;&gt;"",MAX($CO$2:CO185)+1,0))</f>
        <v>0</v>
      </c>
      <c r="CP186" s="259" t="str">
        <f ca="1">IFERROR(INDEX($CM$3:$CN$220,MATCH(ROWS(CP$3:CP186),$CO$3:$CO$220,0),1),"")</f>
        <v/>
      </c>
      <c r="CQ186" s="259" t="str">
        <f ca="1">IFERROR(INDEX($CM$3:$CN$220,MATCH(ROWS(CQ$3:CQ186),$CO$3:$CO$220,0),2),"")</f>
        <v/>
      </c>
      <c r="CS186" s="259">
        <f t="shared" ca="1" si="374"/>
        <v>0</v>
      </c>
      <c r="CT186" s="259">
        <f t="shared" ca="1" si="375"/>
        <v>0</v>
      </c>
      <c r="CU186" s="259">
        <f ca="1">IF(OR(CS186&gt;0,CT186&gt;0),MAX($CU$2:CU185)+1,0)</f>
        <v>0</v>
      </c>
      <c r="CV186" s="259" t="str">
        <f ca="1">IFERROR(INDEX(PIANO_DEI_CONTI,MATCH(ROWS($CV$3:CV186),$CU$3:$CU$200,0),2),"")</f>
        <v/>
      </c>
      <c r="CW186" s="259">
        <f ca="1">IFERROR(IF(CV186&lt;&gt;"",MAX($CW$2:CW185)+1,0),0)</f>
        <v>0</v>
      </c>
      <c r="CX186" s="259">
        <f t="shared" ca="1" si="508"/>
        <v>11</v>
      </c>
      <c r="CY186" s="259" t="str">
        <f t="shared" ca="1" si="495"/>
        <v>MASTRO</v>
      </c>
      <c r="CZ186" s="259" t="e">
        <f t="shared" ca="1" si="510"/>
        <v>#N/A</v>
      </c>
      <c r="DA186" s="259" t="str">
        <f t="shared" ref="DA186:DA199" ca="1" si="515">IFERROR(INDEX(LIBRO_GIORNALE,CZ186,1),"")</f>
        <v/>
      </c>
      <c r="DB186" s="259" t="str">
        <f t="shared" ca="1" si="511"/>
        <v/>
      </c>
      <c r="DC186" s="259" t="str">
        <f t="shared" ca="1" si="512"/>
        <v/>
      </c>
      <c r="DD186" s="259" t="str">
        <f t="shared" ca="1" si="513"/>
        <v/>
      </c>
      <c r="DE186" s="259" t="str">
        <f t="shared" ca="1" si="514"/>
        <v/>
      </c>
      <c r="DF186" s="259">
        <f ca="1">IF(AND(CX186=$DE$2,$DF$2&lt;&gt;0),0,IF(AND(DB186&lt;&gt;"",OR(DB185&lt;&gt;"",DB187&lt;&gt;"")),MAX($DF$2:DF185)+1,0))</f>
        <v>0</v>
      </c>
      <c r="DG186" s="259" t="str">
        <f>IF(IF(LIBRO_GIORNALE!E94="","",IFERROR(INDEX(PIANO_DEI_CONTI,MATCH(BB186,DENOMINAZIONE,0),1),0))=0,"",IF(LIBRO_GIORNALE!E94="","",IFERROR(INDEX(PIANO_DEI_CONTI,MATCH(BB186,DENOMINAZIONE,0),1),0)))</f>
        <v/>
      </c>
      <c r="DH186" s="259">
        <f ca="1">IFERROR(IF($J$1=1,IF(INDEX(PIANO_DEI_CONTI,MATCH($K186,DENOMINAZIONE,0),5)=$DF$1,MAX($DH$2:DH185)+1,0),IF($J$1=2,IF(INDEX(PIANO_DEI_CONTI,MATCH($K186,DENOMINAZIONE,0),7)=$DF$1,MAX($DH$2:DH185)+1,0))),0)</f>
        <v>0</v>
      </c>
      <c r="DI186" s="259">
        <f ca="1">IFERROR(INDEX($K$3:$K$220,MATCH(ROWS($DI$3:DI186),$DH$3:$DH$220,0),1),0)</f>
        <v>0</v>
      </c>
      <c r="DJ186" s="259">
        <f t="shared" ca="1" si="381"/>
        <v>0</v>
      </c>
      <c r="DK186" s="259">
        <f ca="1">IF(DJ186=0,0,MAX(DK$2:DK185)+1)</f>
        <v>0</v>
      </c>
      <c r="DL186" s="259">
        <f ca="1">IFERROR(INDEX(PIANO_DEI_CONTI,MATCH(ROWS(DL$3:DL186),$DK$3:DK413,0),2),0)</f>
        <v>0</v>
      </c>
      <c r="DM186" s="259">
        <f t="shared" ca="1" si="382"/>
        <v>0</v>
      </c>
      <c r="DN186" s="259">
        <f t="shared" ca="1" si="383"/>
        <v>0</v>
      </c>
      <c r="DO186" s="259">
        <f t="shared" ca="1" si="422"/>
        <v>0</v>
      </c>
      <c r="DP186" s="259">
        <f t="shared" ca="1" si="423"/>
        <v>0</v>
      </c>
      <c r="DQ186" s="259">
        <f ca="1">IF(OR($DQ$1="TOTALI",$DQ$1="TOTALI ED ECCEDENZE"),IF(OR(DM186&gt;0,DN186&gt;0),MAX(DQ$2:DQ185)+1,0),IF($DQ$1="ECCEDENZE",IF(OR(DO186&gt;0,DP186&gt;0),MAX(DQ$2:DQ185)+1,0),""))</f>
        <v>0</v>
      </c>
      <c r="DR186" s="259" t="str">
        <f ca="1">IFERROR(INDEX($DL$3:$DQ$230,MATCH(ROWS(DR$3:DR186),$DQ$3:$DQ$230,0),1),"")</f>
        <v/>
      </c>
      <c r="DS186" s="259" t="str">
        <f t="shared" ca="1" si="424"/>
        <v/>
      </c>
      <c r="DT186" s="259" t="str">
        <f t="shared" ca="1" si="425"/>
        <v/>
      </c>
      <c r="DU186" s="259" t="str">
        <f t="shared" ca="1" si="426"/>
        <v/>
      </c>
      <c r="DV186" s="259" t="str">
        <f t="shared" ca="1" si="427"/>
        <v/>
      </c>
      <c r="DW186" s="259">
        <f t="shared" ca="1" si="428"/>
        <v>0</v>
      </c>
      <c r="DX186" s="259" t="str">
        <f t="shared" ca="1" si="429"/>
        <v/>
      </c>
      <c r="DY186" s="259" t="str">
        <f t="shared" ca="1" si="430"/>
        <v/>
      </c>
      <c r="DZ186" s="259" t="str">
        <f t="shared" ca="1" si="431"/>
        <v/>
      </c>
      <c r="ED186" s="259">
        <f t="shared" ca="1" si="384"/>
        <v>0</v>
      </c>
      <c r="EH186" s="259" t="str">
        <f t="shared" ca="1" si="432"/>
        <v/>
      </c>
      <c r="EI186" s="260" t="b">
        <f t="shared" ca="1" si="466"/>
        <v>0</v>
      </c>
      <c r="EJ186" s="260" t="b">
        <f t="shared" ca="1" si="467"/>
        <v>0</v>
      </c>
      <c r="EK186" s="260" t="b">
        <f t="shared" ca="1" si="468"/>
        <v>0</v>
      </c>
      <c r="EL186" s="259">
        <f t="shared" si="433"/>
        <v>184</v>
      </c>
      <c r="EM186" s="259">
        <f ca="1">IF(AND(BA186&gt;0,BA186&lt;=$EM$1),MAX($EM$2:EM185)+1,0)</f>
        <v>0</v>
      </c>
      <c r="EN186" s="259">
        <f t="shared" ca="1" si="434"/>
        <v>186</v>
      </c>
      <c r="EP186" s="259" t="str">
        <f t="shared" ca="1" si="385"/>
        <v/>
      </c>
      <c r="EQ186" s="259">
        <f t="shared" ca="1" si="386"/>
        <v>0</v>
      </c>
      <c r="ER186" s="259">
        <f ca="1">IF(ISNA(EQ186),MAX(ER$2:ER185)+1,0)</f>
        <v>0</v>
      </c>
      <c r="ES186" s="259" t="str">
        <f t="shared" ca="1" si="435"/>
        <v/>
      </c>
      <c r="ET186" s="259" t="str">
        <f ca="1">IFERROR(UPPER(INDEX($ER$3:$ES$500,MATCH(ROWS(ET$3:ET186),$ER$3:$ER$500,0),2)),"")</f>
        <v/>
      </c>
      <c r="EW186" s="259">
        <f t="shared" ca="1" si="497"/>
        <v>1</v>
      </c>
      <c r="EX186" s="259">
        <v>84</v>
      </c>
      <c r="EY186" s="259">
        <f t="shared" ca="1" si="498"/>
        <v>0</v>
      </c>
      <c r="EZ186" s="259">
        <f t="shared" ca="1" si="499"/>
        <v>0</v>
      </c>
      <c r="FA186" s="259">
        <f t="shared" ca="1" si="500"/>
        <v>0</v>
      </c>
      <c r="FB186" s="259">
        <f t="shared" ca="1" si="501"/>
        <v>0</v>
      </c>
      <c r="FC186" s="259">
        <f t="shared" ca="1" si="502"/>
        <v>0</v>
      </c>
      <c r="FD186" s="259">
        <f t="shared" ca="1" si="387"/>
        <v>0</v>
      </c>
      <c r="FE186" s="259" t="str">
        <f t="shared" ca="1" si="388"/>
        <v/>
      </c>
      <c r="FF186" s="259" t="str">
        <f t="shared" ca="1" si="503"/>
        <v/>
      </c>
      <c r="FM186" s="259">
        <f t="shared" si="389"/>
        <v>0</v>
      </c>
      <c r="FN186" s="259">
        <f>IF(FM186&lt;0,MAX($FN$2:FN185)+1,0)</f>
        <v>0</v>
      </c>
      <c r="FO186" s="259" t="str">
        <f t="shared" si="436"/>
        <v/>
      </c>
      <c r="FP186" s="259" t="str">
        <f ca="1">IFERROR(INDEX($FN$3:$FO$400,MATCH(ROWS($FP$3:FP186),$FN$3:$FN$400,0),2),"")</f>
        <v/>
      </c>
      <c r="FQ186" s="259" t="str">
        <f>IF(AE186="SE AVERE",MAX($FQ$2:FQ185)+1,"")</f>
        <v/>
      </c>
      <c r="FR186" s="259" t="str">
        <f>IF(AE186="SE DARE",MAX($FR$2:FR185)+1,"")</f>
        <v/>
      </c>
      <c r="FS186" s="259" t="str">
        <f ca="1">IF(AND(AE186="SP DARE",AA186&lt;&gt;$FS$1,AA186&lt;&gt;$FT$1),MAX($FS$2:FS185)+1,IF(AND(GQ186="SP DARE",AA186&lt;&gt;$FS$1,AA186&lt;&gt;$FT$1),MAX($FS$2:FS185)+1,""))</f>
        <v/>
      </c>
      <c r="FT186" s="259" t="str">
        <f ca="1">IF(AND(AE186="SP AVERE",AA186&lt;&gt;$FU$1),MAX($FT$2:FT185)+1,IF(AND(GQ186="SP AVERE",AA186&lt;&gt;$FU$1),MAX($FT$2:FT185)+1,""))</f>
        <v/>
      </c>
      <c r="FU186" s="259">
        <f t="shared" ca="1" si="437"/>
        <v>0</v>
      </c>
      <c r="FV186" s="259" t="str">
        <f t="shared" si="438"/>
        <v/>
      </c>
      <c r="FW186" s="259">
        <f ca="1">IFERROR(INDEX($FU$3:$FV$500,MATCH(ROWS($FW$3:FW186),$FU$3:$FU$500,0),2),0)</f>
        <v>0</v>
      </c>
      <c r="FX186" s="259">
        <f t="shared" ca="1" si="439"/>
        <v>0</v>
      </c>
      <c r="FY186" s="259">
        <f t="shared" ca="1" si="440"/>
        <v>0</v>
      </c>
      <c r="FZ186" s="259">
        <f ca="1">IF(FY186&gt;0,MAX($FZ$2:FZ185)+1,0)</f>
        <v>0</v>
      </c>
      <c r="GA186" s="259">
        <f ca="1">IFERROR(INDEX($FY$3:$FZ$500,MATCH(ROWS($GA$3:GA186),$FZ$3:$FZ$500,0),1),0)</f>
        <v>0</v>
      </c>
      <c r="GC186" s="259">
        <f t="shared" ca="1" si="441"/>
        <v>0</v>
      </c>
      <c r="GD186" s="259">
        <f t="shared" ca="1" si="442"/>
        <v>0</v>
      </c>
      <c r="GG186" s="259">
        <f t="shared" ca="1" si="443"/>
        <v>0</v>
      </c>
      <c r="GH186" s="259">
        <f t="shared" ca="1" si="444"/>
        <v>0</v>
      </c>
      <c r="GI186" s="259">
        <f t="shared" ca="1" si="445"/>
        <v>0</v>
      </c>
      <c r="GJ186" s="259">
        <f t="shared" ca="1" si="446"/>
        <v>0</v>
      </c>
      <c r="GK186" s="259">
        <f t="shared" ca="1" si="447"/>
        <v>0</v>
      </c>
      <c r="GL186" s="259">
        <f t="shared" ca="1" si="447"/>
        <v>0</v>
      </c>
      <c r="GM186" s="259">
        <f ca="1">IF(OR(GK186&gt;0,GL186&gt;0),MAX($GM$2:GM185)+1,0)</f>
        <v>0</v>
      </c>
      <c r="GN186" s="259" t="str">
        <f ca="1">IFERROR(INDEX($GD$3:$GM$400,MATCH(ROWS($GN$3:GN186),$GM$3:$GM$400,0),1),"")</f>
        <v/>
      </c>
      <c r="GO186" s="259" t="str">
        <f ca="1">IFERROR(INDEX($GD$3:$GM$400,MATCH(ROWS($GO$3:GO186),$GM$3:$GM$400,0),8),"")</f>
        <v/>
      </c>
      <c r="GP186" s="259" t="str">
        <f ca="1">IFERROR(INDEX($GD$3:$GM$400,MATCH(ROWS($GP$3:GP186),$GM$3:$GM$400,0),9),"")</f>
        <v/>
      </c>
      <c r="GQ186" s="259">
        <f t="shared" ca="1" si="390"/>
        <v>0</v>
      </c>
      <c r="GR186" s="259">
        <f t="shared" ca="1" si="448"/>
        <v>0</v>
      </c>
      <c r="GS186" s="259" t="str">
        <f t="shared" ca="1" si="449"/>
        <v/>
      </c>
      <c r="GT186" s="259" t="str">
        <f ca="1">IFERROR(INDEX($GD$3:$GS$400,MATCH(ROWS($GT$3:GT186),$GM$3:$GM$400,0),16),"")</f>
        <v/>
      </c>
      <c r="GU186" s="259">
        <f ca="1">IF(GQ186&lt;&gt;0,MAX($GU$2:$GU185)+1,0)</f>
        <v>0</v>
      </c>
      <c r="GV186" s="259">
        <f t="shared" ca="1" si="450"/>
        <v>0</v>
      </c>
      <c r="GW186" s="259" t="str">
        <f ca="1">IF(AND(IFERROR(INDEX($GU$3:$GV$400,MATCH(ROWS($GW$3:GW186),$GU$3:$GU$400,0),2),"")&lt;&gt;"",GW187&lt;&gt;""),CONCATENATE(IFERROR(INDEX($GU$3:$GV$400,MATCH(ROWS($GW$3:GW186),$GU$3:$GU$400,0),2),"")," - "),IFERROR(INDEX($GU$3:$GV$400,MATCH(ROWS($GW$3:GW186),$GU$3:$GU$400,0),2),""))</f>
        <v/>
      </c>
      <c r="GX186" s="259">
        <f ca="1">IF(OR(GN186="IVA NS/CREDITO",GN186="IVA NS/DEBITO",GN186="IVA C/ACCONTO",GN186="IMPOSTE C/ACCONTO"),MAX($GX$2:GX185)+1,0)</f>
        <v>0</v>
      </c>
      <c r="GY186" s="259" t="str">
        <f ca="1">IF(AND(IFERROR(INDEX($GN$3:$GX$200,MATCH(ROWS($GY$3:GY186),$GX$3:$GX$200,0),1),"")&lt;&gt;"",GY187&lt;&gt;""),CONCATENATE(IFERROR(INDEX($GN$3:$GX$200,MATCH(ROWS($GY$3:GY186),$GX$3:$GX$200,0),1),"")," - "),IFERROR(INDEX($GN$3:$GX$200,MATCH(ROWS($GY$3:GY186),$GX$3:$GX$200,0),1),""))</f>
        <v/>
      </c>
      <c r="GZ186" s="259" t="s">
        <v>186</v>
      </c>
      <c r="HA186" s="270" t="s">
        <v>674</v>
      </c>
      <c r="HV186" s="259" t="str">
        <f ca="1">CONCATENATE(IFERROR(INDEX($HS$3:$HT$102,MATCH(ROWS($HV$3:HV186),$HT$3:$HT$102,0),1),""),HR186)</f>
        <v/>
      </c>
      <c r="IC186" s="259">
        <f ca="1">IFERROR(INDEX(PIANO_DEI_CONTI,MATCH(ROWS(DL$3:DL186),$DK$3:DK413,0),2),0)</f>
        <v>0</v>
      </c>
      <c r="ID186" s="259">
        <f t="shared" ca="1" si="451"/>
        <v>0</v>
      </c>
      <c r="IE186" s="259">
        <f t="shared" ca="1" si="452"/>
        <v>0</v>
      </c>
      <c r="IF186" s="259">
        <f t="shared" ca="1" si="453"/>
        <v>0</v>
      </c>
      <c r="IG186" s="259">
        <f t="shared" ca="1" si="479"/>
        <v>0</v>
      </c>
      <c r="IH186" s="259">
        <f ca="1">IF(IG186&lt;&gt;0,MAX($IH$35:IH185)+1,0)</f>
        <v>0</v>
      </c>
      <c r="II186" s="259">
        <f>IF(AD186="costi pluriennali",MAX($II$2:II185)+1,0)</f>
        <v>0</v>
      </c>
      <c r="IJ186" s="259">
        <f>IF($AD186="rettifiche costi pluriennali",MAX($IJ$2:IJ185)+1,0)</f>
        <v>0</v>
      </c>
      <c r="IK186" s="259">
        <f t="shared" si="454"/>
        <v>0</v>
      </c>
      <c r="IL186" s="259" t="str">
        <f t="shared" si="455"/>
        <v/>
      </c>
      <c r="IM186" s="259">
        <f t="shared" ca="1" si="456"/>
        <v>0</v>
      </c>
      <c r="IN186" s="259">
        <f t="shared" ca="1" si="470"/>
        <v>0</v>
      </c>
      <c r="IO186" s="259">
        <f>SUMIFS($IM$3:$IM$200,$IK$3:$IK$200,ROWS($IO$3:IO186))-SUMIFS($IN$3:$IN$200,$IK$3:$IK$200,ROWS($IO$3:IO186))</f>
        <v>0</v>
      </c>
      <c r="IP186" s="259" t="str">
        <f>IF(IO186&lt;0,INDEX($IJ$3:$IL$200,MATCH(ROWS($IP$3:IP186),$IJ$3:$IJ$200,0),3),"")</f>
        <v/>
      </c>
      <c r="IQ186" s="259">
        <f>IF(IP186&lt;&gt;"",MAX($IQ$2:IQ185)+1,0)</f>
        <v>0</v>
      </c>
      <c r="IR186" s="259" t="str">
        <f ca="1">IFERROR(INDEX($IP$3:$IQ$200,MATCH(ROWS($IR$3:IR186),$IQ$3:$IQ$200,0),1),"")</f>
        <v/>
      </c>
      <c r="IS186" s="259" t="str">
        <f t="shared" ca="1" si="457"/>
        <v/>
      </c>
      <c r="IT186" s="259" t="str">
        <f t="shared" ca="1" si="458"/>
        <v/>
      </c>
      <c r="IU186" s="259" t="str">
        <f t="shared" ca="1" si="459"/>
        <v/>
      </c>
      <c r="IV186" s="259" t="str">
        <f t="shared" ca="1" si="460"/>
        <v/>
      </c>
      <c r="IW186" s="259" t="str">
        <f t="shared" ca="1" si="461"/>
        <v/>
      </c>
      <c r="IX186" s="259" t="str">
        <f t="shared" ca="1" si="462"/>
        <v/>
      </c>
      <c r="IY186" s="259" t="str">
        <f t="shared" ca="1" si="463"/>
        <v/>
      </c>
      <c r="IZ186" s="259" t="str">
        <f t="shared" ca="1" si="464"/>
        <v/>
      </c>
      <c r="JA186" s="259" t="str">
        <f t="shared" ca="1" si="465"/>
        <v/>
      </c>
      <c r="JB186" s="259">
        <f t="shared" ca="1" si="391"/>
        <v>0</v>
      </c>
      <c r="JC186" s="259">
        <f t="shared" ca="1" si="504"/>
        <v>0</v>
      </c>
      <c r="JD186" s="259">
        <f t="shared" ca="1" si="505"/>
        <v>0</v>
      </c>
      <c r="JM186" s="259">
        <f t="shared" ca="1" si="506"/>
        <v>0</v>
      </c>
    </row>
    <row r="187" spans="1:273">
      <c r="A187" s="259" t="str">
        <f t="shared" si="392"/>
        <v>38.01</v>
      </c>
      <c r="B187" s="259" t="str">
        <f t="shared" si="393"/>
        <v>ACCANTONAMENTO PER RESPONSABILITÀ CIVILE</v>
      </c>
      <c r="C187" s="259" t="str">
        <f t="shared" si="394"/>
        <v>E</v>
      </c>
      <c r="D187" s="259" t="str">
        <f t="shared" si="395"/>
        <v>D</v>
      </c>
      <c r="E187" s="259" t="str">
        <f t="shared" si="396"/>
        <v>COSTI D'ESERCIZIO</v>
      </c>
      <c r="F187" s="259" t="str">
        <f t="shared" si="397"/>
        <v>SE DARE</v>
      </c>
      <c r="G187" s="259">
        <f t="shared" ca="1" si="398"/>
        <v>0</v>
      </c>
      <c r="H187" s="259">
        <f t="shared" ca="1" si="399"/>
        <v>0</v>
      </c>
      <c r="I187" s="259">
        <f t="shared" ca="1" si="400"/>
        <v>1</v>
      </c>
      <c r="K187" s="259" t="str">
        <f ca="1">IFERROR(IF($I$1=1,INDEX($AA$3:$AS$220,MATCH(ROWS($K$3:K187),$AQ$3:$AQ$220,0),1),IF($I$1=2,INDEX($AA$3:$AS$220,MATCH(ROWS($K$3:K187),$AR$3:$AR$220,0),1),IF($I$1=3,INDEX($AA$3:$AS$220,MATCH(ROWS($K$3:K187),$AS$3:$AS$220,0),1),""))),"")</f>
        <v/>
      </c>
      <c r="L187" s="259">
        <f ca="1">IF(AND($L$1="VISUALIZZA TUTTI I CONTI",K187&lt;&gt;""),MAX(L186:L186)+1,IFERROR(IF($J$1=1,IF(INDEX(PIANO_DEI_CONTI,MATCH($K187,DENOMINAZIONE,0),5)=$L$1,MAX($L$2:L186)+1,0),IF($J$1=2,IF(INDEX(PIANO_DEI_CONTI,MATCH($K187,DENOMINAZIONE,0),7)=$L$1,MAX($L$2:L186)+1,0))),0))</f>
        <v>0</v>
      </c>
      <c r="M187" s="259" t="str">
        <f ca="1">IFERROR(INDEX($K$3:$K$220,MATCH(ROWS($M$3:M187),$L$3:$L$220,0),1),"")</f>
        <v/>
      </c>
      <c r="R187" s="259" t="str">
        <f t="shared" ca="1" si="366"/>
        <v/>
      </c>
      <c r="S187" s="259">
        <f ca="1">IF(IFERROR(MATCH(R187,DENOMINAZIONE_GIORNALE,0),0)&gt;0,MAX(S$2:S186)+1,0)</f>
        <v>0</v>
      </c>
      <c r="T187" s="259" t="str">
        <f ca="1">IFERROR(INDEX($R$3:$S$220,MATCH(ROWS($T$3:T187),$S$3:$S$220,0),1),"")</f>
        <v/>
      </c>
      <c r="U187" s="259">
        <f t="shared" ca="1" si="367"/>
        <v>0</v>
      </c>
      <c r="V187" s="259">
        <f ca="1">IF(IF(U187&lt;&gt;0,MAX($V$2:V186)+1,0)=0,0,IF(U187&lt;&gt;0,MAX($V$2:V186)+1,0))</f>
        <v>0</v>
      </c>
      <c r="W187" s="259" t="str">
        <f t="shared" si="401"/>
        <v>38.01</v>
      </c>
      <c r="X187" s="259" t="str">
        <f t="shared" si="402"/>
        <v>ACCANTONAMENTO PER RESPONSABILITÀ CIVILE</v>
      </c>
      <c r="Y187" s="259">
        <f>IF(W187="",0,MAX($Y$2:Y186)+1)</f>
        <v>158</v>
      </c>
      <c r="Z187" s="259" t="str">
        <f>IFERROR(INDEX($W$3:$Y$220,MATCH(ROWS($Z$2:Z186),$Y$3:$Y$220,0),1),"")</f>
        <v/>
      </c>
      <c r="AA187" s="259" t="str">
        <f t="shared" si="403"/>
        <v/>
      </c>
      <c r="AB187" s="259" t="str">
        <f t="shared" si="404"/>
        <v/>
      </c>
      <c r="AC187" s="259" t="str">
        <f t="shared" si="405"/>
        <v/>
      </c>
      <c r="AD187" s="259" t="str">
        <f t="shared" si="406"/>
        <v/>
      </c>
      <c r="AE187" s="259" t="str">
        <f t="shared" si="407"/>
        <v/>
      </c>
      <c r="AF187" s="259" t="str">
        <f t="shared" si="408"/>
        <v/>
      </c>
      <c r="AG187" s="259" t="str">
        <f t="shared" si="409"/>
        <v/>
      </c>
      <c r="AH187" s="259" t="str">
        <f t="shared" si="410"/>
        <v/>
      </c>
      <c r="AI187" s="259" t="str">
        <f t="shared" si="411"/>
        <v/>
      </c>
      <c r="AJ187" s="259" t="str">
        <f t="shared" si="412"/>
        <v/>
      </c>
      <c r="AK187" s="259" t="str">
        <f t="shared" si="413"/>
        <v/>
      </c>
      <c r="AL187" s="259">
        <f>IF(AK187&lt;&gt;"",MAX($AL$2:AL186)+1,0)</f>
        <v>0</v>
      </c>
      <c r="AM187" s="259" t="str">
        <f>IFERROR(INDEX($AK$3:$AL$220,MATCH(ROWS($AM$3:AM187),$AL$3:$AL$220,0),1),"")</f>
        <v/>
      </c>
      <c r="AN187" s="259" t="str">
        <f t="shared" si="414"/>
        <v/>
      </c>
      <c r="AO187" s="259" t="str">
        <f t="shared" si="415"/>
        <v/>
      </c>
      <c r="AP187" s="259" t="str">
        <f t="shared" si="416"/>
        <v/>
      </c>
      <c r="AQ187" s="259">
        <f>IF(OR(AG187=0,AG187=""),0,MAX(AQ$2:AQ186)+1)</f>
        <v>0</v>
      </c>
      <c r="AR187" s="259">
        <f>IF(OR(AH187=0,AH187=""),0,MAX(AR$2:AR186)+1)</f>
        <v>0</v>
      </c>
      <c r="AS187" s="259">
        <f>IF(OR(AI187=0,AI187=""),0,MAX(AS$2:AS186)+1)</f>
        <v>0</v>
      </c>
      <c r="AT187" s="259" t="str">
        <f ca="1">IFERROR(INDEX($AD$3:$AS$220,MATCH(ROWS(AT$3:AT187),AQ$3:AQ$220,0),1),"")</f>
        <v/>
      </c>
      <c r="AU187" s="259" t="str">
        <f ca="1">IFERROR(INDEX($AD$3:$AS$220,MATCH(ROWS(AU$3:AU187),AR$3:AR$220,0),1),"")</f>
        <v/>
      </c>
      <c r="AV187" s="259" t="str">
        <f ca="1">IFERROR(INDEX($AD$3:$AS$220,MATCH(ROWS(AV$3:AV187),AS$3:AS$220,0),1),"")</f>
        <v/>
      </c>
      <c r="AW187" s="259" t="str">
        <f ca="1">IFERROR(INDEX($AP$3:$AS$220,MATCH(ROWS(AW$3:AW187),AQ$3:AQ$220,0),1),"")</f>
        <v/>
      </c>
      <c r="AX187" s="259" t="str">
        <f ca="1">IFERROR(INDEX($AP$3:$AS$220,MATCH(ROWS(AX$3:AX187),AR$3:AR$220,0),1),"")</f>
        <v/>
      </c>
      <c r="AY187" s="259" t="str">
        <f ca="1">IFERROR(INDEX($AP$3:$AS$220,MATCH(ROWS(AY$3:AY187),AS$3:AS$220,0),1),"")</f>
        <v/>
      </c>
      <c r="AZ187" s="259" t="str">
        <f t="shared" si="490"/>
        <v>85 V.I.</v>
      </c>
      <c r="BA187" s="259">
        <f t="shared" ca="1" si="484"/>
        <v>0</v>
      </c>
      <c r="BB187" s="259">
        <f t="shared" ca="1" si="491"/>
        <v>0</v>
      </c>
      <c r="BC187" s="259">
        <f t="shared" ca="1" si="492"/>
        <v>0</v>
      </c>
      <c r="BD187" s="259">
        <f t="shared" ca="1" si="493"/>
        <v>0</v>
      </c>
      <c r="BE187" s="259">
        <f t="shared" ca="1" si="494"/>
        <v>0</v>
      </c>
      <c r="BG187" s="259" t="str">
        <f t="shared" ca="1" si="368"/>
        <v/>
      </c>
      <c r="BH187" s="259">
        <f ca="1">IF(IFERROR(MATCH(BG187,DENOMINAZIONE_GIORNALE,0),0)&gt;0,MAX(BH$2:BH186)+1,0)</f>
        <v>0</v>
      </c>
      <c r="BI187" s="259" t="str">
        <f ca="1">IFERROR(INDEX($BG$3:$BH$220,MATCH(ROWS($BI$3:BI187),$BH$3:$BH$220,0),1),"")</f>
        <v/>
      </c>
      <c r="BJ187" s="259" t="str">
        <f t="shared" ca="1" si="369"/>
        <v/>
      </c>
      <c r="BK187" s="259" t="str">
        <f ca="1">IF(IF(BJ187&lt;&gt;"",MAX($BK$2:BK186)+1,0)=0,"",IF(BJ187&lt;&gt;"",MAX($BK$2:BK186)+1,0))</f>
        <v/>
      </c>
      <c r="BL187" s="259" t="str">
        <f ca="1">IFERROR(INDEX($T$3:$U$220, MATCH(ROWS(BL$3:BL187),$V$3:$V$220,0),1),"")</f>
        <v/>
      </c>
      <c r="BM187" s="259" t="str">
        <f ca="1">IFERROR(INDEX($T$3:$U$220, MATCH(ROWS(BM$3:BM187),$V$3:$V$220,0),2),"")</f>
        <v/>
      </c>
      <c r="BN187" s="259" t="str">
        <f ca="1">IF(IFERROR(INDEX($BI$3:$BJ$220,MATCH(ROWS(BN$3:BN187),$BK$3:$BK$220,0),1),"")="PATRIMONIO NETTO","",IFERROR(INDEX($BI$3:$BJ$220,MATCH(ROWS(BN$3:BN187),$BK$3:$BK$220,0),1),""))</f>
        <v/>
      </c>
      <c r="BO187" s="259" t="str">
        <f ca="1">IFERROR(INDEX($BI$3:$BJ$220,MATCH(ROWS(BO$3:BO187),$BK$3:$BK$220,0),2),"")</f>
        <v/>
      </c>
      <c r="BP187" s="259">
        <f ca="1">IF(BN187&lt;&gt;"",MAX(BP$2:$BP186)+1,0)</f>
        <v>0</v>
      </c>
      <c r="BQ187" s="259" t="str">
        <f ca="1">IFERROR(INDEX($BN$3:$BO$200,MATCH(ROWS(BQ$3:BQ187),$BP$3:$BP$220,0),1),"")</f>
        <v/>
      </c>
      <c r="BR187" s="259" t="str">
        <f ca="1">IFERROR(INDEX($BN$3:$BO$220,MATCH(ROWS(BR$3:BR187),$BP$3:$BP$220,0),2),"")</f>
        <v/>
      </c>
      <c r="BS187" s="259" t="str">
        <f ca="1">IFERROR(IF(OR(INDEX($T$3:$U$220,MATCH(ROWS(BL$3:BL187),$V$3:$V$220,0),1)="PRELEVAMENTI EXTRAGESTIONE",INDEX($T$3:$U$220,MATCH(ROWS(BL$3:BL187),$V$3:$V$220,0),1)="TITOLARE C/RITENUTE SUBITE"),"",INDEX($T$3:$U$220,MATCH(ROWS(BL$3:BL187),$V$3:$V$220,0),1)),"")</f>
        <v/>
      </c>
      <c r="BT187" s="259">
        <f t="shared" ca="1" si="417"/>
        <v>0</v>
      </c>
      <c r="BU187" s="259">
        <f ca="1">IF(BS187&lt;&gt;"",MAX(BU$2:BU186)+1,0)</f>
        <v>0</v>
      </c>
      <c r="BV187" s="259" t="str">
        <f ca="1">IFERROR(INDEX($BS$3:$BT$223,MATCH(ROWS(BV$3:BV187),$BU$3:$BU$223,0),1),"")</f>
        <v/>
      </c>
      <c r="BW187" s="259">
        <f t="shared" ca="1" si="418"/>
        <v>0</v>
      </c>
      <c r="CB187" s="259" t="str">
        <f ca="1">IFERROR(IF(OR($BB$1&lt;&gt;$BD$1,$BC$1&lt;&gt;$BE$1,$DS$231&lt;&gt;$DT$231,$DU$231&lt;&gt;$DV$231,$EO$25&lt;&gt;0,$EO$26&lt;&gt;0),INDEX($BI$3:$BK$220,MATCH(ROWS($CB$3:CB187),$BK$3:$BK$220,0),1),CONCATENATE(BQ187,BX187)),"")</f>
        <v/>
      </c>
      <c r="CC187" s="259" t="str">
        <f t="shared" ca="1" si="419"/>
        <v/>
      </c>
      <c r="CD187" s="259" t="str">
        <f t="shared" ca="1" si="370"/>
        <v/>
      </c>
      <c r="CE187" s="259">
        <f ca="1">IF(IFERROR(MATCH(CD187,DENOMINAZIONE_GIORNALE,0),0)&gt;0,MAX(CE$2:CE186)+1,0)</f>
        <v>0</v>
      </c>
      <c r="CF187" s="259" t="str">
        <f ca="1">IFERROR(INDEX($CD$3:$CE$220,MATCH(ROWS($CF$3:CF187),$CE$3:$CE$220,0),1),"")</f>
        <v/>
      </c>
      <c r="CG187" s="259">
        <f t="shared" ca="1" si="371"/>
        <v>0</v>
      </c>
      <c r="CH187" s="259" t="str">
        <f ca="1">IF(IF(CG187&lt;&gt;0,MAX($CH$2:CH186)+1,0)=0,"",IF(CG187&lt;&gt;"",MAX($CH$2:CH186)+1,0))</f>
        <v/>
      </c>
      <c r="CI187" s="259" t="str">
        <f ca="1">IFERROR(INDEX($CF$3:$CG$220,MATCH(ROWS($CI$3:CI187),$CH$3:$CH$220,0),1),"")</f>
        <v/>
      </c>
      <c r="CJ187" s="259" t="str">
        <f t="shared" ca="1" si="420"/>
        <v/>
      </c>
      <c r="CK187" s="259" t="str">
        <f t="shared" ca="1" si="372"/>
        <v/>
      </c>
      <c r="CL187" s="259">
        <f ca="1">IF(IFERROR(MATCH(CK187,DENOMINAZIONE_GIORNALE,0),0)&gt;0,MAX(CL$2:CL186)+1,0)</f>
        <v>0</v>
      </c>
      <c r="CM187" s="259" t="str">
        <f ca="1">IFERROR(INDEX($CK$3:$CL$220,MATCH(ROWS($CM$3:CM187),$CL$3:$CL$220,0),1),"")</f>
        <v/>
      </c>
      <c r="CN187" s="259" t="str">
        <f t="shared" ca="1" si="373"/>
        <v/>
      </c>
      <c r="CO187" s="259">
        <f ca="1">IF(IF(CN187&lt;&gt;0,MAX($CO$2:CO186)+1,0)=0,"",IF(CN187&lt;&gt;"",MAX($CO$2:CO186)+1,0))</f>
        <v>0</v>
      </c>
      <c r="CP187" s="259" t="str">
        <f ca="1">IFERROR(INDEX($CM$3:$CN$220,MATCH(ROWS(CP$3:CP187),$CO$3:$CO$220,0),1),"")</f>
        <v/>
      </c>
      <c r="CQ187" s="259" t="str">
        <f ca="1">IFERROR(INDEX($CM$3:$CN$220,MATCH(ROWS(CQ$3:CQ187),$CO$3:$CO$220,0),2),"")</f>
        <v/>
      </c>
      <c r="CS187" s="259">
        <f t="shared" ca="1" si="374"/>
        <v>0</v>
      </c>
      <c r="CT187" s="259">
        <f t="shared" ca="1" si="375"/>
        <v>0</v>
      </c>
      <c r="CU187" s="259">
        <f ca="1">IF(OR(CS187&gt;0,CT187&gt;0),MAX($CU$2:CU186)+1,0)</f>
        <v>0</v>
      </c>
      <c r="CV187" s="259" t="str">
        <f ca="1">IFERROR(INDEX(PIANO_DEI_CONTI,MATCH(ROWS($CV$3:CV187),$CU$3:$CU$200,0),2),"")</f>
        <v/>
      </c>
      <c r="CW187" s="259">
        <f ca="1">IFERROR(IF(CV187&lt;&gt;"",MAX($CW$2:CW186)+1,0),0)</f>
        <v>0</v>
      </c>
      <c r="CX187" s="259">
        <f t="shared" ca="1" si="508"/>
        <v>11</v>
      </c>
      <c r="CY187" s="259" t="str">
        <f t="shared" ca="1" si="495"/>
        <v>MASTRO</v>
      </c>
      <c r="CZ187" s="259" t="e">
        <f t="shared" ca="1" si="510"/>
        <v>#N/A</v>
      </c>
      <c r="DA187" s="259" t="str">
        <f t="shared" ca="1" si="515"/>
        <v/>
      </c>
      <c r="DB187" s="259" t="str">
        <f t="shared" ca="1" si="511"/>
        <v/>
      </c>
      <c r="DC187" s="259" t="str">
        <f t="shared" ca="1" si="512"/>
        <v/>
      </c>
      <c r="DD187" s="259" t="str">
        <f t="shared" ca="1" si="513"/>
        <v/>
      </c>
      <c r="DE187" s="259" t="str">
        <f t="shared" ca="1" si="514"/>
        <v/>
      </c>
      <c r="DF187" s="259">
        <f ca="1">IF(AND(CX187=$DE$2,$DF$2&lt;&gt;0),0,IF(AND(DB187&lt;&gt;"",OR(DB186&lt;&gt;"",DB188&lt;&gt;"")),MAX($DF$2:DF186)+1,0))</f>
        <v>0</v>
      </c>
      <c r="DG187" s="259" t="str">
        <f>IF(IF(LIBRO_GIORNALE!E95="","",IFERROR(INDEX(PIANO_DEI_CONTI,MATCH(BB187,DENOMINAZIONE,0),1),0))=0,"",IF(LIBRO_GIORNALE!E95="","",IFERROR(INDEX(PIANO_DEI_CONTI,MATCH(BB187,DENOMINAZIONE,0),1),0)))</f>
        <v/>
      </c>
      <c r="DH187" s="259">
        <f ca="1">IFERROR(IF($J$1=1,IF(INDEX(PIANO_DEI_CONTI,MATCH($K187,DENOMINAZIONE,0),5)=$DF$1,MAX($DH$2:DH186)+1,0),IF($J$1=2,IF(INDEX(PIANO_DEI_CONTI,MATCH($K187,DENOMINAZIONE,0),7)=$DF$1,MAX($DH$2:DH186)+1,0))),0)</f>
        <v>0</v>
      </c>
      <c r="DI187" s="259">
        <f ca="1">IFERROR(INDEX($K$3:$K$220,MATCH(ROWS($DI$3:DI187),$DH$3:$DH$220,0),1),0)</f>
        <v>0</v>
      </c>
      <c r="DJ187" s="259">
        <f t="shared" ca="1" si="381"/>
        <v>0</v>
      </c>
      <c r="DK187" s="259">
        <f ca="1">IF(DJ187=0,0,MAX(DK$2:DK186)+1)</f>
        <v>0</v>
      </c>
      <c r="DL187" s="259">
        <f ca="1">IFERROR(INDEX(PIANO_DEI_CONTI,MATCH(ROWS(DL$3:DL187),$DK$3:DK414,0),2),0)</f>
        <v>0</v>
      </c>
      <c r="DM187" s="259">
        <f t="shared" ca="1" si="382"/>
        <v>0</v>
      </c>
      <c r="DN187" s="259">
        <f t="shared" ca="1" si="383"/>
        <v>0</v>
      </c>
      <c r="DO187" s="259">
        <f t="shared" ca="1" si="422"/>
        <v>0</v>
      </c>
      <c r="DP187" s="259">
        <f t="shared" ca="1" si="423"/>
        <v>0</v>
      </c>
      <c r="DQ187" s="259">
        <f ca="1">IF(OR($DQ$1="TOTALI",$DQ$1="TOTALI ED ECCEDENZE"),IF(OR(DM187&gt;0,DN187&gt;0),MAX(DQ$2:DQ186)+1,0),IF($DQ$1="ECCEDENZE",IF(OR(DO187&gt;0,DP187&gt;0),MAX(DQ$2:DQ186)+1,0),""))</f>
        <v>0</v>
      </c>
      <c r="DR187" s="259" t="str">
        <f ca="1">IFERROR(INDEX($DL$3:$DQ$230,MATCH(ROWS(DR$3:DR187),$DQ$3:$DQ$230,0),1),"")</f>
        <v/>
      </c>
      <c r="DS187" s="259" t="str">
        <f t="shared" ca="1" si="424"/>
        <v/>
      </c>
      <c r="DT187" s="259" t="str">
        <f t="shared" ca="1" si="425"/>
        <v/>
      </c>
      <c r="DU187" s="259" t="str">
        <f t="shared" ca="1" si="426"/>
        <v/>
      </c>
      <c r="DV187" s="259" t="str">
        <f t="shared" ca="1" si="427"/>
        <v/>
      </c>
      <c r="DW187" s="259">
        <f t="shared" ca="1" si="428"/>
        <v>0</v>
      </c>
      <c r="DX187" s="259" t="str">
        <f t="shared" ca="1" si="429"/>
        <v/>
      </c>
      <c r="DY187" s="259" t="str">
        <f t="shared" ca="1" si="430"/>
        <v/>
      </c>
      <c r="DZ187" s="259" t="str">
        <f t="shared" ca="1" si="431"/>
        <v/>
      </c>
      <c r="ED187" s="259">
        <f t="shared" ca="1" si="384"/>
        <v>0</v>
      </c>
      <c r="EH187" s="259" t="str">
        <f t="shared" ca="1" si="432"/>
        <v/>
      </c>
      <c r="EI187" s="260" t="b">
        <f t="shared" ca="1" si="466"/>
        <v>0</v>
      </c>
      <c r="EJ187" s="260" t="b">
        <f t="shared" ca="1" si="467"/>
        <v>0</v>
      </c>
      <c r="EK187" s="260" t="b">
        <f t="shared" ca="1" si="468"/>
        <v>1</v>
      </c>
      <c r="EL187" s="259">
        <f t="shared" si="433"/>
        <v>185</v>
      </c>
      <c r="EM187" s="259">
        <f ca="1">IF(AND(BA187&gt;0,BA187&lt;=$EM$1),MAX($EM$2:EM186)+1,0)</f>
        <v>0</v>
      </c>
      <c r="EN187" s="259">
        <f t="shared" ca="1" si="434"/>
        <v>187</v>
      </c>
      <c r="EP187" s="259" t="str">
        <f t="shared" ca="1" si="385"/>
        <v/>
      </c>
      <c r="EQ187" s="259">
        <f t="shared" ca="1" si="386"/>
        <v>0</v>
      </c>
      <c r="ER187" s="259">
        <f ca="1">IF(ISNA(EQ187),MAX(ER$2:ER186)+1,0)</f>
        <v>0</v>
      </c>
      <c r="ES187" s="259" t="str">
        <f t="shared" ca="1" si="435"/>
        <v/>
      </c>
      <c r="ET187" s="259" t="str">
        <f ca="1">IFERROR(UPPER(INDEX($ER$3:$ES$500,MATCH(ROWS(ET$3:ET187),$ER$3:$ER$500,0),2)),"")</f>
        <v/>
      </c>
      <c r="EW187" s="259">
        <f t="shared" ca="1" si="497"/>
        <v>1</v>
      </c>
      <c r="EX187" s="259">
        <v>85</v>
      </c>
      <c r="EY187" s="259">
        <f t="shared" ca="1" si="498"/>
        <v>0</v>
      </c>
      <c r="EZ187" s="259">
        <f t="shared" ca="1" si="499"/>
        <v>0</v>
      </c>
      <c r="FA187" s="259">
        <f t="shared" ca="1" si="500"/>
        <v>0</v>
      </c>
      <c r="FB187" s="259">
        <f t="shared" ca="1" si="501"/>
        <v>0</v>
      </c>
      <c r="FC187" s="259">
        <f t="shared" ca="1" si="502"/>
        <v>0</v>
      </c>
      <c r="FD187" s="259">
        <f t="shared" ca="1" si="387"/>
        <v>0</v>
      </c>
      <c r="FE187" s="259" t="str">
        <f t="shared" ca="1" si="388"/>
        <v/>
      </c>
      <c r="FF187" s="259" t="str">
        <f t="shared" ca="1" si="503"/>
        <v/>
      </c>
      <c r="FM187" s="259">
        <f t="shared" si="389"/>
        <v>0</v>
      </c>
      <c r="FN187" s="259">
        <f>IF(FM187&lt;0,MAX($FN$2:FN186)+1,0)</f>
        <v>0</v>
      </c>
      <c r="FO187" s="259" t="str">
        <f t="shared" si="436"/>
        <v/>
      </c>
      <c r="FP187" s="259" t="str">
        <f ca="1">IFERROR(INDEX($FN$3:$FO$400,MATCH(ROWS($FP$3:FP187),$FN$3:$FN$400,0),2),"")</f>
        <v/>
      </c>
      <c r="FQ187" s="259" t="str">
        <f>IF(AE187="SE AVERE",MAX($FQ$2:FQ186)+1,"")</f>
        <v/>
      </c>
      <c r="FR187" s="259" t="str">
        <f>IF(AE187="SE DARE",MAX($FR$2:FR186)+1,"")</f>
        <v/>
      </c>
      <c r="FS187" s="259" t="str">
        <f ca="1">IF(AND(AE187="SP DARE",AA187&lt;&gt;$FS$1,AA187&lt;&gt;$FT$1),MAX($FS$2:FS186)+1,IF(AND(GQ187="SP DARE",AA187&lt;&gt;$FS$1,AA187&lt;&gt;$FT$1),MAX($FS$2:FS186)+1,""))</f>
        <v/>
      </c>
      <c r="FT187" s="259" t="str">
        <f ca="1">IF(AND(AE187="SP AVERE",AA187&lt;&gt;$FU$1),MAX($FT$2:FT186)+1,IF(AND(GQ187="SP AVERE",AA187&lt;&gt;$FU$1),MAX($FT$2:FT186)+1,""))</f>
        <v/>
      </c>
      <c r="FU187" s="259">
        <f t="shared" ca="1" si="437"/>
        <v>0</v>
      </c>
      <c r="FV187" s="259" t="str">
        <f t="shared" si="438"/>
        <v/>
      </c>
      <c r="FW187" s="259">
        <f ca="1">IFERROR(INDEX($FU$3:$FV$500,MATCH(ROWS($FW$3:FW187),$FU$3:$FU$500,0),2),0)</f>
        <v>0</v>
      </c>
      <c r="FX187" s="259">
        <f t="shared" ca="1" si="439"/>
        <v>0</v>
      </c>
      <c r="FY187" s="259">
        <f t="shared" ca="1" si="440"/>
        <v>0</v>
      </c>
      <c r="FZ187" s="259">
        <f ca="1">IF(FY187&gt;0,MAX($FZ$2:FZ186)+1,0)</f>
        <v>0</v>
      </c>
      <c r="GA187" s="259">
        <f ca="1">IFERROR(INDEX($FY$3:$FZ$500,MATCH(ROWS($GA$3:GA187),$FZ$3:$FZ$500,0),1),0)</f>
        <v>0</v>
      </c>
      <c r="GC187" s="259">
        <f t="shared" ca="1" si="441"/>
        <v>0</v>
      </c>
      <c r="GD187" s="259">
        <f t="shared" ca="1" si="442"/>
        <v>0</v>
      </c>
      <c r="GG187" s="259">
        <f t="shared" ca="1" si="443"/>
        <v>0</v>
      </c>
      <c r="GH187" s="259">
        <f t="shared" ca="1" si="444"/>
        <v>0</v>
      </c>
      <c r="GI187" s="259">
        <f t="shared" ca="1" si="445"/>
        <v>0</v>
      </c>
      <c r="GJ187" s="259">
        <f t="shared" ca="1" si="446"/>
        <v>0</v>
      </c>
      <c r="GK187" s="259">
        <f t="shared" ca="1" si="447"/>
        <v>0</v>
      </c>
      <c r="GL187" s="259">
        <f t="shared" ca="1" si="447"/>
        <v>0</v>
      </c>
      <c r="GM187" s="259">
        <f ca="1">IF(OR(GK187&gt;0,GL187&gt;0),MAX($GM$2:GM186)+1,0)</f>
        <v>0</v>
      </c>
      <c r="GN187" s="259" t="str">
        <f ca="1">IFERROR(INDEX($GD$3:$GM$400,MATCH(ROWS($GN$3:GN187),$GM$3:$GM$400,0),1),"")</f>
        <v/>
      </c>
      <c r="GO187" s="259" t="str">
        <f ca="1">IFERROR(INDEX($GD$3:$GM$400,MATCH(ROWS($GO$3:GO187),$GM$3:$GM$400,0),8),"")</f>
        <v/>
      </c>
      <c r="GP187" s="259" t="str">
        <f ca="1">IFERROR(INDEX($GD$3:$GM$400,MATCH(ROWS($GP$3:GP187),$GM$3:$GM$400,0),9),"")</f>
        <v/>
      </c>
      <c r="GQ187" s="259">
        <f t="shared" ca="1" si="390"/>
        <v>0</v>
      </c>
      <c r="GR187" s="259">
        <f t="shared" ca="1" si="448"/>
        <v>0</v>
      </c>
      <c r="GS187" s="259" t="str">
        <f t="shared" ca="1" si="449"/>
        <v/>
      </c>
      <c r="GT187" s="259" t="str">
        <f ca="1">IFERROR(INDEX($GD$3:$GS$400,MATCH(ROWS($GT$3:GT187),$GM$3:$GM$400,0),16),"")</f>
        <v/>
      </c>
      <c r="GU187" s="259">
        <f ca="1">IF(GQ187&lt;&gt;0,MAX($GU$2:$GU186)+1,0)</f>
        <v>0</v>
      </c>
      <c r="GV187" s="259">
        <f t="shared" ca="1" si="450"/>
        <v>0</v>
      </c>
      <c r="GW187" s="259" t="str">
        <f ca="1">IF(AND(IFERROR(INDEX($GU$3:$GV$400,MATCH(ROWS($GW$3:GW187),$GU$3:$GU$400,0),2),"")&lt;&gt;"",GW188&lt;&gt;""),CONCATENATE(IFERROR(INDEX($GU$3:$GV$400,MATCH(ROWS($GW$3:GW187),$GU$3:$GU$400,0),2),"")," - "),IFERROR(INDEX($GU$3:$GV$400,MATCH(ROWS($GW$3:GW187),$GU$3:$GU$400,0),2),""))</f>
        <v/>
      </c>
      <c r="GX187" s="259">
        <f ca="1">IF(OR(GN187="IVA NS/CREDITO",GN187="IVA NS/DEBITO",GN187="IVA C/ACCONTO",GN187="IMPOSTE C/ACCONTO"),MAX($GX$2:GX186)+1,0)</f>
        <v>0</v>
      </c>
      <c r="GY187" s="259" t="str">
        <f ca="1">IF(AND(IFERROR(INDEX($GN$3:$GX$200,MATCH(ROWS($GY$3:GY187),$GX$3:$GX$200,0),1),"")&lt;&gt;"",GY188&lt;&gt;""),CONCATENATE(IFERROR(INDEX($GN$3:$GX$200,MATCH(ROWS($GY$3:GY187),$GX$3:$GX$200,0),1),"")," - "),IFERROR(INDEX($GN$3:$GX$200,MATCH(ROWS($GY$3:GY187),$GX$3:$GX$200,0),1),""))</f>
        <v/>
      </c>
      <c r="GZ187" s="259" t="s">
        <v>675</v>
      </c>
      <c r="HA187" s="259" t="s">
        <v>599</v>
      </c>
      <c r="HB187" s="269" t="s">
        <v>256</v>
      </c>
      <c r="HC187" s="269" t="s">
        <v>276</v>
      </c>
      <c r="HD187" s="269" t="s">
        <v>7</v>
      </c>
      <c r="HE187" s="269" t="s">
        <v>214</v>
      </c>
      <c r="HV187" s="259" t="str">
        <f ca="1">CONCATENATE(IFERROR(INDEX($HS$3:$HT$102,MATCH(ROWS($HV$3:HV187),$HT$3:$HT$102,0),1),""),HR187)</f>
        <v/>
      </c>
      <c r="IC187" s="259">
        <f ca="1">IFERROR(INDEX(PIANO_DEI_CONTI,MATCH(ROWS(DL$3:DL187),$DK$3:DK414,0),2),0)</f>
        <v>0</v>
      </c>
      <c r="ID187" s="259">
        <f t="shared" ca="1" si="451"/>
        <v>0</v>
      </c>
      <c r="IE187" s="259">
        <f t="shared" ca="1" si="452"/>
        <v>0</v>
      </c>
      <c r="IF187" s="259">
        <f t="shared" ca="1" si="453"/>
        <v>0</v>
      </c>
      <c r="IG187" s="259">
        <f t="shared" ca="1" si="479"/>
        <v>0</v>
      </c>
      <c r="IH187" s="259">
        <f ca="1">IF(IG187&lt;&gt;0,MAX($IH$35:IH186)+1,0)</f>
        <v>0</v>
      </c>
      <c r="II187" s="259">
        <f>IF(AD187="costi pluriennali",MAX($II$2:II186)+1,0)</f>
        <v>0</v>
      </c>
      <c r="IJ187" s="259">
        <f>IF($AD187="rettifiche costi pluriennali",MAX($IJ$2:IJ186)+1,0)</f>
        <v>0</v>
      </c>
      <c r="IK187" s="259">
        <f t="shared" si="454"/>
        <v>0</v>
      </c>
      <c r="IL187" s="259" t="str">
        <f t="shared" si="455"/>
        <v/>
      </c>
      <c r="IM187" s="259">
        <f t="shared" ca="1" si="456"/>
        <v>0</v>
      </c>
      <c r="IN187" s="259">
        <f t="shared" ca="1" si="470"/>
        <v>0</v>
      </c>
      <c r="IO187" s="259">
        <f>SUMIFS($IM$3:$IM$200,$IK$3:$IK$200,ROWS($IO$3:IO187))-SUMIFS($IN$3:$IN$200,$IK$3:$IK$200,ROWS($IO$3:IO187))</f>
        <v>0</v>
      </c>
      <c r="IP187" s="259" t="str">
        <f>IF(IO187&lt;0,INDEX($IJ$3:$IL$200,MATCH(ROWS($IP$3:IP187),$IJ$3:$IJ$200,0),3),"")</f>
        <v/>
      </c>
      <c r="IQ187" s="259">
        <f>IF(IP187&lt;&gt;"",MAX($IQ$2:IQ186)+1,0)</f>
        <v>0</v>
      </c>
      <c r="IR187" s="259" t="str">
        <f ca="1">IFERROR(INDEX($IP$3:$IQ$200,MATCH(ROWS($IR$3:IR187),$IQ$3:$IQ$200,0),1),"")</f>
        <v/>
      </c>
      <c r="IS187" s="259" t="str">
        <f t="shared" ca="1" si="457"/>
        <v/>
      </c>
      <c r="IT187" s="259" t="str">
        <f t="shared" ca="1" si="458"/>
        <v/>
      </c>
      <c r="IU187" s="259" t="str">
        <f t="shared" ca="1" si="459"/>
        <v/>
      </c>
      <c r="IV187" s="259" t="str">
        <f t="shared" ca="1" si="460"/>
        <v/>
      </c>
      <c r="IW187" s="259" t="str">
        <f t="shared" ca="1" si="461"/>
        <v/>
      </c>
      <c r="IX187" s="259" t="str">
        <f t="shared" ca="1" si="462"/>
        <v/>
      </c>
      <c r="IY187" s="259" t="str">
        <f t="shared" ca="1" si="463"/>
        <v/>
      </c>
      <c r="IZ187" s="259" t="str">
        <f t="shared" ca="1" si="464"/>
        <v/>
      </c>
      <c r="JA187" s="259" t="str">
        <f t="shared" ca="1" si="465"/>
        <v/>
      </c>
      <c r="JB187" s="259">
        <f t="shared" ca="1" si="391"/>
        <v>0</v>
      </c>
      <c r="JC187" s="259">
        <f t="shared" ca="1" si="504"/>
        <v>0</v>
      </c>
      <c r="JD187" s="259">
        <f t="shared" ca="1" si="505"/>
        <v>0</v>
      </c>
      <c r="JM187" s="259">
        <f t="shared" ca="1" si="506"/>
        <v>0</v>
      </c>
    </row>
    <row r="188" spans="1:273">
      <c r="A188" s="259" t="str">
        <f t="shared" si="392"/>
        <v>38.10</v>
      </c>
      <c r="B188" s="259" t="str">
        <f t="shared" si="393"/>
        <v>ACCANTONAMENTO PER MANUTENZIONI PROGRAMMATE</v>
      </c>
      <c r="C188" s="259" t="str">
        <f t="shared" si="394"/>
        <v>E</v>
      </c>
      <c r="D188" s="259" t="str">
        <f t="shared" si="395"/>
        <v>D</v>
      </c>
      <c r="E188" s="259" t="str">
        <f t="shared" si="396"/>
        <v>COSTI D'ESERCIZIO</v>
      </c>
      <c r="F188" s="259" t="str">
        <f t="shared" si="397"/>
        <v>SE DARE</v>
      </c>
      <c r="G188" s="259">
        <f t="shared" ca="1" si="398"/>
        <v>0</v>
      </c>
      <c r="H188" s="259">
        <f t="shared" ca="1" si="399"/>
        <v>0</v>
      </c>
      <c r="I188" s="259">
        <f t="shared" ca="1" si="400"/>
        <v>1</v>
      </c>
      <c r="K188" s="259" t="str">
        <f ca="1">IFERROR(IF($I$1=1,INDEX($AA$3:$AS$220,MATCH(ROWS($K$3:K188),$AQ$3:$AQ$220,0),1),IF($I$1=2,INDEX($AA$3:$AS$220,MATCH(ROWS($K$3:K188),$AR$3:$AR$220,0),1),IF($I$1=3,INDEX($AA$3:$AS$220,MATCH(ROWS($K$3:K188),$AS$3:$AS$220,0),1),""))),"")</f>
        <v/>
      </c>
      <c r="L188" s="259">
        <f ca="1">IF(AND($L$1="VISUALIZZA TUTTI I CONTI",K188&lt;&gt;""),MAX(L187:L187)+1,IFERROR(IF($J$1=1,IF(INDEX(PIANO_DEI_CONTI,MATCH($K188,DENOMINAZIONE,0),5)=$L$1,MAX($L$2:L187)+1,0),IF($J$1=2,IF(INDEX(PIANO_DEI_CONTI,MATCH($K188,DENOMINAZIONE,0),7)=$L$1,MAX($L$2:L187)+1,0))),0))</f>
        <v>0</v>
      </c>
      <c r="M188" s="259" t="str">
        <f ca="1">IFERROR(INDEX($K$3:$K$220,MATCH(ROWS($M$3:M188),$L$3:$L$220,0),1),"")</f>
        <v/>
      </c>
      <c r="R188" s="259" t="str">
        <f t="shared" ca="1" si="366"/>
        <v/>
      </c>
      <c r="S188" s="259">
        <f ca="1">IF(IFERROR(MATCH(R188,DENOMINAZIONE_GIORNALE,0),0)&gt;0,MAX(S$2:S187)+1,0)</f>
        <v>0</v>
      </c>
      <c r="T188" s="259" t="str">
        <f ca="1">IFERROR(INDEX($R$3:$S$220,MATCH(ROWS($T$3:T188),$S$3:$S$220,0),1),"")</f>
        <v/>
      </c>
      <c r="U188" s="259">
        <f t="shared" ca="1" si="367"/>
        <v>0</v>
      </c>
      <c r="V188" s="259">
        <f ca="1">IF(IF(U188&lt;&gt;0,MAX($V$2:V187)+1,0)=0,0,IF(U188&lt;&gt;0,MAX($V$2:V187)+1,0))</f>
        <v>0</v>
      </c>
      <c r="W188" s="259" t="str">
        <f t="shared" si="401"/>
        <v>38.10</v>
      </c>
      <c r="X188" s="259" t="str">
        <f t="shared" si="402"/>
        <v>ACCANTONAMENTO PER MANUTENZIONI PROGRAMMATE</v>
      </c>
      <c r="Y188" s="259">
        <f>IF(W188="",0,MAX($Y$2:Y187)+1)</f>
        <v>159</v>
      </c>
      <c r="Z188" s="259" t="str">
        <f>IFERROR(INDEX($W$3:$Y$220,MATCH(ROWS($Z$2:Z187),$Y$3:$Y$220,0),1),"")</f>
        <v/>
      </c>
      <c r="AA188" s="259" t="str">
        <f t="shared" si="403"/>
        <v/>
      </c>
      <c r="AB188" s="259" t="str">
        <f t="shared" si="404"/>
        <v/>
      </c>
      <c r="AC188" s="259" t="str">
        <f t="shared" si="405"/>
        <v/>
      </c>
      <c r="AD188" s="259" t="str">
        <f t="shared" si="406"/>
        <v/>
      </c>
      <c r="AE188" s="259" t="str">
        <f t="shared" si="407"/>
        <v/>
      </c>
      <c r="AF188" s="259" t="str">
        <f t="shared" si="408"/>
        <v/>
      </c>
      <c r="AG188" s="259" t="str">
        <f t="shared" si="409"/>
        <v/>
      </c>
      <c r="AH188" s="259" t="str">
        <f t="shared" si="410"/>
        <v/>
      </c>
      <c r="AI188" s="259" t="str">
        <f t="shared" si="411"/>
        <v/>
      </c>
      <c r="AJ188" s="259" t="str">
        <f t="shared" si="412"/>
        <v/>
      </c>
      <c r="AK188" s="259" t="str">
        <f t="shared" si="413"/>
        <v/>
      </c>
      <c r="AL188" s="259">
        <f>IF(AK188&lt;&gt;"",MAX($AL$2:AL187)+1,0)</f>
        <v>0</v>
      </c>
      <c r="AM188" s="259" t="str">
        <f>IFERROR(INDEX($AK$3:$AL$220,MATCH(ROWS($AM$3:AM188),$AL$3:$AL$220,0),1),"")</f>
        <v/>
      </c>
      <c r="AN188" s="259" t="str">
        <f t="shared" si="414"/>
        <v/>
      </c>
      <c r="AO188" s="259" t="str">
        <f t="shared" si="415"/>
        <v/>
      </c>
      <c r="AP188" s="259" t="str">
        <f t="shared" si="416"/>
        <v/>
      </c>
      <c r="AQ188" s="259">
        <f>IF(OR(AG188=0,AG188=""),0,MAX(AQ$2:AQ187)+1)</f>
        <v>0</v>
      </c>
      <c r="AR188" s="259">
        <f>IF(OR(AH188=0,AH188=""),0,MAX(AR$2:AR187)+1)</f>
        <v>0</v>
      </c>
      <c r="AS188" s="259">
        <f>IF(OR(AI188=0,AI188=""),0,MAX(AS$2:AS187)+1)</f>
        <v>0</v>
      </c>
      <c r="AT188" s="259" t="str">
        <f ca="1">IFERROR(INDEX($AD$3:$AS$220,MATCH(ROWS(AT$3:AT188),AQ$3:AQ$220,0),1),"")</f>
        <v/>
      </c>
      <c r="AU188" s="259" t="str">
        <f ca="1">IFERROR(INDEX($AD$3:$AS$220,MATCH(ROWS(AU$3:AU188),AR$3:AR$220,0),1),"")</f>
        <v/>
      </c>
      <c r="AV188" s="259" t="str">
        <f ca="1">IFERROR(INDEX($AD$3:$AS$220,MATCH(ROWS(AV$3:AV188),AS$3:AS$220,0),1),"")</f>
        <v/>
      </c>
      <c r="AW188" s="259" t="str">
        <f ca="1">IFERROR(INDEX($AP$3:$AS$220,MATCH(ROWS(AW$3:AW188),AQ$3:AQ$220,0),1),"")</f>
        <v/>
      </c>
      <c r="AX188" s="259" t="str">
        <f ca="1">IFERROR(INDEX($AP$3:$AS$220,MATCH(ROWS(AX$3:AX188),AR$3:AR$220,0),1),"")</f>
        <v/>
      </c>
      <c r="AY188" s="259" t="str">
        <f ca="1">IFERROR(INDEX($AP$3:$AS$220,MATCH(ROWS(AY$3:AY188),AS$3:AS$220,0),1),"")</f>
        <v/>
      </c>
      <c r="AZ188" s="259" t="str">
        <f t="shared" si="490"/>
        <v>86 V.I.</v>
      </c>
      <c r="BA188" s="259">
        <f t="shared" ca="1" si="484"/>
        <v>0</v>
      </c>
      <c r="BB188" s="259">
        <f t="shared" ca="1" si="491"/>
        <v>0</v>
      </c>
      <c r="BC188" s="259">
        <f t="shared" ca="1" si="492"/>
        <v>0</v>
      </c>
      <c r="BD188" s="259">
        <f t="shared" ca="1" si="493"/>
        <v>0</v>
      </c>
      <c r="BE188" s="259">
        <f t="shared" ca="1" si="494"/>
        <v>0</v>
      </c>
      <c r="BG188" s="259" t="str">
        <f t="shared" ca="1" si="368"/>
        <v/>
      </c>
      <c r="BH188" s="259">
        <f ca="1">IF(IFERROR(MATCH(BG188,DENOMINAZIONE_GIORNALE,0),0)&gt;0,MAX(BH$2:BH187)+1,0)</f>
        <v>0</v>
      </c>
      <c r="BI188" s="259" t="str">
        <f ca="1">IFERROR(INDEX($BG$3:$BH$220,MATCH(ROWS($BI$3:BI188),$BH$3:$BH$220,0),1),"")</f>
        <v/>
      </c>
      <c r="BJ188" s="259" t="str">
        <f t="shared" ca="1" si="369"/>
        <v/>
      </c>
      <c r="BK188" s="259" t="str">
        <f ca="1">IF(IF(BJ188&lt;&gt;"",MAX($BK$2:BK187)+1,0)=0,"",IF(BJ188&lt;&gt;"",MAX($BK$2:BK187)+1,0))</f>
        <v/>
      </c>
      <c r="BL188" s="259" t="str">
        <f ca="1">IFERROR(INDEX($T$3:$U$220, MATCH(ROWS(BL$3:BL188),$V$3:$V$220,0),1),"")</f>
        <v/>
      </c>
      <c r="BM188" s="259" t="str">
        <f ca="1">IFERROR(INDEX($T$3:$U$220, MATCH(ROWS(BM$3:BM188),$V$3:$V$220,0),2),"")</f>
        <v/>
      </c>
      <c r="BN188" s="259" t="str">
        <f ca="1">IF(IFERROR(INDEX($BI$3:$BJ$220,MATCH(ROWS(BN$3:BN188),$BK$3:$BK$220,0),1),"")="PATRIMONIO NETTO","",IFERROR(INDEX($BI$3:$BJ$220,MATCH(ROWS(BN$3:BN188),$BK$3:$BK$220,0),1),""))</f>
        <v/>
      </c>
      <c r="BO188" s="259" t="str">
        <f ca="1">IFERROR(INDEX($BI$3:$BJ$220,MATCH(ROWS(BO$3:BO188),$BK$3:$BK$220,0),2),"")</f>
        <v/>
      </c>
      <c r="BP188" s="259">
        <f ca="1">IF(BN188&lt;&gt;"",MAX(BP$2:$BP187)+1,0)</f>
        <v>0</v>
      </c>
      <c r="BQ188" s="259" t="str">
        <f ca="1">IFERROR(INDEX($BN$3:$BO$200,MATCH(ROWS(BQ$3:BQ188),$BP$3:$BP$220,0),1),"")</f>
        <v/>
      </c>
      <c r="BR188" s="259" t="str">
        <f ca="1">IFERROR(INDEX($BN$3:$BO$220,MATCH(ROWS(BR$3:BR188),$BP$3:$BP$220,0),2),"")</f>
        <v/>
      </c>
      <c r="BS188" s="259" t="str">
        <f ca="1">IFERROR(IF(OR(INDEX($T$3:$U$220,MATCH(ROWS(BL$3:BL188),$V$3:$V$220,0),1)="PRELEVAMENTI EXTRAGESTIONE",INDEX($T$3:$U$220,MATCH(ROWS(BL$3:BL188),$V$3:$V$220,0),1)="TITOLARE C/RITENUTE SUBITE"),"",INDEX($T$3:$U$220,MATCH(ROWS(BL$3:BL188),$V$3:$V$220,0),1)),"")</f>
        <v/>
      </c>
      <c r="BT188" s="259">
        <f t="shared" ca="1" si="417"/>
        <v>0</v>
      </c>
      <c r="BU188" s="259">
        <f ca="1">IF(BS188&lt;&gt;"",MAX(BU$2:BU187)+1,0)</f>
        <v>0</v>
      </c>
      <c r="BV188" s="259" t="str">
        <f ca="1">IFERROR(INDEX($BS$3:$BT$223,MATCH(ROWS(BV$3:BV188),$BU$3:$BU$223,0),1),"")</f>
        <v/>
      </c>
      <c r="BW188" s="259">
        <f t="shared" ca="1" si="418"/>
        <v>0</v>
      </c>
      <c r="CB188" s="259" t="str">
        <f ca="1">IFERROR(IF(OR($BB$1&lt;&gt;$BD$1,$BC$1&lt;&gt;$BE$1,$DS$231&lt;&gt;$DT$231,$DU$231&lt;&gt;$DV$231,$EO$25&lt;&gt;0,$EO$26&lt;&gt;0),INDEX($BI$3:$BK$220,MATCH(ROWS($CB$3:CB188),$BK$3:$BK$220,0),1),CONCATENATE(BQ188,BX188)),"")</f>
        <v/>
      </c>
      <c r="CC188" s="259" t="str">
        <f t="shared" ca="1" si="419"/>
        <v/>
      </c>
      <c r="CD188" s="259" t="str">
        <f t="shared" ca="1" si="370"/>
        <v/>
      </c>
      <c r="CE188" s="259">
        <f ca="1">IF(IFERROR(MATCH(CD188,DENOMINAZIONE_GIORNALE,0),0)&gt;0,MAX(CE$2:CE187)+1,0)</f>
        <v>0</v>
      </c>
      <c r="CF188" s="259" t="str">
        <f ca="1">IFERROR(INDEX($CD$3:$CE$220,MATCH(ROWS($CF$3:CF188),$CE$3:$CE$220,0),1),"")</f>
        <v/>
      </c>
      <c r="CG188" s="259">
        <f t="shared" ca="1" si="371"/>
        <v>0</v>
      </c>
      <c r="CH188" s="259" t="str">
        <f ca="1">IF(IF(CG188&lt;&gt;0,MAX($CH$2:CH187)+1,0)=0,"",IF(CG188&lt;&gt;"",MAX($CH$2:CH187)+1,0))</f>
        <v/>
      </c>
      <c r="CI188" s="259" t="str">
        <f ca="1">IFERROR(INDEX($CF$3:$CG$220,MATCH(ROWS($CI$3:CI188),$CH$3:$CH$220,0),1),"")</f>
        <v/>
      </c>
      <c r="CJ188" s="259" t="str">
        <f t="shared" ca="1" si="420"/>
        <v/>
      </c>
      <c r="CK188" s="259" t="str">
        <f t="shared" ca="1" si="372"/>
        <v/>
      </c>
      <c r="CL188" s="259">
        <f ca="1">IF(IFERROR(MATCH(CK188,DENOMINAZIONE_GIORNALE,0),0)&gt;0,MAX(CL$2:CL187)+1,0)</f>
        <v>0</v>
      </c>
      <c r="CM188" s="259" t="str">
        <f ca="1">IFERROR(INDEX($CK$3:$CL$220,MATCH(ROWS($CM$3:CM188),$CL$3:$CL$220,0),1),"")</f>
        <v/>
      </c>
      <c r="CN188" s="259" t="str">
        <f t="shared" ca="1" si="373"/>
        <v/>
      </c>
      <c r="CO188" s="259">
        <f ca="1">IF(IF(CN188&lt;&gt;0,MAX($CO$2:CO187)+1,0)=0,"",IF(CN188&lt;&gt;"",MAX($CO$2:CO187)+1,0))</f>
        <v>0</v>
      </c>
      <c r="CP188" s="259" t="str">
        <f ca="1">IFERROR(INDEX($CM$3:$CN$220,MATCH(ROWS(CP$3:CP188),$CO$3:$CO$220,0),1),"")</f>
        <v/>
      </c>
      <c r="CQ188" s="259" t="str">
        <f ca="1">IFERROR(INDEX($CM$3:$CN$220,MATCH(ROWS(CQ$3:CQ188),$CO$3:$CO$220,0),2),"")</f>
        <v/>
      </c>
      <c r="CS188" s="259">
        <f t="shared" ca="1" si="374"/>
        <v>0</v>
      </c>
      <c r="CT188" s="259">
        <f t="shared" ca="1" si="375"/>
        <v>0</v>
      </c>
      <c r="CU188" s="259">
        <f ca="1">IF(OR(CS188&gt;0,CT188&gt;0),MAX($CU$2:CU187)+1,0)</f>
        <v>0</v>
      </c>
      <c r="CV188" s="259" t="str">
        <f ca="1">IFERROR(INDEX(PIANO_DEI_CONTI,MATCH(ROWS($CV$3:CV188),$CU$3:$CU$200,0),2),"")</f>
        <v/>
      </c>
      <c r="CW188" s="259">
        <f ca="1">IFERROR(IF(CV188&lt;&gt;"",MAX($CW$2:CW187)+1,0),0)</f>
        <v>0</v>
      </c>
      <c r="CX188" s="259">
        <f t="shared" ca="1" si="508"/>
        <v>11</v>
      </c>
      <c r="CY188" s="259" t="str">
        <f t="shared" ca="1" si="495"/>
        <v>MASTRO</v>
      </c>
      <c r="CZ188" s="259" t="e">
        <f t="shared" ca="1" si="510"/>
        <v>#N/A</v>
      </c>
      <c r="DA188" s="259" t="str">
        <f t="shared" ca="1" si="515"/>
        <v/>
      </c>
      <c r="DB188" s="259" t="str">
        <f t="shared" ca="1" si="511"/>
        <v/>
      </c>
      <c r="DC188" s="259" t="str">
        <f t="shared" ca="1" si="512"/>
        <v/>
      </c>
      <c r="DD188" s="259" t="str">
        <f t="shared" ca="1" si="513"/>
        <v/>
      </c>
      <c r="DE188" s="259" t="str">
        <f t="shared" ca="1" si="514"/>
        <v/>
      </c>
      <c r="DF188" s="259">
        <f ca="1">IF(AND(CX188=$DE$2,$DF$2&lt;&gt;0),0,IF(AND(DB188&lt;&gt;"",OR(DB187&lt;&gt;"",DB189&lt;&gt;"")),MAX($DF$2:DF187)+1,0))</f>
        <v>0</v>
      </c>
      <c r="DG188" s="259" t="str">
        <f>IF(IF(LIBRO_GIORNALE!E96="","",IFERROR(INDEX(PIANO_DEI_CONTI,MATCH(BB188,DENOMINAZIONE,0),1),0))=0,"",IF(LIBRO_GIORNALE!E96="","",IFERROR(INDEX(PIANO_DEI_CONTI,MATCH(BB188,DENOMINAZIONE,0),1),0)))</f>
        <v/>
      </c>
      <c r="DH188" s="259">
        <f ca="1">IFERROR(IF($J$1=1,IF(INDEX(PIANO_DEI_CONTI,MATCH($K188,DENOMINAZIONE,0),5)=$DF$1,MAX($DH$2:DH187)+1,0),IF($J$1=2,IF(INDEX(PIANO_DEI_CONTI,MATCH($K188,DENOMINAZIONE,0),7)=$DF$1,MAX($DH$2:DH187)+1,0))),0)</f>
        <v>0</v>
      </c>
      <c r="DI188" s="259">
        <f ca="1">IFERROR(INDEX($K$3:$K$220,MATCH(ROWS($DI$3:DI188),$DH$3:$DH$220,0),1),0)</f>
        <v>0</v>
      </c>
      <c r="DJ188" s="259">
        <f t="shared" ca="1" si="381"/>
        <v>0</v>
      </c>
      <c r="DK188" s="259">
        <f ca="1">IF(DJ188=0,0,MAX(DK$2:DK187)+1)</f>
        <v>0</v>
      </c>
      <c r="DL188" s="259">
        <f ca="1">IFERROR(INDEX(PIANO_DEI_CONTI,MATCH(ROWS(DL$3:DL188),$DK$3:DK415,0),2),0)</f>
        <v>0</v>
      </c>
      <c r="DM188" s="259">
        <f t="shared" ca="1" si="382"/>
        <v>0</v>
      </c>
      <c r="DN188" s="259">
        <f t="shared" ca="1" si="383"/>
        <v>0</v>
      </c>
      <c r="DO188" s="259">
        <f t="shared" ca="1" si="422"/>
        <v>0</v>
      </c>
      <c r="DP188" s="259">
        <f t="shared" ca="1" si="423"/>
        <v>0</v>
      </c>
      <c r="DQ188" s="259">
        <f ca="1">IF(OR($DQ$1="TOTALI",$DQ$1="TOTALI ED ECCEDENZE"),IF(OR(DM188&gt;0,DN188&gt;0),MAX(DQ$2:DQ187)+1,0),IF($DQ$1="ECCEDENZE",IF(OR(DO188&gt;0,DP188&gt;0),MAX(DQ$2:DQ187)+1,0),""))</f>
        <v>0</v>
      </c>
      <c r="DR188" s="259" t="str">
        <f ca="1">IFERROR(INDEX($DL$3:$DQ$230,MATCH(ROWS(DR$3:DR188),$DQ$3:$DQ$230,0),1),"")</f>
        <v/>
      </c>
      <c r="DS188" s="259" t="str">
        <f t="shared" ca="1" si="424"/>
        <v/>
      </c>
      <c r="DT188" s="259" t="str">
        <f t="shared" ca="1" si="425"/>
        <v/>
      </c>
      <c r="DU188" s="259" t="str">
        <f t="shared" ca="1" si="426"/>
        <v/>
      </c>
      <c r="DV188" s="259" t="str">
        <f t="shared" ca="1" si="427"/>
        <v/>
      </c>
      <c r="DW188" s="259">
        <f t="shared" ca="1" si="428"/>
        <v>0</v>
      </c>
      <c r="DX188" s="259" t="str">
        <f t="shared" ca="1" si="429"/>
        <v/>
      </c>
      <c r="DY188" s="259" t="str">
        <f t="shared" ca="1" si="430"/>
        <v/>
      </c>
      <c r="DZ188" s="259" t="str">
        <f t="shared" ca="1" si="431"/>
        <v/>
      </c>
      <c r="ED188" s="259">
        <f t="shared" ca="1" si="384"/>
        <v>0</v>
      </c>
      <c r="EH188" s="259" t="str">
        <f t="shared" ca="1" si="432"/>
        <v/>
      </c>
      <c r="EI188" s="260" t="b">
        <f t="shared" ca="1" si="466"/>
        <v>0</v>
      </c>
      <c r="EJ188" s="260" t="b">
        <f t="shared" ca="1" si="467"/>
        <v>0</v>
      </c>
      <c r="EK188" s="260" t="b">
        <f t="shared" ca="1" si="468"/>
        <v>1</v>
      </c>
      <c r="EL188" s="259">
        <f t="shared" si="433"/>
        <v>186</v>
      </c>
      <c r="EM188" s="259">
        <f ca="1">IF(AND(BA188&gt;0,BA188&lt;=$EM$1),MAX($EM$2:EM187)+1,0)</f>
        <v>0</v>
      </c>
      <c r="EN188" s="259">
        <f t="shared" ca="1" si="434"/>
        <v>188</v>
      </c>
      <c r="EP188" s="259" t="str">
        <f t="shared" ca="1" si="385"/>
        <v/>
      </c>
      <c r="EQ188" s="259">
        <f t="shared" ca="1" si="386"/>
        <v>0</v>
      </c>
      <c r="ER188" s="259">
        <f ca="1">IF(ISNA(EQ188),MAX(ER$2:ER187)+1,0)</f>
        <v>0</v>
      </c>
      <c r="ES188" s="259" t="str">
        <f t="shared" ca="1" si="435"/>
        <v/>
      </c>
      <c r="ET188" s="259" t="str">
        <f ca="1">IFERROR(UPPER(INDEX($ER$3:$ES$500,MATCH(ROWS(ET$3:ET188),$ER$3:$ER$500,0),2)),"")</f>
        <v/>
      </c>
      <c r="EW188" s="259">
        <f t="shared" ca="1" si="497"/>
        <v>1</v>
      </c>
      <c r="EX188" s="259">
        <v>86</v>
      </c>
      <c r="EY188" s="259">
        <f t="shared" ca="1" si="498"/>
        <v>0</v>
      </c>
      <c r="EZ188" s="259">
        <f t="shared" ca="1" si="499"/>
        <v>0</v>
      </c>
      <c r="FA188" s="259">
        <f t="shared" ca="1" si="500"/>
        <v>0</v>
      </c>
      <c r="FB188" s="259">
        <f t="shared" ca="1" si="501"/>
        <v>0</v>
      </c>
      <c r="FC188" s="259">
        <f t="shared" ca="1" si="502"/>
        <v>0</v>
      </c>
      <c r="FD188" s="259">
        <f t="shared" ca="1" si="387"/>
        <v>0</v>
      </c>
      <c r="FE188" s="259" t="str">
        <f t="shared" ca="1" si="388"/>
        <v/>
      </c>
      <c r="FF188" s="259" t="str">
        <f t="shared" ca="1" si="503"/>
        <v/>
      </c>
      <c r="FM188" s="259">
        <f t="shared" si="389"/>
        <v>0</v>
      </c>
      <c r="FN188" s="259">
        <f>IF(FM188&lt;0,MAX($FN$2:FN187)+1,0)</f>
        <v>0</v>
      </c>
      <c r="FO188" s="259" t="str">
        <f t="shared" si="436"/>
        <v/>
      </c>
      <c r="FP188" s="259" t="str">
        <f ca="1">IFERROR(INDEX($FN$3:$FO$400,MATCH(ROWS($FP$3:FP188),$FN$3:$FN$400,0),2),"")</f>
        <v/>
      </c>
      <c r="FQ188" s="259" t="str">
        <f>IF(AE188="SE AVERE",MAX($FQ$2:FQ187)+1,"")</f>
        <v/>
      </c>
      <c r="FR188" s="259" t="str">
        <f>IF(AE188="SE DARE",MAX($FR$2:FR187)+1,"")</f>
        <v/>
      </c>
      <c r="FS188" s="259" t="str">
        <f ca="1">IF(AND(AE188="SP DARE",AA188&lt;&gt;$FS$1,AA188&lt;&gt;$FT$1),MAX($FS$2:FS187)+1,IF(AND(GQ188="SP DARE",AA188&lt;&gt;$FS$1,AA188&lt;&gt;$FT$1),MAX($FS$2:FS187)+1,""))</f>
        <v/>
      </c>
      <c r="FT188" s="259" t="str">
        <f ca="1">IF(AND(AE188="SP AVERE",AA188&lt;&gt;$FU$1),MAX($FT$2:FT187)+1,IF(AND(GQ188="SP AVERE",AA188&lt;&gt;$FU$1),MAX($FT$2:FT187)+1,""))</f>
        <v/>
      </c>
      <c r="FU188" s="259">
        <f t="shared" ca="1" si="437"/>
        <v>0</v>
      </c>
      <c r="FV188" s="259" t="str">
        <f t="shared" si="438"/>
        <v/>
      </c>
      <c r="FW188" s="259">
        <f ca="1">IFERROR(INDEX($FU$3:$FV$500,MATCH(ROWS($FW$3:FW188),$FU$3:$FU$500,0),2),0)</f>
        <v>0</v>
      </c>
      <c r="FX188" s="259">
        <f t="shared" ca="1" si="439"/>
        <v>0</v>
      </c>
      <c r="FY188" s="259">
        <f t="shared" ca="1" si="440"/>
        <v>0</v>
      </c>
      <c r="FZ188" s="259">
        <f ca="1">IF(FY188&gt;0,MAX($FZ$2:FZ187)+1,0)</f>
        <v>0</v>
      </c>
      <c r="GA188" s="259">
        <f ca="1">IFERROR(INDEX($FY$3:$FZ$500,MATCH(ROWS($GA$3:GA188),$FZ$3:$FZ$500,0),1),0)</f>
        <v>0</v>
      </c>
      <c r="GC188" s="259">
        <f t="shared" ca="1" si="441"/>
        <v>0</v>
      </c>
      <c r="GD188" s="259">
        <f t="shared" ca="1" si="442"/>
        <v>0</v>
      </c>
      <c r="GG188" s="259">
        <f t="shared" ca="1" si="443"/>
        <v>0</v>
      </c>
      <c r="GH188" s="259">
        <f t="shared" ca="1" si="444"/>
        <v>0</v>
      </c>
      <c r="GI188" s="259">
        <f t="shared" ca="1" si="445"/>
        <v>0</v>
      </c>
      <c r="GJ188" s="259">
        <f t="shared" ca="1" si="446"/>
        <v>0</v>
      </c>
      <c r="GK188" s="259">
        <f t="shared" ca="1" si="447"/>
        <v>0</v>
      </c>
      <c r="GL188" s="259">
        <f t="shared" ca="1" si="447"/>
        <v>0</v>
      </c>
      <c r="GM188" s="259">
        <f ca="1">IF(OR(GK188&gt;0,GL188&gt;0),MAX($GM$2:GM187)+1,0)</f>
        <v>0</v>
      </c>
      <c r="GN188" s="259" t="str">
        <f ca="1">IFERROR(INDEX($GD$3:$GM$400,MATCH(ROWS($GN$3:GN188),$GM$3:$GM$400,0),1),"")</f>
        <v/>
      </c>
      <c r="GO188" s="259" t="str">
        <f ca="1">IFERROR(INDEX($GD$3:$GM$400,MATCH(ROWS($GO$3:GO188),$GM$3:$GM$400,0),8),"")</f>
        <v/>
      </c>
      <c r="GP188" s="259" t="str">
        <f ca="1">IFERROR(INDEX($GD$3:$GM$400,MATCH(ROWS($GP$3:GP188),$GM$3:$GM$400,0),9),"")</f>
        <v/>
      </c>
      <c r="GQ188" s="259">
        <f t="shared" ca="1" si="390"/>
        <v>0</v>
      </c>
      <c r="GR188" s="259">
        <f t="shared" ca="1" si="448"/>
        <v>0</v>
      </c>
      <c r="GS188" s="259" t="str">
        <f t="shared" ca="1" si="449"/>
        <v/>
      </c>
      <c r="GT188" s="259" t="str">
        <f ca="1">IFERROR(INDEX($GD$3:$GS$400,MATCH(ROWS($GT$3:GT188),$GM$3:$GM$400,0),16),"")</f>
        <v/>
      </c>
      <c r="GU188" s="259">
        <f ca="1">IF(GQ188&lt;&gt;0,MAX($GU$2:$GU187)+1,0)</f>
        <v>0</v>
      </c>
      <c r="GV188" s="259">
        <f t="shared" ca="1" si="450"/>
        <v>0</v>
      </c>
      <c r="GW188" s="259" t="str">
        <f ca="1">IF(AND(IFERROR(INDEX($GU$3:$GV$400,MATCH(ROWS($GW$3:GW188),$GU$3:$GU$400,0),2),"")&lt;&gt;"",GW189&lt;&gt;""),CONCATENATE(IFERROR(INDEX($GU$3:$GV$400,MATCH(ROWS($GW$3:GW188),$GU$3:$GU$400,0),2),"")," - "),IFERROR(INDEX($GU$3:$GV$400,MATCH(ROWS($GW$3:GW188),$GU$3:$GU$400,0),2),""))</f>
        <v/>
      </c>
      <c r="GX188" s="259">
        <f ca="1">IF(OR(GN188="IVA NS/CREDITO",GN188="IVA NS/DEBITO",GN188="IVA C/ACCONTO",GN188="IMPOSTE C/ACCONTO"),MAX($GX$2:GX187)+1,0)</f>
        <v>0</v>
      </c>
      <c r="GY188" s="259" t="str">
        <f ca="1">IF(AND(IFERROR(INDEX($GN$3:$GX$200,MATCH(ROWS($GY$3:GY188),$GX$3:$GX$200,0),1),"")&lt;&gt;"",GY189&lt;&gt;""),CONCATENATE(IFERROR(INDEX($GN$3:$GX$200,MATCH(ROWS($GY$3:GY188),$GX$3:$GX$200,0),1),"")," - "),IFERROR(INDEX($GN$3:$GX$200,MATCH(ROWS($GY$3:GY188),$GX$3:$GX$200,0),1),""))</f>
        <v/>
      </c>
      <c r="GZ188" s="259" t="s">
        <v>676</v>
      </c>
      <c r="HA188" s="259" t="s">
        <v>600</v>
      </c>
      <c r="HB188" s="269" t="s">
        <v>256</v>
      </c>
      <c r="HC188" s="269" t="s">
        <v>276</v>
      </c>
      <c r="HD188" s="269" t="s">
        <v>7</v>
      </c>
      <c r="HE188" s="269" t="s">
        <v>214</v>
      </c>
      <c r="HV188" s="259" t="str">
        <f ca="1">CONCATENATE(IFERROR(INDEX($HS$3:$HT$102,MATCH(ROWS($HV$3:HV188),$HT$3:$HT$102,0),1),""),HR188)</f>
        <v/>
      </c>
      <c r="IC188" s="259">
        <f ca="1">IFERROR(INDEX(PIANO_DEI_CONTI,MATCH(ROWS(DL$3:DL188),$DK$3:DK415,0),2),0)</f>
        <v>0</v>
      </c>
      <c r="ID188" s="259">
        <f t="shared" ca="1" si="451"/>
        <v>0</v>
      </c>
      <c r="IE188" s="259">
        <f t="shared" ca="1" si="452"/>
        <v>0</v>
      </c>
      <c r="IF188" s="259">
        <f t="shared" ca="1" si="453"/>
        <v>0</v>
      </c>
      <c r="IG188" s="259">
        <f t="shared" ca="1" si="479"/>
        <v>0</v>
      </c>
      <c r="IH188" s="259">
        <f ca="1">IF(IG188&lt;&gt;0,MAX($IH$35:IH187)+1,0)</f>
        <v>0</v>
      </c>
      <c r="II188" s="259">
        <f>IF(AD188="costi pluriennali",MAX($II$2:II187)+1,0)</f>
        <v>0</v>
      </c>
      <c r="IJ188" s="259">
        <f>IF($AD188="rettifiche costi pluriennali",MAX($IJ$2:IJ187)+1,0)</f>
        <v>0</v>
      </c>
      <c r="IK188" s="259">
        <f t="shared" si="454"/>
        <v>0</v>
      </c>
      <c r="IL188" s="259" t="str">
        <f t="shared" si="455"/>
        <v/>
      </c>
      <c r="IM188" s="259">
        <f t="shared" ca="1" si="456"/>
        <v>0</v>
      </c>
      <c r="IN188" s="259">
        <f t="shared" ca="1" si="470"/>
        <v>0</v>
      </c>
      <c r="IO188" s="259">
        <f>SUMIFS($IM$3:$IM$200,$IK$3:$IK$200,ROWS($IO$3:IO188))-SUMIFS($IN$3:$IN$200,$IK$3:$IK$200,ROWS($IO$3:IO188))</f>
        <v>0</v>
      </c>
      <c r="IP188" s="259" t="str">
        <f>IF(IO188&lt;0,INDEX($IJ$3:$IL$200,MATCH(ROWS($IP$3:IP188),$IJ$3:$IJ$200,0),3),"")</f>
        <v/>
      </c>
      <c r="IQ188" s="259">
        <f>IF(IP188&lt;&gt;"",MAX($IQ$2:IQ187)+1,0)</f>
        <v>0</v>
      </c>
      <c r="IR188" s="259" t="str">
        <f ca="1">IFERROR(INDEX($IP$3:$IQ$200,MATCH(ROWS($IR$3:IR188),$IQ$3:$IQ$200,0),1),"")</f>
        <v/>
      </c>
      <c r="IS188" s="259" t="str">
        <f t="shared" ca="1" si="457"/>
        <v/>
      </c>
      <c r="IT188" s="259" t="str">
        <f t="shared" ca="1" si="458"/>
        <v/>
      </c>
      <c r="IU188" s="259" t="str">
        <f t="shared" ca="1" si="459"/>
        <v/>
      </c>
      <c r="IV188" s="259" t="str">
        <f t="shared" ca="1" si="460"/>
        <v/>
      </c>
      <c r="IW188" s="259" t="str">
        <f t="shared" ca="1" si="461"/>
        <v/>
      </c>
      <c r="IX188" s="259" t="str">
        <f t="shared" ca="1" si="462"/>
        <v/>
      </c>
      <c r="IY188" s="259" t="str">
        <f t="shared" ca="1" si="463"/>
        <v/>
      </c>
      <c r="IZ188" s="259" t="str">
        <f t="shared" ca="1" si="464"/>
        <v/>
      </c>
      <c r="JA188" s="259" t="str">
        <f t="shared" ca="1" si="465"/>
        <v/>
      </c>
      <c r="JB188" s="259">
        <f t="shared" ca="1" si="391"/>
        <v>0</v>
      </c>
      <c r="JC188" s="259">
        <f t="shared" ca="1" si="504"/>
        <v>0</v>
      </c>
      <c r="JD188" s="259">
        <f t="shared" ca="1" si="505"/>
        <v>0</v>
      </c>
      <c r="JM188" s="259">
        <f t="shared" ca="1" si="506"/>
        <v>0</v>
      </c>
    </row>
    <row r="189" spans="1:273">
      <c r="A189" s="259" t="str">
        <f t="shared" si="392"/>
        <v>39.00</v>
      </c>
      <c r="B189" s="259" t="str">
        <f t="shared" si="393"/>
        <v>ONERI DIVERSI</v>
      </c>
      <c r="C189" s="259">
        <f t="shared" si="394"/>
        <v>0</v>
      </c>
      <c r="D189" s="259">
        <f t="shared" si="395"/>
        <v>0</v>
      </c>
      <c r="E189" s="259">
        <f t="shared" si="396"/>
        <v>0</v>
      </c>
      <c r="F189" s="259">
        <f t="shared" si="397"/>
        <v>0</v>
      </c>
      <c r="G189" s="259">
        <f t="shared" ca="1" si="398"/>
        <v>0</v>
      </c>
      <c r="H189" s="259">
        <f t="shared" ca="1" si="399"/>
        <v>0</v>
      </c>
      <c r="I189" s="259">
        <f t="shared" ca="1" si="400"/>
        <v>0</v>
      </c>
      <c r="K189" s="259" t="str">
        <f ca="1">IFERROR(IF($I$1=1,INDEX($AA$3:$AS$220,MATCH(ROWS($K$3:K189),$AQ$3:$AQ$220,0),1),IF($I$1=2,INDEX($AA$3:$AS$220,MATCH(ROWS($K$3:K189),$AR$3:$AR$220,0),1),IF($I$1=3,INDEX($AA$3:$AS$220,MATCH(ROWS($K$3:K189),$AS$3:$AS$220,0),1),""))),"")</f>
        <v/>
      </c>
      <c r="L189" s="259">
        <f ca="1">IF(AND($L$1="VISUALIZZA TUTTI I CONTI",K189&lt;&gt;""),MAX(L188:L188)+1,IFERROR(IF($J$1=1,IF(INDEX(PIANO_DEI_CONTI,MATCH($K189,DENOMINAZIONE,0),5)=$L$1,MAX($L$2:L188)+1,0),IF($J$1=2,IF(INDEX(PIANO_DEI_CONTI,MATCH($K189,DENOMINAZIONE,0),7)=$L$1,MAX($L$2:L188)+1,0))),0))</f>
        <v>0</v>
      </c>
      <c r="M189" s="259" t="str">
        <f ca="1">IFERROR(INDEX($K$3:$K$220,MATCH(ROWS($M$3:M189),$L$3:$L$220,0),1),"")</f>
        <v/>
      </c>
      <c r="R189" s="259" t="str">
        <f t="shared" ca="1" si="366"/>
        <v/>
      </c>
      <c r="S189" s="259">
        <f ca="1">IF(IFERROR(MATCH(R189,DENOMINAZIONE_GIORNALE,0),0)&gt;0,MAX(S$2:S188)+1,0)</f>
        <v>0</v>
      </c>
      <c r="T189" s="259" t="str">
        <f ca="1">IFERROR(INDEX($R$3:$S$220,MATCH(ROWS($T$3:T189),$S$3:$S$220,0),1),"")</f>
        <v/>
      </c>
      <c r="U189" s="259">
        <f t="shared" ca="1" si="367"/>
        <v>0</v>
      </c>
      <c r="V189" s="259">
        <f ca="1">IF(IF(U189&lt;&gt;0,MAX($V$2:V188)+1,0)=0,0,IF(U189&lt;&gt;0,MAX($V$2:V188)+1,0))</f>
        <v>0</v>
      </c>
      <c r="W189" s="259" t="str">
        <f t="shared" si="401"/>
        <v/>
      </c>
      <c r="X189" s="259" t="str">
        <f t="shared" si="402"/>
        <v/>
      </c>
      <c r="Y189" s="259">
        <f>IF(W189="",0,MAX($Y$2:Y188)+1)</f>
        <v>0</v>
      </c>
      <c r="Z189" s="259" t="str">
        <f>IFERROR(INDEX($W$3:$Y$220,MATCH(ROWS($Z$2:Z188),$Y$3:$Y$220,0),1),"")</f>
        <v/>
      </c>
      <c r="AA189" s="259" t="str">
        <f t="shared" si="403"/>
        <v/>
      </c>
      <c r="AB189" s="259" t="str">
        <f t="shared" si="404"/>
        <v/>
      </c>
      <c r="AC189" s="259" t="str">
        <f t="shared" si="405"/>
        <v/>
      </c>
      <c r="AD189" s="259" t="str">
        <f t="shared" si="406"/>
        <v/>
      </c>
      <c r="AE189" s="259" t="str">
        <f t="shared" si="407"/>
        <v/>
      </c>
      <c r="AF189" s="259" t="str">
        <f t="shared" si="408"/>
        <v/>
      </c>
      <c r="AG189" s="259" t="str">
        <f t="shared" si="409"/>
        <v/>
      </c>
      <c r="AH189" s="259" t="str">
        <f t="shared" si="410"/>
        <v/>
      </c>
      <c r="AI189" s="259" t="str">
        <f t="shared" si="411"/>
        <v/>
      </c>
      <c r="AJ189" s="259" t="str">
        <f t="shared" si="412"/>
        <v/>
      </c>
      <c r="AK189" s="259" t="str">
        <f t="shared" si="413"/>
        <v>39</v>
      </c>
      <c r="AL189" s="259">
        <f>IF(AK189&lt;&gt;"",MAX($AL$2:AL188)+1,0)</f>
        <v>28</v>
      </c>
      <c r="AM189" s="259" t="str">
        <f>IFERROR(INDEX($AK$3:$AL$220,MATCH(ROWS($AM$3:AM189),$AL$3:$AL$220,0),1),"")</f>
        <v/>
      </c>
      <c r="AN189" s="259" t="str">
        <f t="shared" si="414"/>
        <v/>
      </c>
      <c r="AO189" s="259" t="str">
        <f t="shared" si="415"/>
        <v/>
      </c>
      <c r="AP189" s="259" t="str">
        <f t="shared" si="416"/>
        <v/>
      </c>
      <c r="AQ189" s="259">
        <f>IF(OR(AG189=0,AG189=""),0,MAX(AQ$2:AQ188)+1)</f>
        <v>0</v>
      </c>
      <c r="AR189" s="259">
        <f>IF(OR(AH189=0,AH189=""),0,MAX(AR$2:AR188)+1)</f>
        <v>0</v>
      </c>
      <c r="AS189" s="259">
        <f>IF(OR(AI189=0,AI189=""),0,MAX(AS$2:AS188)+1)</f>
        <v>0</v>
      </c>
      <c r="AT189" s="259" t="str">
        <f ca="1">IFERROR(INDEX($AD$3:$AS$220,MATCH(ROWS(AT$3:AT189),AQ$3:AQ$220,0),1),"")</f>
        <v/>
      </c>
      <c r="AU189" s="259" t="str">
        <f ca="1">IFERROR(INDEX($AD$3:$AS$220,MATCH(ROWS(AU$3:AU189),AR$3:AR$220,0),1),"")</f>
        <v/>
      </c>
      <c r="AV189" s="259" t="str">
        <f ca="1">IFERROR(INDEX($AD$3:$AS$220,MATCH(ROWS(AV$3:AV189),AS$3:AS$220,0),1),"")</f>
        <v/>
      </c>
      <c r="AW189" s="259" t="str">
        <f ca="1">IFERROR(INDEX($AP$3:$AS$220,MATCH(ROWS(AW$3:AW189),AQ$3:AQ$220,0),1),"")</f>
        <v/>
      </c>
      <c r="AX189" s="259" t="str">
        <f ca="1">IFERROR(INDEX($AP$3:$AS$220,MATCH(ROWS(AX$3:AX189),AR$3:AR$220,0),1),"")</f>
        <v/>
      </c>
      <c r="AY189" s="259" t="str">
        <f ca="1">IFERROR(INDEX($AP$3:$AS$220,MATCH(ROWS(AY$3:AY189),AS$3:AS$220,0),1),"")</f>
        <v/>
      </c>
      <c r="AZ189" s="259" t="str">
        <f t="shared" si="490"/>
        <v>87 V.I.</v>
      </c>
      <c r="BA189" s="259">
        <f t="shared" ca="1" si="484"/>
        <v>0</v>
      </c>
      <c r="BB189" s="259">
        <f t="shared" ca="1" si="491"/>
        <v>0</v>
      </c>
      <c r="BC189" s="259">
        <f t="shared" ca="1" si="492"/>
        <v>0</v>
      </c>
      <c r="BD189" s="259">
        <f t="shared" ca="1" si="493"/>
        <v>0</v>
      </c>
      <c r="BE189" s="259">
        <f t="shared" ca="1" si="494"/>
        <v>0</v>
      </c>
      <c r="BG189" s="259" t="str">
        <f t="shared" ca="1" si="368"/>
        <v/>
      </c>
      <c r="BH189" s="259">
        <f ca="1">IF(IFERROR(MATCH(BG189,DENOMINAZIONE_GIORNALE,0),0)&gt;0,MAX(BH$2:BH188)+1,0)</f>
        <v>0</v>
      </c>
      <c r="BI189" s="259" t="str">
        <f ca="1">IFERROR(INDEX($BG$3:$BH$220,MATCH(ROWS($BI$3:BI189),$BH$3:$BH$220,0),1),"")</f>
        <v/>
      </c>
      <c r="BJ189" s="259" t="str">
        <f t="shared" ca="1" si="369"/>
        <v/>
      </c>
      <c r="BK189" s="259" t="str">
        <f ca="1">IF(IF(BJ189&lt;&gt;"",MAX($BK$2:BK188)+1,0)=0,"",IF(BJ189&lt;&gt;"",MAX($BK$2:BK188)+1,0))</f>
        <v/>
      </c>
      <c r="BL189" s="259" t="str">
        <f ca="1">IFERROR(INDEX($T$3:$U$220, MATCH(ROWS(BL$3:BL189),$V$3:$V$220,0),1),"")</f>
        <v/>
      </c>
      <c r="BM189" s="259" t="str">
        <f ca="1">IFERROR(INDEX($T$3:$U$220, MATCH(ROWS(BM$3:BM189),$V$3:$V$220,0),2),"")</f>
        <v/>
      </c>
      <c r="BN189" s="259" t="str">
        <f ca="1">IF(IFERROR(INDEX($BI$3:$BJ$220,MATCH(ROWS(BN$3:BN189),$BK$3:$BK$220,0),1),"")="PATRIMONIO NETTO","",IFERROR(INDEX($BI$3:$BJ$220,MATCH(ROWS(BN$3:BN189),$BK$3:$BK$220,0),1),""))</f>
        <v/>
      </c>
      <c r="BO189" s="259" t="str">
        <f ca="1">IFERROR(INDEX($BI$3:$BJ$220,MATCH(ROWS(BO$3:BO189),$BK$3:$BK$220,0),2),"")</f>
        <v/>
      </c>
      <c r="BP189" s="259">
        <f ca="1">IF(BN189&lt;&gt;"",MAX(BP$2:$BP188)+1,0)</f>
        <v>0</v>
      </c>
      <c r="BQ189" s="259" t="str">
        <f ca="1">IFERROR(INDEX($BN$3:$BO$200,MATCH(ROWS(BQ$3:BQ189),$BP$3:$BP$220,0),1),"")</f>
        <v/>
      </c>
      <c r="BR189" s="259" t="str">
        <f ca="1">IFERROR(INDEX($BN$3:$BO$220,MATCH(ROWS(BR$3:BR189),$BP$3:$BP$220,0),2),"")</f>
        <v/>
      </c>
      <c r="BS189" s="259" t="str">
        <f ca="1">IFERROR(IF(OR(INDEX($T$3:$U$220,MATCH(ROWS(BL$3:BL189),$V$3:$V$220,0),1)="PRELEVAMENTI EXTRAGESTIONE",INDEX($T$3:$U$220,MATCH(ROWS(BL$3:BL189),$V$3:$V$220,0),1)="TITOLARE C/RITENUTE SUBITE"),"",INDEX($T$3:$U$220,MATCH(ROWS(BL$3:BL189),$V$3:$V$220,0),1)),"")</f>
        <v/>
      </c>
      <c r="BT189" s="259">
        <f t="shared" ca="1" si="417"/>
        <v>0</v>
      </c>
      <c r="BU189" s="259">
        <f ca="1">IF(BS189&lt;&gt;"",MAX(BU$2:BU188)+1,0)</f>
        <v>0</v>
      </c>
      <c r="BV189" s="259" t="str">
        <f ca="1">IFERROR(INDEX($BS$3:$BT$223,MATCH(ROWS(BV$3:BV189),$BU$3:$BU$223,0),1),"")</f>
        <v/>
      </c>
      <c r="BW189" s="259">
        <f t="shared" ca="1" si="418"/>
        <v>0</v>
      </c>
      <c r="CB189" s="259" t="str">
        <f ca="1">IFERROR(IF(OR($BB$1&lt;&gt;$BD$1,$BC$1&lt;&gt;$BE$1,$DS$231&lt;&gt;$DT$231,$DU$231&lt;&gt;$DV$231,$EO$25&lt;&gt;0,$EO$26&lt;&gt;0),INDEX($BI$3:$BK$220,MATCH(ROWS($CB$3:CB189),$BK$3:$BK$220,0),1),CONCATENATE(BQ189,BX189)),"")</f>
        <v/>
      </c>
      <c r="CC189" s="259" t="str">
        <f t="shared" ca="1" si="419"/>
        <v/>
      </c>
      <c r="CD189" s="259" t="str">
        <f t="shared" ca="1" si="370"/>
        <v/>
      </c>
      <c r="CE189" s="259">
        <f ca="1">IF(IFERROR(MATCH(CD189,DENOMINAZIONE_GIORNALE,0),0)&gt;0,MAX(CE$2:CE188)+1,0)</f>
        <v>0</v>
      </c>
      <c r="CF189" s="259" t="str">
        <f ca="1">IFERROR(INDEX($CD$3:$CE$220,MATCH(ROWS($CF$3:CF189),$CE$3:$CE$220,0),1),"")</f>
        <v/>
      </c>
      <c r="CG189" s="259">
        <f t="shared" ca="1" si="371"/>
        <v>0</v>
      </c>
      <c r="CH189" s="259" t="str">
        <f ca="1">IF(IF(CG189&lt;&gt;0,MAX($CH$2:CH188)+1,0)=0,"",IF(CG189&lt;&gt;"",MAX($CH$2:CH188)+1,0))</f>
        <v/>
      </c>
      <c r="CI189" s="259" t="str">
        <f ca="1">IFERROR(INDEX($CF$3:$CG$220,MATCH(ROWS($CI$3:CI189),$CH$3:$CH$220,0),1),"")</f>
        <v/>
      </c>
      <c r="CJ189" s="259" t="str">
        <f t="shared" ca="1" si="420"/>
        <v/>
      </c>
      <c r="CK189" s="259" t="str">
        <f t="shared" ca="1" si="372"/>
        <v/>
      </c>
      <c r="CL189" s="259">
        <f ca="1">IF(IFERROR(MATCH(CK189,DENOMINAZIONE_GIORNALE,0),0)&gt;0,MAX(CL$2:CL188)+1,0)</f>
        <v>0</v>
      </c>
      <c r="CM189" s="259" t="str">
        <f ca="1">IFERROR(INDEX($CK$3:$CL$220,MATCH(ROWS($CM$3:CM189),$CL$3:$CL$220,0),1),"")</f>
        <v/>
      </c>
      <c r="CN189" s="259" t="str">
        <f t="shared" ca="1" si="373"/>
        <v/>
      </c>
      <c r="CO189" s="259">
        <f ca="1">IF(IF(CN189&lt;&gt;0,MAX($CO$2:CO188)+1,0)=0,"",IF(CN189&lt;&gt;"",MAX($CO$2:CO188)+1,0))</f>
        <v>0</v>
      </c>
      <c r="CP189" s="259" t="str">
        <f ca="1">IFERROR(INDEX($CM$3:$CN$220,MATCH(ROWS(CP$3:CP189),$CO$3:$CO$220,0),1),"")</f>
        <v/>
      </c>
      <c r="CQ189" s="259" t="str">
        <f ca="1">IFERROR(INDEX($CM$3:$CN$220,MATCH(ROWS(CQ$3:CQ189),$CO$3:$CO$220,0),2),"")</f>
        <v/>
      </c>
      <c r="CS189" s="259">
        <f t="shared" ca="1" si="374"/>
        <v>0</v>
      </c>
      <c r="CT189" s="259">
        <f t="shared" ca="1" si="375"/>
        <v>0</v>
      </c>
      <c r="CU189" s="259">
        <f ca="1">IF(OR(CS189&gt;0,CT189&gt;0),MAX($CU$2:CU188)+1,0)</f>
        <v>0</v>
      </c>
      <c r="CV189" s="259" t="str">
        <f ca="1">IFERROR(INDEX(PIANO_DEI_CONTI,MATCH(ROWS($CV$3:CV189),$CU$3:$CU$200,0),2),"")</f>
        <v/>
      </c>
      <c r="CW189" s="259">
        <f ca="1">IFERROR(IF(CV189&lt;&gt;"",MAX($CW$2:CW188)+1,0),0)</f>
        <v>0</v>
      </c>
      <c r="CX189" s="259">
        <f t="shared" ca="1" si="508"/>
        <v>11</v>
      </c>
      <c r="CY189" s="259" t="str">
        <f t="shared" ca="1" si="495"/>
        <v>MASTRO</v>
      </c>
      <c r="CZ189" s="259" t="e">
        <f t="shared" ca="1" si="510"/>
        <v>#N/A</v>
      </c>
      <c r="DA189" s="259" t="str">
        <f t="shared" ca="1" si="515"/>
        <v/>
      </c>
      <c r="DB189" s="259" t="str">
        <f t="shared" ca="1" si="511"/>
        <v/>
      </c>
      <c r="DC189" s="259" t="str">
        <f t="shared" ca="1" si="512"/>
        <v/>
      </c>
      <c r="DD189" s="259" t="str">
        <f t="shared" ca="1" si="513"/>
        <v/>
      </c>
      <c r="DE189" s="259" t="str">
        <f t="shared" ca="1" si="514"/>
        <v/>
      </c>
      <c r="DF189" s="259">
        <f ca="1">IF(AND(CX189=$DE$2,$DF$2&lt;&gt;0),0,IF(AND(DB189&lt;&gt;"",OR(DB188&lt;&gt;"",DB190&lt;&gt;"")),MAX($DF$2:DF188)+1,0))</f>
        <v>0</v>
      </c>
      <c r="DG189" s="259" t="str">
        <f>IF(IF(LIBRO_GIORNALE!E97="","",IFERROR(INDEX(PIANO_DEI_CONTI,MATCH(BB189,DENOMINAZIONE,0),1),0))=0,"",IF(LIBRO_GIORNALE!E97="","",IFERROR(INDEX(PIANO_DEI_CONTI,MATCH(BB189,DENOMINAZIONE,0),1),0)))</f>
        <v/>
      </c>
      <c r="DH189" s="259">
        <f ca="1">IFERROR(IF($J$1=1,IF(INDEX(PIANO_DEI_CONTI,MATCH($K189,DENOMINAZIONE,0),5)=$DF$1,MAX($DH$2:DH188)+1,0),IF($J$1=2,IF(INDEX(PIANO_DEI_CONTI,MATCH($K189,DENOMINAZIONE,0),7)=$DF$1,MAX($DH$2:DH188)+1,0))),0)</f>
        <v>0</v>
      </c>
      <c r="DI189" s="259">
        <f ca="1">IFERROR(INDEX($K$3:$K$220,MATCH(ROWS($DI$3:DI189),$DH$3:$DH$220,0),1),0)</f>
        <v>0</v>
      </c>
      <c r="DJ189" s="259">
        <f t="shared" ca="1" si="381"/>
        <v>0</v>
      </c>
      <c r="DK189" s="259">
        <f ca="1">IF(DJ189=0,0,MAX(DK$2:DK188)+1)</f>
        <v>0</v>
      </c>
      <c r="DL189" s="259">
        <f ca="1">IFERROR(INDEX(PIANO_DEI_CONTI,MATCH(ROWS(DL$3:DL189),$DK$3:DK416,0),2),0)</f>
        <v>0</v>
      </c>
      <c r="DM189" s="259">
        <f t="shared" ca="1" si="382"/>
        <v>0</v>
      </c>
      <c r="DN189" s="259">
        <f t="shared" ca="1" si="383"/>
        <v>0</v>
      </c>
      <c r="DO189" s="259">
        <f t="shared" ca="1" si="422"/>
        <v>0</v>
      </c>
      <c r="DP189" s="259">
        <f t="shared" ca="1" si="423"/>
        <v>0</v>
      </c>
      <c r="DQ189" s="259">
        <f ca="1">IF(OR($DQ$1="TOTALI",$DQ$1="TOTALI ED ECCEDENZE"),IF(OR(DM189&gt;0,DN189&gt;0),MAX(DQ$2:DQ188)+1,0),IF($DQ$1="ECCEDENZE",IF(OR(DO189&gt;0,DP189&gt;0),MAX(DQ$2:DQ188)+1,0),""))</f>
        <v>0</v>
      </c>
      <c r="DR189" s="259" t="str">
        <f ca="1">IFERROR(INDEX($DL$3:$DQ$230,MATCH(ROWS(DR$3:DR189),$DQ$3:$DQ$230,0),1),"")</f>
        <v/>
      </c>
      <c r="DS189" s="259" t="str">
        <f t="shared" ca="1" si="424"/>
        <v/>
      </c>
      <c r="DT189" s="259" t="str">
        <f t="shared" ca="1" si="425"/>
        <v/>
      </c>
      <c r="DU189" s="259" t="str">
        <f t="shared" ca="1" si="426"/>
        <v/>
      </c>
      <c r="DV189" s="259" t="str">
        <f t="shared" ca="1" si="427"/>
        <v/>
      </c>
      <c r="DW189" s="259">
        <f t="shared" ca="1" si="428"/>
        <v>0</v>
      </c>
      <c r="DX189" s="259" t="str">
        <f t="shared" ca="1" si="429"/>
        <v/>
      </c>
      <c r="DY189" s="259" t="str">
        <f t="shared" ca="1" si="430"/>
        <v/>
      </c>
      <c r="DZ189" s="259" t="str">
        <f t="shared" ca="1" si="431"/>
        <v/>
      </c>
      <c r="ED189" s="259">
        <f t="shared" ca="1" si="384"/>
        <v>0</v>
      </c>
      <c r="EH189" s="259" t="str">
        <f t="shared" ca="1" si="432"/>
        <v/>
      </c>
      <c r="EI189" s="260" t="b">
        <f t="shared" ca="1" si="466"/>
        <v>0</v>
      </c>
      <c r="EJ189" s="260" t="b">
        <f t="shared" ca="1" si="467"/>
        <v>0</v>
      </c>
      <c r="EK189" s="260" t="b">
        <f t="shared" ca="1" si="468"/>
        <v>0</v>
      </c>
      <c r="EL189" s="259">
        <f t="shared" si="433"/>
        <v>187</v>
      </c>
      <c r="EM189" s="259">
        <f ca="1">IF(AND(BA189&gt;0,BA189&lt;=$EM$1),MAX($EM$2:EM188)+1,0)</f>
        <v>0</v>
      </c>
      <c r="EN189" s="259">
        <f t="shared" ca="1" si="434"/>
        <v>189</v>
      </c>
      <c r="EP189" s="259" t="str">
        <f t="shared" ca="1" si="385"/>
        <v/>
      </c>
      <c r="EQ189" s="259">
        <f t="shared" ca="1" si="386"/>
        <v>0</v>
      </c>
      <c r="ER189" s="259">
        <f ca="1">IF(ISNA(EQ189),MAX(ER$2:ER188)+1,0)</f>
        <v>0</v>
      </c>
      <c r="ES189" s="259" t="str">
        <f t="shared" ca="1" si="435"/>
        <v/>
      </c>
      <c r="ET189" s="259" t="str">
        <f ca="1">IFERROR(UPPER(INDEX($ER$3:$ES$500,MATCH(ROWS(ET$3:ET189),$ER$3:$ER$500,0),2)),"")</f>
        <v/>
      </c>
      <c r="EW189" s="259">
        <f t="shared" ca="1" si="497"/>
        <v>1</v>
      </c>
      <c r="EX189" s="259">
        <v>87</v>
      </c>
      <c r="EY189" s="259">
        <f t="shared" ca="1" si="498"/>
        <v>0</v>
      </c>
      <c r="EZ189" s="259">
        <f t="shared" ca="1" si="499"/>
        <v>0</v>
      </c>
      <c r="FA189" s="259">
        <f t="shared" ca="1" si="500"/>
        <v>0</v>
      </c>
      <c r="FB189" s="259">
        <f t="shared" ca="1" si="501"/>
        <v>0</v>
      </c>
      <c r="FC189" s="259">
        <f t="shared" ca="1" si="502"/>
        <v>0</v>
      </c>
      <c r="FD189" s="259">
        <f t="shared" ca="1" si="387"/>
        <v>0</v>
      </c>
      <c r="FE189" s="259" t="str">
        <f t="shared" ca="1" si="388"/>
        <v/>
      </c>
      <c r="FF189" s="259" t="str">
        <f t="shared" ca="1" si="503"/>
        <v/>
      </c>
      <c r="FM189" s="259">
        <f t="shared" si="389"/>
        <v>0</v>
      </c>
      <c r="FN189" s="259">
        <f>IF(FM189&lt;0,MAX($FN$2:FN188)+1,0)</f>
        <v>0</v>
      </c>
      <c r="FO189" s="259" t="str">
        <f t="shared" si="436"/>
        <v/>
      </c>
      <c r="FP189" s="259" t="str">
        <f ca="1">IFERROR(INDEX($FN$3:$FO$400,MATCH(ROWS($FP$3:FP189),$FN$3:$FN$400,0),2),"")</f>
        <v/>
      </c>
      <c r="FQ189" s="259" t="str">
        <f>IF(AE189="SE AVERE",MAX($FQ$2:FQ188)+1,"")</f>
        <v/>
      </c>
      <c r="FR189" s="259" t="str">
        <f>IF(AE189="SE DARE",MAX($FR$2:FR188)+1,"")</f>
        <v/>
      </c>
      <c r="FS189" s="259" t="str">
        <f ca="1">IF(AND(AE189="SP DARE",AA189&lt;&gt;$FS$1,AA189&lt;&gt;$FT$1),MAX($FS$2:FS188)+1,IF(AND(GQ189="SP DARE",AA189&lt;&gt;$FS$1,AA189&lt;&gt;$FT$1),MAX($FS$2:FS188)+1,""))</f>
        <v/>
      </c>
      <c r="FT189" s="259" t="str">
        <f ca="1">IF(AND(AE189="SP AVERE",AA189&lt;&gt;$FU$1),MAX($FT$2:FT188)+1,IF(AND(GQ189="SP AVERE",AA189&lt;&gt;$FU$1),MAX($FT$2:FT188)+1,""))</f>
        <v/>
      </c>
      <c r="FU189" s="259">
        <f t="shared" ca="1" si="437"/>
        <v>0</v>
      </c>
      <c r="FV189" s="259" t="str">
        <f t="shared" si="438"/>
        <v/>
      </c>
      <c r="FW189" s="259">
        <f ca="1">IFERROR(INDEX($FU$3:$FV$500,MATCH(ROWS($FW$3:FW189),$FU$3:$FU$500,0),2),0)</f>
        <v>0</v>
      </c>
      <c r="FX189" s="259">
        <f t="shared" ca="1" si="439"/>
        <v>0</v>
      </c>
      <c r="FY189" s="259">
        <f t="shared" ca="1" si="440"/>
        <v>0</v>
      </c>
      <c r="FZ189" s="259">
        <f ca="1">IF(FY189&gt;0,MAX($FZ$2:FZ188)+1,0)</f>
        <v>0</v>
      </c>
      <c r="GA189" s="259">
        <f ca="1">IFERROR(INDEX($FY$3:$FZ$500,MATCH(ROWS($GA$3:GA189),$FZ$3:$FZ$500,0),1),0)</f>
        <v>0</v>
      </c>
      <c r="GC189" s="259">
        <f t="shared" ca="1" si="441"/>
        <v>0</v>
      </c>
      <c r="GD189" s="259">
        <f t="shared" ca="1" si="442"/>
        <v>0</v>
      </c>
      <c r="GG189" s="259">
        <f t="shared" ca="1" si="443"/>
        <v>0</v>
      </c>
      <c r="GH189" s="259">
        <f t="shared" ca="1" si="444"/>
        <v>0</v>
      </c>
      <c r="GI189" s="259">
        <f t="shared" ca="1" si="445"/>
        <v>0</v>
      </c>
      <c r="GJ189" s="259">
        <f t="shared" ca="1" si="446"/>
        <v>0</v>
      </c>
      <c r="GK189" s="259">
        <f t="shared" ca="1" si="447"/>
        <v>0</v>
      </c>
      <c r="GL189" s="259">
        <f t="shared" ca="1" si="447"/>
        <v>0</v>
      </c>
      <c r="GM189" s="259">
        <f ca="1">IF(OR(GK189&gt;0,GL189&gt;0),MAX($GM$2:GM188)+1,0)</f>
        <v>0</v>
      </c>
      <c r="GN189" s="259" t="str">
        <f ca="1">IFERROR(INDEX($GD$3:$GM$400,MATCH(ROWS($GN$3:GN189),$GM$3:$GM$400,0),1),"")</f>
        <v/>
      </c>
      <c r="GO189" s="259" t="str">
        <f ca="1">IFERROR(INDEX($GD$3:$GM$400,MATCH(ROWS($GO$3:GO189),$GM$3:$GM$400,0),8),"")</f>
        <v/>
      </c>
      <c r="GP189" s="259" t="str">
        <f ca="1">IFERROR(INDEX($GD$3:$GM$400,MATCH(ROWS($GP$3:GP189),$GM$3:$GM$400,0),9),"")</f>
        <v/>
      </c>
      <c r="GQ189" s="259">
        <f t="shared" ca="1" si="390"/>
        <v>0</v>
      </c>
      <c r="GR189" s="259">
        <f t="shared" ca="1" si="448"/>
        <v>0</v>
      </c>
      <c r="GS189" s="259" t="str">
        <f t="shared" ca="1" si="449"/>
        <v/>
      </c>
      <c r="GT189" s="259" t="str">
        <f ca="1">IFERROR(INDEX($GD$3:$GS$400,MATCH(ROWS($GT$3:GT189),$GM$3:$GM$400,0),16),"")</f>
        <v/>
      </c>
      <c r="GU189" s="259">
        <f ca="1">IF(GQ189&lt;&gt;0,MAX($GU$2:$GU188)+1,0)</f>
        <v>0</v>
      </c>
      <c r="GV189" s="259">
        <f t="shared" ca="1" si="450"/>
        <v>0</v>
      </c>
      <c r="GW189" s="259" t="str">
        <f ca="1">IF(AND(IFERROR(INDEX($GU$3:$GV$400,MATCH(ROWS($GW$3:GW189),$GU$3:$GU$400,0),2),"")&lt;&gt;"",GW190&lt;&gt;""),CONCATENATE(IFERROR(INDEX($GU$3:$GV$400,MATCH(ROWS($GW$3:GW189),$GU$3:$GU$400,0),2),"")," - "),IFERROR(INDEX($GU$3:$GV$400,MATCH(ROWS($GW$3:GW189),$GU$3:$GU$400,0),2),""))</f>
        <v/>
      </c>
      <c r="GX189" s="259">
        <f ca="1">IF(OR(GN189="IVA NS/CREDITO",GN189="IVA NS/DEBITO",GN189="IVA C/ACCONTO",GN189="IMPOSTE C/ACCONTO"),MAX($GX$2:GX188)+1,0)</f>
        <v>0</v>
      </c>
      <c r="GY189" s="259" t="str">
        <f ca="1">IF(AND(IFERROR(INDEX($GN$3:$GX$200,MATCH(ROWS($GY$3:GY189),$GX$3:$GX$200,0),1),"")&lt;&gt;"",GY190&lt;&gt;""),CONCATENATE(IFERROR(INDEX($GN$3:$GX$200,MATCH(ROWS($GY$3:GY189),$GX$3:$GX$200,0),1),"")," - "),IFERROR(INDEX($GN$3:$GX$200,MATCH(ROWS($GY$3:GY189),$GX$3:$GX$200,0),1),""))</f>
        <v/>
      </c>
      <c r="GZ189" s="259" t="s">
        <v>188</v>
      </c>
      <c r="HA189" s="270" t="s">
        <v>187</v>
      </c>
      <c r="HV189" s="259" t="str">
        <f ca="1">CONCATENATE(IFERROR(INDEX($HS$3:$HT$102,MATCH(ROWS($HV$3:HV189),$HT$3:$HT$102,0),1),""),HR189)</f>
        <v/>
      </c>
      <c r="IC189" s="259">
        <f ca="1">IFERROR(INDEX(PIANO_DEI_CONTI,MATCH(ROWS(DL$3:DL189),$DK$3:DK416,0),2),0)</f>
        <v>0</v>
      </c>
      <c r="ID189" s="259">
        <f t="shared" ca="1" si="451"/>
        <v>0</v>
      </c>
      <c r="IE189" s="259">
        <f t="shared" ca="1" si="452"/>
        <v>0</v>
      </c>
      <c r="IF189" s="259">
        <f t="shared" ca="1" si="453"/>
        <v>0</v>
      </c>
      <c r="IG189" s="259">
        <f t="shared" ca="1" si="479"/>
        <v>0</v>
      </c>
      <c r="IH189" s="259">
        <f ca="1">IF(IG189&lt;&gt;0,MAX($IH$35:IH188)+1,0)</f>
        <v>0</v>
      </c>
      <c r="II189" s="259">
        <f>IF(AD189="costi pluriennali",MAX($II$2:II188)+1,0)</f>
        <v>0</v>
      </c>
      <c r="IJ189" s="259">
        <f>IF($AD189="rettifiche costi pluriennali",MAX($IJ$2:IJ188)+1,0)</f>
        <v>0</v>
      </c>
      <c r="IK189" s="259">
        <f t="shared" si="454"/>
        <v>0</v>
      </c>
      <c r="IL189" s="259" t="str">
        <f t="shared" si="455"/>
        <v/>
      </c>
      <c r="IM189" s="259">
        <f t="shared" ca="1" si="456"/>
        <v>0</v>
      </c>
      <c r="IN189" s="259">
        <f t="shared" ca="1" si="470"/>
        <v>0</v>
      </c>
      <c r="IO189" s="259">
        <f>SUMIFS($IM$3:$IM$200,$IK$3:$IK$200,ROWS($IO$3:IO189))-SUMIFS($IN$3:$IN$200,$IK$3:$IK$200,ROWS($IO$3:IO189))</f>
        <v>0</v>
      </c>
      <c r="IP189" s="259" t="str">
        <f>IF(IO189&lt;0,INDEX($IJ$3:$IL$200,MATCH(ROWS($IP$3:IP189),$IJ$3:$IJ$200,0),3),"")</f>
        <v/>
      </c>
      <c r="IQ189" s="259">
        <f>IF(IP189&lt;&gt;"",MAX($IQ$2:IQ188)+1,0)</f>
        <v>0</v>
      </c>
      <c r="IR189" s="259" t="str">
        <f ca="1">IFERROR(INDEX($IP$3:$IQ$200,MATCH(ROWS($IR$3:IR189),$IQ$3:$IQ$200,0),1),"")</f>
        <v/>
      </c>
      <c r="IS189" s="259" t="str">
        <f t="shared" ca="1" si="457"/>
        <v/>
      </c>
      <c r="IT189" s="259" t="str">
        <f t="shared" ca="1" si="458"/>
        <v/>
      </c>
      <c r="IU189" s="259" t="str">
        <f t="shared" ca="1" si="459"/>
        <v/>
      </c>
      <c r="IV189" s="259" t="str">
        <f t="shared" ca="1" si="460"/>
        <v/>
      </c>
      <c r="IW189" s="259" t="str">
        <f t="shared" ca="1" si="461"/>
        <v/>
      </c>
      <c r="IX189" s="259" t="str">
        <f t="shared" ca="1" si="462"/>
        <v/>
      </c>
      <c r="IY189" s="259" t="str">
        <f t="shared" ca="1" si="463"/>
        <v/>
      </c>
      <c r="IZ189" s="259" t="str">
        <f t="shared" ca="1" si="464"/>
        <v/>
      </c>
      <c r="JA189" s="259" t="str">
        <f t="shared" ca="1" si="465"/>
        <v/>
      </c>
      <c r="JB189" s="259">
        <f t="shared" ca="1" si="391"/>
        <v>0</v>
      </c>
      <c r="JC189" s="259">
        <f t="shared" ca="1" si="504"/>
        <v>0</v>
      </c>
      <c r="JD189" s="259">
        <f t="shared" ca="1" si="505"/>
        <v>0</v>
      </c>
      <c r="JM189" s="259">
        <f t="shared" ca="1" si="506"/>
        <v>0</v>
      </c>
    </row>
    <row r="190" spans="1:273">
      <c r="A190" s="259" t="str">
        <f t="shared" si="392"/>
        <v>39.01</v>
      </c>
      <c r="B190" s="259" t="str">
        <f t="shared" si="393"/>
        <v>ARROTONDAMENTI PASSIVI</v>
      </c>
      <c r="C190" s="259" t="str">
        <f t="shared" si="394"/>
        <v>E</v>
      </c>
      <c r="D190" s="259" t="str">
        <f t="shared" si="395"/>
        <v>D</v>
      </c>
      <c r="E190" s="259" t="str">
        <f t="shared" si="396"/>
        <v>COSTI D'ESERCIZIO</v>
      </c>
      <c r="F190" s="259" t="str">
        <f t="shared" si="397"/>
        <v>SE DARE</v>
      </c>
      <c r="G190" s="259">
        <f t="shared" ca="1" si="398"/>
        <v>1</v>
      </c>
      <c r="H190" s="259">
        <f t="shared" ca="1" si="399"/>
        <v>1</v>
      </c>
      <c r="I190" s="259">
        <f t="shared" ca="1" si="400"/>
        <v>1</v>
      </c>
      <c r="K190" s="259" t="str">
        <f ca="1">IFERROR(IF($I$1=1,INDEX($AA$3:$AS$220,MATCH(ROWS($K$3:K190),$AQ$3:$AQ$220,0),1),IF($I$1=2,INDEX($AA$3:$AS$220,MATCH(ROWS($K$3:K190),$AR$3:$AR$220,0),1),IF($I$1=3,INDEX($AA$3:$AS$220,MATCH(ROWS($K$3:K190),$AS$3:$AS$220,0),1),""))),"")</f>
        <v/>
      </c>
      <c r="L190" s="259">
        <f ca="1">IF(AND($L$1="VISUALIZZA TUTTI I CONTI",K190&lt;&gt;""),MAX(L189:L189)+1,IFERROR(IF($J$1=1,IF(INDEX(PIANO_DEI_CONTI,MATCH($K190,DENOMINAZIONE,0),5)=$L$1,MAX($L$2:L189)+1,0),IF($J$1=2,IF(INDEX(PIANO_DEI_CONTI,MATCH($K190,DENOMINAZIONE,0),7)=$L$1,MAX($L$2:L189)+1,0))),0))</f>
        <v>0</v>
      </c>
      <c r="M190" s="259" t="str">
        <f ca="1">IFERROR(INDEX($K$3:$K$220,MATCH(ROWS($M$3:M190),$L$3:$L$220,0),1),"")</f>
        <v/>
      </c>
      <c r="R190" s="259" t="str">
        <f t="shared" ca="1" si="366"/>
        <v/>
      </c>
      <c r="S190" s="259">
        <f ca="1">IF(IFERROR(MATCH(R190,DENOMINAZIONE_GIORNALE,0),0)&gt;0,MAX(S$2:S189)+1,0)</f>
        <v>0</v>
      </c>
      <c r="T190" s="259" t="str">
        <f ca="1">IFERROR(INDEX($R$3:$S$220,MATCH(ROWS($T$3:T190),$S$3:$S$220,0),1),"")</f>
        <v/>
      </c>
      <c r="U190" s="259">
        <f t="shared" ca="1" si="367"/>
        <v>0</v>
      </c>
      <c r="V190" s="259">
        <f ca="1">IF(IF(U190&lt;&gt;0,MAX($V$2:V189)+1,0)=0,0,IF(U190&lt;&gt;0,MAX($V$2:V189)+1,0))</f>
        <v>0</v>
      </c>
      <c r="W190" s="259" t="str">
        <f t="shared" si="401"/>
        <v>39.01</v>
      </c>
      <c r="X190" s="259" t="str">
        <f t="shared" si="402"/>
        <v>ARROTONDAMENTI PASSIVI</v>
      </c>
      <c r="Y190" s="259">
        <f>IF(W190="",0,MAX($Y$2:Y189)+1)</f>
        <v>160</v>
      </c>
      <c r="Z190" s="259" t="str">
        <f>IFERROR(INDEX($W$3:$Y$220,MATCH(ROWS($Z$2:Z189),$Y$3:$Y$220,0),1),"")</f>
        <v/>
      </c>
      <c r="AA190" s="259" t="str">
        <f t="shared" si="403"/>
        <v/>
      </c>
      <c r="AB190" s="259" t="str">
        <f t="shared" si="404"/>
        <v/>
      </c>
      <c r="AC190" s="259" t="str">
        <f t="shared" si="405"/>
        <v/>
      </c>
      <c r="AD190" s="259" t="str">
        <f t="shared" si="406"/>
        <v/>
      </c>
      <c r="AE190" s="259" t="str">
        <f t="shared" si="407"/>
        <v/>
      </c>
      <c r="AF190" s="259" t="str">
        <f t="shared" si="408"/>
        <v/>
      </c>
      <c r="AG190" s="259" t="str">
        <f t="shared" si="409"/>
        <v/>
      </c>
      <c r="AH190" s="259" t="str">
        <f t="shared" si="410"/>
        <v/>
      </c>
      <c r="AI190" s="259" t="str">
        <f t="shared" si="411"/>
        <v/>
      </c>
      <c r="AJ190" s="259" t="str">
        <f t="shared" si="412"/>
        <v/>
      </c>
      <c r="AK190" s="259" t="str">
        <f t="shared" si="413"/>
        <v/>
      </c>
      <c r="AL190" s="259">
        <f>IF(AK190&lt;&gt;"",MAX($AL$2:AL189)+1,0)</f>
        <v>0</v>
      </c>
      <c r="AM190" s="259" t="str">
        <f>IFERROR(INDEX($AK$3:$AL$220,MATCH(ROWS($AM$3:AM190),$AL$3:$AL$220,0),1),"")</f>
        <v/>
      </c>
      <c r="AN190" s="259" t="str">
        <f t="shared" si="414"/>
        <v/>
      </c>
      <c r="AO190" s="259" t="str">
        <f t="shared" si="415"/>
        <v/>
      </c>
      <c r="AP190" s="259" t="str">
        <f t="shared" si="416"/>
        <v/>
      </c>
      <c r="AQ190" s="259">
        <f>IF(OR(AG190=0,AG190=""),0,MAX(AQ$2:AQ189)+1)</f>
        <v>0</v>
      </c>
      <c r="AR190" s="259">
        <f>IF(OR(AH190=0,AH190=""),0,MAX(AR$2:AR189)+1)</f>
        <v>0</v>
      </c>
      <c r="AS190" s="259">
        <f>IF(OR(AI190=0,AI190=""),0,MAX(AS$2:AS189)+1)</f>
        <v>0</v>
      </c>
      <c r="AT190" s="259" t="str">
        <f ca="1">IFERROR(INDEX($AD$3:$AS$220,MATCH(ROWS(AT$3:AT190),AQ$3:AQ$220,0),1),"")</f>
        <v/>
      </c>
      <c r="AU190" s="259" t="str">
        <f ca="1">IFERROR(INDEX($AD$3:$AS$220,MATCH(ROWS(AU$3:AU190),AR$3:AR$220,0),1),"")</f>
        <v/>
      </c>
      <c r="AV190" s="259" t="str">
        <f ca="1">IFERROR(INDEX($AD$3:$AS$220,MATCH(ROWS(AV$3:AV190),AS$3:AS$220,0),1),"")</f>
        <v/>
      </c>
      <c r="AW190" s="259" t="str">
        <f ca="1">IFERROR(INDEX($AP$3:$AS$220,MATCH(ROWS(AW$3:AW190),AQ$3:AQ$220,0),1),"")</f>
        <v/>
      </c>
      <c r="AX190" s="259" t="str">
        <f ca="1">IFERROR(INDEX($AP$3:$AS$220,MATCH(ROWS(AX$3:AX190),AR$3:AR$220,0),1),"")</f>
        <v/>
      </c>
      <c r="AY190" s="259" t="str">
        <f ca="1">IFERROR(INDEX($AP$3:$AS$220,MATCH(ROWS(AY$3:AY190),AS$3:AS$220,0),1),"")</f>
        <v/>
      </c>
      <c r="AZ190" s="259" t="str">
        <f t="shared" si="490"/>
        <v>88 V.I.</v>
      </c>
      <c r="BA190" s="259">
        <f t="shared" ca="1" si="484"/>
        <v>0</v>
      </c>
      <c r="BB190" s="259">
        <f t="shared" ca="1" si="491"/>
        <v>0</v>
      </c>
      <c r="BC190" s="259">
        <f t="shared" ca="1" si="492"/>
        <v>0</v>
      </c>
      <c r="BD190" s="259">
        <f t="shared" ca="1" si="493"/>
        <v>0</v>
      </c>
      <c r="BE190" s="259">
        <f t="shared" ca="1" si="494"/>
        <v>0</v>
      </c>
      <c r="BG190" s="259" t="str">
        <f t="shared" ca="1" si="368"/>
        <v/>
      </c>
      <c r="BH190" s="259">
        <f ca="1">IF(IFERROR(MATCH(BG190,DENOMINAZIONE_GIORNALE,0),0)&gt;0,MAX(BH$2:BH189)+1,0)</f>
        <v>0</v>
      </c>
      <c r="BI190" s="259" t="str">
        <f ca="1">IFERROR(INDEX($BG$3:$BH$220,MATCH(ROWS($BI$3:BI190),$BH$3:$BH$220,0),1),"")</f>
        <v/>
      </c>
      <c r="BJ190" s="259" t="str">
        <f t="shared" ca="1" si="369"/>
        <v/>
      </c>
      <c r="BK190" s="259" t="str">
        <f ca="1">IF(IF(BJ190&lt;&gt;"",MAX($BK$2:BK189)+1,0)=0,"",IF(BJ190&lt;&gt;"",MAX($BK$2:BK189)+1,0))</f>
        <v/>
      </c>
      <c r="BL190" s="259" t="str">
        <f ca="1">IFERROR(INDEX($T$3:$U$220, MATCH(ROWS(BL$3:BL190),$V$3:$V$220,0),1),"")</f>
        <v/>
      </c>
      <c r="BM190" s="259" t="str">
        <f ca="1">IFERROR(INDEX($T$3:$U$220, MATCH(ROWS(BM$3:BM190),$V$3:$V$220,0),2),"")</f>
        <v/>
      </c>
      <c r="BN190" s="259" t="str">
        <f ca="1">IF(IFERROR(INDEX($BI$3:$BJ$220,MATCH(ROWS(BN$3:BN190),$BK$3:$BK$220,0),1),"")="PATRIMONIO NETTO","",IFERROR(INDEX($BI$3:$BJ$220,MATCH(ROWS(BN$3:BN190),$BK$3:$BK$220,0),1),""))</f>
        <v/>
      </c>
      <c r="BO190" s="259" t="str">
        <f ca="1">IFERROR(INDEX($BI$3:$BJ$220,MATCH(ROWS(BO$3:BO190),$BK$3:$BK$220,0),2),"")</f>
        <v/>
      </c>
      <c r="BP190" s="259">
        <f ca="1">IF(BN190&lt;&gt;"",MAX(BP$2:$BP189)+1,0)</f>
        <v>0</v>
      </c>
      <c r="BQ190" s="259" t="str">
        <f ca="1">IFERROR(INDEX($BN$3:$BO$200,MATCH(ROWS(BQ$3:BQ190),$BP$3:$BP$220,0),1),"")</f>
        <v/>
      </c>
      <c r="BR190" s="259" t="str">
        <f ca="1">IFERROR(INDEX($BN$3:$BO$220,MATCH(ROWS(BR$3:BR190),$BP$3:$BP$220,0),2),"")</f>
        <v/>
      </c>
      <c r="BS190" s="259" t="str">
        <f ca="1">IFERROR(IF(OR(INDEX($T$3:$U$220,MATCH(ROWS(BL$3:BL190),$V$3:$V$220,0),1)="PRELEVAMENTI EXTRAGESTIONE",INDEX($T$3:$U$220,MATCH(ROWS(BL$3:BL190),$V$3:$V$220,0),1)="TITOLARE C/RITENUTE SUBITE"),"",INDEX($T$3:$U$220,MATCH(ROWS(BL$3:BL190),$V$3:$V$220,0),1)),"")</f>
        <v/>
      </c>
      <c r="BT190" s="259">
        <f t="shared" ca="1" si="417"/>
        <v>0</v>
      </c>
      <c r="BU190" s="259">
        <f ca="1">IF(BS190&lt;&gt;"",MAX(BU$2:BU189)+1,0)</f>
        <v>0</v>
      </c>
      <c r="BV190" s="259" t="str">
        <f ca="1">IFERROR(INDEX($BS$3:$BT$223,MATCH(ROWS(BV$3:BV190),$BU$3:$BU$223,0),1),"")</f>
        <v/>
      </c>
      <c r="BW190" s="259">
        <f t="shared" ca="1" si="418"/>
        <v>0</v>
      </c>
      <c r="CB190" s="259" t="str">
        <f ca="1">IFERROR(IF(OR($BB$1&lt;&gt;$BD$1,$BC$1&lt;&gt;$BE$1,$DS$231&lt;&gt;$DT$231,$DU$231&lt;&gt;$DV$231,$EO$25&lt;&gt;0,$EO$26&lt;&gt;0),INDEX($BI$3:$BK$220,MATCH(ROWS($CB$3:CB190),$BK$3:$BK$220,0),1),CONCATENATE(BQ190,BX190)),"")</f>
        <v/>
      </c>
      <c r="CC190" s="259" t="str">
        <f t="shared" ca="1" si="419"/>
        <v/>
      </c>
      <c r="CD190" s="259" t="str">
        <f t="shared" ca="1" si="370"/>
        <v/>
      </c>
      <c r="CE190" s="259">
        <f ca="1">IF(IFERROR(MATCH(CD190,DENOMINAZIONE_GIORNALE,0),0)&gt;0,MAX(CE$2:CE189)+1,0)</f>
        <v>0</v>
      </c>
      <c r="CF190" s="259" t="str">
        <f ca="1">IFERROR(INDEX($CD$3:$CE$220,MATCH(ROWS($CF$3:CF190),$CE$3:$CE$220,0),1),"")</f>
        <v/>
      </c>
      <c r="CG190" s="259">
        <f t="shared" ca="1" si="371"/>
        <v>0</v>
      </c>
      <c r="CH190" s="259" t="str">
        <f ca="1">IF(IF(CG190&lt;&gt;0,MAX($CH$2:CH189)+1,0)=0,"",IF(CG190&lt;&gt;"",MAX($CH$2:CH189)+1,0))</f>
        <v/>
      </c>
      <c r="CI190" s="259" t="str">
        <f ca="1">IFERROR(INDEX($CF$3:$CG$220,MATCH(ROWS($CI$3:CI190),$CH$3:$CH$220,0),1),"")</f>
        <v/>
      </c>
      <c r="CJ190" s="259" t="str">
        <f t="shared" ca="1" si="420"/>
        <v/>
      </c>
      <c r="CK190" s="259" t="str">
        <f t="shared" ca="1" si="372"/>
        <v/>
      </c>
      <c r="CL190" s="259">
        <f ca="1">IF(IFERROR(MATCH(CK190,DENOMINAZIONE_GIORNALE,0),0)&gt;0,MAX(CL$2:CL189)+1,0)</f>
        <v>0</v>
      </c>
      <c r="CM190" s="259" t="str">
        <f ca="1">IFERROR(INDEX($CK$3:$CL$220,MATCH(ROWS($CM$3:CM190),$CL$3:$CL$220,0),1),"")</f>
        <v/>
      </c>
      <c r="CN190" s="259" t="str">
        <f t="shared" ca="1" si="373"/>
        <v/>
      </c>
      <c r="CO190" s="259">
        <f ca="1">IF(IF(CN190&lt;&gt;0,MAX($CO$2:CO189)+1,0)=0,"",IF(CN190&lt;&gt;"",MAX($CO$2:CO189)+1,0))</f>
        <v>0</v>
      </c>
      <c r="CP190" s="259" t="str">
        <f ca="1">IFERROR(INDEX($CM$3:$CN$220,MATCH(ROWS(CP$3:CP190),$CO$3:$CO$220,0),1),"")</f>
        <v/>
      </c>
      <c r="CQ190" s="259" t="str">
        <f ca="1">IFERROR(INDEX($CM$3:$CN$220,MATCH(ROWS(CQ$3:CQ190),$CO$3:$CO$220,0),2),"")</f>
        <v/>
      </c>
      <c r="CS190" s="259">
        <f t="shared" ca="1" si="374"/>
        <v>0</v>
      </c>
      <c r="CT190" s="259">
        <f t="shared" ca="1" si="375"/>
        <v>0</v>
      </c>
      <c r="CU190" s="259">
        <f ca="1">IF(OR(CS190&gt;0,CT190&gt;0),MAX($CU$2:CU189)+1,0)</f>
        <v>0</v>
      </c>
      <c r="CV190" s="259" t="str">
        <f ca="1">IFERROR(INDEX(PIANO_DEI_CONTI,MATCH(ROWS($CV$3:CV190),$CU$3:$CU$200,0),2),"")</f>
        <v/>
      </c>
      <c r="CW190" s="259">
        <f ca="1">IFERROR(IF(CV190&lt;&gt;"",MAX($CW$2:CW189)+1,0),0)</f>
        <v>0</v>
      </c>
      <c r="CX190" s="259">
        <f t="shared" ca="1" si="508"/>
        <v>11</v>
      </c>
      <c r="CY190" s="259" t="str">
        <f t="shared" ca="1" si="495"/>
        <v>MASTRO</v>
      </c>
      <c r="CZ190" s="259" t="e">
        <f t="shared" ca="1" si="510"/>
        <v>#N/A</v>
      </c>
      <c r="DA190" s="259" t="str">
        <f t="shared" ca="1" si="515"/>
        <v/>
      </c>
      <c r="DB190" s="259" t="str">
        <f t="shared" ca="1" si="511"/>
        <v/>
      </c>
      <c r="DC190" s="259" t="str">
        <f t="shared" ca="1" si="512"/>
        <v/>
      </c>
      <c r="DD190" s="259" t="str">
        <f t="shared" ca="1" si="513"/>
        <v/>
      </c>
      <c r="DE190" s="259" t="str">
        <f t="shared" ca="1" si="514"/>
        <v/>
      </c>
      <c r="DF190" s="259">
        <f ca="1">IF(AND(CX190=$DE$2,$DF$2&lt;&gt;0),0,IF(AND(DB190&lt;&gt;"",OR(DB189&lt;&gt;"",DB191&lt;&gt;"")),MAX($DF$2:DF189)+1,0))</f>
        <v>0</v>
      </c>
      <c r="DG190" s="259" t="str">
        <f>IF(IF(LIBRO_GIORNALE!E98="","",IFERROR(INDEX(PIANO_DEI_CONTI,MATCH(BB190,DENOMINAZIONE,0),1),0))=0,"",IF(LIBRO_GIORNALE!E98="","",IFERROR(INDEX(PIANO_DEI_CONTI,MATCH(BB190,DENOMINAZIONE,0),1),0)))</f>
        <v/>
      </c>
      <c r="DH190" s="259">
        <f ca="1">IFERROR(IF($J$1=1,IF(INDEX(PIANO_DEI_CONTI,MATCH($K190,DENOMINAZIONE,0),5)=$DF$1,MAX($DH$2:DH189)+1,0),IF($J$1=2,IF(INDEX(PIANO_DEI_CONTI,MATCH($K190,DENOMINAZIONE,0),7)=$DF$1,MAX($DH$2:DH189)+1,0))),0)</f>
        <v>0</v>
      </c>
      <c r="DI190" s="259">
        <f ca="1">IFERROR(INDEX($K$3:$K$220,MATCH(ROWS($DI$3:DI190),$DH$3:$DH$220,0),1),0)</f>
        <v>0</v>
      </c>
      <c r="DJ190" s="259">
        <f t="shared" ca="1" si="381"/>
        <v>0</v>
      </c>
      <c r="DK190" s="259">
        <f ca="1">IF(DJ190=0,0,MAX(DK$2:DK189)+1)</f>
        <v>0</v>
      </c>
      <c r="DL190" s="259">
        <f ca="1">IFERROR(INDEX(PIANO_DEI_CONTI,MATCH(ROWS(DL$3:DL190),$DK$3:DK417,0),2),0)</f>
        <v>0</v>
      </c>
      <c r="DM190" s="259">
        <f t="shared" ca="1" si="382"/>
        <v>0</v>
      </c>
      <c r="DN190" s="259">
        <f t="shared" ca="1" si="383"/>
        <v>0</v>
      </c>
      <c r="DO190" s="259">
        <f t="shared" ca="1" si="422"/>
        <v>0</v>
      </c>
      <c r="DP190" s="259">
        <f t="shared" ca="1" si="423"/>
        <v>0</v>
      </c>
      <c r="DQ190" s="259">
        <f ca="1">IF(OR($DQ$1="TOTALI",$DQ$1="TOTALI ED ECCEDENZE"),IF(OR(DM190&gt;0,DN190&gt;0),MAX(DQ$2:DQ189)+1,0),IF($DQ$1="ECCEDENZE",IF(OR(DO190&gt;0,DP190&gt;0),MAX(DQ$2:DQ189)+1,0),""))</f>
        <v>0</v>
      </c>
      <c r="DR190" s="259" t="str">
        <f ca="1">IFERROR(INDEX($DL$3:$DQ$230,MATCH(ROWS(DR$3:DR190),$DQ$3:$DQ$230,0),1),"")</f>
        <v/>
      </c>
      <c r="DS190" s="259" t="str">
        <f t="shared" ca="1" si="424"/>
        <v/>
      </c>
      <c r="DT190" s="259" t="str">
        <f t="shared" ca="1" si="425"/>
        <v/>
      </c>
      <c r="DU190" s="259" t="str">
        <f t="shared" ca="1" si="426"/>
        <v/>
      </c>
      <c r="DV190" s="259" t="str">
        <f t="shared" ca="1" si="427"/>
        <v/>
      </c>
      <c r="DW190" s="259">
        <f t="shared" ca="1" si="428"/>
        <v>0</v>
      </c>
      <c r="DX190" s="259" t="str">
        <f t="shared" ca="1" si="429"/>
        <v/>
      </c>
      <c r="DY190" s="259" t="str">
        <f t="shared" ca="1" si="430"/>
        <v/>
      </c>
      <c r="DZ190" s="259" t="str">
        <f t="shared" ca="1" si="431"/>
        <v/>
      </c>
      <c r="ED190" s="259">
        <f t="shared" ca="1" si="384"/>
        <v>0</v>
      </c>
      <c r="EH190" s="259" t="str">
        <f t="shared" ca="1" si="432"/>
        <v/>
      </c>
      <c r="EI190" s="260" t="b">
        <f t="shared" ca="1" si="466"/>
        <v>1</v>
      </c>
      <c r="EJ190" s="260" t="b">
        <f t="shared" ca="1" si="467"/>
        <v>1</v>
      </c>
      <c r="EK190" s="260" t="b">
        <f t="shared" ca="1" si="468"/>
        <v>1</v>
      </c>
      <c r="EL190" s="259">
        <f t="shared" si="433"/>
        <v>188</v>
      </c>
      <c r="EM190" s="259">
        <f ca="1">IF(AND(BA190&gt;0,BA190&lt;=$EM$1),MAX($EM$2:EM189)+1,0)</f>
        <v>0</v>
      </c>
      <c r="EN190" s="259">
        <f t="shared" ca="1" si="434"/>
        <v>190</v>
      </c>
      <c r="EP190" s="259" t="str">
        <f t="shared" ca="1" si="385"/>
        <v/>
      </c>
      <c r="EQ190" s="259">
        <f t="shared" ca="1" si="386"/>
        <v>0</v>
      </c>
      <c r="ER190" s="259">
        <f ca="1">IF(ISNA(EQ190),MAX(ER$2:ER189)+1,0)</f>
        <v>0</v>
      </c>
      <c r="ES190" s="259" t="str">
        <f t="shared" ca="1" si="435"/>
        <v/>
      </c>
      <c r="ET190" s="259" t="str">
        <f ca="1">IFERROR(UPPER(INDEX($ER$3:$ES$500,MATCH(ROWS(ET$3:ET190),$ER$3:$ER$500,0),2)),"")</f>
        <v/>
      </c>
      <c r="EW190" s="259">
        <f t="shared" ca="1" si="497"/>
        <v>1</v>
      </c>
      <c r="EX190" s="259">
        <v>88</v>
      </c>
      <c r="EY190" s="259">
        <f t="shared" ca="1" si="498"/>
        <v>0</v>
      </c>
      <c r="EZ190" s="259">
        <f t="shared" ca="1" si="499"/>
        <v>0</v>
      </c>
      <c r="FA190" s="259">
        <f t="shared" ca="1" si="500"/>
        <v>0</v>
      </c>
      <c r="FB190" s="259">
        <f t="shared" ca="1" si="501"/>
        <v>0</v>
      </c>
      <c r="FC190" s="259">
        <f t="shared" ca="1" si="502"/>
        <v>0</v>
      </c>
      <c r="FD190" s="259">
        <f t="shared" ca="1" si="387"/>
        <v>0</v>
      </c>
      <c r="FE190" s="259" t="str">
        <f t="shared" ca="1" si="388"/>
        <v/>
      </c>
      <c r="FF190" s="259" t="str">
        <f t="shared" ca="1" si="503"/>
        <v/>
      </c>
      <c r="FM190" s="259">
        <f t="shared" si="389"/>
        <v>0</v>
      </c>
      <c r="FN190" s="259">
        <f>IF(FM190&lt;0,MAX($FN$2:FN189)+1,0)</f>
        <v>0</v>
      </c>
      <c r="FO190" s="259" t="str">
        <f t="shared" si="436"/>
        <v/>
      </c>
      <c r="FP190" s="259" t="str">
        <f ca="1">IFERROR(INDEX($FN$3:$FO$400,MATCH(ROWS($FP$3:FP190),$FN$3:$FN$400,0),2),"")</f>
        <v/>
      </c>
      <c r="FQ190" s="259" t="str">
        <f>IF(AE190="SE AVERE",MAX($FQ$2:FQ189)+1,"")</f>
        <v/>
      </c>
      <c r="FR190" s="259" t="str">
        <f>IF(AE190="SE DARE",MAX($FR$2:FR189)+1,"")</f>
        <v/>
      </c>
      <c r="FS190" s="259" t="str">
        <f ca="1">IF(AND(AE190="SP DARE",AA190&lt;&gt;$FS$1,AA190&lt;&gt;$FT$1),MAX($FS$2:FS189)+1,IF(AND(GQ190="SP DARE",AA190&lt;&gt;$FS$1,AA190&lt;&gt;$FT$1),MAX($FS$2:FS189)+1,""))</f>
        <v/>
      </c>
      <c r="FT190" s="259" t="str">
        <f ca="1">IF(AND(AE190="SP AVERE",AA190&lt;&gt;$FU$1),MAX($FT$2:FT189)+1,IF(AND(GQ190="SP AVERE",AA190&lt;&gt;$FU$1),MAX($FT$2:FT189)+1,""))</f>
        <v/>
      </c>
      <c r="FU190" s="259">
        <f t="shared" ca="1" si="437"/>
        <v>0</v>
      </c>
      <c r="FV190" s="259" t="str">
        <f t="shared" si="438"/>
        <v/>
      </c>
      <c r="FW190" s="259">
        <f ca="1">IFERROR(INDEX($FU$3:$FV$500,MATCH(ROWS($FW$3:FW190),$FU$3:$FU$500,0),2),0)</f>
        <v>0</v>
      </c>
      <c r="FX190" s="259">
        <f t="shared" ca="1" si="439"/>
        <v>0</v>
      </c>
      <c r="FY190" s="259">
        <f t="shared" ca="1" si="440"/>
        <v>0</v>
      </c>
      <c r="FZ190" s="259">
        <f ca="1">IF(FY190&gt;0,MAX($FZ$2:FZ189)+1,0)</f>
        <v>0</v>
      </c>
      <c r="GA190" s="259">
        <f ca="1">IFERROR(INDEX($FY$3:$FZ$500,MATCH(ROWS($GA$3:GA190),$FZ$3:$FZ$500,0),1),0)</f>
        <v>0</v>
      </c>
      <c r="GC190" s="259">
        <f t="shared" ca="1" si="441"/>
        <v>0</v>
      </c>
      <c r="GD190" s="259">
        <f t="shared" ca="1" si="442"/>
        <v>0</v>
      </c>
      <c r="GG190" s="259">
        <f t="shared" ca="1" si="443"/>
        <v>0</v>
      </c>
      <c r="GH190" s="259">
        <f t="shared" ca="1" si="444"/>
        <v>0</v>
      </c>
      <c r="GI190" s="259">
        <f t="shared" ca="1" si="445"/>
        <v>0</v>
      </c>
      <c r="GJ190" s="259">
        <f t="shared" ca="1" si="446"/>
        <v>0</v>
      </c>
      <c r="GK190" s="259">
        <f t="shared" ca="1" si="447"/>
        <v>0</v>
      </c>
      <c r="GL190" s="259">
        <f t="shared" ca="1" si="447"/>
        <v>0</v>
      </c>
      <c r="GM190" s="259">
        <f ca="1">IF(OR(GK190&gt;0,GL190&gt;0),MAX($GM$2:GM189)+1,0)</f>
        <v>0</v>
      </c>
      <c r="GN190" s="259" t="str">
        <f ca="1">IFERROR(INDEX($GD$3:$GM$400,MATCH(ROWS($GN$3:GN190),$GM$3:$GM$400,0),1),"")</f>
        <v/>
      </c>
      <c r="GO190" s="259" t="str">
        <f ca="1">IFERROR(INDEX($GD$3:$GM$400,MATCH(ROWS($GO$3:GO190),$GM$3:$GM$400,0),8),"")</f>
        <v/>
      </c>
      <c r="GP190" s="259" t="str">
        <f ca="1">IFERROR(INDEX($GD$3:$GM$400,MATCH(ROWS($GP$3:GP190),$GM$3:$GM$400,0),9),"")</f>
        <v/>
      </c>
      <c r="GQ190" s="259">
        <f t="shared" ca="1" si="390"/>
        <v>0</v>
      </c>
      <c r="GR190" s="259">
        <f t="shared" ca="1" si="448"/>
        <v>0</v>
      </c>
      <c r="GS190" s="259" t="str">
        <f t="shared" ca="1" si="449"/>
        <v/>
      </c>
      <c r="GT190" s="259" t="str">
        <f ca="1">IFERROR(INDEX($GD$3:$GS$400,MATCH(ROWS($GT$3:GT190),$GM$3:$GM$400,0),16),"")</f>
        <v/>
      </c>
      <c r="GU190" s="259">
        <f ca="1">IF(GQ190&lt;&gt;0,MAX($GU$2:$GU189)+1,0)</f>
        <v>0</v>
      </c>
      <c r="GV190" s="259">
        <f t="shared" ca="1" si="450"/>
        <v>0</v>
      </c>
      <c r="GW190" s="259" t="str">
        <f ca="1">IF(AND(IFERROR(INDEX($GU$3:$GV$400,MATCH(ROWS($GW$3:GW190),$GU$3:$GU$400,0),2),"")&lt;&gt;"",GW191&lt;&gt;""),CONCATENATE(IFERROR(INDEX($GU$3:$GV$400,MATCH(ROWS($GW$3:GW190),$GU$3:$GU$400,0),2),"")," - "),IFERROR(INDEX($GU$3:$GV$400,MATCH(ROWS($GW$3:GW190),$GU$3:$GU$400,0),2),""))</f>
        <v/>
      </c>
      <c r="GX190" s="259">
        <f ca="1">IF(OR(GN190="IVA NS/CREDITO",GN190="IVA NS/DEBITO",GN190="IVA C/ACCONTO",GN190="IMPOSTE C/ACCONTO"),MAX($GX$2:GX189)+1,0)</f>
        <v>0</v>
      </c>
      <c r="GY190" s="259" t="str">
        <f ca="1">IF(AND(IFERROR(INDEX($GN$3:$GX$200,MATCH(ROWS($GY$3:GY190),$GX$3:$GX$200,0),1),"")&lt;&gt;"",GY191&lt;&gt;""),CONCATENATE(IFERROR(INDEX($GN$3:$GX$200,MATCH(ROWS($GY$3:GY190),$GX$3:$GX$200,0),1),"")," - "),IFERROR(INDEX($GN$3:$GX$200,MATCH(ROWS($GY$3:GY190),$GX$3:$GX$200,0),1),""))</f>
        <v/>
      </c>
      <c r="GZ190" s="259" t="s">
        <v>189</v>
      </c>
      <c r="HA190" s="259" t="s">
        <v>487</v>
      </c>
      <c r="HB190" s="269" t="s">
        <v>256</v>
      </c>
      <c r="HC190" s="269" t="s">
        <v>276</v>
      </c>
      <c r="HD190" s="269" t="s">
        <v>7</v>
      </c>
      <c r="HE190" s="269" t="s">
        <v>214</v>
      </c>
      <c r="HV190" s="259" t="str">
        <f ca="1">CONCATENATE(IFERROR(INDEX($HS$3:$HT$102,MATCH(ROWS($HV$3:HV190),$HT$3:$HT$102,0),1),""),HR190)</f>
        <v/>
      </c>
      <c r="IC190" s="259">
        <f ca="1">IFERROR(INDEX(PIANO_DEI_CONTI,MATCH(ROWS(DL$3:DL190),$DK$3:DK417,0),2),0)</f>
        <v>0</v>
      </c>
      <c r="ID190" s="259">
        <f t="shared" ca="1" si="451"/>
        <v>0</v>
      </c>
      <c r="IE190" s="259">
        <f t="shared" ca="1" si="452"/>
        <v>0</v>
      </c>
      <c r="IF190" s="259">
        <f t="shared" ca="1" si="453"/>
        <v>0</v>
      </c>
      <c r="IG190" s="259">
        <f t="shared" ca="1" si="479"/>
        <v>0</v>
      </c>
      <c r="IH190" s="259">
        <f ca="1">IF(IG190&lt;&gt;0,MAX($IH$35:IH189)+1,0)</f>
        <v>0</v>
      </c>
      <c r="II190" s="259">
        <f>IF(AD190="costi pluriennali",MAX($II$2:II189)+1,0)</f>
        <v>0</v>
      </c>
      <c r="IJ190" s="259">
        <f>IF($AD190="rettifiche costi pluriennali",MAX($IJ$2:IJ189)+1,0)</f>
        <v>0</v>
      </c>
      <c r="IK190" s="259">
        <f t="shared" si="454"/>
        <v>0</v>
      </c>
      <c r="IL190" s="259" t="str">
        <f t="shared" si="455"/>
        <v/>
      </c>
      <c r="IM190" s="259">
        <f t="shared" ca="1" si="456"/>
        <v>0</v>
      </c>
      <c r="IN190" s="259">
        <f t="shared" ca="1" si="470"/>
        <v>0</v>
      </c>
      <c r="IO190" s="259">
        <f>SUMIFS($IM$3:$IM$200,$IK$3:$IK$200,ROWS($IO$3:IO190))-SUMIFS($IN$3:$IN$200,$IK$3:$IK$200,ROWS($IO$3:IO190))</f>
        <v>0</v>
      </c>
      <c r="IP190" s="259" t="str">
        <f>IF(IO190&lt;0,INDEX($IJ$3:$IL$200,MATCH(ROWS($IP$3:IP190),$IJ$3:$IJ$200,0),3),"")</f>
        <v/>
      </c>
      <c r="IQ190" s="259">
        <f>IF(IP190&lt;&gt;"",MAX($IQ$2:IQ189)+1,0)</f>
        <v>0</v>
      </c>
      <c r="IR190" s="259" t="str">
        <f ca="1">IFERROR(INDEX($IP$3:$IQ$200,MATCH(ROWS($IR$3:IR190),$IQ$3:$IQ$200,0),1),"")</f>
        <v/>
      </c>
      <c r="IS190" s="259" t="str">
        <f t="shared" ca="1" si="457"/>
        <v/>
      </c>
      <c r="IT190" s="259" t="str">
        <f t="shared" ca="1" si="458"/>
        <v/>
      </c>
      <c r="IU190" s="259" t="str">
        <f t="shared" ca="1" si="459"/>
        <v/>
      </c>
      <c r="IV190" s="259" t="str">
        <f t="shared" ca="1" si="460"/>
        <v/>
      </c>
      <c r="IW190" s="259" t="str">
        <f t="shared" ca="1" si="461"/>
        <v/>
      </c>
      <c r="IX190" s="259" t="str">
        <f t="shared" ca="1" si="462"/>
        <v/>
      </c>
      <c r="IY190" s="259" t="str">
        <f t="shared" ca="1" si="463"/>
        <v/>
      </c>
      <c r="IZ190" s="259" t="str">
        <f t="shared" ca="1" si="464"/>
        <v/>
      </c>
      <c r="JA190" s="259" t="str">
        <f t="shared" ca="1" si="465"/>
        <v/>
      </c>
      <c r="JB190" s="259">
        <f t="shared" ca="1" si="391"/>
        <v>0</v>
      </c>
      <c r="JC190" s="259">
        <f t="shared" ca="1" si="504"/>
        <v>0</v>
      </c>
      <c r="JD190" s="259">
        <f t="shared" ca="1" si="505"/>
        <v>0</v>
      </c>
      <c r="JM190" s="259">
        <f t="shared" ca="1" si="506"/>
        <v>0</v>
      </c>
    </row>
    <row r="191" spans="1:273">
      <c r="A191" s="259" t="str">
        <f t="shared" si="392"/>
        <v>39.02</v>
      </c>
      <c r="B191" s="259" t="str">
        <f t="shared" si="393"/>
        <v>ONERI FISCALI DIVERSI</v>
      </c>
      <c r="C191" s="259" t="str">
        <f t="shared" si="394"/>
        <v>E</v>
      </c>
      <c r="D191" s="259" t="str">
        <f t="shared" si="395"/>
        <v>D</v>
      </c>
      <c r="E191" s="259" t="str">
        <f t="shared" si="396"/>
        <v>COSTI D'ESERCIZIO</v>
      </c>
      <c r="F191" s="259" t="str">
        <f t="shared" si="397"/>
        <v>SE DARE</v>
      </c>
      <c r="G191" s="259">
        <f t="shared" ca="1" si="398"/>
        <v>1</v>
      </c>
      <c r="H191" s="259">
        <f t="shared" ca="1" si="399"/>
        <v>1</v>
      </c>
      <c r="I191" s="259">
        <f t="shared" ca="1" si="400"/>
        <v>1</v>
      </c>
      <c r="K191" s="259" t="str">
        <f ca="1">IFERROR(IF($I$1=1,INDEX($AA$3:$AS$220,MATCH(ROWS($K$3:K191),$AQ$3:$AQ$220,0),1),IF($I$1=2,INDEX($AA$3:$AS$220,MATCH(ROWS($K$3:K191),$AR$3:$AR$220,0),1),IF($I$1=3,INDEX($AA$3:$AS$220,MATCH(ROWS($K$3:K191),$AS$3:$AS$220,0),1),""))),"")</f>
        <v/>
      </c>
      <c r="L191" s="259">
        <f ca="1">IF(AND($L$1="VISUALIZZA TUTTI I CONTI",K191&lt;&gt;""),MAX(L190:L190)+1,IFERROR(IF($J$1=1,IF(INDEX(PIANO_DEI_CONTI,MATCH($K191,DENOMINAZIONE,0),5)=$L$1,MAX($L$2:L190)+1,0),IF($J$1=2,IF(INDEX(PIANO_DEI_CONTI,MATCH($K191,DENOMINAZIONE,0),7)=$L$1,MAX($L$2:L190)+1,0))),0))</f>
        <v>0</v>
      </c>
      <c r="M191" s="259" t="str">
        <f ca="1">IFERROR(INDEX($K$3:$K$220,MATCH(ROWS($M$3:M191),$L$3:$L$220,0),1),"")</f>
        <v/>
      </c>
      <c r="R191" s="259" t="str">
        <f t="shared" ca="1" si="366"/>
        <v/>
      </c>
      <c r="S191" s="259">
        <f ca="1">IF(IFERROR(MATCH(R191,DENOMINAZIONE_GIORNALE,0),0)&gt;0,MAX(S$2:S190)+1,0)</f>
        <v>0</v>
      </c>
      <c r="T191" s="259" t="str">
        <f ca="1">IFERROR(INDEX($R$3:$S$220,MATCH(ROWS($T$3:T191),$S$3:$S$220,0),1),"")</f>
        <v/>
      </c>
      <c r="U191" s="259">
        <f t="shared" ca="1" si="367"/>
        <v>0</v>
      </c>
      <c r="V191" s="259">
        <f ca="1">IF(IF(U191&lt;&gt;0,MAX($V$2:V190)+1,0)=0,0,IF(U191&lt;&gt;0,MAX($V$2:V190)+1,0))</f>
        <v>0</v>
      </c>
      <c r="W191" s="259" t="str">
        <f t="shared" si="401"/>
        <v>39.02</v>
      </c>
      <c r="X191" s="259" t="str">
        <f t="shared" si="402"/>
        <v>ONERI FISCALI DIVERSI</v>
      </c>
      <c r="Y191" s="259">
        <f>IF(W191="",0,MAX($Y$2:Y190)+1)</f>
        <v>161</v>
      </c>
      <c r="Z191" s="259" t="str">
        <f>IFERROR(INDEX($W$3:$Y$220,MATCH(ROWS($Z$2:Z190),$Y$3:$Y$220,0),1),"")</f>
        <v/>
      </c>
      <c r="AA191" s="259" t="str">
        <f t="shared" si="403"/>
        <v/>
      </c>
      <c r="AB191" s="259" t="str">
        <f t="shared" si="404"/>
        <v/>
      </c>
      <c r="AC191" s="259" t="str">
        <f t="shared" si="405"/>
        <v/>
      </c>
      <c r="AD191" s="259" t="str">
        <f t="shared" si="406"/>
        <v/>
      </c>
      <c r="AE191" s="259" t="str">
        <f t="shared" si="407"/>
        <v/>
      </c>
      <c r="AF191" s="259" t="str">
        <f t="shared" si="408"/>
        <v/>
      </c>
      <c r="AG191" s="259" t="str">
        <f t="shared" si="409"/>
        <v/>
      </c>
      <c r="AH191" s="259" t="str">
        <f t="shared" si="410"/>
        <v/>
      </c>
      <c r="AI191" s="259" t="str">
        <f t="shared" si="411"/>
        <v/>
      </c>
      <c r="AJ191" s="259" t="str">
        <f t="shared" si="412"/>
        <v/>
      </c>
      <c r="AK191" s="259" t="str">
        <f t="shared" si="413"/>
        <v/>
      </c>
      <c r="AL191" s="259">
        <f>IF(AK191&lt;&gt;"",MAX($AL$2:AL190)+1,0)</f>
        <v>0</v>
      </c>
      <c r="AM191" s="259" t="str">
        <f>IFERROR(INDEX($AK$3:$AL$220,MATCH(ROWS($AM$3:AM191),$AL$3:$AL$220,0),1),"")</f>
        <v/>
      </c>
      <c r="AN191" s="259" t="str">
        <f t="shared" si="414"/>
        <v/>
      </c>
      <c r="AO191" s="259" t="str">
        <f t="shared" si="415"/>
        <v/>
      </c>
      <c r="AP191" s="259" t="str">
        <f t="shared" si="416"/>
        <v/>
      </c>
      <c r="AQ191" s="259">
        <f>IF(OR(AG191=0,AG191=""),0,MAX(AQ$2:AQ190)+1)</f>
        <v>0</v>
      </c>
      <c r="AR191" s="259">
        <f>IF(OR(AH191=0,AH191=""),0,MAX(AR$2:AR190)+1)</f>
        <v>0</v>
      </c>
      <c r="AS191" s="259">
        <f>IF(OR(AI191=0,AI191=""),0,MAX(AS$2:AS190)+1)</f>
        <v>0</v>
      </c>
      <c r="AT191" s="259" t="str">
        <f ca="1">IFERROR(INDEX($AD$3:$AS$220,MATCH(ROWS(AT$3:AT191),AQ$3:AQ$220,0),1),"")</f>
        <v/>
      </c>
      <c r="AU191" s="259" t="str">
        <f ca="1">IFERROR(INDEX($AD$3:$AS$220,MATCH(ROWS(AU$3:AU191),AR$3:AR$220,0),1),"")</f>
        <v/>
      </c>
      <c r="AV191" s="259" t="str">
        <f ca="1">IFERROR(INDEX($AD$3:$AS$220,MATCH(ROWS(AV$3:AV191),AS$3:AS$220,0),1),"")</f>
        <v/>
      </c>
      <c r="AW191" s="259" t="str">
        <f ca="1">IFERROR(INDEX($AP$3:$AS$220,MATCH(ROWS(AW$3:AW191),AQ$3:AQ$220,0),1),"")</f>
        <v/>
      </c>
      <c r="AX191" s="259" t="str">
        <f ca="1">IFERROR(INDEX($AP$3:$AS$220,MATCH(ROWS(AX$3:AX191),AR$3:AR$220,0),1),"")</f>
        <v/>
      </c>
      <c r="AY191" s="259" t="str">
        <f ca="1">IFERROR(INDEX($AP$3:$AS$220,MATCH(ROWS(AY$3:AY191),AS$3:AS$220,0),1),"")</f>
        <v/>
      </c>
      <c r="AZ191" s="259" t="str">
        <f t="shared" si="490"/>
        <v>89 V.I.</v>
      </c>
      <c r="BA191" s="259">
        <f t="shared" ca="1" si="484"/>
        <v>0</v>
      </c>
      <c r="BB191" s="259">
        <f t="shared" ca="1" si="491"/>
        <v>0</v>
      </c>
      <c r="BC191" s="259">
        <f t="shared" ca="1" si="492"/>
        <v>0</v>
      </c>
      <c r="BD191" s="259">
        <f t="shared" ca="1" si="493"/>
        <v>0</v>
      </c>
      <c r="BE191" s="259">
        <f t="shared" ca="1" si="494"/>
        <v>0</v>
      </c>
      <c r="BG191" s="259" t="str">
        <f t="shared" ca="1" si="368"/>
        <v/>
      </c>
      <c r="BH191" s="259">
        <f ca="1">IF(IFERROR(MATCH(BG191,DENOMINAZIONE_GIORNALE,0),0)&gt;0,MAX(BH$2:BH190)+1,0)</f>
        <v>0</v>
      </c>
      <c r="BI191" s="259" t="str">
        <f ca="1">IFERROR(INDEX($BG$3:$BH$220,MATCH(ROWS($BI$3:BI191),$BH$3:$BH$220,0),1),"")</f>
        <v/>
      </c>
      <c r="BJ191" s="259" t="str">
        <f t="shared" ca="1" si="369"/>
        <v/>
      </c>
      <c r="BK191" s="259" t="str">
        <f ca="1">IF(IF(BJ191&lt;&gt;"",MAX($BK$2:BK190)+1,0)=0,"",IF(BJ191&lt;&gt;"",MAX($BK$2:BK190)+1,0))</f>
        <v/>
      </c>
      <c r="BL191" s="259" t="str">
        <f ca="1">IFERROR(INDEX($T$3:$U$220, MATCH(ROWS(BL$3:BL191),$V$3:$V$220,0),1),"")</f>
        <v/>
      </c>
      <c r="BM191" s="259" t="str">
        <f ca="1">IFERROR(INDEX($T$3:$U$220, MATCH(ROWS(BM$3:BM191),$V$3:$V$220,0),2),"")</f>
        <v/>
      </c>
      <c r="BN191" s="259" t="str">
        <f ca="1">IF(IFERROR(INDEX($BI$3:$BJ$220,MATCH(ROWS(BN$3:BN191),$BK$3:$BK$220,0),1),"")="PATRIMONIO NETTO","",IFERROR(INDEX($BI$3:$BJ$220,MATCH(ROWS(BN$3:BN191),$BK$3:$BK$220,0),1),""))</f>
        <v/>
      </c>
      <c r="BO191" s="259" t="str">
        <f ca="1">IFERROR(INDEX($BI$3:$BJ$220,MATCH(ROWS(BO$3:BO191),$BK$3:$BK$220,0),2),"")</f>
        <v/>
      </c>
      <c r="BP191" s="259">
        <f ca="1">IF(BN191&lt;&gt;"",MAX(BP$2:$BP190)+1,0)</f>
        <v>0</v>
      </c>
      <c r="BQ191" s="259" t="str">
        <f ca="1">IFERROR(INDEX($BN$3:$BO$200,MATCH(ROWS(BQ$3:BQ191),$BP$3:$BP$220,0),1),"")</f>
        <v/>
      </c>
      <c r="BR191" s="259" t="str">
        <f ca="1">IFERROR(INDEX($BN$3:$BO$220,MATCH(ROWS(BR$3:BR191),$BP$3:$BP$220,0),2),"")</f>
        <v/>
      </c>
      <c r="BS191" s="259" t="str">
        <f ca="1">IFERROR(IF(OR(INDEX($T$3:$U$220,MATCH(ROWS(BL$3:BL191),$V$3:$V$220,0),1)="PRELEVAMENTI EXTRAGESTIONE",INDEX($T$3:$U$220,MATCH(ROWS(BL$3:BL191),$V$3:$V$220,0),1)="TITOLARE C/RITENUTE SUBITE"),"",INDEX($T$3:$U$220,MATCH(ROWS(BL$3:BL191),$V$3:$V$220,0),1)),"")</f>
        <v/>
      </c>
      <c r="BT191" s="259">
        <f t="shared" ca="1" si="417"/>
        <v>0</v>
      </c>
      <c r="BU191" s="259">
        <f ca="1">IF(BS191&lt;&gt;"",MAX(BU$2:BU190)+1,0)</f>
        <v>0</v>
      </c>
      <c r="BV191" s="259" t="str">
        <f ca="1">IFERROR(INDEX($BS$3:$BT$223,MATCH(ROWS(BV$3:BV191),$BU$3:$BU$223,0),1),"")</f>
        <v/>
      </c>
      <c r="BW191" s="259">
        <f t="shared" ca="1" si="418"/>
        <v>0</v>
      </c>
      <c r="CB191" s="259" t="str">
        <f ca="1">IFERROR(IF(OR($BB$1&lt;&gt;$BD$1,$BC$1&lt;&gt;$BE$1,$DS$231&lt;&gt;$DT$231,$DU$231&lt;&gt;$DV$231,$EO$25&lt;&gt;0,$EO$26&lt;&gt;0),INDEX($BI$3:$BK$220,MATCH(ROWS($CB$3:CB191),$BK$3:$BK$220,0),1),CONCATENATE(BQ191,BX191)),"")</f>
        <v/>
      </c>
      <c r="CC191" s="259" t="str">
        <f t="shared" ca="1" si="419"/>
        <v/>
      </c>
      <c r="CD191" s="259" t="str">
        <f t="shared" ca="1" si="370"/>
        <v/>
      </c>
      <c r="CE191" s="259">
        <f ca="1">IF(IFERROR(MATCH(CD191,DENOMINAZIONE_GIORNALE,0),0)&gt;0,MAX(CE$2:CE190)+1,0)</f>
        <v>0</v>
      </c>
      <c r="CF191" s="259" t="str">
        <f ca="1">IFERROR(INDEX($CD$3:$CE$220,MATCH(ROWS($CF$3:CF191),$CE$3:$CE$220,0),1),"")</f>
        <v/>
      </c>
      <c r="CG191" s="259">
        <f t="shared" ca="1" si="371"/>
        <v>0</v>
      </c>
      <c r="CH191" s="259" t="str">
        <f ca="1">IF(IF(CG191&lt;&gt;0,MAX($CH$2:CH190)+1,0)=0,"",IF(CG191&lt;&gt;"",MAX($CH$2:CH190)+1,0))</f>
        <v/>
      </c>
      <c r="CI191" s="259" t="str">
        <f ca="1">IFERROR(INDEX($CF$3:$CG$220,MATCH(ROWS($CI$3:CI191),$CH$3:$CH$220,0),1),"")</f>
        <v/>
      </c>
      <c r="CJ191" s="259" t="str">
        <f t="shared" ca="1" si="420"/>
        <v/>
      </c>
      <c r="CK191" s="259" t="str">
        <f t="shared" ca="1" si="372"/>
        <v/>
      </c>
      <c r="CL191" s="259">
        <f ca="1">IF(IFERROR(MATCH(CK191,DENOMINAZIONE_GIORNALE,0),0)&gt;0,MAX(CL$2:CL190)+1,0)</f>
        <v>0</v>
      </c>
      <c r="CM191" s="259" t="str">
        <f ca="1">IFERROR(INDEX($CK$3:$CL$220,MATCH(ROWS($CM$3:CM191),$CL$3:$CL$220,0),1),"")</f>
        <v/>
      </c>
      <c r="CN191" s="259" t="str">
        <f t="shared" ca="1" si="373"/>
        <v/>
      </c>
      <c r="CO191" s="259">
        <f ca="1">IF(IF(CN191&lt;&gt;0,MAX($CO$2:CO190)+1,0)=0,"",IF(CN191&lt;&gt;"",MAX($CO$2:CO190)+1,0))</f>
        <v>0</v>
      </c>
      <c r="CP191" s="259" t="str">
        <f ca="1">IFERROR(INDEX($CM$3:$CN$220,MATCH(ROWS(CP$3:CP191),$CO$3:$CO$220,0),1),"")</f>
        <v/>
      </c>
      <c r="CQ191" s="259" t="str">
        <f ca="1">IFERROR(INDEX($CM$3:$CN$220,MATCH(ROWS(CQ$3:CQ191),$CO$3:$CO$220,0),2),"")</f>
        <v/>
      </c>
      <c r="CS191" s="259">
        <f t="shared" ca="1" si="374"/>
        <v>0</v>
      </c>
      <c r="CT191" s="259">
        <f t="shared" ca="1" si="375"/>
        <v>0</v>
      </c>
      <c r="CU191" s="259">
        <f ca="1">IF(OR(CS191&gt;0,CT191&gt;0),MAX($CU$2:CU190)+1,0)</f>
        <v>0</v>
      </c>
      <c r="CV191" s="259" t="str">
        <f ca="1">IFERROR(INDEX(PIANO_DEI_CONTI,MATCH(ROWS($CV$3:CV191),$CU$3:$CU$200,0),2),"")</f>
        <v/>
      </c>
      <c r="CW191" s="259">
        <f ca="1">IFERROR(IF(CV191&lt;&gt;"",MAX($CW$2:CW190)+1,0),0)</f>
        <v>0</v>
      </c>
      <c r="CX191" s="259">
        <f t="shared" ca="1" si="508"/>
        <v>11</v>
      </c>
      <c r="CY191" s="259" t="str">
        <f t="shared" ca="1" si="495"/>
        <v>MASTRO</v>
      </c>
      <c r="CZ191" s="259" t="e">
        <f t="shared" ca="1" si="510"/>
        <v>#N/A</v>
      </c>
      <c r="DA191" s="259" t="str">
        <f t="shared" ca="1" si="515"/>
        <v/>
      </c>
      <c r="DB191" s="259" t="str">
        <f t="shared" ca="1" si="511"/>
        <v/>
      </c>
      <c r="DC191" s="259" t="str">
        <f t="shared" ca="1" si="512"/>
        <v/>
      </c>
      <c r="DD191" s="259" t="str">
        <f t="shared" ca="1" si="513"/>
        <v/>
      </c>
      <c r="DE191" s="259" t="str">
        <f t="shared" ca="1" si="514"/>
        <v/>
      </c>
      <c r="DF191" s="259">
        <f ca="1">IF(AND(CX191=$DE$2,$DF$2&lt;&gt;0),0,IF(AND(DB191&lt;&gt;"",OR(DB190&lt;&gt;"",DB192&lt;&gt;"")),MAX($DF$2:DF190)+1,0))</f>
        <v>0</v>
      </c>
      <c r="DG191" s="259" t="str">
        <f>IF(IF(LIBRO_GIORNALE!E99="","",IFERROR(INDEX(PIANO_DEI_CONTI,MATCH(BB191,DENOMINAZIONE,0),1),0))=0,"",IF(LIBRO_GIORNALE!E99="","",IFERROR(INDEX(PIANO_DEI_CONTI,MATCH(BB191,DENOMINAZIONE,0),1),0)))</f>
        <v/>
      </c>
      <c r="DH191" s="259">
        <f ca="1">IFERROR(IF($J$1=1,IF(INDEX(PIANO_DEI_CONTI,MATCH($K191,DENOMINAZIONE,0),5)=$DF$1,MAX($DH$2:DH190)+1,0),IF($J$1=2,IF(INDEX(PIANO_DEI_CONTI,MATCH($K191,DENOMINAZIONE,0),7)=$DF$1,MAX($DH$2:DH190)+1,0))),0)</f>
        <v>0</v>
      </c>
      <c r="DI191" s="259">
        <f ca="1">IFERROR(INDEX($K$3:$K$220,MATCH(ROWS($DI$3:DI191),$DH$3:$DH$220,0),1),0)</f>
        <v>0</v>
      </c>
      <c r="DJ191" s="259">
        <f t="shared" ca="1" si="381"/>
        <v>0</v>
      </c>
      <c r="DK191" s="259">
        <f ca="1">IF(DJ191=0,0,MAX(DK$2:DK190)+1)</f>
        <v>0</v>
      </c>
      <c r="DL191" s="259">
        <f ca="1">IFERROR(INDEX(PIANO_DEI_CONTI,MATCH(ROWS(DL$3:DL191),$DK$3:DK418,0),2),0)</f>
        <v>0</v>
      </c>
      <c r="DM191" s="259">
        <f t="shared" ca="1" si="382"/>
        <v>0</v>
      </c>
      <c r="DN191" s="259">
        <f t="shared" ca="1" si="383"/>
        <v>0</v>
      </c>
      <c r="DO191" s="259">
        <f t="shared" ca="1" si="422"/>
        <v>0</v>
      </c>
      <c r="DP191" s="259">
        <f t="shared" ca="1" si="423"/>
        <v>0</v>
      </c>
      <c r="DQ191" s="259">
        <f ca="1">IF(OR($DQ$1="TOTALI",$DQ$1="TOTALI ED ECCEDENZE"),IF(OR(DM191&gt;0,DN191&gt;0),MAX(DQ$2:DQ190)+1,0),IF($DQ$1="ECCEDENZE",IF(OR(DO191&gt;0,DP191&gt;0),MAX(DQ$2:DQ190)+1,0),""))</f>
        <v>0</v>
      </c>
      <c r="DR191" s="259" t="str">
        <f ca="1">IFERROR(INDEX($DL$3:$DQ$230,MATCH(ROWS(DR$3:DR191),$DQ$3:$DQ$230,0),1),"")</f>
        <v/>
      </c>
      <c r="DS191" s="259" t="str">
        <f t="shared" ca="1" si="424"/>
        <v/>
      </c>
      <c r="DT191" s="259" t="str">
        <f t="shared" ca="1" si="425"/>
        <v/>
      </c>
      <c r="DU191" s="259" t="str">
        <f t="shared" ca="1" si="426"/>
        <v/>
      </c>
      <c r="DV191" s="259" t="str">
        <f t="shared" ca="1" si="427"/>
        <v/>
      </c>
      <c r="DW191" s="259">
        <f t="shared" ca="1" si="428"/>
        <v>0</v>
      </c>
      <c r="DX191" s="259" t="str">
        <f t="shared" ca="1" si="429"/>
        <v/>
      </c>
      <c r="DY191" s="259" t="str">
        <f t="shared" ca="1" si="430"/>
        <v/>
      </c>
      <c r="DZ191" s="259" t="str">
        <f t="shared" ca="1" si="431"/>
        <v/>
      </c>
      <c r="ED191" s="259">
        <f t="shared" ca="1" si="384"/>
        <v>0</v>
      </c>
      <c r="EH191" s="259" t="str">
        <f t="shared" ca="1" si="432"/>
        <v/>
      </c>
      <c r="EI191" s="260" t="b">
        <f t="shared" ca="1" si="466"/>
        <v>1</v>
      </c>
      <c r="EJ191" s="260" t="b">
        <f t="shared" ca="1" si="467"/>
        <v>1</v>
      </c>
      <c r="EK191" s="260" t="b">
        <f t="shared" ca="1" si="468"/>
        <v>1</v>
      </c>
      <c r="EL191" s="259">
        <f t="shared" si="433"/>
        <v>189</v>
      </c>
      <c r="EM191" s="259">
        <f ca="1">IF(AND(BA191&gt;0,BA191&lt;=$EM$1),MAX($EM$2:EM190)+1,0)</f>
        <v>0</v>
      </c>
      <c r="EN191" s="259">
        <f t="shared" ca="1" si="434"/>
        <v>191</v>
      </c>
      <c r="EP191" s="259" t="str">
        <f t="shared" ca="1" si="385"/>
        <v/>
      </c>
      <c r="EQ191" s="259">
        <f t="shared" ca="1" si="386"/>
        <v>0</v>
      </c>
      <c r="ER191" s="259">
        <f ca="1">IF(ISNA(EQ191),MAX(ER$2:ER190)+1,0)</f>
        <v>0</v>
      </c>
      <c r="ES191" s="259" t="str">
        <f t="shared" ca="1" si="435"/>
        <v/>
      </c>
      <c r="ET191" s="259" t="str">
        <f ca="1">IFERROR(UPPER(INDEX($ER$3:$ES$500,MATCH(ROWS(ET$3:ET191),$ER$3:$ER$500,0),2)),"")</f>
        <v/>
      </c>
      <c r="EW191" s="259">
        <f t="shared" ca="1" si="497"/>
        <v>1</v>
      </c>
      <c r="EX191" s="259">
        <v>89</v>
      </c>
      <c r="EY191" s="259">
        <f t="shared" ca="1" si="498"/>
        <v>0</v>
      </c>
      <c r="EZ191" s="259">
        <f t="shared" ca="1" si="499"/>
        <v>0</v>
      </c>
      <c r="FA191" s="259">
        <f t="shared" ca="1" si="500"/>
        <v>0</v>
      </c>
      <c r="FB191" s="259">
        <f t="shared" ca="1" si="501"/>
        <v>0</v>
      </c>
      <c r="FC191" s="259">
        <f t="shared" ca="1" si="502"/>
        <v>0</v>
      </c>
      <c r="FD191" s="259">
        <f t="shared" ca="1" si="387"/>
        <v>0</v>
      </c>
      <c r="FE191" s="259" t="str">
        <f t="shared" ca="1" si="388"/>
        <v/>
      </c>
      <c r="FF191" s="259" t="str">
        <f t="shared" ca="1" si="503"/>
        <v/>
      </c>
      <c r="FM191" s="259">
        <f t="shared" si="389"/>
        <v>0</v>
      </c>
      <c r="FN191" s="259">
        <f>IF(FM191&lt;0,MAX($FN$2:FN190)+1,0)</f>
        <v>0</v>
      </c>
      <c r="FO191" s="259" t="str">
        <f t="shared" si="436"/>
        <v/>
      </c>
      <c r="FP191" s="259" t="str">
        <f ca="1">IFERROR(INDEX($FN$3:$FO$400,MATCH(ROWS($FP$3:FP191),$FN$3:$FN$400,0),2),"")</f>
        <v/>
      </c>
      <c r="FQ191" s="259" t="str">
        <f>IF(AE191="SE AVERE",MAX($FQ$2:FQ190)+1,"")</f>
        <v/>
      </c>
      <c r="FR191" s="259" t="str">
        <f>IF(AE191="SE DARE",MAX($FR$2:FR190)+1,"")</f>
        <v/>
      </c>
      <c r="FS191" s="259" t="str">
        <f ca="1">IF(AND(AE191="SP DARE",AA191&lt;&gt;$FS$1,AA191&lt;&gt;$FT$1),MAX($FS$2:FS190)+1,IF(AND(GQ191="SP DARE",AA191&lt;&gt;$FS$1,AA191&lt;&gt;$FT$1),MAX($FS$2:FS190)+1,""))</f>
        <v/>
      </c>
      <c r="FT191" s="259" t="str">
        <f ca="1">IF(AND(AE191="SP AVERE",AA191&lt;&gt;$FU$1),MAX($FT$2:FT190)+1,IF(AND(GQ191="SP AVERE",AA191&lt;&gt;$FU$1),MAX($FT$2:FT190)+1,""))</f>
        <v/>
      </c>
      <c r="FU191" s="259">
        <f t="shared" ca="1" si="437"/>
        <v>0</v>
      </c>
      <c r="FV191" s="259" t="str">
        <f t="shared" si="438"/>
        <v/>
      </c>
      <c r="FW191" s="259">
        <f ca="1">IFERROR(INDEX($FU$3:$FV$500,MATCH(ROWS($FW$3:FW191),$FU$3:$FU$500,0),2),0)</f>
        <v>0</v>
      </c>
      <c r="FX191" s="259">
        <f t="shared" ca="1" si="439"/>
        <v>0</v>
      </c>
      <c r="FY191" s="259">
        <f t="shared" ca="1" si="440"/>
        <v>0</v>
      </c>
      <c r="FZ191" s="259">
        <f ca="1">IF(FY191&gt;0,MAX($FZ$2:FZ190)+1,0)</f>
        <v>0</v>
      </c>
      <c r="GA191" s="259">
        <f ca="1">IFERROR(INDEX($FY$3:$FZ$500,MATCH(ROWS($GA$3:GA191),$FZ$3:$FZ$500,0),1),0)</f>
        <v>0</v>
      </c>
      <c r="GC191" s="259">
        <f t="shared" ca="1" si="441"/>
        <v>0</v>
      </c>
      <c r="GD191" s="259">
        <f t="shared" ca="1" si="442"/>
        <v>0</v>
      </c>
      <c r="GG191" s="259">
        <f t="shared" ca="1" si="443"/>
        <v>0</v>
      </c>
      <c r="GH191" s="259">
        <f t="shared" ca="1" si="444"/>
        <v>0</v>
      </c>
      <c r="GI191" s="259">
        <f t="shared" ca="1" si="445"/>
        <v>0</v>
      </c>
      <c r="GJ191" s="259">
        <f t="shared" ca="1" si="446"/>
        <v>0</v>
      </c>
      <c r="GK191" s="259">
        <f t="shared" ca="1" si="447"/>
        <v>0</v>
      </c>
      <c r="GL191" s="259">
        <f t="shared" ca="1" si="447"/>
        <v>0</v>
      </c>
      <c r="GM191" s="259">
        <f ca="1">IF(OR(GK191&gt;0,GL191&gt;0),MAX($GM$2:GM190)+1,0)</f>
        <v>0</v>
      </c>
      <c r="GN191" s="259" t="str">
        <f ca="1">IFERROR(INDEX($GD$3:$GM$400,MATCH(ROWS($GN$3:GN191),$GM$3:$GM$400,0),1),"")</f>
        <v/>
      </c>
      <c r="GO191" s="259" t="str">
        <f ca="1">IFERROR(INDEX($GD$3:$GM$400,MATCH(ROWS($GO$3:GO191),$GM$3:$GM$400,0),8),"")</f>
        <v/>
      </c>
      <c r="GP191" s="259" t="str">
        <f ca="1">IFERROR(INDEX($GD$3:$GM$400,MATCH(ROWS($GP$3:GP191),$GM$3:$GM$400,0),9),"")</f>
        <v/>
      </c>
      <c r="GQ191" s="259">
        <f t="shared" ca="1" si="390"/>
        <v>0</v>
      </c>
      <c r="GR191" s="259">
        <f t="shared" ca="1" si="448"/>
        <v>0</v>
      </c>
      <c r="GS191" s="259" t="str">
        <f t="shared" ca="1" si="449"/>
        <v/>
      </c>
      <c r="GT191" s="259" t="str">
        <f ca="1">IFERROR(INDEX($GD$3:$GS$400,MATCH(ROWS($GT$3:GT191),$GM$3:$GM$400,0),16),"")</f>
        <v/>
      </c>
      <c r="GU191" s="259">
        <f ca="1">IF(GQ191&lt;&gt;0,MAX($GU$2:$GU190)+1,0)</f>
        <v>0</v>
      </c>
      <c r="GV191" s="259">
        <f t="shared" ca="1" si="450"/>
        <v>0</v>
      </c>
      <c r="GW191" s="259" t="str">
        <f ca="1">IF(AND(IFERROR(INDEX($GU$3:$GV$400,MATCH(ROWS($GW$3:GW191),$GU$3:$GU$400,0),2),"")&lt;&gt;"",GW192&lt;&gt;""),CONCATENATE(IFERROR(INDEX($GU$3:$GV$400,MATCH(ROWS($GW$3:GW191),$GU$3:$GU$400,0),2),"")," - "),IFERROR(INDEX($GU$3:$GV$400,MATCH(ROWS($GW$3:GW191),$GU$3:$GU$400,0),2),""))</f>
        <v/>
      </c>
      <c r="GX191" s="259">
        <f ca="1">IF(OR(GN191="IVA NS/CREDITO",GN191="IVA NS/DEBITO",GN191="IVA C/ACCONTO",GN191="IMPOSTE C/ACCONTO"),MAX($GX$2:GX190)+1,0)</f>
        <v>0</v>
      </c>
      <c r="GY191" s="259" t="str">
        <f ca="1">IF(AND(IFERROR(INDEX($GN$3:$GX$200,MATCH(ROWS($GY$3:GY191),$GX$3:$GX$200,0),1),"")&lt;&gt;"",GY192&lt;&gt;""),CONCATENATE(IFERROR(INDEX($GN$3:$GX$200,MATCH(ROWS($GY$3:GY191),$GX$3:$GX$200,0),1),"")," - "),IFERROR(INDEX($GN$3:$GX$200,MATCH(ROWS($GY$3:GY191),$GX$3:$GX$200,0),1),""))</f>
        <v/>
      </c>
      <c r="GZ191" s="259" t="s">
        <v>677</v>
      </c>
      <c r="HA191" s="259" t="s">
        <v>190</v>
      </c>
      <c r="HB191" s="269" t="s">
        <v>256</v>
      </c>
      <c r="HC191" s="269" t="s">
        <v>276</v>
      </c>
      <c r="HD191" s="269" t="s">
        <v>7</v>
      </c>
      <c r="HE191" s="269" t="s">
        <v>214</v>
      </c>
      <c r="HV191" s="259" t="str">
        <f ca="1">CONCATENATE(IFERROR(INDEX($HS$3:$HT$102,MATCH(ROWS($HV$3:HV191),$HT$3:$HT$102,0),1),""),HR191)</f>
        <v/>
      </c>
      <c r="IC191" s="259">
        <f ca="1">IFERROR(INDEX(PIANO_DEI_CONTI,MATCH(ROWS(DL$3:DL191),$DK$3:DK418,0),2),0)</f>
        <v>0</v>
      </c>
      <c r="ID191" s="259">
        <f t="shared" ca="1" si="451"/>
        <v>0</v>
      </c>
      <c r="IE191" s="259">
        <f t="shared" ca="1" si="452"/>
        <v>0</v>
      </c>
      <c r="IF191" s="259">
        <f t="shared" ca="1" si="453"/>
        <v>0</v>
      </c>
      <c r="IG191" s="259">
        <f t="shared" ca="1" si="479"/>
        <v>0</v>
      </c>
      <c r="IH191" s="259">
        <f ca="1">IF(IG191&lt;&gt;0,MAX($IH$35:IH190)+1,0)</f>
        <v>0</v>
      </c>
      <c r="II191" s="259">
        <f>IF(AD191="costi pluriennali",MAX($II$2:II190)+1,0)</f>
        <v>0</v>
      </c>
      <c r="IJ191" s="259">
        <f>IF($AD191="rettifiche costi pluriennali",MAX($IJ$2:IJ190)+1,0)</f>
        <v>0</v>
      </c>
      <c r="IK191" s="259">
        <f t="shared" si="454"/>
        <v>0</v>
      </c>
      <c r="IL191" s="259" t="str">
        <f t="shared" si="455"/>
        <v/>
      </c>
      <c r="IM191" s="259">
        <f t="shared" ca="1" si="456"/>
        <v>0</v>
      </c>
      <c r="IN191" s="259">
        <f t="shared" ca="1" si="470"/>
        <v>0</v>
      </c>
      <c r="IO191" s="259">
        <f>SUMIFS($IM$3:$IM$200,$IK$3:$IK$200,ROWS($IO$3:IO191))-SUMIFS($IN$3:$IN$200,$IK$3:$IK$200,ROWS($IO$3:IO191))</f>
        <v>0</v>
      </c>
      <c r="IP191" s="259" t="str">
        <f>IF(IO191&lt;0,INDEX($IJ$3:$IL$200,MATCH(ROWS($IP$3:IP191),$IJ$3:$IJ$200,0),3),"")</f>
        <v/>
      </c>
      <c r="IQ191" s="259">
        <f>IF(IP191&lt;&gt;"",MAX($IQ$2:IQ190)+1,0)</f>
        <v>0</v>
      </c>
      <c r="IR191" s="259" t="str">
        <f ca="1">IFERROR(INDEX($IP$3:$IQ$200,MATCH(ROWS($IR$3:IR191),$IQ$3:$IQ$200,0),1),"")</f>
        <v/>
      </c>
      <c r="IS191" s="259" t="str">
        <f t="shared" ca="1" si="457"/>
        <v/>
      </c>
      <c r="IT191" s="259" t="str">
        <f t="shared" ca="1" si="458"/>
        <v/>
      </c>
      <c r="IU191" s="259" t="str">
        <f t="shared" ca="1" si="459"/>
        <v/>
      </c>
      <c r="IV191" s="259" t="str">
        <f t="shared" ca="1" si="460"/>
        <v/>
      </c>
      <c r="IW191" s="259" t="str">
        <f t="shared" ca="1" si="461"/>
        <v/>
      </c>
      <c r="IX191" s="259" t="str">
        <f t="shared" ca="1" si="462"/>
        <v/>
      </c>
      <c r="IY191" s="259" t="str">
        <f t="shared" ca="1" si="463"/>
        <v/>
      </c>
      <c r="IZ191" s="259" t="str">
        <f t="shared" ca="1" si="464"/>
        <v/>
      </c>
      <c r="JA191" s="259" t="str">
        <f t="shared" ca="1" si="465"/>
        <v/>
      </c>
      <c r="JB191" s="259">
        <f t="shared" ca="1" si="391"/>
        <v>0</v>
      </c>
      <c r="JC191" s="259">
        <f t="shared" ca="1" si="504"/>
        <v>0</v>
      </c>
      <c r="JD191" s="259">
        <f t="shared" ca="1" si="505"/>
        <v>0</v>
      </c>
      <c r="JM191" s="259">
        <f t="shared" ca="1" si="506"/>
        <v>0</v>
      </c>
    </row>
    <row r="192" spans="1:273">
      <c r="A192" s="259" t="str">
        <f t="shared" si="392"/>
        <v>39.05</v>
      </c>
      <c r="B192" s="259" t="str">
        <f t="shared" si="393"/>
        <v>PERDITE SU CREDITI</v>
      </c>
      <c r="C192" s="259" t="str">
        <f t="shared" si="394"/>
        <v>E</v>
      </c>
      <c r="D192" s="259" t="str">
        <f t="shared" si="395"/>
        <v>D</v>
      </c>
      <c r="E192" s="259" t="str">
        <f t="shared" si="396"/>
        <v>COSTI D'ESERCIZIO</v>
      </c>
      <c r="F192" s="259" t="str">
        <f t="shared" si="397"/>
        <v>SE DARE</v>
      </c>
      <c r="G192" s="259">
        <f t="shared" ca="1" si="398"/>
        <v>1</v>
      </c>
      <c r="H192" s="259">
        <f t="shared" ca="1" si="399"/>
        <v>1</v>
      </c>
      <c r="I192" s="259">
        <f t="shared" ca="1" si="400"/>
        <v>1</v>
      </c>
      <c r="K192" s="259" t="str">
        <f ca="1">IFERROR(IF($I$1=1,INDEX($AA$3:$AS$220,MATCH(ROWS($K$3:K192),$AQ$3:$AQ$220,0),1),IF($I$1=2,INDEX($AA$3:$AS$220,MATCH(ROWS($K$3:K192),$AR$3:$AR$220,0),1),IF($I$1=3,INDEX($AA$3:$AS$220,MATCH(ROWS($K$3:K192),$AS$3:$AS$220,0),1),""))),"")</f>
        <v/>
      </c>
      <c r="L192" s="259">
        <f ca="1">IF(AND($L$1="VISUALIZZA TUTTI I CONTI",K192&lt;&gt;""),MAX(L191:L191)+1,IFERROR(IF($J$1=1,IF(INDEX(PIANO_DEI_CONTI,MATCH($K192,DENOMINAZIONE,0),5)=$L$1,MAX($L$2:L191)+1,0),IF($J$1=2,IF(INDEX(PIANO_DEI_CONTI,MATCH($K192,DENOMINAZIONE,0),7)=$L$1,MAX($L$2:L191)+1,0))),0))</f>
        <v>0</v>
      </c>
      <c r="M192" s="259" t="str">
        <f ca="1">IFERROR(INDEX($K$3:$K$220,MATCH(ROWS($M$3:M192),$L$3:$L$220,0),1),"")</f>
        <v/>
      </c>
      <c r="R192" s="259" t="str">
        <f t="shared" ca="1" si="366"/>
        <v/>
      </c>
      <c r="S192" s="259">
        <f ca="1">IF(IFERROR(MATCH(R192,DENOMINAZIONE_GIORNALE,0),0)&gt;0,MAX(S$2:S191)+1,0)</f>
        <v>0</v>
      </c>
      <c r="T192" s="259" t="str">
        <f ca="1">IFERROR(INDEX($R$3:$S$220,MATCH(ROWS($T$3:T192),$S$3:$S$220,0),1),"")</f>
        <v/>
      </c>
      <c r="U192" s="259">
        <f t="shared" ca="1" si="367"/>
        <v>0</v>
      </c>
      <c r="V192" s="259">
        <f ca="1">IF(IF(U192&lt;&gt;0,MAX($V$2:V191)+1,0)=0,0,IF(U192&lt;&gt;0,MAX($V$2:V191)+1,0))</f>
        <v>0</v>
      </c>
      <c r="W192" s="259" t="str">
        <f t="shared" si="401"/>
        <v>39.05</v>
      </c>
      <c r="X192" s="259" t="str">
        <f t="shared" si="402"/>
        <v>PERDITE SU CREDITI</v>
      </c>
      <c r="Y192" s="259">
        <f>IF(W192="",0,MAX($Y$2:Y191)+1)</f>
        <v>162</v>
      </c>
      <c r="Z192" s="259" t="str">
        <f>IFERROR(INDEX($W$3:$Y$220,MATCH(ROWS($Z$2:Z191),$Y$3:$Y$220,0),1),"")</f>
        <v/>
      </c>
      <c r="AA192" s="259" t="str">
        <f t="shared" si="403"/>
        <v/>
      </c>
      <c r="AB192" s="259" t="str">
        <f t="shared" si="404"/>
        <v/>
      </c>
      <c r="AC192" s="259" t="str">
        <f t="shared" si="405"/>
        <v/>
      </c>
      <c r="AD192" s="259" t="str">
        <f t="shared" si="406"/>
        <v/>
      </c>
      <c r="AE192" s="259" t="str">
        <f t="shared" si="407"/>
        <v/>
      </c>
      <c r="AF192" s="259" t="str">
        <f t="shared" si="408"/>
        <v/>
      </c>
      <c r="AG192" s="259" t="str">
        <f t="shared" si="409"/>
        <v/>
      </c>
      <c r="AH192" s="259" t="str">
        <f t="shared" si="410"/>
        <v/>
      </c>
      <c r="AI192" s="259" t="str">
        <f t="shared" si="411"/>
        <v/>
      </c>
      <c r="AJ192" s="259" t="str">
        <f t="shared" si="412"/>
        <v/>
      </c>
      <c r="AK192" s="259" t="str">
        <f t="shared" si="413"/>
        <v/>
      </c>
      <c r="AL192" s="259">
        <f>IF(AK192&lt;&gt;"",MAX($AL$2:AL191)+1,0)</f>
        <v>0</v>
      </c>
      <c r="AM192" s="259" t="str">
        <f>IFERROR(INDEX($AK$3:$AL$220,MATCH(ROWS($AM$3:AM192),$AL$3:$AL$220,0),1),"")</f>
        <v/>
      </c>
      <c r="AN192" s="259" t="str">
        <f t="shared" si="414"/>
        <v/>
      </c>
      <c r="AO192" s="259" t="str">
        <f t="shared" si="415"/>
        <v/>
      </c>
      <c r="AP192" s="259" t="str">
        <f t="shared" si="416"/>
        <v/>
      </c>
      <c r="AQ192" s="259">
        <f>IF(OR(AG192=0,AG192=""),0,MAX(AQ$2:AQ191)+1)</f>
        <v>0</v>
      </c>
      <c r="AR192" s="259">
        <f>IF(OR(AH192=0,AH192=""),0,MAX(AR$2:AR191)+1)</f>
        <v>0</v>
      </c>
      <c r="AS192" s="259">
        <f>IF(OR(AI192=0,AI192=""),0,MAX(AS$2:AS191)+1)</f>
        <v>0</v>
      </c>
      <c r="AT192" s="259" t="str">
        <f ca="1">IFERROR(INDEX($AD$3:$AS$220,MATCH(ROWS(AT$3:AT192),AQ$3:AQ$220,0),1),"")</f>
        <v/>
      </c>
      <c r="AU192" s="259" t="str">
        <f ca="1">IFERROR(INDEX($AD$3:$AS$220,MATCH(ROWS(AU$3:AU192),AR$3:AR$220,0),1),"")</f>
        <v/>
      </c>
      <c r="AV192" s="259" t="str">
        <f ca="1">IFERROR(INDEX($AD$3:$AS$220,MATCH(ROWS(AV$3:AV192),AS$3:AS$220,0),1),"")</f>
        <v/>
      </c>
      <c r="AW192" s="259" t="str">
        <f ca="1">IFERROR(INDEX($AP$3:$AS$220,MATCH(ROWS(AW$3:AW192),AQ$3:AQ$220,0),1),"")</f>
        <v/>
      </c>
      <c r="AX192" s="259" t="str">
        <f ca="1">IFERROR(INDEX($AP$3:$AS$220,MATCH(ROWS(AX$3:AX192),AR$3:AR$220,0),1),"")</f>
        <v/>
      </c>
      <c r="AY192" s="259" t="str">
        <f ca="1">IFERROR(INDEX($AP$3:$AS$220,MATCH(ROWS(AY$3:AY192),AS$3:AS$220,0),1),"")</f>
        <v/>
      </c>
      <c r="AZ192" s="259" t="str">
        <f t="shared" si="490"/>
        <v>90 V.I.</v>
      </c>
      <c r="BA192" s="259">
        <f t="shared" ca="1" si="484"/>
        <v>0</v>
      </c>
      <c r="BB192" s="259">
        <f t="shared" ca="1" si="491"/>
        <v>0</v>
      </c>
      <c r="BC192" s="259">
        <f t="shared" ca="1" si="492"/>
        <v>0</v>
      </c>
      <c r="BD192" s="259">
        <f t="shared" ca="1" si="493"/>
        <v>0</v>
      </c>
      <c r="BE192" s="259">
        <f t="shared" ca="1" si="494"/>
        <v>0</v>
      </c>
      <c r="BG192" s="259" t="str">
        <f t="shared" ca="1" si="368"/>
        <v/>
      </c>
      <c r="BH192" s="259">
        <f ca="1">IF(IFERROR(MATCH(BG192,DENOMINAZIONE_GIORNALE,0),0)&gt;0,MAX(BH$2:BH191)+1,0)</f>
        <v>0</v>
      </c>
      <c r="BI192" s="259" t="str">
        <f ca="1">IFERROR(INDEX($BG$3:$BH$220,MATCH(ROWS($BI$3:BI192),$BH$3:$BH$220,0),1),"")</f>
        <v/>
      </c>
      <c r="BJ192" s="259" t="str">
        <f t="shared" ca="1" si="369"/>
        <v/>
      </c>
      <c r="BK192" s="259" t="str">
        <f ca="1">IF(IF(BJ192&lt;&gt;"",MAX($BK$2:BK191)+1,0)=0,"",IF(BJ192&lt;&gt;"",MAX($BK$2:BK191)+1,0))</f>
        <v/>
      </c>
      <c r="BL192" s="259" t="str">
        <f ca="1">IFERROR(INDEX($T$3:$U$220, MATCH(ROWS(BL$3:BL192),$V$3:$V$220,0),1),"")</f>
        <v/>
      </c>
      <c r="BM192" s="259" t="str">
        <f ca="1">IFERROR(INDEX($T$3:$U$220, MATCH(ROWS(BM$3:BM192),$V$3:$V$220,0),2),"")</f>
        <v/>
      </c>
      <c r="BN192" s="259" t="str">
        <f ca="1">IF(IFERROR(INDEX($BI$3:$BJ$220,MATCH(ROWS(BN$3:BN192),$BK$3:$BK$220,0),1),"")="PATRIMONIO NETTO","",IFERROR(INDEX($BI$3:$BJ$220,MATCH(ROWS(BN$3:BN192),$BK$3:$BK$220,0),1),""))</f>
        <v/>
      </c>
      <c r="BO192" s="259" t="str">
        <f ca="1">IFERROR(INDEX($BI$3:$BJ$220,MATCH(ROWS(BO$3:BO192),$BK$3:$BK$220,0),2),"")</f>
        <v/>
      </c>
      <c r="BP192" s="259">
        <f ca="1">IF(BN192&lt;&gt;"",MAX(BP$2:$BP191)+1,0)</f>
        <v>0</v>
      </c>
      <c r="BQ192" s="259" t="str">
        <f ca="1">IFERROR(INDEX($BN$3:$BO$200,MATCH(ROWS(BQ$3:BQ192),$BP$3:$BP$220,0),1),"")</f>
        <v/>
      </c>
      <c r="BR192" s="259" t="str">
        <f ca="1">IFERROR(INDEX($BN$3:$BO$220,MATCH(ROWS(BR$3:BR192),$BP$3:$BP$220,0),2),"")</f>
        <v/>
      </c>
      <c r="BS192" s="259" t="str">
        <f ca="1">IFERROR(IF(OR(INDEX($T$3:$U$220,MATCH(ROWS(BL$3:BL192),$V$3:$V$220,0),1)="PRELEVAMENTI EXTRAGESTIONE",INDEX($T$3:$U$220,MATCH(ROWS(BL$3:BL192),$V$3:$V$220,0),1)="TITOLARE C/RITENUTE SUBITE"),"",INDEX($T$3:$U$220,MATCH(ROWS(BL$3:BL192),$V$3:$V$220,0),1)),"")</f>
        <v/>
      </c>
      <c r="BT192" s="259">
        <f t="shared" ca="1" si="417"/>
        <v>0</v>
      </c>
      <c r="BU192" s="259">
        <f ca="1">IF(BS192&lt;&gt;"",MAX(BU$2:BU191)+1,0)</f>
        <v>0</v>
      </c>
      <c r="BV192" s="259" t="str">
        <f ca="1">IFERROR(INDEX($BS$3:$BT$223,MATCH(ROWS(BV$3:BV192),$BU$3:$BU$223,0),1),"")</f>
        <v/>
      </c>
      <c r="BW192" s="259">
        <f t="shared" ca="1" si="418"/>
        <v>0</v>
      </c>
      <c r="CB192" s="259" t="str">
        <f ca="1">IFERROR(IF(OR($BB$1&lt;&gt;$BD$1,$BC$1&lt;&gt;$BE$1,$DS$231&lt;&gt;$DT$231,$DU$231&lt;&gt;$DV$231,$EO$25&lt;&gt;0,$EO$26&lt;&gt;0),INDEX($BI$3:$BK$220,MATCH(ROWS($CB$3:CB192),$BK$3:$BK$220,0),1),CONCATENATE(BQ192,BX192)),"")</f>
        <v/>
      </c>
      <c r="CC192" s="259" t="str">
        <f t="shared" ca="1" si="419"/>
        <v/>
      </c>
      <c r="CD192" s="259" t="str">
        <f t="shared" ca="1" si="370"/>
        <v/>
      </c>
      <c r="CE192" s="259">
        <f ca="1">IF(IFERROR(MATCH(CD192,DENOMINAZIONE_GIORNALE,0),0)&gt;0,MAX(CE$2:CE191)+1,0)</f>
        <v>0</v>
      </c>
      <c r="CF192" s="259" t="str">
        <f ca="1">IFERROR(INDEX($CD$3:$CE$220,MATCH(ROWS($CF$3:CF192),$CE$3:$CE$220,0),1),"")</f>
        <v/>
      </c>
      <c r="CG192" s="259">
        <f t="shared" ca="1" si="371"/>
        <v>0</v>
      </c>
      <c r="CH192" s="259" t="str">
        <f ca="1">IF(IF(CG192&lt;&gt;0,MAX($CH$2:CH191)+1,0)=0,"",IF(CG192&lt;&gt;"",MAX($CH$2:CH191)+1,0))</f>
        <v/>
      </c>
      <c r="CI192" s="259" t="str">
        <f ca="1">IFERROR(INDEX($CF$3:$CG$220,MATCH(ROWS($CI$3:CI192),$CH$3:$CH$220,0),1),"")</f>
        <v/>
      </c>
      <c r="CJ192" s="259" t="str">
        <f t="shared" ca="1" si="420"/>
        <v/>
      </c>
      <c r="CK192" s="259" t="str">
        <f t="shared" ca="1" si="372"/>
        <v/>
      </c>
      <c r="CL192" s="259">
        <f ca="1">IF(IFERROR(MATCH(CK192,DENOMINAZIONE_GIORNALE,0),0)&gt;0,MAX(CL$2:CL191)+1,0)</f>
        <v>0</v>
      </c>
      <c r="CM192" s="259" t="str">
        <f ca="1">IFERROR(INDEX($CK$3:$CL$220,MATCH(ROWS($CM$3:CM192),$CL$3:$CL$220,0),1),"")</f>
        <v/>
      </c>
      <c r="CN192" s="259" t="str">
        <f t="shared" ca="1" si="373"/>
        <v/>
      </c>
      <c r="CO192" s="259">
        <f ca="1">IF(IF(CN192&lt;&gt;0,MAX($CO$2:CO191)+1,0)=0,"",IF(CN192&lt;&gt;"",MAX($CO$2:CO191)+1,0))</f>
        <v>0</v>
      </c>
      <c r="CP192" s="259" t="str">
        <f ca="1">IFERROR(INDEX($CM$3:$CN$220,MATCH(ROWS(CP$3:CP192),$CO$3:$CO$220,0),1),"")</f>
        <v/>
      </c>
      <c r="CQ192" s="259" t="str">
        <f ca="1">IFERROR(INDEX($CM$3:$CN$220,MATCH(ROWS(CQ$3:CQ192),$CO$3:$CO$220,0),2),"")</f>
        <v/>
      </c>
      <c r="CS192" s="259">
        <f t="shared" ca="1" si="374"/>
        <v>0</v>
      </c>
      <c r="CT192" s="259">
        <f t="shared" ca="1" si="375"/>
        <v>0</v>
      </c>
      <c r="CU192" s="259">
        <f ca="1">IF(OR(CS192&gt;0,CT192&gt;0),MAX($CU$2:CU191)+1,0)</f>
        <v>0</v>
      </c>
      <c r="CV192" s="259" t="str">
        <f ca="1">IFERROR(INDEX(PIANO_DEI_CONTI,MATCH(ROWS($CV$3:CV192),$CU$3:$CU$200,0),2),"")</f>
        <v/>
      </c>
      <c r="CW192" s="259">
        <f ca="1">IFERROR(IF(CV192&lt;&gt;"",MAX($CW$2:CW191)+1,0),0)</f>
        <v>0</v>
      </c>
      <c r="CX192" s="259">
        <f t="shared" ca="1" si="508"/>
        <v>11</v>
      </c>
      <c r="CY192" s="259" t="str">
        <f t="shared" ca="1" si="495"/>
        <v>MASTRO</v>
      </c>
      <c r="CZ192" s="259" t="e">
        <f t="shared" ca="1" si="510"/>
        <v>#N/A</v>
      </c>
      <c r="DA192" s="259" t="str">
        <f t="shared" ca="1" si="515"/>
        <v/>
      </c>
      <c r="DB192" s="259" t="str">
        <f t="shared" ca="1" si="511"/>
        <v/>
      </c>
      <c r="DC192" s="259" t="str">
        <f t="shared" ca="1" si="512"/>
        <v/>
      </c>
      <c r="DD192" s="259" t="str">
        <f t="shared" ca="1" si="513"/>
        <v/>
      </c>
      <c r="DE192" s="259" t="str">
        <f t="shared" ca="1" si="514"/>
        <v/>
      </c>
      <c r="DF192" s="259">
        <f ca="1">IF(AND(CX192=$DE$2,$DF$2&lt;&gt;0),0,IF(AND(DB192&lt;&gt;"",OR(DB191&lt;&gt;"",DB193&lt;&gt;"")),MAX($DF$2:DF191)+1,0))</f>
        <v>0</v>
      </c>
      <c r="DG192" s="259" t="str">
        <f>IF(IF(LIBRO_GIORNALE!E100="","",IFERROR(INDEX(PIANO_DEI_CONTI,MATCH(BB192,DENOMINAZIONE,0),1),0))=0,"",IF(LIBRO_GIORNALE!E100="","",IFERROR(INDEX(PIANO_DEI_CONTI,MATCH(BB192,DENOMINAZIONE,0),1),0)))</f>
        <v/>
      </c>
      <c r="DH192" s="259">
        <f ca="1">IFERROR(IF($J$1=1,IF(INDEX(PIANO_DEI_CONTI,MATCH($K192,DENOMINAZIONE,0),5)=$DF$1,MAX($DH$2:DH191)+1,0),IF($J$1=2,IF(INDEX(PIANO_DEI_CONTI,MATCH($K192,DENOMINAZIONE,0),7)=$DF$1,MAX($DH$2:DH191)+1,0))),0)</f>
        <v>0</v>
      </c>
      <c r="DI192" s="259">
        <f ca="1">IFERROR(INDEX($K$3:$K$220,MATCH(ROWS($DI$3:DI192),$DH$3:$DH$220,0),1),0)</f>
        <v>0</v>
      </c>
      <c r="DJ192" s="259">
        <f t="shared" ca="1" si="381"/>
        <v>0</v>
      </c>
      <c r="DK192" s="259">
        <f ca="1">IF(DJ192=0,0,MAX(DK$2:DK191)+1)</f>
        <v>0</v>
      </c>
      <c r="DL192" s="259">
        <f ca="1">IFERROR(INDEX(PIANO_DEI_CONTI,MATCH(ROWS(DL$3:DL192),$DK$3:DK419,0),2),0)</f>
        <v>0</v>
      </c>
      <c r="DM192" s="259">
        <f t="shared" ca="1" si="382"/>
        <v>0</v>
      </c>
      <c r="DN192" s="259">
        <f t="shared" ca="1" si="383"/>
        <v>0</v>
      </c>
      <c r="DO192" s="259">
        <f t="shared" ca="1" si="422"/>
        <v>0</v>
      </c>
      <c r="DP192" s="259">
        <f t="shared" ca="1" si="423"/>
        <v>0</v>
      </c>
      <c r="DQ192" s="259">
        <f ca="1">IF(OR($DQ$1="TOTALI",$DQ$1="TOTALI ED ECCEDENZE"),IF(OR(DM192&gt;0,DN192&gt;0),MAX(DQ$2:DQ191)+1,0),IF($DQ$1="ECCEDENZE",IF(OR(DO192&gt;0,DP192&gt;0),MAX(DQ$2:DQ191)+1,0),""))</f>
        <v>0</v>
      </c>
      <c r="DR192" s="259" t="str">
        <f ca="1">IFERROR(INDEX($DL$3:$DQ$230,MATCH(ROWS(DR$3:DR192),$DQ$3:$DQ$230,0),1),"")</f>
        <v/>
      </c>
      <c r="DS192" s="259" t="str">
        <f t="shared" ca="1" si="424"/>
        <v/>
      </c>
      <c r="DT192" s="259" t="str">
        <f t="shared" ca="1" si="425"/>
        <v/>
      </c>
      <c r="DU192" s="259" t="str">
        <f t="shared" ca="1" si="426"/>
        <v/>
      </c>
      <c r="DV192" s="259" t="str">
        <f t="shared" ca="1" si="427"/>
        <v/>
      </c>
      <c r="DW192" s="259">
        <f t="shared" ca="1" si="428"/>
        <v>0</v>
      </c>
      <c r="DX192" s="259" t="str">
        <f t="shared" ca="1" si="429"/>
        <v/>
      </c>
      <c r="DY192" s="259" t="str">
        <f t="shared" ca="1" si="430"/>
        <v/>
      </c>
      <c r="DZ192" s="259" t="str">
        <f t="shared" ca="1" si="431"/>
        <v/>
      </c>
      <c r="ED192" s="259">
        <f t="shared" ca="1" si="384"/>
        <v>0</v>
      </c>
      <c r="EH192" s="259" t="str">
        <f t="shared" ca="1" si="432"/>
        <v/>
      </c>
      <c r="EI192" s="260" t="b">
        <f t="shared" ca="1" si="466"/>
        <v>1</v>
      </c>
      <c r="EJ192" s="260" t="b">
        <f t="shared" ca="1" si="467"/>
        <v>1</v>
      </c>
      <c r="EK192" s="260" t="b">
        <f t="shared" ca="1" si="468"/>
        <v>1</v>
      </c>
      <c r="EL192" s="259">
        <f t="shared" si="433"/>
        <v>190</v>
      </c>
      <c r="EM192" s="259">
        <f ca="1">IF(AND(BA192&gt;0,BA192&lt;=$EM$1),MAX($EM$2:EM191)+1,0)</f>
        <v>0</v>
      </c>
      <c r="EN192" s="259">
        <f t="shared" ca="1" si="434"/>
        <v>192</v>
      </c>
      <c r="EP192" s="259" t="str">
        <f t="shared" ca="1" si="385"/>
        <v/>
      </c>
      <c r="EQ192" s="259">
        <f t="shared" ca="1" si="386"/>
        <v>0</v>
      </c>
      <c r="ER192" s="259">
        <f ca="1">IF(ISNA(EQ192),MAX(ER$2:ER191)+1,0)</f>
        <v>0</v>
      </c>
      <c r="ES192" s="259" t="str">
        <f t="shared" ca="1" si="435"/>
        <v/>
      </c>
      <c r="ET192" s="259" t="str">
        <f ca="1">IFERROR(UPPER(INDEX($ER$3:$ES$500,MATCH(ROWS(ET$3:ET192),$ER$3:$ER$500,0),2)),"")</f>
        <v/>
      </c>
      <c r="EW192" s="259">
        <f t="shared" ca="1" si="497"/>
        <v>1</v>
      </c>
      <c r="EX192" s="259">
        <v>90</v>
      </c>
      <c r="EY192" s="259">
        <f t="shared" ca="1" si="498"/>
        <v>0</v>
      </c>
      <c r="EZ192" s="259">
        <f t="shared" ca="1" si="499"/>
        <v>0</v>
      </c>
      <c r="FA192" s="259">
        <f t="shared" ca="1" si="500"/>
        <v>0</v>
      </c>
      <c r="FB192" s="259">
        <f t="shared" ca="1" si="501"/>
        <v>0</v>
      </c>
      <c r="FC192" s="259">
        <f t="shared" ca="1" si="502"/>
        <v>0</v>
      </c>
      <c r="FD192" s="259">
        <f t="shared" ca="1" si="387"/>
        <v>0</v>
      </c>
      <c r="FE192" s="259" t="str">
        <f t="shared" ca="1" si="388"/>
        <v/>
      </c>
      <c r="FF192" s="259" t="str">
        <f t="shared" ca="1" si="503"/>
        <v/>
      </c>
      <c r="FM192" s="259">
        <f t="shared" si="389"/>
        <v>0</v>
      </c>
      <c r="FN192" s="259">
        <f>IF(FM192&lt;0,MAX($FN$2:FN191)+1,0)</f>
        <v>0</v>
      </c>
      <c r="FO192" s="259" t="str">
        <f t="shared" si="436"/>
        <v/>
      </c>
      <c r="FP192" s="259" t="str">
        <f ca="1">IFERROR(INDEX($FN$3:$FO$400,MATCH(ROWS($FP$3:FP192),$FN$3:$FN$400,0),2),"")</f>
        <v/>
      </c>
      <c r="FQ192" s="259" t="str">
        <f>IF(AE192="SE AVERE",MAX($FQ$2:FQ191)+1,"")</f>
        <v/>
      </c>
      <c r="FR192" s="259" t="str">
        <f>IF(AE192="SE DARE",MAX($FR$2:FR191)+1,"")</f>
        <v/>
      </c>
      <c r="FS192" s="259" t="str">
        <f ca="1">IF(AND(AE192="SP DARE",AA192&lt;&gt;$FS$1,AA192&lt;&gt;$FT$1),MAX($FS$2:FS191)+1,IF(AND(GQ192="SP DARE",AA192&lt;&gt;$FS$1,AA192&lt;&gt;$FT$1),MAX($FS$2:FS191)+1,""))</f>
        <v/>
      </c>
      <c r="FT192" s="259" t="str">
        <f ca="1">IF(AND(AE192="SP AVERE",AA192&lt;&gt;$FU$1),MAX($FT$2:FT191)+1,IF(AND(GQ192="SP AVERE",AA192&lt;&gt;$FU$1),MAX($FT$2:FT191)+1,""))</f>
        <v/>
      </c>
      <c r="FU192" s="259">
        <f t="shared" ca="1" si="437"/>
        <v>0</v>
      </c>
      <c r="FV192" s="259" t="str">
        <f t="shared" si="438"/>
        <v/>
      </c>
      <c r="FW192" s="259">
        <f ca="1">IFERROR(INDEX($FU$3:$FV$500,MATCH(ROWS($FW$3:FW192),$FU$3:$FU$500,0),2),0)</f>
        <v>0</v>
      </c>
      <c r="FX192" s="259">
        <f t="shared" ca="1" si="439"/>
        <v>0</v>
      </c>
      <c r="FY192" s="259">
        <f t="shared" ca="1" si="440"/>
        <v>0</v>
      </c>
      <c r="FZ192" s="259">
        <f ca="1">IF(FY192&gt;0,MAX($FZ$2:FZ191)+1,0)</f>
        <v>0</v>
      </c>
      <c r="GA192" s="259">
        <f ca="1">IFERROR(INDEX($FY$3:$FZ$500,MATCH(ROWS($GA$3:GA192),$FZ$3:$FZ$500,0),1),0)</f>
        <v>0</v>
      </c>
      <c r="GC192" s="259">
        <f t="shared" ca="1" si="441"/>
        <v>0</v>
      </c>
      <c r="GD192" s="259">
        <f t="shared" ca="1" si="442"/>
        <v>0</v>
      </c>
      <c r="GG192" s="259">
        <f t="shared" ca="1" si="443"/>
        <v>0</v>
      </c>
      <c r="GH192" s="259">
        <f t="shared" ca="1" si="444"/>
        <v>0</v>
      </c>
      <c r="GI192" s="259">
        <f t="shared" ca="1" si="445"/>
        <v>0</v>
      </c>
      <c r="GJ192" s="259">
        <f t="shared" ca="1" si="446"/>
        <v>0</v>
      </c>
      <c r="GK192" s="259">
        <f t="shared" ca="1" si="447"/>
        <v>0</v>
      </c>
      <c r="GL192" s="259">
        <f t="shared" ca="1" si="447"/>
        <v>0</v>
      </c>
      <c r="GM192" s="259">
        <f ca="1">IF(OR(GK192&gt;0,GL192&gt;0),MAX($GM$2:GM191)+1,0)</f>
        <v>0</v>
      </c>
      <c r="GN192" s="259" t="str">
        <f ca="1">IFERROR(INDEX($GD$3:$GM$400,MATCH(ROWS($GN$3:GN192),$GM$3:$GM$400,0),1),"")</f>
        <v/>
      </c>
      <c r="GO192" s="259" t="str">
        <f ca="1">IFERROR(INDEX($GD$3:$GM$400,MATCH(ROWS($GO$3:GO192),$GM$3:$GM$400,0),8),"")</f>
        <v/>
      </c>
      <c r="GP192" s="259" t="str">
        <f ca="1">IFERROR(INDEX($GD$3:$GM$400,MATCH(ROWS($GP$3:GP192),$GM$3:$GM$400,0),9),"")</f>
        <v/>
      </c>
      <c r="GQ192" s="259">
        <f t="shared" ca="1" si="390"/>
        <v>0</v>
      </c>
      <c r="GR192" s="259">
        <f t="shared" ca="1" si="448"/>
        <v>0</v>
      </c>
      <c r="GS192" s="259" t="str">
        <f t="shared" ca="1" si="449"/>
        <v/>
      </c>
      <c r="GT192" s="259" t="str">
        <f ca="1">IFERROR(INDEX($GD$3:$GS$400,MATCH(ROWS($GT$3:GT192),$GM$3:$GM$400,0),16),"")</f>
        <v/>
      </c>
      <c r="GU192" s="259">
        <f ca="1">IF(GQ192&lt;&gt;0,MAX($GU$2:$GU191)+1,0)</f>
        <v>0</v>
      </c>
      <c r="GV192" s="259">
        <f t="shared" ca="1" si="450"/>
        <v>0</v>
      </c>
      <c r="GW192" s="259" t="str">
        <f ca="1">IF(AND(IFERROR(INDEX($GU$3:$GV$400,MATCH(ROWS($GW$3:GW192),$GU$3:$GU$400,0),2),"")&lt;&gt;"",GW193&lt;&gt;""),CONCATENATE(IFERROR(INDEX($GU$3:$GV$400,MATCH(ROWS($GW$3:GW192),$GU$3:$GU$400,0),2),"")," - "),IFERROR(INDEX($GU$3:$GV$400,MATCH(ROWS($GW$3:GW192),$GU$3:$GU$400,0),2),""))</f>
        <v/>
      </c>
      <c r="GX192" s="259">
        <f ca="1">IF(OR(GN192="IVA NS/CREDITO",GN192="IVA NS/DEBITO",GN192="IVA C/ACCONTO",GN192="IMPOSTE C/ACCONTO"),MAX($GX$2:GX191)+1,0)</f>
        <v>0</v>
      </c>
      <c r="GY192" s="259" t="str">
        <f ca="1">IF(AND(IFERROR(INDEX($GN$3:$GX$200,MATCH(ROWS($GY$3:GY192),$GX$3:$GX$200,0),1),"")&lt;&gt;"",GY193&lt;&gt;""),CONCATENATE(IFERROR(INDEX($GN$3:$GX$200,MATCH(ROWS($GY$3:GY192),$GX$3:$GX$200,0),1),"")," - "),IFERROR(INDEX($GN$3:$GX$200,MATCH(ROWS($GY$3:GY192),$GX$3:$GX$200,0),1),""))</f>
        <v/>
      </c>
      <c r="GZ192" s="259" t="s">
        <v>483</v>
      </c>
      <c r="HA192" s="259" t="s">
        <v>191</v>
      </c>
      <c r="HB192" s="269" t="s">
        <v>256</v>
      </c>
      <c r="HC192" s="269" t="s">
        <v>276</v>
      </c>
      <c r="HD192" s="269" t="s">
        <v>7</v>
      </c>
      <c r="HE192" s="269" t="s">
        <v>214</v>
      </c>
      <c r="HV192" s="259" t="str">
        <f ca="1">CONCATENATE(IFERROR(INDEX($HS$3:$HT$102,MATCH(ROWS($HV$3:HV192),$HT$3:$HT$102,0),1),""),HR192)</f>
        <v/>
      </c>
      <c r="IC192" s="259">
        <f ca="1">IFERROR(INDEX(PIANO_DEI_CONTI,MATCH(ROWS(DL$3:DL192),$DK$3:DK419,0),2),0)</f>
        <v>0</v>
      </c>
      <c r="ID192" s="259">
        <f t="shared" ca="1" si="451"/>
        <v>0</v>
      </c>
      <c r="IE192" s="259">
        <f t="shared" ca="1" si="452"/>
        <v>0</v>
      </c>
      <c r="IF192" s="259">
        <f t="shared" ca="1" si="453"/>
        <v>0</v>
      </c>
      <c r="IG192" s="259">
        <f t="shared" ca="1" si="479"/>
        <v>0</v>
      </c>
      <c r="IH192" s="259">
        <f ca="1">IF(IG192&lt;&gt;0,MAX($IH$35:IH191)+1,0)</f>
        <v>0</v>
      </c>
      <c r="II192" s="259">
        <f>IF(AD192="costi pluriennali",MAX($II$2:II191)+1,0)</f>
        <v>0</v>
      </c>
      <c r="IJ192" s="259">
        <f>IF($AD192="rettifiche costi pluriennali",MAX($IJ$2:IJ191)+1,0)</f>
        <v>0</v>
      </c>
      <c r="IK192" s="259">
        <f t="shared" si="454"/>
        <v>0</v>
      </c>
      <c r="IL192" s="259" t="str">
        <f t="shared" si="455"/>
        <v/>
      </c>
      <c r="IM192" s="259">
        <f t="shared" ca="1" si="456"/>
        <v>0</v>
      </c>
      <c r="IN192" s="259">
        <f t="shared" ca="1" si="470"/>
        <v>0</v>
      </c>
      <c r="IO192" s="259">
        <f>SUMIFS($IM$3:$IM$200,$IK$3:$IK$200,ROWS($IO$3:IO192))-SUMIFS($IN$3:$IN$200,$IK$3:$IK$200,ROWS($IO$3:IO192))</f>
        <v>0</v>
      </c>
      <c r="IP192" s="259" t="str">
        <f>IF(IO192&lt;0,INDEX($IJ$3:$IL$200,MATCH(ROWS($IP$3:IP192),$IJ$3:$IJ$200,0),3),"")</f>
        <v/>
      </c>
      <c r="IQ192" s="259">
        <f>IF(IP192&lt;&gt;"",MAX($IQ$2:IQ191)+1,0)</f>
        <v>0</v>
      </c>
      <c r="IR192" s="259" t="str">
        <f ca="1">IFERROR(INDEX($IP$3:$IQ$200,MATCH(ROWS($IR$3:IR192),$IQ$3:$IQ$200,0),1),"")</f>
        <v/>
      </c>
      <c r="IS192" s="259" t="str">
        <f t="shared" ca="1" si="457"/>
        <v/>
      </c>
      <c r="IT192" s="259" t="str">
        <f t="shared" ca="1" si="458"/>
        <v/>
      </c>
      <c r="IU192" s="259" t="str">
        <f t="shared" ca="1" si="459"/>
        <v/>
      </c>
      <c r="IV192" s="259" t="str">
        <f t="shared" ca="1" si="460"/>
        <v/>
      </c>
      <c r="IW192" s="259" t="str">
        <f t="shared" ca="1" si="461"/>
        <v/>
      </c>
      <c r="IX192" s="259" t="str">
        <f t="shared" ca="1" si="462"/>
        <v/>
      </c>
      <c r="IY192" s="259" t="str">
        <f t="shared" ca="1" si="463"/>
        <v/>
      </c>
      <c r="IZ192" s="259" t="str">
        <f t="shared" ca="1" si="464"/>
        <v/>
      </c>
      <c r="JA192" s="259" t="str">
        <f t="shared" ca="1" si="465"/>
        <v/>
      </c>
      <c r="JB192" s="259">
        <f t="shared" ca="1" si="391"/>
        <v>0</v>
      </c>
      <c r="JC192" s="259">
        <f t="shared" ca="1" si="504"/>
        <v>0</v>
      </c>
      <c r="JD192" s="259">
        <f t="shared" ca="1" si="505"/>
        <v>0</v>
      </c>
      <c r="JM192" s="259">
        <f t="shared" ca="1" si="506"/>
        <v>0</v>
      </c>
    </row>
    <row r="193" spans="1:273">
      <c r="A193" s="259" t="str">
        <f t="shared" si="392"/>
        <v>39.06</v>
      </c>
      <c r="B193" s="259" t="str">
        <f t="shared" si="393"/>
        <v>ACCANTONAMENTO PER IMPOSTE INDIRETTE</v>
      </c>
      <c r="C193" s="259" t="str">
        <f t="shared" si="394"/>
        <v>E</v>
      </c>
      <c r="D193" s="259" t="str">
        <f t="shared" si="395"/>
        <v>D</v>
      </c>
      <c r="E193" s="259" t="str">
        <f t="shared" si="396"/>
        <v>COSTI D'ESERCIZIO</v>
      </c>
      <c r="F193" s="259" t="str">
        <f t="shared" si="397"/>
        <v>SE DARE</v>
      </c>
      <c r="G193" s="259">
        <f t="shared" ca="1" si="398"/>
        <v>0</v>
      </c>
      <c r="H193" s="259">
        <f t="shared" ca="1" si="399"/>
        <v>0</v>
      </c>
      <c r="I193" s="259">
        <f t="shared" ca="1" si="400"/>
        <v>1</v>
      </c>
      <c r="K193" s="259" t="str">
        <f ca="1">IFERROR(IF($I$1=1,INDEX($AA$3:$AS$220,MATCH(ROWS($K$3:K193),$AQ$3:$AQ$220,0),1),IF($I$1=2,INDEX($AA$3:$AS$220,MATCH(ROWS($K$3:K193),$AR$3:$AR$220,0),1),IF($I$1=3,INDEX($AA$3:$AS$220,MATCH(ROWS($K$3:K193),$AS$3:$AS$220,0),1),""))),"")</f>
        <v/>
      </c>
      <c r="L193" s="259">
        <f ca="1">IF(AND($L$1="VISUALIZZA TUTTI I CONTI",K193&lt;&gt;""),MAX(L192:L192)+1,IFERROR(IF($J$1=1,IF(INDEX(PIANO_DEI_CONTI,MATCH($K193,DENOMINAZIONE,0),5)=$L$1,MAX($L$2:L192)+1,0),IF($J$1=2,IF(INDEX(PIANO_DEI_CONTI,MATCH($K193,DENOMINAZIONE,0),7)=$L$1,MAX($L$2:L192)+1,0))),0))</f>
        <v>0</v>
      </c>
      <c r="M193" s="259" t="str">
        <f ca="1">IFERROR(INDEX($K$3:$K$220,MATCH(ROWS($M$3:M193),$L$3:$L$220,0),1),"")</f>
        <v/>
      </c>
      <c r="R193" s="259" t="str">
        <f t="shared" ca="1" si="366"/>
        <v/>
      </c>
      <c r="S193" s="259">
        <f ca="1">IF(IFERROR(MATCH(R193,DENOMINAZIONE_GIORNALE,0),0)&gt;0,MAX(S$2:S192)+1,0)</f>
        <v>0</v>
      </c>
      <c r="T193" s="259" t="str">
        <f ca="1">IFERROR(INDEX($R$3:$S$220,MATCH(ROWS($T$3:T193),$S$3:$S$220,0),1),"")</f>
        <v/>
      </c>
      <c r="U193" s="259">
        <f t="shared" ca="1" si="367"/>
        <v>0</v>
      </c>
      <c r="V193" s="259">
        <f ca="1">IF(IF(U193&lt;&gt;0,MAX($V$2:V192)+1,0)=0,0,IF(U193&lt;&gt;0,MAX($V$2:V192)+1,0))</f>
        <v>0</v>
      </c>
      <c r="W193" s="259" t="str">
        <f t="shared" si="401"/>
        <v>39.06</v>
      </c>
      <c r="X193" s="259" t="str">
        <f t="shared" si="402"/>
        <v>ACCANTONAMENTO PER IMPOSTE INDIRETTE</v>
      </c>
      <c r="Y193" s="259">
        <f>IF(W193="",0,MAX($Y$2:Y192)+1)</f>
        <v>163</v>
      </c>
      <c r="Z193" s="259" t="str">
        <f>IFERROR(INDEX($W$3:$Y$220,MATCH(ROWS($Z$2:Z192),$Y$3:$Y$220,0),1),"")</f>
        <v/>
      </c>
      <c r="AA193" s="259" t="str">
        <f t="shared" si="403"/>
        <v/>
      </c>
      <c r="AB193" s="259" t="str">
        <f t="shared" si="404"/>
        <v/>
      </c>
      <c r="AC193" s="259" t="str">
        <f t="shared" si="405"/>
        <v/>
      </c>
      <c r="AD193" s="259" t="str">
        <f t="shared" si="406"/>
        <v/>
      </c>
      <c r="AE193" s="259" t="str">
        <f t="shared" si="407"/>
        <v/>
      </c>
      <c r="AF193" s="259" t="str">
        <f t="shared" si="408"/>
        <v/>
      </c>
      <c r="AG193" s="259" t="str">
        <f t="shared" si="409"/>
        <v/>
      </c>
      <c r="AH193" s="259" t="str">
        <f t="shared" si="410"/>
        <v/>
      </c>
      <c r="AI193" s="259" t="str">
        <f t="shared" si="411"/>
        <v/>
      </c>
      <c r="AJ193" s="259" t="str">
        <f t="shared" si="412"/>
        <v/>
      </c>
      <c r="AK193" s="259" t="str">
        <f t="shared" si="413"/>
        <v/>
      </c>
      <c r="AL193" s="259">
        <f>IF(AK193&lt;&gt;"",MAX($AL$2:AL192)+1,0)</f>
        <v>0</v>
      </c>
      <c r="AM193" s="259" t="str">
        <f>IFERROR(INDEX($AK$3:$AL$220,MATCH(ROWS($AM$3:AM193),$AL$3:$AL$220,0),1),"")</f>
        <v/>
      </c>
      <c r="AN193" s="259" t="str">
        <f t="shared" si="414"/>
        <v/>
      </c>
      <c r="AO193" s="259" t="str">
        <f t="shared" si="415"/>
        <v/>
      </c>
      <c r="AP193" s="259" t="str">
        <f t="shared" si="416"/>
        <v/>
      </c>
      <c r="AQ193" s="259">
        <f>IF(OR(AG193=0,AG193=""),0,MAX(AQ$2:AQ192)+1)</f>
        <v>0</v>
      </c>
      <c r="AR193" s="259">
        <f>IF(OR(AH193=0,AH193=""),0,MAX(AR$2:AR192)+1)</f>
        <v>0</v>
      </c>
      <c r="AS193" s="259">
        <f>IF(OR(AI193=0,AI193=""),0,MAX(AS$2:AS192)+1)</f>
        <v>0</v>
      </c>
      <c r="AT193" s="259" t="str">
        <f ca="1">IFERROR(INDEX($AD$3:$AS$220,MATCH(ROWS(AT$3:AT193),AQ$3:AQ$220,0),1),"")</f>
        <v/>
      </c>
      <c r="AU193" s="259" t="str">
        <f ca="1">IFERROR(INDEX($AD$3:$AS$220,MATCH(ROWS(AU$3:AU193),AR$3:AR$220,0),1),"")</f>
        <v/>
      </c>
      <c r="AV193" s="259" t="str">
        <f ca="1">IFERROR(INDEX($AD$3:$AS$220,MATCH(ROWS(AV$3:AV193),AS$3:AS$220,0),1),"")</f>
        <v/>
      </c>
      <c r="AW193" s="259" t="str">
        <f ca="1">IFERROR(INDEX($AP$3:$AS$220,MATCH(ROWS(AW$3:AW193),AQ$3:AQ$220,0),1),"")</f>
        <v/>
      </c>
      <c r="AX193" s="259" t="str">
        <f ca="1">IFERROR(INDEX($AP$3:$AS$220,MATCH(ROWS(AX$3:AX193),AR$3:AR$220,0),1),"")</f>
        <v/>
      </c>
      <c r="AY193" s="259" t="str">
        <f ca="1">IFERROR(INDEX($AP$3:$AS$220,MATCH(ROWS(AY$3:AY193),AS$3:AS$220,0),1),"")</f>
        <v/>
      </c>
      <c r="AZ193" s="259" t="str">
        <f t="shared" si="490"/>
        <v>91 V.I.</v>
      </c>
      <c r="BA193" s="259">
        <f t="shared" ca="1" si="484"/>
        <v>0</v>
      </c>
      <c r="BB193" s="259">
        <f t="shared" ca="1" si="491"/>
        <v>0</v>
      </c>
      <c r="BC193" s="259">
        <f t="shared" ca="1" si="492"/>
        <v>0</v>
      </c>
      <c r="BD193" s="259">
        <f t="shared" ca="1" si="493"/>
        <v>0</v>
      </c>
      <c r="BE193" s="259">
        <f t="shared" ca="1" si="494"/>
        <v>0</v>
      </c>
      <c r="BG193" s="259" t="str">
        <f t="shared" ca="1" si="368"/>
        <v/>
      </c>
      <c r="BH193" s="259">
        <f ca="1">IF(IFERROR(MATCH(BG193,DENOMINAZIONE_GIORNALE,0),0)&gt;0,MAX(BH$2:BH192)+1,0)</f>
        <v>0</v>
      </c>
      <c r="BI193" s="259" t="str">
        <f ca="1">IFERROR(INDEX($BG$3:$BH$220,MATCH(ROWS($BI$3:BI193),$BH$3:$BH$220,0),1),"")</f>
        <v/>
      </c>
      <c r="BJ193" s="259" t="str">
        <f t="shared" ca="1" si="369"/>
        <v/>
      </c>
      <c r="BK193" s="259" t="str">
        <f ca="1">IF(IF(BJ193&lt;&gt;"",MAX($BK$2:BK192)+1,0)=0,"",IF(BJ193&lt;&gt;"",MAX($BK$2:BK192)+1,0))</f>
        <v/>
      </c>
      <c r="BL193" s="259" t="str">
        <f ca="1">IFERROR(INDEX($T$3:$U$220, MATCH(ROWS(BL$3:BL193),$V$3:$V$220,0),1),"")</f>
        <v/>
      </c>
      <c r="BM193" s="259" t="str">
        <f ca="1">IFERROR(INDEX($T$3:$U$220, MATCH(ROWS(BM$3:BM193),$V$3:$V$220,0),2),"")</f>
        <v/>
      </c>
      <c r="BN193" s="259" t="str">
        <f ca="1">IF(IFERROR(INDEX($BI$3:$BJ$220,MATCH(ROWS(BN$3:BN193),$BK$3:$BK$220,0),1),"")="PATRIMONIO NETTO","",IFERROR(INDEX($BI$3:$BJ$220,MATCH(ROWS(BN$3:BN193),$BK$3:$BK$220,0),1),""))</f>
        <v/>
      </c>
      <c r="BO193" s="259" t="str">
        <f ca="1">IFERROR(INDEX($BI$3:$BJ$220,MATCH(ROWS(BO$3:BO193),$BK$3:$BK$220,0),2),"")</f>
        <v/>
      </c>
      <c r="BP193" s="259">
        <f ca="1">IF(BN193&lt;&gt;"",MAX(BP$2:$BP192)+1,0)</f>
        <v>0</v>
      </c>
      <c r="BQ193" s="259" t="str">
        <f ca="1">IFERROR(INDEX($BN$3:$BO$200,MATCH(ROWS(BQ$3:BQ193),$BP$3:$BP$220,0),1),"")</f>
        <v/>
      </c>
      <c r="BR193" s="259" t="str">
        <f ca="1">IFERROR(INDEX($BN$3:$BO$220,MATCH(ROWS(BR$3:BR193),$BP$3:$BP$220,0),2),"")</f>
        <v/>
      </c>
      <c r="BS193" s="259" t="str">
        <f ca="1">IFERROR(IF(OR(INDEX($T$3:$U$220,MATCH(ROWS(BL$3:BL193),$V$3:$V$220,0),1)="PRELEVAMENTI EXTRAGESTIONE",INDEX($T$3:$U$220,MATCH(ROWS(BL$3:BL193),$V$3:$V$220,0),1)="TITOLARE C/RITENUTE SUBITE"),"",INDEX($T$3:$U$220,MATCH(ROWS(BL$3:BL193),$V$3:$V$220,0),1)),"")</f>
        <v/>
      </c>
      <c r="BT193" s="259">
        <f t="shared" ca="1" si="417"/>
        <v>0</v>
      </c>
      <c r="BU193" s="259">
        <f ca="1">IF(BS193&lt;&gt;"",MAX(BU$2:BU192)+1,0)</f>
        <v>0</v>
      </c>
      <c r="BV193" s="259" t="str">
        <f ca="1">IFERROR(INDEX($BS$3:$BT$223,MATCH(ROWS(BV$3:BV193),$BU$3:$BU$223,0),1),"")</f>
        <v/>
      </c>
      <c r="BW193" s="259">
        <f t="shared" ca="1" si="418"/>
        <v>0</v>
      </c>
      <c r="CB193" s="259" t="str">
        <f ca="1">IFERROR(IF(OR($BB$1&lt;&gt;$BD$1,$BC$1&lt;&gt;$BE$1,$DS$231&lt;&gt;$DT$231,$DU$231&lt;&gt;$DV$231,$EO$25&lt;&gt;0,$EO$26&lt;&gt;0),INDEX($BI$3:$BK$220,MATCH(ROWS($CB$3:CB193),$BK$3:$BK$220,0),1),CONCATENATE(BQ193,BX193)),"")</f>
        <v/>
      </c>
      <c r="CC193" s="259" t="str">
        <f t="shared" ca="1" si="419"/>
        <v/>
      </c>
      <c r="CD193" s="259" t="str">
        <f t="shared" ca="1" si="370"/>
        <v/>
      </c>
      <c r="CE193" s="259">
        <f ca="1">IF(IFERROR(MATCH(CD193,DENOMINAZIONE_GIORNALE,0),0)&gt;0,MAX(CE$2:CE192)+1,0)</f>
        <v>0</v>
      </c>
      <c r="CF193" s="259" t="str">
        <f ca="1">IFERROR(INDEX($CD$3:$CE$220,MATCH(ROWS($CF$3:CF193),$CE$3:$CE$220,0),1),"")</f>
        <v/>
      </c>
      <c r="CG193" s="259">
        <f t="shared" ca="1" si="371"/>
        <v>0</v>
      </c>
      <c r="CH193" s="259" t="str">
        <f ca="1">IF(IF(CG193&lt;&gt;0,MAX($CH$2:CH192)+1,0)=0,"",IF(CG193&lt;&gt;"",MAX($CH$2:CH192)+1,0))</f>
        <v/>
      </c>
      <c r="CI193" s="259" t="str">
        <f ca="1">IFERROR(INDEX($CF$3:$CG$220,MATCH(ROWS($CI$3:CI193),$CH$3:$CH$220,0),1),"")</f>
        <v/>
      </c>
      <c r="CJ193" s="259" t="str">
        <f t="shared" ca="1" si="420"/>
        <v/>
      </c>
      <c r="CK193" s="259" t="str">
        <f t="shared" ca="1" si="372"/>
        <v/>
      </c>
      <c r="CL193" s="259">
        <f ca="1">IF(IFERROR(MATCH(CK193,DENOMINAZIONE_GIORNALE,0),0)&gt;0,MAX(CL$2:CL192)+1,0)</f>
        <v>0</v>
      </c>
      <c r="CM193" s="259" t="str">
        <f ca="1">IFERROR(INDEX($CK$3:$CL$220,MATCH(ROWS($CM$3:CM193),$CL$3:$CL$220,0),1),"")</f>
        <v/>
      </c>
      <c r="CN193" s="259" t="str">
        <f t="shared" ca="1" si="373"/>
        <v/>
      </c>
      <c r="CO193" s="259">
        <f ca="1">IF(IF(CN193&lt;&gt;0,MAX($CO$2:CO192)+1,0)=0,"",IF(CN193&lt;&gt;"",MAX($CO$2:CO192)+1,0))</f>
        <v>0</v>
      </c>
      <c r="CP193" s="259" t="str">
        <f ca="1">IFERROR(INDEX($CM$3:$CN$220,MATCH(ROWS(CP$3:CP193),$CO$3:$CO$220,0),1),"")</f>
        <v/>
      </c>
      <c r="CQ193" s="259" t="str">
        <f ca="1">IFERROR(INDEX($CM$3:$CN$220,MATCH(ROWS(CQ$3:CQ193),$CO$3:$CO$220,0),2),"")</f>
        <v/>
      </c>
      <c r="CS193" s="259">
        <f t="shared" ca="1" si="374"/>
        <v>0</v>
      </c>
      <c r="CT193" s="259">
        <f t="shared" ca="1" si="375"/>
        <v>0</v>
      </c>
      <c r="CU193" s="259">
        <f ca="1">IF(OR(CS193&gt;0,CT193&gt;0),MAX($CU$2:CU192)+1,0)</f>
        <v>0</v>
      </c>
      <c r="CV193" s="259" t="str">
        <f ca="1">IFERROR(INDEX(PIANO_DEI_CONTI,MATCH(ROWS($CV$3:CV193),$CU$3:$CU$200,0),2),"")</f>
        <v/>
      </c>
      <c r="CW193" s="259">
        <f ca="1">IFERROR(IF(CV193&lt;&gt;"",MAX($CW$2:CW192)+1,0),0)</f>
        <v>0</v>
      </c>
      <c r="CX193" s="259">
        <f t="shared" ca="1" si="508"/>
        <v>11</v>
      </c>
      <c r="CY193" s="259" t="str">
        <f t="shared" ca="1" si="495"/>
        <v>MASTRO</v>
      </c>
      <c r="CZ193" s="259" t="e">
        <f t="shared" ca="1" si="510"/>
        <v>#N/A</v>
      </c>
      <c r="DA193" s="259" t="str">
        <f t="shared" ca="1" si="515"/>
        <v/>
      </c>
      <c r="DB193" s="259" t="str">
        <f t="shared" ca="1" si="511"/>
        <v/>
      </c>
      <c r="DC193" s="259" t="str">
        <f t="shared" ca="1" si="512"/>
        <v/>
      </c>
      <c r="DD193" s="259" t="str">
        <f t="shared" ca="1" si="513"/>
        <v/>
      </c>
      <c r="DE193" s="259" t="str">
        <f t="shared" ca="1" si="514"/>
        <v/>
      </c>
      <c r="DF193" s="259">
        <f ca="1">IF(AND(CX193=$DE$2,$DF$2&lt;&gt;0),0,IF(AND(DB193&lt;&gt;"",OR(DB192&lt;&gt;"",DB194&lt;&gt;"")),MAX($DF$2:DF192)+1,0))</f>
        <v>0</v>
      </c>
      <c r="DG193" s="259" t="str">
        <f>IF(IF(LIBRO_GIORNALE!E101="","",IFERROR(INDEX(PIANO_DEI_CONTI,MATCH(BB193,DENOMINAZIONE,0),1),0))=0,"",IF(LIBRO_GIORNALE!E101="","",IFERROR(INDEX(PIANO_DEI_CONTI,MATCH(BB193,DENOMINAZIONE,0),1),0)))</f>
        <v/>
      </c>
      <c r="DH193" s="259">
        <f ca="1">IFERROR(IF($J$1=1,IF(INDEX(PIANO_DEI_CONTI,MATCH($K193,DENOMINAZIONE,0),5)=$DF$1,MAX($DH$2:DH192)+1,0),IF($J$1=2,IF(INDEX(PIANO_DEI_CONTI,MATCH($K193,DENOMINAZIONE,0),7)=$DF$1,MAX($DH$2:DH192)+1,0))),0)</f>
        <v>0</v>
      </c>
      <c r="DI193" s="259">
        <f ca="1">IFERROR(INDEX($K$3:$K$220,MATCH(ROWS($DI$3:DI193),$DH$3:$DH$220,0),1),0)</f>
        <v>0</v>
      </c>
      <c r="DJ193" s="259">
        <f t="shared" ca="1" si="381"/>
        <v>0</v>
      </c>
      <c r="DK193" s="259">
        <f ca="1">IF(DJ193=0,0,MAX(DK$2:DK192)+1)</f>
        <v>0</v>
      </c>
      <c r="DL193" s="259">
        <f ca="1">IFERROR(INDEX(PIANO_DEI_CONTI,MATCH(ROWS(DL$3:DL193),$DK$3:DK420,0),2),0)</f>
        <v>0</v>
      </c>
      <c r="DM193" s="259">
        <f t="shared" ca="1" si="382"/>
        <v>0</v>
      </c>
      <c r="DN193" s="259">
        <f t="shared" ca="1" si="383"/>
        <v>0</v>
      </c>
      <c r="DO193" s="259">
        <f t="shared" ca="1" si="422"/>
        <v>0</v>
      </c>
      <c r="DP193" s="259">
        <f t="shared" ca="1" si="423"/>
        <v>0</v>
      </c>
      <c r="DQ193" s="259">
        <f ca="1">IF(OR($DQ$1="TOTALI",$DQ$1="TOTALI ED ECCEDENZE"),IF(OR(DM193&gt;0,DN193&gt;0),MAX(DQ$2:DQ192)+1,0),IF($DQ$1="ECCEDENZE",IF(OR(DO193&gt;0,DP193&gt;0),MAX(DQ$2:DQ192)+1,0),""))</f>
        <v>0</v>
      </c>
      <c r="DR193" s="259" t="str">
        <f ca="1">IFERROR(INDEX($DL$3:$DQ$230,MATCH(ROWS(DR$3:DR193),$DQ$3:$DQ$230,0),1),"")</f>
        <v/>
      </c>
      <c r="DS193" s="259" t="str">
        <f t="shared" ca="1" si="424"/>
        <v/>
      </c>
      <c r="DT193" s="259" t="str">
        <f t="shared" ca="1" si="425"/>
        <v/>
      </c>
      <c r="DU193" s="259" t="str">
        <f t="shared" ca="1" si="426"/>
        <v/>
      </c>
      <c r="DV193" s="259" t="str">
        <f t="shared" ca="1" si="427"/>
        <v/>
      </c>
      <c r="DW193" s="259">
        <f t="shared" ca="1" si="428"/>
        <v>0</v>
      </c>
      <c r="DX193" s="259" t="str">
        <f t="shared" ca="1" si="429"/>
        <v/>
      </c>
      <c r="DY193" s="259" t="str">
        <f t="shared" ca="1" si="430"/>
        <v/>
      </c>
      <c r="DZ193" s="259" t="str">
        <f t="shared" ca="1" si="431"/>
        <v/>
      </c>
      <c r="ED193" s="259">
        <f t="shared" ca="1" si="384"/>
        <v>0</v>
      </c>
      <c r="EH193" s="259" t="str">
        <f t="shared" ca="1" si="432"/>
        <v/>
      </c>
      <c r="EI193" s="260" t="b">
        <f t="shared" ca="1" si="466"/>
        <v>0</v>
      </c>
      <c r="EJ193" s="260" t="b">
        <f t="shared" ca="1" si="467"/>
        <v>0</v>
      </c>
      <c r="EK193" s="260" t="b">
        <f t="shared" ca="1" si="468"/>
        <v>1</v>
      </c>
      <c r="EL193" s="259">
        <f t="shared" si="433"/>
        <v>191</v>
      </c>
      <c r="EM193" s="259">
        <f ca="1">IF(AND(BA193&gt;0,BA193&lt;=$EM$1),MAX($EM$2:EM192)+1,0)</f>
        <v>0</v>
      </c>
      <c r="EN193" s="259">
        <f t="shared" ca="1" si="434"/>
        <v>193</v>
      </c>
      <c r="EP193" s="259" t="str">
        <f t="shared" ca="1" si="385"/>
        <v/>
      </c>
      <c r="EQ193" s="259">
        <f t="shared" ca="1" si="386"/>
        <v>0</v>
      </c>
      <c r="ER193" s="259">
        <f ca="1">IF(ISNA(EQ193),MAX(ER$2:ER192)+1,0)</f>
        <v>0</v>
      </c>
      <c r="ES193" s="259" t="str">
        <f t="shared" ca="1" si="435"/>
        <v/>
      </c>
      <c r="ET193" s="259" t="str">
        <f ca="1">IFERROR(UPPER(INDEX($ER$3:$ES$500,MATCH(ROWS(ET$3:ET193),$ER$3:$ER$500,0),2)),"")</f>
        <v/>
      </c>
      <c r="EW193" s="259">
        <f t="shared" ca="1" si="497"/>
        <v>1</v>
      </c>
      <c r="EX193" s="259">
        <v>91</v>
      </c>
      <c r="EY193" s="259">
        <f t="shared" ca="1" si="498"/>
        <v>0</v>
      </c>
      <c r="EZ193" s="259">
        <f t="shared" ca="1" si="499"/>
        <v>0</v>
      </c>
      <c r="FA193" s="259">
        <f t="shared" ca="1" si="500"/>
        <v>0</v>
      </c>
      <c r="FB193" s="259">
        <f t="shared" ca="1" si="501"/>
        <v>0</v>
      </c>
      <c r="FC193" s="259">
        <f t="shared" ca="1" si="502"/>
        <v>0</v>
      </c>
      <c r="FD193" s="259">
        <f t="shared" ca="1" si="387"/>
        <v>0</v>
      </c>
      <c r="FE193" s="259" t="str">
        <f t="shared" ca="1" si="388"/>
        <v/>
      </c>
      <c r="FF193" s="259" t="str">
        <f t="shared" ca="1" si="503"/>
        <v/>
      </c>
      <c r="FM193" s="259">
        <f t="shared" si="389"/>
        <v>0</v>
      </c>
      <c r="FN193" s="259">
        <f>IF(FM193&lt;0,MAX($FN$2:FN192)+1,0)</f>
        <v>0</v>
      </c>
      <c r="FO193" s="259" t="str">
        <f t="shared" si="436"/>
        <v/>
      </c>
      <c r="FP193" s="259" t="str">
        <f ca="1">IFERROR(INDEX($FN$3:$FO$400,MATCH(ROWS($FP$3:FP193),$FN$3:$FN$400,0),2),"")</f>
        <v/>
      </c>
      <c r="FQ193" s="259" t="str">
        <f>IF(AE193="SE AVERE",MAX($FQ$2:FQ192)+1,"")</f>
        <v/>
      </c>
      <c r="FR193" s="259" t="str">
        <f>IF(AE193="SE DARE",MAX($FR$2:FR192)+1,"")</f>
        <v/>
      </c>
      <c r="FS193" s="259" t="str">
        <f ca="1">IF(AND(AE193="SP DARE",AA193&lt;&gt;$FS$1,AA193&lt;&gt;$FT$1),MAX($FS$2:FS192)+1,IF(AND(GQ193="SP DARE",AA193&lt;&gt;$FS$1,AA193&lt;&gt;$FT$1),MAX($FS$2:FS192)+1,""))</f>
        <v/>
      </c>
      <c r="FT193" s="259" t="str">
        <f ca="1">IF(AND(AE193="SP AVERE",AA193&lt;&gt;$FU$1),MAX($FT$2:FT192)+1,IF(AND(GQ193="SP AVERE",AA193&lt;&gt;$FU$1),MAX($FT$2:FT192)+1,""))</f>
        <v/>
      </c>
      <c r="FU193" s="259">
        <f t="shared" ca="1" si="437"/>
        <v>0</v>
      </c>
      <c r="FV193" s="259" t="str">
        <f t="shared" si="438"/>
        <v/>
      </c>
      <c r="FW193" s="259">
        <f ca="1">IFERROR(INDEX($FU$3:$FV$500,MATCH(ROWS($FW$3:FW193),$FU$3:$FU$500,0),2),0)</f>
        <v>0</v>
      </c>
      <c r="FX193" s="259">
        <f t="shared" ca="1" si="439"/>
        <v>0</v>
      </c>
      <c r="FY193" s="259">
        <f t="shared" ca="1" si="440"/>
        <v>0</v>
      </c>
      <c r="FZ193" s="259">
        <f ca="1">IF(FY193&gt;0,MAX($FZ$2:FZ192)+1,0)</f>
        <v>0</v>
      </c>
      <c r="GA193" s="259">
        <f ca="1">IFERROR(INDEX($FY$3:$FZ$500,MATCH(ROWS($GA$3:GA193),$FZ$3:$FZ$500,0),1),0)</f>
        <v>0</v>
      </c>
      <c r="GC193" s="259">
        <f t="shared" ca="1" si="441"/>
        <v>0</v>
      </c>
      <c r="GD193" s="259">
        <f t="shared" ca="1" si="442"/>
        <v>0</v>
      </c>
      <c r="GG193" s="259">
        <f t="shared" ca="1" si="443"/>
        <v>0</v>
      </c>
      <c r="GH193" s="259">
        <f t="shared" ca="1" si="444"/>
        <v>0</v>
      </c>
      <c r="GI193" s="259">
        <f t="shared" ca="1" si="445"/>
        <v>0</v>
      </c>
      <c r="GJ193" s="259">
        <f t="shared" ca="1" si="446"/>
        <v>0</v>
      </c>
      <c r="GK193" s="259">
        <f t="shared" ca="1" si="447"/>
        <v>0</v>
      </c>
      <c r="GL193" s="259">
        <f t="shared" ca="1" si="447"/>
        <v>0</v>
      </c>
      <c r="GM193" s="259">
        <f ca="1">IF(OR(GK193&gt;0,GL193&gt;0),MAX($GM$2:GM192)+1,0)</f>
        <v>0</v>
      </c>
      <c r="GN193" s="259" t="str">
        <f ca="1">IFERROR(INDEX($GD$3:$GM$400,MATCH(ROWS($GN$3:GN193),$GM$3:$GM$400,0),1),"")</f>
        <v/>
      </c>
      <c r="GO193" s="259" t="str">
        <f ca="1">IFERROR(INDEX($GD$3:$GM$400,MATCH(ROWS($GO$3:GO193),$GM$3:$GM$400,0),8),"")</f>
        <v/>
      </c>
      <c r="GP193" s="259" t="str">
        <f ca="1">IFERROR(INDEX($GD$3:$GM$400,MATCH(ROWS($GP$3:GP193),$GM$3:$GM$400,0),9),"")</f>
        <v/>
      </c>
      <c r="GQ193" s="259">
        <f t="shared" ca="1" si="390"/>
        <v>0</v>
      </c>
      <c r="GR193" s="259">
        <f t="shared" ca="1" si="448"/>
        <v>0</v>
      </c>
      <c r="GS193" s="259" t="str">
        <f t="shared" ca="1" si="449"/>
        <v/>
      </c>
      <c r="GT193" s="259" t="str">
        <f ca="1">IFERROR(INDEX($GD$3:$GS$400,MATCH(ROWS($GT$3:GT193),$GM$3:$GM$400,0),16),"")</f>
        <v/>
      </c>
      <c r="GU193" s="259">
        <f ca="1">IF(GQ193&lt;&gt;0,MAX($GU$2:$GU192)+1,0)</f>
        <v>0</v>
      </c>
      <c r="GV193" s="259">
        <f t="shared" ca="1" si="450"/>
        <v>0</v>
      </c>
      <c r="GW193" s="259" t="str">
        <f ca="1">IF(AND(IFERROR(INDEX($GU$3:$GV$400,MATCH(ROWS($GW$3:GW193),$GU$3:$GU$400,0),2),"")&lt;&gt;"",GW194&lt;&gt;""),CONCATENATE(IFERROR(INDEX($GU$3:$GV$400,MATCH(ROWS($GW$3:GW193),$GU$3:$GU$400,0),2),"")," - "),IFERROR(INDEX($GU$3:$GV$400,MATCH(ROWS($GW$3:GW193),$GU$3:$GU$400,0),2),""))</f>
        <v/>
      </c>
      <c r="GX193" s="259">
        <f ca="1">IF(OR(GN193="IVA NS/CREDITO",GN193="IVA NS/DEBITO",GN193="IVA C/ACCONTO",GN193="IMPOSTE C/ACCONTO"),MAX($GX$2:GX192)+1,0)</f>
        <v>0</v>
      </c>
      <c r="GY193" s="259" t="str">
        <f ca="1">IF(AND(IFERROR(INDEX($GN$3:$GX$200,MATCH(ROWS($GY$3:GY193),$GX$3:$GX$200,0),1),"")&lt;&gt;"",GY194&lt;&gt;""),CONCATENATE(IFERROR(INDEX($GN$3:$GX$200,MATCH(ROWS($GY$3:GY193),$GX$3:$GX$200,0),1),"")," - "),IFERROR(INDEX($GN$3:$GX$200,MATCH(ROWS($GY$3:GY193),$GX$3:$GX$200,0),1),""))</f>
        <v/>
      </c>
      <c r="GZ193" s="259" t="s">
        <v>485</v>
      </c>
      <c r="HA193" s="259" t="s">
        <v>601</v>
      </c>
      <c r="HB193" s="269" t="s">
        <v>256</v>
      </c>
      <c r="HC193" s="269" t="s">
        <v>276</v>
      </c>
      <c r="HD193" s="269" t="s">
        <v>7</v>
      </c>
      <c r="HE193" s="269" t="s">
        <v>214</v>
      </c>
      <c r="HV193" s="259" t="str">
        <f ca="1">CONCATENATE(IFERROR(INDEX($HS$3:$HT$102,MATCH(ROWS($HV$3:HV193),$HT$3:$HT$102,0),1),""),HR193)</f>
        <v/>
      </c>
      <c r="IC193" s="259">
        <f ca="1">IFERROR(INDEX(PIANO_DEI_CONTI,MATCH(ROWS(DL$3:DL193),$DK$3:DK420,0),2),0)</f>
        <v>0</v>
      </c>
      <c r="ID193" s="259">
        <f t="shared" ca="1" si="451"/>
        <v>0</v>
      </c>
      <c r="IE193" s="259">
        <f t="shared" ca="1" si="452"/>
        <v>0</v>
      </c>
      <c r="IF193" s="259">
        <f t="shared" ca="1" si="453"/>
        <v>0</v>
      </c>
      <c r="IG193" s="259">
        <f t="shared" ca="1" si="479"/>
        <v>0</v>
      </c>
      <c r="IH193" s="259">
        <f ca="1">IF(IG193&lt;&gt;0,MAX($IH$35:IH192)+1,0)</f>
        <v>0</v>
      </c>
      <c r="II193" s="259">
        <f>IF(AD193="costi pluriennali",MAX($II$2:II192)+1,0)</f>
        <v>0</v>
      </c>
      <c r="IJ193" s="259">
        <f>IF($AD193="rettifiche costi pluriennali",MAX($IJ$2:IJ192)+1,0)</f>
        <v>0</v>
      </c>
      <c r="IK193" s="259">
        <f t="shared" si="454"/>
        <v>0</v>
      </c>
      <c r="IL193" s="259" t="str">
        <f t="shared" si="455"/>
        <v/>
      </c>
      <c r="IM193" s="259">
        <f t="shared" ca="1" si="456"/>
        <v>0</v>
      </c>
      <c r="IN193" s="259">
        <f t="shared" ca="1" si="470"/>
        <v>0</v>
      </c>
      <c r="IO193" s="259">
        <f>SUMIFS($IM$3:$IM$200,$IK$3:$IK$200,ROWS($IO$3:IO193))-SUMIFS($IN$3:$IN$200,$IK$3:$IK$200,ROWS($IO$3:IO193))</f>
        <v>0</v>
      </c>
      <c r="IP193" s="259" t="str">
        <f>IF(IO193&lt;0,INDEX($IJ$3:$IL$200,MATCH(ROWS($IP$3:IP193),$IJ$3:$IJ$200,0),3),"")</f>
        <v/>
      </c>
      <c r="IQ193" s="259">
        <f>IF(IP193&lt;&gt;"",MAX($IQ$2:IQ192)+1,0)</f>
        <v>0</v>
      </c>
      <c r="IR193" s="259" t="str">
        <f ca="1">IFERROR(INDEX($IP$3:$IQ$200,MATCH(ROWS($IR$3:IR193),$IQ$3:$IQ$200,0),1),"")</f>
        <v/>
      </c>
      <c r="IS193" s="259" t="str">
        <f t="shared" ca="1" si="457"/>
        <v/>
      </c>
      <c r="IT193" s="259" t="str">
        <f t="shared" ca="1" si="458"/>
        <v/>
      </c>
      <c r="IU193" s="259" t="str">
        <f t="shared" ca="1" si="459"/>
        <v/>
      </c>
      <c r="IV193" s="259" t="str">
        <f t="shared" ca="1" si="460"/>
        <v/>
      </c>
      <c r="IW193" s="259" t="str">
        <f t="shared" ca="1" si="461"/>
        <v/>
      </c>
      <c r="IX193" s="259" t="str">
        <f t="shared" ca="1" si="462"/>
        <v/>
      </c>
      <c r="IY193" s="259" t="str">
        <f t="shared" ca="1" si="463"/>
        <v/>
      </c>
      <c r="IZ193" s="259" t="str">
        <f t="shared" ca="1" si="464"/>
        <v/>
      </c>
      <c r="JA193" s="259" t="str">
        <f t="shared" ca="1" si="465"/>
        <v/>
      </c>
      <c r="JB193" s="259">
        <f t="shared" ca="1" si="391"/>
        <v>0</v>
      </c>
      <c r="JC193" s="259">
        <f t="shared" ca="1" si="504"/>
        <v>0</v>
      </c>
      <c r="JD193" s="259">
        <f t="shared" ca="1" si="505"/>
        <v>0</v>
      </c>
      <c r="JM193" s="259">
        <f t="shared" ca="1" si="506"/>
        <v>0</v>
      </c>
    </row>
    <row r="194" spans="1:273">
      <c r="A194" s="259" t="str">
        <f t="shared" si="392"/>
        <v>39.10</v>
      </c>
      <c r="B194" s="259" t="str">
        <f t="shared" si="393"/>
        <v>MINUSVALENZE</v>
      </c>
      <c r="C194" s="259" t="str">
        <f t="shared" si="394"/>
        <v>E</v>
      </c>
      <c r="D194" s="259" t="str">
        <f t="shared" si="395"/>
        <v>D</v>
      </c>
      <c r="E194" s="259" t="str">
        <f t="shared" si="396"/>
        <v>COSTI D'ESERCIZIO</v>
      </c>
      <c r="F194" s="259" t="str">
        <f t="shared" si="397"/>
        <v>SE DARE</v>
      </c>
      <c r="G194" s="259">
        <f t="shared" ca="1" si="398"/>
        <v>0</v>
      </c>
      <c r="H194" s="259">
        <f t="shared" ca="1" si="399"/>
        <v>1</v>
      </c>
      <c r="I194" s="259">
        <f t="shared" ca="1" si="400"/>
        <v>1</v>
      </c>
      <c r="K194" s="259" t="str">
        <f ca="1">IFERROR(IF($I$1=1,INDEX($AA$3:$AS$220,MATCH(ROWS($K$3:K194),$AQ$3:$AQ$220,0),1),IF($I$1=2,INDEX($AA$3:$AS$220,MATCH(ROWS($K$3:K194),$AR$3:$AR$220,0),1),IF($I$1=3,INDEX($AA$3:$AS$220,MATCH(ROWS($K$3:K194),$AS$3:$AS$220,0),1),""))),"")</f>
        <v/>
      </c>
      <c r="L194" s="259">
        <f ca="1">IF(AND($L$1="VISUALIZZA TUTTI I CONTI",K194&lt;&gt;""),MAX(L193:L193)+1,IFERROR(IF($J$1=1,IF(INDEX(PIANO_DEI_CONTI,MATCH($K194,DENOMINAZIONE,0),5)=$L$1,MAX($L$2:L193)+1,0),IF($J$1=2,IF(INDEX(PIANO_DEI_CONTI,MATCH($K194,DENOMINAZIONE,0),7)=$L$1,MAX($L$2:L193)+1,0))),0))</f>
        <v>0</v>
      </c>
      <c r="M194" s="259" t="str">
        <f ca="1">IFERROR(INDEX($K$3:$K$220,MATCH(ROWS($M$3:M194),$L$3:$L$220,0),1),"")</f>
        <v/>
      </c>
      <c r="R194" s="259" t="str">
        <f t="shared" ca="1" si="366"/>
        <v/>
      </c>
      <c r="S194" s="259">
        <f ca="1">IF(IFERROR(MATCH(R194,DENOMINAZIONE_GIORNALE,0),0)&gt;0,MAX(S$2:S193)+1,0)</f>
        <v>0</v>
      </c>
      <c r="T194" s="259" t="str">
        <f ca="1">IFERROR(INDEX($R$3:$S$220,MATCH(ROWS($T$3:T194),$S$3:$S$220,0),1),"")</f>
        <v/>
      </c>
      <c r="U194" s="259">
        <f t="shared" ca="1" si="367"/>
        <v>0</v>
      </c>
      <c r="V194" s="259">
        <f ca="1">IF(IF(U194&lt;&gt;0,MAX($V$2:V193)+1,0)=0,0,IF(U194&lt;&gt;0,MAX($V$2:V193)+1,0))</f>
        <v>0</v>
      </c>
      <c r="W194" s="259" t="str">
        <f t="shared" si="401"/>
        <v>39.10</v>
      </c>
      <c r="X194" s="259" t="str">
        <f t="shared" si="402"/>
        <v>MINUSVALENZE</v>
      </c>
      <c r="Y194" s="259">
        <f>IF(W194="",0,MAX($Y$2:Y193)+1)</f>
        <v>164</v>
      </c>
      <c r="Z194" s="259" t="str">
        <f>IFERROR(INDEX($W$3:$Y$220,MATCH(ROWS($Z$2:Z193),$Y$3:$Y$220,0),1),"")</f>
        <v/>
      </c>
      <c r="AA194" s="259" t="str">
        <f t="shared" si="403"/>
        <v/>
      </c>
      <c r="AB194" s="259" t="str">
        <f t="shared" si="404"/>
        <v/>
      </c>
      <c r="AC194" s="259" t="str">
        <f t="shared" si="405"/>
        <v/>
      </c>
      <c r="AD194" s="259" t="str">
        <f t="shared" si="406"/>
        <v/>
      </c>
      <c r="AE194" s="259" t="str">
        <f t="shared" si="407"/>
        <v/>
      </c>
      <c r="AF194" s="259" t="str">
        <f t="shared" si="408"/>
        <v/>
      </c>
      <c r="AG194" s="259" t="str">
        <f t="shared" si="409"/>
        <v/>
      </c>
      <c r="AH194" s="259" t="str">
        <f t="shared" si="410"/>
        <v/>
      </c>
      <c r="AI194" s="259" t="str">
        <f t="shared" si="411"/>
        <v/>
      </c>
      <c r="AJ194" s="259" t="str">
        <f t="shared" si="412"/>
        <v/>
      </c>
      <c r="AK194" s="259" t="str">
        <f t="shared" si="413"/>
        <v/>
      </c>
      <c r="AL194" s="259">
        <f>IF(AK194&lt;&gt;"",MAX($AL$2:AL193)+1,0)</f>
        <v>0</v>
      </c>
      <c r="AM194" s="259" t="str">
        <f>IFERROR(INDEX($AK$3:$AL$220,MATCH(ROWS($AM$3:AM194),$AL$3:$AL$220,0),1),"")</f>
        <v/>
      </c>
      <c r="AN194" s="259" t="str">
        <f t="shared" si="414"/>
        <v/>
      </c>
      <c r="AO194" s="259" t="str">
        <f t="shared" si="415"/>
        <v/>
      </c>
      <c r="AP194" s="259" t="str">
        <f t="shared" si="416"/>
        <v/>
      </c>
      <c r="AQ194" s="259">
        <f>IF(OR(AG194=0,AG194=""),0,MAX(AQ$2:AQ193)+1)</f>
        <v>0</v>
      </c>
      <c r="AR194" s="259">
        <f>IF(OR(AH194=0,AH194=""),0,MAX(AR$2:AR193)+1)</f>
        <v>0</v>
      </c>
      <c r="AS194" s="259">
        <f>IF(OR(AI194=0,AI194=""),0,MAX(AS$2:AS193)+1)</f>
        <v>0</v>
      </c>
      <c r="AT194" s="259" t="str">
        <f ca="1">IFERROR(INDEX($AD$3:$AS$220,MATCH(ROWS(AT$3:AT194),AQ$3:AQ$220,0),1),"")</f>
        <v/>
      </c>
      <c r="AU194" s="259" t="str">
        <f ca="1">IFERROR(INDEX($AD$3:$AS$220,MATCH(ROWS(AU$3:AU194),AR$3:AR$220,0),1),"")</f>
        <v/>
      </c>
      <c r="AV194" s="259" t="str">
        <f ca="1">IFERROR(INDEX($AD$3:$AS$220,MATCH(ROWS(AV$3:AV194),AS$3:AS$220,0),1),"")</f>
        <v/>
      </c>
      <c r="AW194" s="259" t="str">
        <f ca="1">IFERROR(INDEX($AP$3:$AS$220,MATCH(ROWS(AW$3:AW194),AQ$3:AQ$220,0),1),"")</f>
        <v/>
      </c>
      <c r="AX194" s="259" t="str">
        <f ca="1">IFERROR(INDEX($AP$3:$AS$220,MATCH(ROWS(AX$3:AX194),AR$3:AR$220,0),1),"")</f>
        <v/>
      </c>
      <c r="AY194" s="259" t="str">
        <f ca="1">IFERROR(INDEX($AP$3:$AS$220,MATCH(ROWS(AY$3:AY194),AS$3:AS$220,0),1),"")</f>
        <v/>
      </c>
      <c r="AZ194" s="259" t="str">
        <f t="shared" si="490"/>
        <v>92 V.I.</v>
      </c>
      <c r="BA194" s="259">
        <f t="shared" ca="1" si="484"/>
        <v>0</v>
      </c>
      <c r="BB194" s="259">
        <f t="shared" ca="1" si="491"/>
        <v>0</v>
      </c>
      <c r="BC194" s="259">
        <f t="shared" ca="1" si="492"/>
        <v>0</v>
      </c>
      <c r="BD194" s="259">
        <f t="shared" ca="1" si="493"/>
        <v>0</v>
      </c>
      <c r="BE194" s="259">
        <f t="shared" ca="1" si="494"/>
        <v>0</v>
      </c>
      <c r="BG194" s="259" t="str">
        <f t="shared" ca="1" si="368"/>
        <v/>
      </c>
      <c r="BH194" s="259">
        <f ca="1">IF(IFERROR(MATCH(BG194,DENOMINAZIONE_GIORNALE,0),0)&gt;0,MAX(BH$2:BH193)+1,0)</f>
        <v>0</v>
      </c>
      <c r="BI194" s="259" t="str">
        <f ca="1">IFERROR(INDEX($BG$3:$BH$220,MATCH(ROWS($BI$3:BI194),$BH$3:$BH$220,0),1),"")</f>
        <v/>
      </c>
      <c r="BJ194" s="259" t="str">
        <f t="shared" ca="1" si="369"/>
        <v/>
      </c>
      <c r="BK194" s="259" t="str">
        <f ca="1">IF(IF(BJ194&lt;&gt;"",MAX($BK$2:BK193)+1,0)=0,"",IF(BJ194&lt;&gt;"",MAX($BK$2:BK193)+1,0))</f>
        <v/>
      </c>
      <c r="BL194" s="259" t="str">
        <f ca="1">IFERROR(INDEX($T$3:$U$220, MATCH(ROWS(BL$3:BL194),$V$3:$V$220,0),1),"")</f>
        <v/>
      </c>
      <c r="BM194" s="259" t="str">
        <f ca="1">IFERROR(INDEX($T$3:$U$220, MATCH(ROWS(BM$3:BM194),$V$3:$V$220,0),2),"")</f>
        <v/>
      </c>
      <c r="BN194" s="259" t="str">
        <f ca="1">IF(IFERROR(INDEX($BI$3:$BJ$220,MATCH(ROWS(BN$3:BN194),$BK$3:$BK$220,0),1),"")="PATRIMONIO NETTO","",IFERROR(INDEX($BI$3:$BJ$220,MATCH(ROWS(BN$3:BN194),$BK$3:$BK$220,0),1),""))</f>
        <v/>
      </c>
      <c r="BO194" s="259" t="str">
        <f ca="1">IFERROR(INDEX($BI$3:$BJ$220,MATCH(ROWS(BO$3:BO194),$BK$3:$BK$220,0),2),"")</f>
        <v/>
      </c>
      <c r="BP194" s="259">
        <f ca="1">IF(BN194&lt;&gt;"",MAX(BP$2:$BP193)+1,0)</f>
        <v>0</v>
      </c>
      <c r="BQ194" s="259" t="str">
        <f ca="1">IFERROR(INDEX($BN$3:$BO$200,MATCH(ROWS(BQ$3:BQ194),$BP$3:$BP$220,0),1),"")</f>
        <v/>
      </c>
      <c r="BR194" s="259" t="str">
        <f ca="1">IFERROR(INDEX($BN$3:$BO$220,MATCH(ROWS(BR$3:BR194),$BP$3:$BP$220,0),2),"")</f>
        <v/>
      </c>
      <c r="BS194" s="259" t="str">
        <f ca="1">IFERROR(IF(OR(INDEX($T$3:$U$220,MATCH(ROWS(BL$3:BL194),$V$3:$V$220,0),1)="PRELEVAMENTI EXTRAGESTIONE",INDEX($T$3:$U$220,MATCH(ROWS(BL$3:BL194),$V$3:$V$220,0),1)="TITOLARE C/RITENUTE SUBITE"),"",INDEX($T$3:$U$220,MATCH(ROWS(BL$3:BL194),$V$3:$V$220,0),1)),"")</f>
        <v/>
      </c>
      <c r="BT194" s="259">
        <f t="shared" ca="1" si="417"/>
        <v>0</v>
      </c>
      <c r="BU194" s="259">
        <f ca="1">IF(BS194&lt;&gt;"",MAX(BU$2:BU193)+1,0)</f>
        <v>0</v>
      </c>
      <c r="BV194" s="259" t="str">
        <f ca="1">IFERROR(INDEX($BS$3:$BT$223,MATCH(ROWS(BV$3:BV194),$BU$3:$BU$223,0),1),"")</f>
        <v/>
      </c>
      <c r="BW194" s="259">
        <f t="shared" ca="1" si="418"/>
        <v>0</v>
      </c>
      <c r="CB194" s="259" t="str">
        <f ca="1">IFERROR(IF(OR($BB$1&lt;&gt;$BD$1,$BC$1&lt;&gt;$BE$1,$DS$231&lt;&gt;$DT$231,$DU$231&lt;&gt;$DV$231,$EO$25&lt;&gt;0,$EO$26&lt;&gt;0),INDEX($BI$3:$BK$220,MATCH(ROWS($CB$3:CB194),$BK$3:$BK$220,0),1),CONCATENATE(BQ194,BX194)),"")</f>
        <v/>
      </c>
      <c r="CC194" s="259" t="str">
        <f t="shared" ca="1" si="419"/>
        <v/>
      </c>
      <c r="CD194" s="259" t="str">
        <f t="shared" ca="1" si="370"/>
        <v/>
      </c>
      <c r="CE194" s="259">
        <f ca="1">IF(IFERROR(MATCH(CD194,DENOMINAZIONE_GIORNALE,0),0)&gt;0,MAX(CE$2:CE193)+1,0)</f>
        <v>0</v>
      </c>
      <c r="CF194" s="259" t="str">
        <f ca="1">IFERROR(INDEX($CD$3:$CE$220,MATCH(ROWS($CF$3:CF194),$CE$3:$CE$220,0),1),"")</f>
        <v/>
      </c>
      <c r="CG194" s="259">
        <f t="shared" ca="1" si="371"/>
        <v>0</v>
      </c>
      <c r="CH194" s="259" t="str">
        <f ca="1">IF(IF(CG194&lt;&gt;0,MAX($CH$2:CH193)+1,0)=0,"",IF(CG194&lt;&gt;"",MAX($CH$2:CH193)+1,0))</f>
        <v/>
      </c>
      <c r="CI194" s="259" t="str">
        <f ca="1">IFERROR(INDEX($CF$3:$CG$220,MATCH(ROWS($CI$3:CI194),$CH$3:$CH$220,0),1),"")</f>
        <v/>
      </c>
      <c r="CJ194" s="259" t="str">
        <f t="shared" ca="1" si="420"/>
        <v/>
      </c>
      <c r="CK194" s="259" t="str">
        <f t="shared" ca="1" si="372"/>
        <v/>
      </c>
      <c r="CL194" s="259">
        <f ca="1">IF(IFERROR(MATCH(CK194,DENOMINAZIONE_GIORNALE,0),0)&gt;0,MAX(CL$2:CL193)+1,0)</f>
        <v>0</v>
      </c>
      <c r="CM194" s="259" t="str">
        <f ca="1">IFERROR(INDEX($CK$3:$CL$220,MATCH(ROWS($CM$3:CM194),$CL$3:$CL$220,0),1),"")</f>
        <v/>
      </c>
      <c r="CN194" s="259" t="str">
        <f t="shared" ca="1" si="373"/>
        <v/>
      </c>
      <c r="CO194" s="259">
        <f ca="1">IF(IF(CN194&lt;&gt;0,MAX($CO$2:CO193)+1,0)=0,"",IF(CN194&lt;&gt;"",MAX($CO$2:CO193)+1,0))</f>
        <v>0</v>
      </c>
      <c r="CP194" s="259" t="str">
        <f ca="1">IFERROR(INDEX($CM$3:$CN$220,MATCH(ROWS(CP$3:CP194),$CO$3:$CO$220,0),1),"")</f>
        <v/>
      </c>
      <c r="CQ194" s="259" t="str">
        <f ca="1">IFERROR(INDEX($CM$3:$CN$220,MATCH(ROWS(CQ$3:CQ194),$CO$3:$CO$220,0),2),"")</f>
        <v/>
      </c>
      <c r="CS194" s="259">
        <f t="shared" ca="1" si="374"/>
        <v>0</v>
      </c>
      <c r="CT194" s="259">
        <f t="shared" ca="1" si="375"/>
        <v>0</v>
      </c>
      <c r="CU194" s="259">
        <f ca="1">IF(OR(CS194&gt;0,CT194&gt;0),MAX($CU$2:CU193)+1,0)</f>
        <v>0</v>
      </c>
      <c r="CV194" s="259" t="str">
        <f ca="1">IFERROR(INDEX(PIANO_DEI_CONTI,MATCH(ROWS($CV$3:CV194),$CU$3:$CU$200,0),2),"")</f>
        <v/>
      </c>
      <c r="CW194" s="259">
        <f ca="1">IFERROR(IF(CV194&lt;&gt;"",MAX($CW$2:CW193)+1,0),0)</f>
        <v>0</v>
      </c>
      <c r="CX194" s="259">
        <f t="shared" ca="1" si="508"/>
        <v>11</v>
      </c>
      <c r="CY194" s="259" t="str">
        <f t="shared" ca="1" si="495"/>
        <v>MASTRO</v>
      </c>
      <c r="CZ194" s="259" t="e">
        <f t="shared" ca="1" si="510"/>
        <v>#N/A</v>
      </c>
      <c r="DA194" s="259" t="str">
        <f t="shared" ca="1" si="515"/>
        <v/>
      </c>
      <c r="DB194" s="259" t="str">
        <f t="shared" ca="1" si="511"/>
        <v/>
      </c>
      <c r="DC194" s="259" t="str">
        <f t="shared" ca="1" si="512"/>
        <v/>
      </c>
      <c r="DD194" s="259" t="str">
        <f t="shared" ca="1" si="513"/>
        <v/>
      </c>
      <c r="DE194" s="259" t="str">
        <f t="shared" ca="1" si="514"/>
        <v/>
      </c>
      <c r="DF194" s="259">
        <f ca="1">IF(AND(CX194=$DE$2,$DF$2&lt;&gt;0),0,IF(AND(DB194&lt;&gt;"",OR(DB193&lt;&gt;"",DB195&lt;&gt;"")),MAX($DF$2:DF193)+1,0))</f>
        <v>0</v>
      </c>
      <c r="DG194" s="259" t="str">
        <f>IF(IF(LIBRO_GIORNALE!E102="","",IFERROR(INDEX(PIANO_DEI_CONTI,MATCH(BB194,DENOMINAZIONE,0),1),0))=0,"",IF(LIBRO_GIORNALE!E102="","",IFERROR(INDEX(PIANO_DEI_CONTI,MATCH(BB194,DENOMINAZIONE,0),1),0)))</f>
        <v/>
      </c>
      <c r="DH194" s="259">
        <f ca="1">IFERROR(IF($J$1=1,IF(INDEX(PIANO_DEI_CONTI,MATCH($K194,DENOMINAZIONE,0),5)=$DF$1,MAX($DH$2:DH193)+1,0),IF($J$1=2,IF(INDEX(PIANO_DEI_CONTI,MATCH($K194,DENOMINAZIONE,0),7)=$DF$1,MAX($DH$2:DH193)+1,0))),0)</f>
        <v>0</v>
      </c>
      <c r="DI194" s="259">
        <f ca="1">IFERROR(INDEX($K$3:$K$220,MATCH(ROWS($DI$3:DI194),$DH$3:$DH$220,0),1),0)</f>
        <v>0</v>
      </c>
      <c r="DJ194" s="259">
        <f t="shared" ca="1" si="381"/>
        <v>0</v>
      </c>
      <c r="DK194" s="259">
        <f ca="1">IF(DJ194=0,0,MAX(DK$2:DK193)+1)</f>
        <v>0</v>
      </c>
      <c r="DL194" s="259">
        <f ca="1">IFERROR(INDEX(PIANO_DEI_CONTI,MATCH(ROWS(DL$3:DL194),$DK$3:DK421,0),2),0)</f>
        <v>0</v>
      </c>
      <c r="DM194" s="259">
        <f t="shared" ca="1" si="382"/>
        <v>0</v>
      </c>
      <c r="DN194" s="259">
        <f t="shared" ca="1" si="383"/>
        <v>0</v>
      </c>
      <c r="DO194" s="259">
        <f t="shared" ca="1" si="422"/>
        <v>0</v>
      </c>
      <c r="DP194" s="259">
        <f t="shared" ca="1" si="423"/>
        <v>0</v>
      </c>
      <c r="DQ194" s="259">
        <f ca="1">IF(OR($DQ$1="TOTALI",$DQ$1="TOTALI ED ECCEDENZE"),IF(OR(DM194&gt;0,DN194&gt;0),MAX(DQ$2:DQ193)+1,0),IF($DQ$1="ECCEDENZE",IF(OR(DO194&gt;0,DP194&gt;0),MAX(DQ$2:DQ193)+1,0),""))</f>
        <v>0</v>
      </c>
      <c r="DR194" s="259" t="str">
        <f ca="1">IFERROR(INDEX($DL$3:$DQ$230,MATCH(ROWS(DR$3:DR194),$DQ$3:$DQ$230,0),1),"")</f>
        <v/>
      </c>
      <c r="DS194" s="259" t="str">
        <f t="shared" ca="1" si="424"/>
        <v/>
      </c>
      <c r="DT194" s="259" t="str">
        <f t="shared" ca="1" si="425"/>
        <v/>
      </c>
      <c r="DU194" s="259" t="str">
        <f t="shared" ca="1" si="426"/>
        <v/>
      </c>
      <c r="DV194" s="259" t="str">
        <f t="shared" ca="1" si="427"/>
        <v/>
      </c>
      <c r="DW194" s="259">
        <f t="shared" ca="1" si="428"/>
        <v>0</v>
      </c>
      <c r="DX194" s="259" t="str">
        <f t="shared" ca="1" si="429"/>
        <v/>
      </c>
      <c r="DY194" s="259" t="str">
        <f t="shared" ca="1" si="430"/>
        <v/>
      </c>
      <c r="DZ194" s="259" t="str">
        <f t="shared" ca="1" si="431"/>
        <v/>
      </c>
      <c r="ED194" s="259">
        <f t="shared" ca="1" si="384"/>
        <v>0</v>
      </c>
      <c r="EH194" s="259" t="str">
        <f t="shared" ca="1" si="432"/>
        <v/>
      </c>
      <c r="EI194" s="260" t="b">
        <f t="shared" ca="1" si="466"/>
        <v>0</v>
      </c>
      <c r="EJ194" s="260" t="b">
        <f t="shared" ca="1" si="467"/>
        <v>1</v>
      </c>
      <c r="EK194" s="260" t="b">
        <f t="shared" ca="1" si="468"/>
        <v>1</v>
      </c>
      <c r="EL194" s="259">
        <f t="shared" si="433"/>
        <v>192</v>
      </c>
      <c r="EM194" s="259">
        <f ca="1">IF(AND(BA194&gt;0,BA194&lt;=$EM$1),MAX($EM$2:EM193)+1,0)</f>
        <v>0</v>
      </c>
      <c r="EN194" s="259">
        <f t="shared" ca="1" si="434"/>
        <v>194</v>
      </c>
      <c r="EP194" s="259" t="str">
        <f t="shared" ca="1" si="385"/>
        <v/>
      </c>
      <c r="EQ194" s="259">
        <f t="shared" ca="1" si="386"/>
        <v>0</v>
      </c>
      <c r="ER194" s="259">
        <f ca="1">IF(ISNA(EQ194),MAX(ER$2:ER193)+1,0)</f>
        <v>0</v>
      </c>
      <c r="ES194" s="259" t="str">
        <f t="shared" ca="1" si="435"/>
        <v/>
      </c>
      <c r="ET194" s="259" t="str">
        <f ca="1">IFERROR(UPPER(INDEX($ER$3:$ES$500,MATCH(ROWS(ET$3:ET194),$ER$3:$ER$500,0),2)),"")</f>
        <v/>
      </c>
      <c r="EW194" s="259">
        <f t="shared" ca="1" si="497"/>
        <v>1</v>
      </c>
      <c r="EX194" s="259">
        <v>92</v>
      </c>
      <c r="EY194" s="259">
        <f t="shared" ca="1" si="498"/>
        <v>0</v>
      </c>
      <c r="EZ194" s="259">
        <f t="shared" ca="1" si="499"/>
        <v>0</v>
      </c>
      <c r="FA194" s="259">
        <f t="shared" ca="1" si="500"/>
        <v>0</v>
      </c>
      <c r="FB194" s="259">
        <f t="shared" ca="1" si="501"/>
        <v>0</v>
      </c>
      <c r="FC194" s="259">
        <f t="shared" ca="1" si="502"/>
        <v>0</v>
      </c>
      <c r="FD194" s="259">
        <f t="shared" ca="1" si="387"/>
        <v>0</v>
      </c>
      <c r="FE194" s="259" t="str">
        <f t="shared" ca="1" si="388"/>
        <v/>
      </c>
      <c r="FF194" s="259" t="str">
        <f t="shared" ca="1" si="503"/>
        <v/>
      </c>
      <c r="FM194" s="259">
        <f t="shared" si="389"/>
        <v>0</v>
      </c>
      <c r="FN194" s="259">
        <f>IF(FM194&lt;0,MAX($FN$2:FN193)+1,0)</f>
        <v>0</v>
      </c>
      <c r="FO194" s="259" t="str">
        <f t="shared" si="436"/>
        <v/>
      </c>
      <c r="FP194" s="259" t="str">
        <f ca="1">IFERROR(INDEX($FN$3:$FO$400,MATCH(ROWS($FP$3:FP194),$FN$3:$FN$400,0),2),"")</f>
        <v/>
      </c>
      <c r="FQ194" s="259" t="str">
        <f>IF(AE194="SE AVERE",MAX($FQ$2:FQ193)+1,"")</f>
        <v/>
      </c>
      <c r="FR194" s="259" t="str">
        <f>IF(AE194="SE DARE",MAX($FR$2:FR193)+1,"")</f>
        <v/>
      </c>
      <c r="FS194" s="259" t="str">
        <f ca="1">IF(AND(AE194="SP DARE",AA194&lt;&gt;$FS$1,AA194&lt;&gt;$FT$1),MAX($FS$2:FS193)+1,IF(AND(GQ194="SP DARE",AA194&lt;&gt;$FS$1,AA194&lt;&gt;$FT$1),MAX($FS$2:FS193)+1,""))</f>
        <v/>
      </c>
      <c r="FT194" s="259" t="str">
        <f ca="1">IF(AND(AE194="SP AVERE",AA194&lt;&gt;$FU$1),MAX($FT$2:FT193)+1,IF(AND(GQ194="SP AVERE",AA194&lt;&gt;$FU$1),MAX($FT$2:FT193)+1,""))</f>
        <v/>
      </c>
      <c r="FU194" s="259">
        <f t="shared" ca="1" si="437"/>
        <v>0</v>
      </c>
      <c r="FV194" s="259" t="str">
        <f t="shared" si="438"/>
        <v/>
      </c>
      <c r="FW194" s="259">
        <f ca="1">IFERROR(INDEX($FU$3:$FV$500,MATCH(ROWS($FW$3:FW194),$FU$3:$FU$500,0),2),0)</f>
        <v>0</v>
      </c>
      <c r="FX194" s="259">
        <f t="shared" ca="1" si="439"/>
        <v>0</v>
      </c>
      <c r="FY194" s="259">
        <f t="shared" ca="1" si="440"/>
        <v>0</v>
      </c>
      <c r="FZ194" s="259">
        <f ca="1">IF(FY194&gt;0,MAX($FZ$2:FZ193)+1,0)</f>
        <v>0</v>
      </c>
      <c r="GA194" s="259">
        <f ca="1">IFERROR(INDEX($FY$3:$FZ$500,MATCH(ROWS($GA$3:GA194),$FZ$3:$FZ$500,0),1),0)</f>
        <v>0</v>
      </c>
      <c r="GC194" s="259">
        <f t="shared" ca="1" si="441"/>
        <v>0</v>
      </c>
      <c r="GD194" s="259">
        <f t="shared" ca="1" si="442"/>
        <v>0</v>
      </c>
      <c r="GG194" s="259">
        <f t="shared" ca="1" si="443"/>
        <v>0</v>
      </c>
      <c r="GH194" s="259">
        <f t="shared" ca="1" si="444"/>
        <v>0</v>
      </c>
      <c r="GI194" s="259">
        <f t="shared" ca="1" si="445"/>
        <v>0</v>
      </c>
      <c r="GJ194" s="259">
        <f t="shared" ca="1" si="446"/>
        <v>0</v>
      </c>
      <c r="GK194" s="259">
        <f t="shared" ca="1" si="447"/>
        <v>0</v>
      </c>
      <c r="GL194" s="259">
        <f t="shared" ca="1" si="447"/>
        <v>0</v>
      </c>
      <c r="GM194" s="259">
        <f ca="1">IF(OR(GK194&gt;0,GL194&gt;0),MAX($GM$2:GM193)+1,0)</f>
        <v>0</v>
      </c>
      <c r="GN194" s="259" t="str">
        <f ca="1">IFERROR(INDEX($GD$3:$GM$400,MATCH(ROWS($GN$3:GN194),$GM$3:$GM$400,0),1),"")</f>
        <v/>
      </c>
      <c r="GO194" s="259" t="str">
        <f ca="1">IFERROR(INDEX($GD$3:$GM$400,MATCH(ROWS($GO$3:GO194),$GM$3:$GM$400,0),8),"")</f>
        <v/>
      </c>
      <c r="GP194" s="259" t="str">
        <f ca="1">IFERROR(INDEX($GD$3:$GM$400,MATCH(ROWS($GP$3:GP194),$GM$3:$GM$400,0),9),"")</f>
        <v/>
      </c>
      <c r="GQ194" s="259">
        <f t="shared" ca="1" si="390"/>
        <v>0</v>
      </c>
      <c r="GR194" s="259">
        <f t="shared" ca="1" si="448"/>
        <v>0</v>
      </c>
      <c r="GS194" s="259" t="str">
        <f t="shared" ca="1" si="449"/>
        <v/>
      </c>
      <c r="GT194" s="259" t="str">
        <f ca="1">IFERROR(INDEX($GD$3:$GS$400,MATCH(ROWS($GT$3:GT194),$GM$3:$GM$400,0),16),"")</f>
        <v/>
      </c>
      <c r="GU194" s="259">
        <f ca="1">IF(GQ194&lt;&gt;0,MAX($GU$2:$GU193)+1,0)</f>
        <v>0</v>
      </c>
      <c r="GV194" s="259">
        <f t="shared" ca="1" si="450"/>
        <v>0</v>
      </c>
      <c r="GW194" s="259" t="str">
        <f ca="1">IF(AND(IFERROR(INDEX($GU$3:$GV$400,MATCH(ROWS($GW$3:GW194),$GU$3:$GU$400,0),2),"")&lt;&gt;"",GW195&lt;&gt;""),CONCATENATE(IFERROR(INDEX($GU$3:$GV$400,MATCH(ROWS($GW$3:GW194),$GU$3:$GU$400,0),2),"")," - "),IFERROR(INDEX($GU$3:$GV$400,MATCH(ROWS($GW$3:GW194),$GU$3:$GU$400,0),2),""))</f>
        <v/>
      </c>
      <c r="GX194" s="259">
        <f ca="1">IF(OR(GN194="IVA NS/CREDITO",GN194="IVA NS/DEBITO",GN194="IVA C/ACCONTO",GN194="IMPOSTE C/ACCONTO"),MAX($GX$2:GX193)+1,0)</f>
        <v>0</v>
      </c>
      <c r="GY194" s="259" t="str">
        <f ca="1">IF(AND(IFERROR(INDEX($GN$3:$GX$200,MATCH(ROWS($GY$3:GY194),$GX$3:$GX$200,0),1),"")&lt;&gt;"",GY195&lt;&gt;""),CONCATENATE(IFERROR(INDEX($GN$3:$GX$200,MATCH(ROWS($GY$3:GY194),$GX$3:$GX$200,0),1),"")," - "),IFERROR(INDEX($GN$3:$GX$200,MATCH(ROWS($GY$3:GY194),$GX$3:$GX$200,0),1),""))</f>
        <v/>
      </c>
      <c r="GZ194" s="259" t="s">
        <v>602</v>
      </c>
      <c r="HA194" s="259" t="s">
        <v>210</v>
      </c>
      <c r="HB194" s="269" t="s">
        <v>256</v>
      </c>
      <c r="HC194" s="269" t="s">
        <v>276</v>
      </c>
      <c r="HD194" s="269" t="s">
        <v>7</v>
      </c>
      <c r="HE194" s="269" t="s">
        <v>214</v>
      </c>
      <c r="HV194" s="259" t="str">
        <f ca="1">CONCATENATE(IFERROR(INDEX($HS$3:$HT$102,MATCH(ROWS($HV$3:HV194),$HT$3:$HT$102,0),1),""),HR194)</f>
        <v/>
      </c>
      <c r="IC194" s="259">
        <f ca="1">IFERROR(INDEX(PIANO_DEI_CONTI,MATCH(ROWS(DL$3:DL194),$DK$3:DK421,0),2),0)</f>
        <v>0</v>
      </c>
      <c r="ID194" s="259">
        <f t="shared" ca="1" si="451"/>
        <v>0</v>
      </c>
      <c r="IE194" s="259">
        <f t="shared" ca="1" si="452"/>
        <v>0</v>
      </c>
      <c r="IF194" s="259">
        <f t="shared" ca="1" si="453"/>
        <v>0</v>
      </c>
      <c r="IG194" s="259">
        <f t="shared" ca="1" si="479"/>
        <v>0</v>
      </c>
      <c r="IH194" s="259">
        <f ca="1">IF(IG194&lt;&gt;0,MAX($IH$35:IH193)+1,0)</f>
        <v>0</v>
      </c>
      <c r="II194" s="259">
        <f>IF(AD194="costi pluriennali",MAX($II$2:II193)+1,0)</f>
        <v>0</v>
      </c>
      <c r="IJ194" s="259">
        <f>IF($AD194="rettifiche costi pluriennali",MAX($IJ$2:IJ193)+1,0)</f>
        <v>0</v>
      </c>
      <c r="IK194" s="259">
        <f t="shared" si="454"/>
        <v>0</v>
      </c>
      <c r="IL194" s="259" t="str">
        <f t="shared" si="455"/>
        <v/>
      </c>
      <c r="IM194" s="259">
        <f t="shared" ca="1" si="456"/>
        <v>0</v>
      </c>
      <c r="IN194" s="259">
        <f t="shared" ca="1" si="470"/>
        <v>0</v>
      </c>
      <c r="IO194" s="259">
        <f>SUMIFS($IM$3:$IM$200,$IK$3:$IK$200,ROWS($IO$3:IO194))-SUMIFS($IN$3:$IN$200,$IK$3:$IK$200,ROWS($IO$3:IO194))</f>
        <v>0</v>
      </c>
      <c r="IP194" s="259" t="str">
        <f>IF(IO194&lt;0,INDEX($IJ$3:$IL$200,MATCH(ROWS($IP$3:IP194),$IJ$3:$IJ$200,0),3),"")</f>
        <v/>
      </c>
      <c r="IQ194" s="259">
        <f>IF(IP194&lt;&gt;"",MAX($IQ$2:IQ193)+1,0)</f>
        <v>0</v>
      </c>
      <c r="IR194" s="259" t="str">
        <f ca="1">IFERROR(INDEX($IP$3:$IQ$200,MATCH(ROWS($IR$3:IR194),$IQ$3:$IQ$200,0),1),"")</f>
        <v/>
      </c>
      <c r="IS194" s="259" t="str">
        <f t="shared" ca="1" si="457"/>
        <v/>
      </c>
      <c r="IT194" s="259" t="str">
        <f t="shared" ca="1" si="458"/>
        <v/>
      </c>
      <c r="IU194" s="259" t="str">
        <f t="shared" ca="1" si="459"/>
        <v/>
      </c>
      <c r="IV194" s="259" t="str">
        <f t="shared" ca="1" si="460"/>
        <v/>
      </c>
      <c r="IW194" s="259" t="str">
        <f t="shared" ca="1" si="461"/>
        <v/>
      </c>
      <c r="IX194" s="259" t="str">
        <f t="shared" ca="1" si="462"/>
        <v/>
      </c>
      <c r="IY194" s="259" t="str">
        <f t="shared" ca="1" si="463"/>
        <v/>
      </c>
      <c r="IZ194" s="259" t="str">
        <f t="shared" ca="1" si="464"/>
        <v/>
      </c>
      <c r="JA194" s="259" t="str">
        <f t="shared" ca="1" si="465"/>
        <v/>
      </c>
      <c r="JB194" s="259">
        <f t="shared" ca="1" si="391"/>
        <v>0</v>
      </c>
      <c r="JC194" s="259">
        <f t="shared" ca="1" si="504"/>
        <v>0</v>
      </c>
      <c r="JD194" s="259">
        <f t="shared" ca="1" si="505"/>
        <v>0</v>
      </c>
      <c r="JM194" s="259">
        <f t="shared" ca="1" si="506"/>
        <v>0</v>
      </c>
    </row>
    <row r="195" spans="1:273">
      <c r="A195" s="259" t="str">
        <f t="shared" si="392"/>
        <v>39.11</v>
      </c>
      <c r="B195" s="259" t="str">
        <f t="shared" si="393"/>
        <v>SOPRAVVENIENZE PASSIVE</v>
      </c>
      <c r="C195" s="259" t="str">
        <f t="shared" si="394"/>
        <v>E</v>
      </c>
      <c r="D195" s="259" t="str">
        <f t="shared" si="395"/>
        <v>D</v>
      </c>
      <c r="E195" s="259" t="str">
        <f t="shared" si="396"/>
        <v>COSTI D'ESERCIZIO</v>
      </c>
      <c r="F195" s="259" t="str">
        <f t="shared" si="397"/>
        <v>SE DARE</v>
      </c>
      <c r="G195" s="259">
        <f t="shared" ca="1" si="398"/>
        <v>0</v>
      </c>
      <c r="H195" s="259">
        <f t="shared" ca="1" si="399"/>
        <v>1</v>
      </c>
      <c r="I195" s="259">
        <f t="shared" ca="1" si="400"/>
        <v>1</v>
      </c>
      <c r="K195" s="259" t="str">
        <f ca="1">IFERROR(IF($I$1=1,INDEX($AA$3:$AS$220,MATCH(ROWS($K$3:K195),$AQ$3:$AQ$220,0),1),IF($I$1=2,INDEX($AA$3:$AS$220,MATCH(ROWS($K$3:K195),$AR$3:$AR$220,0),1),IF($I$1=3,INDEX($AA$3:$AS$220,MATCH(ROWS($K$3:K195),$AS$3:$AS$220,0),1),""))),"")</f>
        <v/>
      </c>
      <c r="L195" s="259">
        <f ca="1">IF(AND($L$1="VISUALIZZA TUTTI I CONTI",K195&lt;&gt;""),MAX(L194:L194)+1,IFERROR(IF($J$1=1,IF(INDEX(PIANO_DEI_CONTI,MATCH($K195,DENOMINAZIONE,0),5)=$L$1,MAX($L$2:L194)+1,0),IF($J$1=2,IF(INDEX(PIANO_DEI_CONTI,MATCH($K195,DENOMINAZIONE,0),7)=$L$1,MAX($L$2:L194)+1,0))),0))</f>
        <v>0</v>
      </c>
      <c r="M195" s="259" t="str">
        <f ca="1">IFERROR(INDEX($K$3:$K$220,MATCH(ROWS($M$3:M195),$L$3:$L$220,0),1),"")</f>
        <v/>
      </c>
      <c r="R195" s="259" t="str">
        <f t="shared" ref="R195:R220" ca="1" si="516">IF(OR(INDEX(PIANO_DEI_CONTI,MATCH(AA195,DENOMINAZIONE,0),6)="SP DARE",INDEX(PIANO_DEI_CONTI,MATCH(AA195,DENOMINAZIONE,0),6)="SP DARE/AVERE"),AA195,"")</f>
        <v/>
      </c>
      <c r="S195" s="259">
        <f ca="1">IF(IFERROR(MATCH(R195,DENOMINAZIONE_GIORNALE,0),0)&gt;0,MAX(S$2:S194)+1,0)</f>
        <v>0</v>
      </c>
      <c r="T195" s="259" t="str">
        <f ca="1">IFERROR(INDEX($R$3:$S$220,MATCH(ROWS($T$3:T195),$S$3:$S$220,0),1),"")</f>
        <v/>
      </c>
      <c r="U195" s="259">
        <f t="shared" ref="U195:U220" ca="1" si="517">IFERROR(IF(IF(AND(OR(INDEX(PIANO_DEI_CONTI,MATCH(T195,DENOMINAZIONE,0),6)="SP DARE",INDEX(PIANO_DEI_CONTI,MATCH(T195,DENOMINAZIONE,0),6)="SP DARE/AVERE"),SUMIFS(DARE,DENOMINAZIONE_GIORNALE,T195,DARE,"&gt;"&amp;0)&gt;SUMIFS(AVERE,DENOMINAZIONE_GIORNALE,T195,AVERE,"&gt;"&amp;0)),SUMIFS(DARE,DENOMINAZIONE_GIORNALE,T195,DARE,"&gt;"&amp;0)-SUMIFS(AVERE,DENOMINAZIONE_GIORNALE,T195,AVERE,"&gt;"&amp;0),0)&lt;&gt;0,IF(AND(OR(INDEX(PIANO_DEI_CONTI,MATCH(T195,DENOMINAZIONE,0),6)="SP DARE",INDEX(PIANO_DEI_CONTI,MATCH(T195,DENOMINAZIONE,0),6)="SP DARE/AVERE"),SUMIFS(DARE,DENOMINAZIONE_GIORNALE,T195,DARE,"&gt;"&amp;0)&gt;SUMIFS(AVERE,DENOMINAZIONE_GIORNALE,T195,AVERE,"&gt;"&amp;0)),SUMIFS(DARE,DENOMINAZIONE_GIORNALE,T195,DARE,"&gt;"&amp;0)-SUMIFS(AVERE,DENOMINAZIONE_GIORNALE,T195,AVERE,"&gt;"&amp;0),0),0),0)</f>
        <v>0</v>
      </c>
      <c r="V195" s="259">
        <f ca="1">IF(IF(U195&lt;&gt;0,MAX($V$2:V194)+1,0)=0,0,IF(U195&lt;&gt;0,MAX($V$2:V194)+1,0))</f>
        <v>0</v>
      </c>
      <c r="W195" s="259" t="str">
        <f t="shared" si="401"/>
        <v>39.11</v>
      </c>
      <c r="X195" s="259" t="str">
        <f t="shared" si="402"/>
        <v>SOPRAVVENIENZE PASSIVE</v>
      </c>
      <c r="Y195" s="259">
        <f>IF(W195="",0,MAX($Y$2:Y194)+1)</f>
        <v>165</v>
      </c>
      <c r="Z195" s="259" t="str">
        <f>IFERROR(INDEX($W$3:$Y$220,MATCH(ROWS($Z$2:Z194),$Y$3:$Y$220,0),1),"")</f>
        <v/>
      </c>
      <c r="AA195" s="259" t="str">
        <f t="shared" si="403"/>
        <v/>
      </c>
      <c r="AB195" s="259" t="str">
        <f t="shared" si="404"/>
        <v/>
      </c>
      <c r="AC195" s="259" t="str">
        <f t="shared" si="405"/>
        <v/>
      </c>
      <c r="AD195" s="259" t="str">
        <f t="shared" si="406"/>
        <v/>
      </c>
      <c r="AE195" s="259" t="str">
        <f t="shared" si="407"/>
        <v/>
      </c>
      <c r="AF195" s="259" t="str">
        <f t="shared" si="408"/>
        <v/>
      </c>
      <c r="AG195" s="259" t="str">
        <f t="shared" si="409"/>
        <v/>
      </c>
      <c r="AH195" s="259" t="str">
        <f t="shared" si="410"/>
        <v/>
      </c>
      <c r="AI195" s="259" t="str">
        <f t="shared" si="411"/>
        <v/>
      </c>
      <c r="AJ195" s="259" t="str">
        <f t="shared" si="412"/>
        <v/>
      </c>
      <c r="AK195" s="259" t="str">
        <f t="shared" si="413"/>
        <v/>
      </c>
      <c r="AL195" s="259">
        <f>IF(AK195&lt;&gt;"",MAX($AL$2:AL194)+1,0)</f>
        <v>0</v>
      </c>
      <c r="AM195" s="259" t="str">
        <f>IFERROR(INDEX($AK$3:$AL$220,MATCH(ROWS($AM$3:AM195),$AL$3:$AL$220,0),1),"")</f>
        <v/>
      </c>
      <c r="AN195" s="259" t="str">
        <f t="shared" si="414"/>
        <v/>
      </c>
      <c r="AO195" s="259" t="str">
        <f t="shared" si="415"/>
        <v/>
      </c>
      <c r="AP195" s="259" t="str">
        <f t="shared" si="416"/>
        <v/>
      </c>
      <c r="AQ195" s="259">
        <f>IF(OR(AG195=0,AG195=""),0,MAX(AQ$2:AQ194)+1)</f>
        <v>0</v>
      </c>
      <c r="AR195" s="259">
        <f>IF(OR(AH195=0,AH195=""),0,MAX(AR$2:AR194)+1)</f>
        <v>0</v>
      </c>
      <c r="AS195" s="259">
        <f>IF(OR(AI195=0,AI195=""),0,MAX(AS$2:AS194)+1)</f>
        <v>0</v>
      </c>
      <c r="AT195" s="259" t="str">
        <f ca="1">IFERROR(INDEX($AD$3:$AS$220,MATCH(ROWS(AT$3:AT195),AQ$3:AQ$220,0),1),"")</f>
        <v/>
      </c>
      <c r="AU195" s="259" t="str">
        <f ca="1">IFERROR(INDEX($AD$3:$AS$220,MATCH(ROWS(AU$3:AU195),AR$3:AR$220,0),1),"")</f>
        <v/>
      </c>
      <c r="AV195" s="259" t="str">
        <f ca="1">IFERROR(INDEX($AD$3:$AS$220,MATCH(ROWS(AV$3:AV195),AS$3:AS$220,0),1),"")</f>
        <v/>
      </c>
      <c r="AW195" s="259" t="str">
        <f ca="1">IFERROR(INDEX($AP$3:$AS$220,MATCH(ROWS(AW$3:AW195),AQ$3:AQ$220,0),1),"")</f>
        <v/>
      </c>
      <c r="AX195" s="259" t="str">
        <f ca="1">IFERROR(INDEX($AP$3:$AS$220,MATCH(ROWS(AX$3:AX195),AR$3:AR$220,0),1),"")</f>
        <v/>
      </c>
      <c r="AY195" s="259" t="str">
        <f ca="1">IFERROR(INDEX($AP$3:$AS$220,MATCH(ROWS(AY$3:AY195),AS$3:AS$220,0),1),"")</f>
        <v/>
      </c>
      <c r="AZ195" s="259" t="str">
        <f t="shared" si="490"/>
        <v>93 V.I.</v>
      </c>
      <c r="BA195" s="259">
        <f t="shared" ca="1" si="484"/>
        <v>0</v>
      </c>
      <c r="BB195" s="259">
        <f t="shared" ca="1" si="491"/>
        <v>0</v>
      </c>
      <c r="BC195" s="259">
        <f t="shared" ca="1" si="492"/>
        <v>0</v>
      </c>
      <c r="BD195" s="259">
        <f t="shared" ca="1" si="493"/>
        <v>0</v>
      </c>
      <c r="BE195" s="259">
        <f t="shared" ca="1" si="494"/>
        <v>0</v>
      </c>
      <c r="BG195" s="259" t="str">
        <f t="shared" ref="BG195:BG220" ca="1" si="518">IFERROR(IF(OR(INDEX(PIANO_DEI_CONTI,MATCH(AA195,DENOMINAZIONE,0),6)="SP AVERE",INDEX(PIANO_DEI_CONTI,MATCH(AA195,DENOMINAZIONE,0),6)="SP DARE/AVERE"),AA195,""),0)</f>
        <v/>
      </c>
      <c r="BH195" s="259">
        <f ca="1">IF(IFERROR(MATCH(BG195,DENOMINAZIONE_GIORNALE,0),0)&gt;0,MAX(BH$2:BH194)+1,0)</f>
        <v>0</v>
      </c>
      <c r="BI195" s="259" t="str">
        <f ca="1">IFERROR(INDEX($BG$3:$BH$220,MATCH(ROWS($BI$3:BI195),$BH$3:$BH$220,0),1),"")</f>
        <v/>
      </c>
      <c r="BJ195" s="259" t="str">
        <f t="shared" ref="BJ195:BJ220" ca="1" si="519">IF(IF(AND(OR(INDEX(PIANO_DEI_CONTI,MATCH(BI195,DENOMINAZIONE,0),6)="SP AVERE",INDEX(PIANO_DEI_CONTI,MATCH(BI195,DENOMINAZIONE,0),6)="SP DARE/AVERE"),SUMIFS(AVERE,DENOMINAZIONE_GIORNALE,BI195,AVERE,"&gt;"&amp;0)&gt;SUMIFS(DARE,DENOMINAZIONE_GIORNALE,BI195,DARE,"&gt;"&amp;0)),SUMIFS(AVERE,DENOMINAZIONE_GIORNALE,BI195,AVERE,"&gt;"&amp;0)-SUMIFS(DARE,DENOMINAZIONE_GIORNALE,BI195,DARE,"&gt;"&amp;0),0)&lt;&gt;0,IF(AND(OR(INDEX(PIANO_DEI_CONTI,MATCH(BI195,DENOMINAZIONE,0),6)="SP AVERE",INDEX(PIANO_DEI_CONTI,MATCH(BI195,DENOMINAZIONE,0),6)="SP DARE/AVERE"),SUMIFS(AVERE,DENOMINAZIONE_GIORNALE,BI195,AVERE,"&gt;"&amp;0)&gt;SUMIFS(DARE,DENOMINAZIONE_GIORNALE,BI195,DARE,"&gt;"&amp;0)),SUMIFS(AVERE,DENOMINAZIONE_GIORNALE,BI195,AVERE,"&gt;"&amp;0)-SUMIFS(DARE,DENOMINAZIONE_GIORNALE,BI195,DARE,"&gt;"&amp;0),0),"")</f>
        <v/>
      </c>
      <c r="BK195" s="259" t="str">
        <f ca="1">IF(IF(BJ195&lt;&gt;"",MAX($BK$2:BK194)+1,0)=0,"",IF(BJ195&lt;&gt;"",MAX($BK$2:BK194)+1,0))</f>
        <v/>
      </c>
      <c r="BL195" s="259" t="str">
        <f ca="1">IFERROR(INDEX($T$3:$U$220, MATCH(ROWS(BL$3:BL195),$V$3:$V$220,0),1),"")</f>
        <v/>
      </c>
      <c r="BM195" s="259" t="str">
        <f ca="1">IFERROR(INDEX($T$3:$U$220, MATCH(ROWS(BM$3:BM195),$V$3:$V$220,0),2),"")</f>
        <v/>
      </c>
      <c r="BN195" s="259" t="str">
        <f ca="1">IF(IFERROR(INDEX($BI$3:$BJ$220,MATCH(ROWS(BN$3:BN195),$BK$3:$BK$220,0),1),"")="PATRIMONIO NETTO","",IFERROR(INDEX($BI$3:$BJ$220,MATCH(ROWS(BN$3:BN195),$BK$3:$BK$220,0),1),""))</f>
        <v/>
      </c>
      <c r="BO195" s="259" t="str">
        <f ca="1">IFERROR(INDEX($BI$3:$BJ$220,MATCH(ROWS(BO$3:BO195),$BK$3:$BK$220,0),2),"")</f>
        <v/>
      </c>
      <c r="BP195" s="259">
        <f ca="1">IF(BN195&lt;&gt;"",MAX(BP$2:$BP194)+1,0)</f>
        <v>0</v>
      </c>
      <c r="BQ195" s="259" t="str">
        <f ca="1">IFERROR(INDEX($BN$3:$BO$200,MATCH(ROWS(BQ$3:BQ195),$BP$3:$BP$220,0),1),"")</f>
        <v/>
      </c>
      <c r="BR195" s="259" t="str">
        <f ca="1">IFERROR(INDEX($BN$3:$BO$220,MATCH(ROWS(BR$3:BR195),$BP$3:$BP$220,0),2),"")</f>
        <v/>
      </c>
      <c r="BS195" s="259" t="str">
        <f ca="1">IFERROR(IF(OR(INDEX($T$3:$U$220,MATCH(ROWS(BL$3:BL195),$V$3:$V$220,0),1)="PRELEVAMENTI EXTRAGESTIONE",INDEX($T$3:$U$220,MATCH(ROWS(BL$3:BL195),$V$3:$V$220,0),1)="TITOLARE C/RITENUTE SUBITE"),"",INDEX($T$3:$U$220,MATCH(ROWS(BL$3:BL195),$V$3:$V$220,0),1)),"")</f>
        <v/>
      </c>
      <c r="BT195" s="259">
        <f t="shared" ca="1" si="417"/>
        <v>0</v>
      </c>
      <c r="BU195" s="259">
        <f ca="1">IF(BS195&lt;&gt;"",MAX(BU$2:BU194)+1,0)</f>
        <v>0</v>
      </c>
      <c r="BV195" s="259" t="str">
        <f ca="1">IFERROR(INDEX($BS$3:$BT$223,MATCH(ROWS(BV$3:BV195),$BU$3:$BU$223,0),1),"")</f>
        <v/>
      </c>
      <c r="BW195" s="259">
        <f t="shared" ca="1" si="418"/>
        <v>0</v>
      </c>
      <c r="CB195" s="259" t="str">
        <f ca="1">IFERROR(IF(OR($BB$1&lt;&gt;$BD$1,$BC$1&lt;&gt;$BE$1,$DS$231&lt;&gt;$DT$231,$DU$231&lt;&gt;$DV$231,$EO$25&lt;&gt;0,$EO$26&lt;&gt;0),INDEX($BI$3:$BK$220,MATCH(ROWS($CB$3:CB195),$BK$3:$BK$220,0),1),CONCATENATE(BQ195,BX195)),"")</f>
        <v/>
      </c>
      <c r="CC195" s="259" t="str">
        <f t="shared" ca="1" si="419"/>
        <v/>
      </c>
      <c r="CD195" s="259" t="str">
        <f t="shared" ref="CD195:CD220" ca="1" si="520">IF(INDEX(PIANO_DEI_CONTI,MATCH(AA195,DENOMINAZIONE,0),6)="SE DARE",AA195,"")</f>
        <v/>
      </c>
      <c r="CE195" s="259">
        <f ca="1">IF(IFERROR(MATCH(CD195,DENOMINAZIONE_GIORNALE,0),0)&gt;0,MAX(CE$2:CE194)+1,0)</f>
        <v>0</v>
      </c>
      <c r="CF195" s="259" t="str">
        <f ca="1">IFERROR(INDEX($CD$3:$CE$220,MATCH(ROWS($CF$3:CF195),$CE$3:$CE$220,0),1),"")</f>
        <v/>
      </c>
      <c r="CG195" s="259">
        <f t="shared" ref="CG195:CG220" ca="1" si="521">IF(AND(INDEX(PIANO_DEI_CONTI,MATCH(CF195,DENOMINAZIONE,0),6)="SE DARE",SUMIFS(DARE,DENOMINAZIONE_GIORNALE,CF195)&gt;SUMIFS(AVERE,DENOMINAZIONE_GIORNALE,CF195)),SUMIFS(DARE,DENOMINAZIONE_GIORNALE,CF195)-SUMIFS(AVERE,DENOMINAZIONE_GIORNALE,CF195),0)</f>
        <v>0</v>
      </c>
      <c r="CH195" s="259" t="str">
        <f ca="1">IF(IF(CG195&lt;&gt;0,MAX($CH$2:CH194)+1,0)=0,"",IF(CG195&lt;&gt;"",MAX($CH$2:CH194)+1,0))</f>
        <v/>
      </c>
      <c r="CI195" s="259" t="str">
        <f ca="1">IFERROR(INDEX($CF$3:$CG$220,MATCH(ROWS($CI$3:CI195),$CH$3:$CH$220,0),1),"")</f>
        <v/>
      </c>
      <c r="CJ195" s="259" t="str">
        <f t="shared" ca="1" si="420"/>
        <v/>
      </c>
      <c r="CK195" s="259" t="str">
        <f t="shared" ref="CK195:CK220" ca="1" si="522">IF(INDEX(PIANO_DEI_CONTI,MATCH(AA195,DENOMINAZIONE,0),6)="SE AVERE",AA195,"")</f>
        <v/>
      </c>
      <c r="CL195" s="259">
        <f ca="1">IF(IFERROR(MATCH(CK195,DENOMINAZIONE_GIORNALE,0),0)&gt;0,MAX(CL$2:CL194)+1,0)</f>
        <v>0</v>
      </c>
      <c r="CM195" s="259" t="str">
        <f ca="1">IFERROR(INDEX($CK$3:$CL$220,MATCH(ROWS($CM$3:CM195),$CL$3:$CL$220,0),1),"")</f>
        <v/>
      </c>
      <c r="CN195" s="259" t="str">
        <f t="shared" ref="CN195:CN220" ca="1" si="523">IF(AND(INDEX(PIANO_DEI_CONTI,MATCH(CM195,DENOMINAZIONE,0),6)="SE AVERE",SUMIFS(AVERE,DENOMINAZIONE_GIORNALE,CM195,DATA,"&gt;="&amp;$CX$1)&gt;SUMIFS(DARE,DENOMINAZIONE_GIORNALE,CM195)),SUMIFS(AVERE,DENOMINAZIONE_GIORNALE,CM195)-SUMIFS(DARE,DENOMINAZIONE_GIORNALE,CM195),"")</f>
        <v/>
      </c>
      <c r="CO195" s="259">
        <f ca="1">IF(IF(CN195&lt;&gt;0,MAX($CO$2:CO194)+1,0)=0,"",IF(CN195&lt;&gt;"",MAX($CO$2:CO194)+1,0))</f>
        <v>0</v>
      </c>
      <c r="CP195" s="259" t="str">
        <f ca="1">IFERROR(INDEX($CM$3:$CN$220,MATCH(ROWS(CP$3:CP195),$CO$3:$CO$220,0),1),"")</f>
        <v/>
      </c>
      <c r="CQ195" s="259" t="str">
        <f ca="1">IFERROR(INDEX($CM$3:$CN$220,MATCH(ROWS(CQ$3:CQ195),$CO$3:$CO$220,0),2),"")</f>
        <v/>
      </c>
      <c r="CS195" s="259">
        <f t="shared" ref="CS195:CS220" ca="1" si="524">SUMIFS(DARE,DENOMINAZIONE_GIORNALE,AA195,DARE,"&gt;"&amp;0)</f>
        <v>0</v>
      </c>
      <c r="CT195" s="259">
        <f t="shared" ref="CT195:CT220" ca="1" si="525">SUMIFS(AVERE,DENOMINAZIONE_GIORNALE,AA195,AVERE,"&gt;"&amp;0)</f>
        <v>0</v>
      </c>
      <c r="CU195" s="259">
        <f ca="1">IF(OR(CS195&gt;0,CT195&gt;0),MAX($CU$2:CU194)+1,0)</f>
        <v>0</v>
      </c>
      <c r="CV195" s="259" t="str">
        <f ca="1">IFERROR(INDEX(PIANO_DEI_CONTI,MATCH(ROWS($CV$3:CV195),$CU$3:$CU$200,0),2),"")</f>
        <v/>
      </c>
      <c r="CW195" s="259">
        <f ca="1">IFERROR(IF(CV195&lt;&gt;"",MAX($CW$2:CW194)+1,0),0)</f>
        <v>0</v>
      </c>
      <c r="CX195" s="259">
        <f t="shared" ca="1" si="508"/>
        <v>11</v>
      </c>
      <c r="CY195" s="259" t="str">
        <f t="shared" ca="1" si="495"/>
        <v>MASTRO</v>
      </c>
      <c r="CZ195" s="259" t="e">
        <f t="shared" ca="1" si="510"/>
        <v>#N/A</v>
      </c>
      <c r="DA195" s="259" t="str">
        <f t="shared" ca="1" si="515"/>
        <v/>
      </c>
      <c r="DB195" s="259" t="str">
        <f t="shared" ca="1" si="511"/>
        <v/>
      </c>
      <c r="DC195" s="259" t="str">
        <f t="shared" ca="1" si="512"/>
        <v/>
      </c>
      <c r="DD195" s="259" t="str">
        <f t="shared" ca="1" si="513"/>
        <v/>
      </c>
      <c r="DE195" s="259" t="str">
        <f t="shared" ca="1" si="514"/>
        <v/>
      </c>
      <c r="DF195" s="259">
        <f ca="1">IF(AND(CX195=$DE$2,$DF$2&lt;&gt;0),0,IF(AND(DB195&lt;&gt;"",OR(DB194&lt;&gt;"",DB196&lt;&gt;"")),MAX($DF$2:DF194)+1,0))</f>
        <v>0</v>
      </c>
      <c r="DG195" s="259" t="str">
        <f>IF(IF(LIBRO_GIORNALE!E103="","",IFERROR(INDEX(PIANO_DEI_CONTI,MATCH(BB195,DENOMINAZIONE,0),1),0))=0,"",IF(LIBRO_GIORNALE!E103="","",IFERROR(INDEX(PIANO_DEI_CONTI,MATCH(BB195,DENOMINAZIONE,0),1),0)))</f>
        <v/>
      </c>
      <c r="DH195" s="259">
        <f ca="1">IFERROR(IF($J$1=1,IF(INDEX(PIANO_DEI_CONTI,MATCH($K195,DENOMINAZIONE,0),5)=$DF$1,MAX($DH$2:DH194)+1,0),IF($J$1=2,IF(INDEX(PIANO_DEI_CONTI,MATCH($K195,DENOMINAZIONE,0),7)=$DF$1,MAX($DH$2:DH194)+1,0))),0)</f>
        <v>0</v>
      </c>
      <c r="DI195" s="259">
        <f ca="1">IFERROR(INDEX($K$3:$K$220,MATCH(ROWS($DI$3:DI195),$DH$3:$DH$220,0),1),0)</f>
        <v>0</v>
      </c>
      <c r="DJ195" s="259">
        <f t="shared" ref="DJ195:DJ220" ca="1" si="526">IF(IFERROR(MATCH(AA195,DENOMINAZIONE_GIORNALE,0),0)&lt;&gt;0,ROW()-2,0)</f>
        <v>0</v>
      </c>
      <c r="DK195" s="259">
        <f ca="1">IF(DJ195=0,0,MAX(DK$2:DK194)+1)</f>
        <v>0</v>
      </c>
      <c r="DL195" s="259">
        <f ca="1">IFERROR(INDEX(PIANO_DEI_CONTI,MATCH(ROWS(DL$3:DL195),$DK$3:DK422,0),2),0)</f>
        <v>0</v>
      </c>
      <c r="DM195" s="259">
        <f t="shared" ref="DM195:DM220" ca="1" si="527">IFERROR(IF(AND(INDEX(PIANO_DEI_CONTI,MATCH($DL195,DENOMINAZIONE,0),4)="D",SUMIFS(DARE,DENOMINAZIONE_GIORNALE,$DL195)&gt;=SUMIFS(AVERE,DENOMINAZIONE_GIORNALE,$DL195)),SUMIFS(DARE,DENOMINAZIONE_GIORNALE,$DL195),IF(AND(INDEX(PIANO_DEI_CONTI,MATCH($DL195,DENOMINAZIONE,0),4)="A",SUMIFS(AVERE,DENOMINAZIONE_GIORNALE,$DL195)&gt;=SUMIFS(DARE,DENOMINAZIONE_GIORNALE,$DL195)),SUMIFS(DARE,DENOMINAZIONE_GIORNALE,$DL195),IF(INDEX(PIANO_DEI_CONTI,MATCH($DL195,DENOMINAZIONE,0),4)="D/A",SUMIFS(DARE,DENOMINAZIONE_GIORNALE,$DL195),0))),0)</f>
        <v>0</v>
      </c>
      <c r="DN195" s="259">
        <f t="shared" ref="DN195:DN220" ca="1" si="528">IFERROR(IF(AND(INDEX(PIANO_DEI_CONTI,MATCH($DL195,DENOMINAZIONE,0),4)="D",SUMIFS(DARE,DENOMINAZIONE_GIORNALE,$DL195)&gt;=SUMIFS(AVERE,DENOMINAZIONE_GIORNALE,$DL195)),SUMIFS(AVERE,DENOMINAZIONE_GIORNALE,$DL195),IF(AND(INDEX(PIANO_DEI_CONTI,MATCH($DL195,DENOMINAZIONE,0),4)="A",SUMIFS(AVERE,DENOMINAZIONE_GIORNALE,$DL195)&gt;=SUMIFS(DARE,DENOMINAZIONE_GIORNALE,$DL195)),SUMIFS(AVERE,DENOMINAZIONE_GIORNALE,$DL195),IF(INDEX(PIANO_DEI_CONTI,MATCH($DL195,DENOMINAZIONE,0),4)="D/A",SUMIFS(AVERE,DENOMINAZIONE_GIORNALE,$DL195),0))),0)</f>
        <v>0</v>
      </c>
      <c r="DO195" s="259">
        <f t="shared" ca="1" si="422"/>
        <v>0</v>
      </c>
      <c r="DP195" s="259">
        <f t="shared" ca="1" si="423"/>
        <v>0</v>
      </c>
      <c r="DQ195" s="259">
        <f ca="1">IF(OR($DQ$1="TOTALI",$DQ$1="TOTALI ED ECCEDENZE"),IF(OR(DM195&gt;0,DN195&gt;0),MAX(DQ$2:DQ194)+1,0),IF($DQ$1="ECCEDENZE",IF(OR(DO195&gt;0,DP195&gt;0),MAX(DQ$2:DQ194)+1,0),""))</f>
        <v>0</v>
      </c>
      <c r="DR195" s="259" t="str">
        <f ca="1">IFERROR(INDEX($DL$3:$DQ$230,MATCH(ROWS(DR$3:DR195),$DQ$3:$DQ$230,0),1),"")</f>
        <v/>
      </c>
      <c r="DS195" s="259" t="str">
        <f t="shared" ca="1" si="424"/>
        <v/>
      </c>
      <c r="DT195" s="259" t="str">
        <f t="shared" ca="1" si="425"/>
        <v/>
      </c>
      <c r="DU195" s="259" t="str">
        <f t="shared" ca="1" si="426"/>
        <v/>
      </c>
      <c r="DV195" s="259" t="str">
        <f t="shared" ca="1" si="427"/>
        <v/>
      </c>
      <c r="DW195" s="259">
        <f t="shared" ca="1" si="428"/>
        <v>0</v>
      </c>
      <c r="DX195" s="259" t="str">
        <f t="shared" ca="1" si="429"/>
        <v/>
      </c>
      <c r="DY195" s="259" t="str">
        <f t="shared" ca="1" si="430"/>
        <v/>
      </c>
      <c r="DZ195" s="259" t="str">
        <f t="shared" ca="1" si="431"/>
        <v/>
      </c>
      <c r="ED195" s="259">
        <f t="shared" ref="ED195:ED258" ca="1" si="529">IFERROR(INDEX(PIANO_DEI_CONTI,MATCH(BB195,DENOMINAZIONE,0),5),"")</f>
        <v>0</v>
      </c>
      <c r="EH195" s="259" t="str">
        <f t="shared" ca="1" si="432"/>
        <v/>
      </c>
      <c r="EI195" s="260" t="b">
        <f t="shared" ca="1" si="466"/>
        <v>0</v>
      </c>
      <c r="EJ195" s="260" t="b">
        <f t="shared" ca="1" si="467"/>
        <v>1</v>
      </c>
      <c r="EK195" s="260" t="b">
        <f t="shared" ca="1" si="468"/>
        <v>1</v>
      </c>
      <c r="EL195" s="259">
        <f t="shared" si="433"/>
        <v>193</v>
      </c>
      <c r="EM195" s="259">
        <f ca="1">IF(AND(BA195&gt;0,BA195&lt;=$EM$1),MAX($EM$2:EM194)+1,0)</f>
        <v>0</v>
      </c>
      <c r="EN195" s="259">
        <f t="shared" ca="1" si="434"/>
        <v>195</v>
      </c>
      <c r="EP195" s="259" t="str">
        <f t="shared" ref="EP195:EP258" ca="1" si="530">IFERROR(INDEX(PIANO_DEI_CONTI,MATCH(EZ195,DENOMINAZIONE,0),7),"")</f>
        <v/>
      </c>
      <c r="EQ195" s="259">
        <f t="shared" ref="EQ195:EQ258" ca="1" si="531">IF(AND(EZ195&lt;&gt;0,EY195&lt;=FINE_AC),INDEX(PIANO_DEI_CONTI,MATCH(EZ195,DENOMINAZIONE,0),1),0)</f>
        <v>0</v>
      </c>
      <c r="ER195" s="259">
        <f ca="1">IF(ISNA(EQ195),MAX(ER$2:ER194)+1,0)</f>
        <v>0</v>
      </c>
      <c r="ES195" s="259" t="str">
        <f t="shared" ca="1" si="435"/>
        <v/>
      </c>
      <c r="ET195" s="259" t="str">
        <f ca="1">IFERROR(UPPER(INDEX($ER$3:$ES$500,MATCH(ROWS(ET$3:ET195),$ER$3:$ER$500,0),2)),"")</f>
        <v/>
      </c>
      <c r="EW195" s="259">
        <f t="shared" ca="1" si="497"/>
        <v>1</v>
      </c>
      <c r="EX195" s="259">
        <v>93</v>
      </c>
      <c r="EY195" s="259">
        <f t="shared" ca="1" si="498"/>
        <v>0</v>
      </c>
      <c r="EZ195" s="259">
        <f t="shared" ca="1" si="499"/>
        <v>0</v>
      </c>
      <c r="FA195" s="259">
        <f t="shared" ca="1" si="500"/>
        <v>0</v>
      </c>
      <c r="FB195" s="259">
        <f t="shared" ca="1" si="501"/>
        <v>0</v>
      </c>
      <c r="FC195" s="259">
        <f t="shared" ca="1" si="502"/>
        <v>0</v>
      </c>
      <c r="FD195" s="259">
        <f t="shared" ref="FD195:FD258" ca="1" si="532">IFERROR(INDEX(PIANO_DEI_CONTI,MATCH(EZ195,DENOMINAZIONE,0),6),"")</f>
        <v>0</v>
      </c>
      <c r="FE195" s="259" t="str">
        <f t="shared" ref="FE195:FE258" ca="1" si="533">IFERROR(IF(EZ195&lt;&gt;0,INDEX(PIANO_DEI_CONTI,MATCH(EZ195,DENOMINAZIONE,0),1),""),"")</f>
        <v/>
      </c>
      <c r="FF195" s="259" t="str">
        <f t="shared" ca="1" si="503"/>
        <v/>
      </c>
      <c r="FM195" s="259">
        <f t="shared" ref="FM195:FM258" si="534">IF(AND(AC195="d",AE195="SP DARE"),SUMIFS(dare_grezzo,den_grezzo,AA195,data_grezzo,"&lt;="&amp;FINE_AC,data_grezzo,"&gt;="&amp;INIZIO_A_PC)-SUMIFS(avere_grezzo,den_grezzo,AA195,data_grezzo,"&lt;="&amp;FINE_AC,data_grezzo,"&gt;="&amp;INIZIO_A_PC),IF(AND(AC195="a",AE195="SP AVERE"),SUMIFS(avere_grezzo,den_grezzo,AA195,data_grezzo,"&lt;="&amp;FINE_AC,data_grezzo,"&gt;="&amp;INIZIO_A_PC)-SUMIFS(dare_grezzo,den_grezzo,AA195,data_grezzo,"&lt;="&amp;FINE_AC,data_grezzo,"&gt;="&amp;INIZIO_A_PC),IF(AND(AC195="d",AE195="SE DARE"),SUMIFS(dare_grezzo,den_grezzo,AA195,data_grezzo,"&lt;="&amp;FINE_AC,data_grezzo,"&gt;="&amp;INIZIO_A_PC)-SUMIFS(avere_grezzo,den_grezzo,AA195,data_grezzo,"&lt;="&amp;FINE_AC,data_grezzo,"&gt;="&amp;INIZIO_A_PC),IF(AND(AC195="a",AE195="SE AVERE"),SUMIFS(avere_grezzo,den_grezzo,AA195,data_grezzo,"&lt;="&amp;FINE_AC,data_grezzo,"&gt;="&amp;INIZIO_A_PC)-SUMIFS(dare_grezzo,den_grezzo,AA195,data_grezzo,"&lt;="&amp;FINE_AC,data_grezzo,"&gt;="&amp;INIZIO_A_PC),0))))</f>
        <v>0</v>
      </c>
      <c r="FN195" s="259">
        <f>IF(FM195&lt;0,MAX($FN$2:FN194)+1,0)</f>
        <v>0</v>
      </c>
      <c r="FO195" s="259" t="str">
        <f t="shared" si="436"/>
        <v/>
      </c>
      <c r="FP195" s="259" t="str">
        <f ca="1">IFERROR(INDEX($FN$3:$FO$400,MATCH(ROWS($FP$3:FP195),$FN$3:$FN$400,0),2),"")</f>
        <v/>
      </c>
      <c r="FQ195" s="259" t="str">
        <f>IF(AE195="SE AVERE",MAX($FQ$2:FQ194)+1,"")</f>
        <v/>
      </c>
      <c r="FR195" s="259" t="str">
        <f>IF(AE195="SE DARE",MAX($FR$2:FR194)+1,"")</f>
        <v/>
      </c>
      <c r="FS195" s="259" t="str">
        <f ca="1">IF(AND(AE195="SP DARE",AA195&lt;&gt;$FS$1,AA195&lt;&gt;$FT$1),MAX($FS$2:FS194)+1,IF(AND(GQ195="SP DARE",AA195&lt;&gt;$FS$1,AA195&lt;&gt;$FT$1),MAX($FS$2:FS194)+1,""))</f>
        <v/>
      </c>
      <c r="FT195" s="259" t="str">
        <f ca="1">IF(AND(AE195="SP AVERE",AA195&lt;&gt;$FU$1),MAX($FT$2:FT194)+1,IF(AND(GQ195="SP AVERE",AA195&lt;&gt;$FU$1),MAX($FT$2:FT194)+1,""))</f>
        <v/>
      </c>
      <c r="FU195" s="259">
        <f t="shared" ca="1" si="437"/>
        <v>0</v>
      </c>
      <c r="FV195" s="259" t="str">
        <f t="shared" si="438"/>
        <v/>
      </c>
      <c r="FW195" s="259">
        <f ca="1">IFERROR(INDEX($FU$3:$FV$500,MATCH(ROWS($FW$3:FW195),$FU$3:$FU$500,0),2),0)</f>
        <v>0</v>
      </c>
      <c r="FX195" s="259">
        <f t="shared" ca="1" si="439"/>
        <v>0</v>
      </c>
      <c r="FY195" s="259">
        <f t="shared" ca="1" si="440"/>
        <v>0</v>
      </c>
      <c r="FZ195" s="259">
        <f ca="1">IF(FY195&gt;0,MAX($FZ$2:FZ194)+1,0)</f>
        <v>0</v>
      </c>
      <c r="GA195" s="259">
        <f ca="1">IFERROR(INDEX($FY$3:$FZ$500,MATCH(ROWS($GA$3:GA195),$FZ$3:$FZ$500,0),1),0)</f>
        <v>0</v>
      </c>
      <c r="GC195" s="259">
        <f t="shared" ca="1" si="441"/>
        <v>0</v>
      </c>
      <c r="GD195" s="259">
        <f t="shared" ca="1" si="442"/>
        <v>0</v>
      </c>
      <c r="GG195" s="259">
        <f t="shared" ca="1" si="443"/>
        <v>0</v>
      </c>
      <c r="GH195" s="259">
        <f t="shared" ca="1" si="444"/>
        <v>0</v>
      </c>
      <c r="GI195" s="259">
        <f t="shared" ca="1" si="445"/>
        <v>0</v>
      </c>
      <c r="GJ195" s="259">
        <f t="shared" ca="1" si="446"/>
        <v>0</v>
      </c>
      <c r="GK195" s="259">
        <f t="shared" ca="1" si="447"/>
        <v>0</v>
      </c>
      <c r="GL195" s="259">
        <f t="shared" ca="1" si="447"/>
        <v>0</v>
      </c>
      <c r="GM195" s="259">
        <f ca="1">IF(OR(GK195&gt;0,GL195&gt;0),MAX($GM$2:GM194)+1,0)</f>
        <v>0</v>
      </c>
      <c r="GN195" s="259" t="str">
        <f ca="1">IFERROR(INDEX($GD$3:$GM$400,MATCH(ROWS($GN$3:GN195),$GM$3:$GM$400,0),1),"")</f>
        <v/>
      </c>
      <c r="GO195" s="259" t="str">
        <f ca="1">IFERROR(INDEX($GD$3:$GM$400,MATCH(ROWS($GO$3:GO195),$GM$3:$GM$400,0),8),"")</f>
        <v/>
      </c>
      <c r="GP195" s="259" t="str">
        <f ca="1">IFERROR(INDEX($GD$3:$GM$400,MATCH(ROWS($GP$3:GP195),$GM$3:$GM$400,0),9),"")</f>
        <v/>
      </c>
      <c r="GQ195" s="259">
        <f t="shared" ref="GQ195:GQ258" ca="1" si="535">IF(AND(AE195="sp dare/avere",SUMIFS(dare_grezzo,den_grezzo,"="&amp;AA195,data_grezzo,"&gt;="&amp;INIZIO_A_PC,data_grezzo,"&lt;="&amp;FINE_AC)&gt;SUMIFS(avere_grezzo,den_grezzo,"="&amp;AA195,data_grezzo,"&gt;="&amp;INIZIO_A_PC,data_grezzo,"&lt;="&amp;FINE_AC)),"SP DARE",IF(AND(AE195="sp dare/avere",SUMIFS(dare_grezzo,den_grezzo,"="&amp;AA195,data_grezzo,"&gt;="&amp;INIZIO_A_PC,data_grezzo,"&lt;="&amp;FINE_AC)&lt;SUMIFS(avere_grezzo,den_grezzo,"="&amp;AA195,data_grezzo,"&gt;="&amp;INIZIO_A_PC,data_grezzo,"&lt;="&amp;FINE_AC)),"SP AVERE",0))</f>
        <v>0</v>
      </c>
      <c r="GR195" s="259">
        <f t="shared" ca="1" si="448"/>
        <v>0</v>
      </c>
      <c r="GS195" s="259" t="str">
        <f t="shared" ca="1" si="449"/>
        <v/>
      </c>
      <c r="GT195" s="259" t="str">
        <f ca="1">IFERROR(INDEX($GD$3:$GS$400,MATCH(ROWS($GT$3:GT195),$GM$3:$GM$400,0),16),"")</f>
        <v/>
      </c>
      <c r="GU195" s="259">
        <f ca="1">IF(GQ195&lt;&gt;0,MAX($GU$2:$GU194)+1,0)</f>
        <v>0</v>
      </c>
      <c r="GV195" s="259">
        <f t="shared" ca="1" si="450"/>
        <v>0</v>
      </c>
      <c r="GW195" s="259" t="str">
        <f ca="1">IF(AND(IFERROR(INDEX($GU$3:$GV$400,MATCH(ROWS($GW$3:GW195),$GU$3:$GU$400,0),2),"")&lt;&gt;"",GW196&lt;&gt;""),CONCATENATE(IFERROR(INDEX($GU$3:$GV$400,MATCH(ROWS($GW$3:GW195),$GU$3:$GU$400,0),2),"")," - "),IFERROR(INDEX($GU$3:$GV$400,MATCH(ROWS($GW$3:GW195),$GU$3:$GU$400,0),2),""))</f>
        <v/>
      </c>
      <c r="GX195" s="259">
        <f ca="1">IF(OR(GN195="IVA NS/CREDITO",GN195="IVA NS/DEBITO",GN195="IVA C/ACCONTO",GN195="IMPOSTE C/ACCONTO"),MAX($GX$2:GX194)+1,0)</f>
        <v>0</v>
      </c>
      <c r="GY195" s="259" t="str">
        <f ca="1">IF(AND(IFERROR(INDEX($GN$3:$GX$200,MATCH(ROWS($GY$3:GY195),$GX$3:$GX$200,0),1),"")&lt;&gt;"",GY196&lt;&gt;""),CONCATENATE(IFERROR(INDEX($GN$3:$GX$200,MATCH(ROWS($GY$3:GY195),$GX$3:$GX$200,0),1),"")," - "),IFERROR(INDEX($GN$3:$GX$200,MATCH(ROWS($GY$3:GY195),$GX$3:$GX$200,0),1),""))</f>
        <v/>
      </c>
      <c r="GZ195" s="259" t="s">
        <v>678</v>
      </c>
      <c r="HA195" s="259" t="s">
        <v>484</v>
      </c>
      <c r="HB195" s="269" t="s">
        <v>256</v>
      </c>
      <c r="HC195" s="269" t="s">
        <v>276</v>
      </c>
      <c r="HD195" s="269" t="s">
        <v>7</v>
      </c>
      <c r="HE195" s="269" t="s">
        <v>214</v>
      </c>
      <c r="HV195" s="259" t="str">
        <f ca="1">CONCATENATE(IFERROR(INDEX($HS$3:$HT$102,MATCH(ROWS($HV$3:HV195),$HT$3:$HT$102,0),1),""),HR195)</f>
        <v/>
      </c>
      <c r="IC195" s="259">
        <f ca="1">IFERROR(INDEX(PIANO_DEI_CONTI,MATCH(ROWS(DL$3:DL195),$DK$3:DK422,0),2),0)</f>
        <v>0</v>
      </c>
      <c r="ID195" s="259">
        <f t="shared" ca="1" si="451"/>
        <v>0</v>
      </c>
      <c r="IE195" s="259">
        <f t="shared" ca="1" si="452"/>
        <v>0</v>
      </c>
      <c r="IF195" s="259">
        <f t="shared" ca="1" si="453"/>
        <v>0</v>
      </c>
      <c r="IG195" s="259">
        <f t="shared" ca="1" si="479"/>
        <v>0</v>
      </c>
      <c r="IH195" s="259">
        <f ca="1">IF(IG195&lt;&gt;0,MAX($IH$35:IH194)+1,0)</f>
        <v>0</v>
      </c>
      <c r="II195" s="259">
        <f>IF(AD195="costi pluriennali",MAX($II$2:II194)+1,0)</f>
        <v>0</v>
      </c>
      <c r="IJ195" s="259">
        <f>IF($AD195="rettifiche costi pluriennali",MAX($IJ$2:IJ194)+1,0)</f>
        <v>0</v>
      </c>
      <c r="IK195" s="259">
        <f t="shared" si="454"/>
        <v>0</v>
      </c>
      <c r="IL195" s="259" t="str">
        <f t="shared" si="455"/>
        <v/>
      </c>
      <c r="IM195" s="259">
        <f t="shared" ca="1" si="456"/>
        <v>0</v>
      </c>
      <c r="IN195" s="259">
        <f t="shared" ca="1" si="470"/>
        <v>0</v>
      </c>
      <c r="IO195" s="259">
        <f>SUMIFS($IM$3:$IM$200,$IK$3:$IK$200,ROWS($IO$3:IO195))-SUMIFS($IN$3:$IN$200,$IK$3:$IK$200,ROWS($IO$3:IO195))</f>
        <v>0</v>
      </c>
      <c r="IP195" s="259" t="str">
        <f>IF(IO195&lt;0,INDEX($IJ$3:$IL$200,MATCH(ROWS($IP$3:IP195),$IJ$3:$IJ$200,0),3),"")</f>
        <v/>
      </c>
      <c r="IQ195" s="259">
        <f>IF(IP195&lt;&gt;"",MAX($IQ$2:IQ194)+1,0)</f>
        <v>0</v>
      </c>
      <c r="IR195" s="259" t="str">
        <f ca="1">IFERROR(INDEX($IP$3:$IQ$200,MATCH(ROWS($IR$3:IR195),$IQ$3:$IQ$200,0),1),"")</f>
        <v/>
      </c>
      <c r="IS195" s="259" t="str">
        <f t="shared" ca="1" si="457"/>
        <v/>
      </c>
      <c r="IT195" s="259" t="str">
        <f t="shared" ca="1" si="458"/>
        <v/>
      </c>
      <c r="IU195" s="259" t="str">
        <f t="shared" ca="1" si="459"/>
        <v/>
      </c>
      <c r="IV195" s="259" t="str">
        <f t="shared" ca="1" si="460"/>
        <v/>
      </c>
      <c r="IW195" s="259" t="str">
        <f t="shared" ca="1" si="461"/>
        <v/>
      </c>
      <c r="IX195" s="259" t="str">
        <f t="shared" ca="1" si="462"/>
        <v/>
      </c>
      <c r="IY195" s="259" t="str">
        <f t="shared" ca="1" si="463"/>
        <v/>
      </c>
      <c r="IZ195" s="259" t="str">
        <f t="shared" ca="1" si="464"/>
        <v/>
      </c>
      <c r="JA195" s="259" t="str">
        <f t="shared" ca="1" si="465"/>
        <v/>
      </c>
      <c r="JB195" s="259">
        <f t="shared" ref="JB195:JB258" ca="1" si="536">IFERROR(INDEX(PIANO_DEI_CONTI,MATCH(EZ195,DENOMINAZIONE,0),5),"")</f>
        <v>0</v>
      </c>
      <c r="JC195" s="259">
        <f t="shared" ca="1" si="504"/>
        <v>0</v>
      </c>
      <c r="JD195" s="259">
        <f t="shared" ca="1" si="505"/>
        <v>0</v>
      </c>
      <c r="JM195" s="259">
        <f t="shared" ca="1" si="506"/>
        <v>0</v>
      </c>
    </row>
    <row r="196" spans="1:273">
      <c r="A196" s="259" t="str">
        <f t="shared" ref="A196:A220" si="537">GZ196</f>
        <v>39.12</v>
      </c>
      <c r="B196" s="259" t="str">
        <f t="shared" ref="B196:B223" si="538">HA196</f>
        <v>INSUSSISTENZE PASSIVE</v>
      </c>
      <c r="C196" s="259" t="str">
        <f t="shared" ref="C196:C220" si="539">HB196</f>
        <v>E</v>
      </c>
      <c r="D196" s="259" t="str">
        <f t="shared" ref="D196:D220" si="540">HC196</f>
        <v>D</v>
      </c>
      <c r="E196" s="259" t="str">
        <f t="shared" ref="E196:E220" si="541">HD196</f>
        <v>COSTI D'ESERCIZIO</v>
      </c>
      <c r="F196" s="259" t="str">
        <f t="shared" ref="F196:F220" si="542">HE196</f>
        <v>SE DARE</v>
      </c>
      <c r="G196" s="259">
        <f t="shared" ref="G196:G220" ca="1" si="543">IF(EI196=TRUE,1,0)</f>
        <v>0</v>
      </c>
      <c r="H196" s="259">
        <f t="shared" ref="H196:H220" ca="1" si="544">IF(EJ196=TRUE,1,0)</f>
        <v>1</v>
      </c>
      <c r="I196" s="259">
        <f t="shared" ref="I196:I220" ca="1" si="545">IF(EK196=TRUE,1,0)</f>
        <v>1</v>
      </c>
      <c r="K196" s="259" t="str">
        <f ca="1">IFERROR(IF($I$1=1,INDEX($AA$3:$AS$220,MATCH(ROWS($K$3:K196),$AQ$3:$AQ$220,0),1),IF($I$1=2,INDEX($AA$3:$AS$220,MATCH(ROWS($K$3:K196),$AR$3:$AR$220,0),1),IF($I$1=3,INDEX($AA$3:$AS$220,MATCH(ROWS($K$3:K196),$AS$3:$AS$220,0),1),""))),"")</f>
        <v/>
      </c>
      <c r="L196" s="259">
        <f ca="1">IF(AND($L$1="VISUALIZZA TUTTI I CONTI",K196&lt;&gt;""),MAX(L195:L195)+1,IFERROR(IF($J$1=1,IF(INDEX(PIANO_DEI_CONTI,MATCH($K196,DENOMINAZIONE,0),5)=$L$1,MAX($L$2:L195)+1,0),IF($J$1=2,IF(INDEX(PIANO_DEI_CONTI,MATCH($K196,DENOMINAZIONE,0),7)=$L$1,MAX($L$2:L195)+1,0))),0))</f>
        <v>0</v>
      </c>
      <c r="M196" s="259" t="str">
        <f ca="1">IFERROR(INDEX($K$3:$K$220,MATCH(ROWS($M$3:M196),$L$3:$L$220,0),1),"")</f>
        <v/>
      </c>
      <c r="R196" s="259" t="str">
        <f t="shared" ca="1" si="516"/>
        <v/>
      </c>
      <c r="S196" s="259">
        <f ca="1">IF(IFERROR(MATCH(R196,DENOMINAZIONE_GIORNALE,0),0)&gt;0,MAX(S$2:S195)+1,0)</f>
        <v>0</v>
      </c>
      <c r="T196" s="259" t="str">
        <f ca="1">IFERROR(INDEX($R$3:$S$220,MATCH(ROWS($T$3:T196),$S$3:$S$220,0),1),"")</f>
        <v/>
      </c>
      <c r="U196" s="259">
        <f t="shared" ca="1" si="517"/>
        <v>0</v>
      </c>
      <c r="V196" s="259">
        <f ca="1">IF(IF(U196&lt;&gt;0,MAX($V$2:V195)+1,0)=0,0,IF(U196&lt;&gt;0,MAX($V$2:V195)+1,0))</f>
        <v>0</v>
      </c>
      <c r="W196" s="259" t="str">
        <f t="shared" ref="W196:W220" si="546">IF(MID(A196,3,3)=".00","",A196)</f>
        <v>39.12</v>
      </c>
      <c r="X196" s="259" t="str">
        <f t="shared" ref="X196:X220" si="547">IFERROR(INDEX($A$3:$B$220,MATCH(W196,$A$3:$A$220,0),2),"")</f>
        <v>INSUSSISTENZE PASSIVE</v>
      </c>
      <c r="Y196" s="259">
        <f>IF(W196="",0,MAX($Y$2:Y195)+1)</f>
        <v>166</v>
      </c>
      <c r="Z196" s="259" t="str">
        <f>IFERROR(INDEX($W$3:$Y$220,MATCH(ROWS($Z$2:Z195),$Y$3:$Y$220,0),1),"")</f>
        <v/>
      </c>
      <c r="AA196" s="259" t="str">
        <f t="shared" ref="AA196:AA220" si="548">IFERROR(INDEX($A$3:$I$220,MATCH($Z196,$A$3:$A$220,0),2),"")</f>
        <v/>
      </c>
      <c r="AB196" s="259" t="str">
        <f t="shared" ref="AB196:AB220" si="549">IFERROR(INDEX($A$3:$I$220,MATCH($Z196,$A$3:$A$220,0),3),"")</f>
        <v/>
      </c>
      <c r="AC196" s="259" t="str">
        <f t="shared" ref="AC196:AC220" si="550">IFERROR(INDEX($A$3:$I$220,MATCH($Z196,$A$3:$A$220,0),4),"")</f>
        <v/>
      </c>
      <c r="AD196" s="259" t="str">
        <f t="shared" ref="AD196:AD220" si="551">IFERROR(INDEX($A$3:$I$220,MATCH($Z196,$A$3:$A$220,0),5),"")</f>
        <v/>
      </c>
      <c r="AE196" s="259" t="str">
        <f t="shared" ref="AE196:AE220" si="552">IFERROR(INDEX($A$3:$I$220,MATCH($Z196,$A$3:$A$220,0),6),"")</f>
        <v/>
      </c>
      <c r="AF196" s="259" t="str">
        <f t="shared" ref="AF196:AF220" si="553">AP196</f>
        <v/>
      </c>
      <c r="AG196" s="259" t="str">
        <f t="shared" ref="AG196:AG220" si="554">IFERROR(INDEX($A$3:$I$220,MATCH($Z196,$A$3:$A$220,0),7),"")</f>
        <v/>
      </c>
      <c r="AH196" s="259" t="str">
        <f t="shared" ref="AH196:AH220" si="555">IFERROR(INDEX($A$3:$I$220,MATCH($Z196,$A$3:$A$220,0),8),"")</f>
        <v/>
      </c>
      <c r="AI196" s="259" t="str">
        <f t="shared" ref="AI196:AI220" si="556">IFERROR(INDEX($A$3:$I$220,MATCH($Z196,$A$3:$A$220,0),9),"")</f>
        <v/>
      </c>
      <c r="AJ196" s="259" t="str">
        <f t="shared" ref="AJ196:AJ220" si="557">MID(Z196,1,2)</f>
        <v/>
      </c>
      <c r="AK196" s="259" t="str">
        <f t="shared" ref="AK196:AK220" si="558">IF(MID($A196,3,3)=".00",MID(A196,1,2),"")</f>
        <v/>
      </c>
      <c r="AL196" s="259">
        <f>IF(AK196&lt;&gt;"",MAX($AL$2:AL195)+1,0)</f>
        <v>0</v>
      </c>
      <c r="AM196" s="259" t="str">
        <f>IFERROR(INDEX($AK$3:$AL$220,MATCH(ROWS($AM$3:AM196),$AL$3:$AL$220,0),1),"")</f>
        <v/>
      </c>
      <c r="AN196" s="259" t="str">
        <f t="shared" ref="AN196:AN220" si="559">IF(AM196&lt;&gt;"",CONCATENATE(AM196,".00"),"")</f>
        <v/>
      </c>
      <c r="AO196" s="259" t="str">
        <f t="shared" ref="AO196:AO220" si="560">IFERROR(INDEX($A$3:$B$220,MATCH(AN196,$A$3:$A$220,0),2),"")</f>
        <v/>
      </c>
      <c r="AP196" s="259" t="str">
        <f t="shared" ref="AP196:AP220" si="561">IFERROR(INDEX($AJ$3:$AP$220,MATCH(AJ196,$AM$3:$AM$220,0),6),"")</f>
        <v/>
      </c>
      <c r="AQ196" s="259">
        <f>IF(OR(AG196=0,AG196=""),0,MAX(AQ$2:AQ195)+1)</f>
        <v>0</v>
      </c>
      <c r="AR196" s="259">
        <f>IF(OR(AH196=0,AH196=""),0,MAX(AR$2:AR195)+1)</f>
        <v>0</v>
      </c>
      <c r="AS196" s="259">
        <f>IF(OR(AI196=0,AI196=""),0,MAX(AS$2:AS195)+1)</f>
        <v>0</v>
      </c>
      <c r="AT196" s="259" t="str">
        <f ca="1">IFERROR(INDEX($AD$3:$AS$220,MATCH(ROWS(AT$3:AT196),AQ$3:AQ$220,0),1),"")</f>
        <v/>
      </c>
      <c r="AU196" s="259" t="str">
        <f ca="1">IFERROR(INDEX($AD$3:$AS$220,MATCH(ROWS(AU$3:AU196),AR$3:AR$220,0),1),"")</f>
        <v/>
      </c>
      <c r="AV196" s="259" t="str">
        <f ca="1">IFERROR(INDEX($AD$3:$AS$220,MATCH(ROWS(AV$3:AV196),AS$3:AS$220,0),1),"")</f>
        <v/>
      </c>
      <c r="AW196" s="259" t="str">
        <f ca="1">IFERROR(INDEX($AP$3:$AS$220,MATCH(ROWS(AW$3:AW196),AQ$3:AQ$220,0),1),"")</f>
        <v/>
      </c>
      <c r="AX196" s="259" t="str">
        <f ca="1">IFERROR(INDEX($AP$3:$AS$220,MATCH(ROWS(AX$3:AX196),AR$3:AR$220,0),1),"")</f>
        <v/>
      </c>
      <c r="AY196" s="259" t="str">
        <f ca="1">IFERROR(INDEX($AP$3:$AS$220,MATCH(ROWS(AY$3:AY196),AS$3:AS$220,0),1),"")</f>
        <v/>
      </c>
      <c r="AZ196" s="259" t="str">
        <f t="shared" si="490"/>
        <v>94 V.I.</v>
      </c>
      <c r="BA196" s="259">
        <f t="shared" ca="1" si="484"/>
        <v>0</v>
      </c>
      <c r="BB196" s="259">
        <f t="shared" ca="1" si="491"/>
        <v>0</v>
      </c>
      <c r="BC196" s="259">
        <f t="shared" ca="1" si="492"/>
        <v>0</v>
      </c>
      <c r="BD196" s="259">
        <f t="shared" ca="1" si="493"/>
        <v>0</v>
      </c>
      <c r="BE196" s="259">
        <f t="shared" ca="1" si="494"/>
        <v>0</v>
      </c>
      <c r="BG196" s="259" t="str">
        <f t="shared" ca="1" si="518"/>
        <v/>
      </c>
      <c r="BH196" s="259">
        <f ca="1">IF(IFERROR(MATCH(BG196,DENOMINAZIONE_GIORNALE,0),0)&gt;0,MAX(BH$2:BH195)+1,0)</f>
        <v>0</v>
      </c>
      <c r="BI196" s="259" t="str">
        <f ca="1">IFERROR(INDEX($BG$3:$BH$220,MATCH(ROWS($BI$3:BI196),$BH$3:$BH$220,0),1),"")</f>
        <v/>
      </c>
      <c r="BJ196" s="259" t="str">
        <f t="shared" ca="1" si="519"/>
        <v/>
      </c>
      <c r="BK196" s="259" t="str">
        <f ca="1">IF(IF(BJ196&lt;&gt;"",MAX($BK$2:BK195)+1,0)=0,"",IF(BJ196&lt;&gt;"",MAX($BK$2:BK195)+1,0))</f>
        <v/>
      </c>
      <c r="BL196" s="259" t="str">
        <f ca="1">IFERROR(INDEX($T$3:$U$220, MATCH(ROWS(BL$3:BL196),$V$3:$V$220,0),1),"")</f>
        <v/>
      </c>
      <c r="BM196" s="259" t="str">
        <f ca="1">IFERROR(INDEX($T$3:$U$220, MATCH(ROWS(BM$3:BM196),$V$3:$V$220,0),2),"")</f>
        <v/>
      </c>
      <c r="BN196" s="259" t="str">
        <f ca="1">IF(IFERROR(INDEX($BI$3:$BJ$220,MATCH(ROWS(BN$3:BN196),$BK$3:$BK$220,0),1),"")="PATRIMONIO NETTO","",IFERROR(INDEX($BI$3:$BJ$220,MATCH(ROWS(BN$3:BN196),$BK$3:$BK$220,0),1),""))</f>
        <v/>
      </c>
      <c r="BO196" s="259" t="str">
        <f ca="1">IFERROR(INDEX($BI$3:$BJ$220,MATCH(ROWS(BO$3:BO196),$BK$3:$BK$220,0),2),"")</f>
        <v/>
      </c>
      <c r="BP196" s="259">
        <f ca="1">IF(BN196&lt;&gt;"",MAX(BP$2:$BP195)+1,0)</f>
        <v>0</v>
      </c>
      <c r="BQ196" s="259" t="str">
        <f ca="1">IFERROR(INDEX($BN$3:$BO$200,MATCH(ROWS(BQ$3:BQ196),$BP$3:$BP$220,0),1),"")</f>
        <v/>
      </c>
      <c r="BR196" s="259" t="str">
        <f ca="1">IFERROR(INDEX($BN$3:$BO$220,MATCH(ROWS(BR$3:BR196),$BP$3:$BP$220,0),2),"")</f>
        <v/>
      </c>
      <c r="BS196" s="259" t="str">
        <f ca="1">IFERROR(IF(OR(INDEX($T$3:$U$220,MATCH(ROWS(BL$3:BL196),$V$3:$V$220,0),1)="PRELEVAMENTI EXTRAGESTIONE",INDEX($T$3:$U$220,MATCH(ROWS(BL$3:BL196),$V$3:$V$220,0),1)="TITOLARE C/RITENUTE SUBITE"),"",INDEX($T$3:$U$220,MATCH(ROWS(BL$3:BL196),$V$3:$V$220,0),1)),"")</f>
        <v/>
      </c>
      <c r="BT196" s="259">
        <f t="shared" ref="BT196:BT219" ca="1" si="562">INDEX($T$3:$U$220,MATCH(BS196,$T$3:$T$220,0),2)</f>
        <v>0</v>
      </c>
      <c r="BU196" s="259">
        <f ca="1">IF(BS196&lt;&gt;"",MAX(BU$2:BU195)+1,0)</f>
        <v>0</v>
      </c>
      <c r="BV196" s="259" t="str">
        <f ca="1">IFERROR(INDEX($BS$3:$BT$223,MATCH(ROWS(BV$3:BV196),$BU$3:$BU$223,0),1),"")</f>
        <v/>
      </c>
      <c r="BW196" s="259">
        <f t="shared" ref="BW196:BW219" ca="1" si="563">INDEX($BS$3:$BT$220,MATCH(BV196,$BS$3:$BS$223,0),2)</f>
        <v>0</v>
      </c>
      <c r="CB196" s="259" t="str">
        <f ca="1">IFERROR(IF(OR($BB$1&lt;&gt;$BD$1,$BC$1&lt;&gt;$BE$1,$DS$231&lt;&gt;$DT$231,$DU$231&lt;&gt;$DV$231,$EO$25&lt;&gt;0,$EO$26&lt;&gt;0),INDEX($BI$3:$BK$220,MATCH(ROWS($CB$3:CB196),$BK$3:$BK$220,0),1),CONCATENATE(BQ196,BX196)),"")</f>
        <v/>
      </c>
      <c r="CC196" s="259" t="str">
        <f t="shared" ref="CC196:CC220" ca="1" si="564">INDEX($BQ$3:$BR$225,MATCH(CB196,$BQ$3:$BQ$225,0),2)</f>
        <v/>
      </c>
      <c r="CD196" s="259" t="str">
        <f t="shared" ca="1" si="520"/>
        <v/>
      </c>
      <c r="CE196" s="259">
        <f ca="1">IF(IFERROR(MATCH(CD196,DENOMINAZIONE_GIORNALE,0),0)&gt;0,MAX(CE$2:CE195)+1,0)</f>
        <v>0</v>
      </c>
      <c r="CF196" s="259" t="str">
        <f ca="1">IFERROR(INDEX($CD$3:$CE$220,MATCH(ROWS($CF$3:CF196),$CE$3:$CE$220,0),1),"")</f>
        <v/>
      </c>
      <c r="CG196" s="259">
        <f t="shared" ca="1" si="521"/>
        <v>0</v>
      </c>
      <c r="CH196" s="259" t="str">
        <f ca="1">IF(IF(CG196&lt;&gt;0,MAX($CH$2:CH195)+1,0)=0,"",IF(CG196&lt;&gt;"",MAX($CH$2:CH195)+1,0))</f>
        <v/>
      </c>
      <c r="CI196" s="259" t="str">
        <f ca="1">IFERROR(INDEX($CF$3:$CG$220,MATCH(ROWS($CI$3:CI196),$CH$3:$CH$220,0),1),"")</f>
        <v/>
      </c>
      <c r="CJ196" s="259" t="str">
        <f t="shared" ref="CJ196:CJ220" ca="1" si="565">IFERROR(IF(INDEX($CF$3:$CG$220,MATCH(CI196,$CF$3:$CF$220,0),2)=0,"",INDEX($CF$3:$CG$220,MATCH(CI196,$CF$3:$CF$220,0),2)),"")</f>
        <v/>
      </c>
      <c r="CK196" s="259" t="str">
        <f t="shared" ca="1" si="522"/>
        <v/>
      </c>
      <c r="CL196" s="259">
        <f ca="1">IF(IFERROR(MATCH(CK196,DENOMINAZIONE_GIORNALE,0),0)&gt;0,MAX(CL$2:CL195)+1,0)</f>
        <v>0</v>
      </c>
      <c r="CM196" s="259" t="str">
        <f ca="1">IFERROR(INDEX($CK$3:$CL$220,MATCH(ROWS($CM$3:CM196),$CL$3:$CL$220,0),1),"")</f>
        <v/>
      </c>
      <c r="CN196" s="259" t="str">
        <f t="shared" ca="1" si="523"/>
        <v/>
      </c>
      <c r="CO196" s="259">
        <f ca="1">IF(IF(CN196&lt;&gt;0,MAX($CO$2:CO195)+1,0)=0,"",IF(CN196&lt;&gt;"",MAX($CO$2:CO195)+1,0))</f>
        <v>0</v>
      </c>
      <c r="CP196" s="259" t="str">
        <f ca="1">IFERROR(INDEX($CM$3:$CN$220,MATCH(ROWS(CP$3:CP196),$CO$3:$CO$220,0),1),"")</f>
        <v/>
      </c>
      <c r="CQ196" s="259" t="str">
        <f ca="1">IFERROR(INDEX($CM$3:$CN$220,MATCH(ROWS(CQ$3:CQ196),$CO$3:$CO$220,0),2),"")</f>
        <v/>
      </c>
      <c r="CS196" s="259">
        <f t="shared" ca="1" si="524"/>
        <v>0</v>
      </c>
      <c r="CT196" s="259">
        <f t="shared" ca="1" si="525"/>
        <v>0</v>
      </c>
      <c r="CU196" s="259">
        <f ca="1">IF(OR(CS196&gt;0,CT196&gt;0),MAX($CU$2:CU195)+1,0)</f>
        <v>0</v>
      </c>
      <c r="CV196" s="259" t="str">
        <f ca="1">IFERROR(INDEX(PIANO_DEI_CONTI,MATCH(ROWS($CV$3:CV196),$CU$3:$CU$200,0),2),"")</f>
        <v/>
      </c>
      <c r="CW196" s="259">
        <f ca="1">IFERROR(IF(CV196&lt;&gt;"",MAX($CW$2:CW195)+1,0),0)</f>
        <v>0</v>
      </c>
      <c r="CX196" s="259">
        <f t="shared" ca="1" si="508"/>
        <v>11</v>
      </c>
      <c r="CY196" s="259" t="str">
        <f t="shared" ca="1" si="495"/>
        <v>MASTRO</v>
      </c>
      <c r="CZ196" s="259" t="e">
        <f t="shared" ca="1" si="510"/>
        <v>#N/A</v>
      </c>
      <c r="DA196" s="259" t="str">
        <f t="shared" ca="1" si="515"/>
        <v/>
      </c>
      <c r="DB196" s="259" t="str">
        <f t="shared" ca="1" si="511"/>
        <v/>
      </c>
      <c r="DC196" s="259" t="str">
        <f t="shared" ca="1" si="512"/>
        <v/>
      </c>
      <c r="DD196" s="259" t="str">
        <f t="shared" ca="1" si="513"/>
        <v/>
      </c>
      <c r="DE196" s="259" t="str">
        <f t="shared" ca="1" si="514"/>
        <v/>
      </c>
      <c r="DF196" s="259">
        <f ca="1">IF(AND(CX196=$DE$2,$DF$2&lt;&gt;0),0,IF(AND(DB196&lt;&gt;"",OR(DB195&lt;&gt;"",DB197&lt;&gt;"")),MAX($DF$2:DF195)+1,0))</f>
        <v>0</v>
      </c>
      <c r="DG196" s="259" t="str">
        <f>IF(IF(LIBRO_GIORNALE!E104="","",IFERROR(INDEX(PIANO_DEI_CONTI,MATCH(BB196,DENOMINAZIONE,0),1),0))=0,"",IF(LIBRO_GIORNALE!E104="","",IFERROR(INDEX(PIANO_DEI_CONTI,MATCH(BB196,DENOMINAZIONE,0),1),0)))</f>
        <v/>
      </c>
      <c r="DH196" s="259">
        <f ca="1">IFERROR(IF($J$1=1,IF(INDEX(PIANO_DEI_CONTI,MATCH($K196,DENOMINAZIONE,0),5)=$DF$1,MAX($DH$2:DH195)+1,0),IF($J$1=2,IF(INDEX(PIANO_DEI_CONTI,MATCH($K196,DENOMINAZIONE,0),7)=$DF$1,MAX($DH$2:DH195)+1,0))),0)</f>
        <v>0</v>
      </c>
      <c r="DI196" s="259">
        <f ca="1">IFERROR(INDEX($K$3:$K$220,MATCH(ROWS($DI$3:DI196),$DH$3:$DH$220,0),1),0)</f>
        <v>0</v>
      </c>
      <c r="DJ196" s="259">
        <f t="shared" ca="1" si="526"/>
        <v>0</v>
      </c>
      <c r="DK196" s="259">
        <f ca="1">IF(DJ196=0,0,MAX(DK$2:DK195)+1)</f>
        <v>0</v>
      </c>
      <c r="DL196" s="259">
        <f ca="1">IFERROR(INDEX(PIANO_DEI_CONTI,MATCH(ROWS(DL$3:DL196),$DK$3:DK423,0),2),0)</f>
        <v>0</v>
      </c>
      <c r="DM196" s="259">
        <f t="shared" ca="1" si="527"/>
        <v>0</v>
      </c>
      <c r="DN196" s="259">
        <f t="shared" ca="1" si="528"/>
        <v>0</v>
      </c>
      <c r="DO196" s="259">
        <f t="shared" ref="DO196:DO220" ca="1" si="566">IF(AND(DL196&lt;&gt;"",$DM196&gt;$DN196,OR($DM196&gt;0,$DN196&gt;0)),$DM196-$DN196,0)</f>
        <v>0</v>
      </c>
      <c r="DP196" s="259">
        <f t="shared" ref="DP196:DP220" ca="1" si="567">IF(AND(DL196&lt;&gt;"",$DM196&lt;$DN196,OR($DM196&gt;0,$DN196&gt;0)),$DN196-$DM196,0)</f>
        <v>0</v>
      </c>
      <c r="DQ196" s="259">
        <f ca="1">IF(OR($DQ$1="TOTALI",$DQ$1="TOTALI ED ECCEDENZE"),IF(OR(DM196&gt;0,DN196&gt;0),MAX(DQ$2:DQ195)+1,0),IF($DQ$1="ECCEDENZE",IF(OR(DO196&gt;0,DP196&gt;0),MAX(DQ$2:DQ195)+1,0),""))</f>
        <v>0</v>
      </c>
      <c r="DR196" s="259" t="str">
        <f ca="1">IFERROR(INDEX($DL$3:$DQ$230,MATCH(ROWS(DR$3:DR196),$DQ$3:$DQ$230,0),1),"")</f>
        <v/>
      </c>
      <c r="DS196" s="259" t="str">
        <f t="shared" ref="DS196:DS220" ca="1" si="568">IFERROR(IF($DQ$1="eccedenze",INDEX($DL$3:$DP$230,MATCH($DR196,$DL$3:$DL$230,0),4),IF(OR($DQ$1="totali",$DQ$1="TOTALI ED ECCEDENZE"),INDEX($DL$3:$DP$230,MATCH($DR196,$DL$3:$DL$230,0),2),"")),"")</f>
        <v/>
      </c>
      <c r="DT196" s="259" t="str">
        <f t="shared" ref="DT196:DT220" ca="1" si="569">IFERROR(IF($DQ$1="eccedenze",INDEX($DL$3:$DP$230,MATCH($DR196,$DL$3:$DL$230,0),5),IF(OR($DQ$1="totali",$DQ$1="TOTALI ED ECCEDENZE"),INDEX($DL$3:$DP$230,MATCH($DR196,$DL$3:$DL$230,0),3),"")),"")</f>
        <v/>
      </c>
      <c r="DU196" s="259" t="str">
        <f t="shared" ref="DU196:DU220" ca="1" si="570">IF(AND($DR196&lt;&gt;"",$DS196&gt;$DT196,$DQ$1="TOTALI ED ECCEDENZE",OR($DS196&gt;0,$DT196&gt;0)),$DS196-$DT196,IF(DS196=DT196,"",""))</f>
        <v/>
      </c>
      <c r="DV196" s="259" t="str">
        <f t="shared" ref="DV196:DV220" ca="1" si="571">IF(AND($DR196&lt;&gt;"",$DS196&lt;$DT196,$DQ$1="TOTALI ED ECCEDENZE",OR($DS196&gt;0,$DT196&gt;0)),$DT196-$DS196,IF(DT196=DS196,"",""))</f>
        <v/>
      </c>
      <c r="DW196" s="259">
        <f t="shared" ref="DW196:DW220" ca="1" si="572">IF(OR(AND(DR196&lt;&gt;"",$DQ$1="TOTALI ED ECCEDENZE"),AND(DX196="TOTALI",$DQ$1="TOTALI ED ECCEDENZE")),1,0)</f>
        <v>0</v>
      </c>
      <c r="DX196" s="259" t="str">
        <f t="shared" ref="DX196:DX220" ca="1" si="573">IF($EV$1&gt;0,"",IF((ROW()-2)=$DW$1+1,IF(AND(MATCH("PATRIMONIO NETTO",$DR$3:$DR$230,0)&gt;0,$BB$1=$BD$1,$BC$1=$BE$1,$DS$231=$DT$231,$EO$25=0,$EO$26=0),"TOTALI",""),""))</f>
        <v/>
      </c>
      <c r="DY196" s="259" t="str">
        <f t="shared" ref="DY196:DY220" ca="1" si="574">IF($DX196="TOTALI",$DS$231,"")</f>
        <v/>
      </c>
      <c r="DZ196" s="259" t="str">
        <f t="shared" ref="DZ196:DZ220" ca="1" si="575">IF(IF($DX196="TOTALI",$DU$231,"")=0,"",IF($DX196="TOTALI",$DU$231,""))</f>
        <v/>
      </c>
      <c r="ED196" s="259">
        <f t="shared" ca="1" si="529"/>
        <v>0</v>
      </c>
      <c r="EH196" s="259" t="str">
        <f t="shared" ref="EH196:EH220" ca="1" si="576">CP196</f>
        <v/>
      </c>
      <c r="EI196" s="260" t="b">
        <f t="shared" ca="1" si="466"/>
        <v>0</v>
      </c>
      <c r="EJ196" s="260" t="b">
        <f t="shared" ca="1" si="467"/>
        <v>1</v>
      </c>
      <c r="EK196" s="260" t="b">
        <f t="shared" ca="1" si="468"/>
        <v>1</v>
      </c>
      <c r="EL196" s="259">
        <f t="shared" ref="EL196:EL259" si="577">ROW()-2</f>
        <v>194</v>
      </c>
      <c r="EM196" s="259">
        <f ca="1">IF(AND(BA196&gt;0,BA196&lt;=$EM$1),MAX($EM$2:EM195)+1,0)</f>
        <v>0</v>
      </c>
      <c r="EN196" s="259">
        <f t="shared" ref="EN196:EN259" ca="1" si="578">IF(EM196=$EL$1,ROW(),0)</f>
        <v>196</v>
      </c>
      <c r="EP196" s="259" t="str">
        <f t="shared" ca="1" si="530"/>
        <v/>
      </c>
      <c r="EQ196" s="259">
        <f t="shared" ca="1" si="531"/>
        <v>0</v>
      </c>
      <c r="ER196" s="259">
        <f ca="1">IF(ISNA(EQ196),MAX(ER$2:ER195)+1,0)</f>
        <v>0</v>
      </c>
      <c r="ES196" s="259" t="str">
        <f t="shared" ref="ES196:ES259" ca="1" si="579">IF(ER196&gt;=1,EZ196,"")</f>
        <v/>
      </c>
      <c r="ET196" s="259" t="str">
        <f ca="1">IFERROR(UPPER(INDEX($ER$3:$ES$500,MATCH(ROWS(ET$3:ET196),$ER$3:$ER$500,0),2)),"")</f>
        <v/>
      </c>
      <c r="EW196" s="259">
        <f t="shared" ca="1" si="497"/>
        <v>1</v>
      </c>
      <c r="EX196" s="259">
        <v>94</v>
      </c>
      <c r="EY196" s="259">
        <f t="shared" ca="1" si="498"/>
        <v>0</v>
      </c>
      <c r="EZ196" s="259">
        <f t="shared" ca="1" si="499"/>
        <v>0</v>
      </c>
      <c r="FA196" s="259">
        <f t="shared" ca="1" si="500"/>
        <v>0</v>
      </c>
      <c r="FB196" s="259">
        <f t="shared" ca="1" si="501"/>
        <v>0</v>
      </c>
      <c r="FC196" s="259">
        <f t="shared" ca="1" si="502"/>
        <v>0</v>
      </c>
      <c r="FD196" s="259">
        <f t="shared" ca="1" si="532"/>
        <v>0</v>
      </c>
      <c r="FE196" s="259" t="str">
        <f t="shared" ca="1" si="533"/>
        <v/>
      </c>
      <c r="FF196" s="259" t="str">
        <f t="shared" ca="1" si="503"/>
        <v/>
      </c>
      <c r="FM196" s="259">
        <f t="shared" si="534"/>
        <v>0</v>
      </c>
      <c r="FN196" s="259">
        <f>IF(FM196&lt;0,MAX($FN$2:FN195)+1,0)</f>
        <v>0</v>
      </c>
      <c r="FO196" s="259" t="str">
        <f t="shared" ref="FO196:FO259" si="580">IF(FM196&lt;0,AA196,"")</f>
        <v/>
      </c>
      <c r="FP196" s="259" t="str">
        <f ca="1">IFERROR(INDEX($FN$3:$FO$400,MATCH(ROWS($FP$3:FP196),$FN$3:$FN$400,0),2),"")</f>
        <v/>
      </c>
      <c r="FQ196" s="259" t="str">
        <f>IF(AE196="SE AVERE",MAX($FQ$2:FQ195)+1,"")</f>
        <v/>
      </c>
      <c r="FR196" s="259" t="str">
        <f>IF(AE196="SE DARE",MAX($FR$2:FR195)+1,"")</f>
        <v/>
      </c>
      <c r="FS196" s="259" t="str">
        <f ca="1">IF(AND(AE196="SP DARE",AA196&lt;&gt;$FS$1,AA196&lt;&gt;$FT$1),MAX($FS$2:FS195)+1,IF(AND(GQ196="SP DARE",AA196&lt;&gt;$FS$1,AA196&lt;&gt;$FT$1),MAX($FS$2:FS195)+1,""))</f>
        <v/>
      </c>
      <c r="FT196" s="259" t="str">
        <f ca="1">IF(AND(AE196="SP AVERE",AA196&lt;&gt;$FU$1),MAX($FT$2:FT195)+1,IF(AND(GQ196="SP AVERE",AA196&lt;&gt;$FU$1),MAX($FT$2:FT195)+1,""))</f>
        <v/>
      </c>
      <c r="FU196" s="259">
        <f t="shared" ref="FU196:FU259" ca="1" si="581">SUM(FQ196:FT196)</f>
        <v>0</v>
      </c>
      <c r="FV196" s="259" t="str">
        <f t="shared" ref="FV196:FV259" si="582">AA196</f>
        <v/>
      </c>
      <c r="FW196" s="259">
        <f ca="1">IFERROR(INDEX($FU$3:$FV$500,MATCH(ROWS($FW$3:FW196),$FU$3:$FU$500,0),2),0)</f>
        <v>0</v>
      </c>
      <c r="FX196" s="259">
        <f t="shared" ref="FX196:FX259" ca="1" si="583">IF(FW196&lt;&gt;0,ROW()-2,0)</f>
        <v>0</v>
      </c>
      <c r="FY196" s="259">
        <f t="shared" ref="FY196:FY259" ca="1" si="584">IF(AND(ROW()&lt;=$FX$1,FX196=0),ROW()-2,0)</f>
        <v>0</v>
      </c>
      <c r="FZ196" s="259">
        <f ca="1">IF(FY196&gt;0,MAX($FZ$2:FZ195)+1,0)</f>
        <v>0</v>
      </c>
      <c r="GA196" s="259">
        <f ca="1">IFERROR(INDEX($FY$3:$FZ$500,MATCH(ROWS($GA$3:GA196),$FZ$3:$FZ$500,0),1),0)</f>
        <v>0</v>
      </c>
      <c r="GC196" s="259">
        <f t="shared" ref="GC196:GC259" ca="1" si="585">FX196+FY196</f>
        <v>0</v>
      </c>
      <c r="GD196" s="259">
        <f t="shared" ref="GD196:GD259" ca="1" si="586">IFERROR(IF(FX196&gt;0,FW196,INDEX($GA$3:$GB$400,MATCH(ROW()-2,$GA$3:$GA$400,0),2)),0)</f>
        <v>0</v>
      </c>
      <c r="GG196" s="259">
        <f t="shared" ref="GG196:GG259" ca="1" si="587">IFERROR(INDEX($GA$3:$GF$400,MATCH(ROW()-2,$GA$3:$GA$400,0),5),0)</f>
        <v>0</v>
      </c>
      <c r="GH196" s="259">
        <f t="shared" ref="GH196:GH259" ca="1" si="588">IFERROR(INDEX($GA$3:$GF$400,MATCH(ROW()-2,$GA$3:$GA$400,0),6),0)</f>
        <v>0</v>
      </c>
      <c r="GI196" s="259">
        <f t="shared" ref="GI196:GI259" ca="1" si="589">IFERROR(INDEX($DL$3:$DP$400,MATCH($FW196,$DL$3:$DL$400,0),5),0)</f>
        <v>0</v>
      </c>
      <c r="GJ196" s="259">
        <f t="shared" ref="GJ196:GJ259" ca="1" si="590">IFERROR(INDEX($DL$3:$DP$400,MATCH($FW196,$DL$3:$DL$400,0),4),0)</f>
        <v>0</v>
      </c>
      <c r="GK196" s="259">
        <f t="shared" ref="GK196:GL259" ca="1" si="591">GG196+GI196</f>
        <v>0</v>
      </c>
      <c r="GL196" s="259">
        <f t="shared" ca="1" si="591"/>
        <v>0</v>
      </c>
      <c r="GM196" s="259">
        <f ca="1">IF(OR(GK196&gt;0,GL196&gt;0),MAX($GM$2:GM195)+1,0)</f>
        <v>0</v>
      </c>
      <c r="GN196" s="259" t="str">
        <f ca="1">IFERROR(INDEX($GD$3:$GM$400,MATCH(ROWS($GN$3:GN196),$GM$3:$GM$400,0),1),"")</f>
        <v/>
      </c>
      <c r="GO196" s="259" t="str">
        <f ca="1">IFERROR(INDEX($GD$3:$GM$400,MATCH(ROWS($GO$3:GO196),$GM$3:$GM$400,0),8),"")</f>
        <v/>
      </c>
      <c r="GP196" s="259" t="str">
        <f ca="1">IFERROR(INDEX($GD$3:$GM$400,MATCH(ROWS($GP$3:GP196),$GM$3:$GM$400,0),9),"")</f>
        <v/>
      </c>
      <c r="GQ196" s="259">
        <f t="shared" ca="1" si="535"/>
        <v>0</v>
      </c>
      <c r="GR196" s="259">
        <f t="shared" ref="GR196:GR259" ca="1" si="592">IF(AND(FQ196&gt;0,ROW()=FU196),"epilogo a Conto economico",0)</f>
        <v>0</v>
      </c>
      <c r="GS196" s="259" t="str">
        <f t="shared" ref="GS196:GS259" ca="1" si="593">IF(AND(ROW()-2&gt;=$GC$1,ROW()-2&lt;=$GK$1),"epilogo a Conto economico",IF(AND(ROW()-2&gt;=$GD$1,ROW()-2&lt;=$GL$1),"epilogo a Conto economico",IF(AND(ROW()-2&gt;=$GE$1,ROW()-2&lt;=$GN$1),"chiusura del conto",IF(AND(ROW()-2&gt;=$GF$1,ROW()-2&lt;=$GL$1),"epilogo a Conto economico",IF(ROW()-2=$GA$3,"epilogo componenti positivi",IF(ROW()-2=$GA$4,"epilogo componenti negativi",IF(AND(ROW()-2&gt;=$GA$7,ROW()-2&lt;=$GA$8),"rilevato utile d'esercizio",IF(AND(ROW()-2&gt;=$GA$5,ROW()-2&lt;=$GA$6),"rilevata perdita d'esercizio",IF(AND(ROW()-2&gt;=$GA$9,ROW()-2&lt;=$GA$10),"capitalizzato l'utile conseguito",IF(AND(ROW()-2&gt;=$GA$11,ROW()-2&lt;=$GA$12),"coperta perdita d'esercizio",IF(ROW()-2=$GA$13,"prelevamenti extragestione",IF(ROW()-2=$GA$15,"giro ritenute subite",IF(OR(ROW()-2=$GA$14,ROW()-2=$GA$16),"giro a patrimonio netto",IF(ROW()-2=$GA$17,"totale attività",IF(ROW()-2=$GA$18,"totale passività",IF(ROW()-2=$GA$19,"chiusura del conto",IF(ROW()-2=$GA$20,"patrimonio netto finale","")))))))))))))))))</f>
        <v/>
      </c>
      <c r="GT196" s="259" t="str">
        <f ca="1">IFERROR(INDEX($GD$3:$GS$400,MATCH(ROWS($GT$3:GT196),$GM$3:$GM$400,0),16),"")</f>
        <v/>
      </c>
      <c r="GU196" s="259">
        <f ca="1">IF(GQ196&lt;&gt;0,MAX($GU$2:$GU195)+1,0)</f>
        <v>0</v>
      </c>
      <c r="GV196" s="259">
        <f t="shared" ref="GV196:GV259" ca="1" si="594">IF(GU196&lt;&gt;0,AA196,0)</f>
        <v>0</v>
      </c>
      <c r="GW196" s="259" t="str">
        <f ca="1">IF(AND(IFERROR(INDEX($GU$3:$GV$400,MATCH(ROWS($GW$3:GW196),$GU$3:$GU$400,0),2),"")&lt;&gt;"",GW197&lt;&gt;""),CONCATENATE(IFERROR(INDEX($GU$3:$GV$400,MATCH(ROWS($GW$3:GW196),$GU$3:$GU$400,0),2),"")," - "),IFERROR(INDEX($GU$3:$GV$400,MATCH(ROWS($GW$3:GW196),$GU$3:$GU$400,0),2),""))</f>
        <v/>
      </c>
      <c r="GX196" s="259">
        <f ca="1">IF(OR(GN196="IVA NS/CREDITO",GN196="IVA NS/DEBITO",GN196="IVA C/ACCONTO",GN196="IMPOSTE C/ACCONTO"),MAX($GX$2:GX195)+1,0)</f>
        <v>0</v>
      </c>
      <c r="GY196" s="259" t="str">
        <f ca="1">IF(AND(IFERROR(INDEX($GN$3:$GX$200,MATCH(ROWS($GY$3:GY196),$GX$3:$GX$200,0),1),"")&lt;&gt;"",GY197&lt;&gt;""),CONCATENATE(IFERROR(INDEX($GN$3:$GX$200,MATCH(ROWS($GY$3:GY196),$GX$3:$GX$200,0),1),"")," - "),IFERROR(INDEX($GN$3:$GX$200,MATCH(ROWS($GY$3:GY196),$GX$3:$GX$200,0),1),""))</f>
        <v/>
      </c>
      <c r="GZ196" s="259" t="s">
        <v>679</v>
      </c>
      <c r="HA196" s="259" t="s">
        <v>486</v>
      </c>
      <c r="HB196" s="269" t="s">
        <v>256</v>
      </c>
      <c r="HC196" s="269" t="s">
        <v>276</v>
      </c>
      <c r="HD196" s="269" t="s">
        <v>7</v>
      </c>
      <c r="HE196" s="269" t="s">
        <v>214</v>
      </c>
      <c r="HV196" s="259" t="str">
        <f ca="1">CONCATENATE(IFERROR(INDEX($HS$3:$HT$102,MATCH(ROWS($HV$3:HV196),$HT$3:$HT$102,0),1),""),HR196)</f>
        <v/>
      </c>
      <c r="IC196" s="259">
        <f ca="1">IFERROR(INDEX(PIANO_DEI_CONTI,MATCH(ROWS(DL$3:DL196),$DK$3:DK423,0),2),0)</f>
        <v>0</v>
      </c>
      <c r="ID196" s="259">
        <f t="shared" ref="ID196:ID200" ca="1" si="595">IFERROR(IF(AND(DL196&lt;&gt;"",$DM196&gt;$DN196,OR($DM196&gt;0,$DN196&gt;0)),$DM196-$DN196,0),0)</f>
        <v>0</v>
      </c>
      <c r="IE196" s="259">
        <f t="shared" ref="IE196:IE200" ca="1" si="596">IFERROR(IF(AND(DL196&lt;&gt;"",$DM196&lt;$DN196,OR($DM196&gt;0,$DN196&gt;0)),$DN196-$DM196,0),0)</f>
        <v>0</v>
      </c>
      <c r="IF196" s="259">
        <f t="shared" ref="IF196:IF200" ca="1" si="597">IFERROR(INDEX($AA$3:$EC$200,MATCH(IC196,$AA$3:$AA$200,0),106),"")</f>
        <v>0</v>
      </c>
      <c r="IG196" s="259">
        <f t="shared" ca="1" si="479"/>
        <v>0</v>
      </c>
      <c r="IH196" s="259">
        <f ca="1">IF(IG196&lt;&gt;0,MAX($IH$35:IH195)+1,0)</f>
        <v>0</v>
      </c>
      <c r="II196" s="259">
        <f>IF(AD196="costi pluriennali",MAX($II$2:II195)+1,0)</f>
        <v>0</v>
      </c>
      <c r="IJ196" s="259">
        <f>IF($AD196="rettifiche costi pluriennali",MAX($IJ$2:IJ195)+1,0)</f>
        <v>0</v>
      </c>
      <c r="IK196" s="259">
        <f>MAX(II196,IJ196)</f>
        <v>0</v>
      </c>
      <c r="IL196" s="259" t="str">
        <f>IF(IK196&gt;0,AA196,"")</f>
        <v/>
      </c>
      <c r="IM196" s="259">
        <f ca="1">IFERROR(INDEX($IC$3:$IK$200,MATCH(IL196,$IC$3:$IC$200,0),2),0)</f>
        <v>0</v>
      </c>
      <c r="IN196" s="259">
        <f t="shared" ca="1" si="470"/>
        <v>0</v>
      </c>
      <c r="IO196" s="259">
        <f>SUMIFS($IM$3:$IM$200,$IK$3:$IK$200,ROWS($IO$3:IO196))-SUMIFS($IN$3:$IN$200,$IK$3:$IK$200,ROWS($IO$3:IO196))</f>
        <v>0</v>
      </c>
      <c r="IP196" s="259" t="str">
        <f>IF(IO196&lt;0,INDEX($IJ$3:$IL$200,MATCH(ROWS($IP$3:IP196),$IJ$3:$IJ$200,0),3),"")</f>
        <v/>
      </c>
      <c r="IQ196" s="259">
        <f>IF(IP196&lt;&gt;"",MAX($IQ$2:IQ195)+1,0)</f>
        <v>0</v>
      </c>
      <c r="IR196" s="259" t="str">
        <f ca="1">IFERROR(INDEX($IP$3:$IQ$200,MATCH(ROWS($IR$3:IR196),$IQ$3:$IQ$200,0),1),"")</f>
        <v/>
      </c>
      <c r="IS196" s="259" t="str">
        <f t="shared" ref="IS196:IS200" ca="1" si="598">IF(AND($HM$2&gt;0,SUM($FJ$3:$FJ$120)&lt;&gt;0,ROW()-2=$HP$2-1),SUM($FJ$3:$FJ$120),IF(AND($HM$2=0,SUM($FJ$3:$FJ$120)&lt;&gt;0,ROW()-2=$HP$2),SUM($FJ$3:$FJ$120),""))</f>
        <v/>
      </c>
      <c r="IT196" s="259" t="str">
        <f t="shared" ref="IT196:IT200" ca="1" si="599">IF(AND(ROW()-2=$HP$2,SUM($FK$3:$FK$120)&lt;&gt;0),SUM($FK$3:$FK$120),"")</f>
        <v/>
      </c>
      <c r="IU196" s="259" t="str">
        <f ca="1">IF(ROW()-2=$HQ$2,SUM($IS$3:$IS$200)-SUM($IT$3:$IT$200),"")</f>
        <v/>
      </c>
      <c r="IV196" s="259" t="str">
        <f ca="1">IFERROR(IF(INDEX($FG$3:$HV$200,MATCH($HV196,$FG$3:$FG$200,0),4)=0,"",INDEX($FG$3:$HV$200,MATCH($HV196,$FG$3:$FG$200,0),4)),"")</f>
        <v/>
      </c>
      <c r="IW196" s="259" t="str">
        <f ca="1">IFERROR(IF(INDEX($FG$3:$HV$200,MATCH($HV196,$FG$3:$FG$200,0),5)=0,"",INDEX($FG$3:$HV$200,MATCH($HV196,$FG$3:$FG$200,0),5)),"")</f>
        <v/>
      </c>
      <c r="IX196" s="259" t="str">
        <f ca="1">IF(SUM(IV196,IT196,IU196)=0,"",SUM(IV196,IT196,IU196))</f>
        <v/>
      </c>
      <c r="IY196" s="259" t="str">
        <f t="shared" ref="IY196:IY230" ca="1" si="600">IF(SUM(IW196,IS196)=0,"",SUM(IW196,IS196))</f>
        <v/>
      </c>
      <c r="IZ196" s="259" t="str">
        <f ca="1">IF(AND(IX196="",IY196=""),"",IF(OR(IV196&lt;&gt;"",IW196&lt;&gt;""),"apertura del conto",IF(IS196&lt;&gt;"","totale attività",IF(IT196&lt;&gt;"","totale passività",IF(IU196&lt;&gt;"","patrimonio netto iniziale","")))))</f>
        <v/>
      </c>
      <c r="JA196" s="259" t="str">
        <f t="shared" ref="JA196:JA259" ca="1" si="601">IF(EY196&gt;0,YEAR(EY196),"")</f>
        <v/>
      </c>
      <c r="JB196" s="259">
        <f t="shared" ca="1" si="536"/>
        <v>0</v>
      </c>
      <c r="JC196" s="259">
        <f t="shared" ca="1" si="504"/>
        <v>0</v>
      </c>
      <c r="JD196" s="259">
        <f t="shared" ca="1" si="505"/>
        <v>0</v>
      </c>
      <c r="JM196" s="259">
        <f t="shared" ca="1" si="506"/>
        <v>0</v>
      </c>
    </row>
    <row r="197" spans="1:273">
      <c r="A197" s="259" t="str">
        <f t="shared" si="537"/>
        <v>40.00</v>
      </c>
      <c r="B197" s="259" t="str">
        <f t="shared" si="538"/>
        <v>PROVENTI FINANZIARI</v>
      </c>
      <c r="C197" s="259">
        <f t="shared" si="539"/>
        <v>0</v>
      </c>
      <c r="D197" s="259">
        <f t="shared" si="540"/>
        <v>0</v>
      </c>
      <c r="E197" s="259">
        <f t="shared" si="541"/>
        <v>0</v>
      </c>
      <c r="F197" s="259">
        <f t="shared" si="542"/>
        <v>0</v>
      </c>
      <c r="G197" s="259">
        <f t="shared" ca="1" si="543"/>
        <v>0</v>
      </c>
      <c r="H197" s="259">
        <f t="shared" ca="1" si="544"/>
        <v>0</v>
      </c>
      <c r="I197" s="259">
        <f t="shared" ca="1" si="545"/>
        <v>0</v>
      </c>
      <c r="K197" s="259" t="str">
        <f ca="1">IFERROR(IF($I$1=1,INDEX($AA$3:$AS$220,MATCH(ROWS($K$3:K197),$AQ$3:$AQ$220,0),1),IF($I$1=2,INDEX($AA$3:$AS$220,MATCH(ROWS($K$3:K197),$AR$3:$AR$220,0),1),IF($I$1=3,INDEX($AA$3:$AS$220,MATCH(ROWS($K$3:K197),$AS$3:$AS$220,0),1),""))),"")</f>
        <v/>
      </c>
      <c r="L197" s="259">
        <f ca="1">IF(AND($L$1="VISUALIZZA TUTTI I CONTI",K197&lt;&gt;""),MAX(L196:L196)+1,IFERROR(IF($J$1=1,IF(INDEX(PIANO_DEI_CONTI,MATCH($K197,DENOMINAZIONE,0),5)=$L$1,MAX($L$2:L196)+1,0),IF($J$1=2,IF(INDEX(PIANO_DEI_CONTI,MATCH($K197,DENOMINAZIONE,0),7)=$L$1,MAX($L$2:L196)+1,0))),0))</f>
        <v>0</v>
      </c>
      <c r="M197" s="259" t="str">
        <f ca="1">IFERROR(INDEX($K$3:$K$220,MATCH(ROWS($M$3:M197),$L$3:$L$220,0),1),"")</f>
        <v/>
      </c>
      <c r="R197" s="259" t="str">
        <f t="shared" ca="1" si="516"/>
        <v/>
      </c>
      <c r="S197" s="259">
        <f ca="1">IF(IFERROR(MATCH(R197,DENOMINAZIONE_GIORNALE,0),0)&gt;0,MAX(S$2:S196)+1,0)</f>
        <v>0</v>
      </c>
      <c r="T197" s="259" t="str">
        <f ca="1">IFERROR(INDEX($R$3:$S$220,MATCH(ROWS($T$3:T197),$S$3:$S$220,0),1),"")</f>
        <v/>
      </c>
      <c r="U197" s="259">
        <f t="shared" ca="1" si="517"/>
        <v>0</v>
      </c>
      <c r="V197" s="259">
        <f ca="1">IF(IF(U197&lt;&gt;0,MAX($V$2:V196)+1,0)=0,0,IF(U197&lt;&gt;0,MAX($V$2:V196)+1,0))</f>
        <v>0</v>
      </c>
      <c r="W197" s="259" t="str">
        <f t="shared" si="546"/>
        <v/>
      </c>
      <c r="X197" s="259" t="str">
        <f t="shared" si="547"/>
        <v/>
      </c>
      <c r="Y197" s="259">
        <f>IF(W197="",0,MAX($Y$2:Y196)+1)</f>
        <v>0</v>
      </c>
      <c r="Z197" s="259" t="str">
        <f>IFERROR(INDEX($W$3:$Y$220,MATCH(ROWS($Z$2:Z196),$Y$3:$Y$220,0),1),"")</f>
        <v/>
      </c>
      <c r="AA197" s="259" t="str">
        <f t="shared" si="548"/>
        <v/>
      </c>
      <c r="AB197" s="259" t="str">
        <f t="shared" si="549"/>
        <v/>
      </c>
      <c r="AC197" s="259" t="str">
        <f t="shared" si="550"/>
        <v/>
      </c>
      <c r="AD197" s="259" t="str">
        <f t="shared" si="551"/>
        <v/>
      </c>
      <c r="AE197" s="259" t="str">
        <f t="shared" si="552"/>
        <v/>
      </c>
      <c r="AF197" s="259" t="str">
        <f t="shared" si="553"/>
        <v/>
      </c>
      <c r="AG197" s="259" t="str">
        <f t="shared" si="554"/>
        <v/>
      </c>
      <c r="AH197" s="259" t="str">
        <f t="shared" si="555"/>
        <v/>
      </c>
      <c r="AI197" s="259" t="str">
        <f t="shared" si="556"/>
        <v/>
      </c>
      <c r="AJ197" s="259" t="str">
        <f t="shared" si="557"/>
        <v/>
      </c>
      <c r="AK197" s="259" t="str">
        <f t="shared" si="558"/>
        <v>40</v>
      </c>
      <c r="AL197" s="259">
        <f>IF(AK197&lt;&gt;"",MAX($AL$2:AL196)+1,0)</f>
        <v>29</v>
      </c>
      <c r="AM197" s="259" t="str">
        <f>IFERROR(INDEX($AK$3:$AL$220,MATCH(ROWS($AM$3:AM197),$AL$3:$AL$220,0),1),"")</f>
        <v/>
      </c>
      <c r="AN197" s="259" t="str">
        <f t="shared" si="559"/>
        <v/>
      </c>
      <c r="AO197" s="259" t="str">
        <f t="shared" si="560"/>
        <v/>
      </c>
      <c r="AP197" s="259" t="str">
        <f t="shared" si="561"/>
        <v/>
      </c>
      <c r="AQ197" s="259">
        <f>IF(OR(AG197=0,AG197=""),0,MAX(AQ$2:AQ196)+1)</f>
        <v>0</v>
      </c>
      <c r="AR197" s="259">
        <f>IF(OR(AH197=0,AH197=""),0,MAX(AR$2:AR196)+1)</f>
        <v>0</v>
      </c>
      <c r="AS197" s="259">
        <f>IF(OR(AI197=0,AI197=""),0,MAX(AS$2:AS196)+1)</f>
        <v>0</v>
      </c>
      <c r="AT197" s="259" t="str">
        <f ca="1">IFERROR(INDEX($AD$3:$AS$220,MATCH(ROWS(AT$3:AT197),AQ$3:AQ$220,0),1),"")</f>
        <v/>
      </c>
      <c r="AU197" s="259" t="str">
        <f ca="1">IFERROR(INDEX($AD$3:$AS$220,MATCH(ROWS(AU$3:AU197),AR$3:AR$220,0),1),"")</f>
        <v/>
      </c>
      <c r="AV197" s="259" t="str">
        <f ca="1">IFERROR(INDEX($AD$3:$AS$220,MATCH(ROWS(AV$3:AV197),AS$3:AS$220,0),1),"")</f>
        <v/>
      </c>
      <c r="AW197" s="259" t="str">
        <f ca="1">IFERROR(INDEX($AP$3:$AS$220,MATCH(ROWS(AW$3:AW197),AQ$3:AQ$220,0),1),"")</f>
        <v/>
      </c>
      <c r="AX197" s="259" t="str">
        <f ca="1">IFERROR(INDEX($AP$3:$AS$220,MATCH(ROWS(AX$3:AX197),AR$3:AR$220,0),1),"")</f>
        <v/>
      </c>
      <c r="AY197" s="259" t="str">
        <f ca="1">IFERROR(INDEX($AP$3:$AS$220,MATCH(ROWS(AY$3:AY197),AS$3:AS$220,0),1),"")</f>
        <v/>
      </c>
      <c r="AZ197" s="259" t="str">
        <f t="shared" si="490"/>
        <v>95 V.I.</v>
      </c>
      <c r="BA197" s="259">
        <f t="shared" ca="1" si="484"/>
        <v>0</v>
      </c>
      <c r="BB197" s="259">
        <f t="shared" ca="1" si="491"/>
        <v>0</v>
      </c>
      <c r="BC197" s="259">
        <f t="shared" ca="1" si="492"/>
        <v>0</v>
      </c>
      <c r="BD197" s="259">
        <f t="shared" ca="1" si="493"/>
        <v>0</v>
      </c>
      <c r="BE197" s="259">
        <f t="shared" ca="1" si="494"/>
        <v>0</v>
      </c>
      <c r="BG197" s="259" t="str">
        <f t="shared" ca="1" si="518"/>
        <v/>
      </c>
      <c r="BH197" s="259">
        <f ca="1">IF(IFERROR(MATCH(BG197,DENOMINAZIONE_GIORNALE,0),0)&gt;0,MAX(BH$2:BH196)+1,0)</f>
        <v>0</v>
      </c>
      <c r="BI197" s="259" t="str">
        <f ca="1">IFERROR(INDEX($BG$3:$BH$220,MATCH(ROWS($BI$3:BI197),$BH$3:$BH$220,0),1),"")</f>
        <v/>
      </c>
      <c r="BJ197" s="259" t="str">
        <f t="shared" ca="1" si="519"/>
        <v/>
      </c>
      <c r="BK197" s="259" t="str">
        <f ca="1">IF(IF(BJ197&lt;&gt;"",MAX($BK$2:BK196)+1,0)=0,"",IF(BJ197&lt;&gt;"",MAX($BK$2:BK196)+1,0))</f>
        <v/>
      </c>
      <c r="BL197" s="259" t="str">
        <f ca="1">IFERROR(INDEX($T$3:$U$220, MATCH(ROWS(BL$3:BL197),$V$3:$V$220,0),1),"")</f>
        <v/>
      </c>
      <c r="BM197" s="259" t="str">
        <f ca="1">IFERROR(INDEX($T$3:$U$220, MATCH(ROWS(BM$3:BM197),$V$3:$V$220,0),2),"")</f>
        <v/>
      </c>
      <c r="BN197" s="259" t="str">
        <f ca="1">IF(IFERROR(INDEX($BI$3:$BJ$220,MATCH(ROWS(BN$3:BN197),$BK$3:$BK$220,0),1),"")="PATRIMONIO NETTO","",IFERROR(INDEX($BI$3:$BJ$220,MATCH(ROWS(BN$3:BN197),$BK$3:$BK$220,0),1),""))</f>
        <v/>
      </c>
      <c r="BO197" s="259" t="str">
        <f ca="1">IFERROR(INDEX($BI$3:$BJ$220,MATCH(ROWS(BO$3:BO197),$BK$3:$BK$220,0),2),"")</f>
        <v/>
      </c>
      <c r="BP197" s="259">
        <f ca="1">IF(BN197&lt;&gt;"",MAX(BP$2:$BP196)+1,0)</f>
        <v>0</v>
      </c>
      <c r="BQ197" s="259" t="str">
        <f ca="1">IFERROR(INDEX($BN$3:$BO$200,MATCH(ROWS(BQ$3:BQ197),$BP$3:$BP$220,0),1),"")</f>
        <v/>
      </c>
      <c r="BR197" s="259" t="str">
        <f ca="1">IFERROR(INDEX($BN$3:$BO$220,MATCH(ROWS(BR$3:BR197),$BP$3:$BP$220,0),2),"")</f>
        <v/>
      </c>
      <c r="BS197" s="259" t="str">
        <f ca="1">IFERROR(IF(OR(INDEX($T$3:$U$220,MATCH(ROWS(BL$3:BL197),$V$3:$V$220,0),1)="PRELEVAMENTI EXTRAGESTIONE",INDEX($T$3:$U$220,MATCH(ROWS(BL$3:BL197),$V$3:$V$220,0),1)="TITOLARE C/RITENUTE SUBITE"),"",INDEX($T$3:$U$220,MATCH(ROWS(BL$3:BL197),$V$3:$V$220,0),1)),"")</f>
        <v/>
      </c>
      <c r="BT197" s="259">
        <f t="shared" ca="1" si="562"/>
        <v>0</v>
      </c>
      <c r="BU197" s="259">
        <f ca="1">IF(BS197&lt;&gt;"",MAX(BU$2:BU196)+1,0)</f>
        <v>0</v>
      </c>
      <c r="BV197" s="259" t="str">
        <f ca="1">IFERROR(INDEX($BS$3:$BT$223,MATCH(ROWS(BV$3:BV197),$BU$3:$BU$223,0),1),"")</f>
        <v/>
      </c>
      <c r="BW197" s="259">
        <f t="shared" ca="1" si="563"/>
        <v>0</v>
      </c>
      <c r="CB197" s="259" t="str">
        <f ca="1">IFERROR(IF(OR($BB$1&lt;&gt;$BD$1,$BC$1&lt;&gt;$BE$1,$DS$231&lt;&gt;$DT$231,$DU$231&lt;&gt;$DV$231,$EO$25&lt;&gt;0,$EO$26&lt;&gt;0),INDEX($BI$3:$BK$220,MATCH(ROWS($CB$3:CB197),$BK$3:$BK$220,0),1),CONCATENATE(BQ197,BX197)),"")</f>
        <v/>
      </c>
      <c r="CC197" s="259" t="str">
        <f t="shared" ca="1" si="564"/>
        <v/>
      </c>
      <c r="CD197" s="259" t="str">
        <f t="shared" ca="1" si="520"/>
        <v/>
      </c>
      <c r="CE197" s="259">
        <f ca="1">IF(IFERROR(MATCH(CD197,DENOMINAZIONE_GIORNALE,0),0)&gt;0,MAX(CE$2:CE196)+1,0)</f>
        <v>0</v>
      </c>
      <c r="CF197" s="259" t="str">
        <f ca="1">IFERROR(INDEX($CD$3:$CE$220,MATCH(ROWS($CF$3:CF197),$CE$3:$CE$220,0),1),"")</f>
        <v/>
      </c>
      <c r="CG197" s="259">
        <f t="shared" ca="1" si="521"/>
        <v>0</v>
      </c>
      <c r="CH197" s="259" t="str">
        <f ca="1">IF(IF(CG197&lt;&gt;0,MAX($CH$2:CH196)+1,0)=0,"",IF(CG197&lt;&gt;"",MAX($CH$2:CH196)+1,0))</f>
        <v/>
      </c>
      <c r="CI197" s="259" t="str">
        <f ca="1">IFERROR(INDEX($CF$3:$CG$220,MATCH(ROWS($CI$3:CI197),$CH$3:$CH$220,0),1),"")</f>
        <v/>
      </c>
      <c r="CJ197" s="259" t="str">
        <f t="shared" ca="1" si="565"/>
        <v/>
      </c>
      <c r="CK197" s="259" t="str">
        <f t="shared" ca="1" si="522"/>
        <v/>
      </c>
      <c r="CL197" s="259">
        <f ca="1">IF(IFERROR(MATCH(CK197,DENOMINAZIONE_GIORNALE,0),0)&gt;0,MAX(CL$2:CL196)+1,0)</f>
        <v>0</v>
      </c>
      <c r="CM197" s="259" t="str">
        <f ca="1">IFERROR(INDEX($CK$3:$CL$220,MATCH(ROWS($CM$3:CM197),$CL$3:$CL$220,0),1),"")</f>
        <v/>
      </c>
      <c r="CN197" s="259" t="str">
        <f t="shared" ca="1" si="523"/>
        <v/>
      </c>
      <c r="CO197" s="259">
        <f ca="1">IF(IF(CN197&lt;&gt;0,MAX($CO$2:CO196)+1,0)=0,"",IF(CN197&lt;&gt;"",MAX($CO$2:CO196)+1,0))</f>
        <v>0</v>
      </c>
      <c r="CP197" s="259" t="str">
        <f ca="1">IFERROR(INDEX($CM$3:$CN$220,MATCH(ROWS(CP$3:CP197),$CO$3:$CO$220,0),1),"")</f>
        <v/>
      </c>
      <c r="CQ197" s="259" t="str">
        <f ca="1">IFERROR(INDEX($CM$3:$CN$220,MATCH(ROWS(CQ$3:CQ197),$CO$3:$CO$220,0),2),"")</f>
        <v/>
      </c>
      <c r="CS197" s="259">
        <f t="shared" ca="1" si="524"/>
        <v>0</v>
      </c>
      <c r="CT197" s="259">
        <f t="shared" ca="1" si="525"/>
        <v>0</v>
      </c>
      <c r="CU197" s="259">
        <f ca="1">IF(OR(CS197&gt;0,CT197&gt;0),MAX($CU$2:CU196)+1,0)</f>
        <v>0</v>
      </c>
      <c r="CV197" s="259" t="str">
        <f ca="1">IFERROR(INDEX(PIANO_DEI_CONTI,MATCH(ROWS($CV$3:CV197),$CU$3:$CU$200,0),2),"")</f>
        <v/>
      </c>
      <c r="CW197" s="259">
        <f ca="1">IFERROR(IF(CV197&lt;&gt;"",MAX($CW$2:CW196)+1,0),0)</f>
        <v>0</v>
      </c>
      <c r="CX197" s="259">
        <f t="shared" ca="1" si="508"/>
        <v>11</v>
      </c>
      <c r="CY197" s="259" t="str">
        <f t="shared" ca="1" si="495"/>
        <v>MASTRO</v>
      </c>
      <c r="CZ197" s="259" t="e">
        <f t="shared" ca="1" si="510"/>
        <v>#N/A</v>
      </c>
      <c r="DA197" s="259" t="str">
        <f t="shared" ca="1" si="515"/>
        <v/>
      </c>
      <c r="DB197" s="259" t="str">
        <f t="shared" ca="1" si="511"/>
        <v/>
      </c>
      <c r="DC197" s="259" t="str">
        <f t="shared" ca="1" si="512"/>
        <v/>
      </c>
      <c r="DD197" s="259" t="str">
        <f t="shared" ca="1" si="513"/>
        <v/>
      </c>
      <c r="DE197" s="259" t="str">
        <f t="shared" ca="1" si="514"/>
        <v/>
      </c>
      <c r="DF197" s="259">
        <f ca="1">IF(AND(CX197=$DE$2,$DF$2&lt;&gt;0),0,IF(AND(DB197&lt;&gt;"",OR(DB196&lt;&gt;"",DB198&lt;&gt;"")),MAX($DF$2:DF196)+1,0))</f>
        <v>0</v>
      </c>
      <c r="DG197" s="259" t="str">
        <f>IF(IF(LIBRO_GIORNALE!E105="","",IFERROR(INDEX(PIANO_DEI_CONTI,MATCH(BB197,DENOMINAZIONE,0),1),0))=0,"",IF(LIBRO_GIORNALE!E105="","",IFERROR(INDEX(PIANO_DEI_CONTI,MATCH(BB197,DENOMINAZIONE,0),1),0)))</f>
        <v/>
      </c>
      <c r="DH197" s="259">
        <f ca="1">IFERROR(IF($J$1=1,IF(INDEX(PIANO_DEI_CONTI,MATCH($K197,DENOMINAZIONE,0),5)=$DF$1,MAX($DH$2:DH196)+1,0),IF($J$1=2,IF(INDEX(PIANO_DEI_CONTI,MATCH($K197,DENOMINAZIONE,0),7)=$DF$1,MAX($DH$2:DH196)+1,0))),0)</f>
        <v>0</v>
      </c>
      <c r="DI197" s="259">
        <f ca="1">IFERROR(INDEX($K$3:$K$220,MATCH(ROWS($DI$3:DI197),$DH$3:$DH$220,0),1),0)</f>
        <v>0</v>
      </c>
      <c r="DJ197" s="259">
        <f t="shared" ca="1" si="526"/>
        <v>0</v>
      </c>
      <c r="DK197" s="259">
        <f ca="1">IF(DJ197=0,0,MAX(DK$2:DK196)+1)</f>
        <v>0</v>
      </c>
      <c r="DL197" s="259">
        <f ca="1">IFERROR(INDEX(PIANO_DEI_CONTI,MATCH(ROWS(DL$3:DL197),$DK$3:DK424,0),2),0)</f>
        <v>0</v>
      </c>
      <c r="DM197" s="259">
        <f t="shared" ca="1" si="527"/>
        <v>0</v>
      </c>
      <c r="DN197" s="259">
        <f t="shared" ca="1" si="528"/>
        <v>0</v>
      </c>
      <c r="DO197" s="259">
        <f t="shared" ca="1" si="566"/>
        <v>0</v>
      </c>
      <c r="DP197" s="259">
        <f t="shared" ca="1" si="567"/>
        <v>0</v>
      </c>
      <c r="DQ197" s="259">
        <f ca="1">IF(OR($DQ$1="TOTALI",$DQ$1="TOTALI ED ECCEDENZE"),IF(OR(DM197&gt;0,DN197&gt;0),MAX(DQ$2:DQ196)+1,0),IF($DQ$1="ECCEDENZE",IF(OR(DO197&gt;0,DP197&gt;0),MAX(DQ$2:DQ196)+1,0),""))</f>
        <v>0</v>
      </c>
      <c r="DR197" s="259" t="str">
        <f ca="1">IFERROR(INDEX($DL$3:$DQ$230,MATCH(ROWS(DR$3:DR197),$DQ$3:$DQ$230,0),1),"")</f>
        <v/>
      </c>
      <c r="DS197" s="259" t="str">
        <f t="shared" ca="1" si="568"/>
        <v/>
      </c>
      <c r="DT197" s="259" t="str">
        <f t="shared" ca="1" si="569"/>
        <v/>
      </c>
      <c r="DU197" s="259" t="str">
        <f t="shared" ca="1" si="570"/>
        <v/>
      </c>
      <c r="DV197" s="259" t="str">
        <f t="shared" ca="1" si="571"/>
        <v/>
      </c>
      <c r="DW197" s="259">
        <f t="shared" ca="1" si="572"/>
        <v>0</v>
      </c>
      <c r="DX197" s="259" t="str">
        <f t="shared" ca="1" si="573"/>
        <v/>
      </c>
      <c r="DY197" s="259" t="str">
        <f t="shared" ca="1" si="574"/>
        <v/>
      </c>
      <c r="DZ197" s="259" t="str">
        <f t="shared" ca="1" si="575"/>
        <v/>
      </c>
      <c r="ED197" s="259">
        <f t="shared" ca="1" si="529"/>
        <v>0</v>
      </c>
      <c r="EH197" s="259" t="str">
        <f t="shared" ca="1" si="576"/>
        <v/>
      </c>
      <c r="EI197" s="260" t="b">
        <f t="shared" ref="EI197:EI219" ca="1" si="602">IF(INDIRECT(ADDRESS(ROW()+4,1,,,"PIANO_DEI_CONTI"))="X",TRUE,FALSE)</f>
        <v>0</v>
      </c>
      <c r="EJ197" s="260" t="b">
        <f t="shared" ref="EJ197:EJ219" ca="1" si="603">IF(INDIRECT(ADDRESS(ROW()+4,2,,,"PIANO_DEI_CONTI"))="X",TRUE,FALSE)</f>
        <v>0</v>
      </c>
      <c r="EK197" s="260" t="b">
        <f t="shared" ref="EK197:EK219" ca="1" si="604">IF(INDIRECT(ADDRESS(ROW()+4,3,,,"PIANO_DEI_CONTI"))="X",TRUE,FALSE)</f>
        <v>0</v>
      </c>
      <c r="EL197" s="259">
        <f t="shared" si="577"/>
        <v>195</v>
      </c>
      <c r="EM197" s="259">
        <f ca="1">IF(AND(BA197&gt;0,BA197&lt;=$EM$1),MAX($EM$2:EM196)+1,0)</f>
        <v>0</v>
      </c>
      <c r="EN197" s="259">
        <f t="shared" ca="1" si="578"/>
        <v>197</v>
      </c>
      <c r="EP197" s="259" t="str">
        <f t="shared" ca="1" si="530"/>
        <v/>
      </c>
      <c r="EQ197" s="259">
        <f t="shared" ca="1" si="531"/>
        <v>0</v>
      </c>
      <c r="ER197" s="259">
        <f ca="1">IF(ISNA(EQ197),MAX(ER$2:ER196)+1,0)</f>
        <v>0</v>
      </c>
      <c r="ES197" s="259" t="str">
        <f t="shared" ca="1" si="579"/>
        <v/>
      </c>
      <c r="ET197" s="259" t="str">
        <f ca="1">IFERROR(UPPER(INDEX($ER$3:$ES$500,MATCH(ROWS(ET$3:ET197),$ER$3:$ER$500,0),2)),"")</f>
        <v/>
      </c>
      <c r="EW197" s="259">
        <f t="shared" ca="1" si="497"/>
        <v>1</v>
      </c>
      <c r="EX197" s="259">
        <v>95</v>
      </c>
      <c r="EY197" s="259">
        <f t="shared" ca="1" si="498"/>
        <v>0</v>
      </c>
      <c r="EZ197" s="259">
        <f t="shared" ca="1" si="499"/>
        <v>0</v>
      </c>
      <c r="FA197" s="259">
        <f t="shared" ca="1" si="500"/>
        <v>0</v>
      </c>
      <c r="FB197" s="259">
        <f t="shared" ca="1" si="501"/>
        <v>0</v>
      </c>
      <c r="FC197" s="259">
        <f t="shared" ca="1" si="502"/>
        <v>0</v>
      </c>
      <c r="FD197" s="259">
        <f t="shared" ca="1" si="532"/>
        <v>0</v>
      </c>
      <c r="FE197" s="259" t="str">
        <f t="shared" ca="1" si="533"/>
        <v/>
      </c>
      <c r="FF197" s="259" t="str">
        <f t="shared" ca="1" si="503"/>
        <v/>
      </c>
      <c r="FM197" s="259">
        <f t="shared" si="534"/>
        <v>0</v>
      </c>
      <c r="FN197" s="259">
        <f>IF(FM197&lt;0,MAX($FN$2:FN196)+1,0)</f>
        <v>0</v>
      </c>
      <c r="FO197" s="259" t="str">
        <f t="shared" si="580"/>
        <v/>
      </c>
      <c r="FP197" s="259" t="str">
        <f ca="1">IFERROR(INDEX($FN$3:$FO$400,MATCH(ROWS($FP$3:FP197),$FN$3:$FN$400,0),2),"")</f>
        <v/>
      </c>
      <c r="FQ197" s="259" t="str">
        <f>IF(AE197="SE AVERE",MAX($FQ$2:FQ196)+1,"")</f>
        <v/>
      </c>
      <c r="FR197" s="259" t="str">
        <f>IF(AE197="SE DARE",MAX($FR$2:FR196)+1,"")</f>
        <v/>
      </c>
      <c r="FS197" s="259" t="str">
        <f ca="1">IF(AND(AE197="SP DARE",AA197&lt;&gt;$FS$1,AA197&lt;&gt;$FT$1),MAX($FS$2:FS196)+1,IF(AND(GQ197="SP DARE",AA197&lt;&gt;$FS$1,AA197&lt;&gt;$FT$1),MAX($FS$2:FS196)+1,""))</f>
        <v/>
      </c>
      <c r="FT197" s="259" t="str">
        <f ca="1">IF(AND(AE197="SP AVERE",AA197&lt;&gt;$FU$1),MAX($FT$2:FT196)+1,IF(AND(GQ197="SP AVERE",AA197&lt;&gt;$FU$1),MAX($FT$2:FT196)+1,""))</f>
        <v/>
      </c>
      <c r="FU197" s="259">
        <f t="shared" ca="1" si="581"/>
        <v>0</v>
      </c>
      <c r="FV197" s="259" t="str">
        <f t="shared" si="582"/>
        <v/>
      </c>
      <c r="FW197" s="259">
        <f ca="1">IFERROR(INDEX($FU$3:$FV$500,MATCH(ROWS($FW$3:FW197),$FU$3:$FU$500,0),2),0)</f>
        <v>0</v>
      </c>
      <c r="FX197" s="259">
        <f t="shared" ca="1" si="583"/>
        <v>0</v>
      </c>
      <c r="FY197" s="259">
        <f t="shared" ca="1" si="584"/>
        <v>0</v>
      </c>
      <c r="FZ197" s="259">
        <f ca="1">IF(FY197&gt;0,MAX($FZ$2:FZ196)+1,0)</f>
        <v>0</v>
      </c>
      <c r="GA197" s="259">
        <f ca="1">IFERROR(INDEX($FY$3:$FZ$500,MATCH(ROWS($GA$3:GA197),$FZ$3:$FZ$500,0),1),0)</f>
        <v>0</v>
      </c>
      <c r="GC197" s="259">
        <f t="shared" ca="1" si="585"/>
        <v>0</v>
      </c>
      <c r="GD197" s="259">
        <f t="shared" ca="1" si="586"/>
        <v>0</v>
      </c>
      <c r="GG197" s="259">
        <f t="shared" ca="1" si="587"/>
        <v>0</v>
      </c>
      <c r="GH197" s="259">
        <f t="shared" ca="1" si="588"/>
        <v>0</v>
      </c>
      <c r="GI197" s="259">
        <f t="shared" ca="1" si="589"/>
        <v>0</v>
      </c>
      <c r="GJ197" s="259">
        <f t="shared" ca="1" si="590"/>
        <v>0</v>
      </c>
      <c r="GK197" s="259">
        <f t="shared" ca="1" si="591"/>
        <v>0</v>
      </c>
      <c r="GL197" s="259">
        <f t="shared" ca="1" si="591"/>
        <v>0</v>
      </c>
      <c r="GM197" s="259">
        <f ca="1">IF(OR(GK197&gt;0,GL197&gt;0),MAX($GM$2:GM196)+1,0)</f>
        <v>0</v>
      </c>
      <c r="GN197" s="259" t="str">
        <f ca="1">IFERROR(INDEX($GD$3:$GM$400,MATCH(ROWS($GN$3:GN197),$GM$3:$GM$400,0),1),"")</f>
        <v/>
      </c>
      <c r="GO197" s="259" t="str">
        <f ca="1">IFERROR(INDEX($GD$3:$GM$400,MATCH(ROWS($GO$3:GO197),$GM$3:$GM$400,0),8),"")</f>
        <v/>
      </c>
      <c r="GP197" s="259" t="str">
        <f ca="1">IFERROR(INDEX($GD$3:$GM$400,MATCH(ROWS($GP$3:GP197),$GM$3:$GM$400,0),9),"")</f>
        <v/>
      </c>
      <c r="GQ197" s="259">
        <f t="shared" ca="1" si="535"/>
        <v>0</v>
      </c>
      <c r="GR197" s="259">
        <f t="shared" ca="1" si="592"/>
        <v>0</v>
      </c>
      <c r="GS197" s="259" t="str">
        <f t="shared" ca="1" si="593"/>
        <v/>
      </c>
      <c r="GT197" s="259" t="str">
        <f ca="1">IFERROR(INDEX($GD$3:$GS$400,MATCH(ROWS($GT$3:GT197),$GM$3:$GM$400,0),16),"")</f>
        <v/>
      </c>
      <c r="GU197" s="259">
        <f ca="1">IF(GQ197&lt;&gt;0,MAX($GU$2:$GU196)+1,0)</f>
        <v>0</v>
      </c>
      <c r="GV197" s="259">
        <f t="shared" ca="1" si="594"/>
        <v>0</v>
      </c>
      <c r="GW197" s="259" t="str">
        <f ca="1">IF(AND(IFERROR(INDEX($GU$3:$GV$400,MATCH(ROWS($GW$3:GW197),$GU$3:$GU$400,0),2),"")&lt;&gt;"",GW198&lt;&gt;""),CONCATENATE(IFERROR(INDEX($GU$3:$GV$400,MATCH(ROWS($GW$3:GW197),$GU$3:$GU$400,0),2),"")," - "),IFERROR(INDEX($GU$3:$GV$400,MATCH(ROWS($GW$3:GW197),$GU$3:$GU$400,0),2),""))</f>
        <v/>
      </c>
      <c r="GX197" s="259">
        <f ca="1">IF(OR(GN197="IVA NS/CREDITO",GN197="IVA NS/DEBITO",GN197="IVA C/ACCONTO",GN197="IMPOSTE C/ACCONTO"),MAX($GX$2:GX196)+1,0)</f>
        <v>0</v>
      </c>
      <c r="GY197" s="259" t="str">
        <f ca="1">IF(AND(IFERROR(INDEX($GN$3:$GX$200,MATCH(ROWS($GY$3:GY197),$GX$3:$GX$200,0),1),"")&lt;&gt;"",GY198&lt;&gt;""),CONCATENATE(IFERROR(INDEX($GN$3:$GX$200,MATCH(ROWS($GY$3:GY197),$GX$3:$GX$200,0),1),"")," - "),IFERROR(INDEX($GN$3:$GX$200,MATCH(ROWS($GY$3:GY197),$GX$3:$GX$200,0),1),""))</f>
        <v/>
      </c>
      <c r="GZ197" s="259" t="s">
        <v>192</v>
      </c>
      <c r="HA197" s="270" t="s">
        <v>193</v>
      </c>
      <c r="HV197" s="259" t="str">
        <f ca="1">CONCATENATE(IFERROR(INDEX($HS$3:$HT$102,MATCH(ROWS($HV$3:HV197),$HT$3:$HT$102,0),1),""),HR197)</f>
        <v/>
      </c>
      <c r="IC197" s="259">
        <f ca="1">IFERROR(INDEX(PIANO_DEI_CONTI,MATCH(ROWS(DL$3:DL197),$DK$3:DK424,0),2),0)</f>
        <v>0</v>
      </c>
      <c r="ID197" s="259">
        <f t="shared" ca="1" si="595"/>
        <v>0</v>
      </c>
      <c r="IE197" s="259">
        <f t="shared" ca="1" si="596"/>
        <v>0</v>
      </c>
      <c r="IF197" s="259">
        <f t="shared" ca="1" si="597"/>
        <v>0</v>
      </c>
      <c r="IG197" s="259">
        <f t="shared" ca="1" si="479"/>
        <v>0</v>
      </c>
      <c r="IH197" s="259">
        <f ca="1">IF(IG197&lt;&gt;0,MAX($IH$35:IH196)+1,0)</f>
        <v>0</v>
      </c>
      <c r="II197" s="259">
        <f>IF(AD197="costi pluriennali",MAX($II$2:II196)+1,0)</f>
        <v>0</v>
      </c>
      <c r="IJ197" s="259">
        <f>IF($AD197="rettifiche costi pluriennali",MAX($IJ$2:IJ196)+1,0)</f>
        <v>0</v>
      </c>
      <c r="IK197" s="259">
        <f>MAX(II197,IJ197)</f>
        <v>0</v>
      </c>
      <c r="IL197" s="259" t="str">
        <f>IF(IK197&gt;0,AA197,"")</f>
        <v/>
      </c>
      <c r="IM197" s="259">
        <f ca="1">IFERROR(INDEX($IC$3:$IK$200,MATCH(IL197,$IC$3:$IC$200,0),2),0)</f>
        <v>0</v>
      </c>
      <c r="IN197" s="259">
        <f t="shared" ca="1" si="470"/>
        <v>0</v>
      </c>
      <c r="IO197" s="259">
        <f>SUMIFS($IM$3:$IM$200,$IK$3:$IK$200,ROWS($IO$3:IO197))-SUMIFS($IN$3:$IN$200,$IK$3:$IK$200,ROWS($IO$3:IO197))</f>
        <v>0</v>
      </c>
      <c r="IP197" s="259" t="str">
        <f>IF(IO197&lt;0,INDEX($IJ$3:$IL$200,MATCH(ROWS($IP$3:IP197),$IJ$3:$IJ$200,0),3),"")</f>
        <v/>
      </c>
      <c r="IQ197" s="259">
        <f>IF(IP197&lt;&gt;"",MAX($IQ$2:IQ196)+1,0)</f>
        <v>0</v>
      </c>
      <c r="IR197" s="259" t="str">
        <f ca="1">IFERROR(INDEX($IP$3:$IQ$200,MATCH(ROWS($IR$3:IR197),$IQ$3:$IQ$200,0),1),"")</f>
        <v/>
      </c>
      <c r="IS197" s="259" t="str">
        <f t="shared" ca="1" si="598"/>
        <v/>
      </c>
      <c r="IT197" s="259" t="str">
        <f t="shared" ca="1" si="599"/>
        <v/>
      </c>
      <c r="IU197" s="259" t="str">
        <f ca="1">IF(ROW()-2=$HQ$2,SUM($IS$3:$IS$200)-SUM($IT$3:$IT$200),"")</f>
        <v/>
      </c>
      <c r="IV197" s="259" t="str">
        <f ca="1">IFERROR(IF(INDEX($FG$3:$HV$200,MATCH($HV197,$FG$3:$FG$200,0),4)=0,"",INDEX($FG$3:$HV$200,MATCH($HV197,$FG$3:$FG$200,0),4)),"")</f>
        <v/>
      </c>
      <c r="IW197" s="259" t="str">
        <f ca="1">IFERROR(IF(INDEX($FG$3:$HV$200,MATCH($HV197,$FG$3:$FG$200,0),5)=0,"",INDEX($FG$3:$HV$200,MATCH($HV197,$FG$3:$FG$200,0),5)),"")</f>
        <v/>
      </c>
      <c r="IX197" s="259" t="str">
        <f ca="1">IF(SUM(IV197,IT197,IU197)=0,"",SUM(IV197,IT197,IU197))</f>
        <v/>
      </c>
      <c r="IY197" s="259" t="str">
        <f t="shared" ca="1" si="600"/>
        <v/>
      </c>
      <c r="IZ197" s="259" t="str">
        <f ca="1">IF(AND(IX197="",IY197=""),"",IF(OR(IV197&lt;&gt;"",IW197&lt;&gt;""),"apertura del conto",IF(IS197&lt;&gt;"","totale attività",IF(IT197&lt;&gt;"","totale passività",IF(IU197&lt;&gt;"","patrimonio netto iniziale","")))))</f>
        <v/>
      </c>
      <c r="JA197" s="259" t="str">
        <f t="shared" ca="1" si="601"/>
        <v/>
      </c>
      <c r="JB197" s="259">
        <f t="shared" ca="1" si="536"/>
        <v>0</v>
      </c>
      <c r="JC197" s="259">
        <f t="shared" ca="1" si="504"/>
        <v>0</v>
      </c>
      <c r="JD197" s="259">
        <f t="shared" ca="1" si="505"/>
        <v>0</v>
      </c>
      <c r="JM197" s="259">
        <f t="shared" ca="1" si="506"/>
        <v>0</v>
      </c>
    </row>
    <row r="198" spans="1:273">
      <c r="A198" s="259" t="str">
        <f t="shared" si="537"/>
        <v>40.01</v>
      </c>
      <c r="B198" s="259" t="str">
        <f t="shared" si="538"/>
        <v>INTERESSI ATTIVI DA CLIENTI</v>
      </c>
      <c r="C198" s="259" t="str">
        <f t="shared" si="539"/>
        <v>E</v>
      </c>
      <c r="D198" s="259" t="str">
        <f t="shared" si="540"/>
        <v>A</v>
      </c>
      <c r="E198" s="259" t="str">
        <f t="shared" si="541"/>
        <v>RICAVI D'ESERCIZIO</v>
      </c>
      <c r="F198" s="259" t="str">
        <f t="shared" si="542"/>
        <v>SE AVERE</v>
      </c>
      <c r="G198" s="259">
        <f t="shared" ca="1" si="543"/>
        <v>1</v>
      </c>
      <c r="H198" s="259">
        <f t="shared" ca="1" si="544"/>
        <v>1</v>
      </c>
      <c r="I198" s="259">
        <f t="shared" ca="1" si="545"/>
        <v>1</v>
      </c>
      <c r="K198" s="259" t="str">
        <f ca="1">IFERROR(IF($I$1=1,INDEX($AA$3:$AS$220,MATCH(ROWS($K$3:K198),$AQ$3:$AQ$220,0),1),IF($I$1=2,INDEX($AA$3:$AS$220,MATCH(ROWS($K$3:K198),$AR$3:$AR$220,0),1),IF($I$1=3,INDEX($AA$3:$AS$220,MATCH(ROWS($K$3:K198),$AS$3:$AS$220,0),1),""))),"")</f>
        <v/>
      </c>
      <c r="L198" s="259">
        <f ca="1">IF(AND($L$1="VISUALIZZA TUTTI I CONTI",K198&lt;&gt;""),MAX(L197:L197)+1,IFERROR(IF($J$1=1,IF(INDEX(PIANO_DEI_CONTI,MATCH($K198,DENOMINAZIONE,0),5)=$L$1,MAX($L$2:L197)+1,0),IF($J$1=2,IF(INDEX(PIANO_DEI_CONTI,MATCH($K198,DENOMINAZIONE,0),7)=$L$1,MAX($L$2:L197)+1,0))),0))</f>
        <v>0</v>
      </c>
      <c r="M198" s="259" t="str">
        <f ca="1">IFERROR(INDEX($K$3:$K$220,MATCH(ROWS($M$3:M198),$L$3:$L$220,0),1),"")</f>
        <v/>
      </c>
      <c r="R198" s="259" t="str">
        <f t="shared" ca="1" si="516"/>
        <v/>
      </c>
      <c r="S198" s="259">
        <f ca="1">IF(IFERROR(MATCH(R198,DENOMINAZIONE_GIORNALE,0),0)&gt;0,MAX(S$2:S197)+1,0)</f>
        <v>0</v>
      </c>
      <c r="T198" s="259" t="str">
        <f ca="1">IFERROR(INDEX($R$3:$S$220,MATCH(ROWS($T$3:T198),$S$3:$S$220,0),1),"")</f>
        <v/>
      </c>
      <c r="U198" s="259">
        <f t="shared" ca="1" si="517"/>
        <v>0</v>
      </c>
      <c r="V198" s="259">
        <f ca="1">IF(IF(U198&lt;&gt;0,MAX($V$2:V197)+1,0)=0,0,IF(U198&lt;&gt;0,MAX($V$2:V197)+1,0))</f>
        <v>0</v>
      </c>
      <c r="W198" s="259" t="str">
        <f t="shared" si="546"/>
        <v>40.01</v>
      </c>
      <c r="X198" s="259" t="str">
        <f t="shared" si="547"/>
        <v>INTERESSI ATTIVI DA CLIENTI</v>
      </c>
      <c r="Y198" s="259">
        <f>IF(W198="",0,MAX($Y$2:Y197)+1)</f>
        <v>167</v>
      </c>
      <c r="Z198" s="259" t="str">
        <f>IFERROR(INDEX($W$3:$Y$220,MATCH(ROWS($Z$2:Z197),$Y$3:$Y$220,0),1),"")</f>
        <v/>
      </c>
      <c r="AA198" s="259" t="str">
        <f t="shared" si="548"/>
        <v/>
      </c>
      <c r="AB198" s="259" t="str">
        <f t="shared" si="549"/>
        <v/>
      </c>
      <c r="AC198" s="259" t="str">
        <f t="shared" si="550"/>
        <v/>
      </c>
      <c r="AD198" s="259" t="str">
        <f t="shared" si="551"/>
        <v/>
      </c>
      <c r="AE198" s="259" t="str">
        <f t="shared" si="552"/>
        <v/>
      </c>
      <c r="AF198" s="259" t="str">
        <f t="shared" si="553"/>
        <v/>
      </c>
      <c r="AG198" s="259" t="str">
        <f t="shared" si="554"/>
        <v/>
      </c>
      <c r="AH198" s="259" t="str">
        <f t="shared" si="555"/>
        <v/>
      </c>
      <c r="AI198" s="259" t="str">
        <f t="shared" si="556"/>
        <v/>
      </c>
      <c r="AJ198" s="259" t="str">
        <f t="shared" si="557"/>
        <v/>
      </c>
      <c r="AK198" s="259" t="str">
        <f t="shared" si="558"/>
        <v/>
      </c>
      <c r="AL198" s="259">
        <f>IF(AK198&lt;&gt;"",MAX($AL$2:AL197)+1,0)</f>
        <v>0</v>
      </c>
      <c r="AM198" s="259" t="str">
        <f>IFERROR(INDEX($AK$3:$AL$220,MATCH(ROWS($AM$3:AM198),$AL$3:$AL$220,0),1),"")</f>
        <v/>
      </c>
      <c r="AN198" s="259" t="str">
        <f t="shared" si="559"/>
        <v/>
      </c>
      <c r="AO198" s="259" t="str">
        <f t="shared" si="560"/>
        <v/>
      </c>
      <c r="AP198" s="259" t="str">
        <f t="shared" si="561"/>
        <v/>
      </c>
      <c r="AQ198" s="259">
        <f>IF(OR(AG198=0,AG198=""),0,MAX(AQ$2:AQ197)+1)</f>
        <v>0</v>
      </c>
      <c r="AR198" s="259">
        <f>IF(OR(AH198=0,AH198=""),0,MAX(AR$2:AR197)+1)</f>
        <v>0</v>
      </c>
      <c r="AS198" s="259">
        <f>IF(OR(AI198=0,AI198=""),0,MAX(AS$2:AS197)+1)</f>
        <v>0</v>
      </c>
      <c r="AT198" s="259" t="str">
        <f ca="1">IFERROR(INDEX($AD$3:$AS$220,MATCH(ROWS(AT$3:AT198),AQ$3:AQ$220,0),1),"")</f>
        <v/>
      </c>
      <c r="AU198" s="259" t="str">
        <f ca="1">IFERROR(INDEX($AD$3:$AS$220,MATCH(ROWS(AU$3:AU198),AR$3:AR$220,0),1),"")</f>
        <v/>
      </c>
      <c r="AV198" s="259" t="str">
        <f ca="1">IFERROR(INDEX($AD$3:$AS$220,MATCH(ROWS(AV$3:AV198),AS$3:AS$220,0),1),"")</f>
        <v/>
      </c>
      <c r="AW198" s="259" t="str">
        <f ca="1">IFERROR(INDEX($AP$3:$AS$220,MATCH(ROWS(AW$3:AW198),AQ$3:AQ$220,0),1),"")</f>
        <v/>
      </c>
      <c r="AX198" s="259" t="str">
        <f ca="1">IFERROR(INDEX($AP$3:$AS$220,MATCH(ROWS(AX$3:AX198),AR$3:AR$220,0),1),"")</f>
        <v/>
      </c>
      <c r="AY198" s="259" t="str">
        <f ca="1">IFERROR(INDEX($AP$3:$AS$220,MATCH(ROWS(AY$3:AY198),AS$3:AS$220,0),1),"")</f>
        <v/>
      </c>
      <c r="AZ198" s="259" t="str">
        <f t="shared" si="490"/>
        <v>96 V.I.</v>
      </c>
      <c r="BA198" s="259">
        <f t="shared" ca="1" si="484"/>
        <v>0</v>
      </c>
      <c r="BB198" s="259">
        <f t="shared" ca="1" si="491"/>
        <v>0</v>
      </c>
      <c r="BC198" s="259">
        <f t="shared" ca="1" si="492"/>
        <v>0</v>
      </c>
      <c r="BD198" s="259">
        <f t="shared" ca="1" si="493"/>
        <v>0</v>
      </c>
      <c r="BE198" s="259">
        <f t="shared" ca="1" si="494"/>
        <v>0</v>
      </c>
      <c r="BG198" s="259" t="str">
        <f t="shared" ca="1" si="518"/>
        <v/>
      </c>
      <c r="BH198" s="259">
        <f ca="1">IF(IFERROR(MATCH(BG198,DENOMINAZIONE_GIORNALE,0),0)&gt;0,MAX(BH$2:BH197)+1,0)</f>
        <v>0</v>
      </c>
      <c r="BI198" s="259" t="str">
        <f ca="1">IFERROR(INDEX($BG$3:$BH$220,MATCH(ROWS($BI$3:BI198),$BH$3:$BH$220,0),1),"")</f>
        <v/>
      </c>
      <c r="BJ198" s="259" t="str">
        <f t="shared" ca="1" si="519"/>
        <v/>
      </c>
      <c r="BK198" s="259" t="str">
        <f ca="1">IF(IF(BJ198&lt;&gt;"",MAX($BK$2:BK197)+1,0)=0,"",IF(BJ198&lt;&gt;"",MAX($BK$2:BK197)+1,0))</f>
        <v/>
      </c>
      <c r="BL198" s="259" t="str">
        <f ca="1">IFERROR(INDEX($T$3:$U$220, MATCH(ROWS(BL$3:BL198),$V$3:$V$220,0),1),"")</f>
        <v/>
      </c>
      <c r="BM198" s="259" t="str">
        <f ca="1">IFERROR(INDEX($T$3:$U$220, MATCH(ROWS(BM$3:BM198),$V$3:$V$220,0),2),"")</f>
        <v/>
      </c>
      <c r="BN198" s="259" t="str">
        <f ca="1">IF(IFERROR(INDEX($BI$3:$BJ$220,MATCH(ROWS(BN$3:BN198),$BK$3:$BK$220,0),1),"")="PATRIMONIO NETTO","",IFERROR(INDEX($BI$3:$BJ$220,MATCH(ROWS(BN$3:BN198),$BK$3:$BK$220,0),1),""))</f>
        <v/>
      </c>
      <c r="BO198" s="259" t="str">
        <f ca="1">IFERROR(INDEX($BI$3:$BJ$220,MATCH(ROWS(BO$3:BO198),$BK$3:$BK$220,0),2),"")</f>
        <v/>
      </c>
      <c r="BP198" s="259">
        <f ca="1">IF(BN198&lt;&gt;"",MAX(BP$2:$BP197)+1,0)</f>
        <v>0</v>
      </c>
      <c r="BQ198" s="259" t="str">
        <f ca="1">IFERROR(INDEX($BN$3:$BO$200,MATCH(ROWS(BQ$3:BQ198),$BP$3:$BP$220,0),1),"")</f>
        <v/>
      </c>
      <c r="BR198" s="259" t="str">
        <f ca="1">IFERROR(INDEX($BN$3:$BO$220,MATCH(ROWS(BR$3:BR198),$BP$3:$BP$220,0),2),"")</f>
        <v/>
      </c>
      <c r="BS198" s="259" t="str">
        <f ca="1">IFERROR(IF(OR(INDEX($T$3:$U$220,MATCH(ROWS(BL$3:BL198),$V$3:$V$220,0),1)="PRELEVAMENTI EXTRAGESTIONE",INDEX($T$3:$U$220,MATCH(ROWS(BL$3:BL198),$V$3:$V$220,0),1)="TITOLARE C/RITENUTE SUBITE"),"",INDEX($T$3:$U$220,MATCH(ROWS(BL$3:BL198),$V$3:$V$220,0),1)),"")</f>
        <v/>
      </c>
      <c r="BT198" s="259">
        <f t="shared" ca="1" si="562"/>
        <v>0</v>
      </c>
      <c r="BU198" s="259">
        <f ca="1">IF(BS198&lt;&gt;"",MAX(BU$2:BU197)+1,0)</f>
        <v>0</v>
      </c>
      <c r="BV198" s="259" t="str">
        <f ca="1">IFERROR(INDEX($BS$3:$BT$223,MATCH(ROWS(BV$3:BV198),$BU$3:$BU$223,0),1),"")</f>
        <v/>
      </c>
      <c r="BW198" s="259">
        <f t="shared" ca="1" si="563"/>
        <v>0</v>
      </c>
      <c r="CB198" s="259" t="str">
        <f ca="1">IFERROR(IF(OR($BB$1&lt;&gt;$BD$1,$BC$1&lt;&gt;$BE$1,$DS$231&lt;&gt;$DT$231,$DU$231&lt;&gt;$DV$231,$EO$25&lt;&gt;0,$EO$26&lt;&gt;0),INDEX($BI$3:$BK$220,MATCH(ROWS($CB$3:CB198),$BK$3:$BK$220,0),1),CONCATENATE(BQ198,BX198)),"")</f>
        <v/>
      </c>
      <c r="CC198" s="259" t="str">
        <f t="shared" ca="1" si="564"/>
        <v/>
      </c>
      <c r="CD198" s="259" t="str">
        <f t="shared" ca="1" si="520"/>
        <v/>
      </c>
      <c r="CE198" s="259">
        <f ca="1">IF(IFERROR(MATCH(CD198,DENOMINAZIONE_GIORNALE,0),0)&gt;0,MAX(CE$2:CE197)+1,0)</f>
        <v>0</v>
      </c>
      <c r="CF198" s="259" t="str">
        <f ca="1">IFERROR(INDEX($CD$3:$CE$220,MATCH(ROWS($CF$3:CF198),$CE$3:$CE$220,0),1),"")</f>
        <v/>
      </c>
      <c r="CG198" s="259">
        <f t="shared" ca="1" si="521"/>
        <v>0</v>
      </c>
      <c r="CH198" s="259" t="str">
        <f ca="1">IF(IF(CG198&lt;&gt;0,MAX($CH$2:CH197)+1,0)=0,"",IF(CG198&lt;&gt;"",MAX($CH$2:CH197)+1,0))</f>
        <v/>
      </c>
      <c r="CI198" s="259" t="str">
        <f ca="1">IFERROR(INDEX($CF$3:$CG$220,MATCH(ROWS($CI$3:CI198),$CH$3:$CH$220,0),1),"")</f>
        <v/>
      </c>
      <c r="CJ198" s="259" t="str">
        <f t="shared" ca="1" si="565"/>
        <v/>
      </c>
      <c r="CK198" s="259" t="str">
        <f t="shared" ca="1" si="522"/>
        <v/>
      </c>
      <c r="CL198" s="259">
        <f ca="1">IF(IFERROR(MATCH(CK198,DENOMINAZIONE_GIORNALE,0),0)&gt;0,MAX(CL$2:CL197)+1,0)</f>
        <v>0</v>
      </c>
      <c r="CM198" s="259" t="str">
        <f ca="1">IFERROR(INDEX($CK$3:$CL$220,MATCH(ROWS($CM$3:CM198),$CL$3:$CL$220,0),1),"")</f>
        <v/>
      </c>
      <c r="CN198" s="259" t="str">
        <f t="shared" ca="1" si="523"/>
        <v/>
      </c>
      <c r="CO198" s="259">
        <f ca="1">IF(IF(CN198&lt;&gt;0,MAX($CO$2:CO197)+1,0)=0,"",IF(CN198&lt;&gt;"",MAX($CO$2:CO197)+1,0))</f>
        <v>0</v>
      </c>
      <c r="CP198" s="259" t="str">
        <f ca="1">IFERROR(INDEX($CM$3:$CN$220,MATCH(ROWS(CP$3:CP198),$CO$3:$CO$220,0),1),"")</f>
        <v/>
      </c>
      <c r="CQ198" s="259" t="str">
        <f ca="1">IFERROR(INDEX($CM$3:$CN$220,MATCH(ROWS(CQ$3:CQ198),$CO$3:$CO$220,0),2),"")</f>
        <v/>
      </c>
      <c r="CS198" s="259">
        <f t="shared" ca="1" si="524"/>
        <v>0</v>
      </c>
      <c r="CT198" s="259">
        <f t="shared" ca="1" si="525"/>
        <v>0</v>
      </c>
      <c r="CU198" s="259">
        <f ca="1">IF(OR(CS198&gt;0,CT198&gt;0),MAX($CU$2:CU197)+1,0)</f>
        <v>0</v>
      </c>
      <c r="CV198" s="259" t="str">
        <f ca="1">IFERROR(INDEX(PIANO_DEI_CONTI,MATCH(ROWS($CV$3:CV198),$CU$3:$CU$200,0),2),"")</f>
        <v/>
      </c>
      <c r="CW198" s="259">
        <f ca="1">IFERROR(IF(CV198&lt;&gt;"",MAX($CW$2:CW197)+1,0),0)</f>
        <v>0</v>
      </c>
      <c r="CX198" s="259">
        <f t="shared" ca="1" si="508"/>
        <v>11</v>
      </c>
      <c r="CY198" s="259" t="str">
        <f t="shared" ca="1" si="495"/>
        <v>MASTRO</v>
      </c>
      <c r="CZ198" s="259" t="e">
        <f t="shared" ca="1" si="510"/>
        <v>#N/A</v>
      </c>
      <c r="DA198" s="259" t="str">
        <f t="shared" ca="1" si="515"/>
        <v/>
      </c>
      <c r="DB198" s="259" t="str">
        <f t="shared" ca="1" si="511"/>
        <v/>
      </c>
      <c r="DC198" s="259" t="str">
        <f t="shared" ca="1" si="512"/>
        <v/>
      </c>
      <c r="DD198" s="259" t="str">
        <f t="shared" ca="1" si="513"/>
        <v/>
      </c>
      <c r="DE198" s="259" t="str">
        <f t="shared" ca="1" si="514"/>
        <v/>
      </c>
      <c r="DF198" s="259">
        <f ca="1">IF(AND(CX198=$DE$2,$DF$2&lt;&gt;0),0,IF(AND(DB198&lt;&gt;"",OR(DB197&lt;&gt;"",DB199&lt;&gt;"")),MAX($DF$2:DF197)+1,0))</f>
        <v>0</v>
      </c>
      <c r="DG198" s="259" t="str">
        <f>IF(IF(LIBRO_GIORNALE!E106="","",IFERROR(INDEX(PIANO_DEI_CONTI,MATCH(BB198,DENOMINAZIONE,0),1),0))=0,"",IF(LIBRO_GIORNALE!E106="","",IFERROR(INDEX(PIANO_DEI_CONTI,MATCH(BB198,DENOMINAZIONE,0),1),0)))</f>
        <v/>
      </c>
      <c r="DH198" s="259">
        <f ca="1">IFERROR(IF($J$1=1,IF(INDEX(PIANO_DEI_CONTI,MATCH($K198,DENOMINAZIONE,0),5)=$DF$1,MAX($DH$2:DH197)+1,0),IF($J$1=2,IF(INDEX(PIANO_DEI_CONTI,MATCH($K198,DENOMINAZIONE,0),7)=$DF$1,MAX($DH$2:DH197)+1,0))),0)</f>
        <v>0</v>
      </c>
      <c r="DI198" s="259">
        <f ca="1">IFERROR(INDEX($K$3:$K$220,MATCH(ROWS($DI$3:DI198),$DH$3:$DH$220,0),1),0)</f>
        <v>0</v>
      </c>
      <c r="DJ198" s="259">
        <f t="shared" ca="1" si="526"/>
        <v>0</v>
      </c>
      <c r="DK198" s="259">
        <f ca="1">IF(DJ198=0,0,MAX(DK$2:DK197)+1)</f>
        <v>0</v>
      </c>
      <c r="DL198" s="259">
        <f ca="1">IFERROR(INDEX(PIANO_DEI_CONTI,MATCH(ROWS(DL$3:DL198),$DK$3:DK425,0),2),0)</f>
        <v>0</v>
      </c>
      <c r="DM198" s="259">
        <f t="shared" ca="1" si="527"/>
        <v>0</v>
      </c>
      <c r="DN198" s="259">
        <f t="shared" ca="1" si="528"/>
        <v>0</v>
      </c>
      <c r="DO198" s="259">
        <f t="shared" ca="1" si="566"/>
        <v>0</v>
      </c>
      <c r="DP198" s="259">
        <f t="shared" ca="1" si="567"/>
        <v>0</v>
      </c>
      <c r="DQ198" s="259">
        <f ca="1">IF(OR($DQ$1="TOTALI",$DQ$1="TOTALI ED ECCEDENZE"),IF(OR(DM198&gt;0,DN198&gt;0),MAX(DQ$2:DQ197)+1,0),IF($DQ$1="ECCEDENZE",IF(OR(DO198&gt;0,DP198&gt;0),MAX(DQ$2:DQ197)+1,0),""))</f>
        <v>0</v>
      </c>
      <c r="DR198" s="259" t="str">
        <f ca="1">IFERROR(INDEX($DL$3:$DQ$230,MATCH(ROWS(DR$3:DR198),$DQ$3:$DQ$230,0),1),"")</f>
        <v/>
      </c>
      <c r="DS198" s="259" t="str">
        <f t="shared" ca="1" si="568"/>
        <v/>
      </c>
      <c r="DT198" s="259" t="str">
        <f t="shared" ca="1" si="569"/>
        <v/>
      </c>
      <c r="DU198" s="259" t="str">
        <f t="shared" ca="1" si="570"/>
        <v/>
      </c>
      <c r="DV198" s="259" t="str">
        <f t="shared" ca="1" si="571"/>
        <v/>
      </c>
      <c r="DW198" s="259">
        <f t="shared" ca="1" si="572"/>
        <v>0</v>
      </c>
      <c r="DX198" s="259" t="str">
        <f t="shared" ca="1" si="573"/>
        <v/>
      </c>
      <c r="DY198" s="259" t="str">
        <f t="shared" ca="1" si="574"/>
        <v/>
      </c>
      <c r="DZ198" s="259" t="str">
        <f t="shared" ca="1" si="575"/>
        <v/>
      </c>
      <c r="ED198" s="259">
        <f t="shared" ca="1" si="529"/>
        <v>0</v>
      </c>
      <c r="EH198" s="259" t="str">
        <f t="shared" ca="1" si="576"/>
        <v/>
      </c>
      <c r="EI198" s="260" t="b">
        <f t="shared" ca="1" si="602"/>
        <v>1</v>
      </c>
      <c r="EJ198" s="260" t="b">
        <f t="shared" ca="1" si="603"/>
        <v>1</v>
      </c>
      <c r="EK198" s="260" t="b">
        <f t="shared" ca="1" si="604"/>
        <v>1</v>
      </c>
      <c r="EL198" s="259">
        <f t="shared" si="577"/>
        <v>196</v>
      </c>
      <c r="EM198" s="259">
        <f ca="1">IF(AND(BA198&gt;0,BA198&lt;=$EM$1),MAX($EM$2:EM197)+1,0)</f>
        <v>0</v>
      </c>
      <c r="EN198" s="259">
        <f t="shared" ca="1" si="578"/>
        <v>198</v>
      </c>
      <c r="EP198" s="259" t="str">
        <f t="shared" ca="1" si="530"/>
        <v/>
      </c>
      <c r="EQ198" s="259">
        <f t="shared" ca="1" si="531"/>
        <v>0</v>
      </c>
      <c r="ER198" s="259">
        <f ca="1">IF(ISNA(EQ198),MAX(ER$2:ER197)+1,0)</f>
        <v>0</v>
      </c>
      <c r="ES198" s="259" t="str">
        <f t="shared" ca="1" si="579"/>
        <v/>
      </c>
      <c r="ET198" s="259" t="str">
        <f ca="1">IFERROR(UPPER(INDEX($ER$3:$ES$500,MATCH(ROWS(ET$3:ET198),$ER$3:$ER$500,0),2)),"")</f>
        <v/>
      </c>
      <c r="EW198" s="259">
        <f t="shared" ca="1" si="497"/>
        <v>1</v>
      </c>
      <c r="EX198" s="259">
        <v>96</v>
      </c>
      <c r="EY198" s="259">
        <f t="shared" ca="1" si="498"/>
        <v>0</v>
      </c>
      <c r="EZ198" s="259">
        <f t="shared" ca="1" si="499"/>
        <v>0</v>
      </c>
      <c r="FA198" s="259">
        <f t="shared" ca="1" si="500"/>
        <v>0</v>
      </c>
      <c r="FB198" s="259">
        <f t="shared" ca="1" si="501"/>
        <v>0</v>
      </c>
      <c r="FC198" s="259">
        <f t="shared" ca="1" si="502"/>
        <v>0</v>
      </c>
      <c r="FD198" s="259">
        <f t="shared" ca="1" si="532"/>
        <v>0</v>
      </c>
      <c r="FE198" s="259" t="str">
        <f t="shared" ca="1" si="533"/>
        <v/>
      </c>
      <c r="FF198" s="259" t="str">
        <f t="shared" ca="1" si="503"/>
        <v/>
      </c>
      <c r="FM198" s="259">
        <f t="shared" si="534"/>
        <v>0</v>
      </c>
      <c r="FN198" s="259">
        <f>IF(FM198&lt;0,MAX($FN$2:FN197)+1,0)</f>
        <v>0</v>
      </c>
      <c r="FO198" s="259" t="str">
        <f t="shared" si="580"/>
        <v/>
      </c>
      <c r="FP198" s="259" t="str">
        <f ca="1">IFERROR(INDEX($FN$3:$FO$400,MATCH(ROWS($FP$3:FP198),$FN$3:$FN$400,0),2),"")</f>
        <v/>
      </c>
      <c r="FQ198" s="259" t="str">
        <f>IF(AE198="SE AVERE",MAX($FQ$2:FQ197)+1,"")</f>
        <v/>
      </c>
      <c r="FR198" s="259" t="str">
        <f>IF(AE198="SE DARE",MAX($FR$2:FR197)+1,"")</f>
        <v/>
      </c>
      <c r="FS198" s="259" t="str">
        <f ca="1">IF(AND(AE198="SP DARE",AA198&lt;&gt;$FS$1,AA198&lt;&gt;$FT$1),MAX($FS$2:FS197)+1,IF(AND(GQ198="SP DARE",AA198&lt;&gt;$FS$1,AA198&lt;&gt;$FT$1),MAX($FS$2:FS197)+1,""))</f>
        <v/>
      </c>
      <c r="FT198" s="259" t="str">
        <f ca="1">IF(AND(AE198="SP AVERE",AA198&lt;&gt;$FU$1),MAX($FT$2:FT197)+1,IF(AND(GQ198="SP AVERE",AA198&lt;&gt;$FU$1),MAX($FT$2:FT197)+1,""))</f>
        <v/>
      </c>
      <c r="FU198" s="259">
        <f t="shared" ca="1" si="581"/>
        <v>0</v>
      </c>
      <c r="FV198" s="259" t="str">
        <f t="shared" si="582"/>
        <v/>
      </c>
      <c r="FW198" s="259">
        <f ca="1">IFERROR(INDEX($FU$3:$FV$500,MATCH(ROWS($FW$3:FW198),$FU$3:$FU$500,0),2),0)</f>
        <v>0</v>
      </c>
      <c r="FX198" s="259">
        <f t="shared" ca="1" si="583"/>
        <v>0</v>
      </c>
      <c r="FY198" s="259">
        <f t="shared" ca="1" si="584"/>
        <v>0</v>
      </c>
      <c r="FZ198" s="259">
        <f ca="1">IF(FY198&gt;0,MAX($FZ$2:FZ197)+1,0)</f>
        <v>0</v>
      </c>
      <c r="GA198" s="259">
        <f ca="1">IFERROR(INDEX($FY$3:$FZ$500,MATCH(ROWS($GA$3:GA198),$FZ$3:$FZ$500,0),1),0)</f>
        <v>0</v>
      </c>
      <c r="GC198" s="259">
        <f t="shared" ca="1" si="585"/>
        <v>0</v>
      </c>
      <c r="GD198" s="259">
        <f t="shared" ca="1" si="586"/>
        <v>0</v>
      </c>
      <c r="GG198" s="259">
        <f t="shared" ca="1" si="587"/>
        <v>0</v>
      </c>
      <c r="GH198" s="259">
        <f t="shared" ca="1" si="588"/>
        <v>0</v>
      </c>
      <c r="GI198" s="259">
        <f t="shared" ca="1" si="589"/>
        <v>0</v>
      </c>
      <c r="GJ198" s="259">
        <f t="shared" ca="1" si="590"/>
        <v>0</v>
      </c>
      <c r="GK198" s="259">
        <f t="shared" ca="1" si="591"/>
        <v>0</v>
      </c>
      <c r="GL198" s="259">
        <f t="shared" ca="1" si="591"/>
        <v>0</v>
      </c>
      <c r="GM198" s="259">
        <f ca="1">IF(OR(GK198&gt;0,GL198&gt;0),MAX($GM$2:GM197)+1,0)</f>
        <v>0</v>
      </c>
      <c r="GN198" s="259" t="str">
        <f ca="1">IFERROR(INDEX($GD$3:$GM$400,MATCH(ROWS($GN$3:GN198),$GM$3:$GM$400,0),1),"")</f>
        <v/>
      </c>
      <c r="GO198" s="259" t="str">
        <f ca="1">IFERROR(INDEX($GD$3:$GM$400,MATCH(ROWS($GO$3:GO198),$GM$3:$GM$400,0),8),"")</f>
        <v/>
      </c>
      <c r="GP198" s="259" t="str">
        <f ca="1">IFERROR(INDEX($GD$3:$GM$400,MATCH(ROWS($GP$3:GP198),$GM$3:$GM$400,0),9),"")</f>
        <v/>
      </c>
      <c r="GQ198" s="259">
        <f t="shared" ca="1" si="535"/>
        <v>0</v>
      </c>
      <c r="GR198" s="259">
        <f t="shared" ca="1" si="592"/>
        <v>0</v>
      </c>
      <c r="GS198" s="259" t="str">
        <f t="shared" ca="1" si="593"/>
        <v/>
      </c>
      <c r="GT198" s="259" t="str">
        <f ca="1">IFERROR(INDEX($GD$3:$GS$400,MATCH(ROWS($GT$3:GT198),$GM$3:$GM$400,0),16),"")</f>
        <v/>
      </c>
      <c r="GU198" s="259">
        <f ca="1">IF(GQ198&lt;&gt;0,MAX($GU$2:$GU197)+1,0)</f>
        <v>0</v>
      </c>
      <c r="GV198" s="259">
        <f t="shared" ca="1" si="594"/>
        <v>0</v>
      </c>
      <c r="GW198" s="259" t="str">
        <f ca="1">IF(AND(IFERROR(INDEX($GU$3:$GV$400,MATCH(ROWS($GW$3:GW198),$GU$3:$GU$400,0),2),"")&lt;&gt;"",GW199&lt;&gt;""),CONCATENATE(IFERROR(INDEX($GU$3:$GV$400,MATCH(ROWS($GW$3:GW198),$GU$3:$GU$400,0),2),"")," - "),IFERROR(INDEX($GU$3:$GV$400,MATCH(ROWS($GW$3:GW198),$GU$3:$GU$400,0),2),""))</f>
        <v/>
      </c>
      <c r="GX198" s="259">
        <f ca="1">IF(OR(GN198="IVA NS/CREDITO",GN198="IVA NS/DEBITO",GN198="IVA C/ACCONTO",GN198="IMPOSTE C/ACCONTO"),MAX($GX$2:GX197)+1,0)</f>
        <v>0</v>
      </c>
      <c r="GY198" s="259" t="str">
        <f ca="1">IF(AND(IFERROR(INDEX($GN$3:$GX$200,MATCH(ROWS($GY$3:GY198),$GX$3:$GX$200,0),1),"")&lt;&gt;"",GY199&lt;&gt;""),CONCATENATE(IFERROR(INDEX($GN$3:$GX$200,MATCH(ROWS($GY$3:GY198),$GX$3:$GX$200,0),1),"")," - "),IFERROR(INDEX($GN$3:$GX$200,MATCH(ROWS($GY$3:GY198),$GX$3:$GX$200,0),1),""))</f>
        <v/>
      </c>
      <c r="GZ198" s="259" t="s">
        <v>680</v>
      </c>
      <c r="HA198" s="259" t="s">
        <v>681</v>
      </c>
      <c r="HB198" s="269" t="s">
        <v>256</v>
      </c>
      <c r="HC198" s="269" t="s">
        <v>211</v>
      </c>
      <c r="HD198" s="269" t="s">
        <v>8</v>
      </c>
      <c r="HE198" s="269" t="s">
        <v>213</v>
      </c>
      <c r="HV198" s="259" t="str">
        <f ca="1">CONCATENATE(IFERROR(INDEX($HS$3:$HT$102,MATCH(ROWS($HV$3:HV198),$HT$3:$HT$102,0),1),""),HR198)</f>
        <v/>
      </c>
      <c r="IC198" s="259">
        <f ca="1">IFERROR(INDEX(PIANO_DEI_CONTI,MATCH(ROWS(DL$3:DL198),$DK$3:DK425,0),2),0)</f>
        <v>0</v>
      </c>
      <c r="ID198" s="259">
        <f t="shared" ca="1" si="595"/>
        <v>0</v>
      </c>
      <c r="IE198" s="259">
        <f t="shared" ca="1" si="596"/>
        <v>0</v>
      </c>
      <c r="IF198" s="259">
        <f t="shared" ca="1" si="597"/>
        <v>0</v>
      </c>
      <c r="IG198" s="259">
        <f t="shared" ca="1" si="479"/>
        <v>0</v>
      </c>
      <c r="IH198" s="259">
        <f ca="1">IF(IG198&lt;&gt;0,MAX($IH$35:IH197)+1,0)</f>
        <v>0</v>
      </c>
      <c r="II198" s="259">
        <f>IF(AD198="costi pluriennali",MAX($II$2:II197)+1,0)</f>
        <v>0</v>
      </c>
      <c r="IJ198" s="259">
        <f>IF($AD198="rettifiche costi pluriennali",MAX($IJ$2:IJ197)+1,0)</f>
        <v>0</v>
      </c>
      <c r="IK198" s="259">
        <f>MAX(II198,IJ198)</f>
        <v>0</v>
      </c>
      <c r="IL198" s="259" t="str">
        <f>IF(IK198&gt;0,AA198,"")</f>
        <v/>
      </c>
      <c r="IM198" s="259">
        <f ca="1">IFERROR(INDEX($IC$3:$IK$200,MATCH(IL198,$IC$3:$IC$200,0),2),0)</f>
        <v>0</v>
      </c>
      <c r="IN198" s="259">
        <f t="shared" ca="1" si="470"/>
        <v>0</v>
      </c>
      <c r="IO198" s="259">
        <f>SUMIFS($IM$3:$IM$200,$IK$3:$IK$200,ROWS($IO$3:IO198))-SUMIFS($IN$3:$IN$200,$IK$3:$IK$200,ROWS($IO$3:IO198))</f>
        <v>0</v>
      </c>
      <c r="IP198" s="259" t="str">
        <f>IF(IO198&lt;0,INDEX($IJ$3:$IL$200,MATCH(ROWS($IP$3:IP198),$IJ$3:$IJ$200,0),3),"")</f>
        <v/>
      </c>
      <c r="IQ198" s="259">
        <f>IF(IP198&lt;&gt;"",MAX($IQ$2:IQ197)+1,0)</f>
        <v>0</v>
      </c>
      <c r="IR198" s="259" t="str">
        <f ca="1">IFERROR(INDEX($IP$3:$IQ$200,MATCH(ROWS($IR$3:IR198),$IQ$3:$IQ$200,0),1),"")</f>
        <v/>
      </c>
      <c r="IS198" s="259" t="str">
        <f t="shared" ca="1" si="598"/>
        <v/>
      </c>
      <c r="IT198" s="259" t="str">
        <f t="shared" ca="1" si="599"/>
        <v/>
      </c>
      <c r="IU198" s="259" t="str">
        <f ca="1">IF(ROW()-2=$HQ$2,SUM($IS$3:$IS$200)-SUM($IT$3:$IT$200),"")</f>
        <v/>
      </c>
      <c r="IV198" s="259" t="str">
        <f ca="1">IFERROR(IF(INDEX($FG$3:$HV$200,MATCH($HV198,$FG$3:$FG$200,0),4)=0,"",INDEX($FG$3:$HV$200,MATCH($HV198,$FG$3:$FG$200,0),4)),"")</f>
        <v/>
      </c>
      <c r="IW198" s="259" t="str">
        <f ca="1">IFERROR(IF(INDEX($FG$3:$HV$200,MATCH($HV198,$FG$3:$FG$200,0),5)=0,"",INDEX($FG$3:$HV$200,MATCH($HV198,$FG$3:$FG$200,0),5)),"")</f>
        <v/>
      </c>
      <c r="IX198" s="259" t="str">
        <f ca="1">IF(SUM(IV198,IT198,IU198)=0,"",SUM(IV198,IT198,IU198))</f>
        <v/>
      </c>
      <c r="IY198" s="259" t="str">
        <f t="shared" ca="1" si="600"/>
        <v/>
      </c>
      <c r="IZ198" s="259" t="str">
        <f ca="1">IF(AND(IX198="",IY198=""),"",IF(OR(IV198&lt;&gt;"",IW198&lt;&gt;""),"apertura del conto",IF(IS198&lt;&gt;"","totale attività",IF(IT198&lt;&gt;"","totale passività",IF(IU198&lt;&gt;"","patrimonio netto iniziale","")))))</f>
        <v/>
      </c>
      <c r="JA198" s="259" t="str">
        <f t="shared" ca="1" si="601"/>
        <v/>
      </c>
      <c r="JB198" s="259">
        <f t="shared" ca="1" si="536"/>
        <v>0</v>
      </c>
      <c r="JC198" s="259">
        <f t="shared" ca="1" si="504"/>
        <v>0</v>
      </c>
      <c r="JD198" s="259">
        <f t="shared" ca="1" si="505"/>
        <v>0</v>
      </c>
      <c r="JM198" s="259">
        <f t="shared" ca="1" si="506"/>
        <v>0</v>
      </c>
    </row>
    <row r="199" spans="1:273">
      <c r="A199" s="259" t="str">
        <f t="shared" si="537"/>
        <v>40.02</v>
      </c>
      <c r="B199" s="259" t="str">
        <f t="shared" si="538"/>
        <v>INTERESSI ATTIVI BANCARI</v>
      </c>
      <c r="C199" s="259" t="str">
        <f t="shared" si="539"/>
        <v>E</v>
      </c>
      <c r="D199" s="259" t="str">
        <f t="shared" si="540"/>
        <v>A</v>
      </c>
      <c r="E199" s="259" t="str">
        <f t="shared" si="541"/>
        <v>RICAVI D'ESERCIZIO</v>
      </c>
      <c r="F199" s="259" t="str">
        <f t="shared" si="542"/>
        <v>SE AVERE</v>
      </c>
      <c r="G199" s="259">
        <f t="shared" ca="1" si="543"/>
        <v>1</v>
      </c>
      <c r="H199" s="259">
        <f t="shared" ca="1" si="544"/>
        <v>1</v>
      </c>
      <c r="I199" s="259">
        <f t="shared" ca="1" si="545"/>
        <v>1</v>
      </c>
      <c r="K199" s="259" t="str">
        <f ca="1">IFERROR(IF($I$1=1,INDEX($AA$3:$AS$220,MATCH(ROWS($K$3:K199),$AQ$3:$AQ$220,0),1),IF($I$1=2,INDEX($AA$3:$AS$220,MATCH(ROWS($K$3:K199),$AR$3:$AR$220,0),1),IF($I$1=3,INDEX($AA$3:$AS$220,MATCH(ROWS($K$3:K199),$AS$3:$AS$220,0),1),""))),"")</f>
        <v/>
      </c>
      <c r="L199" s="259">
        <f ca="1">IF(AND($L$1="VISUALIZZA TUTTI I CONTI",K199&lt;&gt;""),MAX(L198:L198)+1,IFERROR(IF($J$1=1,IF(INDEX(PIANO_DEI_CONTI,MATCH($K199,DENOMINAZIONE,0),5)=$L$1,MAX($L$2:L198)+1,0),IF($J$1=2,IF(INDEX(PIANO_DEI_CONTI,MATCH($K199,DENOMINAZIONE,0),7)=$L$1,MAX($L$2:L198)+1,0))),0))</f>
        <v>0</v>
      </c>
      <c r="M199" s="259" t="str">
        <f ca="1">IFERROR(INDEX($K$3:$K$220,MATCH(ROWS($M$3:M199),$L$3:$L$220,0),1),"")</f>
        <v/>
      </c>
      <c r="R199" s="259" t="str">
        <f t="shared" ca="1" si="516"/>
        <v/>
      </c>
      <c r="S199" s="259">
        <f ca="1">IF(IFERROR(MATCH(R199,DENOMINAZIONE_GIORNALE,0),0)&gt;0,MAX(S$2:S198)+1,0)</f>
        <v>0</v>
      </c>
      <c r="T199" s="259" t="str">
        <f ca="1">IFERROR(INDEX($R$3:$S$220,MATCH(ROWS($T$3:T199),$S$3:$S$220,0),1),"")</f>
        <v/>
      </c>
      <c r="U199" s="259">
        <f t="shared" ca="1" si="517"/>
        <v>0</v>
      </c>
      <c r="V199" s="259">
        <f ca="1">IF(IF(U199&lt;&gt;0,MAX($V$2:V198)+1,0)=0,0,IF(U199&lt;&gt;0,MAX($V$2:V198)+1,0))</f>
        <v>0</v>
      </c>
      <c r="W199" s="259" t="str">
        <f t="shared" si="546"/>
        <v>40.02</v>
      </c>
      <c r="X199" s="259" t="str">
        <f t="shared" si="547"/>
        <v>INTERESSI ATTIVI BANCARI</v>
      </c>
      <c r="Y199" s="259">
        <f>IF(W199="",0,MAX($Y$2:Y198)+1)</f>
        <v>168</v>
      </c>
      <c r="Z199" s="259" t="str">
        <f>IFERROR(INDEX($W$3:$Y$220,MATCH(ROWS($Z$2:Z198),$Y$3:$Y$220,0),1),"")</f>
        <v/>
      </c>
      <c r="AA199" s="259" t="str">
        <f t="shared" si="548"/>
        <v/>
      </c>
      <c r="AB199" s="259" t="str">
        <f t="shared" si="549"/>
        <v/>
      </c>
      <c r="AC199" s="259" t="str">
        <f t="shared" si="550"/>
        <v/>
      </c>
      <c r="AD199" s="259" t="str">
        <f t="shared" si="551"/>
        <v/>
      </c>
      <c r="AE199" s="259" t="str">
        <f t="shared" si="552"/>
        <v/>
      </c>
      <c r="AF199" s="259" t="str">
        <f t="shared" si="553"/>
        <v/>
      </c>
      <c r="AG199" s="259" t="str">
        <f t="shared" si="554"/>
        <v/>
      </c>
      <c r="AH199" s="259" t="str">
        <f t="shared" si="555"/>
        <v/>
      </c>
      <c r="AI199" s="259" t="str">
        <f t="shared" si="556"/>
        <v/>
      </c>
      <c r="AJ199" s="259" t="str">
        <f t="shared" si="557"/>
        <v/>
      </c>
      <c r="AK199" s="259" t="str">
        <f t="shared" si="558"/>
        <v/>
      </c>
      <c r="AL199" s="259">
        <f>IF(AK199&lt;&gt;"",MAX($AL$2:AL198)+1,0)</f>
        <v>0</v>
      </c>
      <c r="AM199" s="259" t="str">
        <f>IFERROR(INDEX($AK$3:$AL$220,MATCH(ROWS($AM$3:AM199),$AL$3:$AL$220,0),1),"")</f>
        <v/>
      </c>
      <c r="AN199" s="259" t="str">
        <f t="shared" si="559"/>
        <v/>
      </c>
      <c r="AO199" s="259" t="str">
        <f t="shared" si="560"/>
        <v/>
      </c>
      <c r="AP199" s="259" t="str">
        <f t="shared" si="561"/>
        <v/>
      </c>
      <c r="AQ199" s="259">
        <f>IF(OR(AG199=0,AG199=""),0,MAX(AQ$2:AQ198)+1)</f>
        <v>0</v>
      </c>
      <c r="AR199" s="259">
        <f>IF(OR(AH199=0,AH199=""),0,MAX(AR$2:AR198)+1)</f>
        <v>0</v>
      </c>
      <c r="AS199" s="259">
        <f>IF(OR(AI199=0,AI199=""),0,MAX(AS$2:AS198)+1)</f>
        <v>0</v>
      </c>
      <c r="AT199" s="259" t="str">
        <f ca="1">IFERROR(INDEX($AD$3:$AS$220,MATCH(ROWS(AT$3:AT199),AQ$3:AQ$220,0),1),"")</f>
        <v/>
      </c>
      <c r="AU199" s="259" t="str">
        <f ca="1">IFERROR(INDEX($AD$3:$AS$220,MATCH(ROWS(AU$3:AU199),AR$3:AR$220,0),1),"")</f>
        <v/>
      </c>
      <c r="AV199" s="259" t="str">
        <f ca="1">IFERROR(INDEX($AD$3:$AS$220,MATCH(ROWS(AV$3:AV199),AS$3:AS$220,0),1),"")</f>
        <v/>
      </c>
      <c r="AW199" s="259" t="str">
        <f ca="1">IFERROR(INDEX($AP$3:$AS$220,MATCH(ROWS(AW$3:AW199),AQ$3:AQ$220,0),1),"")</f>
        <v/>
      </c>
      <c r="AX199" s="259" t="str">
        <f ca="1">IFERROR(INDEX($AP$3:$AS$220,MATCH(ROWS(AX$3:AX199),AR$3:AR$220,0),1),"")</f>
        <v/>
      </c>
      <c r="AY199" s="259" t="str">
        <f ca="1">IFERROR(INDEX($AP$3:$AS$220,MATCH(ROWS(AY$3:AY199),AS$3:AS$220,0),1),"")</f>
        <v/>
      </c>
      <c r="AZ199" s="259" t="str">
        <f t="shared" si="490"/>
        <v>97 V.I.</v>
      </c>
      <c r="BA199" s="259">
        <f t="shared" ca="1" si="484"/>
        <v>0</v>
      </c>
      <c r="BB199" s="259">
        <f t="shared" ca="1" si="491"/>
        <v>0</v>
      </c>
      <c r="BC199" s="259">
        <f t="shared" ca="1" si="492"/>
        <v>0</v>
      </c>
      <c r="BD199" s="259">
        <f t="shared" ca="1" si="493"/>
        <v>0</v>
      </c>
      <c r="BE199" s="259">
        <f t="shared" ca="1" si="494"/>
        <v>0</v>
      </c>
      <c r="BG199" s="259" t="str">
        <f t="shared" ca="1" si="518"/>
        <v/>
      </c>
      <c r="BH199" s="259">
        <f ca="1">IF(IFERROR(MATCH(BG199,DENOMINAZIONE_GIORNALE,0),0)&gt;0,MAX(BH$2:BH198)+1,0)</f>
        <v>0</v>
      </c>
      <c r="BI199" s="259" t="str">
        <f ca="1">IFERROR(INDEX($BG$3:$BH$220,MATCH(ROWS($BI$3:BI199),$BH$3:$BH$220,0),1),"")</f>
        <v/>
      </c>
      <c r="BJ199" s="259" t="str">
        <f t="shared" ca="1" si="519"/>
        <v/>
      </c>
      <c r="BK199" s="259" t="str">
        <f ca="1">IF(IF(BJ199&lt;&gt;"",MAX($BK$2:BK198)+1,0)=0,"",IF(BJ199&lt;&gt;"",MAX($BK$2:BK198)+1,0))</f>
        <v/>
      </c>
      <c r="BL199" s="259" t="str">
        <f ca="1">IFERROR(INDEX($T$3:$U$220, MATCH(ROWS(BL$3:BL199),$V$3:$V$220,0),1),"")</f>
        <v/>
      </c>
      <c r="BM199" s="259" t="str">
        <f ca="1">IFERROR(INDEX($T$3:$U$220, MATCH(ROWS(BM$3:BM199),$V$3:$V$220,0),2),"")</f>
        <v/>
      </c>
      <c r="BN199" s="259" t="str">
        <f ca="1">IF(IFERROR(INDEX($BI$3:$BJ$220,MATCH(ROWS(BN$3:BN199),$BK$3:$BK$220,0),1),"")="PATRIMONIO NETTO","",IFERROR(INDEX($BI$3:$BJ$220,MATCH(ROWS(BN$3:BN199),$BK$3:$BK$220,0),1),""))</f>
        <v/>
      </c>
      <c r="BO199" s="259" t="str">
        <f ca="1">IFERROR(INDEX($BI$3:$BJ$220,MATCH(ROWS(BO$3:BO199),$BK$3:$BK$220,0),2),"")</f>
        <v/>
      </c>
      <c r="BP199" s="259">
        <f ca="1">IF(BN199&lt;&gt;"",MAX(BP$2:$BP198)+1,0)</f>
        <v>0</v>
      </c>
      <c r="BQ199" s="259" t="str">
        <f ca="1">IFERROR(INDEX($BN$3:$BO$200,MATCH(ROWS(BQ$3:BQ199),$BP$3:$BP$220,0),1),"")</f>
        <v/>
      </c>
      <c r="BR199" s="259" t="str">
        <f ca="1">IFERROR(INDEX($BN$3:$BO$220,MATCH(ROWS(BR$3:BR199),$BP$3:$BP$220,0),2),"")</f>
        <v/>
      </c>
      <c r="BS199" s="259" t="str">
        <f ca="1">IFERROR(IF(OR(INDEX($T$3:$U$220,MATCH(ROWS(BL$3:BL199),$V$3:$V$220,0),1)="PRELEVAMENTI EXTRAGESTIONE",INDEX($T$3:$U$220,MATCH(ROWS(BL$3:BL199),$V$3:$V$220,0),1)="TITOLARE C/RITENUTE SUBITE"),"",INDEX($T$3:$U$220,MATCH(ROWS(BL$3:BL199),$V$3:$V$220,0),1)),"")</f>
        <v/>
      </c>
      <c r="BT199" s="259">
        <f t="shared" ca="1" si="562"/>
        <v>0</v>
      </c>
      <c r="BU199" s="259">
        <f ca="1">IF(BS199&lt;&gt;"",MAX(BU$2:BU198)+1,0)</f>
        <v>0</v>
      </c>
      <c r="BV199" s="259" t="str">
        <f ca="1">IFERROR(INDEX($BS$3:$BT$223,MATCH(ROWS(BV$3:BV199),$BU$3:$BU$223,0),1),"")</f>
        <v/>
      </c>
      <c r="BW199" s="259">
        <f t="shared" ca="1" si="563"/>
        <v>0</v>
      </c>
      <c r="CB199" s="259" t="str">
        <f ca="1">IFERROR(IF(OR($BB$1&lt;&gt;$BD$1,$BC$1&lt;&gt;$BE$1,$DS$231&lt;&gt;$DT$231,$DU$231&lt;&gt;$DV$231,$EO$25&lt;&gt;0,$EO$26&lt;&gt;0),INDEX($BI$3:$BK$220,MATCH(ROWS($CB$3:CB199),$BK$3:$BK$220,0),1),CONCATENATE(BQ199,BX199)),"")</f>
        <v/>
      </c>
      <c r="CC199" s="259" t="str">
        <f t="shared" ca="1" si="564"/>
        <v/>
      </c>
      <c r="CD199" s="259" t="str">
        <f t="shared" ca="1" si="520"/>
        <v/>
      </c>
      <c r="CE199" s="259">
        <f ca="1">IF(IFERROR(MATCH(CD199,DENOMINAZIONE_GIORNALE,0),0)&gt;0,MAX(CE$2:CE198)+1,0)</f>
        <v>0</v>
      </c>
      <c r="CF199" s="259" t="str">
        <f ca="1">IFERROR(INDEX($CD$3:$CE$220,MATCH(ROWS($CF$3:CF199),$CE$3:$CE$220,0),1),"")</f>
        <v/>
      </c>
      <c r="CG199" s="259">
        <f t="shared" ca="1" si="521"/>
        <v>0</v>
      </c>
      <c r="CH199" s="259" t="str">
        <f ca="1">IF(IF(CG199&lt;&gt;0,MAX($CH$2:CH198)+1,0)=0,"",IF(CG199&lt;&gt;"",MAX($CH$2:CH198)+1,0))</f>
        <v/>
      </c>
      <c r="CI199" s="259" t="str">
        <f ca="1">IFERROR(INDEX($CF$3:$CG$220,MATCH(ROWS($CI$3:CI199),$CH$3:$CH$220,0),1),"")</f>
        <v/>
      </c>
      <c r="CJ199" s="259" t="str">
        <f t="shared" ca="1" si="565"/>
        <v/>
      </c>
      <c r="CK199" s="259" t="str">
        <f t="shared" ca="1" si="522"/>
        <v/>
      </c>
      <c r="CL199" s="259">
        <f ca="1">IF(IFERROR(MATCH(CK199,DENOMINAZIONE_GIORNALE,0),0)&gt;0,MAX(CL$2:CL198)+1,0)</f>
        <v>0</v>
      </c>
      <c r="CM199" s="259" t="str">
        <f ca="1">IFERROR(INDEX($CK$3:$CL$220,MATCH(ROWS($CM$3:CM199),$CL$3:$CL$220,0),1),"")</f>
        <v/>
      </c>
      <c r="CN199" s="259" t="str">
        <f t="shared" ca="1" si="523"/>
        <v/>
      </c>
      <c r="CO199" s="259">
        <f ca="1">IF(IF(CN199&lt;&gt;0,MAX($CO$2:CO198)+1,0)=0,"",IF(CN199&lt;&gt;"",MAX($CO$2:CO198)+1,0))</f>
        <v>0</v>
      </c>
      <c r="CP199" s="259" t="str">
        <f ca="1">IFERROR(INDEX($CM$3:$CN$220,MATCH(ROWS(CP$3:CP199),$CO$3:$CO$220,0),1),"")</f>
        <v/>
      </c>
      <c r="CQ199" s="259" t="str">
        <f ca="1">IFERROR(INDEX($CM$3:$CN$220,MATCH(ROWS(CQ$3:CQ199),$CO$3:$CO$220,0),2),"")</f>
        <v/>
      </c>
      <c r="CS199" s="259">
        <f t="shared" ca="1" si="524"/>
        <v>0</v>
      </c>
      <c r="CT199" s="259">
        <f t="shared" ca="1" si="525"/>
        <v>0</v>
      </c>
      <c r="CU199" s="259">
        <f ca="1">IF(OR(CS199&gt;0,CT199&gt;0),MAX($CU$2:CU198)+1,0)</f>
        <v>0</v>
      </c>
      <c r="CV199" s="259" t="str">
        <f ca="1">IFERROR(INDEX(PIANO_DEI_CONTI,MATCH(ROWS($CV$3:CV199),$CU$3:$CU$200,0),2),"")</f>
        <v/>
      </c>
      <c r="CW199" s="259">
        <f ca="1">IFERROR(IF(CV199&lt;&gt;"",MAX($CW$2:CW198)+1,0),0)</f>
        <v>0</v>
      </c>
      <c r="CX199" s="259">
        <f t="shared" ca="1" si="508"/>
        <v>11</v>
      </c>
      <c r="CY199" s="259" t="str">
        <f t="shared" ca="1" si="495"/>
        <v>MASTRO</v>
      </c>
      <c r="CZ199" s="259" t="e">
        <f t="shared" ca="1" si="510"/>
        <v>#N/A</v>
      </c>
      <c r="DA199" s="259" t="str">
        <f t="shared" ca="1" si="515"/>
        <v/>
      </c>
      <c r="DB199" s="259" t="str">
        <f t="shared" ca="1" si="511"/>
        <v/>
      </c>
      <c r="DC199" s="259" t="str">
        <f t="shared" ca="1" si="512"/>
        <v/>
      </c>
      <c r="DD199" s="259" t="str">
        <f t="shared" ca="1" si="513"/>
        <v/>
      </c>
      <c r="DE199" s="259" t="str">
        <f t="shared" ca="1" si="514"/>
        <v/>
      </c>
      <c r="DF199" s="259">
        <f ca="1">IF(AND(CX199=$DE$2,$DF$2&lt;&gt;0),0,IF(AND(DB199&lt;&gt;"",OR(DB198&lt;&gt;"",DB200&lt;&gt;"")),MAX($DF$2:DF198)+1,0))</f>
        <v>0</v>
      </c>
      <c r="DG199" s="259" t="str">
        <f>IF(IF(LIBRO_GIORNALE!E107="","",IFERROR(INDEX(PIANO_DEI_CONTI,MATCH(BB199,DENOMINAZIONE,0),1),0))=0,"",IF(LIBRO_GIORNALE!E107="","",IFERROR(INDEX(PIANO_DEI_CONTI,MATCH(BB199,DENOMINAZIONE,0),1),0)))</f>
        <v/>
      </c>
      <c r="DH199" s="259">
        <f ca="1">IFERROR(IF($J$1=1,IF(INDEX(PIANO_DEI_CONTI,MATCH($K199,DENOMINAZIONE,0),5)=$DF$1,MAX($DH$2:DH198)+1,0),IF($J$1=2,IF(INDEX(PIANO_DEI_CONTI,MATCH($K199,DENOMINAZIONE,0),7)=$DF$1,MAX($DH$2:DH198)+1,0))),0)</f>
        <v>0</v>
      </c>
      <c r="DI199" s="259">
        <f ca="1">IFERROR(INDEX($K$3:$K$220,MATCH(ROWS($DI$3:DI199),$DH$3:$DH$220,0),1),0)</f>
        <v>0</v>
      </c>
      <c r="DJ199" s="259">
        <f t="shared" ca="1" si="526"/>
        <v>0</v>
      </c>
      <c r="DK199" s="259">
        <f ca="1">IF(DJ199=0,0,MAX(DK$2:DK198)+1)</f>
        <v>0</v>
      </c>
      <c r="DL199" s="259">
        <f ca="1">IFERROR(INDEX(PIANO_DEI_CONTI,MATCH(ROWS(DL$3:DL199),$DK$3:DK426,0),2),0)</f>
        <v>0</v>
      </c>
      <c r="DM199" s="259">
        <f t="shared" ca="1" si="527"/>
        <v>0</v>
      </c>
      <c r="DN199" s="259">
        <f t="shared" ca="1" si="528"/>
        <v>0</v>
      </c>
      <c r="DO199" s="259">
        <f t="shared" ca="1" si="566"/>
        <v>0</v>
      </c>
      <c r="DP199" s="259">
        <f t="shared" ca="1" si="567"/>
        <v>0</v>
      </c>
      <c r="DQ199" s="259">
        <f ca="1">IF(OR($DQ$1="TOTALI",$DQ$1="TOTALI ED ECCEDENZE"),IF(OR(DM199&gt;0,DN199&gt;0),MAX(DQ$2:DQ198)+1,0),IF($DQ$1="ECCEDENZE",IF(OR(DO199&gt;0,DP199&gt;0),MAX(DQ$2:DQ198)+1,0),""))</f>
        <v>0</v>
      </c>
      <c r="DR199" s="259" t="str">
        <f ca="1">IFERROR(INDEX($DL$3:$DQ$230,MATCH(ROWS(DR$3:DR199),$DQ$3:$DQ$230,0),1),"")</f>
        <v/>
      </c>
      <c r="DS199" s="259" t="str">
        <f t="shared" ca="1" si="568"/>
        <v/>
      </c>
      <c r="DT199" s="259" t="str">
        <f t="shared" ca="1" si="569"/>
        <v/>
      </c>
      <c r="DU199" s="259" t="str">
        <f t="shared" ca="1" si="570"/>
        <v/>
      </c>
      <c r="DV199" s="259" t="str">
        <f t="shared" ca="1" si="571"/>
        <v/>
      </c>
      <c r="DW199" s="259">
        <f t="shared" ca="1" si="572"/>
        <v>0</v>
      </c>
      <c r="DX199" s="259" t="str">
        <f t="shared" ca="1" si="573"/>
        <v/>
      </c>
      <c r="DY199" s="259" t="str">
        <f t="shared" ca="1" si="574"/>
        <v/>
      </c>
      <c r="DZ199" s="259" t="str">
        <f t="shared" ca="1" si="575"/>
        <v/>
      </c>
      <c r="ED199" s="259">
        <f t="shared" ca="1" si="529"/>
        <v>0</v>
      </c>
      <c r="EH199" s="259" t="str">
        <f t="shared" ca="1" si="576"/>
        <v/>
      </c>
      <c r="EI199" s="260" t="b">
        <f t="shared" ca="1" si="602"/>
        <v>1</v>
      </c>
      <c r="EJ199" s="260" t="b">
        <f t="shared" ca="1" si="603"/>
        <v>1</v>
      </c>
      <c r="EK199" s="260" t="b">
        <f t="shared" ca="1" si="604"/>
        <v>1</v>
      </c>
      <c r="EL199" s="259">
        <f t="shared" si="577"/>
        <v>197</v>
      </c>
      <c r="EM199" s="259">
        <f ca="1">IF(AND(BA199&gt;0,BA199&lt;=$EM$1),MAX($EM$2:EM198)+1,0)</f>
        <v>0</v>
      </c>
      <c r="EN199" s="259">
        <f t="shared" ca="1" si="578"/>
        <v>199</v>
      </c>
      <c r="EP199" s="259" t="str">
        <f t="shared" ca="1" si="530"/>
        <v/>
      </c>
      <c r="EQ199" s="259">
        <f t="shared" ca="1" si="531"/>
        <v>0</v>
      </c>
      <c r="ER199" s="259">
        <f ca="1">IF(ISNA(EQ199),MAX(ER$2:ER198)+1,0)</f>
        <v>0</v>
      </c>
      <c r="ES199" s="259" t="str">
        <f t="shared" ca="1" si="579"/>
        <v/>
      </c>
      <c r="ET199" s="259" t="str">
        <f ca="1">IFERROR(UPPER(INDEX($ER$3:$ES$500,MATCH(ROWS(ET$3:ET199),$ER$3:$ER$500,0),2)),"")</f>
        <v/>
      </c>
      <c r="EW199" s="259">
        <f t="shared" ca="1" si="497"/>
        <v>1</v>
      </c>
      <c r="EX199" s="259">
        <v>97</v>
      </c>
      <c r="EY199" s="259">
        <f t="shared" ca="1" si="498"/>
        <v>0</v>
      </c>
      <c r="EZ199" s="259">
        <f t="shared" ca="1" si="499"/>
        <v>0</v>
      </c>
      <c r="FA199" s="259">
        <f t="shared" ca="1" si="500"/>
        <v>0</v>
      </c>
      <c r="FB199" s="259">
        <f t="shared" ca="1" si="501"/>
        <v>0</v>
      </c>
      <c r="FC199" s="259">
        <f t="shared" ca="1" si="502"/>
        <v>0</v>
      </c>
      <c r="FD199" s="259">
        <f t="shared" ca="1" si="532"/>
        <v>0</v>
      </c>
      <c r="FE199" s="259" t="str">
        <f t="shared" ca="1" si="533"/>
        <v/>
      </c>
      <c r="FF199" s="259" t="str">
        <f t="shared" ca="1" si="503"/>
        <v/>
      </c>
      <c r="FM199" s="259">
        <f t="shared" si="534"/>
        <v>0</v>
      </c>
      <c r="FN199" s="259">
        <f>IF(FM199&lt;0,MAX($FN$2:FN198)+1,0)</f>
        <v>0</v>
      </c>
      <c r="FO199" s="259" t="str">
        <f t="shared" si="580"/>
        <v/>
      </c>
      <c r="FP199" s="259" t="str">
        <f ca="1">IFERROR(INDEX($FN$3:$FO$400,MATCH(ROWS($FP$3:FP199),$FN$3:$FN$400,0),2),"")</f>
        <v/>
      </c>
      <c r="FQ199" s="259" t="str">
        <f>IF(AE199="SE AVERE",MAX($FQ$2:FQ198)+1,"")</f>
        <v/>
      </c>
      <c r="FR199" s="259" t="str">
        <f>IF(AE199="SE DARE",MAX($FR$2:FR198)+1,"")</f>
        <v/>
      </c>
      <c r="FS199" s="259" t="str">
        <f ca="1">IF(AND(AE199="SP DARE",AA199&lt;&gt;$FS$1,AA199&lt;&gt;$FT$1),MAX($FS$2:FS198)+1,IF(AND(GQ199="SP DARE",AA199&lt;&gt;$FS$1,AA199&lt;&gt;$FT$1),MAX($FS$2:FS198)+1,""))</f>
        <v/>
      </c>
      <c r="FT199" s="259" t="str">
        <f ca="1">IF(AND(AE199="SP AVERE",AA199&lt;&gt;$FU$1),MAX($FT$2:FT198)+1,IF(AND(GQ199="SP AVERE",AA199&lt;&gt;$FU$1),MAX($FT$2:FT198)+1,""))</f>
        <v/>
      </c>
      <c r="FU199" s="259">
        <f t="shared" ca="1" si="581"/>
        <v>0</v>
      </c>
      <c r="FV199" s="259" t="str">
        <f t="shared" si="582"/>
        <v/>
      </c>
      <c r="FW199" s="259">
        <f ca="1">IFERROR(INDEX($FU$3:$FV$500,MATCH(ROWS($FW$3:FW199),$FU$3:$FU$500,0),2),0)</f>
        <v>0</v>
      </c>
      <c r="FX199" s="259">
        <f t="shared" ca="1" si="583"/>
        <v>0</v>
      </c>
      <c r="FY199" s="259">
        <f t="shared" ca="1" si="584"/>
        <v>0</v>
      </c>
      <c r="FZ199" s="259">
        <f ca="1">IF(FY199&gt;0,MAX($FZ$2:FZ198)+1,0)</f>
        <v>0</v>
      </c>
      <c r="GA199" s="259">
        <f ca="1">IFERROR(INDEX($FY$3:$FZ$500,MATCH(ROWS($GA$3:GA199),$FZ$3:$FZ$500,0),1),0)</f>
        <v>0</v>
      </c>
      <c r="GC199" s="259">
        <f t="shared" ca="1" si="585"/>
        <v>0</v>
      </c>
      <c r="GD199" s="259">
        <f t="shared" ca="1" si="586"/>
        <v>0</v>
      </c>
      <c r="GG199" s="259">
        <f t="shared" ca="1" si="587"/>
        <v>0</v>
      </c>
      <c r="GH199" s="259">
        <f t="shared" ca="1" si="588"/>
        <v>0</v>
      </c>
      <c r="GI199" s="259">
        <f t="shared" ca="1" si="589"/>
        <v>0</v>
      </c>
      <c r="GJ199" s="259">
        <f t="shared" ca="1" si="590"/>
        <v>0</v>
      </c>
      <c r="GK199" s="259">
        <f t="shared" ca="1" si="591"/>
        <v>0</v>
      </c>
      <c r="GL199" s="259">
        <f t="shared" ca="1" si="591"/>
        <v>0</v>
      </c>
      <c r="GM199" s="259">
        <f ca="1">IF(OR(GK199&gt;0,GL199&gt;0),MAX($GM$2:GM198)+1,0)</f>
        <v>0</v>
      </c>
      <c r="GN199" s="259" t="str">
        <f ca="1">IFERROR(INDEX($GD$3:$GM$400,MATCH(ROWS($GN$3:GN199),$GM$3:$GM$400,0),1),"")</f>
        <v/>
      </c>
      <c r="GO199" s="259" t="str">
        <f ca="1">IFERROR(INDEX($GD$3:$GM$400,MATCH(ROWS($GO$3:GO199),$GM$3:$GM$400,0),8),"")</f>
        <v/>
      </c>
      <c r="GP199" s="259" t="str">
        <f ca="1">IFERROR(INDEX($GD$3:$GM$400,MATCH(ROWS($GP$3:GP199),$GM$3:$GM$400,0),9),"")</f>
        <v/>
      </c>
      <c r="GQ199" s="259">
        <f t="shared" ca="1" si="535"/>
        <v>0</v>
      </c>
      <c r="GR199" s="259">
        <f t="shared" ca="1" si="592"/>
        <v>0</v>
      </c>
      <c r="GS199" s="259" t="str">
        <f t="shared" ca="1" si="593"/>
        <v/>
      </c>
      <c r="GT199" s="259" t="str">
        <f ca="1">IFERROR(INDEX($GD$3:$GS$400,MATCH(ROWS($GT$3:GT199),$GM$3:$GM$400,0),16),"")</f>
        <v/>
      </c>
      <c r="GU199" s="259">
        <f ca="1">IF(GQ199&lt;&gt;0,MAX($GU$2:$GU198)+1,0)</f>
        <v>0</v>
      </c>
      <c r="GV199" s="259">
        <f t="shared" ca="1" si="594"/>
        <v>0</v>
      </c>
      <c r="GW199" s="259" t="str">
        <f ca="1">IF(AND(IFERROR(INDEX($GU$3:$GV$400,MATCH(ROWS($GW$3:GW199),$GU$3:$GU$400,0),2),"")&lt;&gt;"",GW200&lt;&gt;""),CONCATENATE(IFERROR(INDEX($GU$3:$GV$400,MATCH(ROWS($GW$3:GW199),$GU$3:$GU$400,0),2),"")," - "),IFERROR(INDEX($GU$3:$GV$400,MATCH(ROWS($GW$3:GW199),$GU$3:$GU$400,0),2),""))</f>
        <v/>
      </c>
      <c r="GX199" s="259">
        <f ca="1">IF(OR(GN199="IVA NS/CREDITO",GN199="IVA NS/DEBITO",GN199="IVA C/ACCONTO",GN199="IMPOSTE C/ACCONTO"),MAX($GX$2:GX198)+1,0)</f>
        <v>0</v>
      </c>
      <c r="GY199" s="259" t="str">
        <f ca="1">IF(AND(IFERROR(INDEX($GN$3:$GX$200,MATCH(ROWS($GY$3:GY199),$GX$3:$GX$200,0),1),"")&lt;&gt;"",GY200&lt;&gt;""),CONCATENATE(IFERROR(INDEX($GN$3:$GX$200,MATCH(ROWS($GY$3:GY199),$GX$3:$GX$200,0),1),"")," - "),IFERROR(INDEX($GN$3:$GX$200,MATCH(ROWS($GY$3:GY199),$GX$3:$GX$200,0),1),""))</f>
        <v/>
      </c>
      <c r="GZ199" s="259" t="s">
        <v>682</v>
      </c>
      <c r="HA199" s="259" t="s">
        <v>603</v>
      </c>
      <c r="HB199" s="269" t="s">
        <v>256</v>
      </c>
      <c r="HC199" s="269" t="s">
        <v>211</v>
      </c>
      <c r="HD199" s="269" t="s">
        <v>8</v>
      </c>
      <c r="HE199" s="269" t="s">
        <v>213</v>
      </c>
      <c r="HV199" s="259" t="str">
        <f ca="1">CONCATENATE(IFERROR(INDEX($HS$3:$HT$102,MATCH(ROWS($HV$3:HV199),$HT$3:$HT$102,0),1),""),HR199)</f>
        <v/>
      </c>
      <c r="IC199" s="259">
        <f ca="1">IFERROR(INDEX(PIANO_DEI_CONTI,MATCH(ROWS(DL$3:DL199),$DK$3:DK426,0),2),0)</f>
        <v>0</v>
      </c>
      <c r="ID199" s="259">
        <f t="shared" ca="1" si="595"/>
        <v>0</v>
      </c>
      <c r="IE199" s="259">
        <f t="shared" ca="1" si="596"/>
        <v>0</v>
      </c>
      <c r="IF199" s="259">
        <f t="shared" ca="1" si="597"/>
        <v>0</v>
      </c>
      <c r="IG199" s="259">
        <f t="shared" ca="1" si="479"/>
        <v>0</v>
      </c>
      <c r="IH199" s="259">
        <f ca="1">IF(IG199&lt;&gt;0,MAX($IH$35:IH198)+1,0)</f>
        <v>0</v>
      </c>
      <c r="II199" s="259">
        <f>IF(AD199="costi pluriennali",MAX($II$2:II198)+1,0)</f>
        <v>0</v>
      </c>
      <c r="IJ199" s="259">
        <f>IF($AD199="rettifiche costi pluriennali",MAX($IJ$2:IJ198)+1,0)</f>
        <v>0</v>
      </c>
      <c r="IK199" s="259">
        <f>MAX(II199,IJ199)</f>
        <v>0</v>
      </c>
      <c r="IL199" s="259" t="str">
        <f>IF(IK199&gt;0,AA199,"")</f>
        <v/>
      </c>
      <c r="IM199" s="259">
        <f ca="1">IFERROR(INDEX($IC$3:$IK$200,MATCH(IL199,$IC$3:$IC$200,0),2),0)</f>
        <v>0</v>
      </c>
      <c r="IN199" s="259">
        <f ca="1">IFERROR(INDEX($IC$3:$IK$200,MATCH(IL199,$IC$3:$IC$200,0),3),0)</f>
        <v>0</v>
      </c>
      <c r="IO199" s="259">
        <f>SUMIFS($IM$3:$IM$200,$IK$3:$IK$200,ROWS($IO$3:IO199))-SUMIFS($IN$3:$IN$200,$IK$3:$IK$200,ROWS($IO$3:IO199))</f>
        <v>0</v>
      </c>
      <c r="IP199" s="259" t="str">
        <f>IF(IO199&lt;0,INDEX($IJ$3:$IL$200,MATCH(ROWS($IP$3:IP199),$IJ$3:$IJ$200,0),3),"")</f>
        <v/>
      </c>
      <c r="IQ199" s="259">
        <f>IF(IP199&lt;&gt;"",MAX($IQ$2:IQ198)+1,0)</f>
        <v>0</v>
      </c>
      <c r="IR199" s="259" t="str">
        <f ca="1">IFERROR(INDEX($IP$3:$IQ$200,MATCH(ROWS($IR$3:IR199),$IQ$3:$IQ$200,0),1),"")</f>
        <v/>
      </c>
      <c r="IS199" s="259" t="str">
        <f t="shared" ca="1" si="598"/>
        <v/>
      </c>
      <c r="IT199" s="259" t="str">
        <f t="shared" ca="1" si="599"/>
        <v/>
      </c>
      <c r="IU199" s="259" t="str">
        <f ca="1">IF(ROW()-2=$HQ$2,SUM($IS$3:$IS$200)-SUM($IT$3:$IT$200),"")</f>
        <v/>
      </c>
      <c r="IV199" s="259" t="str">
        <f ca="1">IFERROR(IF(INDEX($FG$3:$HV$200,MATCH($HV199,$FG$3:$FG$200,0),4)=0,"",INDEX($FG$3:$HV$200,MATCH($HV199,$FG$3:$FG$200,0),4)),"")</f>
        <v/>
      </c>
      <c r="IW199" s="259" t="str">
        <f ca="1">IFERROR(IF(INDEX($FG$3:$HV$200,MATCH($HV199,$FG$3:$FG$200,0),5)=0,"",INDEX($FG$3:$HV$200,MATCH($HV199,$FG$3:$FG$200,0),5)),"")</f>
        <v/>
      </c>
      <c r="IX199" s="259" t="str">
        <f ca="1">IF(SUM(IV199,IT199,IU199)=0,"",SUM(IV199,IT199,IU199))</f>
        <v/>
      </c>
      <c r="IY199" s="259" t="str">
        <f t="shared" ca="1" si="600"/>
        <v/>
      </c>
      <c r="IZ199" s="259" t="str">
        <f ca="1">IF(AND(IX199="",IY199=""),"",IF(OR(IV199&lt;&gt;"",IW199&lt;&gt;""),"apertura del conto",IF(IS199&lt;&gt;"","totale attività",IF(IT199&lt;&gt;"","totale passività",IF(IU199&lt;&gt;"","patrimonio netto iniziale","")))))</f>
        <v/>
      </c>
      <c r="JA199" s="259" t="str">
        <f t="shared" ca="1" si="601"/>
        <v/>
      </c>
      <c r="JB199" s="259">
        <f t="shared" ca="1" si="536"/>
        <v>0</v>
      </c>
      <c r="JC199" s="259">
        <f t="shared" ca="1" si="504"/>
        <v>0</v>
      </c>
      <c r="JD199" s="259">
        <f t="shared" ca="1" si="505"/>
        <v>0</v>
      </c>
      <c r="JM199" s="259">
        <f t="shared" ca="1" si="506"/>
        <v>0</v>
      </c>
    </row>
    <row r="200" spans="1:273">
      <c r="A200" s="259" t="str">
        <f t="shared" si="537"/>
        <v>40.03</v>
      </c>
      <c r="B200" s="259" t="str">
        <f t="shared" si="538"/>
        <v>INTERESSI ATTIVI POSTALI</v>
      </c>
      <c r="C200" s="259" t="str">
        <f t="shared" si="539"/>
        <v>E</v>
      </c>
      <c r="D200" s="259" t="str">
        <f t="shared" si="540"/>
        <v>A</v>
      </c>
      <c r="E200" s="259" t="str">
        <f t="shared" si="541"/>
        <v>RICAVI D'ESERCIZIO</v>
      </c>
      <c r="F200" s="259" t="str">
        <f t="shared" si="542"/>
        <v>SE AVERE</v>
      </c>
      <c r="G200" s="259">
        <f t="shared" ca="1" si="543"/>
        <v>1</v>
      </c>
      <c r="H200" s="259">
        <f t="shared" ca="1" si="544"/>
        <v>1</v>
      </c>
      <c r="I200" s="259">
        <f t="shared" ca="1" si="545"/>
        <v>1</v>
      </c>
      <c r="K200" s="259" t="str">
        <f ca="1">IFERROR(IF($I$1=1,INDEX($AA$3:$AS$220,MATCH(ROWS($K$3:K200),$AQ$3:$AQ$220,0),1),IF($I$1=2,INDEX($AA$3:$AS$220,MATCH(ROWS($K$3:K200),$AR$3:$AR$220,0),1),IF($I$1=3,INDEX($AA$3:$AS$220,MATCH(ROWS($K$3:K200),$AS$3:$AS$220,0),1),""))),"")</f>
        <v/>
      </c>
      <c r="L200" s="259">
        <f ca="1">IF(AND($L$1="VISUALIZZA TUTTI I CONTI",K200&lt;&gt;""),MAX(L199:L199)+1,IFERROR(IF($J$1=1,IF(INDEX(PIANO_DEI_CONTI,MATCH($K200,DENOMINAZIONE,0),5)=$L$1,MAX($L$2:L199)+1,0),IF($J$1=2,IF(INDEX(PIANO_DEI_CONTI,MATCH($K200,DENOMINAZIONE,0),7)=$L$1,MAX($L$2:L199)+1,0))),0))</f>
        <v>0</v>
      </c>
      <c r="M200" s="259" t="str">
        <f ca="1">IFERROR(INDEX($K$3:$K$220,MATCH(ROWS($M$3:M200),$L$3:$L$220,0),1),"")</f>
        <v/>
      </c>
      <c r="R200" s="259" t="str">
        <f t="shared" ca="1" si="516"/>
        <v/>
      </c>
      <c r="S200" s="259">
        <f ca="1">IF(IFERROR(MATCH(R200,DENOMINAZIONE_GIORNALE,0),0)&gt;0,MAX(S$2:S199)+1,0)</f>
        <v>0</v>
      </c>
      <c r="T200" s="259" t="str">
        <f ca="1">IFERROR(INDEX($R$3:$S$220,MATCH(ROWS($T$3:T200),$S$3:$S$220,0),1),"")</f>
        <v/>
      </c>
      <c r="U200" s="259">
        <f t="shared" ca="1" si="517"/>
        <v>0</v>
      </c>
      <c r="V200" s="259">
        <f ca="1">IF(IF(U200&lt;&gt;0,MAX($V$2:V199)+1,0)=0,0,IF(U200&lt;&gt;0,MAX($V$2:V199)+1,0))</f>
        <v>0</v>
      </c>
      <c r="W200" s="259" t="str">
        <f t="shared" si="546"/>
        <v>40.03</v>
      </c>
      <c r="X200" s="259" t="str">
        <f t="shared" si="547"/>
        <v>INTERESSI ATTIVI POSTALI</v>
      </c>
      <c r="Y200" s="259">
        <f>IF(W200="",0,MAX($Y$2:Y199)+1)</f>
        <v>169</v>
      </c>
      <c r="Z200" s="259" t="str">
        <f>IFERROR(INDEX($W$3:$Y$220,MATCH(ROWS($Z$2:Z199),$Y$3:$Y$220,0),1),"")</f>
        <v/>
      </c>
      <c r="AA200" s="259" t="str">
        <f t="shared" si="548"/>
        <v/>
      </c>
      <c r="AB200" s="259" t="str">
        <f t="shared" si="549"/>
        <v/>
      </c>
      <c r="AC200" s="259" t="str">
        <f t="shared" si="550"/>
        <v/>
      </c>
      <c r="AD200" s="259" t="str">
        <f t="shared" si="551"/>
        <v/>
      </c>
      <c r="AE200" s="259" t="str">
        <f t="shared" si="552"/>
        <v/>
      </c>
      <c r="AF200" s="259" t="str">
        <f t="shared" si="553"/>
        <v/>
      </c>
      <c r="AG200" s="259" t="str">
        <f t="shared" si="554"/>
        <v/>
      </c>
      <c r="AH200" s="259" t="str">
        <f t="shared" si="555"/>
        <v/>
      </c>
      <c r="AI200" s="259" t="str">
        <f t="shared" si="556"/>
        <v/>
      </c>
      <c r="AJ200" s="259" t="str">
        <f t="shared" si="557"/>
        <v/>
      </c>
      <c r="AK200" s="259" t="str">
        <f t="shared" si="558"/>
        <v/>
      </c>
      <c r="AL200" s="259">
        <f>IF(AK200&lt;&gt;"",MAX($AL$2:AL199)+1,0)</f>
        <v>0</v>
      </c>
      <c r="AM200" s="259" t="str">
        <f>IFERROR(INDEX($AK$3:$AL$220,MATCH(ROWS($AM$3:AM200),$AL$3:$AL$220,0),1),"")</f>
        <v/>
      </c>
      <c r="AN200" s="259" t="str">
        <f t="shared" si="559"/>
        <v/>
      </c>
      <c r="AO200" s="259" t="str">
        <f t="shared" si="560"/>
        <v/>
      </c>
      <c r="AP200" s="259" t="str">
        <f t="shared" si="561"/>
        <v/>
      </c>
      <c r="AQ200" s="259">
        <f>IF(OR(AG200=0,AG200=""),0,MAX(AQ$2:AQ199)+1)</f>
        <v>0</v>
      </c>
      <c r="AR200" s="259">
        <f>IF(OR(AH200=0,AH200=""),0,MAX(AR$2:AR199)+1)</f>
        <v>0</v>
      </c>
      <c r="AS200" s="259">
        <f>IF(OR(AI200=0,AI200=""),0,MAX(AS$2:AS199)+1)</f>
        <v>0</v>
      </c>
      <c r="AT200" s="259" t="str">
        <f ca="1">IFERROR(INDEX($AD$3:$AS$220,MATCH(ROWS(AT$3:AT200),AQ$3:AQ$220,0),1),"")</f>
        <v/>
      </c>
      <c r="AU200" s="259" t="str">
        <f ca="1">IFERROR(INDEX($AD$3:$AS$220,MATCH(ROWS(AU$3:AU200),AR$3:AR$220,0),1),"")</f>
        <v/>
      </c>
      <c r="AV200" s="259" t="str">
        <f ca="1">IFERROR(INDEX($AD$3:$AS$220,MATCH(ROWS(AV$3:AV200),AS$3:AS$220,0),1),"")</f>
        <v/>
      </c>
      <c r="AW200" s="259" t="str">
        <f ca="1">IFERROR(INDEX($AP$3:$AS$220,MATCH(ROWS(AW$3:AW200),AQ$3:AQ$220,0),1),"")</f>
        <v/>
      </c>
      <c r="AX200" s="259" t="str">
        <f ca="1">IFERROR(INDEX($AP$3:$AS$220,MATCH(ROWS(AX$3:AX200),AR$3:AR$220,0),1),"")</f>
        <v/>
      </c>
      <c r="AY200" s="259" t="str">
        <f ca="1">IFERROR(INDEX($AP$3:$AS$220,MATCH(ROWS(AY$3:AY200),AS$3:AS$220,0),1),"")</f>
        <v/>
      </c>
      <c r="AZ200" s="259" t="str">
        <f t="shared" si="490"/>
        <v>98 V.I.</v>
      </c>
      <c r="BA200" s="259">
        <f t="shared" ca="1" si="484"/>
        <v>0</v>
      </c>
      <c r="BB200" s="259">
        <f t="shared" ca="1" si="491"/>
        <v>0</v>
      </c>
      <c r="BC200" s="259">
        <f t="shared" ca="1" si="492"/>
        <v>0</v>
      </c>
      <c r="BD200" s="259">
        <f t="shared" ca="1" si="493"/>
        <v>0</v>
      </c>
      <c r="BE200" s="259">
        <f t="shared" ca="1" si="494"/>
        <v>0</v>
      </c>
      <c r="BG200" s="259" t="str">
        <f t="shared" ca="1" si="518"/>
        <v/>
      </c>
      <c r="BH200" s="259">
        <f ca="1">IF(IFERROR(MATCH(BG200,DENOMINAZIONE_GIORNALE,0),0)&gt;0,MAX(BH$2:BH199)+1,0)</f>
        <v>0</v>
      </c>
      <c r="BI200" s="259" t="str">
        <f ca="1">IFERROR(INDEX($BG$3:$BH$220,MATCH(ROWS($BI$3:BI200),$BH$3:$BH$220,0),1),"")</f>
        <v/>
      </c>
      <c r="BJ200" s="259" t="str">
        <f t="shared" ca="1" si="519"/>
        <v/>
      </c>
      <c r="BK200" s="259" t="str">
        <f ca="1">IF(IF(BJ200&lt;&gt;"",MAX($BK$2:BK199)+1,0)=0,"",IF(BJ200&lt;&gt;"",MAX($BK$2:BK199)+1,0))</f>
        <v/>
      </c>
      <c r="BL200" s="259" t="str">
        <f ca="1">IFERROR(INDEX($T$3:$U$220, MATCH(ROWS(BL$3:BL200),$V$3:$V$220,0),1),"")</f>
        <v/>
      </c>
      <c r="BM200" s="259" t="str">
        <f ca="1">IFERROR(INDEX($T$3:$U$220, MATCH(ROWS(BM$3:BM200),$V$3:$V$220,0),2),"")</f>
        <v/>
      </c>
      <c r="BN200" s="259" t="str">
        <f ca="1">IF(IFERROR(INDEX($BI$3:$BJ$220,MATCH(ROWS(BN$3:BN200),$BK$3:$BK$220,0),1),"")="PATRIMONIO NETTO","",IFERROR(INDEX($BI$3:$BJ$220,MATCH(ROWS(BN$3:BN200),$BK$3:$BK$220,0),1),""))</f>
        <v/>
      </c>
      <c r="BO200" s="259" t="str">
        <f ca="1">IFERROR(INDEX($BI$3:$BJ$220,MATCH(ROWS(BO$3:BO200),$BK$3:$BK$220,0),2),"")</f>
        <v/>
      </c>
      <c r="BP200" s="259">
        <f ca="1">IF(BN200&lt;&gt;"",MAX(BP$2:$BP199)+1,0)</f>
        <v>0</v>
      </c>
      <c r="BQ200" s="259" t="str">
        <f ca="1">IFERROR(INDEX($BN$3:$BO$200,MATCH(ROWS(BQ$3:BQ200),$BP$3:$BP$220,0),1),"")</f>
        <v/>
      </c>
      <c r="BR200" s="259" t="str">
        <f ca="1">IFERROR(INDEX($BN$3:$BO$220,MATCH(ROWS(BR$3:BR200),$BP$3:$BP$220,0),2),"")</f>
        <v/>
      </c>
      <c r="BS200" s="259" t="str">
        <f ca="1">IFERROR(IF(OR(INDEX($T$3:$U$220,MATCH(ROWS(BL$3:BL200),$V$3:$V$220,0),1)="PRELEVAMENTI EXTRAGESTIONE",INDEX($T$3:$U$220,MATCH(ROWS(BL$3:BL200),$V$3:$V$220,0),1)="TITOLARE C/RITENUTE SUBITE"),"",INDEX($T$3:$U$220,MATCH(ROWS(BL$3:BL200),$V$3:$V$220,0),1)),"")</f>
        <v/>
      </c>
      <c r="BT200" s="259">
        <f t="shared" ca="1" si="562"/>
        <v>0</v>
      </c>
      <c r="BU200" s="259">
        <f ca="1">IF(BS200&lt;&gt;"",MAX(BU$2:BU199)+1,0)</f>
        <v>0</v>
      </c>
      <c r="BV200" s="259" t="str">
        <f ca="1">IFERROR(INDEX($BS$3:$BT$223,MATCH(ROWS(BV$3:BV200),$BU$3:$BU$223,0),1),"")</f>
        <v/>
      </c>
      <c r="BW200" s="259">
        <f t="shared" ca="1" si="563"/>
        <v>0</v>
      </c>
      <c r="CB200" s="259" t="str">
        <f ca="1">IFERROR(IF(OR($BB$1&lt;&gt;$BD$1,$BC$1&lt;&gt;$BE$1,$DS$231&lt;&gt;$DT$231,$DU$231&lt;&gt;$DV$231,$EO$25&lt;&gt;0,$EO$26&lt;&gt;0),INDEX($BI$3:$BK$220,MATCH(ROWS($CB$3:CB200),$BK$3:$BK$220,0),1),CONCATENATE(BQ200,BX200)),"")</f>
        <v/>
      </c>
      <c r="CC200" s="259" t="str">
        <f t="shared" ca="1" si="564"/>
        <v/>
      </c>
      <c r="CD200" s="259" t="str">
        <f t="shared" ca="1" si="520"/>
        <v/>
      </c>
      <c r="CE200" s="259">
        <f ca="1">IF(IFERROR(MATCH(CD200,DENOMINAZIONE_GIORNALE,0),0)&gt;0,MAX(CE$2:CE199)+1,0)</f>
        <v>0</v>
      </c>
      <c r="CF200" s="259" t="str">
        <f ca="1">IFERROR(INDEX($CD$3:$CE$220,MATCH(ROWS($CF$3:CF200),$CE$3:$CE$220,0),1),"")</f>
        <v/>
      </c>
      <c r="CG200" s="259">
        <f t="shared" ca="1" si="521"/>
        <v>0</v>
      </c>
      <c r="CH200" s="259" t="str">
        <f ca="1">IF(IF(CG200&lt;&gt;0,MAX($CH$2:CH199)+1,0)=0,"",IF(CG200&lt;&gt;"",MAX($CH$2:CH199)+1,0))</f>
        <v/>
      </c>
      <c r="CI200" s="259" t="str">
        <f ca="1">IFERROR(INDEX($CF$3:$CG$220,MATCH(ROWS($CI$3:CI200),$CH$3:$CH$220,0),1),"")</f>
        <v/>
      </c>
      <c r="CJ200" s="259" t="str">
        <f t="shared" ca="1" si="565"/>
        <v/>
      </c>
      <c r="CK200" s="259" t="str">
        <f t="shared" ca="1" si="522"/>
        <v/>
      </c>
      <c r="CL200" s="259">
        <f ca="1">IF(IFERROR(MATCH(CK200,DENOMINAZIONE_GIORNALE,0),0)&gt;0,MAX(CL$2:CL199)+1,0)</f>
        <v>0</v>
      </c>
      <c r="CM200" s="259" t="str">
        <f ca="1">IFERROR(INDEX($CK$3:$CL$220,MATCH(ROWS($CM$3:CM200),$CL$3:$CL$220,0),1),"")</f>
        <v/>
      </c>
      <c r="CN200" s="259" t="str">
        <f t="shared" ca="1" si="523"/>
        <v/>
      </c>
      <c r="CO200" s="259">
        <f ca="1">IF(IF(CN200&lt;&gt;0,MAX($CO$2:CO199)+1,0)=0,"",IF(CN200&lt;&gt;"",MAX($CO$2:CO199)+1,0))</f>
        <v>0</v>
      </c>
      <c r="CP200" s="259" t="str">
        <f ca="1">IFERROR(INDEX($CM$3:$CN$220,MATCH(ROWS(CP$3:CP200),$CO$3:$CO$220,0),1),"")</f>
        <v/>
      </c>
      <c r="CQ200" s="259" t="str">
        <f ca="1">IFERROR(INDEX($CM$3:$CN$220,MATCH(ROWS(CQ$3:CQ200),$CO$3:$CO$220,0),2),"")</f>
        <v/>
      </c>
      <c r="CS200" s="259">
        <f t="shared" ca="1" si="524"/>
        <v>0</v>
      </c>
      <c r="CT200" s="259">
        <f t="shared" ca="1" si="525"/>
        <v>0</v>
      </c>
      <c r="CU200" s="259">
        <f ca="1">IF(OR(CS200&gt;0,CT200&gt;0),MAX($CU$2:CU199)+1,0)</f>
        <v>0</v>
      </c>
      <c r="CV200" s="259" t="str">
        <f ca="1">IFERROR(INDEX(PIANO_DEI_CONTI,MATCH(ROWS($CV$3:CV200),$CU$3:$CU$200,0),2),"")</f>
        <v/>
      </c>
      <c r="CW200" s="259">
        <f ca="1">IFERROR(IF(CV200&lt;&gt;"",MAX($CW$2:CW199)+1,0),0)</f>
        <v>0</v>
      </c>
      <c r="CX200" s="259" t="str">
        <f>IFERROR(IF(CX182+1=1,"",(CX182+1)),"")</f>
        <v/>
      </c>
      <c r="CY200" s="259" t="s">
        <v>269</v>
      </c>
      <c r="DB200" s="259" t="str">
        <f t="shared" ref="DB200" si="605">CY200</f>
        <v>MASTRO</v>
      </c>
      <c r="DF200" s="259">
        <f ca="1">IF(AND(CX200=$DE$2,$DF$2&lt;&gt;0),0,IF(AND(DB200&lt;&gt;"",OR(DB199&lt;&gt;"",DB201&lt;&gt;"")),MAX($DF$2:DF199)+1,0))</f>
        <v>0</v>
      </c>
      <c r="DG200" s="259" t="str">
        <f>IF(IF(LIBRO_GIORNALE!E108="","",IFERROR(INDEX(PIANO_DEI_CONTI,MATCH(BB200,DENOMINAZIONE,0),1),0))=0,"",IF(LIBRO_GIORNALE!E108="","",IFERROR(INDEX(PIANO_DEI_CONTI,MATCH(BB200,DENOMINAZIONE,0),1),0)))</f>
        <v/>
      </c>
      <c r="DH200" s="259">
        <f ca="1">IFERROR(IF($J$1=1,IF(INDEX(PIANO_DEI_CONTI,MATCH($K200,DENOMINAZIONE,0),5)=$DF$1,MAX($DH$2:DH199)+1,0),IF($J$1=2,IF(INDEX(PIANO_DEI_CONTI,MATCH($K200,DENOMINAZIONE,0),7)=$DF$1,MAX($DH$2:DH199)+1,0))),0)</f>
        <v>0</v>
      </c>
      <c r="DI200" s="259">
        <f ca="1">IFERROR(INDEX($K$3:$K$220,MATCH(ROWS($DI$3:DI200),$DH$3:$DH$220,0),1),0)</f>
        <v>0</v>
      </c>
      <c r="DJ200" s="259">
        <f t="shared" ca="1" si="526"/>
        <v>0</v>
      </c>
      <c r="DK200" s="259">
        <f ca="1">IF(DJ200=0,0,MAX(DK$2:DK199)+1)</f>
        <v>0</v>
      </c>
      <c r="DL200" s="259">
        <f ca="1">IFERROR(INDEX(PIANO_DEI_CONTI,MATCH(ROWS(DL$3:DL200),$DK$3:DK427,0),2),0)</f>
        <v>0</v>
      </c>
      <c r="DM200" s="259">
        <f t="shared" ca="1" si="527"/>
        <v>0</v>
      </c>
      <c r="DN200" s="259">
        <f t="shared" ca="1" si="528"/>
        <v>0</v>
      </c>
      <c r="DO200" s="259">
        <f t="shared" ca="1" si="566"/>
        <v>0</v>
      </c>
      <c r="DP200" s="259">
        <f t="shared" ca="1" si="567"/>
        <v>0</v>
      </c>
      <c r="DQ200" s="259">
        <f ca="1">IF(OR($DQ$1="TOTALI",$DQ$1="TOTALI ED ECCEDENZE"),IF(OR(DM200&gt;0,DN200&gt;0),MAX(DQ$2:DQ199)+1,0),IF($DQ$1="ECCEDENZE",IF(OR(DO200&gt;0,DP200&gt;0),MAX(DQ$2:DQ199)+1,0),""))</f>
        <v>0</v>
      </c>
      <c r="DR200" s="259" t="str">
        <f ca="1">IFERROR(INDEX($DL$3:$DQ$230,MATCH(ROWS(DR$3:DR200),$DQ$3:$DQ$230,0),1),"")</f>
        <v/>
      </c>
      <c r="DS200" s="259" t="str">
        <f t="shared" ca="1" si="568"/>
        <v/>
      </c>
      <c r="DT200" s="259" t="str">
        <f t="shared" ca="1" si="569"/>
        <v/>
      </c>
      <c r="DU200" s="259" t="str">
        <f t="shared" ca="1" si="570"/>
        <v/>
      </c>
      <c r="DV200" s="259" t="str">
        <f t="shared" ca="1" si="571"/>
        <v/>
      </c>
      <c r="DW200" s="259">
        <f t="shared" ca="1" si="572"/>
        <v>0</v>
      </c>
      <c r="DX200" s="259" t="str">
        <f t="shared" ca="1" si="573"/>
        <v/>
      </c>
      <c r="DY200" s="259" t="str">
        <f t="shared" ca="1" si="574"/>
        <v/>
      </c>
      <c r="DZ200" s="259" t="str">
        <f t="shared" ca="1" si="575"/>
        <v/>
      </c>
      <c r="ED200" s="259">
        <f t="shared" ca="1" si="529"/>
        <v>0</v>
      </c>
      <c r="EH200" s="259" t="str">
        <f t="shared" ca="1" si="576"/>
        <v/>
      </c>
      <c r="EI200" s="260" t="b">
        <f t="shared" ca="1" si="602"/>
        <v>1</v>
      </c>
      <c r="EJ200" s="260" t="b">
        <f t="shared" ca="1" si="603"/>
        <v>1</v>
      </c>
      <c r="EK200" s="260" t="b">
        <f t="shared" ca="1" si="604"/>
        <v>1</v>
      </c>
      <c r="EL200" s="259">
        <f t="shared" si="577"/>
        <v>198</v>
      </c>
      <c r="EM200" s="259">
        <f ca="1">IF(AND(BA200&gt;0,BA200&lt;=$EM$1),MAX($EM$2:EM199)+1,0)</f>
        <v>0</v>
      </c>
      <c r="EN200" s="259">
        <f t="shared" ca="1" si="578"/>
        <v>200</v>
      </c>
      <c r="EP200" s="259" t="str">
        <f t="shared" ca="1" si="530"/>
        <v/>
      </c>
      <c r="EQ200" s="259">
        <f t="shared" ca="1" si="531"/>
        <v>0</v>
      </c>
      <c r="ER200" s="259">
        <f ca="1">IF(ISNA(EQ200),MAX(ER$2:ER199)+1,0)</f>
        <v>0</v>
      </c>
      <c r="ES200" s="259" t="str">
        <f t="shared" ca="1" si="579"/>
        <v/>
      </c>
      <c r="ET200" s="259" t="str">
        <f ca="1">IFERROR(UPPER(INDEX($ER$3:$ES$500,MATCH(ROWS(ET$3:ET200),$ER$3:$ER$500,0),2)),"")</f>
        <v/>
      </c>
      <c r="EW200" s="259">
        <f t="shared" ca="1" si="497"/>
        <v>1</v>
      </c>
      <c r="EX200" s="259">
        <v>98</v>
      </c>
      <c r="EY200" s="259">
        <f t="shared" ca="1" si="498"/>
        <v>0</v>
      </c>
      <c r="EZ200" s="259">
        <f t="shared" ca="1" si="499"/>
        <v>0</v>
      </c>
      <c r="FA200" s="259">
        <f t="shared" ca="1" si="500"/>
        <v>0</v>
      </c>
      <c r="FB200" s="259">
        <f t="shared" ca="1" si="501"/>
        <v>0</v>
      </c>
      <c r="FC200" s="259">
        <f t="shared" ca="1" si="502"/>
        <v>0</v>
      </c>
      <c r="FD200" s="259">
        <f t="shared" ca="1" si="532"/>
        <v>0</v>
      </c>
      <c r="FE200" s="259" t="str">
        <f t="shared" ca="1" si="533"/>
        <v/>
      </c>
      <c r="FF200" s="259" t="str">
        <f t="shared" ca="1" si="503"/>
        <v/>
      </c>
      <c r="FM200" s="259">
        <f t="shared" si="534"/>
        <v>0</v>
      </c>
      <c r="FN200" s="259">
        <f>IF(FM200&lt;0,MAX($FN$2:FN199)+1,0)</f>
        <v>0</v>
      </c>
      <c r="FO200" s="259" t="str">
        <f t="shared" si="580"/>
        <v/>
      </c>
      <c r="FP200" s="259" t="str">
        <f ca="1">IFERROR(INDEX($FN$3:$FO$400,MATCH(ROWS($FP$3:FP200),$FN$3:$FN$400,0),2),"")</f>
        <v/>
      </c>
      <c r="FQ200" s="259" t="str">
        <f>IF(AE200="SE AVERE",MAX($FQ$2:FQ199)+1,"")</f>
        <v/>
      </c>
      <c r="FR200" s="259" t="str">
        <f>IF(AE200="SE DARE",MAX($FR$2:FR199)+1,"")</f>
        <v/>
      </c>
      <c r="FS200" s="259" t="str">
        <f ca="1">IF(AND(AE200="SP DARE",AA200&lt;&gt;$FS$1,AA200&lt;&gt;$FT$1),MAX($FS$2:FS199)+1,IF(AND(GQ200="SP DARE",AA200&lt;&gt;$FS$1,AA200&lt;&gt;$FT$1),MAX($FS$2:FS199)+1,""))</f>
        <v/>
      </c>
      <c r="FT200" s="259" t="str">
        <f ca="1">IF(AND(AE200="SP AVERE",AA200&lt;&gt;$FU$1),MAX($FT$2:FT199)+1,IF(AND(GQ200="SP AVERE",AA200&lt;&gt;$FU$1),MAX($FT$2:FT199)+1,""))</f>
        <v/>
      </c>
      <c r="FU200" s="259">
        <f t="shared" ca="1" si="581"/>
        <v>0</v>
      </c>
      <c r="FV200" s="259" t="str">
        <f t="shared" si="582"/>
        <v/>
      </c>
      <c r="FW200" s="259">
        <f ca="1">IFERROR(INDEX($FU$3:$FV$500,MATCH(ROWS($FW$3:FW200),$FU$3:$FU$500,0),2),0)</f>
        <v>0</v>
      </c>
      <c r="FX200" s="259">
        <f t="shared" ca="1" si="583"/>
        <v>0</v>
      </c>
      <c r="FY200" s="259">
        <f t="shared" ca="1" si="584"/>
        <v>0</v>
      </c>
      <c r="FZ200" s="259">
        <f ca="1">IF(FY200&gt;0,MAX($FZ$2:FZ199)+1,0)</f>
        <v>0</v>
      </c>
      <c r="GA200" s="259">
        <f ca="1">IFERROR(INDEX($FY$3:$FZ$500,MATCH(ROWS($GA$3:GA200),$FZ$3:$FZ$500,0),1),0)</f>
        <v>0</v>
      </c>
      <c r="GC200" s="259">
        <f t="shared" ca="1" si="585"/>
        <v>0</v>
      </c>
      <c r="GD200" s="259">
        <f t="shared" ca="1" si="586"/>
        <v>0</v>
      </c>
      <c r="GG200" s="259">
        <f t="shared" ca="1" si="587"/>
        <v>0</v>
      </c>
      <c r="GH200" s="259">
        <f t="shared" ca="1" si="588"/>
        <v>0</v>
      </c>
      <c r="GI200" s="259">
        <f t="shared" ca="1" si="589"/>
        <v>0</v>
      </c>
      <c r="GJ200" s="259">
        <f t="shared" ca="1" si="590"/>
        <v>0</v>
      </c>
      <c r="GK200" s="259">
        <f t="shared" ca="1" si="591"/>
        <v>0</v>
      </c>
      <c r="GL200" s="259">
        <f t="shared" ca="1" si="591"/>
        <v>0</v>
      </c>
      <c r="GM200" s="259">
        <f ca="1">IF(OR(GK200&gt;0,GL200&gt;0),MAX($GM$2:GM199)+1,0)</f>
        <v>0</v>
      </c>
      <c r="GN200" s="259" t="str">
        <f ca="1">IFERROR(INDEX($GD$3:$GM$400,MATCH(ROWS($GN$3:GN200),$GM$3:$GM$400,0),1),"")</f>
        <v/>
      </c>
      <c r="GO200" s="259" t="str">
        <f ca="1">IFERROR(INDEX($GD$3:$GM$400,MATCH(ROWS($GO$3:GO200),$GM$3:$GM$400,0),8),"")</f>
        <v/>
      </c>
      <c r="GP200" s="259" t="str">
        <f ca="1">IFERROR(INDEX($GD$3:$GM$400,MATCH(ROWS($GP$3:GP200),$GM$3:$GM$400,0),9),"")</f>
        <v/>
      </c>
      <c r="GQ200" s="259">
        <f t="shared" ca="1" si="535"/>
        <v>0</v>
      </c>
      <c r="GR200" s="259">
        <f t="shared" ca="1" si="592"/>
        <v>0</v>
      </c>
      <c r="GS200" s="259" t="str">
        <f t="shared" ca="1" si="593"/>
        <v/>
      </c>
      <c r="GT200" s="259" t="str">
        <f ca="1">IFERROR(INDEX($GD$3:$GS$400,MATCH(ROWS($GT$3:GT200),$GM$3:$GM$400,0),16),"")</f>
        <v/>
      </c>
      <c r="GU200" s="259">
        <f ca="1">IF(GQ200&lt;&gt;0,MAX($GU$2:$GU199)+1,0)</f>
        <v>0</v>
      </c>
      <c r="GV200" s="259">
        <f t="shared" ca="1" si="594"/>
        <v>0</v>
      </c>
      <c r="GW200" s="259" t="str">
        <f ca="1">IF(AND(IFERROR(INDEX($GU$3:$GV$400,MATCH(ROWS($GW$3:GW200),$GU$3:$GU$400,0),2),"")&lt;&gt;"",GW201&lt;&gt;""),CONCATENATE(IFERROR(INDEX($GU$3:$GV$400,MATCH(ROWS($GW$3:GW200),$GU$3:$GU$400,0),2),"")," - "),IFERROR(INDEX($GU$3:$GV$400,MATCH(ROWS($GW$3:GW200),$GU$3:$GU$400,0),2),""))</f>
        <v/>
      </c>
      <c r="GX200" s="259">
        <f ca="1">IF(OR(GN200="IVA NS/CREDITO",GN200="IVA NS/DEBITO",GN200="IVA C/ACCONTO",GN200="IMPOSTE C/ACCONTO"),MAX($GX$2:GX199)+1,0)</f>
        <v>0</v>
      </c>
      <c r="GY200" s="259" t="str">
        <f ca="1">IF(AND(IFERROR(INDEX($GN$3:$GX$200,MATCH(ROWS($GY$3:GY200),$GX$3:$GX$200,0),1),"")&lt;&gt;"",GY201&lt;&gt;""),CONCATENATE(IFERROR(INDEX($GN$3:$GX$200,MATCH(ROWS($GY$3:GY200),$GX$3:$GX$200,0),1),"")," - "),IFERROR(INDEX($GN$3:$GX$200,MATCH(ROWS($GY$3:GY200),$GX$3:$GX$200,0),1),""))</f>
        <v/>
      </c>
      <c r="GZ200" s="259" t="s">
        <v>683</v>
      </c>
      <c r="HA200" s="259" t="s">
        <v>604</v>
      </c>
      <c r="HB200" s="269" t="s">
        <v>256</v>
      </c>
      <c r="HC200" s="269" t="s">
        <v>211</v>
      </c>
      <c r="HD200" s="269" t="s">
        <v>8</v>
      </c>
      <c r="HE200" s="269" t="s">
        <v>213</v>
      </c>
      <c r="HV200" s="259" t="str">
        <f ca="1">CONCATENATE(IFERROR(INDEX($HS$3:$HT$102,MATCH(ROWS($HV$3:HV200),$HT$3:$HT$102,0),1),""),HR200)</f>
        <v/>
      </c>
      <c r="IC200" s="259">
        <f ca="1">IFERROR(INDEX(PIANO_DEI_CONTI,MATCH(ROWS(DL$3:DL200),$DK$3:DK427,0),2),0)</f>
        <v>0</v>
      </c>
      <c r="ID200" s="259">
        <f t="shared" ca="1" si="595"/>
        <v>0</v>
      </c>
      <c r="IE200" s="259">
        <f t="shared" ca="1" si="596"/>
        <v>0</v>
      </c>
      <c r="IF200" s="259">
        <f t="shared" ca="1" si="597"/>
        <v>0</v>
      </c>
      <c r="IG200" s="259">
        <f t="shared" ca="1" si="479"/>
        <v>0</v>
      </c>
      <c r="IH200" s="259">
        <f ca="1">IF(IG200&lt;&gt;0,MAX($IH$35:IH199)+1,0)</f>
        <v>0</v>
      </c>
      <c r="II200" s="259">
        <f>IF(AD200="costi pluriennali",MAX($II$2:II199)+1,0)</f>
        <v>0</v>
      </c>
      <c r="IJ200" s="259">
        <f>IF($AD200="rettifiche costi pluriennali",MAX($IJ$2:IJ199)+1,0)</f>
        <v>0</v>
      </c>
      <c r="IK200" s="259">
        <f>MAX(II200,IJ200)</f>
        <v>0</v>
      </c>
      <c r="IL200" s="259" t="str">
        <f>IF(IK200&gt;0,AA200,"")</f>
        <v/>
      </c>
      <c r="IM200" s="259">
        <f ca="1">IFERROR(INDEX($IC$3:$IK$200,MATCH(IL200,$IC$3:$IC$200,0),2),0)</f>
        <v>0</v>
      </c>
      <c r="IN200" s="259">
        <f ca="1">IFERROR(INDEX($IC$3:$IK$200,MATCH(IL200,$IC$3:$IC$200,0),3),0)</f>
        <v>0</v>
      </c>
      <c r="IO200" s="259">
        <f>SUMIFS($IM$3:$IM$200,$IK$3:$IK$200,ROWS($IO$3:IO200))-SUMIFS($IN$3:$IN$200,$IK$3:$IK$200,ROWS($IO$3:IO200))</f>
        <v>0</v>
      </c>
      <c r="IP200" s="259" t="str">
        <f>IF(IO200&lt;0,INDEX($IJ$3:$IL$200,MATCH(ROWS($IP$3:IP200),$IJ$3:$IJ$200,0),3),"")</f>
        <v/>
      </c>
      <c r="IQ200" s="259">
        <f>IF(IP200&lt;&gt;"",MAX($IQ$2:IQ199)+1,0)</f>
        <v>0</v>
      </c>
      <c r="IR200" s="259" t="str">
        <f ca="1">IFERROR(INDEX($IP$3:$IQ$200,MATCH(ROWS($IR$3:IR200),$IQ$3:$IQ$200,0),1),"")</f>
        <v/>
      </c>
      <c r="IS200" s="259" t="str">
        <f t="shared" ca="1" si="598"/>
        <v/>
      </c>
      <c r="IT200" s="259" t="str">
        <f t="shared" ca="1" si="599"/>
        <v/>
      </c>
      <c r="IU200" s="259" t="str">
        <f ca="1">IF(ROW()-2=$HQ$2,SUM($IS$3:$IS$200)-SUM($IT$3:$IT$200),"")</f>
        <v/>
      </c>
      <c r="IV200" s="259" t="str">
        <f ca="1">IFERROR(IF(INDEX($FG$3:$HV$200,MATCH($HV200,$FG$3:$FG$200,0),4)=0,"",INDEX($FG$3:$HV$200,MATCH($HV200,$FG$3:$FG$200,0),4)),"")</f>
        <v/>
      </c>
      <c r="IW200" s="259" t="str">
        <f ca="1">IFERROR(IF(INDEX($FG$3:$HV$200,MATCH($HV200,$FG$3:$FG$200,0),5)=0,"",INDEX($FG$3:$HV$200,MATCH($HV200,$FG$3:$FG$200,0),5)),"")</f>
        <v/>
      </c>
      <c r="IX200" s="259" t="str">
        <f t="shared" ref="IX200:IX230" ca="1" si="606">IF(SUM(IV200,IT200,IU200)=0,"",SUM(IV200,IT200,IU200))</f>
        <v/>
      </c>
      <c r="IY200" s="259" t="str">
        <f t="shared" ca="1" si="600"/>
        <v/>
      </c>
      <c r="IZ200" s="259" t="str">
        <f ca="1">IF(AND(IX200="",IY200=""),"",IF(OR(IV200&lt;&gt;"",IW200&lt;&gt;""),"apertura del conto",IF(IS200&lt;&gt;"","totale attività",IF(IT200&lt;&gt;"","totale passività",IF(IU200&lt;&gt;"","patrimonio netto iniziale","")))))</f>
        <v/>
      </c>
      <c r="JA200" s="259" t="str">
        <f t="shared" ca="1" si="601"/>
        <v/>
      </c>
      <c r="JB200" s="259">
        <f t="shared" ca="1" si="536"/>
        <v>0</v>
      </c>
      <c r="JC200" s="259">
        <f t="shared" ca="1" si="504"/>
        <v>0</v>
      </c>
      <c r="JD200" s="259">
        <f t="shared" ca="1" si="505"/>
        <v>0</v>
      </c>
      <c r="JM200" s="259">
        <f t="shared" ca="1" si="506"/>
        <v>0</v>
      </c>
    </row>
    <row r="201" spans="1:273">
      <c r="A201" s="259" t="str">
        <f t="shared" si="537"/>
        <v>40.20</v>
      </c>
      <c r="B201" s="259" t="str">
        <f t="shared" si="538"/>
        <v>PROVENTI FINANZIARI DIVERSI</v>
      </c>
      <c r="C201" s="259" t="str">
        <f t="shared" si="539"/>
        <v>E</v>
      </c>
      <c r="D201" s="259" t="str">
        <f t="shared" si="540"/>
        <v>A</v>
      </c>
      <c r="E201" s="259" t="str">
        <f t="shared" si="541"/>
        <v>RICAVI D'ESERCIZIO</v>
      </c>
      <c r="F201" s="259" t="str">
        <f t="shared" si="542"/>
        <v>SE AVERE</v>
      </c>
      <c r="G201" s="259">
        <f t="shared" ca="1" si="543"/>
        <v>1</v>
      </c>
      <c r="H201" s="259">
        <f t="shared" ca="1" si="544"/>
        <v>1</v>
      </c>
      <c r="I201" s="259">
        <f t="shared" ca="1" si="545"/>
        <v>1</v>
      </c>
      <c r="K201" s="259" t="str">
        <f ca="1">IFERROR(IF($I$1=1,INDEX($AA$3:$AS$220,MATCH(ROWS($K$3:K201),$AQ$3:$AQ$220,0),1),IF($I$1=2,INDEX($AA$3:$AS$220,MATCH(ROWS($K$3:K201),$AR$3:$AR$220,0),1),IF($I$1=3,INDEX($AA$3:$AS$220,MATCH(ROWS($K$3:K201),$AS$3:$AS$220,0),1),""))),"")</f>
        <v/>
      </c>
      <c r="L201" s="259">
        <f ca="1">IF(AND($L$1="VISUALIZZA TUTTI I CONTI",K201&lt;&gt;""),MAX(L200:L200)+1,IFERROR(IF($J$1=1,IF(INDEX(PIANO_DEI_CONTI,MATCH($K201,DENOMINAZIONE,0),5)=$L$1,MAX($L$2:L200)+1,0),IF($J$1=2,IF(INDEX(PIANO_DEI_CONTI,MATCH($K201,DENOMINAZIONE,0),7)=$L$1,MAX($L$2:L200)+1,0))),0))</f>
        <v>0</v>
      </c>
      <c r="M201" s="259" t="str">
        <f ca="1">IFERROR(INDEX($K$3:$K$220,MATCH(ROWS($M$3:M201),$L$3:$L$220,0),1),"")</f>
        <v/>
      </c>
      <c r="R201" s="259" t="str">
        <f t="shared" ca="1" si="516"/>
        <v/>
      </c>
      <c r="S201" s="259">
        <f ca="1">IF(IFERROR(MATCH(R201,DENOMINAZIONE_GIORNALE,0),0)&gt;0,MAX(S$2:S200)+1,0)</f>
        <v>0</v>
      </c>
      <c r="T201" s="259" t="str">
        <f ca="1">IFERROR(INDEX($R$3:$S$220,MATCH(ROWS($T$3:T201),$S$3:$S$220,0),1),"")</f>
        <v/>
      </c>
      <c r="U201" s="259">
        <f t="shared" ca="1" si="517"/>
        <v>0</v>
      </c>
      <c r="V201" s="259">
        <f ca="1">IF(IF(U201&lt;&gt;0,MAX($V$2:V200)+1,0)=0,0,IF(U201&lt;&gt;0,MAX($V$2:V200)+1,0))</f>
        <v>0</v>
      </c>
      <c r="W201" s="259" t="str">
        <f t="shared" si="546"/>
        <v>40.20</v>
      </c>
      <c r="X201" s="259" t="str">
        <f t="shared" si="547"/>
        <v>PROVENTI FINANZIARI DIVERSI</v>
      </c>
      <c r="Y201" s="259">
        <f>IF(W201="",0,MAX($Y$2:Y200)+1)</f>
        <v>170</v>
      </c>
      <c r="Z201" s="259" t="str">
        <f>IFERROR(INDEX($W$3:$Y$220,MATCH(ROWS($Z$2:Z200),$Y$3:$Y$220,0),1),"")</f>
        <v/>
      </c>
      <c r="AA201" s="259" t="str">
        <f t="shared" si="548"/>
        <v/>
      </c>
      <c r="AB201" s="259" t="str">
        <f t="shared" si="549"/>
        <v/>
      </c>
      <c r="AC201" s="259" t="str">
        <f t="shared" si="550"/>
        <v/>
      </c>
      <c r="AD201" s="259" t="str">
        <f t="shared" si="551"/>
        <v/>
      </c>
      <c r="AE201" s="259" t="str">
        <f t="shared" si="552"/>
        <v/>
      </c>
      <c r="AF201" s="259" t="str">
        <f t="shared" si="553"/>
        <v/>
      </c>
      <c r="AG201" s="259" t="str">
        <f t="shared" si="554"/>
        <v/>
      </c>
      <c r="AH201" s="259" t="str">
        <f t="shared" si="555"/>
        <v/>
      </c>
      <c r="AI201" s="259" t="str">
        <f t="shared" si="556"/>
        <v/>
      </c>
      <c r="AJ201" s="259" t="str">
        <f t="shared" si="557"/>
        <v/>
      </c>
      <c r="AK201" s="259" t="str">
        <f t="shared" si="558"/>
        <v/>
      </c>
      <c r="AL201" s="259">
        <f>IF(AK201&lt;&gt;"",MAX($AL$2:AL200)+1,0)</f>
        <v>0</v>
      </c>
      <c r="AM201" s="259" t="str">
        <f>IFERROR(INDEX($AK$3:$AL$220,MATCH(ROWS($AM$3:AM201),$AL$3:$AL$220,0),1),"")</f>
        <v/>
      </c>
      <c r="AN201" s="259" t="str">
        <f t="shared" si="559"/>
        <v/>
      </c>
      <c r="AO201" s="259" t="str">
        <f t="shared" si="560"/>
        <v/>
      </c>
      <c r="AP201" s="259" t="str">
        <f t="shared" si="561"/>
        <v/>
      </c>
      <c r="AQ201" s="259">
        <f>IF(OR(AG201=0,AG201=""),0,MAX(AQ$2:AQ200)+1)</f>
        <v>0</v>
      </c>
      <c r="AR201" s="259">
        <f>IF(OR(AH201=0,AH201=""),0,MAX(AR$2:AR200)+1)</f>
        <v>0</v>
      </c>
      <c r="AS201" s="259">
        <f>IF(OR(AI201=0,AI201=""),0,MAX(AS$2:AS200)+1)</f>
        <v>0</v>
      </c>
      <c r="AT201" s="259" t="str">
        <f ca="1">IFERROR(INDEX($AD$3:$AS$220,MATCH(ROWS(AT$3:AT201),AQ$3:AQ$220,0),1),"")</f>
        <v/>
      </c>
      <c r="AU201" s="259" t="str">
        <f ca="1">IFERROR(INDEX($AD$3:$AS$220,MATCH(ROWS(AU$3:AU201),AR$3:AR$220,0),1),"")</f>
        <v/>
      </c>
      <c r="AV201" s="259" t="str">
        <f ca="1">IFERROR(INDEX($AD$3:$AS$220,MATCH(ROWS(AV$3:AV201),AS$3:AS$220,0),1),"")</f>
        <v/>
      </c>
      <c r="AW201" s="259" t="str">
        <f ca="1">IFERROR(INDEX($AP$3:$AS$220,MATCH(ROWS(AW$3:AW201),AQ$3:AQ$220,0),1),"")</f>
        <v/>
      </c>
      <c r="AX201" s="259" t="str">
        <f ca="1">IFERROR(INDEX($AP$3:$AS$220,MATCH(ROWS(AX$3:AX201),AR$3:AR$220,0),1),"")</f>
        <v/>
      </c>
      <c r="AY201" s="259" t="str">
        <f ca="1">IFERROR(INDEX($AP$3:$AS$220,MATCH(ROWS(AY$3:AY201),AS$3:AS$220,0),1),"")</f>
        <v/>
      </c>
      <c r="AZ201" s="259" t="str">
        <f t="shared" si="490"/>
        <v>99 V.I.</v>
      </c>
      <c r="BA201" s="259">
        <f t="shared" ca="1" si="484"/>
        <v>0</v>
      </c>
      <c r="BB201" s="259">
        <f t="shared" ca="1" si="491"/>
        <v>0</v>
      </c>
      <c r="BC201" s="259">
        <f t="shared" ca="1" si="492"/>
        <v>0</v>
      </c>
      <c r="BD201" s="259">
        <f t="shared" ca="1" si="493"/>
        <v>0</v>
      </c>
      <c r="BE201" s="259">
        <f t="shared" ca="1" si="494"/>
        <v>0</v>
      </c>
      <c r="BG201" s="259" t="str">
        <f t="shared" ca="1" si="518"/>
        <v/>
      </c>
      <c r="BH201" s="259">
        <f ca="1">IF(IFERROR(MATCH(BG201,DENOMINAZIONE_GIORNALE,0),0)&gt;0,MAX(BH$2:BH200)+1,0)</f>
        <v>0</v>
      </c>
      <c r="BI201" s="259" t="str">
        <f ca="1">IFERROR(INDEX($BG$3:$BH$220,MATCH(ROWS($BI$3:BI201),$BH$3:$BH$220,0),1),"")</f>
        <v/>
      </c>
      <c r="BJ201" s="259" t="str">
        <f t="shared" ca="1" si="519"/>
        <v/>
      </c>
      <c r="BK201" s="259" t="str">
        <f ca="1">IF(IF(BJ201&lt;&gt;"",MAX($BK$2:BK200)+1,0)=0,"",IF(BJ201&lt;&gt;"",MAX($BK$2:BK200)+1,0))</f>
        <v/>
      </c>
      <c r="BL201" s="259" t="str">
        <f ca="1">IFERROR(INDEX($T$3:$U$220, MATCH(ROWS(BL$3:BL201),$V$3:$V$220,0),1),"")</f>
        <v/>
      </c>
      <c r="BM201" s="259" t="str">
        <f ca="1">IFERROR(INDEX($T$3:$U$220, MATCH(ROWS(BM$3:BM201),$V$3:$V$220,0),2),"")</f>
        <v/>
      </c>
      <c r="BN201" s="259" t="str">
        <f ca="1">IF(IFERROR(INDEX($BI$3:$BJ$220,MATCH(ROWS(BN$3:BN201),$BK$3:$BK$220,0),1),"")="PATRIMONIO NETTO","",IFERROR(INDEX($BI$3:$BJ$220,MATCH(ROWS(BN$3:BN201),$BK$3:$BK$220,0),1),""))</f>
        <v/>
      </c>
      <c r="BO201" s="259" t="str">
        <f ca="1">IFERROR(INDEX($BI$3:$BJ$220,MATCH(ROWS(BO$3:BO201),$BK$3:$BK$220,0),2),"")</f>
        <v/>
      </c>
      <c r="BP201" s="259">
        <f ca="1">IF(BN201&lt;&gt;"",MAX(BP$2:$BP200)+1,0)</f>
        <v>0</v>
      </c>
      <c r="BQ201" s="259" t="str">
        <f ca="1">IFERROR(INDEX($BN$3:$BO$200,MATCH(ROWS(BQ$3:BQ201),$BP$3:$BP$220,0),1),"")</f>
        <v/>
      </c>
      <c r="BR201" s="259" t="str">
        <f ca="1">IFERROR(INDEX($BN$3:$BO$220,MATCH(ROWS(BR$3:BR201),$BP$3:$BP$220,0),2),"")</f>
        <v/>
      </c>
      <c r="BS201" s="259" t="str">
        <f ca="1">IFERROR(IF(OR(INDEX($T$3:$U$220,MATCH(ROWS(BL$3:BL201),$V$3:$V$220,0),1)="PRELEVAMENTI EXTRAGESTIONE",INDEX($T$3:$U$220,MATCH(ROWS(BL$3:BL201),$V$3:$V$220,0),1)="TITOLARE C/RITENUTE SUBITE"),"",INDEX($T$3:$U$220,MATCH(ROWS(BL$3:BL201),$V$3:$V$220,0),1)),"")</f>
        <v/>
      </c>
      <c r="BT201" s="259">
        <f t="shared" ca="1" si="562"/>
        <v>0</v>
      </c>
      <c r="BU201" s="259">
        <f ca="1">IF(BS201&lt;&gt;"",MAX(BU$2:BU200)+1,0)</f>
        <v>0</v>
      </c>
      <c r="BV201" s="259" t="str">
        <f ca="1">IFERROR(INDEX($BS$3:$BT$223,MATCH(ROWS(BV$3:BV201),$BU$3:$BU$223,0),1),"")</f>
        <v/>
      </c>
      <c r="BW201" s="259">
        <f t="shared" ca="1" si="563"/>
        <v>0</v>
      </c>
      <c r="CB201" s="259" t="str">
        <f ca="1">IFERROR(IF(OR($BB$1&lt;&gt;$BD$1,$BC$1&lt;&gt;$BE$1,$DS$231&lt;&gt;$DT$231,$DU$231&lt;&gt;$DV$231,$EO$25&lt;&gt;0,$EO$26&lt;&gt;0),INDEX($BI$3:$BK$220,MATCH(ROWS($CB$3:CB201),$BK$3:$BK$220,0),1),CONCATENATE(BQ201,BX201)),"")</f>
        <v/>
      </c>
      <c r="CC201" s="259" t="str">
        <f t="shared" ca="1" si="564"/>
        <v/>
      </c>
      <c r="CD201" s="259" t="str">
        <f t="shared" ca="1" si="520"/>
        <v/>
      </c>
      <c r="CE201" s="259">
        <f ca="1">IF(IFERROR(MATCH(CD201,DENOMINAZIONE_GIORNALE,0),0)&gt;0,MAX(CE$2:CE200)+1,0)</f>
        <v>0</v>
      </c>
      <c r="CF201" s="259" t="str">
        <f ca="1">IFERROR(INDEX($CD$3:$CE$220,MATCH(ROWS($CF$3:CF201),$CE$3:$CE$220,0),1),"")</f>
        <v/>
      </c>
      <c r="CG201" s="259">
        <f t="shared" ca="1" si="521"/>
        <v>0</v>
      </c>
      <c r="CH201" s="259" t="str">
        <f ca="1">IF(IF(CG201&lt;&gt;0,MAX($CH$2:CH200)+1,0)=0,"",IF(CG201&lt;&gt;"",MAX($CH$2:CH200)+1,0))</f>
        <v/>
      </c>
      <c r="CI201" s="259" t="str">
        <f ca="1">IFERROR(INDEX($CF$3:$CG$220,MATCH(ROWS($CI$3:CI201),$CH$3:$CH$220,0),1),"")</f>
        <v/>
      </c>
      <c r="CJ201" s="259" t="str">
        <f t="shared" ca="1" si="565"/>
        <v/>
      </c>
      <c r="CK201" s="259" t="str">
        <f t="shared" ca="1" si="522"/>
        <v/>
      </c>
      <c r="CL201" s="259">
        <f ca="1">IF(IFERROR(MATCH(CK201,DENOMINAZIONE_GIORNALE,0),0)&gt;0,MAX(CL$2:CL200)+1,0)</f>
        <v>0</v>
      </c>
      <c r="CM201" s="259" t="str">
        <f ca="1">IFERROR(INDEX($CK$3:$CL$220,MATCH(ROWS($CM$3:CM201),$CL$3:$CL$220,0),1),"")</f>
        <v/>
      </c>
      <c r="CN201" s="259" t="str">
        <f t="shared" ca="1" si="523"/>
        <v/>
      </c>
      <c r="CO201" s="259">
        <f ca="1">IF(IF(CN201&lt;&gt;0,MAX($CO$2:CO200)+1,0)=0,"",IF(CN201&lt;&gt;"",MAX($CO$2:CO200)+1,0))</f>
        <v>0</v>
      </c>
      <c r="CP201" s="259" t="str">
        <f ca="1">IFERROR(INDEX($CM$3:$CN$220,MATCH(ROWS(CP$3:CP201),$CO$3:$CO$220,0),1),"")</f>
        <v/>
      </c>
      <c r="CQ201" s="259" t="str">
        <f ca="1">IFERROR(INDEX($CM$3:$CN$220,MATCH(ROWS(CQ$3:CQ201),$CO$3:$CO$220,0),2),"")</f>
        <v/>
      </c>
      <c r="CS201" s="259">
        <f t="shared" ca="1" si="524"/>
        <v>0</v>
      </c>
      <c r="CT201" s="259">
        <f t="shared" ca="1" si="525"/>
        <v>0</v>
      </c>
      <c r="CU201" s="259">
        <f ca="1">IF(OR(CS201&gt;0,CT201&gt;0),MAX($CU$2:CU200)+1,0)</f>
        <v>0</v>
      </c>
      <c r="CV201" s="259" t="str">
        <f ca="1">IFERROR(INDEX(PIANO_DEI_CONTI,MATCH(ROWS($CV$3:CV201),$CU$3:$CU$200,0),2),"")</f>
        <v/>
      </c>
      <c r="CW201" s="259">
        <f ca="1">IFERROR(IF(CV201&lt;&gt;"",MAX($CW$2:CW200)+1,0),0)</f>
        <v>0</v>
      </c>
      <c r="CX201" s="259">
        <f ca="1">$EA$14</f>
        <v>12</v>
      </c>
      <c r="CY201" s="259" t="str">
        <f t="shared" ref="CY201:CY233" ca="1" si="607">IF(ISERROR(INDEX($CV$3:$CX$2300,MATCH(CX201,$CW$3:$CW$2300,0),1)),"MASTRO",INDEX($CV$3:$CX$2300,MATCH(CX201,$CW$3:$CW$2300,0),1))</f>
        <v>MASTRO</v>
      </c>
      <c r="DA201" s="259" t="str">
        <f>IF(CY200="MASTRO","Conto n.","")</f>
        <v>Conto n.</v>
      </c>
      <c r="DB201" s="259" t="str">
        <f ca="1">IF(CY201=0,"",INDEX(PIANO_DEI_CONTI,MATCH(DC201,DENOMINAZIONE,0),1))</f>
        <v/>
      </c>
      <c r="DC201" s="259" t="str">
        <f ca="1">IF(OR(CY201=0,CY201="mastro"),"",CY201)</f>
        <v/>
      </c>
      <c r="DD201" s="259" t="str">
        <f ca="1">IF(AND($DA$2=TRUE,OR(INDEX(PIANO_DEI_CONTI,MATCH($DC201,DENOMINAZIONE,0),4)="A",INDEX(PIANO_DEI_CONTI,MATCH($DC201,DENOMINAZIONE,0),4)="D/A"),SUMIFS(AVERE,DENOMINAZIONE_GIORNALE,"="&amp;$DC201)&gt;SUMIFS(DARE,DENOMINAZIONE_GIORNALE,"="&amp;$DC201)),CONCATENATE("s ",FIXED(ABS(SUMIFS(AVERE,DENOMINAZIONE_GIORNALE,"="&amp;$DC201)-SUMIFS(DARE,DENOMINAZIONE_GIORNALE,"="&amp;$DC201)),2)),"")</f>
        <v/>
      </c>
      <c r="DE201" s="259" t="str">
        <f ca="1">IF(AND($DA$2=TRUE,OR(INDEX(PIANO_DEI_CONTI,MATCH($DC201,DENOMINAZIONE,0),4)="D",INDEX(PIANO_DEI_CONTI,MATCH($DC201,DENOMINAZIONE,0),4)="D/A"),SUMIFS(DARE,DENOMINAZIONE_GIORNALE,"="&amp;$DC201)&gt;SUMIFS(AVERE,DENOMINAZIONE_GIORNALE,"="&amp;$DC201)),CONCATENATE("s ",FIXED(ABS(SUMIFS(DARE,DENOMINAZIONE_GIORNALE,"="&amp;$DC201)-SUMIFS(AVERE,DENOMINAZIONE_GIORNALE,"="&amp;$DC201)),2)),"")</f>
        <v/>
      </c>
      <c r="DF201" s="259">
        <f ca="1">IF(AND(CX201=$DE$2,$DF$2&lt;&gt;0),0,IF(AND(DB201&lt;&gt;"",OR(DB200&lt;&gt;"",DB202&lt;&gt;"")),MAX($DF$2:DF200)+1,0))</f>
        <v>0</v>
      </c>
      <c r="DG201" s="259" t="str">
        <f>IF(IF(LIBRO_GIORNALE!E109="","",IFERROR(INDEX(PIANO_DEI_CONTI,MATCH(BB201,DENOMINAZIONE,0),1),0))=0,"",IF(LIBRO_GIORNALE!E109="","",IFERROR(INDEX(PIANO_DEI_CONTI,MATCH(BB201,DENOMINAZIONE,0),1),0)))</f>
        <v/>
      </c>
      <c r="DH201" s="259">
        <f ca="1">IFERROR(IF($J$1=1,IF(INDEX(PIANO_DEI_CONTI,MATCH($K201,DENOMINAZIONE,0),5)=$DF$1,MAX($DH$2:DH200)+1,0),IF($J$1=2,IF(INDEX(PIANO_DEI_CONTI,MATCH($K201,DENOMINAZIONE,0),7)=$DF$1,MAX($DH$2:DH200)+1,0))),0)</f>
        <v>0</v>
      </c>
      <c r="DI201" s="259">
        <f ca="1">IFERROR(INDEX($K$3:$K$220,MATCH(ROWS($DI$3:DI201),$DH$3:$DH$220,0),1),0)</f>
        <v>0</v>
      </c>
      <c r="DJ201" s="259">
        <f t="shared" ca="1" si="526"/>
        <v>0</v>
      </c>
      <c r="DK201" s="259">
        <f ca="1">IF(DJ201=0,0,MAX(DK$2:DK200)+1)</f>
        <v>0</v>
      </c>
      <c r="DL201" s="259">
        <f ca="1">IFERROR(INDEX(PIANO_DEI_CONTI,MATCH(ROWS(DL$3:DL201),$DK$3:DK428,0),2),0)</f>
        <v>0</v>
      </c>
      <c r="DM201" s="259">
        <f t="shared" ca="1" si="527"/>
        <v>0</v>
      </c>
      <c r="DN201" s="259">
        <f t="shared" ca="1" si="528"/>
        <v>0</v>
      </c>
      <c r="DO201" s="259">
        <f t="shared" ca="1" si="566"/>
        <v>0</v>
      </c>
      <c r="DP201" s="259">
        <f t="shared" ca="1" si="567"/>
        <v>0</v>
      </c>
      <c r="DQ201" s="259">
        <f ca="1">IF(OR($DQ$1="TOTALI",$DQ$1="TOTALI ED ECCEDENZE"),IF(OR(DM201&gt;0,DN201&gt;0),MAX(DQ$2:DQ200)+1,0),IF($DQ$1="ECCEDENZE",IF(OR(DO201&gt;0,DP201&gt;0),MAX(DQ$2:DQ200)+1,0),""))</f>
        <v>0</v>
      </c>
      <c r="DR201" s="259" t="str">
        <f ca="1">IFERROR(INDEX($DL$3:$DQ$230,MATCH(ROWS(DR$3:DR201),$DQ$3:$DQ$230,0),1),"")</f>
        <v/>
      </c>
      <c r="DS201" s="259" t="str">
        <f t="shared" ca="1" si="568"/>
        <v/>
      </c>
      <c r="DT201" s="259" t="str">
        <f t="shared" ca="1" si="569"/>
        <v/>
      </c>
      <c r="DU201" s="259" t="str">
        <f t="shared" ca="1" si="570"/>
        <v/>
      </c>
      <c r="DV201" s="259" t="str">
        <f t="shared" ca="1" si="571"/>
        <v/>
      </c>
      <c r="DW201" s="259">
        <f t="shared" ca="1" si="572"/>
        <v>0</v>
      </c>
      <c r="DX201" s="259" t="str">
        <f t="shared" ca="1" si="573"/>
        <v/>
      </c>
      <c r="DY201" s="259" t="str">
        <f t="shared" ca="1" si="574"/>
        <v/>
      </c>
      <c r="DZ201" s="259" t="str">
        <f t="shared" ca="1" si="575"/>
        <v/>
      </c>
      <c r="ED201" s="259">
        <f t="shared" ca="1" si="529"/>
        <v>0</v>
      </c>
      <c r="EH201" s="259" t="str">
        <f t="shared" ca="1" si="576"/>
        <v/>
      </c>
      <c r="EI201" s="260" t="b">
        <f t="shared" ca="1" si="602"/>
        <v>1</v>
      </c>
      <c r="EJ201" s="260" t="b">
        <f t="shared" ca="1" si="603"/>
        <v>1</v>
      </c>
      <c r="EK201" s="260" t="b">
        <f t="shared" ca="1" si="604"/>
        <v>1</v>
      </c>
      <c r="EL201" s="259">
        <f t="shared" si="577"/>
        <v>199</v>
      </c>
      <c r="EM201" s="259">
        <f ca="1">IF(AND(BA201&gt;0,BA201&lt;=$EM$1),MAX($EM$2:EM200)+1,0)</f>
        <v>0</v>
      </c>
      <c r="EN201" s="259">
        <f t="shared" ca="1" si="578"/>
        <v>201</v>
      </c>
      <c r="EP201" s="259" t="str">
        <f t="shared" ca="1" si="530"/>
        <v/>
      </c>
      <c r="EQ201" s="259">
        <f t="shared" ca="1" si="531"/>
        <v>0</v>
      </c>
      <c r="ER201" s="259">
        <f ca="1">IF(ISNA(EQ201),MAX(ER$2:ER200)+1,0)</f>
        <v>0</v>
      </c>
      <c r="ES201" s="259" t="str">
        <f t="shared" ca="1" si="579"/>
        <v/>
      </c>
      <c r="ET201" s="259" t="str">
        <f ca="1">IFERROR(UPPER(INDEX($ER$3:$ES$500,MATCH(ROWS(ET$3:ET201),$ER$3:$ER$500,0),2)),"")</f>
        <v/>
      </c>
      <c r="EW201" s="259">
        <f t="shared" ca="1" si="497"/>
        <v>1</v>
      </c>
      <c r="EX201" s="259">
        <v>99</v>
      </c>
      <c r="EY201" s="259">
        <f t="shared" ca="1" si="498"/>
        <v>0</v>
      </c>
      <c r="EZ201" s="259">
        <f t="shared" ca="1" si="499"/>
        <v>0</v>
      </c>
      <c r="FA201" s="259">
        <f t="shared" ca="1" si="500"/>
        <v>0</v>
      </c>
      <c r="FB201" s="259">
        <f t="shared" ca="1" si="501"/>
        <v>0</v>
      </c>
      <c r="FC201" s="259">
        <f t="shared" ca="1" si="502"/>
        <v>0</v>
      </c>
      <c r="FD201" s="259">
        <f t="shared" ca="1" si="532"/>
        <v>0</v>
      </c>
      <c r="FE201" s="259" t="str">
        <f t="shared" ca="1" si="533"/>
        <v/>
      </c>
      <c r="FF201" s="259" t="str">
        <f t="shared" ca="1" si="503"/>
        <v/>
      </c>
      <c r="FM201" s="259">
        <f t="shared" si="534"/>
        <v>0</v>
      </c>
      <c r="FN201" s="259">
        <f>IF(FM201&lt;0,MAX($FN$2:FN200)+1,0)</f>
        <v>0</v>
      </c>
      <c r="FO201" s="259" t="str">
        <f t="shared" si="580"/>
        <v/>
      </c>
      <c r="FP201" s="259" t="str">
        <f ca="1">IFERROR(INDEX($FN$3:$FO$400,MATCH(ROWS($FP$3:FP201),$FN$3:$FN$400,0),2),"")</f>
        <v/>
      </c>
      <c r="FQ201" s="259" t="str">
        <f>IF(AE201="SE AVERE",MAX($FQ$2:FQ200)+1,"")</f>
        <v/>
      </c>
      <c r="FR201" s="259" t="str">
        <f>IF(AE201="SE DARE",MAX($FR$2:FR200)+1,"")</f>
        <v/>
      </c>
      <c r="FS201" s="259" t="str">
        <f ca="1">IF(AND(AE201="SP DARE",AA201&lt;&gt;$FS$1,AA201&lt;&gt;$FT$1),MAX($FS$2:FS200)+1,IF(AND(GQ201="SP DARE",AA201&lt;&gt;$FS$1,AA201&lt;&gt;$FT$1),MAX($FS$2:FS200)+1,""))</f>
        <v/>
      </c>
      <c r="FT201" s="259" t="str">
        <f ca="1">IF(AND(AE201="SP AVERE",AA201&lt;&gt;$FU$1),MAX($FT$2:FT200)+1,IF(AND(GQ201="SP AVERE",AA201&lt;&gt;$FU$1),MAX($FT$2:FT200)+1,""))</f>
        <v/>
      </c>
      <c r="FU201" s="259">
        <f t="shared" ca="1" si="581"/>
        <v>0</v>
      </c>
      <c r="FV201" s="259" t="str">
        <f t="shared" si="582"/>
        <v/>
      </c>
      <c r="FW201" s="259">
        <f ca="1">IFERROR(INDEX($FU$3:$FV$500,MATCH(ROWS($FW$3:FW201),$FU$3:$FU$500,0),2),0)</f>
        <v>0</v>
      </c>
      <c r="FX201" s="259">
        <f t="shared" ca="1" si="583"/>
        <v>0</v>
      </c>
      <c r="FY201" s="259">
        <f t="shared" ca="1" si="584"/>
        <v>0</v>
      </c>
      <c r="FZ201" s="259">
        <f ca="1">IF(FY201&gt;0,MAX($FZ$2:FZ200)+1,0)</f>
        <v>0</v>
      </c>
      <c r="GA201" s="259">
        <f ca="1">IFERROR(INDEX($FY$3:$FZ$500,MATCH(ROWS($GA$3:GA201),$FZ$3:$FZ$500,0),1),0)</f>
        <v>0</v>
      </c>
      <c r="GC201" s="259">
        <f t="shared" ca="1" si="585"/>
        <v>0</v>
      </c>
      <c r="GD201" s="259">
        <f t="shared" ca="1" si="586"/>
        <v>0</v>
      </c>
      <c r="GG201" s="259">
        <f t="shared" ca="1" si="587"/>
        <v>0</v>
      </c>
      <c r="GH201" s="259">
        <f t="shared" ca="1" si="588"/>
        <v>0</v>
      </c>
      <c r="GI201" s="259">
        <f t="shared" ca="1" si="589"/>
        <v>0</v>
      </c>
      <c r="GJ201" s="259">
        <f t="shared" ca="1" si="590"/>
        <v>0</v>
      </c>
      <c r="GK201" s="259">
        <f t="shared" ca="1" si="591"/>
        <v>0</v>
      </c>
      <c r="GL201" s="259">
        <f t="shared" ca="1" si="591"/>
        <v>0</v>
      </c>
      <c r="GM201" s="259">
        <f ca="1">IF(OR(GK201&gt;0,GL201&gt;0),MAX($GM$2:GM200)+1,0)</f>
        <v>0</v>
      </c>
      <c r="GN201" s="259" t="str">
        <f ca="1">IFERROR(INDEX($GD$3:$GM$400,MATCH(ROWS($GN$3:GN201),$GM$3:$GM$400,0),1),"")</f>
        <v/>
      </c>
      <c r="GO201" s="259" t="str">
        <f ca="1">IFERROR(INDEX($GD$3:$GM$400,MATCH(ROWS($GO$3:GO201),$GM$3:$GM$400,0),8),"")</f>
        <v/>
      </c>
      <c r="GP201" s="259" t="str">
        <f ca="1">IFERROR(INDEX($GD$3:$GM$400,MATCH(ROWS($GP$3:GP201),$GM$3:$GM$400,0),9),"")</f>
        <v/>
      </c>
      <c r="GQ201" s="259">
        <f t="shared" ca="1" si="535"/>
        <v>0</v>
      </c>
      <c r="GR201" s="259">
        <f t="shared" ca="1" si="592"/>
        <v>0</v>
      </c>
      <c r="GS201" s="259" t="str">
        <f t="shared" ca="1" si="593"/>
        <v/>
      </c>
      <c r="GT201" s="259" t="str">
        <f ca="1">IFERROR(INDEX($GD$3:$GS$400,MATCH(ROWS($GT$3:GT201),$GM$3:$GM$400,0),16),"")</f>
        <v/>
      </c>
      <c r="GU201" s="259">
        <f ca="1">IF(GQ201&lt;&gt;0,MAX($GU$2:$GU200)+1,0)</f>
        <v>0</v>
      </c>
      <c r="GV201" s="259">
        <f t="shared" ca="1" si="594"/>
        <v>0</v>
      </c>
      <c r="GW201" s="259" t="str">
        <f ca="1">IF(AND(IFERROR(INDEX($GU$3:$GV$400,MATCH(ROWS($GW$3:GW201),$GU$3:$GU$400,0),2),"")&lt;&gt;"",GW202&lt;&gt;""),CONCATENATE(IFERROR(INDEX($GU$3:$GV$400,MATCH(ROWS($GW$3:GW201),$GU$3:$GU$400,0),2),"")," - "),IFERROR(INDEX($GU$3:$GV$400,MATCH(ROWS($GW$3:GW201),$GU$3:$GU$400,0),2),""))</f>
        <v/>
      </c>
      <c r="GX201" s="259">
        <f ca="1">IF(OR(GN201="IVA NS/CREDITO",GN201="IVA NS/DEBITO",GN201="IVA C/ACCONTO",GN201="IMPOSTE C/ACCONTO"),MAX($GX$2:GX200)+1,0)</f>
        <v>0</v>
      </c>
      <c r="GY201" s="259" t="str">
        <f ca="1">IF(AND(IFERROR(INDEX($GN$3:$GX$200,MATCH(ROWS($GY$3:GY201),$GX$3:$GX$200,0),1),"")&lt;&gt;"",GY202&lt;&gt;""),CONCATENATE(IFERROR(INDEX($GN$3:$GX$200,MATCH(ROWS($GY$3:GY201),$GX$3:$GX$200,0),1),"")," - "),IFERROR(INDEX($GN$3:$GX$200,MATCH(ROWS($GY$3:GY201),$GX$3:$GX$200,0),1),""))</f>
        <v/>
      </c>
      <c r="GZ201" s="259" t="s">
        <v>684</v>
      </c>
      <c r="HA201" s="259" t="s">
        <v>194</v>
      </c>
      <c r="HB201" s="269" t="s">
        <v>256</v>
      </c>
      <c r="HC201" s="269" t="s">
        <v>211</v>
      </c>
      <c r="HD201" s="269" t="s">
        <v>8</v>
      </c>
      <c r="HE201" s="269" t="s">
        <v>213</v>
      </c>
      <c r="HV201" s="259" t="str">
        <f ca="1">CONCATENATE(IFERROR(INDEX($HS$3:$HT$102,MATCH(ROWS($HV$3:HV201),$HT$3:$HT$102,0),1),""),HR201)</f>
        <v/>
      </c>
      <c r="IX201" s="259" t="str">
        <f t="shared" si="606"/>
        <v/>
      </c>
      <c r="IY201" s="259" t="str">
        <f t="shared" si="600"/>
        <v/>
      </c>
      <c r="IZ201" s="259" t="str">
        <f t="shared" ref="IZ201:IZ231" si="608">IF(AND(IX201="",IY201=""),"",IF(OR(IV201&lt;&gt;"",IW201&lt;&gt;""),"apertura del conto",IF(IS201&lt;&gt;"","totale attività",IF(IT201&lt;&gt;"","totale passività",IF(IU201&lt;&gt;"","patrimonio netto iniziale","")))))</f>
        <v/>
      </c>
      <c r="JA201" s="259" t="str">
        <f t="shared" ca="1" si="601"/>
        <v/>
      </c>
      <c r="JB201" s="259">
        <f t="shared" ca="1" si="536"/>
        <v>0</v>
      </c>
      <c r="JC201" s="259">
        <f t="shared" ca="1" si="504"/>
        <v>0</v>
      </c>
      <c r="JD201" s="259">
        <f t="shared" ca="1" si="505"/>
        <v>0</v>
      </c>
      <c r="JM201" s="259">
        <f t="shared" ca="1" si="506"/>
        <v>0</v>
      </c>
    </row>
    <row r="202" spans="1:273">
      <c r="A202" s="259" t="str">
        <f t="shared" si="537"/>
        <v>41.00</v>
      </c>
      <c r="B202" s="259" t="str">
        <f t="shared" si="538"/>
        <v>ONERI FINANZIARI</v>
      </c>
      <c r="C202" s="259">
        <f t="shared" si="539"/>
        <v>0</v>
      </c>
      <c r="D202" s="259">
        <f t="shared" si="540"/>
        <v>0</v>
      </c>
      <c r="E202" s="259">
        <f t="shared" si="541"/>
        <v>0</v>
      </c>
      <c r="F202" s="259">
        <f t="shared" si="542"/>
        <v>0</v>
      </c>
      <c r="G202" s="259">
        <f t="shared" ca="1" si="543"/>
        <v>0</v>
      </c>
      <c r="H202" s="259">
        <f t="shared" ca="1" si="544"/>
        <v>0</v>
      </c>
      <c r="I202" s="259">
        <f t="shared" ca="1" si="545"/>
        <v>0</v>
      </c>
      <c r="K202" s="259" t="str">
        <f ca="1">IFERROR(IF($I$1=1,INDEX($AA$3:$AS$220,MATCH(ROWS($K$3:K202),$AQ$3:$AQ$220,0),1),IF($I$1=2,INDEX($AA$3:$AS$220,MATCH(ROWS($K$3:K202),$AR$3:$AR$220,0),1),IF($I$1=3,INDEX($AA$3:$AS$220,MATCH(ROWS($K$3:K202),$AS$3:$AS$220,0),1),""))),"")</f>
        <v/>
      </c>
      <c r="L202" s="259">
        <f ca="1">IF(AND($L$1="VISUALIZZA TUTTI I CONTI",K202&lt;&gt;""),MAX(L201:L201)+1,IFERROR(IF($J$1=1,IF(INDEX(PIANO_DEI_CONTI,MATCH($K202,DENOMINAZIONE,0),5)=$L$1,MAX($L$2:L201)+1,0),IF($J$1=2,IF(INDEX(PIANO_DEI_CONTI,MATCH($K202,DENOMINAZIONE,0),7)=$L$1,MAX($L$2:L201)+1,0))),0))</f>
        <v>0</v>
      </c>
      <c r="M202" s="259" t="str">
        <f ca="1">IFERROR(INDEX($K$3:$K$220,MATCH(ROWS($M$3:M202),$L$3:$L$220,0),1),"")</f>
        <v/>
      </c>
      <c r="R202" s="259" t="str">
        <f t="shared" ca="1" si="516"/>
        <v/>
      </c>
      <c r="S202" s="259">
        <f ca="1">IF(IFERROR(MATCH(R202,DENOMINAZIONE_GIORNALE,0),0)&gt;0,MAX(S$2:S201)+1,0)</f>
        <v>0</v>
      </c>
      <c r="T202" s="259" t="str">
        <f ca="1">IFERROR(INDEX($R$3:$S$220,MATCH(ROWS($T$3:T202),$S$3:$S$220,0),1),"")</f>
        <v/>
      </c>
      <c r="U202" s="259">
        <f t="shared" ca="1" si="517"/>
        <v>0</v>
      </c>
      <c r="V202" s="259">
        <f ca="1">IF(IF(U202&lt;&gt;0,MAX($V$2:V201)+1,0)=0,0,IF(U202&lt;&gt;0,MAX($V$2:V201)+1,0))</f>
        <v>0</v>
      </c>
      <c r="W202" s="259" t="str">
        <f t="shared" si="546"/>
        <v/>
      </c>
      <c r="X202" s="259" t="str">
        <f t="shared" si="547"/>
        <v/>
      </c>
      <c r="Y202" s="259">
        <f>IF(W202="",0,MAX($Y$2:Y201)+1)</f>
        <v>0</v>
      </c>
      <c r="Z202" s="259" t="str">
        <f>IFERROR(INDEX($W$3:$Y$220,MATCH(ROWS($Z$2:Z201),$Y$3:$Y$220,0),1),"")</f>
        <v/>
      </c>
      <c r="AA202" s="259" t="str">
        <f t="shared" si="548"/>
        <v/>
      </c>
      <c r="AB202" s="259" t="str">
        <f t="shared" si="549"/>
        <v/>
      </c>
      <c r="AC202" s="259" t="str">
        <f t="shared" si="550"/>
        <v/>
      </c>
      <c r="AD202" s="259" t="str">
        <f t="shared" si="551"/>
        <v/>
      </c>
      <c r="AE202" s="259" t="str">
        <f t="shared" si="552"/>
        <v/>
      </c>
      <c r="AF202" s="259" t="str">
        <f t="shared" si="553"/>
        <v/>
      </c>
      <c r="AG202" s="259" t="str">
        <f t="shared" si="554"/>
        <v/>
      </c>
      <c r="AH202" s="259" t="str">
        <f t="shared" si="555"/>
        <v/>
      </c>
      <c r="AI202" s="259" t="str">
        <f t="shared" si="556"/>
        <v/>
      </c>
      <c r="AJ202" s="259" t="str">
        <f t="shared" si="557"/>
        <v/>
      </c>
      <c r="AK202" s="259" t="str">
        <f t="shared" si="558"/>
        <v>41</v>
      </c>
      <c r="AL202" s="259">
        <f>IF(AK202&lt;&gt;"",MAX($AL$2:AL201)+1,0)</f>
        <v>30</v>
      </c>
      <c r="AM202" s="259" t="str">
        <f>IFERROR(INDEX($AK$3:$AL$220,MATCH(ROWS($AM$3:AM202),$AL$3:$AL$220,0),1),"")</f>
        <v/>
      </c>
      <c r="AN202" s="259" t="str">
        <f t="shared" si="559"/>
        <v/>
      </c>
      <c r="AO202" s="259" t="str">
        <f t="shared" si="560"/>
        <v/>
      </c>
      <c r="AP202" s="259" t="str">
        <f t="shared" si="561"/>
        <v/>
      </c>
      <c r="AQ202" s="259">
        <f>IF(OR(AG202=0,AG202=""),0,MAX(AQ$2:AQ201)+1)</f>
        <v>0</v>
      </c>
      <c r="AR202" s="259">
        <f>IF(OR(AH202=0,AH202=""),0,MAX(AR$2:AR201)+1)</f>
        <v>0</v>
      </c>
      <c r="AS202" s="259">
        <f>IF(OR(AI202=0,AI202=""),0,MAX(AS$2:AS201)+1)</f>
        <v>0</v>
      </c>
      <c r="AT202" s="259" t="str">
        <f ca="1">IFERROR(INDEX($AD$3:$AS$220,MATCH(ROWS(AT$3:AT202),AQ$3:AQ$220,0),1),"")</f>
        <v/>
      </c>
      <c r="AU202" s="259" t="str">
        <f ca="1">IFERROR(INDEX($AD$3:$AS$220,MATCH(ROWS(AU$3:AU202),AR$3:AR$220,0),1),"")</f>
        <v/>
      </c>
      <c r="AV202" s="259" t="str">
        <f ca="1">IFERROR(INDEX($AD$3:$AS$220,MATCH(ROWS(AV$3:AV202),AS$3:AS$220,0),1),"")</f>
        <v/>
      </c>
      <c r="AW202" s="259" t="str">
        <f ca="1">IFERROR(INDEX($AP$3:$AS$220,MATCH(ROWS(AW$3:AW202),AQ$3:AQ$220,0),1),"")</f>
        <v/>
      </c>
      <c r="AX202" s="259" t="str">
        <f ca="1">IFERROR(INDEX($AP$3:$AS$220,MATCH(ROWS(AX$3:AX202),AR$3:AR$220,0),1),"")</f>
        <v/>
      </c>
      <c r="AY202" s="259" t="str">
        <f ca="1">IFERROR(INDEX($AP$3:$AS$220,MATCH(ROWS(AY$3:AY202),AS$3:AS$220,0),1),"")</f>
        <v/>
      </c>
      <c r="AZ202" s="259" t="str">
        <f t="shared" si="490"/>
        <v>100 V.I.</v>
      </c>
      <c r="BA202" s="259">
        <f t="shared" ca="1" si="484"/>
        <v>0</v>
      </c>
      <c r="BB202" s="259">
        <f t="shared" ca="1" si="491"/>
        <v>0</v>
      </c>
      <c r="BC202" s="259">
        <f t="shared" ca="1" si="492"/>
        <v>0</v>
      </c>
      <c r="BD202" s="259">
        <f t="shared" ca="1" si="493"/>
        <v>0</v>
      </c>
      <c r="BE202" s="259">
        <f t="shared" ca="1" si="494"/>
        <v>0</v>
      </c>
      <c r="BG202" s="259" t="str">
        <f t="shared" ca="1" si="518"/>
        <v/>
      </c>
      <c r="BH202" s="259">
        <f ca="1">IF(IFERROR(MATCH(BG202,DENOMINAZIONE_GIORNALE,0),0)&gt;0,MAX(BH$2:BH201)+1,0)</f>
        <v>0</v>
      </c>
      <c r="BI202" s="259" t="str">
        <f ca="1">IFERROR(INDEX($BG$3:$BH$220,MATCH(ROWS($BI$3:BI202),$BH$3:$BH$220,0),1),"")</f>
        <v/>
      </c>
      <c r="BJ202" s="259" t="str">
        <f t="shared" ca="1" si="519"/>
        <v/>
      </c>
      <c r="BK202" s="259" t="str">
        <f ca="1">IF(IF(BJ202&lt;&gt;"",MAX($BK$2:BK201)+1,0)=0,"",IF(BJ202&lt;&gt;"",MAX($BK$2:BK201)+1,0))</f>
        <v/>
      </c>
      <c r="BL202" s="259" t="str">
        <f ca="1">IFERROR(INDEX($T$3:$U$220, MATCH(ROWS(BL$3:BL202),$V$3:$V$220,0),1),"")</f>
        <v/>
      </c>
      <c r="BM202" s="259" t="str">
        <f ca="1">IFERROR(INDEX($T$3:$U$220, MATCH(ROWS(BM$3:BM202),$V$3:$V$220,0),2),"")</f>
        <v/>
      </c>
      <c r="BN202" s="259" t="str">
        <f ca="1">IF(IFERROR(INDEX($BI$3:$BJ$220,MATCH(ROWS(BN$3:BN202),$BK$3:$BK$220,0),1),"")="PATRIMONIO NETTO","",IFERROR(INDEX($BI$3:$BJ$220,MATCH(ROWS(BN$3:BN202),$BK$3:$BK$220,0),1),""))</f>
        <v/>
      </c>
      <c r="BO202" s="259" t="str">
        <f ca="1">IFERROR(INDEX($BI$3:$BJ$220,MATCH(ROWS(BO$3:BO202),$BK$3:$BK$220,0),2),"")</f>
        <v/>
      </c>
      <c r="BP202" s="259">
        <f ca="1">IF(BN202&lt;&gt;"",MAX(BP$2:$BP201)+1,0)</f>
        <v>0</v>
      </c>
      <c r="BQ202" s="259" t="str">
        <f ca="1">IFERROR(INDEX($BN$3:$BO$200,MATCH(ROWS(BQ$3:BQ202),$BP$3:$BP$220,0),1),"")</f>
        <v/>
      </c>
      <c r="BR202" s="259" t="str">
        <f ca="1">IFERROR(INDEX($BN$3:$BO$220,MATCH(ROWS(BR$3:BR202),$BP$3:$BP$220,0),2),"")</f>
        <v/>
      </c>
      <c r="BS202" s="259" t="str">
        <f ca="1">IFERROR(IF(OR(INDEX($T$3:$U$220,MATCH(ROWS(BL$3:BL202),$V$3:$V$220,0),1)="PRELEVAMENTI EXTRAGESTIONE",INDEX($T$3:$U$220,MATCH(ROWS(BL$3:BL202),$V$3:$V$220,0),1)="TITOLARE C/RITENUTE SUBITE"),"",INDEX($T$3:$U$220,MATCH(ROWS(BL$3:BL202),$V$3:$V$220,0),1)),"")</f>
        <v/>
      </c>
      <c r="BT202" s="259">
        <f t="shared" ca="1" si="562"/>
        <v>0</v>
      </c>
      <c r="BU202" s="259">
        <f ca="1">IF(BS202&lt;&gt;"",MAX(BU$2:BU201)+1,0)</f>
        <v>0</v>
      </c>
      <c r="BV202" s="259" t="str">
        <f ca="1">IFERROR(INDEX($BS$3:$BT$223,MATCH(ROWS(BV$3:BV202),$BU$3:$BU$223,0),1),"")</f>
        <v/>
      </c>
      <c r="BW202" s="259">
        <f t="shared" ca="1" si="563"/>
        <v>0</v>
      </c>
      <c r="CB202" s="259" t="str">
        <f ca="1">IFERROR(IF(OR($BB$1&lt;&gt;$BD$1,$BC$1&lt;&gt;$BE$1,$DS$231&lt;&gt;$DT$231,$DU$231&lt;&gt;$DV$231,$EO$25&lt;&gt;0,$EO$26&lt;&gt;0),INDEX($BI$3:$BK$220,MATCH(ROWS($CB$3:CB202),$BK$3:$BK$220,0),1),CONCATENATE(BQ202,BX202)),"")</f>
        <v/>
      </c>
      <c r="CC202" s="259" t="str">
        <f t="shared" ca="1" si="564"/>
        <v/>
      </c>
      <c r="CD202" s="259" t="str">
        <f t="shared" ca="1" si="520"/>
        <v/>
      </c>
      <c r="CE202" s="259">
        <f ca="1">IF(IFERROR(MATCH(CD202,DENOMINAZIONE_GIORNALE,0),0)&gt;0,MAX(CE$2:CE201)+1,0)</f>
        <v>0</v>
      </c>
      <c r="CF202" s="259" t="str">
        <f ca="1">IFERROR(INDEX($CD$3:$CE$220,MATCH(ROWS($CF$3:CF202),$CE$3:$CE$220,0),1),"")</f>
        <v/>
      </c>
      <c r="CG202" s="259">
        <f t="shared" ca="1" si="521"/>
        <v>0</v>
      </c>
      <c r="CH202" s="259" t="str">
        <f ca="1">IF(IF(CG202&lt;&gt;0,MAX($CH$2:CH201)+1,0)=0,"",IF(CG202&lt;&gt;"",MAX($CH$2:CH201)+1,0))</f>
        <v/>
      </c>
      <c r="CI202" s="259" t="str">
        <f ca="1">IFERROR(INDEX($CF$3:$CG$220,MATCH(ROWS($CI$3:CI202),$CH$3:$CH$220,0),1),"")</f>
        <v/>
      </c>
      <c r="CJ202" s="259" t="str">
        <f t="shared" ca="1" si="565"/>
        <v/>
      </c>
      <c r="CK202" s="259" t="str">
        <f t="shared" ca="1" si="522"/>
        <v/>
      </c>
      <c r="CL202" s="259">
        <f ca="1">IF(IFERROR(MATCH(CK202,DENOMINAZIONE_GIORNALE,0),0)&gt;0,MAX(CL$2:CL201)+1,0)</f>
        <v>0</v>
      </c>
      <c r="CM202" s="259" t="str">
        <f ca="1">IFERROR(INDEX($CK$3:$CL$220,MATCH(ROWS($CM$3:CM202),$CL$3:$CL$220,0),1),"")</f>
        <v/>
      </c>
      <c r="CN202" s="259" t="str">
        <f t="shared" ca="1" si="523"/>
        <v/>
      </c>
      <c r="CO202" s="259">
        <f ca="1">IF(IF(CN202&lt;&gt;0,MAX($CO$2:CO201)+1,0)=0,"",IF(CN202&lt;&gt;"",MAX($CO$2:CO201)+1,0))</f>
        <v>0</v>
      </c>
      <c r="CP202" s="259" t="str">
        <f ca="1">IFERROR(INDEX($CM$3:$CN$220,MATCH(ROWS(CP$3:CP202),$CO$3:$CO$220,0),1),"")</f>
        <v/>
      </c>
      <c r="CQ202" s="259" t="str">
        <f ca="1">IFERROR(INDEX($CM$3:$CN$220,MATCH(ROWS(CQ$3:CQ202),$CO$3:$CO$220,0),2),"")</f>
        <v/>
      </c>
      <c r="CS202" s="259">
        <f t="shared" ca="1" si="524"/>
        <v>0</v>
      </c>
      <c r="CT202" s="259">
        <f t="shared" ca="1" si="525"/>
        <v>0</v>
      </c>
      <c r="CU202" s="259">
        <f ca="1">IF(OR(CS202&gt;0,CT202&gt;0),MAX($CU$2:CU201)+1,0)</f>
        <v>0</v>
      </c>
      <c r="CV202" s="259" t="str">
        <f ca="1">IFERROR(INDEX(PIANO_DEI_CONTI,MATCH(ROWS($CV$3:CV202),$CU$3:$CU$200,0),2),"")</f>
        <v/>
      </c>
      <c r="CW202" s="259">
        <f ca="1">IFERROR(IF(CV202&lt;&gt;"",MAX($CW$2:CW201)+1,0),0)</f>
        <v>0</v>
      </c>
      <c r="CX202" s="259">
        <f t="shared" ref="CX202:CX217" ca="1" si="609">$EA$14</f>
        <v>12</v>
      </c>
      <c r="CY202" s="259" t="str">
        <f t="shared" ca="1" si="607"/>
        <v>MASTRO</v>
      </c>
      <c r="DA202" s="259" t="str">
        <f ca="1">IF(DB201="","","Num. riga")</f>
        <v/>
      </c>
      <c r="DB202" s="259" t="str">
        <f t="shared" ref="DB202" ca="1" si="610">IF(DB201="","","Data")</f>
        <v/>
      </c>
      <c r="DC202" s="259" t="str">
        <f ca="1">IF(DB201="","","Operazioni")</f>
        <v/>
      </c>
      <c r="DD202" s="259" t="str">
        <f ca="1">IF(DB201="","","Dare        ")</f>
        <v/>
      </c>
      <c r="DE202" s="259" t="str">
        <f ca="1">IF(DB201="","","Avere        ")</f>
        <v/>
      </c>
      <c r="DF202" s="259">
        <f ca="1">IF(AND(CX202=$DE$2,$DF$2&lt;&gt;0),0,IF(AND(DB202&lt;&gt;"",OR(DB201&lt;&gt;"",DB203&lt;&gt;"")),MAX($DF$2:DF201)+1,0))</f>
        <v>0</v>
      </c>
      <c r="DG202" s="259" t="str">
        <f>IF(IF(LIBRO_GIORNALE!E110="","",IFERROR(INDEX(PIANO_DEI_CONTI,MATCH(BB202,DENOMINAZIONE,0),1),0))=0,"",IF(LIBRO_GIORNALE!E110="","",IFERROR(INDEX(PIANO_DEI_CONTI,MATCH(BB202,DENOMINAZIONE,0),1),0)))</f>
        <v/>
      </c>
      <c r="DH202" s="259">
        <f ca="1">IFERROR(IF($J$1=1,IF(INDEX(PIANO_DEI_CONTI,MATCH($K202,DENOMINAZIONE,0),5)=$DF$1,MAX($DH$2:DH201)+1,0),IF($J$1=2,IF(INDEX(PIANO_DEI_CONTI,MATCH($K202,DENOMINAZIONE,0),7)=$DF$1,MAX($DH$2:DH201)+1,0))),0)</f>
        <v>0</v>
      </c>
      <c r="DI202" s="259">
        <f ca="1">IFERROR(INDEX($K$3:$K$220,MATCH(ROWS($DI$3:DI202),$DH$3:$DH$220,0),1),0)</f>
        <v>0</v>
      </c>
      <c r="DJ202" s="259">
        <f t="shared" ca="1" si="526"/>
        <v>0</v>
      </c>
      <c r="DK202" s="259">
        <f ca="1">IF(DJ202=0,0,MAX(DK$2:DK201)+1)</f>
        <v>0</v>
      </c>
      <c r="DL202" s="259">
        <f ca="1">IFERROR(INDEX(PIANO_DEI_CONTI,MATCH(ROWS(DL$3:DL202),$DK$3:DK429,0),2),0)</f>
        <v>0</v>
      </c>
      <c r="DM202" s="259">
        <f t="shared" ca="1" si="527"/>
        <v>0</v>
      </c>
      <c r="DN202" s="259">
        <f t="shared" ca="1" si="528"/>
        <v>0</v>
      </c>
      <c r="DO202" s="259">
        <f t="shared" ca="1" si="566"/>
        <v>0</v>
      </c>
      <c r="DP202" s="259">
        <f t="shared" ca="1" si="567"/>
        <v>0</v>
      </c>
      <c r="DQ202" s="259">
        <f ca="1">IF(OR($DQ$1="TOTALI",$DQ$1="TOTALI ED ECCEDENZE"),IF(OR(DM202&gt;0,DN202&gt;0),MAX(DQ$2:DQ201)+1,0),IF($DQ$1="ECCEDENZE",IF(OR(DO202&gt;0,DP202&gt;0),MAX(DQ$2:DQ201)+1,0),""))</f>
        <v>0</v>
      </c>
      <c r="DR202" s="259" t="str">
        <f ca="1">IFERROR(INDEX($DL$3:$DQ$230,MATCH(ROWS(DR$3:DR202),$DQ$3:$DQ$230,0),1),"")</f>
        <v/>
      </c>
      <c r="DS202" s="259" t="str">
        <f t="shared" ca="1" si="568"/>
        <v/>
      </c>
      <c r="DT202" s="259" t="str">
        <f t="shared" ca="1" si="569"/>
        <v/>
      </c>
      <c r="DU202" s="259" t="str">
        <f t="shared" ca="1" si="570"/>
        <v/>
      </c>
      <c r="DV202" s="259" t="str">
        <f t="shared" ca="1" si="571"/>
        <v/>
      </c>
      <c r="DW202" s="259">
        <f t="shared" ca="1" si="572"/>
        <v>0</v>
      </c>
      <c r="DX202" s="259" t="str">
        <f t="shared" ca="1" si="573"/>
        <v/>
      </c>
      <c r="DY202" s="259" t="str">
        <f t="shared" ca="1" si="574"/>
        <v/>
      </c>
      <c r="DZ202" s="259" t="str">
        <f t="shared" ca="1" si="575"/>
        <v/>
      </c>
      <c r="ED202" s="259">
        <f t="shared" ca="1" si="529"/>
        <v>0</v>
      </c>
      <c r="EH202" s="259" t="str">
        <f t="shared" ca="1" si="576"/>
        <v/>
      </c>
      <c r="EI202" s="260" t="b">
        <f t="shared" ca="1" si="602"/>
        <v>0</v>
      </c>
      <c r="EJ202" s="260" t="b">
        <f t="shared" ca="1" si="603"/>
        <v>0</v>
      </c>
      <c r="EK202" s="260" t="b">
        <f t="shared" ca="1" si="604"/>
        <v>0</v>
      </c>
      <c r="EL202" s="259">
        <f t="shared" si="577"/>
        <v>200</v>
      </c>
      <c r="EM202" s="259">
        <f ca="1">IF(AND(BA202&gt;0,BA202&lt;=$EM$1),MAX($EM$2:EM201)+1,0)</f>
        <v>0</v>
      </c>
      <c r="EN202" s="259">
        <f t="shared" ca="1" si="578"/>
        <v>202</v>
      </c>
      <c r="EP202" s="259" t="str">
        <f t="shared" ca="1" si="530"/>
        <v/>
      </c>
      <c r="EQ202" s="259">
        <f t="shared" ca="1" si="531"/>
        <v>0</v>
      </c>
      <c r="ER202" s="259">
        <f ca="1">IF(ISNA(EQ202),MAX(ER$2:ER201)+1,0)</f>
        <v>0</v>
      </c>
      <c r="ES202" s="259" t="str">
        <f t="shared" ca="1" si="579"/>
        <v/>
      </c>
      <c r="ET202" s="259" t="str">
        <f ca="1">IFERROR(UPPER(INDEX($ER$3:$ES$500,MATCH(ROWS(ET$3:ET202),$ER$3:$ER$500,0),2)),"")</f>
        <v/>
      </c>
      <c r="EW202" s="259">
        <f t="shared" ca="1" si="497"/>
        <v>1</v>
      </c>
      <c r="EX202" s="259">
        <v>100</v>
      </c>
      <c r="EY202" s="259">
        <f t="shared" ca="1" si="498"/>
        <v>0</v>
      </c>
      <c r="EZ202" s="259">
        <f t="shared" ca="1" si="499"/>
        <v>0</v>
      </c>
      <c r="FA202" s="259">
        <f t="shared" ca="1" si="500"/>
        <v>0</v>
      </c>
      <c r="FB202" s="259">
        <f t="shared" ca="1" si="501"/>
        <v>0</v>
      </c>
      <c r="FC202" s="259">
        <f t="shared" ca="1" si="502"/>
        <v>0</v>
      </c>
      <c r="FD202" s="259">
        <f t="shared" ca="1" si="532"/>
        <v>0</v>
      </c>
      <c r="FE202" s="259" t="str">
        <f t="shared" ca="1" si="533"/>
        <v/>
      </c>
      <c r="FF202" s="259" t="str">
        <f t="shared" ca="1" si="503"/>
        <v/>
      </c>
      <c r="FM202" s="259">
        <f t="shared" si="534"/>
        <v>0</v>
      </c>
      <c r="FN202" s="259">
        <f>IF(FM202&lt;0,MAX($FN$2:FN201)+1,0)</f>
        <v>0</v>
      </c>
      <c r="FO202" s="259" t="str">
        <f t="shared" si="580"/>
        <v/>
      </c>
      <c r="FP202" s="259" t="str">
        <f ca="1">IFERROR(INDEX($FN$3:$FO$400,MATCH(ROWS($FP$3:FP202),$FN$3:$FN$400,0),2),"")</f>
        <v/>
      </c>
      <c r="FQ202" s="259" t="str">
        <f>IF(AE202="SE AVERE",MAX($FQ$2:FQ201)+1,"")</f>
        <v/>
      </c>
      <c r="FR202" s="259" t="str">
        <f>IF(AE202="SE DARE",MAX($FR$2:FR201)+1,"")</f>
        <v/>
      </c>
      <c r="FS202" s="259" t="str">
        <f ca="1">IF(AND(AE202="SP DARE",AA202&lt;&gt;$FS$1,AA202&lt;&gt;$FT$1),MAX($FS$2:FS201)+1,IF(AND(GQ202="SP DARE",AA202&lt;&gt;$FS$1,AA202&lt;&gt;$FT$1),MAX($FS$2:FS201)+1,""))</f>
        <v/>
      </c>
      <c r="FT202" s="259" t="str">
        <f ca="1">IF(AND(AE202="SP AVERE",AA202&lt;&gt;$FU$1),MAX($FT$2:FT201)+1,IF(AND(GQ202="SP AVERE",AA202&lt;&gt;$FU$1),MAX($FT$2:FT201)+1,""))</f>
        <v/>
      </c>
      <c r="FU202" s="259">
        <f t="shared" ca="1" si="581"/>
        <v>0</v>
      </c>
      <c r="FV202" s="259" t="str">
        <f t="shared" si="582"/>
        <v/>
      </c>
      <c r="FW202" s="259">
        <f ca="1">IFERROR(INDEX($FU$3:$FV$500,MATCH(ROWS($FW$3:FW202),$FU$3:$FU$500,0),2),0)</f>
        <v>0</v>
      </c>
      <c r="FX202" s="259">
        <f t="shared" ca="1" si="583"/>
        <v>0</v>
      </c>
      <c r="FY202" s="259">
        <f t="shared" ca="1" si="584"/>
        <v>0</v>
      </c>
      <c r="FZ202" s="259">
        <f ca="1">IF(FY202&gt;0,MAX($FZ$2:FZ201)+1,0)</f>
        <v>0</v>
      </c>
      <c r="GA202" s="259">
        <f ca="1">IFERROR(INDEX($FY$3:$FZ$500,MATCH(ROWS($GA$3:GA202),$FZ$3:$FZ$500,0),1),0)</f>
        <v>0</v>
      </c>
      <c r="GC202" s="259">
        <f t="shared" ca="1" si="585"/>
        <v>0</v>
      </c>
      <c r="GD202" s="259">
        <f t="shared" ca="1" si="586"/>
        <v>0</v>
      </c>
      <c r="GG202" s="259">
        <f t="shared" ca="1" si="587"/>
        <v>0</v>
      </c>
      <c r="GH202" s="259">
        <f t="shared" ca="1" si="588"/>
        <v>0</v>
      </c>
      <c r="GI202" s="259">
        <f t="shared" ca="1" si="589"/>
        <v>0</v>
      </c>
      <c r="GJ202" s="259">
        <f t="shared" ca="1" si="590"/>
        <v>0</v>
      </c>
      <c r="GK202" s="259">
        <f t="shared" ca="1" si="591"/>
        <v>0</v>
      </c>
      <c r="GL202" s="259">
        <f t="shared" ca="1" si="591"/>
        <v>0</v>
      </c>
      <c r="GM202" s="259">
        <f ca="1">IF(OR(GK202&gt;0,GL202&gt;0),MAX($GM$2:GM201)+1,0)</f>
        <v>0</v>
      </c>
      <c r="GN202" s="259" t="str">
        <f ca="1">IFERROR(INDEX($GD$3:$GM$400,MATCH(ROWS($GN$3:GN202),$GM$3:$GM$400,0),1),"")</f>
        <v/>
      </c>
      <c r="GO202" s="259" t="str">
        <f ca="1">IFERROR(INDEX($GD$3:$GM$400,MATCH(ROWS($GO$3:GO202),$GM$3:$GM$400,0),8),"")</f>
        <v/>
      </c>
      <c r="GP202" s="259" t="str">
        <f ca="1">IFERROR(INDEX($GD$3:$GM$400,MATCH(ROWS($GP$3:GP202),$GM$3:$GM$400,0),9),"")</f>
        <v/>
      </c>
      <c r="GQ202" s="259">
        <f t="shared" ca="1" si="535"/>
        <v>0</v>
      </c>
      <c r="GR202" s="259">
        <f t="shared" ca="1" si="592"/>
        <v>0</v>
      </c>
      <c r="GS202" s="259" t="str">
        <f t="shared" ca="1" si="593"/>
        <v/>
      </c>
      <c r="GT202" s="259" t="str">
        <f ca="1">IFERROR(INDEX($GD$3:$GS$400,MATCH(ROWS($GT$3:GT202),$GM$3:$GM$400,0),16),"")</f>
        <v/>
      </c>
      <c r="GU202" s="259">
        <f ca="1">IF(GQ202&lt;&gt;0,MAX($GU$2:$GU201)+1,0)</f>
        <v>0</v>
      </c>
      <c r="GV202" s="259">
        <f t="shared" ca="1" si="594"/>
        <v>0</v>
      </c>
      <c r="GW202" s="259" t="str">
        <f ca="1">IF(AND(IFERROR(INDEX($GU$3:$GV$400,MATCH(ROWS($GW$3:GW202),$GU$3:$GU$400,0),2),"")&lt;&gt;"",GW203&lt;&gt;""),CONCATENATE(IFERROR(INDEX($GU$3:$GV$400,MATCH(ROWS($GW$3:GW202),$GU$3:$GU$400,0),2),"")," - "),IFERROR(INDEX($GU$3:$GV$400,MATCH(ROWS($GW$3:GW202),$GU$3:$GU$400,0),2),""))</f>
        <v/>
      </c>
      <c r="GX202" s="259">
        <f ca="1">IF(OR(GN202="IVA NS/CREDITO",GN202="IVA NS/DEBITO",GN202="IVA C/ACCONTO",GN202="IMPOSTE C/ACCONTO"),MAX($GX$2:GX201)+1,0)</f>
        <v>0</v>
      </c>
      <c r="GY202" s="259" t="str">
        <f ca="1">IF(AND(IFERROR(INDEX($GN$3:$GX$200,MATCH(ROWS($GY$3:GY202),$GX$3:$GX$200,0),1),"")&lt;&gt;"",GY203&lt;&gt;""),CONCATENATE(IFERROR(INDEX($GN$3:$GX$200,MATCH(ROWS($GY$3:GY202),$GX$3:$GX$200,0),1),"")," - "),IFERROR(INDEX($GN$3:$GX$200,MATCH(ROWS($GY$3:GY202),$GX$3:$GX$200,0),1),""))</f>
        <v/>
      </c>
      <c r="GZ202" s="259" t="s">
        <v>195</v>
      </c>
      <c r="HA202" s="270" t="s">
        <v>196</v>
      </c>
      <c r="HV202" s="259" t="str">
        <f ca="1">CONCATENATE(IFERROR(INDEX($HS$3:$HT$102,MATCH(ROWS($HV$3:HV202),$HT$3:$HT$102,0),1),""),HR202)</f>
        <v/>
      </c>
      <c r="IX202" s="259" t="str">
        <f t="shared" si="606"/>
        <v/>
      </c>
      <c r="IY202" s="259" t="str">
        <f t="shared" si="600"/>
        <v/>
      </c>
      <c r="IZ202" s="259" t="str">
        <f t="shared" si="608"/>
        <v/>
      </c>
      <c r="JA202" s="259" t="str">
        <f t="shared" ca="1" si="601"/>
        <v/>
      </c>
      <c r="JB202" s="259">
        <f t="shared" ca="1" si="536"/>
        <v>0</v>
      </c>
      <c r="JC202" s="259">
        <f t="shared" ca="1" si="504"/>
        <v>0</v>
      </c>
      <c r="JD202" s="259">
        <f t="shared" ca="1" si="505"/>
        <v>0</v>
      </c>
      <c r="JM202" s="259">
        <f t="shared" ca="1" si="506"/>
        <v>0</v>
      </c>
    </row>
    <row r="203" spans="1:273">
      <c r="A203" s="259" t="str">
        <f t="shared" si="537"/>
        <v>41.01</v>
      </c>
      <c r="B203" s="259" t="str">
        <f t="shared" si="538"/>
        <v>INTERESSI PASSIVI A FORNITORI</v>
      </c>
      <c r="C203" s="259" t="str">
        <f t="shared" si="539"/>
        <v>E</v>
      </c>
      <c r="D203" s="259" t="str">
        <f t="shared" si="540"/>
        <v>D</v>
      </c>
      <c r="E203" s="259" t="str">
        <f t="shared" si="541"/>
        <v>COSTI D'ESERCIZIO</v>
      </c>
      <c r="F203" s="259" t="str">
        <f t="shared" si="542"/>
        <v>SE DARE</v>
      </c>
      <c r="G203" s="259">
        <f t="shared" ca="1" si="543"/>
        <v>1</v>
      </c>
      <c r="H203" s="259">
        <f t="shared" ca="1" si="544"/>
        <v>1</v>
      </c>
      <c r="I203" s="259">
        <f t="shared" ca="1" si="545"/>
        <v>1</v>
      </c>
      <c r="K203" s="259" t="str">
        <f ca="1">IFERROR(IF($I$1=1,INDEX($AA$3:$AS$220,MATCH(ROWS($K$3:K203),$AQ$3:$AQ$220,0),1),IF($I$1=2,INDEX($AA$3:$AS$220,MATCH(ROWS($K$3:K203),$AR$3:$AR$220,0),1),IF($I$1=3,INDEX($AA$3:$AS$220,MATCH(ROWS($K$3:K203),$AS$3:$AS$220,0),1),""))),"")</f>
        <v/>
      </c>
      <c r="L203" s="259">
        <f ca="1">IF(AND($L$1="VISUALIZZA TUTTI I CONTI",K203&lt;&gt;""),MAX(L202:L202)+1,IFERROR(IF($J$1=1,IF(INDEX(PIANO_DEI_CONTI,MATCH($K203,DENOMINAZIONE,0),5)=$L$1,MAX($L$2:L202)+1,0),IF($J$1=2,IF(INDEX(PIANO_DEI_CONTI,MATCH($K203,DENOMINAZIONE,0),7)=$L$1,MAX($L$2:L202)+1,0))),0))</f>
        <v>0</v>
      </c>
      <c r="M203" s="259" t="str">
        <f ca="1">IFERROR(INDEX($K$3:$K$220,MATCH(ROWS($M$3:M203),$L$3:$L$220,0),1),"")</f>
        <v/>
      </c>
      <c r="R203" s="259" t="str">
        <f t="shared" ca="1" si="516"/>
        <v/>
      </c>
      <c r="S203" s="259">
        <f ca="1">IF(IFERROR(MATCH(R203,DENOMINAZIONE_GIORNALE,0),0)&gt;0,MAX(S$2:S202)+1,0)</f>
        <v>0</v>
      </c>
      <c r="T203" s="259" t="str">
        <f ca="1">IFERROR(INDEX($R$3:$S$220,MATCH(ROWS($T$3:T203),$S$3:$S$220,0),1),"")</f>
        <v/>
      </c>
      <c r="U203" s="259">
        <f t="shared" ca="1" si="517"/>
        <v>0</v>
      </c>
      <c r="V203" s="259">
        <f ca="1">IF(IF(U203&lt;&gt;0,MAX($V$2:V202)+1,0)=0,0,IF(U203&lt;&gt;0,MAX($V$2:V202)+1,0))</f>
        <v>0</v>
      </c>
      <c r="W203" s="259" t="str">
        <f t="shared" si="546"/>
        <v>41.01</v>
      </c>
      <c r="X203" s="259" t="str">
        <f t="shared" si="547"/>
        <v>INTERESSI PASSIVI A FORNITORI</v>
      </c>
      <c r="Y203" s="259">
        <f>IF(W203="",0,MAX($Y$2:Y202)+1)</f>
        <v>171</v>
      </c>
      <c r="Z203" s="259" t="str">
        <f>IFERROR(INDEX($W$3:$Y$220,MATCH(ROWS($Z$2:Z202),$Y$3:$Y$220,0),1),"")</f>
        <v/>
      </c>
      <c r="AA203" s="259" t="str">
        <f t="shared" si="548"/>
        <v/>
      </c>
      <c r="AB203" s="259" t="str">
        <f t="shared" si="549"/>
        <v/>
      </c>
      <c r="AC203" s="259" t="str">
        <f t="shared" si="550"/>
        <v/>
      </c>
      <c r="AD203" s="259" t="str">
        <f t="shared" si="551"/>
        <v/>
      </c>
      <c r="AE203" s="259" t="str">
        <f t="shared" si="552"/>
        <v/>
      </c>
      <c r="AF203" s="259" t="str">
        <f t="shared" si="553"/>
        <v/>
      </c>
      <c r="AG203" s="259" t="str">
        <f t="shared" si="554"/>
        <v/>
      </c>
      <c r="AH203" s="259" t="str">
        <f t="shared" si="555"/>
        <v/>
      </c>
      <c r="AI203" s="259" t="str">
        <f t="shared" si="556"/>
        <v/>
      </c>
      <c r="AJ203" s="259" t="str">
        <f t="shared" si="557"/>
        <v/>
      </c>
      <c r="AK203" s="259" t="str">
        <f t="shared" si="558"/>
        <v/>
      </c>
      <c r="AL203" s="259">
        <f>IF(AK203&lt;&gt;"",MAX($AL$2:AL202)+1,0)</f>
        <v>0</v>
      </c>
      <c r="AM203" s="259" t="str">
        <f>IFERROR(INDEX($AK$3:$AL$220,MATCH(ROWS($AM$3:AM203),$AL$3:$AL$220,0),1),"")</f>
        <v/>
      </c>
      <c r="AN203" s="259" t="str">
        <f t="shared" si="559"/>
        <v/>
      </c>
      <c r="AO203" s="259" t="str">
        <f t="shared" si="560"/>
        <v/>
      </c>
      <c r="AP203" s="259" t="str">
        <f t="shared" si="561"/>
        <v/>
      </c>
      <c r="AQ203" s="259">
        <f>IF(OR(AG203=0,AG203=""),0,MAX(AQ$2:AQ202)+1)</f>
        <v>0</v>
      </c>
      <c r="AR203" s="259">
        <f>IF(OR(AH203=0,AH203=""),0,MAX(AR$2:AR202)+1)</f>
        <v>0</v>
      </c>
      <c r="AS203" s="259">
        <f>IF(OR(AI203=0,AI203=""),0,MAX(AS$2:AS202)+1)</f>
        <v>0</v>
      </c>
      <c r="AT203" s="259" t="str">
        <f ca="1">IFERROR(INDEX($AD$3:$AS$220,MATCH(ROWS(AT$3:AT203),AQ$3:AQ$220,0),1),"")</f>
        <v/>
      </c>
      <c r="AU203" s="259" t="str">
        <f ca="1">IFERROR(INDEX($AD$3:$AS$220,MATCH(ROWS(AU$3:AU203),AR$3:AR$220,0),1),"")</f>
        <v/>
      </c>
      <c r="AV203" s="259" t="str">
        <f ca="1">IFERROR(INDEX($AD$3:$AS$220,MATCH(ROWS(AV$3:AV203),AS$3:AS$220,0),1),"")</f>
        <v/>
      </c>
      <c r="AW203" s="259" t="str">
        <f ca="1">IFERROR(INDEX($AP$3:$AS$220,MATCH(ROWS(AW$3:AW203),AQ$3:AQ$220,0),1),"")</f>
        <v/>
      </c>
      <c r="AX203" s="259" t="str">
        <f ca="1">IFERROR(INDEX($AP$3:$AS$220,MATCH(ROWS(AX$3:AX203),AR$3:AR$220,0),1),"")</f>
        <v/>
      </c>
      <c r="AY203" s="259" t="str">
        <f ca="1">IFERROR(INDEX($AP$3:$AS$220,MATCH(ROWS(AY$3:AY203),AS$3:AS$220,0),1),"")</f>
        <v/>
      </c>
      <c r="AZ203" s="259" t="str">
        <f ca="1">IF(BA203&lt;&gt;0,ROW()-202,"")</f>
        <v/>
      </c>
      <c r="BA203" s="259">
        <f t="shared" ca="1" si="484"/>
        <v>0</v>
      </c>
      <c r="BB203" s="259">
        <f t="shared" ca="1" si="491"/>
        <v>0</v>
      </c>
      <c r="BC203" s="259">
        <f t="shared" ca="1" si="492"/>
        <v>0</v>
      </c>
      <c r="BD203" s="259">
        <f t="shared" ca="1" si="493"/>
        <v>0</v>
      </c>
      <c r="BE203" s="259">
        <f t="shared" ca="1" si="494"/>
        <v>0</v>
      </c>
      <c r="BG203" s="259" t="str">
        <f t="shared" ca="1" si="518"/>
        <v/>
      </c>
      <c r="BH203" s="259">
        <f ca="1">IF(IFERROR(MATCH(BG203,DENOMINAZIONE_GIORNALE,0),0)&gt;0,MAX(BH$2:BH202)+1,0)</f>
        <v>0</v>
      </c>
      <c r="BI203" s="259" t="str">
        <f ca="1">IFERROR(INDEX($BG$3:$BH$220,MATCH(ROWS($BI$3:BI203),$BH$3:$BH$220,0),1),"")</f>
        <v/>
      </c>
      <c r="BJ203" s="259" t="str">
        <f t="shared" ca="1" si="519"/>
        <v/>
      </c>
      <c r="BK203" s="259" t="str">
        <f ca="1">IF(IF(BJ203&lt;&gt;"",MAX($BK$2:BK202)+1,0)=0,"",IF(BJ203&lt;&gt;"",MAX($BK$2:BK202)+1,0))</f>
        <v/>
      </c>
      <c r="BL203" s="259" t="str">
        <f ca="1">IFERROR(INDEX($T$3:$U$220, MATCH(ROWS(BL$3:BL203),$V$3:$V$220,0),1),"")</f>
        <v/>
      </c>
      <c r="BM203" s="259" t="str">
        <f ca="1">IFERROR(INDEX($T$3:$U$220, MATCH(ROWS(BM$3:BM203),$V$3:$V$220,0),2),"")</f>
        <v/>
      </c>
      <c r="BN203" s="259" t="str">
        <f ca="1">IF(IFERROR(INDEX($BI$3:$BJ$220,MATCH(ROWS(BN$3:BN203),$BK$3:$BK$220,0),1),"")="PATRIMONIO NETTO","",IFERROR(INDEX($BI$3:$BJ$220,MATCH(ROWS(BN$3:BN203),$BK$3:$BK$220,0),1),""))</f>
        <v/>
      </c>
      <c r="BO203" s="259" t="str">
        <f ca="1">IFERROR(INDEX($BI$3:$BJ$220,MATCH(ROWS(BO$3:BO203),$BK$3:$BK$220,0),2),"")</f>
        <v/>
      </c>
      <c r="BP203" s="259">
        <f ca="1">IF(BN203&lt;&gt;"",MAX(BP$2:$BP202)+1,0)</f>
        <v>0</v>
      </c>
      <c r="BQ203" s="259" t="str">
        <f ca="1">IFERROR(INDEX($BN$3:$BO$200,MATCH(ROWS(BQ$3:BQ203),$BP$3:$BP$220,0),1),"")</f>
        <v/>
      </c>
      <c r="BR203" s="259" t="str">
        <f ca="1">IFERROR(INDEX($BN$3:$BO$220,MATCH(ROWS(BR$3:BR203),$BP$3:$BP$220,0),2),"")</f>
        <v/>
      </c>
      <c r="BS203" s="259" t="str">
        <f ca="1">IFERROR(IF(OR(INDEX($T$3:$U$220,MATCH(ROWS(BL$3:BL203),$V$3:$V$220,0),1)="PRELEVAMENTI EXTRAGESTIONE",INDEX($T$3:$U$220,MATCH(ROWS(BL$3:BL203),$V$3:$V$220,0),1)="TITOLARE C/RITENUTE SUBITE"),"",INDEX($T$3:$U$220,MATCH(ROWS(BL$3:BL203),$V$3:$V$220,0),1)),"")</f>
        <v/>
      </c>
      <c r="BT203" s="259">
        <f t="shared" ca="1" si="562"/>
        <v>0</v>
      </c>
      <c r="BU203" s="259">
        <f ca="1">IF(BS203&lt;&gt;"",MAX(BU$2:BU202)+1,0)</f>
        <v>0</v>
      </c>
      <c r="BV203" s="259" t="str">
        <f ca="1">IFERROR(INDEX($BS$3:$BT$223,MATCH(ROWS(BV$3:BV203),$BU$3:$BU$223,0),1),"")</f>
        <v/>
      </c>
      <c r="BW203" s="259">
        <f t="shared" ca="1" si="563"/>
        <v>0</v>
      </c>
      <c r="CB203" s="259" t="str">
        <f ca="1">IFERROR(IF(OR($BB$1&lt;&gt;$BD$1,$BC$1&lt;&gt;$BE$1,$DS$231&lt;&gt;$DT$231,$DU$231&lt;&gt;$DV$231,$EO$25&lt;&gt;0,$EO$26&lt;&gt;0),INDEX($BI$3:$BK$220,MATCH(ROWS($CB$3:CB203),$BK$3:$BK$220,0),1),CONCATENATE(BQ203,BX203)),"")</f>
        <v/>
      </c>
      <c r="CC203" s="259" t="str">
        <f t="shared" ca="1" si="564"/>
        <v/>
      </c>
      <c r="CD203" s="259" t="str">
        <f t="shared" ca="1" si="520"/>
        <v/>
      </c>
      <c r="CE203" s="259">
        <f ca="1">IF(IFERROR(MATCH(CD203,DENOMINAZIONE_GIORNALE,0),0)&gt;0,MAX(CE$2:CE202)+1,0)</f>
        <v>0</v>
      </c>
      <c r="CF203" s="259" t="str">
        <f ca="1">IFERROR(INDEX($CD$3:$CE$220,MATCH(ROWS($CF$3:CF203),$CE$3:$CE$220,0),1),"")</f>
        <v/>
      </c>
      <c r="CG203" s="259">
        <f t="shared" ca="1" si="521"/>
        <v>0</v>
      </c>
      <c r="CH203" s="259" t="str">
        <f ca="1">IF(IF(CG203&lt;&gt;0,MAX($CH$2:CH202)+1,0)=0,"",IF(CG203&lt;&gt;"",MAX($CH$2:CH202)+1,0))</f>
        <v/>
      </c>
      <c r="CI203" s="259" t="str">
        <f ca="1">IFERROR(INDEX($CF$3:$CG$220,MATCH(ROWS($CI$3:CI203),$CH$3:$CH$220,0),1),"")</f>
        <v/>
      </c>
      <c r="CJ203" s="259" t="str">
        <f t="shared" ca="1" si="565"/>
        <v/>
      </c>
      <c r="CK203" s="259" t="str">
        <f t="shared" ca="1" si="522"/>
        <v/>
      </c>
      <c r="CL203" s="259">
        <f ca="1">IF(IFERROR(MATCH(CK203,DENOMINAZIONE_GIORNALE,0),0)&gt;0,MAX(CL$2:CL202)+1,0)</f>
        <v>0</v>
      </c>
      <c r="CM203" s="259" t="str">
        <f ca="1">IFERROR(INDEX($CK$3:$CL$220,MATCH(ROWS($CM$3:CM203),$CL$3:$CL$220,0),1),"")</f>
        <v/>
      </c>
      <c r="CN203" s="259" t="str">
        <f t="shared" ca="1" si="523"/>
        <v/>
      </c>
      <c r="CO203" s="259">
        <f ca="1">IF(IF(CN203&lt;&gt;0,MAX($CO$2:CO202)+1,0)=0,"",IF(CN203&lt;&gt;"",MAX($CO$2:CO202)+1,0))</f>
        <v>0</v>
      </c>
      <c r="CP203" s="259" t="str">
        <f ca="1">IFERROR(INDEX($CM$3:$CN$220,MATCH(ROWS(CP$3:CP203),$CO$3:$CO$220,0),1),"")</f>
        <v/>
      </c>
      <c r="CQ203" s="259" t="str">
        <f ca="1">IFERROR(INDEX($CM$3:$CN$220,MATCH(ROWS(CQ$3:CQ203),$CO$3:$CO$220,0),2),"")</f>
        <v/>
      </c>
      <c r="CS203" s="259">
        <f t="shared" ca="1" si="524"/>
        <v>0</v>
      </c>
      <c r="CT203" s="259">
        <f t="shared" ca="1" si="525"/>
        <v>0</v>
      </c>
      <c r="CU203" s="259">
        <f ca="1">IF(OR(CS203&gt;0,CT203&gt;0),MAX($CU$2:CU202)+1,0)</f>
        <v>0</v>
      </c>
      <c r="CV203" s="259" t="str">
        <f ca="1">IFERROR(INDEX(PIANO_DEI_CONTI,MATCH(ROWS($CV$3:CV203),$CU$3:$CU$200,0),2),"")</f>
        <v/>
      </c>
      <c r="CW203" s="259">
        <f ca="1">IFERROR(IF(CV203&lt;&gt;"",MAX($CW$2:CW202)+1,0),0)</f>
        <v>0</v>
      </c>
      <c r="CX203" s="259">
        <f t="shared" ca="1" si="609"/>
        <v>12</v>
      </c>
      <c r="CY203" s="259" t="str">
        <f t="shared" ca="1" si="607"/>
        <v>MASTRO</v>
      </c>
      <c r="CZ203" s="259" t="e">
        <f t="shared" ref="CZ203:CZ217" ca="1" si="611">SUM(MATCH($CY203,INDIRECT(ADDRESS(SUM(CZ202)+3,54)&amp;":"&amp;ADDRESS(400,54)),0),CZ202)</f>
        <v>#N/A</v>
      </c>
      <c r="DA203" s="259" t="str">
        <f ca="1">IFERROR(INDEX(LIBRO_GIORNALE,CZ203,1),"")</f>
        <v/>
      </c>
      <c r="DB203" s="259" t="str">
        <f t="shared" ref="DB203:DB217" ca="1" si="612">IF(RIGHT(TEXT(IFERROR(INDEX(LIBRO_GIORNALE,CZ203,2),""),"gg/mm/aa"),1)="a",TEXT(IFERROR(INDEX(LIBRO_GIORNALE,CZ203,2),""),"dd/mm/yy"),TEXT(IFERROR(INDEX(LIBRO_GIORNALE,CZ203,2),""),"gg/mm/aa"))</f>
        <v/>
      </c>
      <c r="DC203" s="259" t="str">
        <f t="shared" ref="DC203:DC217" ca="1" si="613">IF(IFERROR(INDEX(LIBRO_GIORNALE,CZ203,4),"")=0,"manca la descrizione dell'operazione",IFERROR(INDEX(LIBRO_GIORNALE,CZ203,4),""))</f>
        <v/>
      </c>
      <c r="DD203" s="259" t="str">
        <f t="shared" ref="DD203:DD217" ca="1" si="614">IFERROR(IF(INDEX(LIBRO_GIORNALE,CZ203,5)&gt;0,INDEX(LIBRO_GIORNALE,CZ203,5),""),"")</f>
        <v/>
      </c>
      <c r="DE203" s="259" t="str">
        <f t="shared" ref="DE203:DE217" ca="1" si="615">IFERROR(IF(INDEX(LIBRO_GIORNALE,CZ203,6)&gt;0,INDEX(LIBRO_GIORNALE,CZ203,6),""),"")</f>
        <v/>
      </c>
      <c r="DF203" s="259">
        <f ca="1">IF(AND(CX203=$DE$2,$DF$2&lt;&gt;0),0,IF(AND(DB203&lt;&gt;"",OR(DB202&lt;&gt;"",DB204&lt;&gt;"")),MAX($DF$2:DF202)+1,0))</f>
        <v>0</v>
      </c>
      <c r="DG203" s="259" t="str">
        <f>IF(IF(LIBRO_GIORNALE!E111="","",IFERROR(INDEX(PIANO_DEI_CONTI,MATCH(BB203,DENOMINAZIONE,0),1),0))=0,"",IF(LIBRO_GIORNALE!E111="","",IFERROR(INDEX(PIANO_DEI_CONTI,MATCH(BB203,DENOMINAZIONE,0),1),0)))</f>
        <v/>
      </c>
      <c r="DH203" s="259">
        <f ca="1">IFERROR(IF($J$1=1,IF(INDEX(PIANO_DEI_CONTI,MATCH($K203,DENOMINAZIONE,0),5)=$DF$1,MAX($DH$2:DH202)+1,0),IF($J$1=2,IF(INDEX(PIANO_DEI_CONTI,MATCH($K203,DENOMINAZIONE,0),7)=$DF$1,MAX($DH$2:DH202)+1,0))),0)</f>
        <v>0</v>
      </c>
      <c r="DI203" s="259">
        <f ca="1">IFERROR(INDEX($K$3:$K$220,MATCH(ROWS($DI$3:DI203),$DH$3:$DH$220,0),1),0)</f>
        <v>0</v>
      </c>
      <c r="DJ203" s="259">
        <f t="shared" ca="1" si="526"/>
        <v>0</v>
      </c>
      <c r="DK203" s="259">
        <f ca="1">IF(DJ203=0,0,MAX(DK$2:DK202)+1)</f>
        <v>0</v>
      </c>
      <c r="DL203" s="259">
        <f ca="1">IFERROR(INDEX(PIANO_DEI_CONTI,MATCH(ROWS(DL$3:DL203),$DK$3:DK430,0),2),0)</f>
        <v>0</v>
      </c>
      <c r="DM203" s="259">
        <f t="shared" ca="1" si="527"/>
        <v>0</v>
      </c>
      <c r="DN203" s="259">
        <f t="shared" ca="1" si="528"/>
        <v>0</v>
      </c>
      <c r="DO203" s="259">
        <f t="shared" ca="1" si="566"/>
        <v>0</v>
      </c>
      <c r="DP203" s="259">
        <f t="shared" ca="1" si="567"/>
        <v>0</v>
      </c>
      <c r="DQ203" s="259">
        <f ca="1">IF(OR($DQ$1="TOTALI",$DQ$1="TOTALI ED ECCEDENZE"),IF(OR(DM203&gt;0,DN203&gt;0),MAX(DQ$2:DQ202)+1,0),IF($DQ$1="ECCEDENZE",IF(OR(DO203&gt;0,DP203&gt;0),MAX(DQ$2:DQ202)+1,0),""))</f>
        <v>0</v>
      </c>
      <c r="DR203" s="259" t="str">
        <f ca="1">IFERROR(INDEX($DL$3:$DQ$230,MATCH(ROWS(DR$3:DR203),$DQ$3:$DQ$230,0),1),"")</f>
        <v/>
      </c>
      <c r="DS203" s="259" t="str">
        <f t="shared" ca="1" si="568"/>
        <v/>
      </c>
      <c r="DT203" s="259" t="str">
        <f t="shared" ca="1" si="569"/>
        <v/>
      </c>
      <c r="DU203" s="259" t="str">
        <f t="shared" ca="1" si="570"/>
        <v/>
      </c>
      <c r="DV203" s="259" t="str">
        <f t="shared" ca="1" si="571"/>
        <v/>
      </c>
      <c r="DW203" s="259">
        <f t="shared" ca="1" si="572"/>
        <v>0</v>
      </c>
      <c r="DX203" s="259" t="str">
        <f t="shared" ca="1" si="573"/>
        <v/>
      </c>
      <c r="DY203" s="259" t="str">
        <f t="shared" ca="1" si="574"/>
        <v/>
      </c>
      <c r="DZ203" s="259" t="str">
        <f t="shared" ca="1" si="575"/>
        <v/>
      </c>
      <c r="ED203" s="259">
        <f t="shared" ca="1" si="529"/>
        <v>0</v>
      </c>
      <c r="EH203" s="259" t="str">
        <f t="shared" ca="1" si="576"/>
        <v/>
      </c>
      <c r="EI203" s="260" t="b">
        <f t="shared" ca="1" si="602"/>
        <v>1</v>
      </c>
      <c r="EJ203" s="260" t="b">
        <f t="shared" ca="1" si="603"/>
        <v>1</v>
      </c>
      <c r="EK203" s="260" t="b">
        <f t="shared" ca="1" si="604"/>
        <v>1</v>
      </c>
      <c r="EL203" s="259">
        <f t="shared" si="577"/>
        <v>201</v>
      </c>
      <c r="EM203" s="259">
        <f ca="1">IF(AND(BA203&gt;0,BA203&lt;=$EM$1),MAX($EM$2:EM202)+1,0)</f>
        <v>0</v>
      </c>
      <c r="EN203" s="259">
        <f t="shared" ca="1" si="578"/>
        <v>203</v>
      </c>
      <c r="EP203" s="259" t="str">
        <f t="shared" ca="1" si="530"/>
        <v/>
      </c>
      <c r="EQ203" s="259">
        <f t="shared" ca="1" si="531"/>
        <v>0</v>
      </c>
      <c r="ER203" s="259">
        <f ca="1">IF(ISNA(EQ203),MAX(ER$2:ER202)+1,0)</f>
        <v>0</v>
      </c>
      <c r="ES203" s="259" t="str">
        <f t="shared" ca="1" si="579"/>
        <v/>
      </c>
      <c r="ET203" s="259" t="str">
        <f ca="1">IFERROR(UPPER(INDEX($ER$3:$ES$500,MATCH(ROWS(ET$3:ET203),$ER$3:$ER$500,0),2)),"")</f>
        <v/>
      </c>
      <c r="EW203" s="259">
        <f t="shared" ca="1" si="497"/>
        <v>1</v>
      </c>
      <c r="EX203" s="259">
        <v>101</v>
      </c>
      <c r="EY203" s="259">
        <f t="shared" ca="1" si="498"/>
        <v>0</v>
      </c>
      <c r="EZ203" s="259">
        <f t="shared" ca="1" si="499"/>
        <v>0</v>
      </c>
      <c r="FA203" s="259">
        <f t="shared" ca="1" si="500"/>
        <v>0</v>
      </c>
      <c r="FB203" s="259">
        <f t="shared" ca="1" si="501"/>
        <v>0</v>
      </c>
      <c r="FC203" s="259">
        <f t="shared" ca="1" si="502"/>
        <v>0</v>
      </c>
      <c r="FD203" s="259">
        <f t="shared" ca="1" si="532"/>
        <v>0</v>
      </c>
      <c r="FE203" s="259" t="str">
        <f t="shared" ca="1" si="533"/>
        <v/>
      </c>
      <c r="FF203" s="259" t="str">
        <f t="shared" ca="1" si="503"/>
        <v/>
      </c>
      <c r="FM203" s="259">
        <f t="shared" si="534"/>
        <v>0</v>
      </c>
      <c r="FN203" s="259">
        <f>IF(FM203&lt;0,MAX($FN$2:FN202)+1,0)</f>
        <v>0</v>
      </c>
      <c r="FO203" s="259" t="str">
        <f t="shared" si="580"/>
        <v/>
      </c>
      <c r="FP203" s="259" t="str">
        <f ca="1">IFERROR(INDEX($FN$3:$FO$400,MATCH(ROWS($FP$3:FP203),$FN$3:$FN$400,0),2),"")</f>
        <v/>
      </c>
      <c r="FQ203" s="259" t="str">
        <f>IF(AE203="SE AVERE",MAX($FQ$2:FQ202)+1,"")</f>
        <v/>
      </c>
      <c r="FR203" s="259" t="str">
        <f>IF(AE203="SE DARE",MAX($FR$2:FR202)+1,"")</f>
        <v/>
      </c>
      <c r="FS203" s="259" t="str">
        <f ca="1">IF(AND(AE203="SP DARE",AA203&lt;&gt;$FS$1,AA203&lt;&gt;$FT$1),MAX($FS$2:FS202)+1,IF(AND(GQ203="SP DARE",AA203&lt;&gt;$FS$1,AA203&lt;&gt;$FT$1),MAX($FS$2:FS202)+1,""))</f>
        <v/>
      </c>
      <c r="FT203" s="259" t="str">
        <f ca="1">IF(AND(AE203="SP AVERE",AA203&lt;&gt;$FU$1),MAX($FT$2:FT202)+1,IF(AND(GQ203="SP AVERE",AA203&lt;&gt;$FU$1),MAX($FT$2:FT202)+1,""))</f>
        <v/>
      </c>
      <c r="FU203" s="259">
        <f t="shared" ca="1" si="581"/>
        <v>0</v>
      </c>
      <c r="FV203" s="259" t="str">
        <f t="shared" si="582"/>
        <v/>
      </c>
      <c r="FW203" s="259">
        <f ca="1">IFERROR(INDEX($FU$3:$FV$500,MATCH(ROWS($FW$3:FW203),$FU$3:$FU$500,0),2),0)</f>
        <v>0</v>
      </c>
      <c r="FX203" s="259">
        <f t="shared" ca="1" si="583"/>
        <v>0</v>
      </c>
      <c r="FY203" s="259">
        <f t="shared" ca="1" si="584"/>
        <v>0</v>
      </c>
      <c r="FZ203" s="259">
        <f ca="1">IF(FY203&gt;0,MAX($FZ$2:FZ202)+1,0)</f>
        <v>0</v>
      </c>
      <c r="GA203" s="259">
        <f ca="1">IFERROR(INDEX($FY$3:$FZ$500,MATCH(ROWS($GA$3:GA203),$FZ$3:$FZ$500,0),1),0)</f>
        <v>0</v>
      </c>
      <c r="GC203" s="259">
        <f t="shared" ca="1" si="585"/>
        <v>0</v>
      </c>
      <c r="GD203" s="259">
        <f t="shared" ca="1" si="586"/>
        <v>0</v>
      </c>
      <c r="GG203" s="259">
        <f t="shared" ca="1" si="587"/>
        <v>0</v>
      </c>
      <c r="GH203" s="259">
        <f t="shared" ca="1" si="588"/>
        <v>0</v>
      </c>
      <c r="GI203" s="259">
        <f t="shared" ca="1" si="589"/>
        <v>0</v>
      </c>
      <c r="GJ203" s="259">
        <f t="shared" ca="1" si="590"/>
        <v>0</v>
      </c>
      <c r="GK203" s="259">
        <f t="shared" ca="1" si="591"/>
        <v>0</v>
      </c>
      <c r="GL203" s="259">
        <f t="shared" ca="1" si="591"/>
        <v>0</v>
      </c>
      <c r="GM203" s="259">
        <f ca="1">IF(OR(GK203&gt;0,GL203&gt;0),MAX($GM$2:GM202)+1,0)</f>
        <v>0</v>
      </c>
      <c r="GN203" s="259" t="str">
        <f ca="1">IFERROR(INDEX($GD$3:$GM$400,MATCH(ROWS($GN$3:GN203),$GM$3:$GM$400,0),1),"")</f>
        <v/>
      </c>
      <c r="GO203" s="259" t="str">
        <f ca="1">IFERROR(INDEX($GD$3:$GM$400,MATCH(ROWS($GO$3:GO203),$GM$3:$GM$400,0),8),"")</f>
        <v/>
      </c>
      <c r="GP203" s="259" t="str">
        <f ca="1">IFERROR(INDEX($GD$3:$GM$400,MATCH(ROWS($GP$3:GP203),$GM$3:$GM$400,0),9),"")</f>
        <v/>
      </c>
      <c r="GQ203" s="259">
        <f t="shared" ca="1" si="535"/>
        <v>0</v>
      </c>
      <c r="GR203" s="259">
        <f t="shared" ca="1" si="592"/>
        <v>0</v>
      </c>
      <c r="GS203" s="259" t="str">
        <f t="shared" ca="1" si="593"/>
        <v/>
      </c>
      <c r="GT203" s="259" t="str">
        <f ca="1">IFERROR(INDEX($GD$3:$GS$400,MATCH(ROWS($GT$3:GT203),$GM$3:$GM$400,0),16),"")</f>
        <v/>
      </c>
      <c r="GU203" s="259">
        <f ca="1">IF(GQ203&lt;&gt;0,MAX($GU$2:$GU202)+1,0)</f>
        <v>0</v>
      </c>
      <c r="GV203" s="259">
        <f t="shared" ca="1" si="594"/>
        <v>0</v>
      </c>
      <c r="GW203" s="259" t="str">
        <f ca="1">IF(AND(IFERROR(INDEX($GU$3:$GV$400,MATCH(ROWS($GW$3:GW203),$GU$3:$GU$400,0),2),"")&lt;&gt;"",GW204&lt;&gt;""),CONCATENATE(IFERROR(INDEX($GU$3:$GV$400,MATCH(ROWS($GW$3:GW203),$GU$3:$GU$400,0),2),"")," - "),IFERROR(INDEX($GU$3:$GV$400,MATCH(ROWS($GW$3:GW203),$GU$3:$GU$400,0),2),""))</f>
        <v/>
      </c>
      <c r="GX203" s="259">
        <f ca="1">IF(OR(GN203="IVA NS/CREDITO",GN203="IVA NS/DEBITO",GN203="IVA C/ACCONTO",GN203="IMPOSTE C/ACCONTO"),MAX($GX$2:GX202)+1,0)</f>
        <v>0</v>
      </c>
      <c r="GY203" s="259" t="str">
        <f ca="1">IF(AND(IFERROR(INDEX($GN$3:$GX$200,MATCH(ROWS($GY$3:GY203),$GX$3:$GX$200,0),1),"")&lt;&gt;"",GY204&lt;&gt;""),CONCATENATE(IFERROR(INDEX($GN$3:$GX$200,MATCH(ROWS($GY$3:GY203),$GX$3:$GX$200,0),1),"")," - "),IFERROR(INDEX($GN$3:$GX$200,MATCH(ROWS($GY$3:GY203),$GX$3:$GX$200,0),1),""))</f>
        <v/>
      </c>
      <c r="GZ203" s="259" t="s">
        <v>200</v>
      </c>
      <c r="HA203" s="259" t="s">
        <v>685</v>
      </c>
      <c r="HB203" s="269" t="s">
        <v>256</v>
      </c>
      <c r="HC203" s="269" t="s">
        <v>276</v>
      </c>
      <c r="HD203" s="269" t="s">
        <v>7</v>
      </c>
      <c r="HE203" s="269" t="s">
        <v>214</v>
      </c>
      <c r="HV203" s="259" t="str">
        <f ca="1">CONCATENATE(IFERROR(INDEX($HS$3:$HT$102,MATCH(ROWS($HV$3:HV203),$HT$3:$HT$102,0),1),""),HR203)</f>
        <v/>
      </c>
      <c r="IX203" s="259" t="str">
        <f t="shared" si="606"/>
        <v/>
      </c>
      <c r="IY203" s="259" t="str">
        <f t="shared" si="600"/>
        <v/>
      </c>
      <c r="IZ203" s="259" t="str">
        <f t="shared" si="608"/>
        <v/>
      </c>
      <c r="JA203" s="259" t="str">
        <f t="shared" ca="1" si="601"/>
        <v/>
      </c>
      <c r="JB203" s="259">
        <f t="shared" ca="1" si="536"/>
        <v>0</v>
      </c>
      <c r="JC203" s="259">
        <f t="shared" ca="1" si="504"/>
        <v>0</v>
      </c>
      <c r="JD203" s="259">
        <f t="shared" ca="1" si="505"/>
        <v>0</v>
      </c>
      <c r="JM203" s="259">
        <f t="shared" ca="1" si="506"/>
        <v>0</v>
      </c>
    </row>
    <row r="204" spans="1:273">
      <c r="A204" s="259" t="str">
        <f t="shared" si="537"/>
        <v>41.02</v>
      </c>
      <c r="B204" s="259" t="str">
        <f t="shared" si="538"/>
        <v>INTERESSI PASSIVI BANCARI</v>
      </c>
      <c r="C204" s="259" t="str">
        <f t="shared" si="539"/>
        <v>E</v>
      </c>
      <c r="D204" s="259" t="str">
        <f t="shared" si="540"/>
        <v>D</v>
      </c>
      <c r="E204" s="259" t="str">
        <f t="shared" si="541"/>
        <v>COSTI D'ESERCIZIO</v>
      </c>
      <c r="F204" s="259" t="str">
        <f t="shared" si="542"/>
        <v>SE DARE</v>
      </c>
      <c r="G204" s="259">
        <f t="shared" ca="1" si="543"/>
        <v>1</v>
      </c>
      <c r="H204" s="259">
        <f t="shared" ca="1" si="544"/>
        <v>1</v>
      </c>
      <c r="I204" s="259">
        <f t="shared" ca="1" si="545"/>
        <v>1</v>
      </c>
      <c r="K204" s="259" t="str">
        <f ca="1">IFERROR(IF($I$1=1,INDEX($AA$3:$AS$220,MATCH(ROWS($K$3:K204),$AQ$3:$AQ$220,0),1),IF($I$1=2,INDEX($AA$3:$AS$220,MATCH(ROWS($K$3:K204),$AR$3:$AR$220,0),1),IF($I$1=3,INDEX($AA$3:$AS$220,MATCH(ROWS($K$3:K204),$AS$3:$AS$220,0),1),""))),"")</f>
        <v/>
      </c>
      <c r="L204" s="259">
        <f ca="1">IF(AND($L$1="VISUALIZZA TUTTI I CONTI",K204&lt;&gt;""),MAX(L203:L203)+1,IFERROR(IF($J$1=1,IF(INDEX(PIANO_DEI_CONTI,MATCH($K204,DENOMINAZIONE,0),5)=$L$1,MAX($L$2:L203)+1,0),IF($J$1=2,IF(INDEX(PIANO_DEI_CONTI,MATCH($K204,DENOMINAZIONE,0),7)=$L$1,MAX($L$2:L203)+1,0))),0))</f>
        <v>0</v>
      </c>
      <c r="M204" s="259" t="str">
        <f ca="1">IFERROR(INDEX($K$3:$K$220,MATCH(ROWS($M$3:M204),$L$3:$L$220,0),1),"")</f>
        <v/>
      </c>
      <c r="R204" s="259" t="str">
        <f t="shared" ca="1" si="516"/>
        <v/>
      </c>
      <c r="S204" s="259">
        <f ca="1">IF(IFERROR(MATCH(R204,DENOMINAZIONE_GIORNALE,0),0)&gt;0,MAX(S$2:S203)+1,0)</f>
        <v>0</v>
      </c>
      <c r="T204" s="259" t="str">
        <f ca="1">IFERROR(INDEX($R$3:$S$220,MATCH(ROWS($T$3:T204),$S$3:$S$220,0),1),"")</f>
        <v/>
      </c>
      <c r="U204" s="259">
        <f t="shared" ca="1" si="517"/>
        <v>0</v>
      </c>
      <c r="V204" s="259">
        <f ca="1">IF(IF(U204&lt;&gt;0,MAX($V$2:V203)+1,0)=0,0,IF(U204&lt;&gt;0,MAX($V$2:V203)+1,0))</f>
        <v>0</v>
      </c>
      <c r="W204" s="259" t="str">
        <f t="shared" si="546"/>
        <v>41.02</v>
      </c>
      <c r="X204" s="259" t="str">
        <f t="shared" si="547"/>
        <v>INTERESSI PASSIVI BANCARI</v>
      </c>
      <c r="Y204" s="259">
        <f>IF(W204="",0,MAX($Y$2:Y203)+1)</f>
        <v>172</v>
      </c>
      <c r="Z204" s="259" t="str">
        <f>IFERROR(INDEX($W$3:$Y$220,MATCH(ROWS($Z$2:Z203),$Y$3:$Y$220,0),1),"")</f>
        <v/>
      </c>
      <c r="AA204" s="259" t="str">
        <f t="shared" si="548"/>
        <v/>
      </c>
      <c r="AB204" s="259" t="str">
        <f t="shared" si="549"/>
        <v/>
      </c>
      <c r="AC204" s="259" t="str">
        <f t="shared" si="550"/>
        <v/>
      </c>
      <c r="AD204" s="259" t="str">
        <f t="shared" si="551"/>
        <v/>
      </c>
      <c r="AE204" s="259" t="str">
        <f t="shared" si="552"/>
        <v/>
      </c>
      <c r="AF204" s="259" t="str">
        <f t="shared" si="553"/>
        <v/>
      </c>
      <c r="AG204" s="259" t="str">
        <f t="shared" si="554"/>
        <v/>
      </c>
      <c r="AH204" s="259" t="str">
        <f t="shared" si="555"/>
        <v/>
      </c>
      <c r="AI204" s="259" t="str">
        <f t="shared" si="556"/>
        <v/>
      </c>
      <c r="AJ204" s="259" t="str">
        <f t="shared" si="557"/>
        <v/>
      </c>
      <c r="AK204" s="259" t="str">
        <f t="shared" si="558"/>
        <v/>
      </c>
      <c r="AL204" s="259">
        <f>IF(AK204&lt;&gt;"",MAX($AL$2:AL203)+1,0)</f>
        <v>0</v>
      </c>
      <c r="AM204" s="259" t="str">
        <f>IFERROR(INDEX($AK$3:$AL$220,MATCH(ROWS($AM$3:AM204),$AL$3:$AL$220,0),1),"")</f>
        <v/>
      </c>
      <c r="AN204" s="259" t="str">
        <f t="shared" si="559"/>
        <v/>
      </c>
      <c r="AO204" s="259" t="str">
        <f t="shared" si="560"/>
        <v/>
      </c>
      <c r="AP204" s="259" t="str">
        <f t="shared" si="561"/>
        <v/>
      </c>
      <c r="AQ204" s="259">
        <f>IF(OR(AG204=0,AG204=""),0,MAX(AQ$2:AQ203)+1)</f>
        <v>0</v>
      </c>
      <c r="AR204" s="259">
        <f>IF(OR(AH204=0,AH204=""),0,MAX(AR$2:AR203)+1)</f>
        <v>0</v>
      </c>
      <c r="AS204" s="259">
        <f>IF(OR(AI204=0,AI204=""),0,MAX(AS$2:AS203)+1)</f>
        <v>0</v>
      </c>
      <c r="AT204" s="259" t="str">
        <f ca="1">IFERROR(INDEX($AD$3:$AS$220,MATCH(ROWS(AT$3:AT204),AQ$3:AQ$220,0),1),"")</f>
        <v/>
      </c>
      <c r="AU204" s="259" t="str">
        <f ca="1">IFERROR(INDEX($AD$3:$AS$220,MATCH(ROWS(AU$3:AU204),AR$3:AR$220,0),1),"")</f>
        <v/>
      </c>
      <c r="AV204" s="259" t="str">
        <f ca="1">IFERROR(INDEX($AD$3:$AS$220,MATCH(ROWS(AV$3:AV204),AS$3:AS$220,0),1),"")</f>
        <v/>
      </c>
      <c r="AW204" s="259" t="str">
        <f ca="1">IFERROR(INDEX($AP$3:$AS$220,MATCH(ROWS(AW$3:AW204),AQ$3:AQ$220,0),1),"")</f>
        <v/>
      </c>
      <c r="AX204" s="259" t="str">
        <f ca="1">IFERROR(INDEX($AP$3:$AS$220,MATCH(ROWS(AX$3:AX204),AR$3:AR$220,0),1),"")</f>
        <v/>
      </c>
      <c r="AY204" s="259" t="str">
        <f ca="1">IFERROR(INDEX($AP$3:$AS$220,MATCH(ROWS(AY$3:AY204),AS$3:AS$220,0),1),"")</f>
        <v/>
      </c>
      <c r="AZ204" s="259" t="str">
        <f t="shared" ref="AZ204:AZ267" ca="1" si="616">IF(BA204&lt;&gt;0,ROW()-202,"")</f>
        <v/>
      </c>
      <c r="BA204" s="259">
        <f t="shared" ca="1" si="484"/>
        <v>0</v>
      </c>
      <c r="BB204" s="259">
        <f t="shared" ref="BB204:BB267" ca="1" si="617">IF($BA204=0,0,EZ104)</f>
        <v>0</v>
      </c>
      <c r="BC204" s="259">
        <f t="shared" ref="BC204:BC267" ca="1" si="618">IF($BA204=0,0,FA104)</f>
        <v>0</v>
      </c>
      <c r="BD204" s="259">
        <f t="shared" ref="BD204:BD267" ca="1" si="619">IF($BA204=0,0,FB104)</f>
        <v>0</v>
      </c>
      <c r="BE204" s="259">
        <f t="shared" ref="BE204:BE267" ca="1" si="620">IF($BA204=0,0,FC104)</f>
        <v>0</v>
      </c>
      <c r="BG204" s="259" t="str">
        <f t="shared" ca="1" si="518"/>
        <v/>
      </c>
      <c r="BH204" s="259">
        <f ca="1">IF(IFERROR(MATCH(BG204,DENOMINAZIONE_GIORNALE,0),0)&gt;0,MAX(BH$2:BH203)+1,0)</f>
        <v>0</v>
      </c>
      <c r="BI204" s="259" t="str">
        <f ca="1">IFERROR(INDEX($BG$3:$BH$220,MATCH(ROWS($BI$3:BI204),$BH$3:$BH$220,0),1),"")</f>
        <v/>
      </c>
      <c r="BJ204" s="259" t="str">
        <f t="shared" ca="1" si="519"/>
        <v/>
      </c>
      <c r="BK204" s="259" t="str">
        <f ca="1">IF(IF(BJ204&lt;&gt;"",MAX($BK$2:BK203)+1,0)=0,"",IF(BJ204&lt;&gt;"",MAX($BK$2:BK203)+1,0))</f>
        <v/>
      </c>
      <c r="BL204" s="259" t="str">
        <f ca="1">IFERROR(INDEX($T$3:$U$220, MATCH(ROWS(BL$3:BL204),$V$3:$V$220,0),1),"")</f>
        <v/>
      </c>
      <c r="BM204" s="259" t="str">
        <f ca="1">IFERROR(INDEX($T$3:$U$220, MATCH(ROWS(BM$3:BM204),$V$3:$V$220,0),2),"")</f>
        <v/>
      </c>
      <c r="BN204" s="259" t="str">
        <f ca="1">IF(IFERROR(INDEX($BI$3:$BJ$220,MATCH(ROWS(BN$3:BN204),$BK$3:$BK$220,0),1),"")="PATRIMONIO NETTO","",IFERROR(INDEX($BI$3:$BJ$220,MATCH(ROWS(BN$3:BN204),$BK$3:$BK$220,0),1),""))</f>
        <v/>
      </c>
      <c r="BO204" s="259" t="str">
        <f ca="1">IFERROR(INDEX($BI$3:$BJ$220,MATCH(ROWS(BO$3:BO204),$BK$3:$BK$220,0),2),"")</f>
        <v/>
      </c>
      <c r="BP204" s="259">
        <f ca="1">IF(BN204&lt;&gt;"",MAX(BP$2:$BP203)+1,0)</f>
        <v>0</v>
      </c>
      <c r="BQ204" s="259" t="str">
        <f ca="1">IFERROR(INDEX($BN$3:$BO$200,MATCH(ROWS(BQ$3:BQ204),$BP$3:$BP$220,0),1),"")</f>
        <v/>
      </c>
      <c r="BR204" s="259" t="str">
        <f ca="1">IFERROR(INDEX($BN$3:$BO$220,MATCH(ROWS(BR$3:BR204),$BP$3:$BP$220,0),2),"")</f>
        <v/>
      </c>
      <c r="BS204" s="259" t="str">
        <f ca="1">IFERROR(IF(OR(INDEX($T$3:$U$220,MATCH(ROWS(BL$3:BL204),$V$3:$V$220,0),1)="PRELEVAMENTI EXTRAGESTIONE",INDEX($T$3:$U$220,MATCH(ROWS(BL$3:BL204),$V$3:$V$220,0),1)="TITOLARE C/RITENUTE SUBITE"),"",INDEX($T$3:$U$220,MATCH(ROWS(BL$3:BL204),$V$3:$V$220,0),1)),"")</f>
        <v/>
      </c>
      <c r="BT204" s="259">
        <f t="shared" ca="1" si="562"/>
        <v>0</v>
      </c>
      <c r="BU204" s="259">
        <f ca="1">IF(BS204&lt;&gt;"",MAX(BU$2:BU203)+1,0)</f>
        <v>0</v>
      </c>
      <c r="BV204" s="259" t="str">
        <f ca="1">IFERROR(INDEX($BS$3:$BT$223,MATCH(ROWS(BV$3:BV204),$BU$3:$BU$223,0),1),"")</f>
        <v/>
      </c>
      <c r="BW204" s="259">
        <f t="shared" ca="1" si="563"/>
        <v>0</v>
      </c>
      <c r="CB204" s="259" t="str">
        <f ca="1">IFERROR(IF(OR($BB$1&lt;&gt;$BD$1,$BC$1&lt;&gt;$BE$1,$DS$231&lt;&gt;$DT$231,$DU$231&lt;&gt;$DV$231,$EO$25&lt;&gt;0,$EO$26&lt;&gt;0),INDEX($BI$3:$BK$220,MATCH(ROWS($CB$3:CB204),$BK$3:$BK$220,0),1),CONCATENATE(BQ204,BX204)),"")</f>
        <v/>
      </c>
      <c r="CC204" s="259" t="str">
        <f t="shared" ca="1" si="564"/>
        <v/>
      </c>
      <c r="CD204" s="259" t="str">
        <f t="shared" ca="1" si="520"/>
        <v/>
      </c>
      <c r="CE204" s="259">
        <f ca="1">IF(IFERROR(MATCH(CD204,DENOMINAZIONE_GIORNALE,0),0)&gt;0,MAX(CE$2:CE203)+1,0)</f>
        <v>0</v>
      </c>
      <c r="CF204" s="259" t="str">
        <f ca="1">IFERROR(INDEX($CD$3:$CE$220,MATCH(ROWS($CF$3:CF204),$CE$3:$CE$220,0),1),"")</f>
        <v/>
      </c>
      <c r="CG204" s="259">
        <f t="shared" ca="1" si="521"/>
        <v>0</v>
      </c>
      <c r="CH204" s="259" t="str">
        <f ca="1">IF(IF(CG204&lt;&gt;0,MAX($CH$2:CH203)+1,0)=0,"",IF(CG204&lt;&gt;"",MAX($CH$2:CH203)+1,0))</f>
        <v/>
      </c>
      <c r="CI204" s="259" t="str">
        <f ca="1">IFERROR(INDEX($CF$3:$CG$220,MATCH(ROWS($CI$3:CI204),$CH$3:$CH$220,0),1),"")</f>
        <v/>
      </c>
      <c r="CJ204" s="259" t="str">
        <f t="shared" ca="1" si="565"/>
        <v/>
      </c>
      <c r="CK204" s="259" t="str">
        <f t="shared" ca="1" si="522"/>
        <v/>
      </c>
      <c r="CL204" s="259">
        <f ca="1">IF(IFERROR(MATCH(CK204,DENOMINAZIONE_GIORNALE,0),0)&gt;0,MAX(CL$2:CL203)+1,0)</f>
        <v>0</v>
      </c>
      <c r="CM204" s="259" t="str">
        <f ca="1">IFERROR(INDEX($CK$3:$CL$220,MATCH(ROWS($CM$3:CM204),$CL$3:$CL$220,0),1),"")</f>
        <v/>
      </c>
      <c r="CN204" s="259" t="str">
        <f t="shared" ca="1" si="523"/>
        <v/>
      </c>
      <c r="CO204" s="259">
        <f ca="1">IF(IF(CN204&lt;&gt;0,MAX($CO$2:CO203)+1,0)=0,"",IF(CN204&lt;&gt;"",MAX($CO$2:CO203)+1,0))</f>
        <v>0</v>
      </c>
      <c r="CP204" s="259" t="str">
        <f ca="1">IFERROR(INDEX($CM$3:$CN$220,MATCH(ROWS(CP$3:CP204),$CO$3:$CO$220,0),1),"")</f>
        <v/>
      </c>
      <c r="CQ204" s="259" t="str">
        <f ca="1">IFERROR(INDEX($CM$3:$CN$220,MATCH(ROWS(CQ$3:CQ204),$CO$3:$CO$220,0),2),"")</f>
        <v/>
      </c>
      <c r="CS204" s="259">
        <f t="shared" ca="1" si="524"/>
        <v>0</v>
      </c>
      <c r="CT204" s="259">
        <f t="shared" ca="1" si="525"/>
        <v>0</v>
      </c>
      <c r="CU204" s="259">
        <f ca="1">IF(OR(CS204&gt;0,CT204&gt;0),MAX($CU$2:CU203)+1,0)</f>
        <v>0</v>
      </c>
      <c r="CV204" s="259" t="str">
        <f ca="1">IFERROR(INDEX(PIANO_DEI_CONTI,MATCH(ROWS($CV$3:CV204),$CU$3:$CU$200,0),2),"")</f>
        <v/>
      </c>
      <c r="CW204" s="259">
        <f ca="1">IFERROR(IF(CV204&lt;&gt;"",MAX($CW$2:CW203)+1,0),0)</f>
        <v>0</v>
      </c>
      <c r="CX204" s="259">
        <f t="shared" ca="1" si="609"/>
        <v>12</v>
      </c>
      <c r="CY204" s="259" t="str">
        <f t="shared" ca="1" si="607"/>
        <v>MASTRO</v>
      </c>
      <c r="CZ204" s="259" t="e">
        <f t="shared" ca="1" si="611"/>
        <v>#N/A</v>
      </c>
      <c r="DA204" s="259" t="str">
        <f t="shared" ref="DA204:DA217" ca="1" si="621">IFERROR(INDEX(LIBRO_GIORNALE,CZ204,1),"")</f>
        <v/>
      </c>
      <c r="DB204" s="259" t="str">
        <f t="shared" ca="1" si="612"/>
        <v/>
      </c>
      <c r="DC204" s="259" t="str">
        <f t="shared" ca="1" si="613"/>
        <v/>
      </c>
      <c r="DD204" s="259" t="str">
        <f t="shared" ca="1" si="614"/>
        <v/>
      </c>
      <c r="DE204" s="259" t="str">
        <f t="shared" ca="1" si="615"/>
        <v/>
      </c>
      <c r="DF204" s="259">
        <f ca="1">IF(AND(CX204=$DE$2,$DF$2&lt;&gt;0),0,IF(AND(DB204&lt;&gt;"",OR(DB203&lt;&gt;"",DB205&lt;&gt;"")),MAX($DF$2:DF203)+1,0))</f>
        <v>0</v>
      </c>
      <c r="DG204" s="259" t="str">
        <f>IF(IF(LIBRO_GIORNALE!E112="","",IFERROR(INDEX(PIANO_DEI_CONTI,MATCH(BB204,DENOMINAZIONE,0),1),0))=0,"",IF(LIBRO_GIORNALE!E112="","",IFERROR(INDEX(PIANO_DEI_CONTI,MATCH(BB204,DENOMINAZIONE,0),1),0)))</f>
        <v/>
      </c>
      <c r="DH204" s="259">
        <f ca="1">IFERROR(IF($J$1=1,IF(INDEX(PIANO_DEI_CONTI,MATCH($K204,DENOMINAZIONE,0),5)=$DF$1,MAX($DH$2:DH203)+1,0),IF($J$1=2,IF(INDEX(PIANO_DEI_CONTI,MATCH($K204,DENOMINAZIONE,0),7)=$DF$1,MAX($DH$2:DH203)+1,0))),0)</f>
        <v>0</v>
      </c>
      <c r="DI204" s="259">
        <f ca="1">IFERROR(INDEX($K$3:$K$220,MATCH(ROWS($DI$3:DI204),$DH$3:$DH$220,0),1),0)</f>
        <v>0</v>
      </c>
      <c r="DJ204" s="259">
        <f t="shared" ca="1" si="526"/>
        <v>0</v>
      </c>
      <c r="DK204" s="259">
        <f ca="1">IF(DJ204=0,0,MAX(DK$2:DK203)+1)</f>
        <v>0</v>
      </c>
      <c r="DL204" s="259">
        <f ca="1">IFERROR(INDEX(PIANO_DEI_CONTI,MATCH(ROWS(DL$3:DL204),$DK$3:DK431,0),2),0)</f>
        <v>0</v>
      </c>
      <c r="DM204" s="259">
        <f t="shared" ca="1" si="527"/>
        <v>0</v>
      </c>
      <c r="DN204" s="259">
        <f t="shared" ca="1" si="528"/>
        <v>0</v>
      </c>
      <c r="DO204" s="259">
        <f t="shared" ca="1" si="566"/>
        <v>0</v>
      </c>
      <c r="DP204" s="259">
        <f t="shared" ca="1" si="567"/>
        <v>0</v>
      </c>
      <c r="DQ204" s="259">
        <f ca="1">IF(OR($DQ$1="TOTALI",$DQ$1="TOTALI ED ECCEDENZE"),IF(OR(DM204&gt;0,DN204&gt;0),MAX(DQ$2:DQ203)+1,0),IF($DQ$1="ECCEDENZE",IF(OR(DO204&gt;0,DP204&gt;0),MAX(DQ$2:DQ203)+1,0),""))</f>
        <v>0</v>
      </c>
      <c r="DR204" s="259" t="str">
        <f ca="1">IFERROR(INDEX($DL$3:$DQ$230,MATCH(ROWS(DR$3:DR204),$DQ$3:$DQ$230,0),1),"")</f>
        <v/>
      </c>
      <c r="DS204" s="259" t="str">
        <f t="shared" ca="1" si="568"/>
        <v/>
      </c>
      <c r="DT204" s="259" t="str">
        <f t="shared" ca="1" si="569"/>
        <v/>
      </c>
      <c r="DU204" s="259" t="str">
        <f t="shared" ca="1" si="570"/>
        <v/>
      </c>
      <c r="DV204" s="259" t="str">
        <f t="shared" ca="1" si="571"/>
        <v/>
      </c>
      <c r="DW204" s="259">
        <f t="shared" ca="1" si="572"/>
        <v>0</v>
      </c>
      <c r="DX204" s="259" t="str">
        <f t="shared" ca="1" si="573"/>
        <v/>
      </c>
      <c r="DY204" s="259" t="str">
        <f t="shared" ca="1" si="574"/>
        <v/>
      </c>
      <c r="DZ204" s="259" t="str">
        <f t="shared" ca="1" si="575"/>
        <v/>
      </c>
      <c r="ED204" s="259">
        <f t="shared" ca="1" si="529"/>
        <v>0</v>
      </c>
      <c r="EH204" s="259" t="str">
        <f t="shared" ca="1" si="576"/>
        <v/>
      </c>
      <c r="EI204" s="260" t="b">
        <f t="shared" ca="1" si="602"/>
        <v>1</v>
      </c>
      <c r="EJ204" s="260" t="b">
        <f t="shared" ca="1" si="603"/>
        <v>1</v>
      </c>
      <c r="EK204" s="260" t="b">
        <f t="shared" ca="1" si="604"/>
        <v>1</v>
      </c>
      <c r="EL204" s="259">
        <f t="shared" si="577"/>
        <v>202</v>
      </c>
      <c r="EM204" s="259">
        <f ca="1">IF(AND(BA204&gt;0,BA204&lt;=$EM$1),MAX($EM$2:EM203)+1,0)</f>
        <v>0</v>
      </c>
      <c r="EN204" s="259">
        <f t="shared" ca="1" si="578"/>
        <v>204</v>
      </c>
      <c r="EP204" s="259" t="str">
        <f t="shared" ca="1" si="530"/>
        <v/>
      </c>
      <c r="EQ204" s="259">
        <f t="shared" ca="1" si="531"/>
        <v>0</v>
      </c>
      <c r="ER204" s="259">
        <f ca="1">IF(ISNA(EQ204),MAX(ER$2:ER203)+1,0)</f>
        <v>0</v>
      </c>
      <c r="ES204" s="259" t="str">
        <f t="shared" ca="1" si="579"/>
        <v/>
      </c>
      <c r="ET204" s="259" t="str">
        <f ca="1">IFERROR(UPPER(INDEX($ER$3:$ES$500,MATCH(ROWS(ET$3:ET204),$ER$3:$ER$500,0),2)),"")</f>
        <v/>
      </c>
      <c r="EW204" s="259">
        <f t="shared" ca="1" si="497"/>
        <v>1</v>
      </c>
      <c r="EX204" s="259">
        <v>102</v>
      </c>
      <c r="EY204" s="259">
        <f t="shared" ca="1" si="498"/>
        <v>0</v>
      </c>
      <c r="EZ204" s="259">
        <f t="shared" ca="1" si="499"/>
        <v>0</v>
      </c>
      <c r="FA204" s="259">
        <f t="shared" ca="1" si="500"/>
        <v>0</v>
      </c>
      <c r="FB204" s="259">
        <f t="shared" ca="1" si="501"/>
        <v>0</v>
      </c>
      <c r="FC204" s="259">
        <f t="shared" ca="1" si="502"/>
        <v>0</v>
      </c>
      <c r="FD204" s="259">
        <f t="shared" ca="1" si="532"/>
        <v>0</v>
      </c>
      <c r="FE204" s="259" t="str">
        <f t="shared" ca="1" si="533"/>
        <v/>
      </c>
      <c r="FF204" s="259" t="str">
        <f t="shared" ca="1" si="503"/>
        <v/>
      </c>
      <c r="FM204" s="259">
        <f t="shared" si="534"/>
        <v>0</v>
      </c>
      <c r="FN204" s="259">
        <f>IF(FM204&lt;0,MAX($FN$2:FN203)+1,0)</f>
        <v>0</v>
      </c>
      <c r="FO204" s="259" t="str">
        <f t="shared" si="580"/>
        <v/>
      </c>
      <c r="FP204" s="259" t="str">
        <f ca="1">IFERROR(INDEX($FN$3:$FO$400,MATCH(ROWS($FP$3:FP204),$FN$3:$FN$400,0),2),"")</f>
        <v/>
      </c>
      <c r="FQ204" s="259" t="str">
        <f>IF(AE204="SE AVERE",MAX($FQ$2:FQ203)+1,"")</f>
        <v/>
      </c>
      <c r="FR204" s="259" t="str">
        <f>IF(AE204="SE DARE",MAX($FR$2:FR203)+1,"")</f>
        <v/>
      </c>
      <c r="FS204" s="259" t="str">
        <f ca="1">IF(AND(AE204="SP DARE",AA204&lt;&gt;$FS$1,AA204&lt;&gt;$FT$1),MAX($FS$2:FS203)+1,IF(AND(GQ204="SP DARE",AA204&lt;&gt;$FS$1,AA204&lt;&gt;$FT$1),MAX($FS$2:FS203)+1,""))</f>
        <v/>
      </c>
      <c r="FT204" s="259" t="str">
        <f ca="1">IF(AND(AE204="SP AVERE",AA204&lt;&gt;$FU$1),MAX($FT$2:FT203)+1,IF(AND(GQ204="SP AVERE",AA204&lt;&gt;$FU$1),MAX($FT$2:FT203)+1,""))</f>
        <v/>
      </c>
      <c r="FU204" s="259">
        <f t="shared" ca="1" si="581"/>
        <v>0</v>
      </c>
      <c r="FV204" s="259" t="str">
        <f t="shared" si="582"/>
        <v/>
      </c>
      <c r="FW204" s="259">
        <f ca="1">IFERROR(INDEX($FU$3:$FV$500,MATCH(ROWS($FW$3:FW204),$FU$3:$FU$500,0),2),0)</f>
        <v>0</v>
      </c>
      <c r="FX204" s="259">
        <f t="shared" ca="1" si="583"/>
        <v>0</v>
      </c>
      <c r="FY204" s="259">
        <f t="shared" ca="1" si="584"/>
        <v>0</v>
      </c>
      <c r="FZ204" s="259">
        <f ca="1">IF(FY204&gt;0,MAX($FZ$2:FZ203)+1,0)</f>
        <v>0</v>
      </c>
      <c r="GA204" s="259">
        <f ca="1">IFERROR(INDEX($FY$3:$FZ$500,MATCH(ROWS($GA$3:GA204),$FZ$3:$FZ$500,0),1),0)</f>
        <v>0</v>
      </c>
      <c r="GC204" s="259">
        <f t="shared" ca="1" si="585"/>
        <v>0</v>
      </c>
      <c r="GD204" s="259">
        <f t="shared" ca="1" si="586"/>
        <v>0</v>
      </c>
      <c r="GG204" s="259">
        <f t="shared" ca="1" si="587"/>
        <v>0</v>
      </c>
      <c r="GH204" s="259">
        <f t="shared" ca="1" si="588"/>
        <v>0</v>
      </c>
      <c r="GI204" s="259">
        <f t="shared" ca="1" si="589"/>
        <v>0</v>
      </c>
      <c r="GJ204" s="259">
        <f t="shared" ca="1" si="590"/>
        <v>0</v>
      </c>
      <c r="GK204" s="259">
        <f t="shared" ca="1" si="591"/>
        <v>0</v>
      </c>
      <c r="GL204" s="259">
        <f t="shared" ca="1" si="591"/>
        <v>0</v>
      </c>
      <c r="GM204" s="259">
        <f ca="1">IF(OR(GK204&gt;0,GL204&gt;0),MAX($GM$2:GM203)+1,0)</f>
        <v>0</v>
      </c>
      <c r="GN204" s="259" t="str">
        <f ca="1">IFERROR(INDEX($GD$3:$GM$400,MATCH(ROWS($GN$3:GN204),$GM$3:$GM$400,0),1),"")</f>
        <v/>
      </c>
      <c r="GO204" s="259" t="str">
        <f ca="1">IFERROR(INDEX($GD$3:$GM$400,MATCH(ROWS($GO$3:GO204),$GM$3:$GM$400,0),8),"")</f>
        <v/>
      </c>
      <c r="GP204" s="259" t="str">
        <f ca="1">IFERROR(INDEX($GD$3:$GM$400,MATCH(ROWS($GP$3:GP204),$GM$3:$GM$400,0),9),"")</f>
        <v/>
      </c>
      <c r="GQ204" s="259">
        <f t="shared" ca="1" si="535"/>
        <v>0</v>
      </c>
      <c r="GR204" s="259">
        <f t="shared" ca="1" si="592"/>
        <v>0</v>
      </c>
      <c r="GS204" s="259" t="str">
        <f t="shared" ca="1" si="593"/>
        <v/>
      </c>
      <c r="GT204" s="259" t="str">
        <f ca="1">IFERROR(INDEX($GD$3:$GS$400,MATCH(ROWS($GT$3:GT204),$GM$3:$GM$400,0),16),"")</f>
        <v/>
      </c>
      <c r="GU204" s="259">
        <f ca="1">IF(GQ204&lt;&gt;0,MAX($GU$2:$GU203)+1,0)</f>
        <v>0</v>
      </c>
      <c r="GV204" s="259">
        <f t="shared" ca="1" si="594"/>
        <v>0</v>
      </c>
      <c r="GW204" s="259" t="str">
        <f ca="1">IF(AND(IFERROR(INDEX($GU$3:$GV$400,MATCH(ROWS($GW$3:GW204),$GU$3:$GU$400,0),2),"")&lt;&gt;"",GW205&lt;&gt;""),CONCATENATE(IFERROR(INDEX($GU$3:$GV$400,MATCH(ROWS($GW$3:GW204),$GU$3:$GU$400,0),2),"")," - "),IFERROR(INDEX($GU$3:$GV$400,MATCH(ROWS($GW$3:GW204),$GU$3:$GU$400,0),2),""))</f>
        <v/>
      </c>
      <c r="GX204" s="259">
        <f ca="1">IF(OR(GN204="IVA NS/CREDITO",GN204="IVA NS/DEBITO",GN204="IVA C/ACCONTO",GN204="IMPOSTE C/ACCONTO"),MAX($GX$2:GX203)+1,0)</f>
        <v>0</v>
      </c>
      <c r="GY204" s="259" t="str">
        <f ca="1">IF(AND(IFERROR(INDEX($GN$3:$GX$200,MATCH(ROWS($GY$3:GY204),$GX$3:$GX$200,0),1),"")&lt;&gt;"",GY205&lt;&gt;""),CONCATENATE(IFERROR(INDEX($GN$3:$GX$200,MATCH(ROWS($GY$3:GY204),$GX$3:$GX$200,0),1),"")," - "),IFERROR(INDEX($GN$3:$GX$200,MATCH(ROWS($GY$3:GY204),$GX$3:$GX$200,0),1),""))</f>
        <v/>
      </c>
      <c r="GZ204" s="259" t="s">
        <v>201</v>
      </c>
      <c r="HA204" s="259" t="s">
        <v>197</v>
      </c>
      <c r="HB204" s="269" t="s">
        <v>256</v>
      </c>
      <c r="HC204" s="269" t="s">
        <v>276</v>
      </c>
      <c r="HD204" s="269" t="s">
        <v>7</v>
      </c>
      <c r="HE204" s="269" t="s">
        <v>214</v>
      </c>
      <c r="HV204" s="259" t="str">
        <f ca="1">CONCATENATE(IFERROR(INDEX($HS$3:$HT$102,MATCH(ROWS($HV$3:HV204),$HT$3:$HT$102,0),1),""),HR204)</f>
        <v/>
      </c>
      <c r="IX204" s="259" t="str">
        <f t="shared" si="606"/>
        <v/>
      </c>
      <c r="IY204" s="259" t="str">
        <f t="shared" si="600"/>
        <v/>
      </c>
      <c r="IZ204" s="259" t="str">
        <f t="shared" si="608"/>
        <v/>
      </c>
      <c r="JA204" s="259" t="str">
        <f t="shared" ca="1" si="601"/>
        <v/>
      </c>
      <c r="JB204" s="259">
        <f t="shared" ca="1" si="536"/>
        <v>0</v>
      </c>
      <c r="JC204" s="259">
        <f t="shared" ca="1" si="504"/>
        <v>0</v>
      </c>
      <c r="JD204" s="259">
        <f t="shared" ca="1" si="505"/>
        <v>0</v>
      </c>
      <c r="JM204" s="259">
        <f t="shared" ca="1" si="506"/>
        <v>0</v>
      </c>
    </row>
    <row r="205" spans="1:273">
      <c r="A205" s="259" t="str">
        <f t="shared" si="537"/>
        <v>41.03</v>
      </c>
      <c r="B205" s="259" t="str">
        <f t="shared" si="538"/>
        <v>SCONTI PASSIVI BANCARI</v>
      </c>
      <c r="C205" s="259" t="str">
        <f t="shared" si="539"/>
        <v>E</v>
      </c>
      <c r="D205" s="259" t="str">
        <f t="shared" si="540"/>
        <v>D</v>
      </c>
      <c r="E205" s="259" t="str">
        <f t="shared" si="541"/>
        <v>COSTI D'ESERCIZIO</v>
      </c>
      <c r="F205" s="259" t="str">
        <f t="shared" si="542"/>
        <v>SE DARE</v>
      </c>
      <c r="G205" s="259">
        <f t="shared" ca="1" si="543"/>
        <v>0</v>
      </c>
      <c r="H205" s="259">
        <f t="shared" ca="1" si="544"/>
        <v>1</v>
      </c>
      <c r="I205" s="259">
        <f t="shared" ca="1" si="545"/>
        <v>1</v>
      </c>
      <c r="K205" s="259" t="str">
        <f ca="1">IFERROR(IF($I$1=1,INDEX($AA$3:$AS$220,MATCH(ROWS($K$3:K205),$AQ$3:$AQ$220,0),1),IF($I$1=2,INDEX($AA$3:$AS$220,MATCH(ROWS($K$3:K205),$AR$3:$AR$220,0),1),IF($I$1=3,INDEX($AA$3:$AS$220,MATCH(ROWS($K$3:K205),$AS$3:$AS$220,0),1),""))),"")</f>
        <v/>
      </c>
      <c r="L205" s="259">
        <f ca="1">IF(AND($L$1="VISUALIZZA TUTTI I CONTI",K205&lt;&gt;""),MAX(L204:L204)+1,IFERROR(IF($J$1=1,IF(INDEX(PIANO_DEI_CONTI,MATCH($K205,DENOMINAZIONE,0),5)=$L$1,MAX($L$2:L204)+1,0),IF($J$1=2,IF(INDEX(PIANO_DEI_CONTI,MATCH($K205,DENOMINAZIONE,0),7)=$L$1,MAX($L$2:L204)+1,0))),0))</f>
        <v>0</v>
      </c>
      <c r="M205" s="259" t="str">
        <f ca="1">IFERROR(INDEX($K$3:$K$220,MATCH(ROWS($M$3:M205),$L$3:$L$220,0),1),"")</f>
        <v/>
      </c>
      <c r="R205" s="259" t="str">
        <f t="shared" ca="1" si="516"/>
        <v/>
      </c>
      <c r="S205" s="259">
        <f ca="1">IF(IFERROR(MATCH(R205,DENOMINAZIONE_GIORNALE,0),0)&gt;0,MAX(S$2:S204)+1,0)</f>
        <v>0</v>
      </c>
      <c r="T205" s="259" t="str">
        <f ca="1">IFERROR(INDEX($R$3:$S$220,MATCH(ROWS($T$3:T205),$S$3:$S$220,0),1),"")</f>
        <v/>
      </c>
      <c r="U205" s="259">
        <f t="shared" ca="1" si="517"/>
        <v>0</v>
      </c>
      <c r="V205" s="259">
        <f ca="1">IF(IF(U205&lt;&gt;0,MAX($V$2:V204)+1,0)=0,0,IF(U205&lt;&gt;0,MAX($V$2:V204)+1,0))</f>
        <v>0</v>
      </c>
      <c r="W205" s="259" t="str">
        <f t="shared" si="546"/>
        <v>41.03</v>
      </c>
      <c r="X205" s="259" t="str">
        <f t="shared" si="547"/>
        <v>SCONTI PASSIVI BANCARI</v>
      </c>
      <c r="Y205" s="259">
        <f>IF(W205="",0,MAX($Y$2:Y204)+1)</f>
        <v>173</v>
      </c>
      <c r="Z205" s="259" t="str">
        <f>IFERROR(INDEX($W$3:$Y$220,MATCH(ROWS($Z$2:Z204),$Y$3:$Y$220,0),1),"")</f>
        <v/>
      </c>
      <c r="AA205" s="259" t="str">
        <f t="shared" si="548"/>
        <v/>
      </c>
      <c r="AB205" s="259" t="str">
        <f t="shared" si="549"/>
        <v/>
      </c>
      <c r="AC205" s="259" t="str">
        <f t="shared" si="550"/>
        <v/>
      </c>
      <c r="AD205" s="259" t="str">
        <f t="shared" si="551"/>
        <v/>
      </c>
      <c r="AE205" s="259" t="str">
        <f t="shared" si="552"/>
        <v/>
      </c>
      <c r="AF205" s="259" t="str">
        <f t="shared" si="553"/>
        <v/>
      </c>
      <c r="AG205" s="259" t="str">
        <f t="shared" si="554"/>
        <v/>
      </c>
      <c r="AH205" s="259" t="str">
        <f t="shared" si="555"/>
        <v/>
      </c>
      <c r="AI205" s="259" t="str">
        <f t="shared" si="556"/>
        <v/>
      </c>
      <c r="AJ205" s="259" t="str">
        <f t="shared" si="557"/>
        <v/>
      </c>
      <c r="AK205" s="259" t="str">
        <f t="shared" si="558"/>
        <v/>
      </c>
      <c r="AL205" s="259">
        <f>IF(AK205&lt;&gt;"",MAX($AL$2:AL204)+1,0)</f>
        <v>0</v>
      </c>
      <c r="AM205" s="259" t="str">
        <f>IFERROR(INDEX($AK$3:$AL$220,MATCH(ROWS($AM$3:AM205),$AL$3:$AL$220,0),1),"")</f>
        <v/>
      </c>
      <c r="AN205" s="259" t="str">
        <f t="shared" si="559"/>
        <v/>
      </c>
      <c r="AO205" s="259" t="str">
        <f t="shared" si="560"/>
        <v/>
      </c>
      <c r="AP205" s="259" t="str">
        <f t="shared" si="561"/>
        <v/>
      </c>
      <c r="AQ205" s="259">
        <f>IF(OR(AG205=0,AG205=""),0,MAX(AQ$2:AQ204)+1)</f>
        <v>0</v>
      </c>
      <c r="AR205" s="259">
        <f>IF(OR(AH205=0,AH205=""),0,MAX(AR$2:AR204)+1)</f>
        <v>0</v>
      </c>
      <c r="AS205" s="259">
        <f>IF(OR(AI205=0,AI205=""),0,MAX(AS$2:AS204)+1)</f>
        <v>0</v>
      </c>
      <c r="AT205" s="259" t="str">
        <f ca="1">IFERROR(INDEX($AD$3:$AS$220,MATCH(ROWS(AT$3:AT205),AQ$3:AQ$220,0),1),"")</f>
        <v/>
      </c>
      <c r="AU205" s="259" t="str">
        <f ca="1">IFERROR(INDEX($AD$3:$AS$220,MATCH(ROWS(AU$3:AU205),AR$3:AR$220,0),1),"")</f>
        <v/>
      </c>
      <c r="AV205" s="259" t="str">
        <f ca="1">IFERROR(INDEX($AD$3:$AS$220,MATCH(ROWS(AV$3:AV205),AS$3:AS$220,0),1),"")</f>
        <v/>
      </c>
      <c r="AW205" s="259" t="str">
        <f ca="1">IFERROR(INDEX($AP$3:$AS$220,MATCH(ROWS(AW$3:AW205),AQ$3:AQ$220,0),1),"")</f>
        <v/>
      </c>
      <c r="AX205" s="259" t="str">
        <f ca="1">IFERROR(INDEX($AP$3:$AS$220,MATCH(ROWS(AX$3:AX205),AR$3:AR$220,0),1),"")</f>
        <v/>
      </c>
      <c r="AY205" s="259" t="str">
        <f ca="1">IFERROR(INDEX($AP$3:$AS$220,MATCH(ROWS(AY$3:AY205),AS$3:AS$220,0),1),"")</f>
        <v/>
      </c>
      <c r="AZ205" s="259" t="str">
        <f t="shared" ca="1" si="616"/>
        <v/>
      </c>
      <c r="BA205" s="259">
        <f t="shared" ca="1" si="484"/>
        <v>0</v>
      </c>
      <c r="BB205" s="259">
        <f t="shared" ca="1" si="617"/>
        <v>0</v>
      </c>
      <c r="BC205" s="259">
        <f t="shared" ca="1" si="618"/>
        <v>0</v>
      </c>
      <c r="BD205" s="259">
        <f t="shared" ca="1" si="619"/>
        <v>0</v>
      </c>
      <c r="BE205" s="259">
        <f t="shared" ca="1" si="620"/>
        <v>0</v>
      </c>
      <c r="BG205" s="259" t="str">
        <f t="shared" ca="1" si="518"/>
        <v/>
      </c>
      <c r="BH205" s="259">
        <f ca="1">IF(IFERROR(MATCH(BG205,DENOMINAZIONE_GIORNALE,0),0)&gt;0,MAX(BH$2:BH204)+1,0)</f>
        <v>0</v>
      </c>
      <c r="BI205" s="259" t="str">
        <f ca="1">IFERROR(INDEX($BG$3:$BH$220,MATCH(ROWS($BI$3:BI205),$BH$3:$BH$220,0),1),"")</f>
        <v/>
      </c>
      <c r="BJ205" s="259" t="str">
        <f t="shared" ca="1" si="519"/>
        <v/>
      </c>
      <c r="BK205" s="259" t="str">
        <f ca="1">IF(IF(BJ205&lt;&gt;"",MAX($BK$2:BK204)+1,0)=0,"",IF(BJ205&lt;&gt;"",MAX($BK$2:BK204)+1,0))</f>
        <v/>
      </c>
      <c r="BL205" s="259" t="str">
        <f ca="1">IFERROR(INDEX($T$3:$U$220, MATCH(ROWS(BL$3:BL205),$V$3:$V$220,0),1),"")</f>
        <v/>
      </c>
      <c r="BM205" s="259" t="str">
        <f ca="1">IFERROR(INDEX($T$3:$U$220, MATCH(ROWS(BM$3:BM205),$V$3:$V$220,0),2),"")</f>
        <v/>
      </c>
      <c r="BN205" s="259" t="str">
        <f ca="1">IF(IFERROR(INDEX($BI$3:$BJ$220,MATCH(ROWS(BN$3:BN205),$BK$3:$BK$220,0),1),"")="PATRIMONIO NETTO","",IFERROR(INDEX($BI$3:$BJ$220,MATCH(ROWS(BN$3:BN205),$BK$3:$BK$220,0),1),""))</f>
        <v/>
      </c>
      <c r="BO205" s="259" t="str">
        <f ca="1">IFERROR(INDEX($BI$3:$BJ$220,MATCH(ROWS(BO$3:BO205),$BK$3:$BK$220,0),2),"")</f>
        <v/>
      </c>
      <c r="BP205" s="259">
        <f ca="1">IF(BN205&lt;&gt;"",MAX(BP$2:$BP204)+1,0)</f>
        <v>0</v>
      </c>
      <c r="BQ205" s="259" t="str">
        <f ca="1">IFERROR(INDEX($BN$3:$BO$200,MATCH(ROWS(BQ$3:BQ205),$BP$3:$BP$220,0),1),"")</f>
        <v/>
      </c>
      <c r="BR205" s="259" t="str">
        <f ca="1">IFERROR(INDEX($BN$3:$BO$220,MATCH(ROWS(BR$3:BR205),$BP$3:$BP$220,0),2),"")</f>
        <v/>
      </c>
      <c r="BS205" s="259" t="str">
        <f ca="1">IFERROR(IF(OR(INDEX($T$3:$U$220,MATCH(ROWS(BL$3:BL205),$V$3:$V$220,0),1)="PRELEVAMENTI EXTRAGESTIONE",INDEX($T$3:$U$220,MATCH(ROWS(BL$3:BL205),$V$3:$V$220,0),1)="TITOLARE C/RITENUTE SUBITE"),"",INDEX($T$3:$U$220,MATCH(ROWS(BL$3:BL205),$V$3:$V$220,0),1)),"")</f>
        <v/>
      </c>
      <c r="BT205" s="259">
        <f t="shared" ca="1" si="562"/>
        <v>0</v>
      </c>
      <c r="BU205" s="259">
        <f ca="1">IF(BS205&lt;&gt;"",MAX(BU$2:BU204)+1,0)</f>
        <v>0</v>
      </c>
      <c r="BV205" s="259" t="str">
        <f ca="1">IFERROR(INDEX($BS$3:$BT$223,MATCH(ROWS(BV$3:BV205),$BU$3:$BU$223,0),1),"")</f>
        <v/>
      </c>
      <c r="BW205" s="259">
        <f t="shared" ca="1" si="563"/>
        <v>0</v>
      </c>
      <c r="CB205" s="259" t="str">
        <f ca="1">IFERROR(IF(OR($BB$1&lt;&gt;$BD$1,$BC$1&lt;&gt;$BE$1,$DS$231&lt;&gt;$DT$231,$DU$231&lt;&gt;$DV$231,$EO$25&lt;&gt;0,$EO$26&lt;&gt;0),INDEX($BI$3:$BK$220,MATCH(ROWS($CB$3:CB205),$BK$3:$BK$220,0),1),CONCATENATE(BQ205,BX205)),"")</f>
        <v/>
      </c>
      <c r="CC205" s="259" t="str">
        <f t="shared" ca="1" si="564"/>
        <v/>
      </c>
      <c r="CD205" s="259" t="str">
        <f t="shared" ca="1" si="520"/>
        <v/>
      </c>
      <c r="CE205" s="259">
        <f ca="1">IF(IFERROR(MATCH(CD205,DENOMINAZIONE_GIORNALE,0),0)&gt;0,MAX(CE$2:CE204)+1,0)</f>
        <v>0</v>
      </c>
      <c r="CF205" s="259" t="str">
        <f ca="1">IFERROR(INDEX($CD$3:$CE$220,MATCH(ROWS($CF$3:CF205),$CE$3:$CE$220,0),1),"")</f>
        <v/>
      </c>
      <c r="CG205" s="259">
        <f t="shared" ca="1" si="521"/>
        <v>0</v>
      </c>
      <c r="CH205" s="259" t="str">
        <f ca="1">IF(IF(CG205&lt;&gt;0,MAX($CH$2:CH204)+1,0)=0,"",IF(CG205&lt;&gt;"",MAX($CH$2:CH204)+1,0))</f>
        <v/>
      </c>
      <c r="CI205" s="259" t="str">
        <f ca="1">IFERROR(INDEX($CF$3:$CG$220,MATCH(ROWS($CI$3:CI205),$CH$3:$CH$220,0),1),"")</f>
        <v/>
      </c>
      <c r="CJ205" s="259" t="str">
        <f t="shared" ca="1" si="565"/>
        <v/>
      </c>
      <c r="CK205" s="259" t="str">
        <f t="shared" ca="1" si="522"/>
        <v/>
      </c>
      <c r="CL205" s="259">
        <f ca="1">IF(IFERROR(MATCH(CK205,DENOMINAZIONE_GIORNALE,0),0)&gt;0,MAX(CL$2:CL204)+1,0)</f>
        <v>0</v>
      </c>
      <c r="CM205" s="259" t="str">
        <f ca="1">IFERROR(INDEX($CK$3:$CL$220,MATCH(ROWS($CM$3:CM205),$CL$3:$CL$220,0),1),"")</f>
        <v/>
      </c>
      <c r="CN205" s="259" t="str">
        <f t="shared" ca="1" si="523"/>
        <v/>
      </c>
      <c r="CO205" s="259">
        <f ca="1">IF(IF(CN205&lt;&gt;0,MAX($CO$2:CO204)+1,0)=0,"",IF(CN205&lt;&gt;"",MAX($CO$2:CO204)+1,0))</f>
        <v>0</v>
      </c>
      <c r="CP205" s="259" t="str">
        <f ca="1">IFERROR(INDEX($CM$3:$CN$220,MATCH(ROWS(CP$3:CP205),$CO$3:$CO$220,0),1),"")</f>
        <v/>
      </c>
      <c r="CQ205" s="259" t="str">
        <f ca="1">IFERROR(INDEX($CM$3:$CN$220,MATCH(ROWS(CQ$3:CQ205),$CO$3:$CO$220,0),2),"")</f>
        <v/>
      </c>
      <c r="CS205" s="259">
        <f t="shared" ca="1" si="524"/>
        <v>0</v>
      </c>
      <c r="CT205" s="259">
        <f t="shared" ca="1" si="525"/>
        <v>0</v>
      </c>
      <c r="CU205" s="259">
        <f ca="1">IF(OR(CS205&gt;0,CT205&gt;0),MAX($CU$2:CU204)+1,0)</f>
        <v>0</v>
      </c>
      <c r="CV205" s="259" t="str">
        <f ca="1">IFERROR(INDEX(PIANO_DEI_CONTI,MATCH(ROWS($CV$3:CV205),$CU$3:$CU$200,0),2),"")</f>
        <v/>
      </c>
      <c r="CW205" s="259">
        <f ca="1">IFERROR(IF(CV205&lt;&gt;"",MAX($CW$2:CW204)+1,0),0)</f>
        <v>0</v>
      </c>
      <c r="CX205" s="259">
        <f t="shared" ca="1" si="609"/>
        <v>12</v>
      </c>
      <c r="CY205" s="259" t="str">
        <f t="shared" ca="1" si="607"/>
        <v>MASTRO</v>
      </c>
      <c r="CZ205" s="259" t="e">
        <f t="shared" ca="1" si="611"/>
        <v>#N/A</v>
      </c>
      <c r="DA205" s="259" t="str">
        <f t="shared" ca="1" si="621"/>
        <v/>
      </c>
      <c r="DB205" s="259" t="str">
        <f t="shared" ca="1" si="612"/>
        <v/>
      </c>
      <c r="DC205" s="259" t="str">
        <f t="shared" ca="1" si="613"/>
        <v/>
      </c>
      <c r="DD205" s="259" t="str">
        <f t="shared" ca="1" si="614"/>
        <v/>
      </c>
      <c r="DE205" s="259" t="str">
        <f t="shared" ca="1" si="615"/>
        <v/>
      </c>
      <c r="DF205" s="259">
        <f ca="1">IF(AND(CX205=$DE$2,$DF$2&lt;&gt;0),0,IF(AND(DB205&lt;&gt;"",OR(DB204&lt;&gt;"",DB206&lt;&gt;"")),MAX($DF$2:DF204)+1,0))</f>
        <v>0</v>
      </c>
      <c r="DG205" s="259" t="str">
        <f>IF(IF(LIBRO_GIORNALE!E113="","",IFERROR(INDEX(PIANO_DEI_CONTI,MATCH(BB205,DENOMINAZIONE,0),1),0))=0,"",IF(LIBRO_GIORNALE!E113="","",IFERROR(INDEX(PIANO_DEI_CONTI,MATCH(BB205,DENOMINAZIONE,0),1),0)))</f>
        <v/>
      </c>
      <c r="DH205" s="259">
        <f ca="1">IFERROR(IF($J$1=1,IF(INDEX(PIANO_DEI_CONTI,MATCH($K205,DENOMINAZIONE,0),5)=$DF$1,MAX($DH$2:DH204)+1,0),IF($J$1=2,IF(INDEX(PIANO_DEI_CONTI,MATCH($K205,DENOMINAZIONE,0),7)=$DF$1,MAX($DH$2:DH204)+1,0))),0)</f>
        <v>0</v>
      </c>
      <c r="DI205" s="259">
        <f ca="1">IFERROR(INDEX($K$3:$K$220,MATCH(ROWS($DI$3:DI205),$DH$3:$DH$220,0),1),0)</f>
        <v>0</v>
      </c>
      <c r="DJ205" s="259">
        <f t="shared" ca="1" si="526"/>
        <v>0</v>
      </c>
      <c r="DK205" s="259">
        <f ca="1">IF(DJ205=0,0,MAX(DK$2:DK204)+1)</f>
        <v>0</v>
      </c>
      <c r="DL205" s="259">
        <f ca="1">IFERROR(INDEX(PIANO_DEI_CONTI,MATCH(ROWS(DL$3:DL205),$DK$3:DK432,0),2),0)</f>
        <v>0</v>
      </c>
      <c r="DM205" s="259">
        <f t="shared" ca="1" si="527"/>
        <v>0</v>
      </c>
      <c r="DN205" s="259">
        <f t="shared" ca="1" si="528"/>
        <v>0</v>
      </c>
      <c r="DO205" s="259">
        <f t="shared" ca="1" si="566"/>
        <v>0</v>
      </c>
      <c r="DP205" s="259">
        <f t="shared" ca="1" si="567"/>
        <v>0</v>
      </c>
      <c r="DQ205" s="259">
        <f ca="1">IF(OR($DQ$1="TOTALI",$DQ$1="TOTALI ED ECCEDENZE"),IF(OR(DM205&gt;0,DN205&gt;0),MAX(DQ$2:DQ204)+1,0),IF($DQ$1="ECCEDENZE",IF(OR(DO205&gt;0,DP205&gt;0),MAX(DQ$2:DQ204)+1,0),""))</f>
        <v>0</v>
      </c>
      <c r="DR205" s="259" t="str">
        <f ca="1">IFERROR(INDEX($DL$3:$DQ$230,MATCH(ROWS(DR$3:DR205),$DQ$3:$DQ$230,0),1),"")</f>
        <v/>
      </c>
      <c r="DS205" s="259" t="str">
        <f t="shared" ca="1" si="568"/>
        <v/>
      </c>
      <c r="DT205" s="259" t="str">
        <f t="shared" ca="1" si="569"/>
        <v/>
      </c>
      <c r="DU205" s="259" t="str">
        <f t="shared" ca="1" si="570"/>
        <v/>
      </c>
      <c r="DV205" s="259" t="str">
        <f t="shared" ca="1" si="571"/>
        <v/>
      </c>
      <c r="DW205" s="259">
        <f t="shared" ca="1" si="572"/>
        <v>0</v>
      </c>
      <c r="DX205" s="259" t="str">
        <f t="shared" ca="1" si="573"/>
        <v/>
      </c>
      <c r="DY205" s="259" t="str">
        <f t="shared" ca="1" si="574"/>
        <v/>
      </c>
      <c r="DZ205" s="259" t="str">
        <f t="shared" ca="1" si="575"/>
        <v/>
      </c>
      <c r="ED205" s="259">
        <f t="shared" ca="1" si="529"/>
        <v>0</v>
      </c>
      <c r="EH205" s="259" t="str">
        <f t="shared" ca="1" si="576"/>
        <v/>
      </c>
      <c r="EI205" s="260" t="b">
        <f t="shared" ca="1" si="602"/>
        <v>0</v>
      </c>
      <c r="EJ205" s="260" t="b">
        <f t="shared" ca="1" si="603"/>
        <v>1</v>
      </c>
      <c r="EK205" s="260" t="b">
        <f t="shared" ca="1" si="604"/>
        <v>1</v>
      </c>
      <c r="EL205" s="259">
        <f t="shared" si="577"/>
        <v>203</v>
      </c>
      <c r="EM205" s="259">
        <f ca="1">IF(AND(BA205&gt;0,BA205&lt;=$EM$1),MAX($EM$2:EM204)+1,0)</f>
        <v>0</v>
      </c>
      <c r="EN205" s="259">
        <f t="shared" ca="1" si="578"/>
        <v>205</v>
      </c>
      <c r="EP205" s="259" t="str">
        <f t="shared" ca="1" si="530"/>
        <v/>
      </c>
      <c r="EQ205" s="259">
        <f t="shared" ca="1" si="531"/>
        <v>0</v>
      </c>
      <c r="ER205" s="259">
        <f ca="1">IF(ISNA(EQ205),MAX(ER$2:ER204)+1,0)</f>
        <v>0</v>
      </c>
      <c r="ES205" s="259" t="str">
        <f t="shared" ca="1" si="579"/>
        <v/>
      </c>
      <c r="ET205" s="259" t="str">
        <f ca="1">IFERROR(UPPER(INDEX($ER$3:$ES$500,MATCH(ROWS(ET$3:ET205),$ER$3:$ER$500,0),2)),"")</f>
        <v/>
      </c>
      <c r="EW205" s="259">
        <f t="shared" ca="1" si="497"/>
        <v>1</v>
      </c>
      <c r="EX205" s="259">
        <v>103</v>
      </c>
      <c r="EY205" s="259">
        <f t="shared" ca="1" si="498"/>
        <v>0</v>
      </c>
      <c r="EZ205" s="259">
        <f t="shared" ca="1" si="499"/>
        <v>0</v>
      </c>
      <c r="FA205" s="259">
        <f t="shared" ca="1" si="500"/>
        <v>0</v>
      </c>
      <c r="FB205" s="259">
        <f t="shared" ca="1" si="501"/>
        <v>0</v>
      </c>
      <c r="FC205" s="259">
        <f t="shared" ca="1" si="502"/>
        <v>0</v>
      </c>
      <c r="FD205" s="259">
        <f t="shared" ca="1" si="532"/>
        <v>0</v>
      </c>
      <c r="FE205" s="259" t="str">
        <f t="shared" ca="1" si="533"/>
        <v/>
      </c>
      <c r="FF205" s="259" t="str">
        <f t="shared" ca="1" si="503"/>
        <v/>
      </c>
      <c r="FM205" s="259">
        <f t="shared" si="534"/>
        <v>0</v>
      </c>
      <c r="FN205" s="259">
        <f>IF(FM205&lt;0,MAX($FN$2:FN204)+1,0)</f>
        <v>0</v>
      </c>
      <c r="FO205" s="259" t="str">
        <f t="shared" si="580"/>
        <v/>
      </c>
      <c r="FP205" s="259" t="str">
        <f ca="1">IFERROR(INDEX($FN$3:$FO$400,MATCH(ROWS($FP$3:FP205),$FN$3:$FN$400,0),2),"")</f>
        <v/>
      </c>
      <c r="FQ205" s="259" t="str">
        <f>IF(AE205="SE AVERE",MAX($FQ$2:FQ204)+1,"")</f>
        <v/>
      </c>
      <c r="FR205" s="259" t="str">
        <f>IF(AE205="SE DARE",MAX($FR$2:FR204)+1,"")</f>
        <v/>
      </c>
      <c r="FS205" s="259" t="str">
        <f ca="1">IF(AND(AE205="SP DARE",AA205&lt;&gt;$FS$1,AA205&lt;&gt;$FT$1),MAX($FS$2:FS204)+1,IF(AND(GQ205="SP DARE",AA205&lt;&gt;$FS$1,AA205&lt;&gt;$FT$1),MAX($FS$2:FS204)+1,""))</f>
        <v/>
      </c>
      <c r="FT205" s="259" t="str">
        <f ca="1">IF(AND(AE205="SP AVERE",AA205&lt;&gt;$FU$1),MAX($FT$2:FT204)+1,IF(AND(GQ205="SP AVERE",AA205&lt;&gt;$FU$1),MAX($FT$2:FT204)+1,""))</f>
        <v/>
      </c>
      <c r="FU205" s="259">
        <f t="shared" ca="1" si="581"/>
        <v>0</v>
      </c>
      <c r="FV205" s="259" t="str">
        <f t="shared" si="582"/>
        <v/>
      </c>
      <c r="FW205" s="259">
        <f ca="1">IFERROR(INDEX($FU$3:$FV$500,MATCH(ROWS($FW$3:FW205),$FU$3:$FU$500,0),2),0)</f>
        <v>0</v>
      </c>
      <c r="FX205" s="259">
        <f t="shared" ca="1" si="583"/>
        <v>0</v>
      </c>
      <c r="FY205" s="259">
        <f t="shared" ca="1" si="584"/>
        <v>0</v>
      </c>
      <c r="FZ205" s="259">
        <f ca="1">IF(FY205&gt;0,MAX($FZ$2:FZ204)+1,0)</f>
        <v>0</v>
      </c>
      <c r="GA205" s="259">
        <f ca="1">IFERROR(INDEX($FY$3:$FZ$500,MATCH(ROWS($GA$3:GA205),$FZ$3:$FZ$500,0),1),0)</f>
        <v>0</v>
      </c>
      <c r="GC205" s="259">
        <f t="shared" ca="1" si="585"/>
        <v>0</v>
      </c>
      <c r="GD205" s="259">
        <f t="shared" ca="1" si="586"/>
        <v>0</v>
      </c>
      <c r="GG205" s="259">
        <f t="shared" ca="1" si="587"/>
        <v>0</v>
      </c>
      <c r="GH205" s="259">
        <f t="shared" ca="1" si="588"/>
        <v>0</v>
      </c>
      <c r="GI205" s="259">
        <f t="shared" ca="1" si="589"/>
        <v>0</v>
      </c>
      <c r="GJ205" s="259">
        <f t="shared" ca="1" si="590"/>
        <v>0</v>
      </c>
      <c r="GK205" s="259">
        <f t="shared" ca="1" si="591"/>
        <v>0</v>
      </c>
      <c r="GL205" s="259">
        <f t="shared" ca="1" si="591"/>
        <v>0</v>
      </c>
      <c r="GM205" s="259">
        <f ca="1">IF(OR(GK205&gt;0,GL205&gt;0),MAX($GM$2:GM204)+1,0)</f>
        <v>0</v>
      </c>
      <c r="GN205" s="259" t="str">
        <f ca="1">IFERROR(INDEX($GD$3:$GM$400,MATCH(ROWS($GN$3:GN205),$GM$3:$GM$400,0),1),"")</f>
        <v/>
      </c>
      <c r="GO205" s="259" t="str">
        <f ca="1">IFERROR(INDEX($GD$3:$GM$400,MATCH(ROWS($GO$3:GO205),$GM$3:$GM$400,0),8),"")</f>
        <v/>
      </c>
      <c r="GP205" s="259" t="str">
        <f ca="1">IFERROR(INDEX($GD$3:$GM$400,MATCH(ROWS($GP$3:GP205),$GM$3:$GM$400,0),9),"")</f>
        <v/>
      </c>
      <c r="GQ205" s="259">
        <f t="shared" ca="1" si="535"/>
        <v>0</v>
      </c>
      <c r="GR205" s="259">
        <f t="shared" ca="1" si="592"/>
        <v>0</v>
      </c>
      <c r="GS205" s="259" t="str">
        <f t="shared" ca="1" si="593"/>
        <v/>
      </c>
      <c r="GT205" s="259" t="str">
        <f ca="1">IFERROR(INDEX($GD$3:$GS$400,MATCH(ROWS($GT$3:GT205),$GM$3:$GM$400,0),16),"")</f>
        <v/>
      </c>
      <c r="GU205" s="259">
        <f ca="1">IF(GQ205&lt;&gt;0,MAX($GU$2:$GU204)+1,0)</f>
        <v>0</v>
      </c>
      <c r="GV205" s="259">
        <f t="shared" ca="1" si="594"/>
        <v>0</v>
      </c>
      <c r="GW205" s="259" t="str">
        <f ca="1">IF(AND(IFERROR(INDEX($GU$3:$GV$400,MATCH(ROWS($GW$3:GW205),$GU$3:$GU$400,0),2),"")&lt;&gt;"",GW206&lt;&gt;""),CONCATENATE(IFERROR(INDEX($GU$3:$GV$400,MATCH(ROWS($GW$3:GW205),$GU$3:$GU$400,0),2),"")," - "),IFERROR(INDEX($GU$3:$GV$400,MATCH(ROWS($GW$3:GW205),$GU$3:$GU$400,0),2),""))</f>
        <v/>
      </c>
      <c r="GX205" s="259">
        <f ca="1">IF(OR(GN205="IVA NS/CREDITO",GN205="IVA NS/DEBITO",GN205="IVA C/ACCONTO",GN205="IMPOSTE C/ACCONTO"),MAX($GX$2:GX204)+1,0)</f>
        <v>0</v>
      </c>
      <c r="GY205" s="259" t="str">
        <f ca="1">IF(AND(IFERROR(INDEX($GN$3:$GX$200,MATCH(ROWS($GY$3:GY205),$GX$3:$GX$200,0),1),"")&lt;&gt;"",GY206&lt;&gt;""),CONCATENATE(IFERROR(INDEX($GN$3:$GX$200,MATCH(ROWS($GY$3:GY205),$GX$3:$GX$200,0),1),"")," - "),IFERROR(INDEX($GN$3:$GX$200,MATCH(ROWS($GY$3:GY205),$GX$3:$GX$200,0),1),""))</f>
        <v/>
      </c>
      <c r="GZ205" s="259" t="s">
        <v>202</v>
      </c>
      <c r="HA205" s="259" t="s">
        <v>605</v>
      </c>
      <c r="HB205" s="269" t="s">
        <v>256</v>
      </c>
      <c r="HC205" s="269" t="s">
        <v>276</v>
      </c>
      <c r="HD205" s="269" t="s">
        <v>7</v>
      </c>
      <c r="HE205" s="269" t="s">
        <v>214</v>
      </c>
      <c r="HV205" s="259" t="str">
        <f ca="1">CONCATENATE(IFERROR(INDEX($HS$3:$HT$102,MATCH(ROWS($HV$3:HV205),$HT$3:$HT$102,0),1),""),HR205)</f>
        <v/>
      </c>
      <c r="IX205" s="259" t="str">
        <f t="shared" si="606"/>
        <v/>
      </c>
      <c r="IY205" s="259" t="str">
        <f t="shared" si="600"/>
        <v/>
      </c>
      <c r="IZ205" s="259" t="str">
        <f t="shared" si="608"/>
        <v/>
      </c>
      <c r="JA205" s="259" t="str">
        <f t="shared" ca="1" si="601"/>
        <v/>
      </c>
      <c r="JB205" s="259">
        <f t="shared" ca="1" si="536"/>
        <v>0</v>
      </c>
      <c r="JC205" s="259">
        <f t="shared" ca="1" si="504"/>
        <v>0</v>
      </c>
      <c r="JD205" s="259">
        <f t="shared" ca="1" si="505"/>
        <v>0</v>
      </c>
      <c r="JM205" s="259">
        <f t="shared" ca="1" si="506"/>
        <v>0</v>
      </c>
    </row>
    <row r="206" spans="1:273">
      <c r="A206" s="259" t="str">
        <f t="shared" si="537"/>
        <v>41.04</v>
      </c>
      <c r="B206" s="259" t="str">
        <f t="shared" si="538"/>
        <v>INTERESSI PASSIVI SU MUTUI</v>
      </c>
      <c r="C206" s="259" t="str">
        <f t="shared" si="539"/>
        <v>E</v>
      </c>
      <c r="D206" s="259" t="str">
        <f t="shared" si="540"/>
        <v>D</v>
      </c>
      <c r="E206" s="259" t="str">
        <f t="shared" si="541"/>
        <v>COSTI D'ESERCIZIO</v>
      </c>
      <c r="F206" s="259" t="str">
        <f t="shared" si="542"/>
        <v>SE DARE</v>
      </c>
      <c r="G206" s="259">
        <f t="shared" ca="1" si="543"/>
        <v>1</v>
      </c>
      <c r="H206" s="259">
        <f t="shared" ca="1" si="544"/>
        <v>1</v>
      </c>
      <c r="I206" s="259">
        <f t="shared" ca="1" si="545"/>
        <v>1</v>
      </c>
      <c r="K206" s="259" t="str">
        <f ca="1">IFERROR(IF($I$1=1,INDEX($AA$3:$AS$220,MATCH(ROWS($K$3:K206),$AQ$3:$AQ$220,0),1),IF($I$1=2,INDEX($AA$3:$AS$220,MATCH(ROWS($K$3:K206),$AR$3:$AR$220,0),1),IF($I$1=3,INDEX($AA$3:$AS$220,MATCH(ROWS($K$3:K206),$AS$3:$AS$220,0),1),""))),"")</f>
        <v/>
      </c>
      <c r="L206" s="259">
        <f ca="1">IF(AND($L$1="VISUALIZZA TUTTI I CONTI",K206&lt;&gt;""),MAX(L205:L205)+1,IFERROR(IF($J$1=1,IF(INDEX(PIANO_DEI_CONTI,MATCH($K206,DENOMINAZIONE,0),5)=$L$1,MAX($L$2:L205)+1,0),IF($J$1=2,IF(INDEX(PIANO_DEI_CONTI,MATCH($K206,DENOMINAZIONE,0),7)=$L$1,MAX($L$2:L205)+1,0))),0))</f>
        <v>0</v>
      </c>
      <c r="M206" s="259" t="str">
        <f ca="1">IFERROR(INDEX($K$3:$K$220,MATCH(ROWS($M$3:M206),$L$3:$L$220,0),1),"")</f>
        <v/>
      </c>
      <c r="R206" s="259" t="str">
        <f t="shared" ca="1" si="516"/>
        <v/>
      </c>
      <c r="S206" s="259">
        <f ca="1">IF(IFERROR(MATCH(R206,DENOMINAZIONE_GIORNALE,0),0)&gt;0,MAX(S$2:S205)+1,0)</f>
        <v>0</v>
      </c>
      <c r="T206" s="259" t="str">
        <f ca="1">IFERROR(INDEX($R$3:$S$220,MATCH(ROWS($T$3:T206),$S$3:$S$220,0),1),"")</f>
        <v/>
      </c>
      <c r="U206" s="259">
        <f t="shared" ca="1" si="517"/>
        <v>0</v>
      </c>
      <c r="V206" s="259">
        <f ca="1">IF(IF(U206&lt;&gt;0,MAX($V$2:V205)+1,0)=0,0,IF(U206&lt;&gt;0,MAX($V$2:V205)+1,0))</f>
        <v>0</v>
      </c>
      <c r="W206" s="259" t="str">
        <f t="shared" si="546"/>
        <v>41.04</v>
      </c>
      <c r="X206" s="259" t="str">
        <f t="shared" si="547"/>
        <v>INTERESSI PASSIVI SU MUTUI</v>
      </c>
      <c r="Y206" s="259">
        <f>IF(W206="",0,MAX($Y$2:Y205)+1)</f>
        <v>174</v>
      </c>
      <c r="Z206" s="259" t="str">
        <f>IFERROR(INDEX($W$3:$Y$220,MATCH(ROWS($Z$2:Z205),$Y$3:$Y$220,0),1),"")</f>
        <v/>
      </c>
      <c r="AA206" s="259" t="str">
        <f t="shared" si="548"/>
        <v/>
      </c>
      <c r="AB206" s="259" t="str">
        <f t="shared" si="549"/>
        <v/>
      </c>
      <c r="AC206" s="259" t="str">
        <f t="shared" si="550"/>
        <v/>
      </c>
      <c r="AD206" s="259" t="str">
        <f t="shared" si="551"/>
        <v/>
      </c>
      <c r="AE206" s="259" t="str">
        <f t="shared" si="552"/>
        <v/>
      </c>
      <c r="AF206" s="259" t="str">
        <f t="shared" si="553"/>
        <v/>
      </c>
      <c r="AG206" s="259" t="str">
        <f t="shared" si="554"/>
        <v/>
      </c>
      <c r="AH206" s="259" t="str">
        <f t="shared" si="555"/>
        <v/>
      </c>
      <c r="AI206" s="259" t="str">
        <f t="shared" si="556"/>
        <v/>
      </c>
      <c r="AJ206" s="259" t="str">
        <f t="shared" si="557"/>
        <v/>
      </c>
      <c r="AK206" s="259" t="str">
        <f t="shared" si="558"/>
        <v/>
      </c>
      <c r="AL206" s="259">
        <f>IF(AK206&lt;&gt;"",MAX($AL$2:AL205)+1,0)</f>
        <v>0</v>
      </c>
      <c r="AM206" s="259" t="str">
        <f>IFERROR(INDEX($AK$3:$AL$220,MATCH(ROWS($AM$3:AM206),$AL$3:$AL$220,0),1),"")</f>
        <v/>
      </c>
      <c r="AN206" s="259" t="str">
        <f t="shared" si="559"/>
        <v/>
      </c>
      <c r="AO206" s="259" t="str">
        <f t="shared" si="560"/>
        <v/>
      </c>
      <c r="AP206" s="259" t="str">
        <f t="shared" si="561"/>
        <v/>
      </c>
      <c r="AQ206" s="259">
        <f>IF(OR(AG206=0,AG206=""),0,MAX(AQ$2:AQ205)+1)</f>
        <v>0</v>
      </c>
      <c r="AR206" s="259">
        <f>IF(OR(AH206=0,AH206=""),0,MAX(AR$2:AR205)+1)</f>
        <v>0</v>
      </c>
      <c r="AS206" s="259">
        <f>IF(OR(AI206=0,AI206=""),0,MAX(AS$2:AS205)+1)</f>
        <v>0</v>
      </c>
      <c r="AT206" s="259" t="str">
        <f ca="1">IFERROR(INDEX($AD$3:$AS$220,MATCH(ROWS(AT$3:AT206),AQ$3:AQ$220,0),1),"")</f>
        <v/>
      </c>
      <c r="AU206" s="259" t="str">
        <f ca="1">IFERROR(INDEX($AD$3:$AS$220,MATCH(ROWS(AU$3:AU206),AR$3:AR$220,0),1),"")</f>
        <v/>
      </c>
      <c r="AV206" s="259" t="str">
        <f ca="1">IFERROR(INDEX($AD$3:$AS$220,MATCH(ROWS(AV$3:AV206),AS$3:AS$220,0),1),"")</f>
        <v/>
      </c>
      <c r="AW206" s="259" t="str">
        <f ca="1">IFERROR(INDEX($AP$3:$AS$220,MATCH(ROWS(AW$3:AW206),AQ$3:AQ$220,0),1),"")</f>
        <v/>
      </c>
      <c r="AX206" s="259" t="str">
        <f ca="1">IFERROR(INDEX($AP$3:$AS$220,MATCH(ROWS(AX$3:AX206),AR$3:AR$220,0),1),"")</f>
        <v/>
      </c>
      <c r="AY206" s="259" t="str">
        <f ca="1">IFERROR(INDEX($AP$3:$AS$220,MATCH(ROWS(AY$3:AY206),AS$3:AS$220,0),1),"")</f>
        <v/>
      </c>
      <c r="AZ206" s="259" t="str">
        <f t="shared" ca="1" si="616"/>
        <v/>
      </c>
      <c r="BA206" s="259">
        <f t="shared" ca="1" si="484"/>
        <v>0</v>
      </c>
      <c r="BB206" s="259">
        <f t="shared" ca="1" si="617"/>
        <v>0</v>
      </c>
      <c r="BC206" s="259">
        <f t="shared" ca="1" si="618"/>
        <v>0</v>
      </c>
      <c r="BD206" s="259">
        <f t="shared" ca="1" si="619"/>
        <v>0</v>
      </c>
      <c r="BE206" s="259">
        <f t="shared" ca="1" si="620"/>
        <v>0</v>
      </c>
      <c r="BG206" s="259" t="str">
        <f t="shared" ca="1" si="518"/>
        <v/>
      </c>
      <c r="BH206" s="259">
        <f ca="1">IF(IFERROR(MATCH(BG206,DENOMINAZIONE_GIORNALE,0),0)&gt;0,MAX(BH$2:BH205)+1,0)</f>
        <v>0</v>
      </c>
      <c r="BI206" s="259" t="str">
        <f ca="1">IFERROR(INDEX($BG$3:$BH$220,MATCH(ROWS($BI$3:BI206),$BH$3:$BH$220,0),1),"")</f>
        <v/>
      </c>
      <c r="BJ206" s="259" t="str">
        <f t="shared" ca="1" si="519"/>
        <v/>
      </c>
      <c r="BK206" s="259" t="str">
        <f ca="1">IF(IF(BJ206&lt;&gt;"",MAX($BK$2:BK205)+1,0)=0,"",IF(BJ206&lt;&gt;"",MAX($BK$2:BK205)+1,0))</f>
        <v/>
      </c>
      <c r="BL206" s="259" t="str">
        <f ca="1">IFERROR(INDEX($T$3:$U$220, MATCH(ROWS(BL$3:BL206),$V$3:$V$220,0),1),"")</f>
        <v/>
      </c>
      <c r="BM206" s="259" t="str">
        <f ca="1">IFERROR(INDEX($T$3:$U$220, MATCH(ROWS(BM$3:BM206),$V$3:$V$220,0),2),"")</f>
        <v/>
      </c>
      <c r="BN206" s="259" t="str">
        <f ca="1">IF(IFERROR(INDEX($BI$3:$BJ$220,MATCH(ROWS(BN$3:BN206),$BK$3:$BK$220,0),1),"")="PATRIMONIO NETTO","",IFERROR(INDEX($BI$3:$BJ$220,MATCH(ROWS(BN$3:BN206),$BK$3:$BK$220,0),1),""))</f>
        <v/>
      </c>
      <c r="BO206" s="259" t="str">
        <f ca="1">IFERROR(INDEX($BI$3:$BJ$220,MATCH(ROWS(BO$3:BO206),$BK$3:$BK$220,0),2),"")</f>
        <v/>
      </c>
      <c r="BP206" s="259">
        <f ca="1">IF(BN206&lt;&gt;"",MAX(BP$2:$BP205)+1,0)</f>
        <v>0</v>
      </c>
      <c r="BQ206" s="259" t="str">
        <f ca="1">IFERROR(INDEX($BN$3:$BO$200,MATCH(ROWS(BQ$3:BQ206),$BP$3:$BP$220,0),1),"")</f>
        <v/>
      </c>
      <c r="BR206" s="259" t="str">
        <f ca="1">IFERROR(INDEX($BN$3:$BO$220,MATCH(ROWS(BR$3:BR206),$BP$3:$BP$220,0),2),"")</f>
        <v/>
      </c>
      <c r="BS206" s="259" t="str">
        <f ca="1">IFERROR(IF(OR(INDEX($T$3:$U$220,MATCH(ROWS(BL$3:BL206),$V$3:$V$220,0),1)="PRELEVAMENTI EXTRAGESTIONE",INDEX($T$3:$U$220,MATCH(ROWS(BL$3:BL206),$V$3:$V$220,0),1)="TITOLARE C/RITENUTE SUBITE"),"",INDEX($T$3:$U$220,MATCH(ROWS(BL$3:BL206),$V$3:$V$220,0),1)),"")</f>
        <v/>
      </c>
      <c r="BT206" s="259">
        <f t="shared" ca="1" si="562"/>
        <v>0</v>
      </c>
      <c r="BU206" s="259">
        <f ca="1">IF(BS206&lt;&gt;"",MAX(BU$2:BU205)+1,0)</f>
        <v>0</v>
      </c>
      <c r="BV206" s="259" t="str">
        <f ca="1">IFERROR(INDEX($BS$3:$BT$223,MATCH(ROWS(BV$3:BV206),$BU$3:$BU$223,0),1),"")</f>
        <v/>
      </c>
      <c r="BW206" s="259">
        <f t="shared" ca="1" si="563"/>
        <v>0</v>
      </c>
      <c r="CB206" s="259" t="str">
        <f ca="1">IFERROR(IF(OR($BB$1&lt;&gt;$BD$1,$BC$1&lt;&gt;$BE$1,$DS$231&lt;&gt;$DT$231,$DU$231&lt;&gt;$DV$231,$EO$25&lt;&gt;0,$EO$26&lt;&gt;0),INDEX($BI$3:$BK$220,MATCH(ROWS($CB$3:CB206),$BK$3:$BK$220,0),1),CONCATENATE(BQ206,BX206)),"")</f>
        <v/>
      </c>
      <c r="CC206" s="259" t="str">
        <f t="shared" ca="1" si="564"/>
        <v/>
      </c>
      <c r="CD206" s="259" t="str">
        <f t="shared" ca="1" si="520"/>
        <v/>
      </c>
      <c r="CE206" s="259">
        <f ca="1">IF(IFERROR(MATCH(CD206,DENOMINAZIONE_GIORNALE,0),0)&gt;0,MAX(CE$2:CE205)+1,0)</f>
        <v>0</v>
      </c>
      <c r="CF206" s="259" t="str">
        <f ca="1">IFERROR(INDEX($CD$3:$CE$220,MATCH(ROWS($CF$3:CF206),$CE$3:$CE$220,0),1),"")</f>
        <v/>
      </c>
      <c r="CG206" s="259">
        <f t="shared" ca="1" si="521"/>
        <v>0</v>
      </c>
      <c r="CH206" s="259" t="str">
        <f ca="1">IF(IF(CG206&lt;&gt;0,MAX($CH$2:CH205)+1,0)=0,"",IF(CG206&lt;&gt;"",MAX($CH$2:CH205)+1,0))</f>
        <v/>
      </c>
      <c r="CI206" s="259" t="str">
        <f ca="1">IFERROR(INDEX($CF$3:$CG$220,MATCH(ROWS($CI$3:CI206),$CH$3:$CH$220,0),1),"")</f>
        <v/>
      </c>
      <c r="CJ206" s="259" t="str">
        <f t="shared" ca="1" si="565"/>
        <v/>
      </c>
      <c r="CK206" s="259" t="str">
        <f t="shared" ca="1" si="522"/>
        <v/>
      </c>
      <c r="CL206" s="259">
        <f ca="1">IF(IFERROR(MATCH(CK206,DENOMINAZIONE_GIORNALE,0),0)&gt;0,MAX(CL$2:CL205)+1,0)</f>
        <v>0</v>
      </c>
      <c r="CM206" s="259" t="str">
        <f ca="1">IFERROR(INDEX($CK$3:$CL$220,MATCH(ROWS($CM$3:CM206),$CL$3:$CL$220,0),1),"")</f>
        <v/>
      </c>
      <c r="CN206" s="259" t="str">
        <f t="shared" ca="1" si="523"/>
        <v/>
      </c>
      <c r="CO206" s="259">
        <f ca="1">IF(IF(CN206&lt;&gt;0,MAX($CO$2:CO205)+1,0)=0,"",IF(CN206&lt;&gt;"",MAX($CO$2:CO205)+1,0))</f>
        <v>0</v>
      </c>
      <c r="CP206" s="259" t="str">
        <f ca="1">IFERROR(INDEX($CM$3:$CN$220,MATCH(ROWS(CP$3:CP206),$CO$3:$CO$220,0),1),"")</f>
        <v/>
      </c>
      <c r="CQ206" s="259" t="str">
        <f ca="1">IFERROR(INDEX($CM$3:$CN$220,MATCH(ROWS(CQ$3:CQ206),$CO$3:$CO$220,0),2),"")</f>
        <v/>
      </c>
      <c r="CS206" s="259">
        <f t="shared" ca="1" si="524"/>
        <v>0</v>
      </c>
      <c r="CT206" s="259">
        <f t="shared" ca="1" si="525"/>
        <v>0</v>
      </c>
      <c r="CU206" s="259">
        <f ca="1">IF(OR(CS206&gt;0,CT206&gt;0),MAX($CU$2:CU205)+1,0)</f>
        <v>0</v>
      </c>
      <c r="CV206" s="259" t="str">
        <f ca="1">IFERROR(INDEX(PIANO_DEI_CONTI,MATCH(ROWS($CV$3:CV206),$CU$3:$CU$200,0),2),"")</f>
        <v/>
      </c>
      <c r="CW206" s="259">
        <f ca="1">IFERROR(IF(CV206&lt;&gt;"",MAX($CW$2:CW205)+1,0),0)</f>
        <v>0</v>
      </c>
      <c r="CX206" s="259">
        <f t="shared" ca="1" si="609"/>
        <v>12</v>
      </c>
      <c r="CY206" s="259" t="str">
        <f t="shared" ca="1" si="607"/>
        <v>MASTRO</v>
      </c>
      <c r="CZ206" s="259" t="e">
        <f t="shared" ca="1" si="611"/>
        <v>#N/A</v>
      </c>
      <c r="DA206" s="259" t="str">
        <f t="shared" ca="1" si="621"/>
        <v/>
      </c>
      <c r="DB206" s="259" t="str">
        <f t="shared" ca="1" si="612"/>
        <v/>
      </c>
      <c r="DC206" s="259" t="str">
        <f t="shared" ca="1" si="613"/>
        <v/>
      </c>
      <c r="DD206" s="259" t="str">
        <f t="shared" ca="1" si="614"/>
        <v/>
      </c>
      <c r="DE206" s="259" t="str">
        <f t="shared" ca="1" si="615"/>
        <v/>
      </c>
      <c r="DF206" s="259">
        <f ca="1">IF(AND(CX206=$DE$2,$DF$2&lt;&gt;0),0,IF(AND(DB206&lt;&gt;"",OR(DB205&lt;&gt;"",DB207&lt;&gt;"")),MAX($DF$2:DF205)+1,0))</f>
        <v>0</v>
      </c>
      <c r="DG206" s="259" t="str">
        <f>IF(IF(LIBRO_GIORNALE!E114="","",IFERROR(INDEX(PIANO_DEI_CONTI,MATCH(BB206,DENOMINAZIONE,0),1),0))=0,"",IF(LIBRO_GIORNALE!E114="","",IFERROR(INDEX(PIANO_DEI_CONTI,MATCH(BB206,DENOMINAZIONE,0),1),0)))</f>
        <v/>
      </c>
      <c r="DH206" s="259">
        <f ca="1">IFERROR(IF($J$1=1,IF(INDEX(PIANO_DEI_CONTI,MATCH($K206,DENOMINAZIONE,0),5)=$DF$1,MAX($DH$2:DH205)+1,0),IF($J$1=2,IF(INDEX(PIANO_DEI_CONTI,MATCH($K206,DENOMINAZIONE,0),7)=$DF$1,MAX($DH$2:DH205)+1,0))),0)</f>
        <v>0</v>
      </c>
      <c r="DI206" s="259">
        <f ca="1">IFERROR(INDEX($K$3:$K$220,MATCH(ROWS($DI$3:DI206),$DH$3:$DH$220,0),1),0)</f>
        <v>0</v>
      </c>
      <c r="DJ206" s="259">
        <f t="shared" ca="1" si="526"/>
        <v>0</v>
      </c>
      <c r="DK206" s="259">
        <f ca="1">IF(DJ206=0,0,MAX(DK$2:DK205)+1)</f>
        <v>0</v>
      </c>
      <c r="DL206" s="259">
        <f ca="1">IFERROR(INDEX(PIANO_DEI_CONTI,MATCH(ROWS(DL$3:DL206),$DK$3:DK433,0),2),0)</f>
        <v>0</v>
      </c>
      <c r="DM206" s="259">
        <f t="shared" ca="1" si="527"/>
        <v>0</v>
      </c>
      <c r="DN206" s="259">
        <f t="shared" ca="1" si="528"/>
        <v>0</v>
      </c>
      <c r="DO206" s="259">
        <f t="shared" ca="1" si="566"/>
        <v>0</v>
      </c>
      <c r="DP206" s="259">
        <f t="shared" ca="1" si="567"/>
        <v>0</v>
      </c>
      <c r="DQ206" s="259">
        <f ca="1">IF(OR($DQ$1="TOTALI",$DQ$1="TOTALI ED ECCEDENZE"),IF(OR(DM206&gt;0,DN206&gt;0),MAX(DQ$2:DQ205)+1,0),IF($DQ$1="ECCEDENZE",IF(OR(DO206&gt;0,DP206&gt;0),MAX(DQ$2:DQ205)+1,0),""))</f>
        <v>0</v>
      </c>
      <c r="DR206" s="259" t="str">
        <f ca="1">IFERROR(INDEX($DL$3:$DQ$230,MATCH(ROWS(DR$3:DR206),$DQ$3:$DQ$230,0),1),"")</f>
        <v/>
      </c>
      <c r="DS206" s="259" t="str">
        <f t="shared" ca="1" si="568"/>
        <v/>
      </c>
      <c r="DT206" s="259" t="str">
        <f t="shared" ca="1" si="569"/>
        <v/>
      </c>
      <c r="DU206" s="259" t="str">
        <f t="shared" ca="1" si="570"/>
        <v/>
      </c>
      <c r="DV206" s="259" t="str">
        <f t="shared" ca="1" si="571"/>
        <v/>
      </c>
      <c r="DW206" s="259">
        <f t="shared" ca="1" si="572"/>
        <v>0</v>
      </c>
      <c r="DX206" s="259" t="str">
        <f t="shared" ca="1" si="573"/>
        <v/>
      </c>
      <c r="DY206" s="259" t="str">
        <f t="shared" ca="1" si="574"/>
        <v/>
      </c>
      <c r="DZ206" s="259" t="str">
        <f t="shared" ca="1" si="575"/>
        <v/>
      </c>
      <c r="ED206" s="259">
        <f t="shared" ca="1" si="529"/>
        <v>0</v>
      </c>
      <c r="EH206" s="259" t="str">
        <f t="shared" ca="1" si="576"/>
        <v/>
      </c>
      <c r="EI206" s="260" t="b">
        <f t="shared" ca="1" si="602"/>
        <v>1</v>
      </c>
      <c r="EJ206" s="260" t="b">
        <f t="shared" ca="1" si="603"/>
        <v>1</v>
      </c>
      <c r="EK206" s="260" t="b">
        <f t="shared" ca="1" si="604"/>
        <v>1</v>
      </c>
      <c r="EL206" s="259">
        <f t="shared" si="577"/>
        <v>204</v>
      </c>
      <c r="EM206" s="259">
        <f ca="1">IF(AND(BA206&gt;0,BA206&lt;=$EM$1),MAX($EM$2:EM205)+1,0)</f>
        <v>0</v>
      </c>
      <c r="EN206" s="259">
        <f t="shared" ca="1" si="578"/>
        <v>206</v>
      </c>
      <c r="EP206" s="259" t="str">
        <f t="shared" ca="1" si="530"/>
        <v/>
      </c>
      <c r="EQ206" s="259">
        <f t="shared" ca="1" si="531"/>
        <v>0</v>
      </c>
      <c r="ER206" s="259">
        <f ca="1">IF(ISNA(EQ206),MAX(ER$2:ER205)+1,0)</f>
        <v>0</v>
      </c>
      <c r="ES206" s="259" t="str">
        <f t="shared" ca="1" si="579"/>
        <v/>
      </c>
      <c r="ET206" s="259" t="str">
        <f ca="1">IFERROR(UPPER(INDEX($ER$3:$ES$500,MATCH(ROWS(ET$3:ET206),$ER$3:$ER$500,0),2)),"")</f>
        <v/>
      </c>
      <c r="EW206" s="259">
        <f t="shared" ca="1" si="497"/>
        <v>1</v>
      </c>
      <c r="EX206" s="259">
        <v>104</v>
      </c>
      <c r="EY206" s="259">
        <f t="shared" ca="1" si="498"/>
        <v>0</v>
      </c>
      <c r="EZ206" s="259">
        <f t="shared" ca="1" si="499"/>
        <v>0</v>
      </c>
      <c r="FA206" s="259">
        <f t="shared" ca="1" si="500"/>
        <v>0</v>
      </c>
      <c r="FB206" s="259">
        <f t="shared" ca="1" si="501"/>
        <v>0</v>
      </c>
      <c r="FC206" s="259">
        <f t="shared" ca="1" si="502"/>
        <v>0</v>
      </c>
      <c r="FD206" s="259">
        <f t="shared" ca="1" si="532"/>
        <v>0</v>
      </c>
      <c r="FE206" s="259" t="str">
        <f t="shared" ca="1" si="533"/>
        <v/>
      </c>
      <c r="FF206" s="259" t="str">
        <f t="shared" ca="1" si="503"/>
        <v/>
      </c>
      <c r="FM206" s="259">
        <f t="shared" si="534"/>
        <v>0</v>
      </c>
      <c r="FN206" s="259">
        <f>IF(FM206&lt;0,MAX($FN$2:FN205)+1,0)</f>
        <v>0</v>
      </c>
      <c r="FO206" s="259" t="str">
        <f t="shared" si="580"/>
        <v/>
      </c>
      <c r="FP206" s="259" t="str">
        <f ca="1">IFERROR(INDEX($FN$3:$FO$400,MATCH(ROWS($FP$3:FP206),$FN$3:$FN$400,0),2),"")</f>
        <v/>
      </c>
      <c r="FQ206" s="259" t="str">
        <f>IF(AE206="SE AVERE",MAX($FQ$2:FQ205)+1,"")</f>
        <v/>
      </c>
      <c r="FR206" s="259" t="str">
        <f>IF(AE206="SE DARE",MAX($FR$2:FR205)+1,"")</f>
        <v/>
      </c>
      <c r="FS206" s="259" t="str">
        <f ca="1">IF(AND(AE206="SP DARE",AA206&lt;&gt;$FS$1,AA206&lt;&gt;$FT$1),MAX($FS$2:FS205)+1,IF(AND(GQ206="SP DARE",AA206&lt;&gt;$FS$1,AA206&lt;&gt;$FT$1),MAX($FS$2:FS205)+1,""))</f>
        <v/>
      </c>
      <c r="FT206" s="259" t="str">
        <f ca="1">IF(AND(AE206="SP AVERE",AA206&lt;&gt;$FU$1),MAX($FT$2:FT205)+1,IF(AND(GQ206="SP AVERE",AA206&lt;&gt;$FU$1),MAX($FT$2:FT205)+1,""))</f>
        <v/>
      </c>
      <c r="FU206" s="259">
        <f t="shared" ca="1" si="581"/>
        <v>0</v>
      </c>
      <c r="FV206" s="259" t="str">
        <f t="shared" si="582"/>
        <v/>
      </c>
      <c r="FW206" s="259">
        <f ca="1">IFERROR(INDEX($FU$3:$FV$500,MATCH(ROWS($FW$3:FW206),$FU$3:$FU$500,0),2),0)</f>
        <v>0</v>
      </c>
      <c r="FX206" s="259">
        <f t="shared" ca="1" si="583"/>
        <v>0</v>
      </c>
      <c r="FY206" s="259">
        <f t="shared" ca="1" si="584"/>
        <v>0</v>
      </c>
      <c r="FZ206" s="259">
        <f ca="1">IF(FY206&gt;0,MAX($FZ$2:FZ205)+1,0)</f>
        <v>0</v>
      </c>
      <c r="GA206" s="259">
        <f ca="1">IFERROR(INDEX($FY$3:$FZ$500,MATCH(ROWS($GA$3:GA206),$FZ$3:$FZ$500,0),1),0)</f>
        <v>0</v>
      </c>
      <c r="GC206" s="259">
        <f t="shared" ca="1" si="585"/>
        <v>0</v>
      </c>
      <c r="GD206" s="259">
        <f t="shared" ca="1" si="586"/>
        <v>0</v>
      </c>
      <c r="GG206" s="259">
        <f t="shared" ca="1" si="587"/>
        <v>0</v>
      </c>
      <c r="GH206" s="259">
        <f t="shared" ca="1" si="588"/>
        <v>0</v>
      </c>
      <c r="GI206" s="259">
        <f t="shared" ca="1" si="589"/>
        <v>0</v>
      </c>
      <c r="GJ206" s="259">
        <f t="shared" ca="1" si="590"/>
        <v>0</v>
      </c>
      <c r="GK206" s="259">
        <f t="shared" ca="1" si="591"/>
        <v>0</v>
      </c>
      <c r="GL206" s="259">
        <f t="shared" ca="1" si="591"/>
        <v>0</v>
      </c>
      <c r="GM206" s="259">
        <f ca="1">IF(OR(GK206&gt;0,GL206&gt;0),MAX($GM$2:GM205)+1,0)</f>
        <v>0</v>
      </c>
      <c r="GN206" s="259" t="str">
        <f ca="1">IFERROR(INDEX($GD$3:$GM$400,MATCH(ROWS($GN$3:GN206),$GM$3:$GM$400,0),1),"")</f>
        <v/>
      </c>
      <c r="GO206" s="259" t="str">
        <f ca="1">IFERROR(INDEX($GD$3:$GM$400,MATCH(ROWS($GO$3:GO206),$GM$3:$GM$400,0),8),"")</f>
        <v/>
      </c>
      <c r="GP206" s="259" t="str">
        <f ca="1">IFERROR(INDEX($GD$3:$GM$400,MATCH(ROWS($GP$3:GP206),$GM$3:$GM$400,0),9),"")</f>
        <v/>
      </c>
      <c r="GQ206" s="259">
        <f t="shared" ca="1" si="535"/>
        <v>0</v>
      </c>
      <c r="GR206" s="259">
        <f t="shared" ca="1" si="592"/>
        <v>0</v>
      </c>
      <c r="GS206" s="259" t="str">
        <f t="shared" ca="1" si="593"/>
        <v/>
      </c>
      <c r="GT206" s="259" t="str">
        <f ca="1">IFERROR(INDEX($GD$3:$GS$400,MATCH(ROWS($GT$3:GT206),$GM$3:$GM$400,0),16),"")</f>
        <v/>
      </c>
      <c r="GU206" s="259">
        <f ca="1">IF(GQ206&lt;&gt;0,MAX($GU$2:$GU205)+1,0)</f>
        <v>0</v>
      </c>
      <c r="GV206" s="259">
        <f t="shared" ca="1" si="594"/>
        <v>0</v>
      </c>
      <c r="GW206" s="259" t="str">
        <f ca="1">IF(AND(IFERROR(INDEX($GU$3:$GV$400,MATCH(ROWS($GW$3:GW206),$GU$3:$GU$400,0),2),"")&lt;&gt;"",GW207&lt;&gt;""),CONCATENATE(IFERROR(INDEX($GU$3:$GV$400,MATCH(ROWS($GW$3:GW206),$GU$3:$GU$400,0),2),"")," - "),IFERROR(INDEX($GU$3:$GV$400,MATCH(ROWS($GW$3:GW206),$GU$3:$GU$400,0),2),""))</f>
        <v/>
      </c>
      <c r="GX206" s="259">
        <f ca="1">IF(OR(GN206="IVA NS/CREDITO",GN206="IVA NS/DEBITO",GN206="IVA C/ACCONTO",GN206="IMPOSTE C/ACCONTO"),MAX($GX$2:GX205)+1,0)</f>
        <v>0</v>
      </c>
      <c r="GY206" s="259" t="str">
        <f ca="1">IF(AND(IFERROR(INDEX($GN$3:$GX$200,MATCH(ROWS($GY$3:GY206),$GX$3:$GX$200,0),1),"")&lt;&gt;"",GY207&lt;&gt;""),CONCATENATE(IFERROR(INDEX($GN$3:$GX$200,MATCH(ROWS($GY$3:GY206),$GX$3:$GX$200,0),1),"")," - "),IFERROR(INDEX($GN$3:$GX$200,MATCH(ROWS($GY$3:GY206),$GX$3:$GX$200,0),1),""))</f>
        <v/>
      </c>
      <c r="GZ206" s="259" t="s">
        <v>686</v>
      </c>
      <c r="HA206" s="259" t="s">
        <v>198</v>
      </c>
      <c r="HB206" s="269" t="s">
        <v>256</v>
      </c>
      <c r="HC206" s="269" t="s">
        <v>276</v>
      </c>
      <c r="HD206" s="269" t="s">
        <v>7</v>
      </c>
      <c r="HE206" s="269" t="s">
        <v>214</v>
      </c>
      <c r="HV206" s="259" t="str">
        <f ca="1">CONCATENATE(IFERROR(INDEX($HS$3:$HT$102,MATCH(ROWS($HV$3:HV206),$HT$3:$HT$102,0),1),""),HR206)</f>
        <v/>
      </c>
      <c r="IX206" s="259" t="str">
        <f t="shared" si="606"/>
        <v/>
      </c>
      <c r="IY206" s="259" t="str">
        <f t="shared" si="600"/>
        <v/>
      </c>
      <c r="IZ206" s="259" t="str">
        <f t="shared" si="608"/>
        <v/>
      </c>
      <c r="JA206" s="259" t="str">
        <f t="shared" ca="1" si="601"/>
        <v/>
      </c>
      <c r="JB206" s="259">
        <f t="shared" ca="1" si="536"/>
        <v>0</v>
      </c>
      <c r="JC206" s="259">
        <f t="shared" ca="1" si="504"/>
        <v>0</v>
      </c>
      <c r="JD206" s="259">
        <f t="shared" ca="1" si="505"/>
        <v>0</v>
      </c>
      <c r="JM206" s="259">
        <f t="shared" ca="1" si="506"/>
        <v>0</v>
      </c>
    </row>
    <row r="207" spans="1:273">
      <c r="A207" s="259" t="str">
        <f t="shared" si="537"/>
        <v>41.20</v>
      </c>
      <c r="B207" s="259" t="str">
        <f t="shared" si="538"/>
        <v>ONERI FINANZIARI DIVERSI</v>
      </c>
      <c r="C207" s="259" t="str">
        <f t="shared" si="539"/>
        <v>E</v>
      </c>
      <c r="D207" s="259" t="str">
        <f t="shared" si="540"/>
        <v>D</v>
      </c>
      <c r="E207" s="259" t="str">
        <f t="shared" si="541"/>
        <v>COSTI D'ESERCIZIO</v>
      </c>
      <c r="F207" s="259" t="str">
        <f t="shared" si="542"/>
        <v>SE DARE</v>
      </c>
      <c r="G207" s="259">
        <f t="shared" ca="1" si="543"/>
        <v>1</v>
      </c>
      <c r="H207" s="259">
        <f t="shared" ca="1" si="544"/>
        <v>1</v>
      </c>
      <c r="I207" s="259">
        <f t="shared" ca="1" si="545"/>
        <v>1</v>
      </c>
      <c r="K207" s="259" t="str">
        <f ca="1">IFERROR(IF($I$1=1,INDEX($AA$3:$AS$220,MATCH(ROWS($K$3:K207),$AQ$3:$AQ$220,0),1),IF($I$1=2,INDEX($AA$3:$AS$220,MATCH(ROWS($K$3:K207),$AR$3:$AR$220,0),1),IF($I$1=3,INDEX($AA$3:$AS$220,MATCH(ROWS($K$3:K207),$AS$3:$AS$220,0),1),""))),"")</f>
        <v/>
      </c>
      <c r="L207" s="259">
        <f ca="1">IF(AND($L$1="VISUALIZZA TUTTI I CONTI",K207&lt;&gt;""),MAX(L206:L206)+1,IFERROR(IF($J$1=1,IF(INDEX(PIANO_DEI_CONTI,MATCH($K207,DENOMINAZIONE,0),5)=$L$1,MAX($L$2:L206)+1,0),IF($J$1=2,IF(INDEX(PIANO_DEI_CONTI,MATCH($K207,DENOMINAZIONE,0),7)=$L$1,MAX($L$2:L206)+1,0))),0))</f>
        <v>0</v>
      </c>
      <c r="M207" s="259" t="str">
        <f ca="1">IFERROR(INDEX($K$3:$K$220,MATCH(ROWS($M$3:M207),$L$3:$L$220,0),1),"")</f>
        <v/>
      </c>
      <c r="R207" s="259" t="str">
        <f t="shared" ca="1" si="516"/>
        <v/>
      </c>
      <c r="S207" s="259">
        <f ca="1">IF(IFERROR(MATCH(R207,DENOMINAZIONE_GIORNALE,0),0)&gt;0,MAX(S$2:S206)+1,0)</f>
        <v>0</v>
      </c>
      <c r="T207" s="259" t="str">
        <f ca="1">IFERROR(INDEX($R$3:$S$220,MATCH(ROWS($T$3:T207),$S$3:$S$220,0),1),"")</f>
        <v/>
      </c>
      <c r="U207" s="259">
        <f t="shared" ca="1" si="517"/>
        <v>0</v>
      </c>
      <c r="V207" s="259">
        <f ca="1">IF(IF(U207&lt;&gt;0,MAX($V$2:V206)+1,0)=0,0,IF(U207&lt;&gt;0,MAX($V$2:V206)+1,0))</f>
        <v>0</v>
      </c>
      <c r="W207" s="259" t="str">
        <f t="shared" si="546"/>
        <v>41.20</v>
      </c>
      <c r="X207" s="259" t="str">
        <f t="shared" si="547"/>
        <v>ONERI FINANZIARI DIVERSI</v>
      </c>
      <c r="Y207" s="259">
        <f>IF(W207="",0,MAX($Y$2:Y206)+1)</f>
        <v>175</v>
      </c>
      <c r="Z207" s="259" t="str">
        <f>IFERROR(INDEX($W$3:$Y$220,MATCH(ROWS($Z$2:Z206),$Y$3:$Y$220,0),1),"")</f>
        <v/>
      </c>
      <c r="AA207" s="259" t="str">
        <f t="shared" si="548"/>
        <v/>
      </c>
      <c r="AB207" s="259" t="str">
        <f t="shared" si="549"/>
        <v/>
      </c>
      <c r="AC207" s="259" t="str">
        <f t="shared" si="550"/>
        <v/>
      </c>
      <c r="AD207" s="259" t="str">
        <f t="shared" si="551"/>
        <v/>
      </c>
      <c r="AE207" s="259" t="str">
        <f t="shared" si="552"/>
        <v/>
      </c>
      <c r="AF207" s="259" t="str">
        <f t="shared" si="553"/>
        <v/>
      </c>
      <c r="AG207" s="259" t="str">
        <f t="shared" si="554"/>
        <v/>
      </c>
      <c r="AH207" s="259" t="str">
        <f t="shared" si="555"/>
        <v/>
      </c>
      <c r="AI207" s="259" t="str">
        <f t="shared" si="556"/>
        <v/>
      </c>
      <c r="AJ207" s="259" t="str">
        <f t="shared" si="557"/>
        <v/>
      </c>
      <c r="AK207" s="259" t="str">
        <f t="shared" si="558"/>
        <v/>
      </c>
      <c r="AL207" s="259">
        <f>IF(AK207&lt;&gt;"",MAX($AL$2:AL206)+1,0)</f>
        <v>0</v>
      </c>
      <c r="AM207" s="259" t="str">
        <f>IFERROR(INDEX($AK$3:$AL$220,MATCH(ROWS($AM$3:AM207),$AL$3:$AL$220,0),1),"")</f>
        <v/>
      </c>
      <c r="AN207" s="259" t="str">
        <f t="shared" si="559"/>
        <v/>
      </c>
      <c r="AO207" s="259" t="str">
        <f t="shared" si="560"/>
        <v/>
      </c>
      <c r="AP207" s="259" t="str">
        <f t="shared" si="561"/>
        <v/>
      </c>
      <c r="AQ207" s="259">
        <f>IF(OR(AG207=0,AG207=""),0,MAX(AQ$2:AQ206)+1)</f>
        <v>0</v>
      </c>
      <c r="AR207" s="259">
        <f>IF(OR(AH207=0,AH207=""),0,MAX(AR$2:AR206)+1)</f>
        <v>0</v>
      </c>
      <c r="AS207" s="259">
        <f>IF(OR(AI207=0,AI207=""),0,MAX(AS$2:AS206)+1)</f>
        <v>0</v>
      </c>
      <c r="AT207" s="259" t="str">
        <f ca="1">IFERROR(INDEX($AD$3:$AS$220,MATCH(ROWS(AT$3:AT207),AQ$3:AQ$220,0),1),"")</f>
        <v/>
      </c>
      <c r="AU207" s="259" t="str">
        <f ca="1">IFERROR(INDEX($AD$3:$AS$220,MATCH(ROWS(AU$3:AU207),AR$3:AR$220,0),1),"")</f>
        <v/>
      </c>
      <c r="AV207" s="259" t="str">
        <f ca="1">IFERROR(INDEX($AD$3:$AS$220,MATCH(ROWS(AV$3:AV207),AS$3:AS$220,0),1),"")</f>
        <v/>
      </c>
      <c r="AW207" s="259" t="str">
        <f ca="1">IFERROR(INDEX($AP$3:$AS$220,MATCH(ROWS(AW$3:AW207),AQ$3:AQ$220,0),1),"")</f>
        <v/>
      </c>
      <c r="AX207" s="259" t="str">
        <f ca="1">IFERROR(INDEX($AP$3:$AS$220,MATCH(ROWS(AX$3:AX207),AR$3:AR$220,0),1),"")</f>
        <v/>
      </c>
      <c r="AY207" s="259" t="str">
        <f ca="1">IFERROR(INDEX($AP$3:$AS$220,MATCH(ROWS(AY$3:AY207),AS$3:AS$220,0),1),"")</f>
        <v/>
      </c>
      <c r="AZ207" s="259" t="str">
        <f t="shared" ca="1" si="616"/>
        <v/>
      </c>
      <c r="BA207" s="259">
        <f t="shared" ca="1" si="484"/>
        <v>0</v>
      </c>
      <c r="BB207" s="259">
        <f t="shared" ca="1" si="617"/>
        <v>0</v>
      </c>
      <c r="BC207" s="259">
        <f t="shared" ca="1" si="618"/>
        <v>0</v>
      </c>
      <c r="BD207" s="259">
        <f t="shared" ca="1" si="619"/>
        <v>0</v>
      </c>
      <c r="BE207" s="259">
        <f t="shared" ca="1" si="620"/>
        <v>0</v>
      </c>
      <c r="BG207" s="259" t="str">
        <f t="shared" ca="1" si="518"/>
        <v/>
      </c>
      <c r="BH207" s="259">
        <f ca="1">IF(IFERROR(MATCH(BG207,DENOMINAZIONE_GIORNALE,0),0)&gt;0,MAX(BH$2:BH206)+1,0)</f>
        <v>0</v>
      </c>
      <c r="BI207" s="259" t="str">
        <f ca="1">IFERROR(INDEX($BG$3:$BH$220,MATCH(ROWS($BI$3:BI207),$BH$3:$BH$220,0),1),"")</f>
        <v/>
      </c>
      <c r="BJ207" s="259" t="str">
        <f t="shared" ca="1" si="519"/>
        <v/>
      </c>
      <c r="BK207" s="259" t="str">
        <f ca="1">IF(IF(BJ207&lt;&gt;"",MAX($BK$2:BK206)+1,0)=0,"",IF(BJ207&lt;&gt;"",MAX($BK$2:BK206)+1,0))</f>
        <v/>
      </c>
      <c r="BL207" s="259" t="str">
        <f ca="1">IFERROR(INDEX($T$3:$U$220, MATCH(ROWS(BL$3:BL207),$V$3:$V$220,0),1),"")</f>
        <v/>
      </c>
      <c r="BM207" s="259" t="str">
        <f ca="1">IFERROR(INDEX($T$3:$U$220, MATCH(ROWS(BM$3:BM207),$V$3:$V$220,0),2),"")</f>
        <v/>
      </c>
      <c r="BN207" s="259" t="str">
        <f ca="1">IF(IFERROR(INDEX($BI$3:$BJ$220,MATCH(ROWS(BN$3:BN207),$BK$3:$BK$220,0),1),"")="PATRIMONIO NETTO","",IFERROR(INDEX($BI$3:$BJ$220,MATCH(ROWS(BN$3:BN207),$BK$3:$BK$220,0),1),""))</f>
        <v/>
      </c>
      <c r="BO207" s="259" t="str">
        <f ca="1">IFERROR(INDEX($BI$3:$BJ$220,MATCH(ROWS(BO$3:BO207),$BK$3:$BK$220,0),2),"")</f>
        <v/>
      </c>
      <c r="BP207" s="259">
        <f ca="1">IF(BN207&lt;&gt;"",MAX(BP$2:$BP206)+1,0)</f>
        <v>0</v>
      </c>
      <c r="BQ207" s="259" t="str">
        <f ca="1">IFERROR(INDEX($BN$3:$BO$200,MATCH(ROWS(BQ$3:BQ207),$BP$3:$BP$220,0),1),"")</f>
        <v/>
      </c>
      <c r="BR207" s="259" t="str">
        <f ca="1">IFERROR(INDEX($BN$3:$BO$220,MATCH(ROWS(BR$3:BR207),$BP$3:$BP$220,0),2),"")</f>
        <v/>
      </c>
      <c r="BS207" s="259" t="str">
        <f ca="1">IFERROR(IF(OR(INDEX($T$3:$U$220,MATCH(ROWS(BL$3:BL207),$V$3:$V$220,0),1)="PRELEVAMENTI EXTRAGESTIONE",INDEX($T$3:$U$220,MATCH(ROWS(BL$3:BL207),$V$3:$V$220,0),1)="TITOLARE C/RITENUTE SUBITE"),"",INDEX($T$3:$U$220,MATCH(ROWS(BL$3:BL207),$V$3:$V$220,0),1)),"")</f>
        <v/>
      </c>
      <c r="BT207" s="259">
        <f t="shared" ca="1" si="562"/>
        <v>0</v>
      </c>
      <c r="BU207" s="259">
        <f ca="1">IF(BS207&lt;&gt;"",MAX(BU$2:BU206)+1,0)</f>
        <v>0</v>
      </c>
      <c r="BV207" s="259" t="str">
        <f ca="1">IFERROR(INDEX($BS$3:$BT$223,MATCH(ROWS(BV$3:BV207),$BU$3:$BU$223,0),1),"")</f>
        <v/>
      </c>
      <c r="BW207" s="259">
        <f t="shared" ca="1" si="563"/>
        <v>0</v>
      </c>
      <c r="CB207" s="259" t="str">
        <f ca="1">IFERROR(IF(OR($BB$1&lt;&gt;$BD$1,$BC$1&lt;&gt;$BE$1,$DS$231&lt;&gt;$DT$231,$DU$231&lt;&gt;$DV$231,$EO$25&lt;&gt;0,$EO$26&lt;&gt;0),INDEX($BI$3:$BK$220,MATCH(ROWS($CB$3:CB207),$BK$3:$BK$220,0),1),CONCATENATE(BQ207,BX207)),"")</f>
        <v/>
      </c>
      <c r="CC207" s="259" t="str">
        <f t="shared" ca="1" si="564"/>
        <v/>
      </c>
      <c r="CD207" s="259" t="str">
        <f t="shared" ca="1" si="520"/>
        <v/>
      </c>
      <c r="CE207" s="259">
        <f ca="1">IF(IFERROR(MATCH(CD207,DENOMINAZIONE_GIORNALE,0),0)&gt;0,MAX(CE$2:CE206)+1,0)</f>
        <v>0</v>
      </c>
      <c r="CF207" s="259" t="str">
        <f ca="1">IFERROR(INDEX($CD$3:$CE$220,MATCH(ROWS($CF$3:CF207),$CE$3:$CE$220,0),1),"")</f>
        <v/>
      </c>
      <c r="CG207" s="259">
        <f t="shared" ca="1" si="521"/>
        <v>0</v>
      </c>
      <c r="CH207" s="259" t="str">
        <f ca="1">IF(IF(CG207&lt;&gt;0,MAX($CH$2:CH206)+1,0)=0,"",IF(CG207&lt;&gt;"",MAX($CH$2:CH206)+1,0))</f>
        <v/>
      </c>
      <c r="CI207" s="259" t="str">
        <f ca="1">IFERROR(INDEX($CF$3:$CG$220,MATCH(ROWS($CI$3:CI207),$CH$3:$CH$220,0),1),"")</f>
        <v/>
      </c>
      <c r="CJ207" s="259" t="str">
        <f t="shared" ca="1" si="565"/>
        <v/>
      </c>
      <c r="CK207" s="259" t="str">
        <f t="shared" ca="1" si="522"/>
        <v/>
      </c>
      <c r="CL207" s="259">
        <f ca="1">IF(IFERROR(MATCH(CK207,DENOMINAZIONE_GIORNALE,0),0)&gt;0,MAX(CL$2:CL206)+1,0)</f>
        <v>0</v>
      </c>
      <c r="CM207" s="259" t="str">
        <f ca="1">IFERROR(INDEX($CK$3:$CL$220,MATCH(ROWS($CM$3:CM207),$CL$3:$CL$220,0),1),"")</f>
        <v/>
      </c>
      <c r="CN207" s="259" t="str">
        <f t="shared" ca="1" si="523"/>
        <v/>
      </c>
      <c r="CO207" s="259">
        <f ca="1">IF(IF(CN207&lt;&gt;0,MAX($CO$2:CO206)+1,0)=0,"",IF(CN207&lt;&gt;"",MAX($CO$2:CO206)+1,0))</f>
        <v>0</v>
      </c>
      <c r="CP207" s="259" t="str">
        <f ca="1">IFERROR(INDEX($CM$3:$CN$220,MATCH(ROWS(CP$3:CP207),$CO$3:$CO$220,0),1),"")</f>
        <v/>
      </c>
      <c r="CQ207" s="259" t="str">
        <f ca="1">IFERROR(INDEX($CM$3:$CN$220,MATCH(ROWS(CQ$3:CQ207),$CO$3:$CO$220,0),2),"")</f>
        <v/>
      </c>
      <c r="CS207" s="259">
        <f t="shared" ca="1" si="524"/>
        <v>0</v>
      </c>
      <c r="CT207" s="259">
        <f t="shared" ca="1" si="525"/>
        <v>0</v>
      </c>
      <c r="CU207" s="259">
        <f ca="1">IF(OR(CS207&gt;0,CT207&gt;0),MAX($CU$2:CU206)+1,0)</f>
        <v>0</v>
      </c>
      <c r="CV207" s="259" t="str">
        <f ca="1">IFERROR(INDEX(PIANO_DEI_CONTI,MATCH(ROWS($CV$3:CV207),$CU$3:$CU$200,0),2),"")</f>
        <v/>
      </c>
      <c r="CW207" s="259">
        <f ca="1">IFERROR(IF(CV207&lt;&gt;"",MAX($CW$2:CW206)+1,0),0)</f>
        <v>0</v>
      </c>
      <c r="CX207" s="259">
        <f t="shared" ca="1" si="609"/>
        <v>12</v>
      </c>
      <c r="CY207" s="259" t="str">
        <f t="shared" ca="1" si="607"/>
        <v>MASTRO</v>
      </c>
      <c r="CZ207" s="259" t="e">
        <f t="shared" ca="1" si="611"/>
        <v>#N/A</v>
      </c>
      <c r="DA207" s="259" t="str">
        <f t="shared" ca="1" si="621"/>
        <v/>
      </c>
      <c r="DB207" s="259" t="str">
        <f t="shared" ca="1" si="612"/>
        <v/>
      </c>
      <c r="DC207" s="259" t="str">
        <f t="shared" ca="1" si="613"/>
        <v/>
      </c>
      <c r="DD207" s="259" t="str">
        <f t="shared" ca="1" si="614"/>
        <v/>
      </c>
      <c r="DE207" s="259" t="str">
        <f t="shared" ca="1" si="615"/>
        <v/>
      </c>
      <c r="DF207" s="259">
        <f ca="1">IF(AND(CX207=$DE$2,$DF$2&lt;&gt;0),0,IF(AND(DB207&lt;&gt;"",OR(DB206&lt;&gt;"",DB208&lt;&gt;"")),MAX($DF$2:DF206)+1,0))</f>
        <v>0</v>
      </c>
      <c r="DG207" s="259" t="str">
        <f>IF(IF(LIBRO_GIORNALE!E115="","",IFERROR(INDEX(PIANO_DEI_CONTI,MATCH(BB207,DENOMINAZIONE,0),1),0))=0,"",IF(LIBRO_GIORNALE!E115="","",IFERROR(INDEX(PIANO_DEI_CONTI,MATCH(BB207,DENOMINAZIONE,0),1),0)))</f>
        <v/>
      </c>
      <c r="DH207" s="259">
        <f ca="1">IFERROR(IF($J$1=1,IF(INDEX(PIANO_DEI_CONTI,MATCH($K207,DENOMINAZIONE,0),5)=$DF$1,MAX($DH$2:DH206)+1,0),IF($J$1=2,IF(INDEX(PIANO_DEI_CONTI,MATCH($K207,DENOMINAZIONE,0),7)=$DF$1,MAX($DH$2:DH206)+1,0))),0)</f>
        <v>0</v>
      </c>
      <c r="DI207" s="259">
        <f ca="1">IFERROR(INDEX($K$3:$K$220,MATCH(ROWS($DI$3:DI207),$DH$3:$DH$220,0),1),0)</f>
        <v>0</v>
      </c>
      <c r="DJ207" s="259">
        <f t="shared" ca="1" si="526"/>
        <v>0</v>
      </c>
      <c r="DK207" s="259">
        <f ca="1">IF(DJ207=0,0,MAX(DK$2:DK206)+1)</f>
        <v>0</v>
      </c>
      <c r="DL207" s="259">
        <f ca="1">IFERROR(INDEX(PIANO_DEI_CONTI,MATCH(ROWS(DL$3:DL207),$DK$3:DK434,0),2),0)</f>
        <v>0</v>
      </c>
      <c r="DM207" s="259">
        <f t="shared" ca="1" si="527"/>
        <v>0</v>
      </c>
      <c r="DN207" s="259">
        <f t="shared" ca="1" si="528"/>
        <v>0</v>
      </c>
      <c r="DO207" s="259">
        <f t="shared" ca="1" si="566"/>
        <v>0</v>
      </c>
      <c r="DP207" s="259">
        <f t="shared" ca="1" si="567"/>
        <v>0</v>
      </c>
      <c r="DQ207" s="259">
        <f ca="1">IF(OR($DQ$1="TOTALI",$DQ$1="TOTALI ED ECCEDENZE"),IF(OR(DM207&gt;0,DN207&gt;0),MAX(DQ$2:DQ206)+1,0),IF($DQ$1="ECCEDENZE",IF(OR(DO207&gt;0,DP207&gt;0),MAX(DQ$2:DQ206)+1,0),""))</f>
        <v>0</v>
      </c>
      <c r="DR207" s="259" t="str">
        <f ca="1">IFERROR(INDEX($DL$3:$DQ$230,MATCH(ROWS(DR$3:DR207),$DQ$3:$DQ$230,0),1),"")</f>
        <v/>
      </c>
      <c r="DS207" s="259" t="str">
        <f t="shared" ca="1" si="568"/>
        <v/>
      </c>
      <c r="DT207" s="259" t="str">
        <f t="shared" ca="1" si="569"/>
        <v/>
      </c>
      <c r="DU207" s="259" t="str">
        <f t="shared" ca="1" si="570"/>
        <v/>
      </c>
      <c r="DV207" s="259" t="str">
        <f t="shared" ca="1" si="571"/>
        <v/>
      </c>
      <c r="DW207" s="259">
        <f t="shared" ca="1" si="572"/>
        <v>0</v>
      </c>
      <c r="DX207" s="259" t="str">
        <f t="shared" ca="1" si="573"/>
        <v/>
      </c>
      <c r="DY207" s="259" t="str">
        <f t="shared" ca="1" si="574"/>
        <v/>
      </c>
      <c r="DZ207" s="259" t="str">
        <f t="shared" ca="1" si="575"/>
        <v/>
      </c>
      <c r="ED207" s="259">
        <f t="shared" ca="1" si="529"/>
        <v>0</v>
      </c>
      <c r="EH207" s="259" t="str">
        <f t="shared" ca="1" si="576"/>
        <v/>
      </c>
      <c r="EI207" s="260" t="b">
        <f t="shared" ca="1" si="602"/>
        <v>1</v>
      </c>
      <c r="EJ207" s="260" t="b">
        <f t="shared" ca="1" si="603"/>
        <v>1</v>
      </c>
      <c r="EK207" s="260" t="b">
        <f t="shared" ca="1" si="604"/>
        <v>1</v>
      </c>
      <c r="EL207" s="259">
        <f t="shared" si="577"/>
        <v>205</v>
      </c>
      <c r="EM207" s="259">
        <f ca="1">IF(AND(BA207&gt;0,BA207&lt;=$EM$1),MAX($EM$2:EM206)+1,0)</f>
        <v>0</v>
      </c>
      <c r="EN207" s="259">
        <f t="shared" ca="1" si="578"/>
        <v>207</v>
      </c>
      <c r="EP207" s="259" t="str">
        <f t="shared" ca="1" si="530"/>
        <v/>
      </c>
      <c r="EQ207" s="259">
        <f t="shared" ca="1" si="531"/>
        <v>0</v>
      </c>
      <c r="ER207" s="259">
        <f ca="1">IF(ISNA(EQ207),MAX(ER$2:ER206)+1,0)</f>
        <v>0</v>
      </c>
      <c r="ES207" s="259" t="str">
        <f t="shared" ca="1" si="579"/>
        <v/>
      </c>
      <c r="ET207" s="259" t="str">
        <f ca="1">IFERROR(UPPER(INDEX($ER$3:$ES$500,MATCH(ROWS(ET$3:ET207),$ER$3:$ER$500,0),2)),"")</f>
        <v/>
      </c>
      <c r="EW207" s="259">
        <f t="shared" ca="1" si="497"/>
        <v>1</v>
      </c>
      <c r="EX207" s="259">
        <v>105</v>
      </c>
      <c r="EY207" s="259">
        <f t="shared" ca="1" si="498"/>
        <v>0</v>
      </c>
      <c r="EZ207" s="259">
        <f t="shared" ca="1" si="499"/>
        <v>0</v>
      </c>
      <c r="FA207" s="259">
        <f t="shared" ca="1" si="500"/>
        <v>0</v>
      </c>
      <c r="FB207" s="259">
        <f t="shared" ca="1" si="501"/>
        <v>0</v>
      </c>
      <c r="FC207" s="259">
        <f t="shared" ca="1" si="502"/>
        <v>0</v>
      </c>
      <c r="FD207" s="259">
        <f t="shared" ca="1" si="532"/>
        <v>0</v>
      </c>
      <c r="FE207" s="259" t="str">
        <f t="shared" ca="1" si="533"/>
        <v/>
      </c>
      <c r="FF207" s="259" t="str">
        <f t="shared" ca="1" si="503"/>
        <v/>
      </c>
      <c r="FM207" s="259">
        <f t="shared" si="534"/>
        <v>0</v>
      </c>
      <c r="FN207" s="259">
        <f>IF(FM207&lt;0,MAX($FN$2:FN206)+1,0)</f>
        <v>0</v>
      </c>
      <c r="FO207" s="259" t="str">
        <f t="shared" si="580"/>
        <v/>
      </c>
      <c r="FP207" s="259" t="str">
        <f ca="1">IFERROR(INDEX($FN$3:$FO$400,MATCH(ROWS($FP$3:FP207),$FN$3:$FN$400,0),2),"")</f>
        <v/>
      </c>
      <c r="FQ207" s="259" t="str">
        <f>IF(AE207="SE AVERE",MAX($FQ$2:FQ206)+1,"")</f>
        <v/>
      </c>
      <c r="FR207" s="259" t="str">
        <f>IF(AE207="SE DARE",MAX($FR$2:FR206)+1,"")</f>
        <v/>
      </c>
      <c r="FS207" s="259" t="str">
        <f ca="1">IF(AND(AE207="SP DARE",AA207&lt;&gt;$FS$1,AA207&lt;&gt;$FT$1),MAX($FS$2:FS206)+1,IF(AND(GQ207="SP DARE",AA207&lt;&gt;$FS$1,AA207&lt;&gt;$FT$1),MAX($FS$2:FS206)+1,""))</f>
        <v/>
      </c>
      <c r="FT207" s="259" t="str">
        <f ca="1">IF(AND(AE207="SP AVERE",AA207&lt;&gt;$FU$1),MAX($FT$2:FT206)+1,IF(AND(GQ207="SP AVERE",AA207&lt;&gt;$FU$1),MAX($FT$2:FT206)+1,""))</f>
        <v/>
      </c>
      <c r="FU207" s="259">
        <f t="shared" ca="1" si="581"/>
        <v>0</v>
      </c>
      <c r="FV207" s="259" t="str">
        <f t="shared" si="582"/>
        <v/>
      </c>
      <c r="FW207" s="259">
        <f ca="1">IFERROR(INDEX($FU$3:$FV$500,MATCH(ROWS($FW$3:FW207),$FU$3:$FU$500,0),2),0)</f>
        <v>0</v>
      </c>
      <c r="FX207" s="259">
        <f t="shared" ca="1" si="583"/>
        <v>0</v>
      </c>
      <c r="FY207" s="259">
        <f t="shared" ca="1" si="584"/>
        <v>0</v>
      </c>
      <c r="FZ207" s="259">
        <f ca="1">IF(FY207&gt;0,MAX($FZ$2:FZ206)+1,0)</f>
        <v>0</v>
      </c>
      <c r="GA207" s="259">
        <f ca="1">IFERROR(INDEX($FY$3:$FZ$500,MATCH(ROWS($GA$3:GA207),$FZ$3:$FZ$500,0),1),0)</f>
        <v>0</v>
      </c>
      <c r="GC207" s="259">
        <f t="shared" ca="1" si="585"/>
        <v>0</v>
      </c>
      <c r="GD207" s="259">
        <f t="shared" ca="1" si="586"/>
        <v>0</v>
      </c>
      <c r="GG207" s="259">
        <f t="shared" ca="1" si="587"/>
        <v>0</v>
      </c>
      <c r="GH207" s="259">
        <f t="shared" ca="1" si="588"/>
        <v>0</v>
      </c>
      <c r="GI207" s="259">
        <f t="shared" ca="1" si="589"/>
        <v>0</v>
      </c>
      <c r="GJ207" s="259">
        <f t="shared" ca="1" si="590"/>
        <v>0</v>
      </c>
      <c r="GK207" s="259">
        <f t="shared" ca="1" si="591"/>
        <v>0</v>
      </c>
      <c r="GL207" s="259">
        <f t="shared" ca="1" si="591"/>
        <v>0</v>
      </c>
      <c r="GM207" s="259">
        <f ca="1">IF(OR(GK207&gt;0,GL207&gt;0),MAX($GM$2:GM206)+1,0)</f>
        <v>0</v>
      </c>
      <c r="GN207" s="259" t="str">
        <f ca="1">IFERROR(INDEX($GD$3:$GM$400,MATCH(ROWS($GN$3:GN207),$GM$3:$GM$400,0),1),"")</f>
        <v/>
      </c>
      <c r="GO207" s="259" t="str">
        <f ca="1">IFERROR(INDEX($GD$3:$GM$400,MATCH(ROWS($GO$3:GO207),$GM$3:$GM$400,0),8),"")</f>
        <v/>
      </c>
      <c r="GP207" s="259" t="str">
        <f ca="1">IFERROR(INDEX($GD$3:$GM$400,MATCH(ROWS($GP$3:GP207),$GM$3:$GM$400,0),9),"")</f>
        <v/>
      </c>
      <c r="GQ207" s="259">
        <f t="shared" ca="1" si="535"/>
        <v>0</v>
      </c>
      <c r="GR207" s="259">
        <f t="shared" ca="1" si="592"/>
        <v>0</v>
      </c>
      <c r="GS207" s="259" t="str">
        <f t="shared" ca="1" si="593"/>
        <v/>
      </c>
      <c r="GT207" s="259" t="str">
        <f ca="1">IFERROR(INDEX($GD$3:$GS$400,MATCH(ROWS($GT$3:GT207),$GM$3:$GM$400,0),16),"")</f>
        <v/>
      </c>
      <c r="GU207" s="259">
        <f ca="1">IF(GQ207&lt;&gt;0,MAX($GU$2:$GU206)+1,0)</f>
        <v>0</v>
      </c>
      <c r="GV207" s="259">
        <f t="shared" ca="1" si="594"/>
        <v>0</v>
      </c>
      <c r="GW207" s="259" t="str">
        <f ca="1">IF(AND(IFERROR(INDEX($GU$3:$GV$400,MATCH(ROWS($GW$3:GW207),$GU$3:$GU$400,0),2),"")&lt;&gt;"",GW208&lt;&gt;""),CONCATENATE(IFERROR(INDEX($GU$3:$GV$400,MATCH(ROWS($GW$3:GW207),$GU$3:$GU$400,0),2),"")," - "),IFERROR(INDEX($GU$3:$GV$400,MATCH(ROWS($GW$3:GW207),$GU$3:$GU$400,0),2),""))</f>
        <v/>
      </c>
      <c r="GX207" s="259">
        <f ca="1">IF(OR(GN207="IVA NS/CREDITO",GN207="IVA NS/DEBITO",GN207="IVA C/ACCONTO",GN207="IMPOSTE C/ACCONTO"),MAX($GX$2:GX206)+1,0)</f>
        <v>0</v>
      </c>
      <c r="GY207" s="259" t="str">
        <f ca="1">IF(AND(IFERROR(INDEX($GN$3:$GX$200,MATCH(ROWS($GY$3:GY207),$GX$3:$GX$200,0),1),"")&lt;&gt;"",GY208&lt;&gt;""),CONCATENATE(IFERROR(INDEX($GN$3:$GX$200,MATCH(ROWS($GY$3:GY207),$GX$3:$GX$200,0),1),"")," - "),IFERROR(INDEX($GN$3:$GX$200,MATCH(ROWS($GY$3:GY207),$GX$3:$GX$200,0),1),""))</f>
        <v/>
      </c>
      <c r="GZ207" s="259" t="s">
        <v>687</v>
      </c>
      <c r="HA207" s="259" t="s">
        <v>199</v>
      </c>
      <c r="HB207" s="269" t="s">
        <v>256</v>
      </c>
      <c r="HC207" s="269" t="s">
        <v>276</v>
      </c>
      <c r="HD207" s="269" t="s">
        <v>7</v>
      </c>
      <c r="HE207" s="269" t="s">
        <v>214</v>
      </c>
      <c r="HV207" s="259" t="str">
        <f ca="1">CONCATENATE(IFERROR(INDEX($HS$3:$HT$102,MATCH(ROWS($HV$3:HV207),$HT$3:$HT$102,0),1),""),HR207)</f>
        <v/>
      </c>
      <c r="IX207" s="259" t="str">
        <f t="shared" si="606"/>
        <v/>
      </c>
      <c r="IY207" s="259" t="str">
        <f t="shared" si="600"/>
        <v/>
      </c>
      <c r="IZ207" s="259" t="str">
        <f t="shared" si="608"/>
        <v/>
      </c>
      <c r="JA207" s="259" t="str">
        <f t="shared" ca="1" si="601"/>
        <v/>
      </c>
      <c r="JB207" s="259">
        <f t="shared" ca="1" si="536"/>
        <v>0</v>
      </c>
      <c r="JC207" s="259">
        <f t="shared" ca="1" si="504"/>
        <v>0</v>
      </c>
      <c r="JD207" s="259">
        <f t="shared" ca="1" si="505"/>
        <v>0</v>
      </c>
      <c r="JM207" s="259">
        <f t="shared" ca="1" si="506"/>
        <v>0</v>
      </c>
    </row>
    <row r="208" spans="1:273">
      <c r="A208" s="259" t="str">
        <f t="shared" si="537"/>
        <v>90.00</v>
      </c>
      <c r="B208" s="259" t="str">
        <f t="shared" si="538"/>
        <v>CONTI DI RISULTATO</v>
      </c>
      <c r="C208" s="259">
        <f t="shared" si="539"/>
        <v>0</v>
      </c>
      <c r="D208" s="259">
        <f t="shared" si="540"/>
        <v>0</v>
      </c>
      <c r="E208" s="259">
        <f t="shared" si="541"/>
        <v>0</v>
      </c>
      <c r="F208" s="259">
        <f t="shared" si="542"/>
        <v>0</v>
      </c>
      <c r="G208" s="259">
        <f t="shared" ca="1" si="543"/>
        <v>0</v>
      </c>
      <c r="H208" s="259">
        <f t="shared" ca="1" si="544"/>
        <v>0</v>
      </c>
      <c r="I208" s="259">
        <f t="shared" ca="1" si="545"/>
        <v>0</v>
      </c>
      <c r="K208" s="259" t="str">
        <f ca="1">IFERROR(IF($I$1=1,INDEX($AA$3:$AS$220,MATCH(ROWS($K$3:K208),$AQ$3:$AQ$220,0),1),IF($I$1=2,INDEX($AA$3:$AS$220,MATCH(ROWS($K$3:K208),$AR$3:$AR$220,0),1),IF($I$1=3,INDEX($AA$3:$AS$220,MATCH(ROWS($K$3:K208),$AS$3:$AS$220,0),1),""))),"")</f>
        <v/>
      </c>
      <c r="L208" s="259">
        <f ca="1">IF(AND($L$1="VISUALIZZA TUTTI I CONTI",K208&lt;&gt;""),MAX(L207:L207)+1,IFERROR(IF($J$1=1,IF(INDEX(PIANO_DEI_CONTI,MATCH($K208,DENOMINAZIONE,0),5)=$L$1,MAX($L$2:L207)+1,0),IF($J$1=2,IF(INDEX(PIANO_DEI_CONTI,MATCH($K208,DENOMINAZIONE,0),7)=$L$1,MAX($L$2:L207)+1,0))),0))</f>
        <v>0</v>
      </c>
      <c r="M208" s="259" t="str">
        <f ca="1">IFERROR(INDEX($K$3:$K$220,MATCH(ROWS($M$3:M208),$L$3:$L$220,0),1),"")</f>
        <v/>
      </c>
      <c r="R208" s="259" t="str">
        <f t="shared" ca="1" si="516"/>
        <v/>
      </c>
      <c r="S208" s="259">
        <f ca="1">IF(IFERROR(MATCH(R208,DENOMINAZIONE_GIORNALE,0),0)&gt;0,MAX(S$2:S207)+1,0)</f>
        <v>0</v>
      </c>
      <c r="T208" s="259" t="str">
        <f ca="1">IFERROR(INDEX($R$3:$S$220,MATCH(ROWS($T$3:T208),$S$3:$S$220,0),1),"")</f>
        <v/>
      </c>
      <c r="U208" s="259">
        <f t="shared" ca="1" si="517"/>
        <v>0</v>
      </c>
      <c r="V208" s="259">
        <f ca="1">IF(IF(U208&lt;&gt;0,MAX($V$2:V207)+1,0)=0,0,IF(U208&lt;&gt;0,MAX($V$2:V207)+1,0))</f>
        <v>0</v>
      </c>
      <c r="W208" s="259" t="str">
        <f t="shared" si="546"/>
        <v/>
      </c>
      <c r="X208" s="259" t="str">
        <f t="shared" si="547"/>
        <v/>
      </c>
      <c r="Y208" s="259">
        <f>IF(W208="",0,MAX($Y$2:Y207)+1)</f>
        <v>0</v>
      </c>
      <c r="Z208" s="259" t="str">
        <f>IFERROR(INDEX($W$3:$Y$220,MATCH(ROWS($Z$2:Z207),$Y$3:$Y$220,0),1),"")</f>
        <v/>
      </c>
      <c r="AA208" s="259" t="str">
        <f t="shared" si="548"/>
        <v/>
      </c>
      <c r="AB208" s="259" t="str">
        <f t="shared" si="549"/>
        <v/>
      </c>
      <c r="AC208" s="259" t="str">
        <f t="shared" si="550"/>
        <v/>
      </c>
      <c r="AD208" s="259" t="str">
        <f t="shared" si="551"/>
        <v/>
      </c>
      <c r="AE208" s="259" t="str">
        <f t="shared" si="552"/>
        <v/>
      </c>
      <c r="AF208" s="259" t="str">
        <f t="shared" si="553"/>
        <v/>
      </c>
      <c r="AG208" s="259" t="str">
        <f t="shared" si="554"/>
        <v/>
      </c>
      <c r="AH208" s="259" t="str">
        <f t="shared" si="555"/>
        <v/>
      </c>
      <c r="AI208" s="259" t="str">
        <f t="shared" si="556"/>
        <v/>
      </c>
      <c r="AJ208" s="259" t="str">
        <f t="shared" si="557"/>
        <v/>
      </c>
      <c r="AK208" s="259" t="str">
        <f t="shared" si="558"/>
        <v>90</v>
      </c>
      <c r="AL208" s="259">
        <f>IF(AK208&lt;&gt;"",MAX($AL$2:AL207)+1,0)</f>
        <v>31</v>
      </c>
      <c r="AM208" s="259" t="str">
        <f>IFERROR(INDEX($AK$3:$AL$220,MATCH(ROWS($AM$3:AM208),$AL$3:$AL$220,0),1),"")</f>
        <v/>
      </c>
      <c r="AN208" s="259" t="str">
        <f t="shared" si="559"/>
        <v/>
      </c>
      <c r="AO208" s="259" t="str">
        <f t="shared" si="560"/>
        <v/>
      </c>
      <c r="AP208" s="259" t="str">
        <f t="shared" si="561"/>
        <v/>
      </c>
      <c r="AQ208" s="259">
        <f>IF(OR(AG208=0,AG208=""),0,MAX(AQ$2:AQ207)+1)</f>
        <v>0</v>
      </c>
      <c r="AR208" s="259">
        <f>IF(OR(AH208=0,AH208=""),0,MAX(AR$2:AR207)+1)</f>
        <v>0</v>
      </c>
      <c r="AS208" s="259">
        <f>IF(OR(AI208=0,AI208=""),0,MAX(AS$2:AS207)+1)</f>
        <v>0</v>
      </c>
      <c r="AT208" s="259" t="str">
        <f ca="1">IFERROR(INDEX($AD$3:$AS$220,MATCH(ROWS(AT$3:AT208),AQ$3:AQ$220,0),1),"")</f>
        <v/>
      </c>
      <c r="AU208" s="259" t="str">
        <f ca="1">IFERROR(INDEX($AD$3:$AS$220,MATCH(ROWS(AU$3:AU208),AR$3:AR$220,0),1),"")</f>
        <v/>
      </c>
      <c r="AV208" s="259" t="str">
        <f ca="1">IFERROR(INDEX($AD$3:$AS$220,MATCH(ROWS(AV$3:AV208),AS$3:AS$220,0),1),"")</f>
        <v/>
      </c>
      <c r="AW208" s="259" t="str">
        <f ca="1">IFERROR(INDEX($AP$3:$AS$220,MATCH(ROWS(AW$3:AW208),AQ$3:AQ$220,0),1),"")</f>
        <v/>
      </c>
      <c r="AX208" s="259" t="str">
        <f ca="1">IFERROR(INDEX($AP$3:$AS$220,MATCH(ROWS(AX$3:AX208),AR$3:AR$220,0),1),"")</f>
        <v/>
      </c>
      <c r="AY208" s="259" t="str">
        <f ca="1">IFERROR(INDEX($AP$3:$AS$220,MATCH(ROWS(AY$3:AY208),AS$3:AS$220,0),1),"")</f>
        <v/>
      </c>
      <c r="AZ208" s="259" t="str">
        <f t="shared" ca="1" si="616"/>
        <v/>
      </c>
      <c r="BA208" s="259">
        <f t="shared" ca="1" si="484"/>
        <v>0</v>
      </c>
      <c r="BB208" s="259">
        <f t="shared" ca="1" si="617"/>
        <v>0</v>
      </c>
      <c r="BC208" s="259">
        <f t="shared" ca="1" si="618"/>
        <v>0</v>
      </c>
      <c r="BD208" s="259">
        <f t="shared" ca="1" si="619"/>
        <v>0</v>
      </c>
      <c r="BE208" s="259">
        <f t="shared" ca="1" si="620"/>
        <v>0</v>
      </c>
      <c r="BG208" s="259" t="str">
        <f t="shared" ca="1" si="518"/>
        <v/>
      </c>
      <c r="BH208" s="259">
        <f ca="1">IF(IFERROR(MATCH(BG208,DENOMINAZIONE_GIORNALE,0),0)&gt;0,MAX(BH$2:BH207)+1,0)</f>
        <v>0</v>
      </c>
      <c r="BI208" s="259" t="str">
        <f ca="1">IFERROR(INDEX($BG$3:$BH$220,MATCH(ROWS($BI$3:BI208),$BH$3:$BH$220,0),1),"")</f>
        <v/>
      </c>
      <c r="BJ208" s="259" t="str">
        <f t="shared" ca="1" si="519"/>
        <v/>
      </c>
      <c r="BK208" s="259" t="str">
        <f ca="1">IF(IF(BJ208&lt;&gt;"",MAX($BK$2:BK207)+1,0)=0,"",IF(BJ208&lt;&gt;"",MAX($BK$2:BK207)+1,0))</f>
        <v/>
      </c>
      <c r="BL208" s="259" t="str">
        <f ca="1">IFERROR(INDEX($T$3:$U$220, MATCH(ROWS(BL$3:BL208),$V$3:$V$220,0),1),"")</f>
        <v/>
      </c>
      <c r="BM208" s="259" t="str">
        <f ca="1">IFERROR(INDEX($T$3:$U$220, MATCH(ROWS(BM$3:BM208),$V$3:$V$220,0),2),"")</f>
        <v/>
      </c>
      <c r="BN208" s="259" t="str">
        <f ca="1">IF(IFERROR(INDEX($BI$3:$BJ$220,MATCH(ROWS(BN$3:BN208),$BK$3:$BK$220,0),1),"")="PATRIMONIO NETTO","",IFERROR(INDEX($BI$3:$BJ$220,MATCH(ROWS(BN$3:BN208),$BK$3:$BK$220,0),1),""))</f>
        <v/>
      </c>
      <c r="BO208" s="259" t="str">
        <f ca="1">IFERROR(INDEX($BI$3:$BJ$220,MATCH(ROWS(BO$3:BO208),$BK$3:$BK$220,0),2),"")</f>
        <v/>
      </c>
      <c r="BP208" s="259">
        <f ca="1">IF(BN208&lt;&gt;"",MAX(BP$2:$BP207)+1,0)</f>
        <v>0</v>
      </c>
      <c r="BQ208" s="259" t="str">
        <f ca="1">IFERROR(INDEX($BN$3:$BO$200,MATCH(ROWS(BQ$3:BQ208),$BP$3:$BP$220,0),1),"")</f>
        <v/>
      </c>
      <c r="BR208" s="259" t="str">
        <f ca="1">IFERROR(INDEX($BN$3:$BO$220,MATCH(ROWS(BR$3:BR208),$BP$3:$BP$220,0),2),"")</f>
        <v/>
      </c>
      <c r="BS208" s="259" t="str">
        <f ca="1">IFERROR(IF(OR(INDEX($T$3:$U$220,MATCH(ROWS(BL$3:BL208),$V$3:$V$220,0),1)="PRELEVAMENTI EXTRAGESTIONE",INDEX($T$3:$U$220,MATCH(ROWS(BL$3:BL208),$V$3:$V$220,0),1)="TITOLARE C/RITENUTE SUBITE"),"",INDEX($T$3:$U$220,MATCH(ROWS(BL$3:BL208),$V$3:$V$220,0),1)),"")</f>
        <v/>
      </c>
      <c r="BT208" s="259">
        <f t="shared" ca="1" si="562"/>
        <v>0</v>
      </c>
      <c r="BU208" s="259">
        <f ca="1">IF(BS208&lt;&gt;"",MAX(BU$2:BU207)+1,0)</f>
        <v>0</v>
      </c>
      <c r="BV208" s="259" t="str">
        <f ca="1">IFERROR(INDEX($BS$3:$BT$223,MATCH(ROWS(BV$3:BV208),$BU$3:$BU$223,0),1),"")</f>
        <v/>
      </c>
      <c r="BW208" s="259">
        <f t="shared" ca="1" si="563"/>
        <v>0</v>
      </c>
      <c r="CB208" s="259" t="str">
        <f ca="1">IFERROR(IF(OR($BB$1&lt;&gt;$BD$1,$BC$1&lt;&gt;$BE$1,$DS$231&lt;&gt;$DT$231,$DU$231&lt;&gt;$DV$231,$EO$25&lt;&gt;0,$EO$26&lt;&gt;0),INDEX($BI$3:$BK$220,MATCH(ROWS($CB$3:CB208),$BK$3:$BK$220,0),1),CONCATENATE(BQ208,BX208)),"")</f>
        <v/>
      </c>
      <c r="CC208" s="259" t="str">
        <f t="shared" ca="1" si="564"/>
        <v/>
      </c>
      <c r="CD208" s="259" t="str">
        <f t="shared" ca="1" si="520"/>
        <v/>
      </c>
      <c r="CE208" s="259">
        <f ca="1">IF(IFERROR(MATCH(CD208,DENOMINAZIONE_GIORNALE,0),0)&gt;0,MAX(CE$2:CE207)+1,0)</f>
        <v>0</v>
      </c>
      <c r="CF208" s="259" t="str">
        <f ca="1">IFERROR(INDEX($CD$3:$CE$220,MATCH(ROWS($CF$3:CF208),$CE$3:$CE$220,0),1),"")</f>
        <v/>
      </c>
      <c r="CG208" s="259">
        <f t="shared" ca="1" si="521"/>
        <v>0</v>
      </c>
      <c r="CH208" s="259" t="str">
        <f ca="1">IF(IF(CG208&lt;&gt;0,MAX($CH$2:CH207)+1,0)=0,"",IF(CG208&lt;&gt;"",MAX($CH$2:CH207)+1,0))</f>
        <v/>
      </c>
      <c r="CI208" s="259" t="str">
        <f ca="1">IFERROR(INDEX($CF$3:$CG$220,MATCH(ROWS($CI$3:CI208),$CH$3:$CH$220,0),1),"")</f>
        <v/>
      </c>
      <c r="CJ208" s="259" t="str">
        <f t="shared" ca="1" si="565"/>
        <v/>
      </c>
      <c r="CK208" s="259" t="str">
        <f t="shared" ca="1" si="522"/>
        <v/>
      </c>
      <c r="CL208" s="259">
        <f ca="1">IF(IFERROR(MATCH(CK208,DENOMINAZIONE_GIORNALE,0),0)&gt;0,MAX(CL$2:CL207)+1,0)</f>
        <v>0</v>
      </c>
      <c r="CM208" s="259" t="str">
        <f ca="1">IFERROR(INDEX($CK$3:$CL$220,MATCH(ROWS($CM$3:CM208),$CL$3:$CL$220,0),1),"")</f>
        <v/>
      </c>
      <c r="CN208" s="259" t="str">
        <f t="shared" ca="1" si="523"/>
        <v/>
      </c>
      <c r="CO208" s="259">
        <f ca="1">IF(IF(CN208&lt;&gt;0,MAX($CO$2:CO207)+1,0)=0,"",IF(CN208&lt;&gt;"",MAX($CO$2:CO207)+1,0))</f>
        <v>0</v>
      </c>
      <c r="CP208" s="259" t="str">
        <f ca="1">IFERROR(INDEX($CM$3:$CN$220,MATCH(ROWS(CP$3:CP208),$CO$3:$CO$220,0),1),"")</f>
        <v/>
      </c>
      <c r="CQ208" s="259" t="str">
        <f ca="1">IFERROR(INDEX($CM$3:$CN$220,MATCH(ROWS(CQ$3:CQ208),$CO$3:$CO$220,0),2),"")</f>
        <v/>
      </c>
      <c r="CS208" s="259">
        <f t="shared" ca="1" si="524"/>
        <v>0</v>
      </c>
      <c r="CT208" s="259">
        <f t="shared" ca="1" si="525"/>
        <v>0</v>
      </c>
      <c r="CU208" s="259">
        <f ca="1">IF(OR(CS208&gt;0,CT208&gt;0),MAX($CU$2:CU207)+1,0)</f>
        <v>0</v>
      </c>
      <c r="CV208" s="259" t="str">
        <f ca="1">IFERROR(INDEX(PIANO_DEI_CONTI,MATCH(ROWS($CV$3:CV208),$CU$3:$CU$200,0),2),"")</f>
        <v/>
      </c>
      <c r="CW208" s="259">
        <f ca="1">IFERROR(IF(CV208&lt;&gt;"",MAX($CW$2:CW207)+1,0),0)</f>
        <v>0</v>
      </c>
      <c r="CX208" s="259">
        <f t="shared" ca="1" si="609"/>
        <v>12</v>
      </c>
      <c r="CY208" s="259" t="str">
        <f t="shared" ca="1" si="607"/>
        <v>MASTRO</v>
      </c>
      <c r="CZ208" s="259" t="e">
        <f t="shared" ca="1" si="611"/>
        <v>#N/A</v>
      </c>
      <c r="DA208" s="259" t="str">
        <f t="shared" ca="1" si="621"/>
        <v/>
      </c>
      <c r="DB208" s="259" t="str">
        <f t="shared" ca="1" si="612"/>
        <v/>
      </c>
      <c r="DC208" s="259" t="str">
        <f t="shared" ca="1" si="613"/>
        <v/>
      </c>
      <c r="DD208" s="259" t="str">
        <f t="shared" ca="1" si="614"/>
        <v/>
      </c>
      <c r="DE208" s="259" t="str">
        <f t="shared" ca="1" si="615"/>
        <v/>
      </c>
      <c r="DF208" s="259">
        <f ca="1">IF(AND(CX208=$DE$2,$DF$2&lt;&gt;0),0,IF(AND(DB208&lt;&gt;"",OR(DB207&lt;&gt;"",DB209&lt;&gt;"")),MAX($DF$2:DF207)+1,0))</f>
        <v>0</v>
      </c>
      <c r="DG208" s="259" t="str">
        <f>IF(IF(LIBRO_GIORNALE!E116="","",IFERROR(INDEX(PIANO_DEI_CONTI,MATCH(BB208,DENOMINAZIONE,0),1),0))=0,"",IF(LIBRO_GIORNALE!E116="","",IFERROR(INDEX(PIANO_DEI_CONTI,MATCH(BB208,DENOMINAZIONE,0),1),0)))</f>
        <v/>
      </c>
      <c r="DH208" s="259">
        <f ca="1">IFERROR(IF($J$1=1,IF(INDEX(PIANO_DEI_CONTI,MATCH($K208,DENOMINAZIONE,0),5)=$DF$1,MAX($DH$2:DH207)+1,0),IF($J$1=2,IF(INDEX(PIANO_DEI_CONTI,MATCH($K208,DENOMINAZIONE,0),7)=$DF$1,MAX($DH$2:DH207)+1,0))),0)</f>
        <v>0</v>
      </c>
      <c r="DI208" s="259">
        <f ca="1">IFERROR(INDEX($K$3:$K$220,MATCH(ROWS($DI$3:DI208),$DH$3:$DH$220,0),1),0)</f>
        <v>0</v>
      </c>
      <c r="DJ208" s="259">
        <f t="shared" ca="1" si="526"/>
        <v>0</v>
      </c>
      <c r="DK208" s="259">
        <f ca="1">IF(DJ208=0,0,MAX(DK$2:DK207)+1)</f>
        <v>0</v>
      </c>
      <c r="DL208" s="259">
        <f ca="1">IFERROR(INDEX(PIANO_DEI_CONTI,MATCH(ROWS(DL$3:DL208),$DK$3:DK435,0),2),0)</f>
        <v>0</v>
      </c>
      <c r="DM208" s="259">
        <f t="shared" ca="1" si="527"/>
        <v>0</v>
      </c>
      <c r="DN208" s="259">
        <f t="shared" ca="1" si="528"/>
        <v>0</v>
      </c>
      <c r="DO208" s="259">
        <f t="shared" ca="1" si="566"/>
        <v>0</v>
      </c>
      <c r="DP208" s="259">
        <f t="shared" ca="1" si="567"/>
        <v>0</v>
      </c>
      <c r="DQ208" s="259">
        <f ca="1">IF(OR($DQ$1="TOTALI",$DQ$1="TOTALI ED ECCEDENZE"),IF(OR(DM208&gt;0,DN208&gt;0),MAX(DQ$2:DQ207)+1,0),IF($DQ$1="ECCEDENZE",IF(OR(DO208&gt;0,DP208&gt;0),MAX(DQ$2:DQ207)+1,0),""))</f>
        <v>0</v>
      </c>
      <c r="DR208" s="259" t="str">
        <f ca="1">IFERROR(INDEX($DL$3:$DQ$230,MATCH(ROWS(DR$3:DR208),$DQ$3:$DQ$230,0),1),"")</f>
        <v/>
      </c>
      <c r="DS208" s="259" t="str">
        <f t="shared" ca="1" si="568"/>
        <v/>
      </c>
      <c r="DT208" s="259" t="str">
        <f t="shared" ca="1" si="569"/>
        <v/>
      </c>
      <c r="DU208" s="259" t="str">
        <f t="shared" ca="1" si="570"/>
        <v/>
      </c>
      <c r="DV208" s="259" t="str">
        <f t="shared" ca="1" si="571"/>
        <v/>
      </c>
      <c r="DW208" s="259">
        <f t="shared" ca="1" si="572"/>
        <v>0</v>
      </c>
      <c r="DX208" s="259" t="str">
        <f t="shared" ca="1" si="573"/>
        <v/>
      </c>
      <c r="DY208" s="259" t="str">
        <f t="shared" ca="1" si="574"/>
        <v/>
      </c>
      <c r="DZ208" s="259" t="str">
        <f t="shared" ca="1" si="575"/>
        <v/>
      </c>
      <c r="ED208" s="259">
        <f t="shared" ca="1" si="529"/>
        <v>0</v>
      </c>
      <c r="EH208" s="259" t="str">
        <f t="shared" ca="1" si="576"/>
        <v/>
      </c>
      <c r="EI208" s="260" t="b">
        <f t="shared" ca="1" si="602"/>
        <v>0</v>
      </c>
      <c r="EJ208" s="260" t="b">
        <f t="shared" ca="1" si="603"/>
        <v>0</v>
      </c>
      <c r="EK208" s="260" t="b">
        <f t="shared" ca="1" si="604"/>
        <v>0</v>
      </c>
      <c r="EL208" s="259">
        <f t="shared" si="577"/>
        <v>206</v>
      </c>
      <c r="EM208" s="259">
        <f ca="1">IF(AND(BA208&gt;0,BA208&lt;=$EM$1),MAX($EM$2:EM207)+1,0)</f>
        <v>0</v>
      </c>
      <c r="EN208" s="259">
        <f t="shared" ca="1" si="578"/>
        <v>208</v>
      </c>
      <c r="EP208" s="259" t="str">
        <f t="shared" ca="1" si="530"/>
        <v/>
      </c>
      <c r="EQ208" s="259">
        <f t="shared" ca="1" si="531"/>
        <v>0</v>
      </c>
      <c r="ER208" s="259">
        <f ca="1">IF(ISNA(EQ208),MAX(ER$2:ER207)+1,0)</f>
        <v>0</v>
      </c>
      <c r="ES208" s="259" t="str">
        <f t="shared" ca="1" si="579"/>
        <v/>
      </c>
      <c r="ET208" s="259" t="str">
        <f ca="1">IFERROR(UPPER(INDEX($ER$3:$ES$500,MATCH(ROWS(ET$3:ET208),$ER$3:$ER$500,0),2)),"")</f>
        <v/>
      </c>
      <c r="EW208" s="259">
        <f t="shared" ca="1" si="497"/>
        <v>1</v>
      </c>
      <c r="EX208" s="259">
        <v>106</v>
      </c>
      <c r="EY208" s="259">
        <f t="shared" ca="1" si="498"/>
        <v>0</v>
      </c>
      <c r="EZ208" s="259">
        <f t="shared" ca="1" si="499"/>
        <v>0</v>
      </c>
      <c r="FA208" s="259">
        <f t="shared" ca="1" si="500"/>
        <v>0</v>
      </c>
      <c r="FB208" s="259">
        <f t="shared" ca="1" si="501"/>
        <v>0</v>
      </c>
      <c r="FC208" s="259">
        <f t="shared" ca="1" si="502"/>
        <v>0</v>
      </c>
      <c r="FD208" s="259">
        <f t="shared" ca="1" si="532"/>
        <v>0</v>
      </c>
      <c r="FE208" s="259" t="str">
        <f t="shared" ca="1" si="533"/>
        <v/>
      </c>
      <c r="FF208" s="259" t="str">
        <f t="shared" ca="1" si="503"/>
        <v/>
      </c>
      <c r="FM208" s="259">
        <f t="shared" si="534"/>
        <v>0</v>
      </c>
      <c r="FN208" s="259">
        <f>IF(FM208&lt;0,MAX($FN$2:FN207)+1,0)</f>
        <v>0</v>
      </c>
      <c r="FO208" s="259" t="str">
        <f t="shared" si="580"/>
        <v/>
      </c>
      <c r="FP208" s="259" t="str">
        <f ca="1">IFERROR(INDEX($FN$3:$FO$400,MATCH(ROWS($FP$3:FP208),$FN$3:$FN$400,0),2),"")</f>
        <v/>
      </c>
      <c r="FQ208" s="259" t="str">
        <f>IF(AE208="SE AVERE",MAX($FQ$2:FQ207)+1,"")</f>
        <v/>
      </c>
      <c r="FR208" s="259" t="str">
        <f>IF(AE208="SE DARE",MAX($FR$2:FR207)+1,"")</f>
        <v/>
      </c>
      <c r="FS208" s="259" t="str">
        <f ca="1">IF(AND(AE208="SP DARE",AA208&lt;&gt;$FS$1,AA208&lt;&gt;$FT$1),MAX($FS$2:FS207)+1,IF(AND(GQ208="SP DARE",AA208&lt;&gt;$FS$1,AA208&lt;&gt;$FT$1),MAX($FS$2:FS207)+1,""))</f>
        <v/>
      </c>
      <c r="FT208" s="259" t="str">
        <f ca="1">IF(AND(AE208="SP AVERE",AA208&lt;&gt;$FU$1),MAX($FT$2:FT207)+1,IF(AND(GQ208="SP AVERE",AA208&lt;&gt;$FU$1),MAX($FT$2:FT207)+1,""))</f>
        <v/>
      </c>
      <c r="FU208" s="259">
        <f t="shared" ca="1" si="581"/>
        <v>0</v>
      </c>
      <c r="FV208" s="259" t="str">
        <f t="shared" si="582"/>
        <v/>
      </c>
      <c r="FW208" s="259">
        <f ca="1">IFERROR(INDEX($FU$3:$FV$500,MATCH(ROWS($FW$3:FW208),$FU$3:$FU$500,0),2),0)</f>
        <v>0</v>
      </c>
      <c r="FX208" s="259">
        <f t="shared" ca="1" si="583"/>
        <v>0</v>
      </c>
      <c r="FY208" s="259">
        <f t="shared" ca="1" si="584"/>
        <v>0</v>
      </c>
      <c r="FZ208" s="259">
        <f ca="1">IF(FY208&gt;0,MAX($FZ$2:FZ207)+1,0)</f>
        <v>0</v>
      </c>
      <c r="GA208" s="259">
        <f ca="1">IFERROR(INDEX($FY$3:$FZ$500,MATCH(ROWS($GA$3:GA208),$FZ$3:$FZ$500,0),1),0)</f>
        <v>0</v>
      </c>
      <c r="GC208" s="259">
        <f t="shared" ca="1" si="585"/>
        <v>0</v>
      </c>
      <c r="GD208" s="259">
        <f t="shared" ca="1" si="586"/>
        <v>0</v>
      </c>
      <c r="GG208" s="259">
        <f t="shared" ca="1" si="587"/>
        <v>0</v>
      </c>
      <c r="GH208" s="259">
        <f t="shared" ca="1" si="588"/>
        <v>0</v>
      </c>
      <c r="GI208" s="259">
        <f t="shared" ca="1" si="589"/>
        <v>0</v>
      </c>
      <c r="GJ208" s="259">
        <f t="shared" ca="1" si="590"/>
        <v>0</v>
      </c>
      <c r="GK208" s="259">
        <f t="shared" ca="1" si="591"/>
        <v>0</v>
      </c>
      <c r="GL208" s="259">
        <f t="shared" ca="1" si="591"/>
        <v>0</v>
      </c>
      <c r="GM208" s="259">
        <f ca="1">IF(OR(GK208&gt;0,GL208&gt;0),MAX($GM$2:GM207)+1,0)</f>
        <v>0</v>
      </c>
      <c r="GN208" s="259" t="str">
        <f ca="1">IFERROR(INDEX($GD$3:$GM$400,MATCH(ROWS($GN$3:GN208),$GM$3:$GM$400,0),1),"")</f>
        <v/>
      </c>
      <c r="GO208" s="259" t="str">
        <f ca="1">IFERROR(INDEX($GD$3:$GM$400,MATCH(ROWS($GO$3:GO208),$GM$3:$GM$400,0),8),"")</f>
        <v/>
      </c>
      <c r="GP208" s="259" t="str">
        <f ca="1">IFERROR(INDEX($GD$3:$GM$400,MATCH(ROWS($GP$3:GP208),$GM$3:$GM$400,0),9),"")</f>
        <v/>
      </c>
      <c r="GQ208" s="259">
        <f t="shared" ca="1" si="535"/>
        <v>0</v>
      </c>
      <c r="GR208" s="259">
        <f t="shared" ca="1" si="592"/>
        <v>0</v>
      </c>
      <c r="GS208" s="259" t="str">
        <f t="shared" ca="1" si="593"/>
        <v/>
      </c>
      <c r="GT208" s="259" t="str">
        <f ca="1">IFERROR(INDEX($GD$3:$GS$400,MATCH(ROWS($GT$3:GT208),$GM$3:$GM$400,0),16),"")</f>
        <v/>
      </c>
      <c r="GU208" s="259">
        <f ca="1">IF(GQ208&lt;&gt;0,MAX($GU$2:$GU207)+1,0)</f>
        <v>0</v>
      </c>
      <c r="GV208" s="259">
        <f t="shared" ca="1" si="594"/>
        <v>0</v>
      </c>
      <c r="GW208" s="259" t="str">
        <f ca="1">IF(AND(IFERROR(INDEX($GU$3:$GV$400,MATCH(ROWS($GW$3:GW208),$GU$3:$GU$400,0),2),"")&lt;&gt;"",GW209&lt;&gt;""),CONCATENATE(IFERROR(INDEX($GU$3:$GV$400,MATCH(ROWS($GW$3:GW208),$GU$3:$GU$400,0),2),"")," - "),IFERROR(INDEX($GU$3:$GV$400,MATCH(ROWS($GW$3:GW208),$GU$3:$GU$400,0),2),""))</f>
        <v/>
      </c>
      <c r="GX208" s="259">
        <f ca="1">IF(OR(GN208="IVA NS/CREDITO",GN208="IVA NS/DEBITO",GN208="IVA C/ACCONTO",GN208="IMPOSTE C/ACCONTO"),MAX($GX$2:GX207)+1,0)</f>
        <v>0</v>
      </c>
      <c r="GY208" s="259" t="str">
        <f ca="1">IF(AND(IFERROR(INDEX($GN$3:$GX$200,MATCH(ROWS($GY$3:GY208),$GX$3:$GX$200,0),1),"")&lt;&gt;"",GY209&lt;&gt;""),CONCATENATE(IFERROR(INDEX($GN$3:$GX$200,MATCH(ROWS($GY$3:GY208),$GX$3:$GX$200,0),1),"")," - "),IFERROR(INDEX($GN$3:$GX$200,MATCH(ROWS($GY$3:GY208),$GX$3:$GX$200,0),1),""))</f>
        <v/>
      </c>
      <c r="GZ208" s="259" t="s">
        <v>203</v>
      </c>
      <c r="HA208" s="270" t="s">
        <v>606</v>
      </c>
      <c r="HV208" s="259" t="str">
        <f ca="1">CONCATENATE(IFERROR(INDEX($HS$3:$HT$102,MATCH(ROWS($HV$3:HV208),$HT$3:$HT$102,0),1),""),HR208)</f>
        <v/>
      </c>
      <c r="IX208" s="259" t="str">
        <f t="shared" si="606"/>
        <v/>
      </c>
      <c r="IY208" s="259" t="str">
        <f t="shared" si="600"/>
        <v/>
      </c>
      <c r="IZ208" s="259" t="str">
        <f t="shared" si="608"/>
        <v/>
      </c>
      <c r="JA208" s="259" t="str">
        <f t="shared" ca="1" si="601"/>
        <v/>
      </c>
      <c r="JB208" s="259">
        <f t="shared" ca="1" si="536"/>
        <v>0</v>
      </c>
      <c r="JC208" s="259">
        <f t="shared" ca="1" si="504"/>
        <v>0</v>
      </c>
      <c r="JD208" s="259">
        <f t="shared" ca="1" si="505"/>
        <v>0</v>
      </c>
      <c r="JM208" s="259">
        <f t="shared" ca="1" si="506"/>
        <v>0</v>
      </c>
    </row>
    <row r="209" spans="1:273">
      <c r="A209" s="259" t="str">
        <f t="shared" si="537"/>
        <v>90.01</v>
      </c>
      <c r="B209" s="259" t="str">
        <f t="shared" si="538"/>
        <v>CONTO DI RISULTATO ECONOMICO</v>
      </c>
      <c r="C209" s="259" t="str">
        <f t="shared" si="539"/>
        <v>E</v>
      </c>
      <c r="D209" s="259" t="str">
        <f t="shared" si="540"/>
        <v>D/A</v>
      </c>
      <c r="E209" s="259" t="str">
        <f t="shared" si="541"/>
        <v>CONTO DI RISULTATO ECONOMICO</v>
      </c>
      <c r="F209" s="259">
        <f t="shared" si="542"/>
        <v>0</v>
      </c>
      <c r="G209" s="259">
        <f t="shared" ca="1" si="543"/>
        <v>0</v>
      </c>
      <c r="H209" s="259">
        <f t="shared" ca="1" si="544"/>
        <v>0</v>
      </c>
      <c r="I209" s="259">
        <f t="shared" ca="1" si="545"/>
        <v>0</v>
      </c>
      <c r="K209" s="259" t="str">
        <f ca="1">IFERROR(IF($I$1=1,INDEX($AA$3:$AS$220,MATCH(ROWS($K$3:K209),$AQ$3:$AQ$220,0),1),IF($I$1=2,INDEX($AA$3:$AS$220,MATCH(ROWS($K$3:K209),$AR$3:$AR$220,0),1),IF($I$1=3,INDEX($AA$3:$AS$220,MATCH(ROWS($K$3:K209),$AS$3:$AS$220,0),1),""))),"")</f>
        <v/>
      </c>
      <c r="L209" s="259">
        <f ca="1">IF(AND($L$1="VISUALIZZA TUTTI I CONTI",K209&lt;&gt;""),MAX(L208:L208)+1,IFERROR(IF($J$1=1,IF(INDEX(PIANO_DEI_CONTI,MATCH($K209,DENOMINAZIONE,0),5)=$L$1,MAX($L$2:L208)+1,0),IF($J$1=2,IF(INDEX(PIANO_DEI_CONTI,MATCH($K209,DENOMINAZIONE,0),7)=$L$1,MAX($L$2:L208)+1,0))),0))</f>
        <v>0</v>
      </c>
      <c r="M209" s="259" t="str">
        <f ca="1">IFERROR(INDEX($K$3:$K$220,MATCH(ROWS($M$3:M209),$L$3:$L$220,0),1),"")</f>
        <v/>
      </c>
      <c r="R209" s="259" t="str">
        <f t="shared" ca="1" si="516"/>
        <v/>
      </c>
      <c r="S209" s="259">
        <f ca="1">IF(IFERROR(MATCH(R209,DENOMINAZIONE_GIORNALE,0),0)&gt;0,MAX(S$2:S208)+1,0)</f>
        <v>0</v>
      </c>
      <c r="T209" s="259" t="str">
        <f ca="1">IFERROR(INDEX($R$3:$S$220,MATCH(ROWS($T$3:T209),$S$3:$S$220,0),1),"")</f>
        <v/>
      </c>
      <c r="U209" s="259">
        <f t="shared" ca="1" si="517"/>
        <v>0</v>
      </c>
      <c r="V209" s="259">
        <f ca="1">IF(IF(U209&lt;&gt;0,MAX($V$2:V208)+1,0)=0,0,IF(U209&lt;&gt;0,MAX($V$2:V208)+1,0))</f>
        <v>0</v>
      </c>
      <c r="W209" s="259" t="str">
        <f t="shared" si="546"/>
        <v>90.01</v>
      </c>
      <c r="X209" s="259" t="str">
        <f t="shared" si="547"/>
        <v>CONTO DI RISULTATO ECONOMICO</v>
      </c>
      <c r="Y209" s="259">
        <f>IF(W209="",0,MAX($Y$2:Y208)+1)</f>
        <v>176</v>
      </c>
      <c r="Z209" s="259" t="str">
        <f>IFERROR(INDEX($W$3:$Y$220,MATCH(ROWS($Z$2:Z208),$Y$3:$Y$220,0),1),"")</f>
        <v/>
      </c>
      <c r="AA209" s="259" t="str">
        <f t="shared" si="548"/>
        <v/>
      </c>
      <c r="AB209" s="259" t="str">
        <f t="shared" si="549"/>
        <v/>
      </c>
      <c r="AC209" s="259" t="str">
        <f t="shared" si="550"/>
        <v/>
      </c>
      <c r="AD209" s="259" t="str">
        <f t="shared" si="551"/>
        <v/>
      </c>
      <c r="AE209" s="259" t="str">
        <f t="shared" si="552"/>
        <v/>
      </c>
      <c r="AF209" s="259" t="str">
        <f t="shared" si="553"/>
        <v/>
      </c>
      <c r="AG209" s="259" t="str">
        <f t="shared" si="554"/>
        <v/>
      </c>
      <c r="AH209" s="259" t="str">
        <f t="shared" si="555"/>
        <v/>
      </c>
      <c r="AI209" s="259" t="str">
        <f t="shared" si="556"/>
        <v/>
      </c>
      <c r="AJ209" s="259" t="str">
        <f t="shared" si="557"/>
        <v/>
      </c>
      <c r="AK209" s="259" t="str">
        <f t="shared" si="558"/>
        <v/>
      </c>
      <c r="AL209" s="259">
        <f>IF(AK209&lt;&gt;"",MAX($AL$2:AL208)+1,0)</f>
        <v>0</v>
      </c>
      <c r="AM209" s="259" t="str">
        <f>IFERROR(INDEX($AK$3:$AL$220,MATCH(ROWS($AM$3:AM209),$AL$3:$AL$220,0),1),"")</f>
        <v/>
      </c>
      <c r="AN209" s="259" t="str">
        <f t="shared" si="559"/>
        <v/>
      </c>
      <c r="AO209" s="259" t="str">
        <f t="shared" si="560"/>
        <v/>
      </c>
      <c r="AP209" s="259" t="str">
        <f t="shared" si="561"/>
        <v/>
      </c>
      <c r="AQ209" s="259">
        <f>IF(OR(AG209=0,AG209=""),0,MAX(AQ$2:AQ208)+1)</f>
        <v>0</v>
      </c>
      <c r="AR209" s="259">
        <f>IF(OR(AH209=0,AH209=""),0,MAX(AR$2:AR208)+1)</f>
        <v>0</v>
      </c>
      <c r="AS209" s="259">
        <f>IF(OR(AI209=0,AI209=""),0,MAX(AS$2:AS208)+1)</f>
        <v>0</v>
      </c>
      <c r="AT209" s="259" t="str">
        <f ca="1">IFERROR(INDEX($AD$3:$AS$220,MATCH(ROWS(AT$3:AT209),AQ$3:AQ$220,0),1),"")</f>
        <v/>
      </c>
      <c r="AU209" s="259" t="str">
        <f ca="1">IFERROR(INDEX($AD$3:$AS$220,MATCH(ROWS(AU$3:AU209),AR$3:AR$220,0),1),"")</f>
        <v/>
      </c>
      <c r="AV209" s="259" t="str">
        <f ca="1">IFERROR(INDEX($AD$3:$AS$220,MATCH(ROWS(AV$3:AV209),AS$3:AS$220,0),1),"")</f>
        <v/>
      </c>
      <c r="AW209" s="259" t="str">
        <f ca="1">IFERROR(INDEX($AP$3:$AS$220,MATCH(ROWS(AW$3:AW209),AQ$3:AQ$220,0),1),"")</f>
        <v/>
      </c>
      <c r="AX209" s="259" t="str">
        <f ca="1">IFERROR(INDEX($AP$3:$AS$220,MATCH(ROWS(AX$3:AX209),AR$3:AR$220,0),1),"")</f>
        <v/>
      </c>
      <c r="AY209" s="259" t="str">
        <f ca="1">IFERROR(INDEX($AP$3:$AS$220,MATCH(ROWS(AY$3:AY209),AS$3:AS$220,0),1),"")</f>
        <v/>
      </c>
      <c r="AZ209" s="259" t="str">
        <f t="shared" ca="1" si="616"/>
        <v/>
      </c>
      <c r="BA209" s="259">
        <f t="shared" ca="1" si="484"/>
        <v>0</v>
      </c>
      <c r="BB209" s="259">
        <f t="shared" ca="1" si="617"/>
        <v>0</v>
      </c>
      <c r="BC209" s="259">
        <f t="shared" ca="1" si="618"/>
        <v>0</v>
      </c>
      <c r="BD209" s="259">
        <f t="shared" ca="1" si="619"/>
        <v>0</v>
      </c>
      <c r="BE209" s="259">
        <f t="shared" ca="1" si="620"/>
        <v>0</v>
      </c>
      <c r="BG209" s="259" t="str">
        <f t="shared" ca="1" si="518"/>
        <v/>
      </c>
      <c r="BH209" s="259">
        <f ca="1">IF(IFERROR(MATCH(BG209,DENOMINAZIONE_GIORNALE,0),0)&gt;0,MAX(BH$2:BH208)+1,0)</f>
        <v>0</v>
      </c>
      <c r="BI209" s="259" t="str">
        <f ca="1">IFERROR(INDEX($BG$3:$BH$220,MATCH(ROWS($BI$3:BI209),$BH$3:$BH$220,0),1),"")</f>
        <v/>
      </c>
      <c r="BJ209" s="259" t="str">
        <f t="shared" ca="1" si="519"/>
        <v/>
      </c>
      <c r="BK209" s="259" t="str">
        <f ca="1">IF(IF(BJ209&lt;&gt;"",MAX($BK$2:BK208)+1,0)=0,"",IF(BJ209&lt;&gt;"",MAX($BK$2:BK208)+1,0))</f>
        <v/>
      </c>
      <c r="BL209" s="259" t="str">
        <f ca="1">IFERROR(INDEX($T$3:$U$220, MATCH(ROWS(BL$3:BL209),$V$3:$V$220,0),1),"")</f>
        <v/>
      </c>
      <c r="BM209" s="259" t="str">
        <f ca="1">IFERROR(INDEX($T$3:$U$220, MATCH(ROWS(BM$3:BM209),$V$3:$V$220,0),2),"")</f>
        <v/>
      </c>
      <c r="BN209" s="259" t="str">
        <f ca="1">IF(IFERROR(INDEX($BI$3:$BJ$220,MATCH(ROWS(BN$3:BN209),$BK$3:$BK$220,0),1),"")="PATRIMONIO NETTO","",IFERROR(INDEX($BI$3:$BJ$220,MATCH(ROWS(BN$3:BN209),$BK$3:$BK$220,0),1),""))</f>
        <v/>
      </c>
      <c r="BO209" s="259" t="str">
        <f ca="1">IFERROR(INDEX($BI$3:$BJ$220,MATCH(ROWS(BO$3:BO209),$BK$3:$BK$220,0),2),"")</f>
        <v/>
      </c>
      <c r="BP209" s="259">
        <f ca="1">IF(BN209&lt;&gt;"",MAX(BP$2:$BP208)+1,0)</f>
        <v>0</v>
      </c>
      <c r="BQ209" s="259" t="str">
        <f ca="1">IFERROR(INDEX($BN$3:$BO$200,MATCH(ROWS(BQ$3:BQ209),$BP$3:$BP$220,0),1),"")</f>
        <v/>
      </c>
      <c r="BR209" s="259" t="str">
        <f ca="1">IFERROR(INDEX($BN$3:$BO$220,MATCH(ROWS(BR$3:BR209),$BP$3:$BP$220,0),2),"")</f>
        <v/>
      </c>
      <c r="BS209" s="259" t="str">
        <f ca="1">IFERROR(IF(OR(INDEX($T$3:$U$220,MATCH(ROWS(BL$3:BL209),$V$3:$V$220,0),1)="PRELEVAMENTI EXTRAGESTIONE",INDEX($T$3:$U$220,MATCH(ROWS(BL$3:BL209),$V$3:$V$220,0),1)="TITOLARE C/RITENUTE SUBITE"),"",INDEX($T$3:$U$220,MATCH(ROWS(BL$3:BL209),$V$3:$V$220,0),1)),"")</f>
        <v/>
      </c>
      <c r="BT209" s="259">
        <f t="shared" ca="1" si="562"/>
        <v>0</v>
      </c>
      <c r="BU209" s="259">
        <f ca="1">IF(BS209&lt;&gt;"",MAX(BU$2:BU208)+1,0)</f>
        <v>0</v>
      </c>
      <c r="BV209" s="259" t="str">
        <f ca="1">IFERROR(INDEX($BS$3:$BT$223,MATCH(ROWS(BV$3:BV209),$BU$3:$BU$223,0),1),"")</f>
        <v/>
      </c>
      <c r="BW209" s="259">
        <f t="shared" ca="1" si="563"/>
        <v>0</v>
      </c>
      <c r="CB209" s="259" t="str">
        <f ca="1">IFERROR(IF(OR($BB$1&lt;&gt;$BD$1,$BC$1&lt;&gt;$BE$1,$DS$231&lt;&gt;$DT$231,$DU$231&lt;&gt;$DV$231,$EO$25&lt;&gt;0,$EO$26&lt;&gt;0),INDEX($BI$3:$BK$220,MATCH(ROWS($CB$3:CB209),$BK$3:$BK$220,0),1),CONCATENATE(BQ209,BX209)),"")</f>
        <v/>
      </c>
      <c r="CC209" s="259" t="str">
        <f t="shared" ca="1" si="564"/>
        <v/>
      </c>
      <c r="CD209" s="259" t="str">
        <f t="shared" ca="1" si="520"/>
        <v/>
      </c>
      <c r="CE209" s="259">
        <f ca="1">IF(IFERROR(MATCH(CD209,DENOMINAZIONE_GIORNALE,0),0)&gt;0,MAX(CE$2:CE208)+1,0)</f>
        <v>0</v>
      </c>
      <c r="CF209" s="259" t="str">
        <f ca="1">IFERROR(INDEX($CD$3:$CE$220,MATCH(ROWS($CF$3:CF209),$CE$3:$CE$220,0),1),"")</f>
        <v/>
      </c>
      <c r="CG209" s="259">
        <f t="shared" ca="1" si="521"/>
        <v>0</v>
      </c>
      <c r="CH209" s="259" t="str">
        <f ca="1">IF(IF(CG209&lt;&gt;0,MAX($CH$2:CH208)+1,0)=0,"",IF(CG209&lt;&gt;"",MAX($CH$2:CH208)+1,0))</f>
        <v/>
      </c>
      <c r="CI209" s="259" t="str">
        <f ca="1">IFERROR(INDEX($CF$3:$CG$220,MATCH(ROWS($CI$3:CI209),$CH$3:$CH$220,0),1),"")</f>
        <v/>
      </c>
      <c r="CJ209" s="259" t="str">
        <f t="shared" ca="1" si="565"/>
        <v/>
      </c>
      <c r="CK209" s="259" t="str">
        <f t="shared" ca="1" si="522"/>
        <v/>
      </c>
      <c r="CL209" s="259">
        <f ca="1">IF(IFERROR(MATCH(CK209,DENOMINAZIONE_GIORNALE,0),0)&gt;0,MAX(CL$2:CL208)+1,0)</f>
        <v>0</v>
      </c>
      <c r="CM209" s="259" t="str">
        <f ca="1">IFERROR(INDEX($CK$3:$CL$220,MATCH(ROWS($CM$3:CM209),$CL$3:$CL$220,0),1),"")</f>
        <v/>
      </c>
      <c r="CN209" s="259" t="str">
        <f t="shared" ca="1" si="523"/>
        <v/>
      </c>
      <c r="CO209" s="259">
        <f ca="1">IF(IF(CN209&lt;&gt;0,MAX($CO$2:CO208)+1,0)=0,"",IF(CN209&lt;&gt;"",MAX($CO$2:CO208)+1,0))</f>
        <v>0</v>
      </c>
      <c r="CP209" s="259" t="str">
        <f ca="1">IFERROR(INDEX($CM$3:$CN$220,MATCH(ROWS(CP$3:CP209),$CO$3:$CO$220,0),1),"")</f>
        <v/>
      </c>
      <c r="CQ209" s="259" t="str">
        <f ca="1">IFERROR(INDEX($CM$3:$CN$220,MATCH(ROWS(CQ$3:CQ209),$CO$3:$CO$220,0),2),"")</f>
        <v/>
      </c>
      <c r="CS209" s="259">
        <f t="shared" ca="1" si="524"/>
        <v>0</v>
      </c>
      <c r="CT209" s="259">
        <f t="shared" ca="1" si="525"/>
        <v>0</v>
      </c>
      <c r="CU209" s="259">
        <f ca="1">IF(OR(CS209&gt;0,CT209&gt;0),MAX($CU$2:CU208)+1,0)</f>
        <v>0</v>
      </c>
      <c r="CV209" s="259" t="str">
        <f ca="1">IFERROR(INDEX(PIANO_DEI_CONTI,MATCH(ROWS($CV$3:CV209),$CU$3:$CU$200,0),2),"")</f>
        <v/>
      </c>
      <c r="CW209" s="259">
        <f ca="1">IFERROR(IF(CV209&lt;&gt;"",MAX($CW$2:CW208)+1,0),0)</f>
        <v>0</v>
      </c>
      <c r="CX209" s="259">
        <f t="shared" ca="1" si="609"/>
        <v>12</v>
      </c>
      <c r="CY209" s="259" t="str">
        <f t="shared" ca="1" si="607"/>
        <v>MASTRO</v>
      </c>
      <c r="CZ209" s="259" t="e">
        <f t="shared" ca="1" si="611"/>
        <v>#N/A</v>
      </c>
      <c r="DA209" s="259" t="str">
        <f t="shared" ca="1" si="621"/>
        <v/>
      </c>
      <c r="DB209" s="259" t="str">
        <f t="shared" ca="1" si="612"/>
        <v/>
      </c>
      <c r="DC209" s="259" t="str">
        <f t="shared" ca="1" si="613"/>
        <v/>
      </c>
      <c r="DD209" s="259" t="str">
        <f t="shared" ca="1" si="614"/>
        <v/>
      </c>
      <c r="DE209" s="259" t="str">
        <f t="shared" ca="1" si="615"/>
        <v/>
      </c>
      <c r="DF209" s="259">
        <f ca="1">IF(AND(CX209=$DE$2,$DF$2&lt;&gt;0),0,IF(AND(DB209&lt;&gt;"",OR(DB208&lt;&gt;"",DB210&lt;&gt;"")),MAX($DF$2:DF208)+1,0))</f>
        <v>0</v>
      </c>
      <c r="DG209" s="259" t="str">
        <f>IF(IF(LIBRO_GIORNALE!E117="","",IFERROR(INDEX(PIANO_DEI_CONTI,MATCH(BB209,DENOMINAZIONE,0),1),0))=0,"",IF(LIBRO_GIORNALE!E117="","",IFERROR(INDEX(PIANO_DEI_CONTI,MATCH(BB209,DENOMINAZIONE,0),1),0)))</f>
        <v/>
      </c>
      <c r="DH209" s="259">
        <f ca="1">IFERROR(IF($J$1=1,IF(INDEX(PIANO_DEI_CONTI,MATCH($K209,DENOMINAZIONE,0),5)=$DF$1,MAX($DH$2:DH208)+1,0),IF($J$1=2,IF(INDEX(PIANO_DEI_CONTI,MATCH($K209,DENOMINAZIONE,0),7)=$DF$1,MAX($DH$2:DH208)+1,0))),0)</f>
        <v>0</v>
      </c>
      <c r="DI209" s="259">
        <f ca="1">IFERROR(INDEX($K$3:$K$220,MATCH(ROWS($DI$3:DI209),$DH$3:$DH$220,0),1),0)</f>
        <v>0</v>
      </c>
      <c r="DJ209" s="259">
        <f t="shared" ca="1" si="526"/>
        <v>0</v>
      </c>
      <c r="DK209" s="259">
        <f ca="1">IF(DJ209=0,0,MAX(DK$2:DK208)+1)</f>
        <v>0</v>
      </c>
      <c r="DL209" s="259">
        <f ca="1">IFERROR(INDEX(PIANO_DEI_CONTI,MATCH(ROWS(DL$3:DL209),$DK$3:DK436,0),2),0)</f>
        <v>0</v>
      </c>
      <c r="DM209" s="259">
        <f t="shared" ca="1" si="527"/>
        <v>0</v>
      </c>
      <c r="DN209" s="259">
        <f t="shared" ca="1" si="528"/>
        <v>0</v>
      </c>
      <c r="DO209" s="259">
        <f t="shared" ca="1" si="566"/>
        <v>0</v>
      </c>
      <c r="DP209" s="259">
        <f t="shared" ca="1" si="567"/>
        <v>0</v>
      </c>
      <c r="DQ209" s="259">
        <f ca="1">IF(OR($DQ$1="TOTALI",$DQ$1="TOTALI ED ECCEDENZE"),IF(OR(DM209&gt;0,DN209&gt;0),MAX(DQ$2:DQ208)+1,0),IF($DQ$1="ECCEDENZE",IF(OR(DO209&gt;0,DP209&gt;0),MAX(DQ$2:DQ208)+1,0),""))</f>
        <v>0</v>
      </c>
      <c r="DR209" s="259" t="str">
        <f ca="1">IFERROR(INDEX($DL$3:$DQ$230,MATCH(ROWS(DR$3:DR209),$DQ$3:$DQ$230,0),1),"")</f>
        <v/>
      </c>
      <c r="DS209" s="259" t="str">
        <f t="shared" ca="1" si="568"/>
        <v/>
      </c>
      <c r="DT209" s="259" t="str">
        <f t="shared" ca="1" si="569"/>
        <v/>
      </c>
      <c r="DU209" s="259" t="str">
        <f t="shared" ca="1" si="570"/>
        <v/>
      </c>
      <c r="DV209" s="259" t="str">
        <f t="shared" ca="1" si="571"/>
        <v/>
      </c>
      <c r="DW209" s="259">
        <f t="shared" ca="1" si="572"/>
        <v>0</v>
      </c>
      <c r="DX209" s="259" t="str">
        <f t="shared" ca="1" si="573"/>
        <v/>
      </c>
      <c r="DY209" s="259" t="str">
        <f t="shared" ca="1" si="574"/>
        <v/>
      </c>
      <c r="DZ209" s="259" t="str">
        <f t="shared" ca="1" si="575"/>
        <v/>
      </c>
      <c r="ED209" s="259">
        <f t="shared" ca="1" si="529"/>
        <v>0</v>
      </c>
      <c r="EH209" s="259" t="str">
        <f t="shared" ca="1" si="576"/>
        <v/>
      </c>
      <c r="EI209" s="260" t="b">
        <f t="shared" ca="1" si="602"/>
        <v>0</v>
      </c>
      <c r="EJ209" s="260" t="b">
        <f t="shared" ca="1" si="603"/>
        <v>0</v>
      </c>
      <c r="EK209" s="260" t="b">
        <f t="shared" ca="1" si="604"/>
        <v>0</v>
      </c>
      <c r="EL209" s="259">
        <f t="shared" si="577"/>
        <v>207</v>
      </c>
      <c r="EM209" s="259">
        <f ca="1">IF(AND(BA209&gt;0,BA209&lt;=$EM$1),MAX($EM$2:EM208)+1,0)</f>
        <v>0</v>
      </c>
      <c r="EN209" s="259">
        <f t="shared" ca="1" si="578"/>
        <v>209</v>
      </c>
      <c r="EP209" s="259" t="str">
        <f t="shared" ca="1" si="530"/>
        <v/>
      </c>
      <c r="EQ209" s="259">
        <f t="shared" ca="1" si="531"/>
        <v>0</v>
      </c>
      <c r="ER209" s="259">
        <f ca="1">IF(ISNA(EQ209),MAX(ER$2:ER208)+1,0)</f>
        <v>0</v>
      </c>
      <c r="ES209" s="259" t="str">
        <f t="shared" ca="1" si="579"/>
        <v/>
      </c>
      <c r="ET209" s="259" t="str">
        <f ca="1">IFERROR(UPPER(INDEX($ER$3:$ES$500,MATCH(ROWS(ET$3:ET209),$ER$3:$ER$500,0),2)),"")</f>
        <v/>
      </c>
      <c r="EW209" s="259">
        <f t="shared" ca="1" si="497"/>
        <v>1</v>
      </c>
      <c r="EX209" s="259">
        <v>107</v>
      </c>
      <c r="EY209" s="259">
        <f t="shared" ca="1" si="498"/>
        <v>0</v>
      </c>
      <c r="EZ209" s="259">
        <f t="shared" ca="1" si="499"/>
        <v>0</v>
      </c>
      <c r="FA209" s="259">
        <f t="shared" ca="1" si="500"/>
        <v>0</v>
      </c>
      <c r="FB209" s="259">
        <f t="shared" ca="1" si="501"/>
        <v>0</v>
      </c>
      <c r="FC209" s="259">
        <f t="shared" ca="1" si="502"/>
        <v>0</v>
      </c>
      <c r="FD209" s="259">
        <f t="shared" ca="1" si="532"/>
        <v>0</v>
      </c>
      <c r="FE209" s="259" t="str">
        <f t="shared" ca="1" si="533"/>
        <v/>
      </c>
      <c r="FF209" s="259" t="str">
        <f t="shared" ca="1" si="503"/>
        <v/>
      </c>
      <c r="FM209" s="259">
        <f t="shared" si="534"/>
        <v>0</v>
      </c>
      <c r="FN209" s="259">
        <f>IF(FM209&lt;0,MAX($FN$2:FN208)+1,0)</f>
        <v>0</v>
      </c>
      <c r="FO209" s="259" t="str">
        <f t="shared" si="580"/>
        <v/>
      </c>
      <c r="FP209" s="259" t="str">
        <f ca="1">IFERROR(INDEX($FN$3:$FO$400,MATCH(ROWS($FP$3:FP209),$FN$3:$FN$400,0),2),"")</f>
        <v/>
      </c>
      <c r="FQ209" s="259" t="str">
        <f>IF(AE209="SE AVERE",MAX($FQ$2:FQ208)+1,"")</f>
        <v/>
      </c>
      <c r="FR209" s="259" t="str">
        <f>IF(AE209="SE DARE",MAX($FR$2:FR208)+1,"")</f>
        <v/>
      </c>
      <c r="FS209" s="259" t="str">
        <f ca="1">IF(AND(AE209="SP DARE",AA209&lt;&gt;$FS$1,AA209&lt;&gt;$FT$1),MAX($FS$2:FS208)+1,IF(AND(GQ209="SP DARE",AA209&lt;&gt;$FS$1,AA209&lt;&gt;$FT$1),MAX($FS$2:FS208)+1,""))</f>
        <v/>
      </c>
      <c r="FT209" s="259" t="str">
        <f ca="1">IF(AND(AE209="SP AVERE",AA209&lt;&gt;$FU$1),MAX($FT$2:FT208)+1,IF(AND(GQ209="SP AVERE",AA209&lt;&gt;$FU$1),MAX($FT$2:FT208)+1,""))</f>
        <v/>
      </c>
      <c r="FU209" s="259">
        <f t="shared" ca="1" si="581"/>
        <v>0</v>
      </c>
      <c r="FV209" s="259" t="str">
        <f t="shared" si="582"/>
        <v/>
      </c>
      <c r="FW209" s="259">
        <f ca="1">IFERROR(INDEX($FU$3:$FV$500,MATCH(ROWS($FW$3:FW209),$FU$3:$FU$500,0),2),0)</f>
        <v>0</v>
      </c>
      <c r="FX209" s="259">
        <f t="shared" ca="1" si="583"/>
        <v>0</v>
      </c>
      <c r="FY209" s="259">
        <f t="shared" ca="1" si="584"/>
        <v>0</v>
      </c>
      <c r="FZ209" s="259">
        <f ca="1">IF(FY209&gt;0,MAX($FZ$2:FZ208)+1,0)</f>
        <v>0</v>
      </c>
      <c r="GA209" s="259">
        <f ca="1">IFERROR(INDEX($FY$3:$FZ$500,MATCH(ROWS($GA$3:GA209),$FZ$3:$FZ$500,0),1),0)</f>
        <v>0</v>
      </c>
      <c r="GC209" s="259">
        <f t="shared" ca="1" si="585"/>
        <v>0</v>
      </c>
      <c r="GD209" s="259">
        <f t="shared" ca="1" si="586"/>
        <v>0</v>
      </c>
      <c r="GG209" s="259">
        <f t="shared" ca="1" si="587"/>
        <v>0</v>
      </c>
      <c r="GH209" s="259">
        <f t="shared" ca="1" si="588"/>
        <v>0</v>
      </c>
      <c r="GI209" s="259">
        <f t="shared" ca="1" si="589"/>
        <v>0</v>
      </c>
      <c r="GJ209" s="259">
        <f t="shared" ca="1" si="590"/>
        <v>0</v>
      </c>
      <c r="GK209" s="259">
        <f t="shared" ca="1" si="591"/>
        <v>0</v>
      </c>
      <c r="GL209" s="259">
        <f t="shared" ca="1" si="591"/>
        <v>0</v>
      </c>
      <c r="GM209" s="259">
        <f ca="1">IF(OR(GK209&gt;0,GL209&gt;0),MAX($GM$2:GM208)+1,0)</f>
        <v>0</v>
      </c>
      <c r="GN209" s="259" t="str">
        <f ca="1">IFERROR(INDEX($GD$3:$GM$400,MATCH(ROWS($GN$3:GN209),$GM$3:$GM$400,0),1),"")</f>
        <v/>
      </c>
      <c r="GO209" s="259" t="str">
        <f ca="1">IFERROR(INDEX($GD$3:$GM$400,MATCH(ROWS($GO$3:GO209),$GM$3:$GM$400,0),8),"")</f>
        <v/>
      </c>
      <c r="GP209" s="259" t="str">
        <f ca="1">IFERROR(INDEX($GD$3:$GM$400,MATCH(ROWS($GP$3:GP209),$GM$3:$GM$400,0),9),"")</f>
        <v/>
      </c>
      <c r="GQ209" s="259">
        <f t="shared" ca="1" si="535"/>
        <v>0</v>
      </c>
      <c r="GR209" s="259">
        <f t="shared" ca="1" si="592"/>
        <v>0</v>
      </c>
      <c r="GS209" s="259" t="str">
        <f t="shared" ca="1" si="593"/>
        <v/>
      </c>
      <c r="GT209" s="259" t="str">
        <f ca="1">IFERROR(INDEX($GD$3:$GS$400,MATCH(ROWS($GT$3:GT209),$GM$3:$GM$400,0),16),"")</f>
        <v/>
      </c>
      <c r="GU209" s="259">
        <f ca="1">IF(GQ209&lt;&gt;0,MAX($GU$2:$GU208)+1,0)</f>
        <v>0</v>
      </c>
      <c r="GV209" s="259">
        <f t="shared" ca="1" si="594"/>
        <v>0</v>
      </c>
      <c r="GW209" s="259" t="str">
        <f ca="1">IF(AND(IFERROR(INDEX($GU$3:$GV$400,MATCH(ROWS($GW$3:GW209),$GU$3:$GU$400,0),2),"")&lt;&gt;"",GW210&lt;&gt;""),CONCATENATE(IFERROR(INDEX($GU$3:$GV$400,MATCH(ROWS($GW$3:GW209),$GU$3:$GU$400,0),2),"")," - "),IFERROR(INDEX($GU$3:$GV$400,MATCH(ROWS($GW$3:GW209),$GU$3:$GU$400,0),2),""))</f>
        <v/>
      </c>
      <c r="GX209" s="259">
        <f ca="1">IF(OR(GN209="IVA NS/CREDITO",GN209="IVA NS/DEBITO",GN209="IVA C/ACCONTO",GN209="IMPOSTE C/ACCONTO"),MAX($GX$2:GX208)+1,0)</f>
        <v>0</v>
      </c>
      <c r="GY209" s="259" t="str">
        <f ca="1">IF(AND(IFERROR(INDEX($GN$3:$GX$200,MATCH(ROWS($GY$3:GY209),$GX$3:$GX$200,0),1),"")&lt;&gt;"",GY210&lt;&gt;""),CONCATENATE(IFERROR(INDEX($GN$3:$GX$200,MATCH(ROWS($GY$3:GY209),$GX$3:$GX$200,0),1),"")," - "),IFERROR(INDEX($GN$3:$GX$200,MATCH(ROWS($GY$3:GY209),$GX$3:$GX$200,0),1),""))</f>
        <v/>
      </c>
      <c r="GZ209" s="259" t="s">
        <v>204</v>
      </c>
      <c r="HA209" s="259" t="s">
        <v>205</v>
      </c>
      <c r="HB209" s="269" t="s">
        <v>256</v>
      </c>
      <c r="HC209" s="269" t="s">
        <v>277</v>
      </c>
      <c r="HD209" s="269" t="s">
        <v>205</v>
      </c>
      <c r="HV209" s="259" t="str">
        <f ca="1">CONCATENATE(IFERROR(INDEX($HS$3:$HT$102,MATCH(ROWS($HV$3:HV209),$HT$3:$HT$102,0),1),""),HR209)</f>
        <v/>
      </c>
      <c r="IX209" s="259" t="str">
        <f t="shared" si="606"/>
        <v/>
      </c>
      <c r="IY209" s="259" t="str">
        <f t="shared" si="600"/>
        <v/>
      </c>
      <c r="IZ209" s="259" t="str">
        <f t="shared" si="608"/>
        <v/>
      </c>
      <c r="JA209" s="259" t="str">
        <f t="shared" ca="1" si="601"/>
        <v/>
      </c>
      <c r="JB209" s="259">
        <f t="shared" ca="1" si="536"/>
        <v>0</v>
      </c>
      <c r="JC209" s="259">
        <f t="shared" ca="1" si="504"/>
        <v>0</v>
      </c>
      <c r="JD209" s="259">
        <f t="shared" ca="1" si="505"/>
        <v>0</v>
      </c>
      <c r="JM209" s="259">
        <f t="shared" ca="1" si="506"/>
        <v>0</v>
      </c>
    </row>
    <row r="210" spans="1:273">
      <c r="A210" s="259">
        <f t="shared" si="537"/>
        <v>0</v>
      </c>
      <c r="B210" s="259">
        <f t="shared" si="538"/>
        <v>0</v>
      </c>
      <c r="C210" s="259">
        <f t="shared" si="539"/>
        <v>0</v>
      </c>
      <c r="D210" s="259">
        <f t="shared" si="540"/>
        <v>0</v>
      </c>
      <c r="E210" s="259">
        <f t="shared" si="541"/>
        <v>0</v>
      </c>
      <c r="F210" s="259">
        <f t="shared" si="542"/>
        <v>0</v>
      </c>
      <c r="G210" s="259">
        <f t="shared" ca="1" si="543"/>
        <v>0</v>
      </c>
      <c r="H210" s="259">
        <f t="shared" ca="1" si="544"/>
        <v>0</v>
      </c>
      <c r="I210" s="259">
        <f t="shared" ca="1" si="545"/>
        <v>0</v>
      </c>
      <c r="K210" s="259" t="str">
        <f ca="1">IFERROR(IF($I$1=1,INDEX($AA$3:$AS$220,MATCH(ROWS($K$3:K210),$AQ$3:$AQ$220,0),1),IF($I$1=2,INDEX($AA$3:$AS$220,MATCH(ROWS($K$3:K210),$AR$3:$AR$220,0),1),IF($I$1=3,INDEX($AA$3:$AS$220,MATCH(ROWS($K$3:K210),$AS$3:$AS$220,0),1),""))),"")</f>
        <v/>
      </c>
      <c r="L210" s="259">
        <f ca="1">IF(AND($L$1="VISUALIZZA TUTTI I CONTI",K210&lt;&gt;""),MAX(L209:L209)+1,IFERROR(IF($J$1=1,IF(INDEX(PIANO_DEI_CONTI,MATCH($K210,DENOMINAZIONE,0),5)=$L$1,MAX($L$2:L209)+1,0),IF($J$1=2,IF(INDEX(PIANO_DEI_CONTI,MATCH($K210,DENOMINAZIONE,0),7)=$L$1,MAX($L$2:L209)+1,0))),0))</f>
        <v>0</v>
      </c>
      <c r="M210" s="259" t="str">
        <f ca="1">IFERROR(INDEX($K$3:$K$220,MATCH(ROWS($M$3:M210),$L$3:$L$220,0),1),"")</f>
        <v/>
      </c>
      <c r="R210" s="259" t="str">
        <f t="shared" ca="1" si="516"/>
        <v/>
      </c>
      <c r="S210" s="259">
        <f ca="1">IF(IFERROR(MATCH(R210,DENOMINAZIONE_GIORNALE,0),0)&gt;0,MAX(S$2:S209)+1,0)</f>
        <v>0</v>
      </c>
      <c r="T210" s="259" t="str">
        <f ca="1">IFERROR(INDEX($R$3:$S$220,MATCH(ROWS($T$3:T210),$S$3:$S$220,0),1),"")</f>
        <v/>
      </c>
      <c r="U210" s="259">
        <f t="shared" ca="1" si="517"/>
        <v>0</v>
      </c>
      <c r="V210" s="259">
        <f ca="1">IF(IF(U210&lt;&gt;0,MAX($V$2:V209)+1,0)=0,0,IF(U210&lt;&gt;0,MAX($V$2:V209)+1,0))</f>
        <v>0</v>
      </c>
      <c r="W210" s="259">
        <f t="shared" si="546"/>
        <v>0</v>
      </c>
      <c r="X210" s="259">
        <f t="shared" si="547"/>
        <v>0</v>
      </c>
      <c r="Y210" s="259">
        <f>IF(W210="",0,MAX($Y$2:Y209)+1)</f>
        <v>177</v>
      </c>
      <c r="Z210" s="259" t="str">
        <f>IFERROR(INDEX($W$3:$Y$220,MATCH(ROWS($Z$2:Z209),$Y$3:$Y$220,0),1),"")</f>
        <v/>
      </c>
      <c r="AA210" s="259" t="str">
        <f t="shared" si="548"/>
        <v/>
      </c>
      <c r="AB210" s="259" t="str">
        <f t="shared" si="549"/>
        <v/>
      </c>
      <c r="AC210" s="259" t="str">
        <f t="shared" si="550"/>
        <v/>
      </c>
      <c r="AD210" s="259" t="str">
        <f t="shared" si="551"/>
        <v/>
      </c>
      <c r="AE210" s="259" t="str">
        <f t="shared" si="552"/>
        <v/>
      </c>
      <c r="AF210" s="259" t="str">
        <f t="shared" si="553"/>
        <v/>
      </c>
      <c r="AG210" s="259" t="str">
        <f t="shared" si="554"/>
        <v/>
      </c>
      <c r="AH210" s="259" t="str">
        <f t="shared" si="555"/>
        <v/>
      </c>
      <c r="AI210" s="259" t="str">
        <f t="shared" si="556"/>
        <v/>
      </c>
      <c r="AJ210" s="259" t="str">
        <f t="shared" si="557"/>
        <v/>
      </c>
      <c r="AK210" s="259" t="str">
        <f t="shared" si="558"/>
        <v/>
      </c>
      <c r="AL210" s="259">
        <f>IF(AK210&lt;&gt;"",MAX($AL$2:AL209)+1,0)</f>
        <v>0</v>
      </c>
      <c r="AM210" s="259" t="str">
        <f>IFERROR(INDEX($AK$3:$AL$220,MATCH(ROWS($AM$3:AM210),$AL$3:$AL$220,0),1),"")</f>
        <v/>
      </c>
      <c r="AN210" s="259" t="str">
        <f t="shared" si="559"/>
        <v/>
      </c>
      <c r="AO210" s="259" t="str">
        <f t="shared" si="560"/>
        <v/>
      </c>
      <c r="AP210" s="259" t="str">
        <f t="shared" si="561"/>
        <v/>
      </c>
      <c r="AQ210" s="259">
        <f>IF(OR(AG210=0,AG210=""),0,MAX(AQ$2:AQ209)+1)</f>
        <v>0</v>
      </c>
      <c r="AR210" s="259">
        <f>IF(OR(AH210=0,AH210=""),0,MAX(AR$2:AR209)+1)</f>
        <v>0</v>
      </c>
      <c r="AS210" s="259">
        <f>IF(OR(AI210=0,AI210=""),0,MAX(AS$2:AS209)+1)</f>
        <v>0</v>
      </c>
      <c r="AT210" s="259" t="str">
        <f ca="1">IFERROR(INDEX($AD$3:$AS$220,MATCH(ROWS(AT$3:AT210),AQ$3:AQ$220,0),1),"")</f>
        <v/>
      </c>
      <c r="AU210" s="259" t="str">
        <f ca="1">IFERROR(INDEX($AD$3:$AS$220,MATCH(ROWS(AU$3:AU210),AR$3:AR$220,0),1),"")</f>
        <v/>
      </c>
      <c r="AV210" s="259" t="str">
        <f ca="1">IFERROR(INDEX($AD$3:$AS$220,MATCH(ROWS(AV$3:AV210),AS$3:AS$220,0),1),"")</f>
        <v/>
      </c>
      <c r="AW210" s="259" t="str">
        <f ca="1">IFERROR(INDEX($AP$3:$AS$220,MATCH(ROWS(AW$3:AW210),AQ$3:AQ$220,0),1),"")</f>
        <v/>
      </c>
      <c r="AX210" s="259" t="str">
        <f ca="1">IFERROR(INDEX($AP$3:$AS$220,MATCH(ROWS(AX$3:AX210),AR$3:AR$220,0),1),"")</f>
        <v/>
      </c>
      <c r="AY210" s="259" t="str">
        <f ca="1">IFERROR(INDEX($AP$3:$AS$220,MATCH(ROWS(AY$3:AY210),AS$3:AS$220,0),1),"")</f>
        <v/>
      </c>
      <c r="AZ210" s="259" t="str">
        <f t="shared" ca="1" si="616"/>
        <v/>
      </c>
      <c r="BA210" s="259">
        <f t="shared" ca="1" si="484"/>
        <v>0</v>
      </c>
      <c r="BB210" s="259">
        <f t="shared" ca="1" si="617"/>
        <v>0</v>
      </c>
      <c r="BC210" s="259">
        <f t="shared" ca="1" si="618"/>
        <v>0</v>
      </c>
      <c r="BD210" s="259">
        <f t="shared" ca="1" si="619"/>
        <v>0</v>
      </c>
      <c r="BE210" s="259">
        <f t="shared" ca="1" si="620"/>
        <v>0</v>
      </c>
      <c r="BG210" s="259" t="str">
        <f t="shared" ca="1" si="518"/>
        <v/>
      </c>
      <c r="BH210" s="259">
        <f ca="1">IF(IFERROR(MATCH(BG210,DENOMINAZIONE_GIORNALE,0),0)&gt;0,MAX(BH$2:BH209)+1,0)</f>
        <v>0</v>
      </c>
      <c r="BI210" s="259" t="str">
        <f ca="1">IFERROR(INDEX($BG$3:$BH$220,MATCH(ROWS($BI$3:BI210),$BH$3:$BH$220,0),1),"")</f>
        <v/>
      </c>
      <c r="BJ210" s="259" t="str">
        <f t="shared" ca="1" si="519"/>
        <v/>
      </c>
      <c r="BK210" s="259" t="str">
        <f ca="1">IF(IF(BJ210&lt;&gt;"",MAX($BK$2:BK209)+1,0)=0,"",IF(BJ210&lt;&gt;"",MAX($BK$2:BK209)+1,0))</f>
        <v/>
      </c>
      <c r="BL210" s="259" t="str">
        <f ca="1">IFERROR(INDEX($T$3:$U$220, MATCH(ROWS(BL$3:BL210),$V$3:$V$220,0),1),"")</f>
        <v/>
      </c>
      <c r="BM210" s="259" t="str">
        <f ca="1">IFERROR(INDEX($T$3:$U$220, MATCH(ROWS(BM$3:BM210),$V$3:$V$220,0),2),"")</f>
        <v/>
      </c>
      <c r="BN210" s="259" t="str">
        <f ca="1">IF(IFERROR(INDEX($BI$3:$BJ$220,MATCH(ROWS(BN$3:BN210),$BK$3:$BK$220,0),1),"")="PATRIMONIO NETTO","",IFERROR(INDEX($BI$3:$BJ$220,MATCH(ROWS(BN$3:BN210),$BK$3:$BK$220,0),1),""))</f>
        <v/>
      </c>
      <c r="BO210" s="259" t="str">
        <f ca="1">IFERROR(INDEX($BI$3:$BJ$220,MATCH(ROWS(BO$3:BO210),$BK$3:$BK$220,0),2),"")</f>
        <v/>
      </c>
      <c r="BP210" s="259">
        <f ca="1">IF(BN210&lt;&gt;"",MAX(BP$2:$BP209)+1,0)</f>
        <v>0</v>
      </c>
      <c r="BQ210" s="259" t="str">
        <f ca="1">IFERROR(INDEX($BN$3:$BO$200,MATCH(ROWS(BQ$3:BQ210),$BP$3:$BP$220,0),1),"")</f>
        <v/>
      </c>
      <c r="BR210" s="259" t="str">
        <f ca="1">IFERROR(INDEX($BN$3:$BO$220,MATCH(ROWS(BR$3:BR210),$BP$3:$BP$220,0),2),"")</f>
        <v/>
      </c>
      <c r="BS210" s="259" t="str">
        <f ca="1">IFERROR(IF(OR(INDEX($T$3:$U$220,MATCH(ROWS(BL$3:BL210),$V$3:$V$220,0),1)="PRELEVAMENTI EXTRAGESTIONE",INDEX($T$3:$U$220,MATCH(ROWS(BL$3:BL210),$V$3:$V$220,0),1)="TITOLARE C/RITENUTE SUBITE"),"",INDEX($T$3:$U$220,MATCH(ROWS(BL$3:BL210),$V$3:$V$220,0),1)),"")</f>
        <v/>
      </c>
      <c r="BT210" s="259">
        <f t="shared" ca="1" si="562"/>
        <v>0</v>
      </c>
      <c r="BU210" s="259">
        <f ca="1">IF(BS210&lt;&gt;"",MAX(BU$2:BU209)+1,0)</f>
        <v>0</v>
      </c>
      <c r="BV210" s="259" t="str">
        <f ca="1">IFERROR(INDEX($BS$3:$BT$223,MATCH(ROWS(BV$3:BV210),$BU$3:$BU$223,0),1),"")</f>
        <v/>
      </c>
      <c r="BW210" s="259">
        <f t="shared" ca="1" si="563"/>
        <v>0</v>
      </c>
      <c r="CB210" s="259" t="str">
        <f ca="1">IFERROR(IF(OR($BB$1&lt;&gt;$BD$1,$BC$1&lt;&gt;$BE$1,$DS$231&lt;&gt;$DT$231,$DU$231&lt;&gt;$DV$231,$EO$25&lt;&gt;0,$EO$26&lt;&gt;0),INDEX($BI$3:$BK$220,MATCH(ROWS($CB$3:CB210),$BK$3:$BK$220,0),1),CONCATENATE(BQ210,BX210)),"")</f>
        <v/>
      </c>
      <c r="CC210" s="259" t="str">
        <f t="shared" ca="1" si="564"/>
        <v/>
      </c>
      <c r="CD210" s="259" t="str">
        <f t="shared" ca="1" si="520"/>
        <v/>
      </c>
      <c r="CE210" s="259">
        <f ca="1">IF(IFERROR(MATCH(CD210,DENOMINAZIONE_GIORNALE,0),0)&gt;0,MAX(CE$2:CE209)+1,0)</f>
        <v>0</v>
      </c>
      <c r="CF210" s="259" t="str">
        <f ca="1">IFERROR(INDEX($CD$3:$CE$220,MATCH(ROWS($CF$3:CF210),$CE$3:$CE$220,0),1),"")</f>
        <v/>
      </c>
      <c r="CG210" s="259">
        <f t="shared" ca="1" si="521"/>
        <v>0</v>
      </c>
      <c r="CH210" s="259" t="str">
        <f ca="1">IF(IF(CG210&lt;&gt;0,MAX($CH$2:CH209)+1,0)=0,"",IF(CG210&lt;&gt;"",MAX($CH$2:CH209)+1,0))</f>
        <v/>
      </c>
      <c r="CI210" s="259" t="str">
        <f ca="1">IFERROR(INDEX($CF$3:$CG$220,MATCH(ROWS($CI$3:CI210),$CH$3:$CH$220,0),1),"")</f>
        <v/>
      </c>
      <c r="CJ210" s="259" t="str">
        <f t="shared" ca="1" si="565"/>
        <v/>
      </c>
      <c r="CK210" s="259" t="str">
        <f t="shared" ca="1" si="522"/>
        <v/>
      </c>
      <c r="CL210" s="259">
        <f ca="1">IF(IFERROR(MATCH(CK210,DENOMINAZIONE_GIORNALE,0),0)&gt;0,MAX(CL$2:CL209)+1,0)</f>
        <v>0</v>
      </c>
      <c r="CM210" s="259" t="str">
        <f ca="1">IFERROR(INDEX($CK$3:$CL$220,MATCH(ROWS($CM$3:CM210),$CL$3:$CL$220,0),1),"")</f>
        <v/>
      </c>
      <c r="CN210" s="259" t="str">
        <f t="shared" ca="1" si="523"/>
        <v/>
      </c>
      <c r="CO210" s="259">
        <f ca="1">IF(IF(CN210&lt;&gt;0,MAX($CO$2:CO209)+1,0)=0,"",IF(CN210&lt;&gt;"",MAX($CO$2:CO209)+1,0))</f>
        <v>0</v>
      </c>
      <c r="CP210" s="259" t="str">
        <f ca="1">IFERROR(INDEX($CM$3:$CN$220,MATCH(ROWS(CP$3:CP210),$CO$3:$CO$220,0),1),"")</f>
        <v/>
      </c>
      <c r="CQ210" s="259" t="str">
        <f ca="1">IFERROR(INDEX($CM$3:$CN$220,MATCH(ROWS(CQ$3:CQ210),$CO$3:$CO$220,0),2),"")</f>
        <v/>
      </c>
      <c r="CS210" s="259">
        <f t="shared" ca="1" si="524"/>
        <v>0</v>
      </c>
      <c r="CT210" s="259">
        <f t="shared" ca="1" si="525"/>
        <v>0</v>
      </c>
      <c r="CU210" s="259">
        <f ca="1">IF(OR(CS210&gt;0,CT210&gt;0),MAX($CU$2:CU209)+1,0)</f>
        <v>0</v>
      </c>
      <c r="CV210" s="259" t="str">
        <f ca="1">IFERROR(INDEX(PIANO_DEI_CONTI,MATCH(ROWS($CV$3:CV210),$CU$3:$CU$200,0),2),"")</f>
        <v/>
      </c>
      <c r="CW210" s="259">
        <f ca="1">IFERROR(IF(CV210&lt;&gt;"",MAX($CW$2:CW209)+1,0),0)</f>
        <v>0</v>
      </c>
      <c r="CX210" s="259">
        <f t="shared" ca="1" si="609"/>
        <v>12</v>
      </c>
      <c r="CY210" s="259" t="str">
        <f t="shared" ca="1" si="607"/>
        <v>MASTRO</v>
      </c>
      <c r="CZ210" s="259" t="e">
        <f t="shared" ca="1" si="611"/>
        <v>#N/A</v>
      </c>
      <c r="DA210" s="259" t="str">
        <f t="shared" ca="1" si="621"/>
        <v/>
      </c>
      <c r="DB210" s="259" t="str">
        <f t="shared" ca="1" si="612"/>
        <v/>
      </c>
      <c r="DC210" s="259" t="str">
        <f t="shared" ca="1" si="613"/>
        <v/>
      </c>
      <c r="DD210" s="259" t="str">
        <f t="shared" ca="1" si="614"/>
        <v/>
      </c>
      <c r="DE210" s="259" t="str">
        <f t="shared" ca="1" si="615"/>
        <v/>
      </c>
      <c r="DF210" s="259">
        <f ca="1">IF(AND(CX210=$DE$2,$DF$2&lt;&gt;0),0,IF(AND(DB210&lt;&gt;"",OR(DB209&lt;&gt;"",DB211&lt;&gt;"")),MAX($DF$2:DF209)+1,0))</f>
        <v>0</v>
      </c>
      <c r="DG210" s="259" t="str">
        <f>IF(IF(LIBRO_GIORNALE!E118="","",IFERROR(INDEX(PIANO_DEI_CONTI,MATCH(BB210,DENOMINAZIONE,0),1),0))=0,"",IF(LIBRO_GIORNALE!E118="","",IFERROR(INDEX(PIANO_DEI_CONTI,MATCH(BB210,DENOMINAZIONE,0),1),0)))</f>
        <v/>
      </c>
      <c r="DH210" s="259">
        <f ca="1">IFERROR(IF($J$1=1,IF(INDEX(PIANO_DEI_CONTI,MATCH($K210,DENOMINAZIONE,0),5)=$DF$1,MAX($DH$2:DH209)+1,0),IF($J$1=2,IF(INDEX(PIANO_DEI_CONTI,MATCH($K210,DENOMINAZIONE,0),7)=$DF$1,MAX($DH$2:DH209)+1,0))),0)</f>
        <v>0</v>
      </c>
      <c r="DI210" s="259">
        <f ca="1">IFERROR(INDEX($K$3:$K$220,MATCH(ROWS($DI$3:DI210),$DH$3:$DH$220,0),1),0)</f>
        <v>0</v>
      </c>
      <c r="DJ210" s="259">
        <f t="shared" ca="1" si="526"/>
        <v>0</v>
      </c>
      <c r="DK210" s="259">
        <f ca="1">IF(DJ210=0,0,MAX(DK$2:DK209)+1)</f>
        <v>0</v>
      </c>
      <c r="DL210" s="259">
        <f ca="1">IFERROR(INDEX(PIANO_DEI_CONTI,MATCH(ROWS(DL$3:DL210),$DK$3:DK437,0),2),0)</f>
        <v>0</v>
      </c>
      <c r="DM210" s="259">
        <f t="shared" ca="1" si="527"/>
        <v>0</v>
      </c>
      <c r="DN210" s="259">
        <f t="shared" ca="1" si="528"/>
        <v>0</v>
      </c>
      <c r="DO210" s="259">
        <f t="shared" ca="1" si="566"/>
        <v>0</v>
      </c>
      <c r="DP210" s="259">
        <f t="shared" ca="1" si="567"/>
        <v>0</v>
      </c>
      <c r="DQ210" s="259">
        <f ca="1">IF(OR($DQ$1="TOTALI",$DQ$1="TOTALI ED ECCEDENZE"),IF(OR(DM210&gt;0,DN210&gt;0),MAX(DQ$2:DQ209)+1,0),IF($DQ$1="ECCEDENZE",IF(OR(DO210&gt;0,DP210&gt;0),MAX(DQ$2:DQ209)+1,0),""))</f>
        <v>0</v>
      </c>
      <c r="DR210" s="259" t="str">
        <f ca="1">IFERROR(INDEX($DL$3:$DQ$230,MATCH(ROWS(DR$3:DR210),$DQ$3:$DQ$230,0),1),"")</f>
        <v/>
      </c>
      <c r="DS210" s="259" t="str">
        <f t="shared" ca="1" si="568"/>
        <v/>
      </c>
      <c r="DT210" s="259" t="str">
        <f t="shared" ca="1" si="569"/>
        <v/>
      </c>
      <c r="DU210" s="259" t="str">
        <f t="shared" ca="1" si="570"/>
        <v/>
      </c>
      <c r="DV210" s="259" t="str">
        <f t="shared" ca="1" si="571"/>
        <v/>
      </c>
      <c r="DW210" s="259">
        <f t="shared" ca="1" si="572"/>
        <v>0</v>
      </c>
      <c r="DX210" s="259" t="str">
        <f t="shared" ca="1" si="573"/>
        <v/>
      </c>
      <c r="DY210" s="259" t="str">
        <f t="shared" ca="1" si="574"/>
        <v/>
      </c>
      <c r="DZ210" s="259" t="str">
        <f t="shared" ca="1" si="575"/>
        <v/>
      </c>
      <c r="ED210" s="259">
        <f t="shared" ca="1" si="529"/>
        <v>0</v>
      </c>
      <c r="EH210" s="259" t="str">
        <f t="shared" ca="1" si="576"/>
        <v/>
      </c>
      <c r="EI210" s="260" t="b">
        <f t="shared" ca="1" si="602"/>
        <v>0</v>
      </c>
      <c r="EJ210" s="260" t="b">
        <f t="shared" ca="1" si="603"/>
        <v>0</v>
      </c>
      <c r="EK210" s="260" t="b">
        <f t="shared" ca="1" si="604"/>
        <v>0</v>
      </c>
      <c r="EL210" s="259">
        <f t="shared" si="577"/>
        <v>208</v>
      </c>
      <c r="EM210" s="259">
        <f ca="1">IF(AND(BA210&gt;0,BA210&lt;=$EM$1),MAX($EM$2:EM209)+1,0)</f>
        <v>0</v>
      </c>
      <c r="EN210" s="259">
        <f t="shared" ca="1" si="578"/>
        <v>210</v>
      </c>
      <c r="EP210" s="259" t="str">
        <f t="shared" ca="1" si="530"/>
        <v/>
      </c>
      <c r="EQ210" s="259">
        <f t="shared" ca="1" si="531"/>
        <v>0</v>
      </c>
      <c r="ER210" s="259">
        <f ca="1">IF(ISNA(EQ210),MAX(ER$2:ER209)+1,0)</f>
        <v>0</v>
      </c>
      <c r="ES210" s="259" t="str">
        <f t="shared" ca="1" si="579"/>
        <v/>
      </c>
      <c r="ET210" s="259" t="str">
        <f ca="1">IFERROR(UPPER(INDEX($ER$3:$ES$500,MATCH(ROWS(ET$3:ET210),$ER$3:$ER$500,0),2)),"")</f>
        <v/>
      </c>
      <c r="EW210" s="259">
        <f t="shared" ca="1" si="497"/>
        <v>1</v>
      </c>
      <c r="EX210" s="259">
        <v>108</v>
      </c>
      <c r="EY210" s="259">
        <f t="shared" ca="1" si="498"/>
        <v>0</v>
      </c>
      <c r="EZ210" s="259">
        <f t="shared" ca="1" si="499"/>
        <v>0</v>
      </c>
      <c r="FA210" s="259">
        <f t="shared" ca="1" si="500"/>
        <v>0</v>
      </c>
      <c r="FB210" s="259">
        <f t="shared" ca="1" si="501"/>
        <v>0</v>
      </c>
      <c r="FC210" s="259">
        <f t="shared" ca="1" si="502"/>
        <v>0</v>
      </c>
      <c r="FD210" s="259">
        <f t="shared" ca="1" si="532"/>
        <v>0</v>
      </c>
      <c r="FE210" s="259" t="str">
        <f t="shared" ca="1" si="533"/>
        <v/>
      </c>
      <c r="FF210" s="259" t="str">
        <f t="shared" ca="1" si="503"/>
        <v/>
      </c>
      <c r="FM210" s="259">
        <f t="shared" si="534"/>
        <v>0</v>
      </c>
      <c r="FN210" s="259">
        <f>IF(FM210&lt;0,MAX($FN$2:FN209)+1,0)</f>
        <v>0</v>
      </c>
      <c r="FO210" s="259" t="str">
        <f t="shared" si="580"/>
        <v/>
      </c>
      <c r="FP210" s="259" t="str">
        <f ca="1">IFERROR(INDEX($FN$3:$FO$400,MATCH(ROWS($FP$3:FP210),$FN$3:$FN$400,0),2),"")</f>
        <v/>
      </c>
      <c r="FQ210" s="259" t="str">
        <f>IF(AE210="SE AVERE",MAX($FQ$2:FQ209)+1,"")</f>
        <v/>
      </c>
      <c r="FR210" s="259" t="str">
        <f>IF(AE210="SE DARE",MAX($FR$2:FR209)+1,"")</f>
        <v/>
      </c>
      <c r="FS210" s="259" t="str">
        <f ca="1">IF(AND(AE210="SP DARE",AA210&lt;&gt;$FS$1,AA210&lt;&gt;$FT$1),MAX($FS$2:FS209)+1,IF(AND(GQ210="SP DARE",AA210&lt;&gt;$FS$1,AA210&lt;&gt;$FT$1),MAX($FS$2:FS209)+1,""))</f>
        <v/>
      </c>
      <c r="FT210" s="259" t="str">
        <f ca="1">IF(AND(AE210="SP AVERE",AA210&lt;&gt;$FU$1),MAX($FT$2:FT209)+1,IF(AND(GQ210="SP AVERE",AA210&lt;&gt;$FU$1),MAX($FT$2:FT209)+1,""))</f>
        <v/>
      </c>
      <c r="FU210" s="259">
        <f t="shared" ca="1" si="581"/>
        <v>0</v>
      </c>
      <c r="FV210" s="259" t="str">
        <f t="shared" si="582"/>
        <v/>
      </c>
      <c r="FW210" s="259">
        <f ca="1">IFERROR(INDEX($FU$3:$FV$500,MATCH(ROWS($FW$3:FW210),$FU$3:$FU$500,0),2),0)</f>
        <v>0</v>
      </c>
      <c r="FX210" s="259">
        <f t="shared" ca="1" si="583"/>
        <v>0</v>
      </c>
      <c r="FY210" s="259">
        <f t="shared" ca="1" si="584"/>
        <v>0</v>
      </c>
      <c r="FZ210" s="259">
        <f ca="1">IF(FY210&gt;0,MAX($FZ$2:FZ209)+1,0)</f>
        <v>0</v>
      </c>
      <c r="GA210" s="259">
        <f ca="1">IFERROR(INDEX($FY$3:$FZ$500,MATCH(ROWS($GA$3:GA210),$FZ$3:$FZ$500,0),1),0)</f>
        <v>0</v>
      </c>
      <c r="GC210" s="259">
        <f t="shared" ca="1" si="585"/>
        <v>0</v>
      </c>
      <c r="GD210" s="259">
        <f t="shared" ca="1" si="586"/>
        <v>0</v>
      </c>
      <c r="GG210" s="259">
        <f t="shared" ca="1" si="587"/>
        <v>0</v>
      </c>
      <c r="GH210" s="259">
        <f t="shared" ca="1" si="588"/>
        <v>0</v>
      </c>
      <c r="GI210" s="259">
        <f t="shared" ca="1" si="589"/>
        <v>0</v>
      </c>
      <c r="GJ210" s="259">
        <f t="shared" ca="1" si="590"/>
        <v>0</v>
      </c>
      <c r="GK210" s="259">
        <f t="shared" ca="1" si="591"/>
        <v>0</v>
      </c>
      <c r="GL210" s="259">
        <f t="shared" ca="1" si="591"/>
        <v>0</v>
      </c>
      <c r="GM210" s="259">
        <f ca="1">IF(OR(GK210&gt;0,GL210&gt;0),MAX($GM$2:GM209)+1,0)</f>
        <v>0</v>
      </c>
      <c r="GN210" s="259" t="str">
        <f ca="1">IFERROR(INDEX($GD$3:$GM$400,MATCH(ROWS($GN$3:GN210),$GM$3:$GM$400,0),1),"")</f>
        <v/>
      </c>
      <c r="GO210" s="259" t="str">
        <f ca="1">IFERROR(INDEX($GD$3:$GM$400,MATCH(ROWS($GO$3:GO210),$GM$3:$GM$400,0),8),"")</f>
        <v/>
      </c>
      <c r="GP210" s="259" t="str">
        <f ca="1">IFERROR(INDEX($GD$3:$GM$400,MATCH(ROWS($GP$3:GP210),$GM$3:$GM$400,0),9),"")</f>
        <v/>
      </c>
      <c r="GQ210" s="259">
        <f t="shared" ca="1" si="535"/>
        <v>0</v>
      </c>
      <c r="GR210" s="259">
        <f t="shared" ca="1" si="592"/>
        <v>0</v>
      </c>
      <c r="GS210" s="259" t="str">
        <f t="shared" ca="1" si="593"/>
        <v/>
      </c>
      <c r="GT210" s="259" t="str">
        <f ca="1">IFERROR(INDEX($GD$3:$GS$400,MATCH(ROWS($GT$3:GT210),$GM$3:$GM$400,0),16),"")</f>
        <v/>
      </c>
      <c r="GU210" s="259">
        <f ca="1">IF(GQ210&lt;&gt;0,MAX($GU$2:$GU209)+1,0)</f>
        <v>0</v>
      </c>
      <c r="GV210" s="259">
        <f t="shared" ca="1" si="594"/>
        <v>0</v>
      </c>
      <c r="GW210" s="259" t="str">
        <f ca="1">IF(AND(IFERROR(INDEX($GU$3:$GV$400,MATCH(ROWS($GW$3:GW210),$GU$3:$GU$400,0),2),"")&lt;&gt;"",GW211&lt;&gt;""),CONCATENATE(IFERROR(INDEX($GU$3:$GV$400,MATCH(ROWS($GW$3:GW210),$GU$3:$GU$400,0),2),"")," - "),IFERROR(INDEX($GU$3:$GV$400,MATCH(ROWS($GW$3:GW210),$GU$3:$GU$400,0),2),""))</f>
        <v/>
      </c>
      <c r="GX210" s="259">
        <f ca="1">IF(OR(GN210="IVA NS/CREDITO",GN210="IVA NS/DEBITO",GN210="IVA C/ACCONTO",GN210="IMPOSTE C/ACCONTO"),MAX($GX$2:GX209)+1,0)</f>
        <v>0</v>
      </c>
      <c r="GY210" s="259" t="str">
        <f ca="1">IF(AND(IFERROR(INDEX($GN$3:$GX$200,MATCH(ROWS($GY$3:GY210),$GX$3:$GX$200,0),1),"")&lt;&gt;"",GY211&lt;&gt;""),CONCATENATE(IFERROR(INDEX($GN$3:$GX$200,MATCH(ROWS($GY$3:GY210),$GX$3:$GX$200,0),1),"")," - "),IFERROR(INDEX($GN$3:$GX$200,MATCH(ROWS($GY$3:GY210),$GX$3:$GX$200,0),1),""))</f>
        <v/>
      </c>
      <c r="HV210" s="259" t="str">
        <f ca="1">CONCATENATE(IFERROR(INDEX($HS$3:$HT$102,MATCH(ROWS($HV$3:HV210),$HT$3:$HT$102,0),1),""),HR210)</f>
        <v/>
      </c>
      <c r="IX210" s="259" t="str">
        <f t="shared" si="606"/>
        <v/>
      </c>
      <c r="IY210" s="259" t="str">
        <f t="shared" si="600"/>
        <v/>
      </c>
      <c r="IZ210" s="259" t="str">
        <f t="shared" si="608"/>
        <v/>
      </c>
      <c r="JA210" s="259" t="str">
        <f t="shared" ca="1" si="601"/>
        <v/>
      </c>
      <c r="JB210" s="259">
        <f t="shared" ca="1" si="536"/>
        <v>0</v>
      </c>
      <c r="JC210" s="259">
        <f t="shared" ca="1" si="504"/>
        <v>0</v>
      </c>
      <c r="JD210" s="259">
        <f t="shared" ca="1" si="505"/>
        <v>0</v>
      </c>
      <c r="JM210" s="259">
        <f t="shared" ca="1" si="506"/>
        <v>0</v>
      </c>
    </row>
    <row r="211" spans="1:273">
      <c r="A211" s="259">
        <f t="shared" si="537"/>
        <v>0</v>
      </c>
      <c r="B211" s="259">
        <f t="shared" si="538"/>
        <v>0</v>
      </c>
      <c r="C211" s="259">
        <f t="shared" si="539"/>
        <v>0</v>
      </c>
      <c r="D211" s="259">
        <f t="shared" si="540"/>
        <v>0</v>
      </c>
      <c r="E211" s="259">
        <f t="shared" si="541"/>
        <v>0</v>
      </c>
      <c r="F211" s="259">
        <f t="shared" si="542"/>
        <v>0</v>
      </c>
      <c r="G211" s="259">
        <f t="shared" ca="1" si="543"/>
        <v>0</v>
      </c>
      <c r="H211" s="259">
        <f t="shared" ca="1" si="544"/>
        <v>0</v>
      </c>
      <c r="I211" s="259">
        <f t="shared" ca="1" si="545"/>
        <v>0</v>
      </c>
      <c r="K211" s="259" t="str">
        <f ca="1">IFERROR(IF($I$1=1,INDEX($AA$3:$AS$220,MATCH(ROWS($K$3:K211),$AQ$3:$AQ$220,0),1),IF($I$1=2,INDEX($AA$3:$AS$220,MATCH(ROWS($K$3:K211),$AR$3:$AR$220,0),1),IF($I$1=3,INDEX($AA$3:$AS$220,MATCH(ROWS($K$3:K211),$AS$3:$AS$220,0),1),""))),"")</f>
        <v/>
      </c>
      <c r="L211" s="259">
        <f ca="1">IF(AND($L$1="VISUALIZZA TUTTI I CONTI",K211&lt;&gt;""),MAX(L210:L210)+1,IFERROR(IF($J$1=1,IF(INDEX(PIANO_DEI_CONTI,MATCH($K211,DENOMINAZIONE,0),5)=$L$1,MAX($L$2:L210)+1,0),IF($J$1=2,IF(INDEX(PIANO_DEI_CONTI,MATCH($K211,DENOMINAZIONE,0),7)=$L$1,MAX($L$2:L210)+1,0))),0))</f>
        <v>0</v>
      </c>
      <c r="M211" s="259" t="str">
        <f ca="1">IFERROR(INDEX($K$3:$K$220,MATCH(ROWS($M$3:M211),$L$3:$L$220,0),1),"")</f>
        <v/>
      </c>
      <c r="R211" s="259" t="str">
        <f t="shared" ca="1" si="516"/>
        <v/>
      </c>
      <c r="S211" s="259">
        <f ca="1">IF(IFERROR(MATCH(R211,DENOMINAZIONE_GIORNALE,0),0)&gt;0,MAX(S$2:S210)+1,0)</f>
        <v>0</v>
      </c>
      <c r="T211" s="259" t="str">
        <f ca="1">IFERROR(INDEX($R$3:$S$220,MATCH(ROWS($T$3:T211),$S$3:$S$220,0),1),"")</f>
        <v/>
      </c>
      <c r="U211" s="259">
        <f t="shared" ca="1" si="517"/>
        <v>0</v>
      </c>
      <c r="V211" s="259">
        <f ca="1">IF(IF(U211&lt;&gt;0,MAX($V$2:V210)+1,0)=0,0,IF(U211&lt;&gt;0,MAX($V$2:V210)+1,0))</f>
        <v>0</v>
      </c>
      <c r="W211" s="259">
        <f t="shared" si="546"/>
        <v>0</v>
      </c>
      <c r="X211" s="259">
        <f t="shared" si="547"/>
        <v>0</v>
      </c>
      <c r="Y211" s="259">
        <f>IF(W211="",0,MAX($Y$2:Y210)+1)</f>
        <v>178</v>
      </c>
      <c r="Z211" s="259" t="str">
        <f>IFERROR(INDEX($W$3:$Y$220,MATCH(ROWS($Z$2:Z210),$Y$3:$Y$220,0),1),"")</f>
        <v/>
      </c>
      <c r="AA211" s="259" t="str">
        <f t="shared" si="548"/>
        <v/>
      </c>
      <c r="AB211" s="259" t="str">
        <f t="shared" si="549"/>
        <v/>
      </c>
      <c r="AC211" s="259" t="str">
        <f t="shared" si="550"/>
        <v/>
      </c>
      <c r="AD211" s="259" t="str">
        <f t="shared" si="551"/>
        <v/>
      </c>
      <c r="AE211" s="259" t="str">
        <f t="shared" si="552"/>
        <v/>
      </c>
      <c r="AF211" s="259" t="str">
        <f t="shared" si="553"/>
        <v/>
      </c>
      <c r="AG211" s="259" t="str">
        <f t="shared" si="554"/>
        <v/>
      </c>
      <c r="AH211" s="259" t="str">
        <f t="shared" si="555"/>
        <v/>
      </c>
      <c r="AI211" s="259" t="str">
        <f t="shared" si="556"/>
        <v/>
      </c>
      <c r="AJ211" s="259" t="str">
        <f t="shared" si="557"/>
        <v/>
      </c>
      <c r="AK211" s="259" t="str">
        <f t="shared" si="558"/>
        <v/>
      </c>
      <c r="AL211" s="259">
        <f>IF(AK211&lt;&gt;"",MAX($AL$2:AL210)+1,0)</f>
        <v>0</v>
      </c>
      <c r="AM211" s="259" t="str">
        <f>IFERROR(INDEX($AK$3:$AL$220,MATCH(ROWS($AM$3:AM211),$AL$3:$AL$220,0),1),"")</f>
        <v/>
      </c>
      <c r="AN211" s="259" t="str">
        <f t="shared" si="559"/>
        <v/>
      </c>
      <c r="AO211" s="259" t="str">
        <f t="shared" si="560"/>
        <v/>
      </c>
      <c r="AP211" s="259" t="str">
        <f t="shared" si="561"/>
        <v/>
      </c>
      <c r="AQ211" s="259">
        <f>IF(OR(AG211=0,AG211=""),0,MAX(AQ$2:AQ210)+1)</f>
        <v>0</v>
      </c>
      <c r="AR211" s="259">
        <f>IF(OR(AH211=0,AH211=""),0,MAX(AR$2:AR210)+1)</f>
        <v>0</v>
      </c>
      <c r="AS211" s="259">
        <f>IF(OR(AI211=0,AI211=""),0,MAX(AS$2:AS210)+1)</f>
        <v>0</v>
      </c>
      <c r="AT211" s="259" t="str">
        <f ca="1">IFERROR(INDEX($AD$3:$AS$220,MATCH(ROWS(AT$3:AT211),AQ$3:AQ$220,0),1),"")</f>
        <v/>
      </c>
      <c r="AU211" s="259" t="str">
        <f ca="1">IFERROR(INDEX($AD$3:$AS$220,MATCH(ROWS(AU$3:AU211),AR$3:AR$220,0),1),"")</f>
        <v/>
      </c>
      <c r="AV211" s="259" t="str">
        <f ca="1">IFERROR(INDEX($AD$3:$AS$220,MATCH(ROWS(AV$3:AV211),AS$3:AS$220,0),1),"")</f>
        <v/>
      </c>
      <c r="AW211" s="259" t="str">
        <f ca="1">IFERROR(INDEX($AP$3:$AS$220,MATCH(ROWS(AW$3:AW211),AQ$3:AQ$220,0),1),"")</f>
        <v/>
      </c>
      <c r="AX211" s="259" t="str">
        <f ca="1">IFERROR(INDEX($AP$3:$AS$220,MATCH(ROWS(AX$3:AX211),AR$3:AR$220,0),1),"")</f>
        <v/>
      </c>
      <c r="AY211" s="259" t="str">
        <f ca="1">IFERROR(INDEX($AP$3:$AS$220,MATCH(ROWS(AY$3:AY211),AS$3:AS$220,0),1),"")</f>
        <v/>
      </c>
      <c r="AZ211" s="259" t="str">
        <f t="shared" ca="1" si="616"/>
        <v/>
      </c>
      <c r="BA211" s="259">
        <f t="shared" ca="1" si="484"/>
        <v>0</v>
      </c>
      <c r="BB211" s="259">
        <f t="shared" ca="1" si="617"/>
        <v>0</v>
      </c>
      <c r="BC211" s="259">
        <f t="shared" ca="1" si="618"/>
        <v>0</v>
      </c>
      <c r="BD211" s="259">
        <f t="shared" ca="1" si="619"/>
        <v>0</v>
      </c>
      <c r="BE211" s="259">
        <f t="shared" ca="1" si="620"/>
        <v>0</v>
      </c>
      <c r="BG211" s="259" t="str">
        <f t="shared" ca="1" si="518"/>
        <v/>
      </c>
      <c r="BH211" s="259">
        <f ca="1">IF(IFERROR(MATCH(BG211,DENOMINAZIONE_GIORNALE,0),0)&gt;0,MAX(BH$2:BH210)+1,0)</f>
        <v>0</v>
      </c>
      <c r="BI211" s="259" t="str">
        <f ca="1">IFERROR(INDEX($BG$3:$BH$220,MATCH(ROWS($BI$3:BI211),$BH$3:$BH$220,0),1),"")</f>
        <v/>
      </c>
      <c r="BJ211" s="259" t="str">
        <f t="shared" ca="1" si="519"/>
        <v/>
      </c>
      <c r="BK211" s="259" t="str">
        <f ca="1">IF(IF(BJ211&lt;&gt;"",MAX($BK$2:BK210)+1,0)=0,"",IF(BJ211&lt;&gt;"",MAX($BK$2:BK210)+1,0))</f>
        <v/>
      </c>
      <c r="BL211" s="259" t="str">
        <f ca="1">IFERROR(INDEX($T$3:$U$220, MATCH(ROWS(BL$3:BL211),$V$3:$V$220,0),1),"")</f>
        <v/>
      </c>
      <c r="BM211" s="259" t="str">
        <f ca="1">IFERROR(INDEX($T$3:$U$220, MATCH(ROWS(BM$3:BM211),$V$3:$V$220,0),2),"")</f>
        <v/>
      </c>
      <c r="BN211" s="259" t="str">
        <f ca="1">IF(IFERROR(INDEX($BI$3:$BJ$220,MATCH(ROWS(BN$3:BN211),$BK$3:$BK$220,0),1),"")="PATRIMONIO NETTO","",IFERROR(INDEX($BI$3:$BJ$220,MATCH(ROWS(BN$3:BN211),$BK$3:$BK$220,0),1),""))</f>
        <v/>
      </c>
      <c r="BO211" s="259" t="str">
        <f ca="1">IFERROR(INDEX($BI$3:$BJ$220,MATCH(ROWS(BO$3:BO211),$BK$3:$BK$220,0),2),"")</f>
        <v/>
      </c>
      <c r="BP211" s="259">
        <f ca="1">IF(BN211&lt;&gt;"",MAX(BP$2:$BP210)+1,0)</f>
        <v>0</v>
      </c>
      <c r="BQ211" s="259" t="str">
        <f ca="1">IFERROR(INDEX($BN$3:$BO$200,MATCH(ROWS(BQ$3:BQ211),$BP$3:$BP$220,0),1),"")</f>
        <v/>
      </c>
      <c r="BR211" s="259" t="str">
        <f ca="1">IFERROR(INDEX($BN$3:$BO$220,MATCH(ROWS(BR$3:BR211),$BP$3:$BP$220,0),2),"")</f>
        <v/>
      </c>
      <c r="BS211" s="259" t="str">
        <f ca="1">IFERROR(IF(OR(INDEX($T$3:$U$220,MATCH(ROWS(BL$3:BL211),$V$3:$V$220,0),1)="PRELEVAMENTI EXTRAGESTIONE",INDEX($T$3:$U$220,MATCH(ROWS(BL$3:BL211),$V$3:$V$220,0),1)="TITOLARE C/RITENUTE SUBITE"),"",INDEX($T$3:$U$220,MATCH(ROWS(BL$3:BL211),$V$3:$V$220,0),1)),"")</f>
        <v/>
      </c>
      <c r="BT211" s="259">
        <f t="shared" ca="1" si="562"/>
        <v>0</v>
      </c>
      <c r="BU211" s="259">
        <f ca="1">IF(BS211&lt;&gt;"",MAX(BU$2:BU210)+1,0)</f>
        <v>0</v>
      </c>
      <c r="BV211" s="259" t="str">
        <f ca="1">IFERROR(INDEX($BS$3:$BT$223,MATCH(ROWS(BV$3:BV211),$BU$3:$BU$223,0),1),"")</f>
        <v/>
      </c>
      <c r="BW211" s="259">
        <f t="shared" ca="1" si="563"/>
        <v>0</v>
      </c>
      <c r="CB211" s="259" t="str">
        <f ca="1">IFERROR(IF(OR($BB$1&lt;&gt;$BD$1,$BC$1&lt;&gt;$BE$1,$DS$231&lt;&gt;$DT$231,$DU$231&lt;&gt;$DV$231,$EO$25&lt;&gt;0,$EO$26&lt;&gt;0),INDEX($BI$3:$BK$220,MATCH(ROWS($CB$3:CB211),$BK$3:$BK$220,0),1),CONCATENATE(BQ211,BX211)),"")</f>
        <v/>
      </c>
      <c r="CC211" s="259" t="str">
        <f t="shared" ca="1" si="564"/>
        <v/>
      </c>
      <c r="CD211" s="259" t="str">
        <f t="shared" ca="1" si="520"/>
        <v/>
      </c>
      <c r="CE211" s="259">
        <f ca="1">IF(IFERROR(MATCH(CD211,DENOMINAZIONE_GIORNALE,0),0)&gt;0,MAX(CE$2:CE210)+1,0)</f>
        <v>0</v>
      </c>
      <c r="CF211" s="259" t="str">
        <f ca="1">IFERROR(INDEX($CD$3:$CE$220,MATCH(ROWS($CF$3:CF211),$CE$3:$CE$220,0),1),"")</f>
        <v/>
      </c>
      <c r="CG211" s="259">
        <f t="shared" ca="1" si="521"/>
        <v>0</v>
      </c>
      <c r="CH211" s="259" t="str">
        <f ca="1">IF(IF(CG211&lt;&gt;0,MAX($CH$2:CH210)+1,0)=0,"",IF(CG211&lt;&gt;"",MAX($CH$2:CH210)+1,0))</f>
        <v/>
      </c>
      <c r="CI211" s="259" t="str">
        <f ca="1">IFERROR(INDEX($CF$3:$CG$220,MATCH(ROWS($CI$3:CI211),$CH$3:$CH$220,0),1),"")</f>
        <v/>
      </c>
      <c r="CJ211" s="259" t="str">
        <f t="shared" ca="1" si="565"/>
        <v/>
      </c>
      <c r="CK211" s="259" t="str">
        <f t="shared" ca="1" si="522"/>
        <v/>
      </c>
      <c r="CL211" s="259">
        <f ca="1">IF(IFERROR(MATCH(CK211,DENOMINAZIONE_GIORNALE,0),0)&gt;0,MAX(CL$2:CL210)+1,0)</f>
        <v>0</v>
      </c>
      <c r="CM211" s="259" t="str">
        <f ca="1">IFERROR(INDEX($CK$3:$CL$220,MATCH(ROWS($CM$3:CM211),$CL$3:$CL$220,0),1),"")</f>
        <v/>
      </c>
      <c r="CN211" s="259" t="str">
        <f t="shared" ca="1" si="523"/>
        <v/>
      </c>
      <c r="CO211" s="259">
        <f ca="1">IF(IF(CN211&lt;&gt;0,MAX($CO$2:CO210)+1,0)=0,"",IF(CN211&lt;&gt;"",MAX($CO$2:CO210)+1,0))</f>
        <v>0</v>
      </c>
      <c r="CP211" s="259" t="str">
        <f ca="1">IFERROR(INDEX($CM$3:$CN$220,MATCH(ROWS(CP$3:CP211),$CO$3:$CO$220,0),1),"")</f>
        <v/>
      </c>
      <c r="CQ211" s="259" t="str">
        <f ca="1">IFERROR(INDEX($CM$3:$CN$220,MATCH(ROWS(CQ$3:CQ211),$CO$3:$CO$220,0),2),"")</f>
        <v/>
      </c>
      <c r="CS211" s="259">
        <f t="shared" ca="1" si="524"/>
        <v>0</v>
      </c>
      <c r="CT211" s="259">
        <f t="shared" ca="1" si="525"/>
        <v>0</v>
      </c>
      <c r="CU211" s="259">
        <f ca="1">IF(OR(CS211&gt;0,CT211&gt;0),MAX($CU$2:CU210)+1,0)</f>
        <v>0</v>
      </c>
      <c r="CV211" s="259" t="str">
        <f ca="1">IFERROR(INDEX(PIANO_DEI_CONTI,MATCH(ROWS($CV$3:CV211),$CU$3:$CU$200,0),2),"")</f>
        <v/>
      </c>
      <c r="CW211" s="259">
        <f ca="1">IFERROR(IF(CV211&lt;&gt;"",MAX($CW$2:CW210)+1,0),0)</f>
        <v>0</v>
      </c>
      <c r="CX211" s="259">
        <f t="shared" ca="1" si="609"/>
        <v>12</v>
      </c>
      <c r="CY211" s="259" t="str">
        <f t="shared" ca="1" si="607"/>
        <v>MASTRO</v>
      </c>
      <c r="CZ211" s="259" t="e">
        <f t="shared" ca="1" si="611"/>
        <v>#N/A</v>
      </c>
      <c r="DA211" s="259" t="str">
        <f t="shared" ca="1" si="621"/>
        <v/>
      </c>
      <c r="DB211" s="259" t="str">
        <f t="shared" ca="1" si="612"/>
        <v/>
      </c>
      <c r="DC211" s="259" t="str">
        <f t="shared" ca="1" si="613"/>
        <v/>
      </c>
      <c r="DD211" s="259" t="str">
        <f t="shared" ca="1" si="614"/>
        <v/>
      </c>
      <c r="DE211" s="259" t="str">
        <f t="shared" ca="1" si="615"/>
        <v/>
      </c>
      <c r="DF211" s="259">
        <f ca="1">IF(AND(CX211=$DE$2,$DF$2&lt;&gt;0),0,IF(AND(DB211&lt;&gt;"",OR(DB210&lt;&gt;"",DB212&lt;&gt;"")),MAX($DF$2:DF210)+1,0))</f>
        <v>0</v>
      </c>
      <c r="DG211" s="259" t="str">
        <f>IF(IF(LIBRO_GIORNALE!E119="","",IFERROR(INDEX(PIANO_DEI_CONTI,MATCH(BB211,DENOMINAZIONE,0),1),0))=0,"",IF(LIBRO_GIORNALE!E119="","",IFERROR(INDEX(PIANO_DEI_CONTI,MATCH(BB211,DENOMINAZIONE,0),1),0)))</f>
        <v/>
      </c>
      <c r="DH211" s="259">
        <f ca="1">IFERROR(IF($J$1=1,IF(INDEX(PIANO_DEI_CONTI,MATCH($K211,DENOMINAZIONE,0),5)=$DF$1,MAX($DH$2:DH210)+1,0),IF($J$1=2,IF(INDEX(PIANO_DEI_CONTI,MATCH($K211,DENOMINAZIONE,0),7)=$DF$1,MAX($DH$2:DH210)+1,0))),0)</f>
        <v>0</v>
      </c>
      <c r="DI211" s="259">
        <f ca="1">IFERROR(INDEX($K$3:$K$220,MATCH(ROWS($DI$3:DI211),$DH$3:$DH$220,0),1),0)</f>
        <v>0</v>
      </c>
      <c r="DJ211" s="259">
        <f t="shared" ca="1" si="526"/>
        <v>0</v>
      </c>
      <c r="DK211" s="259">
        <f ca="1">IF(DJ211=0,0,MAX(DK$2:DK210)+1)</f>
        <v>0</v>
      </c>
      <c r="DL211" s="259">
        <f ca="1">IFERROR(INDEX(PIANO_DEI_CONTI,MATCH(ROWS(DL$3:DL211),$DK$3:DK438,0),2),0)</f>
        <v>0</v>
      </c>
      <c r="DM211" s="259">
        <f t="shared" ca="1" si="527"/>
        <v>0</v>
      </c>
      <c r="DN211" s="259">
        <f t="shared" ca="1" si="528"/>
        <v>0</v>
      </c>
      <c r="DO211" s="259">
        <f t="shared" ca="1" si="566"/>
        <v>0</v>
      </c>
      <c r="DP211" s="259">
        <f t="shared" ca="1" si="567"/>
        <v>0</v>
      </c>
      <c r="DQ211" s="259">
        <f ca="1">IF(OR($DQ$1="TOTALI",$DQ$1="TOTALI ED ECCEDENZE"),IF(OR(DM211&gt;0,DN211&gt;0),MAX(DQ$2:DQ210)+1,0),IF($DQ$1="ECCEDENZE",IF(OR(DO211&gt;0,DP211&gt;0),MAX(DQ$2:DQ210)+1,0),""))</f>
        <v>0</v>
      </c>
      <c r="DR211" s="259" t="str">
        <f ca="1">IFERROR(INDEX($DL$3:$DQ$230,MATCH(ROWS(DR$3:DR211),$DQ$3:$DQ$230,0),1),"")</f>
        <v/>
      </c>
      <c r="DS211" s="259" t="str">
        <f t="shared" ca="1" si="568"/>
        <v/>
      </c>
      <c r="DT211" s="259" t="str">
        <f t="shared" ca="1" si="569"/>
        <v/>
      </c>
      <c r="DU211" s="259" t="str">
        <f t="shared" ca="1" si="570"/>
        <v/>
      </c>
      <c r="DV211" s="259" t="str">
        <f t="shared" ca="1" si="571"/>
        <v/>
      </c>
      <c r="DW211" s="259">
        <f t="shared" ca="1" si="572"/>
        <v>0</v>
      </c>
      <c r="DX211" s="259" t="str">
        <f t="shared" ca="1" si="573"/>
        <v/>
      </c>
      <c r="DY211" s="259" t="str">
        <f t="shared" ca="1" si="574"/>
        <v/>
      </c>
      <c r="DZ211" s="259" t="str">
        <f t="shared" ca="1" si="575"/>
        <v/>
      </c>
      <c r="ED211" s="259">
        <f t="shared" ca="1" si="529"/>
        <v>0</v>
      </c>
      <c r="EH211" s="259" t="str">
        <f t="shared" ca="1" si="576"/>
        <v/>
      </c>
      <c r="EI211" s="260" t="b">
        <f t="shared" ca="1" si="602"/>
        <v>0</v>
      </c>
      <c r="EJ211" s="260" t="b">
        <f t="shared" ca="1" si="603"/>
        <v>0</v>
      </c>
      <c r="EK211" s="260" t="b">
        <f t="shared" ca="1" si="604"/>
        <v>0</v>
      </c>
      <c r="EL211" s="259">
        <f t="shared" si="577"/>
        <v>209</v>
      </c>
      <c r="EM211" s="259">
        <f ca="1">IF(AND(BA211&gt;0,BA211&lt;=$EM$1),MAX($EM$2:EM210)+1,0)</f>
        <v>0</v>
      </c>
      <c r="EN211" s="259">
        <f t="shared" ca="1" si="578"/>
        <v>211</v>
      </c>
      <c r="EP211" s="259" t="str">
        <f t="shared" ca="1" si="530"/>
        <v/>
      </c>
      <c r="EQ211" s="259">
        <f t="shared" ca="1" si="531"/>
        <v>0</v>
      </c>
      <c r="ER211" s="259">
        <f ca="1">IF(ISNA(EQ211),MAX(ER$2:ER210)+1,0)</f>
        <v>0</v>
      </c>
      <c r="ES211" s="259" t="str">
        <f t="shared" ca="1" si="579"/>
        <v/>
      </c>
      <c r="ET211" s="259" t="str">
        <f ca="1">IFERROR(UPPER(INDEX($ER$3:$ES$500,MATCH(ROWS(ET$3:ET211),$ER$3:$ER$500,0),2)),"")</f>
        <v/>
      </c>
      <c r="EW211" s="259">
        <f t="shared" ca="1" si="497"/>
        <v>1</v>
      </c>
      <c r="EX211" s="259">
        <v>109</v>
      </c>
      <c r="EY211" s="259">
        <f t="shared" ca="1" si="498"/>
        <v>0</v>
      </c>
      <c r="EZ211" s="259">
        <f t="shared" ca="1" si="499"/>
        <v>0</v>
      </c>
      <c r="FA211" s="259">
        <f t="shared" ca="1" si="500"/>
        <v>0</v>
      </c>
      <c r="FB211" s="259">
        <f t="shared" ca="1" si="501"/>
        <v>0</v>
      </c>
      <c r="FC211" s="259">
        <f t="shared" ca="1" si="502"/>
        <v>0</v>
      </c>
      <c r="FD211" s="259">
        <f t="shared" ca="1" si="532"/>
        <v>0</v>
      </c>
      <c r="FE211" s="259" t="str">
        <f t="shared" ca="1" si="533"/>
        <v/>
      </c>
      <c r="FF211" s="259" t="str">
        <f t="shared" ca="1" si="503"/>
        <v/>
      </c>
      <c r="FM211" s="259">
        <f t="shared" si="534"/>
        <v>0</v>
      </c>
      <c r="FN211" s="259">
        <f>IF(FM211&lt;0,MAX($FN$2:FN210)+1,0)</f>
        <v>0</v>
      </c>
      <c r="FO211" s="259" t="str">
        <f t="shared" si="580"/>
        <v/>
      </c>
      <c r="FP211" s="259" t="str">
        <f ca="1">IFERROR(INDEX($FN$3:$FO$400,MATCH(ROWS($FP$3:FP211),$FN$3:$FN$400,0),2),"")</f>
        <v/>
      </c>
      <c r="FQ211" s="259" t="str">
        <f>IF(AE211="SE AVERE",MAX($FQ$2:FQ210)+1,"")</f>
        <v/>
      </c>
      <c r="FR211" s="259" t="str">
        <f>IF(AE211="SE DARE",MAX($FR$2:FR210)+1,"")</f>
        <v/>
      </c>
      <c r="FS211" s="259" t="str">
        <f ca="1">IF(AND(AE211="SP DARE",AA211&lt;&gt;$FS$1,AA211&lt;&gt;$FT$1),MAX($FS$2:FS210)+1,IF(AND(GQ211="SP DARE",AA211&lt;&gt;$FS$1,AA211&lt;&gt;$FT$1),MAX($FS$2:FS210)+1,""))</f>
        <v/>
      </c>
      <c r="FT211" s="259" t="str">
        <f ca="1">IF(AND(AE211="SP AVERE",AA211&lt;&gt;$FU$1),MAX($FT$2:FT210)+1,IF(AND(GQ211="SP AVERE",AA211&lt;&gt;$FU$1),MAX($FT$2:FT210)+1,""))</f>
        <v/>
      </c>
      <c r="FU211" s="259">
        <f t="shared" ca="1" si="581"/>
        <v>0</v>
      </c>
      <c r="FV211" s="259" t="str">
        <f t="shared" si="582"/>
        <v/>
      </c>
      <c r="FW211" s="259">
        <f ca="1">IFERROR(INDEX($FU$3:$FV$500,MATCH(ROWS($FW$3:FW211),$FU$3:$FU$500,0),2),0)</f>
        <v>0</v>
      </c>
      <c r="FX211" s="259">
        <f t="shared" ca="1" si="583"/>
        <v>0</v>
      </c>
      <c r="FY211" s="259">
        <f t="shared" ca="1" si="584"/>
        <v>0</v>
      </c>
      <c r="FZ211" s="259">
        <f ca="1">IF(FY211&gt;0,MAX($FZ$2:FZ210)+1,0)</f>
        <v>0</v>
      </c>
      <c r="GA211" s="259">
        <f ca="1">IFERROR(INDEX($FY$3:$FZ$500,MATCH(ROWS($GA$3:GA211),$FZ$3:$FZ$500,0),1),0)</f>
        <v>0</v>
      </c>
      <c r="GC211" s="259">
        <f t="shared" ca="1" si="585"/>
        <v>0</v>
      </c>
      <c r="GD211" s="259">
        <f t="shared" ca="1" si="586"/>
        <v>0</v>
      </c>
      <c r="GG211" s="259">
        <f t="shared" ca="1" si="587"/>
        <v>0</v>
      </c>
      <c r="GH211" s="259">
        <f t="shared" ca="1" si="588"/>
        <v>0</v>
      </c>
      <c r="GI211" s="259">
        <f t="shared" ca="1" si="589"/>
        <v>0</v>
      </c>
      <c r="GJ211" s="259">
        <f t="shared" ca="1" si="590"/>
        <v>0</v>
      </c>
      <c r="GK211" s="259">
        <f t="shared" ca="1" si="591"/>
        <v>0</v>
      </c>
      <c r="GL211" s="259">
        <f t="shared" ca="1" si="591"/>
        <v>0</v>
      </c>
      <c r="GM211" s="259">
        <f ca="1">IF(OR(GK211&gt;0,GL211&gt;0),MAX($GM$2:GM210)+1,0)</f>
        <v>0</v>
      </c>
      <c r="GN211" s="259" t="str">
        <f ca="1">IFERROR(INDEX($GD$3:$GM$400,MATCH(ROWS($GN$3:GN211),$GM$3:$GM$400,0),1),"")</f>
        <v/>
      </c>
      <c r="GO211" s="259" t="str">
        <f ca="1">IFERROR(INDEX($GD$3:$GM$400,MATCH(ROWS($GO$3:GO211),$GM$3:$GM$400,0),8),"")</f>
        <v/>
      </c>
      <c r="GP211" s="259" t="str">
        <f ca="1">IFERROR(INDEX($GD$3:$GM$400,MATCH(ROWS($GP$3:GP211),$GM$3:$GM$400,0),9),"")</f>
        <v/>
      </c>
      <c r="GQ211" s="259">
        <f t="shared" ca="1" si="535"/>
        <v>0</v>
      </c>
      <c r="GR211" s="259">
        <f t="shared" ca="1" si="592"/>
        <v>0</v>
      </c>
      <c r="GS211" s="259" t="str">
        <f t="shared" ca="1" si="593"/>
        <v/>
      </c>
      <c r="GT211" s="259" t="str">
        <f ca="1">IFERROR(INDEX($GD$3:$GS$400,MATCH(ROWS($GT$3:GT211),$GM$3:$GM$400,0),16),"")</f>
        <v/>
      </c>
      <c r="GU211" s="259">
        <f ca="1">IF(GQ211&lt;&gt;0,MAX($GU$2:$GU210)+1,0)</f>
        <v>0</v>
      </c>
      <c r="GV211" s="259">
        <f t="shared" ca="1" si="594"/>
        <v>0</v>
      </c>
      <c r="GW211" s="259" t="str">
        <f ca="1">IF(AND(IFERROR(INDEX($GU$3:$GV$400,MATCH(ROWS($GW$3:GW211),$GU$3:$GU$400,0),2),"")&lt;&gt;"",GW212&lt;&gt;""),CONCATENATE(IFERROR(INDEX($GU$3:$GV$400,MATCH(ROWS($GW$3:GW211),$GU$3:$GU$400,0),2),"")," - "),IFERROR(INDEX($GU$3:$GV$400,MATCH(ROWS($GW$3:GW211),$GU$3:$GU$400,0),2),""))</f>
        <v/>
      </c>
      <c r="GX211" s="259">
        <f ca="1">IF(OR(GN211="IVA NS/CREDITO",GN211="IVA NS/DEBITO",GN211="IVA C/ACCONTO",GN211="IMPOSTE C/ACCONTO"),MAX($GX$2:GX210)+1,0)</f>
        <v>0</v>
      </c>
      <c r="GY211" s="259" t="str">
        <f ca="1">IF(AND(IFERROR(INDEX($GN$3:$GX$200,MATCH(ROWS($GY$3:GY211),$GX$3:$GX$200,0),1),"")&lt;&gt;"",GY212&lt;&gt;""),CONCATENATE(IFERROR(INDEX($GN$3:$GX$200,MATCH(ROWS($GY$3:GY211),$GX$3:$GX$200,0),1),"")," - "),IFERROR(INDEX($GN$3:$GX$200,MATCH(ROWS($GY$3:GY211),$GX$3:$GX$200,0),1),""))</f>
        <v/>
      </c>
      <c r="HV211" s="259" t="str">
        <f ca="1">CONCATENATE(IFERROR(INDEX($HS$3:$HT$102,MATCH(ROWS($HV$3:HV211),$HT$3:$HT$102,0),1),""),HR211)</f>
        <v/>
      </c>
      <c r="IX211" s="259" t="str">
        <f t="shared" si="606"/>
        <v/>
      </c>
      <c r="IY211" s="259" t="str">
        <f t="shared" si="600"/>
        <v/>
      </c>
      <c r="IZ211" s="259" t="str">
        <f t="shared" si="608"/>
        <v/>
      </c>
      <c r="JA211" s="259" t="str">
        <f t="shared" ca="1" si="601"/>
        <v/>
      </c>
      <c r="JB211" s="259">
        <f t="shared" ca="1" si="536"/>
        <v>0</v>
      </c>
      <c r="JC211" s="259">
        <f t="shared" ca="1" si="504"/>
        <v>0</v>
      </c>
      <c r="JD211" s="259">
        <f t="shared" ca="1" si="505"/>
        <v>0</v>
      </c>
      <c r="JM211" s="259">
        <f t="shared" ca="1" si="506"/>
        <v>0</v>
      </c>
    </row>
    <row r="212" spans="1:273">
      <c r="A212" s="259">
        <f t="shared" si="537"/>
        <v>0</v>
      </c>
      <c r="B212" s="259">
        <f t="shared" si="538"/>
        <v>0</v>
      </c>
      <c r="C212" s="259">
        <f t="shared" si="539"/>
        <v>0</v>
      </c>
      <c r="D212" s="259">
        <f t="shared" si="540"/>
        <v>0</v>
      </c>
      <c r="E212" s="259">
        <f t="shared" si="541"/>
        <v>0</v>
      </c>
      <c r="F212" s="259">
        <f t="shared" si="542"/>
        <v>0</v>
      </c>
      <c r="G212" s="259">
        <f t="shared" ca="1" si="543"/>
        <v>0</v>
      </c>
      <c r="H212" s="259">
        <f t="shared" ca="1" si="544"/>
        <v>0</v>
      </c>
      <c r="I212" s="259">
        <f t="shared" ca="1" si="545"/>
        <v>0</v>
      </c>
      <c r="K212" s="259" t="str">
        <f ca="1">IFERROR(IF($I$1=1,INDEX($AA$3:$AS$220,MATCH(ROWS($K$3:K212),$AQ$3:$AQ$220,0),1),IF($I$1=2,INDEX($AA$3:$AS$220,MATCH(ROWS($K$3:K212),$AR$3:$AR$220,0),1),IF($I$1=3,INDEX($AA$3:$AS$220,MATCH(ROWS($K$3:K212),$AS$3:$AS$220,0),1),""))),"")</f>
        <v/>
      </c>
      <c r="L212" s="259">
        <f ca="1">IF(AND($L$1="VISUALIZZA TUTTI I CONTI",K212&lt;&gt;""),MAX(L211:L211)+1,IFERROR(IF($J$1=1,IF(INDEX(PIANO_DEI_CONTI,MATCH($K212,DENOMINAZIONE,0),5)=$L$1,MAX($L$2:L211)+1,0),IF($J$1=2,IF(INDEX(PIANO_DEI_CONTI,MATCH($K212,DENOMINAZIONE,0),7)=$L$1,MAX($L$2:L211)+1,0))),0))</f>
        <v>0</v>
      </c>
      <c r="M212" s="259" t="str">
        <f ca="1">IFERROR(INDEX($K$3:$K$220,MATCH(ROWS($M$3:M212),$L$3:$L$220,0),1),"")</f>
        <v/>
      </c>
      <c r="R212" s="259" t="str">
        <f t="shared" ca="1" si="516"/>
        <v/>
      </c>
      <c r="S212" s="259">
        <f ca="1">IF(IFERROR(MATCH(R212,DENOMINAZIONE_GIORNALE,0),0)&gt;0,MAX(S$2:S211)+1,0)</f>
        <v>0</v>
      </c>
      <c r="T212" s="259" t="str">
        <f ca="1">IFERROR(INDEX($R$3:$S$220,MATCH(ROWS($T$3:T212),$S$3:$S$220,0),1),"")</f>
        <v/>
      </c>
      <c r="U212" s="259">
        <f t="shared" ca="1" si="517"/>
        <v>0</v>
      </c>
      <c r="V212" s="259">
        <f ca="1">IF(IF(U212&lt;&gt;0,MAX($V$2:V211)+1,0)=0,0,IF(U212&lt;&gt;0,MAX($V$2:V211)+1,0))</f>
        <v>0</v>
      </c>
      <c r="W212" s="259">
        <f t="shared" si="546"/>
        <v>0</v>
      </c>
      <c r="X212" s="259">
        <f t="shared" si="547"/>
        <v>0</v>
      </c>
      <c r="Y212" s="259">
        <f>IF(W212="",0,MAX($Y$2:Y211)+1)</f>
        <v>179</v>
      </c>
      <c r="Z212" s="259" t="str">
        <f>IFERROR(INDEX($W$3:$Y$220,MATCH(ROWS($Z$2:Z211),$Y$3:$Y$220,0),1),"")</f>
        <v/>
      </c>
      <c r="AA212" s="259" t="str">
        <f t="shared" si="548"/>
        <v/>
      </c>
      <c r="AB212" s="259" t="str">
        <f t="shared" si="549"/>
        <v/>
      </c>
      <c r="AC212" s="259" t="str">
        <f t="shared" si="550"/>
        <v/>
      </c>
      <c r="AD212" s="259" t="str">
        <f t="shared" si="551"/>
        <v/>
      </c>
      <c r="AE212" s="259" t="str">
        <f t="shared" si="552"/>
        <v/>
      </c>
      <c r="AF212" s="259" t="str">
        <f t="shared" si="553"/>
        <v/>
      </c>
      <c r="AG212" s="259" t="str">
        <f t="shared" si="554"/>
        <v/>
      </c>
      <c r="AH212" s="259" t="str">
        <f t="shared" si="555"/>
        <v/>
      </c>
      <c r="AI212" s="259" t="str">
        <f t="shared" si="556"/>
        <v/>
      </c>
      <c r="AJ212" s="259" t="str">
        <f t="shared" si="557"/>
        <v/>
      </c>
      <c r="AK212" s="259" t="str">
        <f t="shared" si="558"/>
        <v/>
      </c>
      <c r="AL212" s="259">
        <f>IF(AK212&lt;&gt;"",MAX($AL$2:AL211)+1,0)</f>
        <v>0</v>
      </c>
      <c r="AM212" s="259" t="str">
        <f>IFERROR(INDEX($AK$3:$AL$220,MATCH(ROWS($AM$3:AM212),$AL$3:$AL$220,0),1),"")</f>
        <v/>
      </c>
      <c r="AN212" s="259" t="str">
        <f t="shared" si="559"/>
        <v/>
      </c>
      <c r="AO212" s="259" t="str">
        <f t="shared" si="560"/>
        <v/>
      </c>
      <c r="AP212" s="259" t="str">
        <f t="shared" si="561"/>
        <v/>
      </c>
      <c r="AQ212" s="259">
        <f>IF(OR(AG212=0,AG212=""),0,MAX(AQ$2:AQ211)+1)</f>
        <v>0</v>
      </c>
      <c r="AR212" s="259">
        <f>IF(OR(AH212=0,AH212=""),0,MAX(AR$2:AR211)+1)</f>
        <v>0</v>
      </c>
      <c r="AS212" s="259">
        <f>IF(OR(AI212=0,AI212=""),0,MAX(AS$2:AS211)+1)</f>
        <v>0</v>
      </c>
      <c r="AT212" s="259" t="str">
        <f ca="1">IFERROR(INDEX($AD$3:$AS$220,MATCH(ROWS(AT$3:AT212),AQ$3:AQ$220,0),1),"")</f>
        <v/>
      </c>
      <c r="AU212" s="259" t="str">
        <f ca="1">IFERROR(INDEX($AD$3:$AS$220,MATCH(ROWS(AU$3:AU212),AR$3:AR$220,0),1),"")</f>
        <v/>
      </c>
      <c r="AV212" s="259" t="str">
        <f ca="1">IFERROR(INDEX($AD$3:$AS$220,MATCH(ROWS(AV$3:AV212),AS$3:AS$220,0),1),"")</f>
        <v/>
      </c>
      <c r="AW212" s="259" t="str">
        <f ca="1">IFERROR(INDEX($AP$3:$AS$220,MATCH(ROWS(AW$3:AW212),AQ$3:AQ$220,0),1),"")</f>
        <v/>
      </c>
      <c r="AX212" s="259" t="str">
        <f ca="1">IFERROR(INDEX($AP$3:$AS$220,MATCH(ROWS(AX$3:AX212),AR$3:AR$220,0),1),"")</f>
        <v/>
      </c>
      <c r="AY212" s="259" t="str">
        <f ca="1">IFERROR(INDEX($AP$3:$AS$220,MATCH(ROWS(AY$3:AY212),AS$3:AS$220,0),1),"")</f>
        <v/>
      </c>
      <c r="AZ212" s="259" t="str">
        <f t="shared" ca="1" si="616"/>
        <v/>
      </c>
      <c r="BA212" s="259">
        <f t="shared" ca="1" si="484"/>
        <v>0</v>
      </c>
      <c r="BB212" s="259">
        <f t="shared" ca="1" si="617"/>
        <v>0</v>
      </c>
      <c r="BC212" s="259">
        <f t="shared" ca="1" si="618"/>
        <v>0</v>
      </c>
      <c r="BD212" s="259">
        <f t="shared" ca="1" si="619"/>
        <v>0</v>
      </c>
      <c r="BE212" s="259">
        <f t="shared" ca="1" si="620"/>
        <v>0</v>
      </c>
      <c r="BG212" s="259" t="str">
        <f t="shared" ca="1" si="518"/>
        <v/>
      </c>
      <c r="BH212" s="259">
        <f ca="1">IF(IFERROR(MATCH(BG212,DENOMINAZIONE_GIORNALE,0),0)&gt;0,MAX(BH$2:BH211)+1,0)</f>
        <v>0</v>
      </c>
      <c r="BI212" s="259" t="str">
        <f ca="1">IFERROR(INDEX($BG$3:$BH$220,MATCH(ROWS($BI$3:BI212),$BH$3:$BH$220,0),1),"")</f>
        <v/>
      </c>
      <c r="BJ212" s="259" t="str">
        <f t="shared" ca="1" si="519"/>
        <v/>
      </c>
      <c r="BK212" s="259" t="str">
        <f ca="1">IF(IF(BJ212&lt;&gt;"",MAX($BK$2:BK211)+1,0)=0,"",IF(BJ212&lt;&gt;"",MAX($BK$2:BK211)+1,0))</f>
        <v/>
      </c>
      <c r="BL212" s="259" t="str">
        <f ca="1">IFERROR(INDEX($T$3:$U$220, MATCH(ROWS(BL$3:BL212),$V$3:$V$220,0),1),"")</f>
        <v/>
      </c>
      <c r="BM212" s="259" t="str">
        <f ca="1">IFERROR(INDEX($T$3:$U$220, MATCH(ROWS(BM$3:BM212),$V$3:$V$220,0),2),"")</f>
        <v/>
      </c>
      <c r="BN212" s="259" t="str">
        <f ca="1">IF(IFERROR(INDEX($BI$3:$BJ$220,MATCH(ROWS(BN$3:BN212),$BK$3:$BK$220,0),1),"")="PATRIMONIO NETTO","",IFERROR(INDEX($BI$3:$BJ$220,MATCH(ROWS(BN$3:BN212),$BK$3:$BK$220,0),1),""))</f>
        <v/>
      </c>
      <c r="BO212" s="259" t="str">
        <f ca="1">IFERROR(INDEX($BI$3:$BJ$220,MATCH(ROWS(BO$3:BO212),$BK$3:$BK$220,0),2),"")</f>
        <v/>
      </c>
      <c r="BP212" s="259">
        <f ca="1">IF(BN212&lt;&gt;"",MAX(BP$2:$BP211)+1,0)</f>
        <v>0</v>
      </c>
      <c r="BQ212" s="259" t="str">
        <f ca="1">IFERROR(INDEX($BN$3:$BO$200,MATCH(ROWS(BQ$3:BQ212),$BP$3:$BP$220,0),1),"")</f>
        <v/>
      </c>
      <c r="BR212" s="259" t="str">
        <f ca="1">IFERROR(INDEX($BN$3:$BO$220,MATCH(ROWS(BR$3:BR212),$BP$3:$BP$220,0),2),"")</f>
        <v/>
      </c>
      <c r="BS212" s="259" t="str">
        <f ca="1">IFERROR(IF(OR(INDEX($T$3:$U$220,MATCH(ROWS(BL$3:BL212),$V$3:$V$220,0),1)="PRELEVAMENTI EXTRAGESTIONE",INDEX($T$3:$U$220,MATCH(ROWS(BL$3:BL212),$V$3:$V$220,0),1)="TITOLARE C/RITENUTE SUBITE"),"",INDEX($T$3:$U$220,MATCH(ROWS(BL$3:BL212),$V$3:$V$220,0),1)),"")</f>
        <v/>
      </c>
      <c r="BT212" s="259">
        <f t="shared" ca="1" si="562"/>
        <v>0</v>
      </c>
      <c r="BU212" s="259">
        <f ca="1">IF(BS212&lt;&gt;"",MAX(BU$2:BU211)+1,0)</f>
        <v>0</v>
      </c>
      <c r="BV212" s="259" t="str">
        <f ca="1">IFERROR(INDEX($BS$3:$BT$223,MATCH(ROWS(BV$3:BV212),$BU$3:$BU$223,0),1),"")</f>
        <v/>
      </c>
      <c r="BW212" s="259">
        <f t="shared" ca="1" si="563"/>
        <v>0</v>
      </c>
      <c r="CB212" s="259" t="str">
        <f ca="1">IFERROR(IF(OR($BB$1&lt;&gt;$BD$1,$BC$1&lt;&gt;$BE$1,$DS$231&lt;&gt;$DT$231,$DU$231&lt;&gt;$DV$231,$EO$25&lt;&gt;0,$EO$26&lt;&gt;0),INDEX($BI$3:$BK$220,MATCH(ROWS($CB$3:CB212),$BK$3:$BK$220,0),1),CONCATENATE(BQ212,BX212)),"")</f>
        <v/>
      </c>
      <c r="CC212" s="259" t="str">
        <f t="shared" ca="1" si="564"/>
        <v/>
      </c>
      <c r="CD212" s="259" t="str">
        <f t="shared" ca="1" si="520"/>
        <v/>
      </c>
      <c r="CE212" s="259">
        <f ca="1">IF(IFERROR(MATCH(CD212,DENOMINAZIONE_GIORNALE,0),0)&gt;0,MAX(CE$2:CE211)+1,0)</f>
        <v>0</v>
      </c>
      <c r="CF212" s="259" t="str">
        <f ca="1">IFERROR(INDEX($CD$3:$CE$220,MATCH(ROWS($CF$3:CF212),$CE$3:$CE$220,0),1),"")</f>
        <v/>
      </c>
      <c r="CG212" s="259">
        <f t="shared" ca="1" si="521"/>
        <v>0</v>
      </c>
      <c r="CH212" s="259" t="str">
        <f ca="1">IF(IF(CG212&lt;&gt;0,MAX($CH$2:CH211)+1,0)=0,"",IF(CG212&lt;&gt;"",MAX($CH$2:CH211)+1,0))</f>
        <v/>
      </c>
      <c r="CI212" s="259" t="str">
        <f ca="1">IFERROR(INDEX($CF$3:$CG$220,MATCH(ROWS($CI$3:CI212),$CH$3:$CH$220,0),1),"")</f>
        <v/>
      </c>
      <c r="CJ212" s="259" t="str">
        <f t="shared" ca="1" si="565"/>
        <v/>
      </c>
      <c r="CK212" s="259" t="str">
        <f t="shared" ca="1" si="522"/>
        <v/>
      </c>
      <c r="CL212" s="259">
        <f ca="1">IF(IFERROR(MATCH(CK212,DENOMINAZIONE_GIORNALE,0),0)&gt;0,MAX(CL$2:CL211)+1,0)</f>
        <v>0</v>
      </c>
      <c r="CM212" s="259" t="str">
        <f ca="1">IFERROR(INDEX($CK$3:$CL$220,MATCH(ROWS($CM$3:CM212),$CL$3:$CL$220,0),1),"")</f>
        <v/>
      </c>
      <c r="CN212" s="259" t="str">
        <f t="shared" ca="1" si="523"/>
        <v/>
      </c>
      <c r="CO212" s="259">
        <f ca="1">IF(IF(CN212&lt;&gt;0,MAX($CO$2:CO211)+1,0)=0,"",IF(CN212&lt;&gt;"",MAX($CO$2:CO211)+1,0))</f>
        <v>0</v>
      </c>
      <c r="CP212" s="259" t="str">
        <f ca="1">IFERROR(INDEX($CM$3:$CN$220,MATCH(ROWS(CP$3:CP212),$CO$3:$CO$220,0),1),"")</f>
        <v/>
      </c>
      <c r="CQ212" s="259" t="str">
        <f ca="1">IFERROR(INDEX($CM$3:$CN$220,MATCH(ROWS(CQ$3:CQ212),$CO$3:$CO$220,0),2),"")</f>
        <v/>
      </c>
      <c r="CS212" s="259">
        <f t="shared" ca="1" si="524"/>
        <v>0</v>
      </c>
      <c r="CT212" s="259">
        <f t="shared" ca="1" si="525"/>
        <v>0</v>
      </c>
      <c r="CU212" s="259">
        <f ca="1">IF(OR(CS212&gt;0,CT212&gt;0),MAX($CU$2:CU211)+1,0)</f>
        <v>0</v>
      </c>
      <c r="CV212" s="259" t="str">
        <f ca="1">IFERROR(INDEX(PIANO_DEI_CONTI,MATCH(ROWS($CV$3:CV212),$CU$3:$CU$200,0),2),"")</f>
        <v/>
      </c>
      <c r="CW212" s="259">
        <f ca="1">IFERROR(IF(CV212&lt;&gt;"",MAX($CW$2:CW211)+1,0),0)</f>
        <v>0</v>
      </c>
      <c r="CX212" s="259">
        <f t="shared" ca="1" si="609"/>
        <v>12</v>
      </c>
      <c r="CY212" s="259" t="str">
        <f t="shared" ca="1" si="607"/>
        <v>MASTRO</v>
      </c>
      <c r="CZ212" s="259" t="e">
        <f t="shared" ca="1" si="611"/>
        <v>#N/A</v>
      </c>
      <c r="DA212" s="259" t="str">
        <f t="shared" ca="1" si="621"/>
        <v/>
      </c>
      <c r="DB212" s="259" t="str">
        <f t="shared" ca="1" si="612"/>
        <v/>
      </c>
      <c r="DC212" s="259" t="str">
        <f t="shared" ca="1" si="613"/>
        <v/>
      </c>
      <c r="DD212" s="259" t="str">
        <f t="shared" ca="1" si="614"/>
        <v/>
      </c>
      <c r="DE212" s="259" t="str">
        <f t="shared" ca="1" si="615"/>
        <v/>
      </c>
      <c r="DF212" s="259">
        <f ca="1">IF(AND(CX212=$DE$2,$DF$2&lt;&gt;0),0,IF(AND(DB212&lt;&gt;"",OR(DB211&lt;&gt;"",DB213&lt;&gt;"")),MAX($DF$2:DF211)+1,0))</f>
        <v>0</v>
      </c>
      <c r="DG212" s="259" t="str">
        <f>IF(IF(LIBRO_GIORNALE!E120="","",IFERROR(INDEX(PIANO_DEI_CONTI,MATCH(BB212,DENOMINAZIONE,0),1),0))=0,"",IF(LIBRO_GIORNALE!E120="","",IFERROR(INDEX(PIANO_DEI_CONTI,MATCH(BB212,DENOMINAZIONE,0),1),0)))</f>
        <v/>
      </c>
      <c r="DH212" s="259">
        <f ca="1">IFERROR(IF($J$1=1,IF(INDEX(PIANO_DEI_CONTI,MATCH($K212,DENOMINAZIONE,0),5)=$DF$1,MAX($DH$2:DH211)+1,0),IF($J$1=2,IF(INDEX(PIANO_DEI_CONTI,MATCH($K212,DENOMINAZIONE,0),7)=$DF$1,MAX($DH$2:DH211)+1,0))),0)</f>
        <v>0</v>
      </c>
      <c r="DI212" s="259">
        <f ca="1">IFERROR(INDEX($K$3:$K$220,MATCH(ROWS($DI$3:DI212),$DH$3:$DH$220,0),1),0)</f>
        <v>0</v>
      </c>
      <c r="DJ212" s="259">
        <f t="shared" ca="1" si="526"/>
        <v>0</v>
      </c>
      <c r="DK212" s="259">
        <f ca="1">IF(DJ212=0,0,MAX(DK$2:DK211)+1)</f>
        <v>0</v>
      </c>
      <c r="DL212" s="259">
        <f ca="1">IFERROR(INDEX(PIANO_DEI_CONTI,MATCH(ROWS(DL$3:DL212),$DK$3:DK439,0),2),0)</f>
        <v>0</v>
      </c>
      <c r="DM212" s="259">
        <f t="shared" ca="1" si="527"/>
        <v>0</v>
      </c>
      <c r="DN212" s="259">
        <f t="shared" ca="1" si="528"/>
        <v>0</v>
      </c>
      <c r="DO212" s="259">
        <f t="shared" ca="1" si="566"/>
        <v>0</v>
      </c>
      <c r="DP212" s="259">
        <f t="shared" ca="1" si="567"/>
        <v>0</v>
      </c>
      <c r="DQ212" s="259">
        <f ca="1">IF(OR($DQ$1="TOTALI",$DQ$1="TOTALI ED ECCEDENZE"),IF(OR(DM212&gt;0,DN212&gt;0),MAX(DQ$2:DQ211)+1,0),IF($DQ$1="ECCEDENZE",IF(OR(DO212&gt;0,DP212&gt;0),MAX(DQ$2:DQ211)+1,0),""))</f>
        <v>0</v>
      </c>
      <c r="DR212" s="259" t="str">
        <f ca="1">IFERROR(INDEX($DL$3:$DQ$230,MATCH(ROWS(DR$3:DR212),$DQ$3:$DQ$230,0),1),"")</f>
        <v/>
      </c>
      <c r="DS212" s="259" t="str">
        <f t="shared" ca="1" si="568"/>
        <v/>
      </c>
      <c r="DT212" s="259" t="str">
        <f t="shared" ca="1" si="569"/>
        <v/>
      </c>
      <c r="DU212" s="259" t="str">
        <f t="shared" ca="1" si="570"/>
        <v/>
      </c>
      <c r="DV212" s="259" t="str">
        <f t="shared" ca="1" si="571"/>
        <v/>
      </c>
      <c r="DW212" s="259">
        <f t="shared" ca="1" si="572"/>
        <v>0</v>
      </c>
      <c r="DX212" s="259" t="str">
        <f t="shared" ca="1" si="573"/>
        <v/>
      </c>
      <c r="DY212" s="259" t="str">
        <f t="shared" ca="1" si="574"/>
        <v/>
      </c>
      <c r="DZ212" s="259" t="str">
        <f t="shared" ca="1" si="575"/>
        <v/>
      </c>
      <c r="ED212" s="259">
        <f t="shared" ca="1" si="529"/>
        <v>0</v>
      </c>
      <c r="EH212" s="259" t="str">
        <f t="shared" ca="1" si="576"/>
        <v/>
      </c>
      <c r="EI212" s="260" t="b">
        <f t="shared" ca="1" si="602"/>
        <v>0</v>
      </c>
      <c r="EJ212" s="260" t="b">
        <f t="shared" ca="1" si="603"/>
        <v>0</v>
      </c>
      <c r="EK212" s="260" t="b">
        <f t="shared" ca="1" si="604"/>
        <v>0</v>
      </c>
      <c r="EL212" s="259">
        <f t="shared" si="577"/>
        <v>210</v>
      </c>
      <c r="EM212" s="259">
        <f ca="1">IF(AND(BA212&gt;0,BA212&lt;=$EM$1),MAX($EM$2:EM211)+1,0)</f>
        <v>0</v>
      </c>
      <c r="EN212" s="259">
        <f t="shared" ca="1" si="578"/>
        <v>212</v>
      </c>
      <c r="EP212" s="259" t="str">
        <f t="shared" ca="1" si="530"/>
        <v/>
      </c>
      <c r="EQ212" s="259">
        <f t="shared" ca="1" si="531"/>
        <v>0</v>
      </c>
      <c r="ER212" s="259">
        <f ca="1">IF(ISNA(EQ212),MAX(ER$2:ER211)+1,0)</f>
        <v>0</v>
      </c>
      <c r="ES212" s="259" t="str">
        <f t="shared" ca="1" si="579"/>
        <v/>
      </c>
      <c r="ET212" s="259" t="str">
        <f ca="1">IFERROR(UPPER(INDEX($ER$3:$ES$500,MATCH(ROWS(ET$3:ET212),$ER$3:$ER$500,0),2)),"")</f>
        <v/>
      </c>
      <c r="EW212" s="259">
        <f t="shared" ca="1" si="497"/>
        <v>1</v>
      </c>
      <c r="EX212" s="259">
        <v>110</v>
      </c>
      <c r="EY212" s="259">
        <f t="shared" ca="1" si="498"/>
        <v>0</v>
      </c>
      <c r="EZ212" s="259">
        <f t="shared" ca="1" si="499"/>
        <v>0</v>
      </c>
      <c r="FA212" s="259">
        <f t="shared" ca="1" si="500"/>
        <v>0</v>
      </c>
      <c r="FB212" s="259">
        <f t="shared" ca="1" si="501"/>
        <v>0</v>
      </c>
      <c r="FC212" s="259">
        <f t="shared" ca="1" si="502"/>
        <v>0</v>
      </c>
      <c r="FD212" s="259">
        <f t="shared" ca="1" si="532"/>
        <v>0</v>
      </c>
      <c r="FE212" s="259" t="str">
        <f t="shared" ca="1" si="533"/>
        <v/>
      </c>
      <c r="FF212" s="259" t="str">
        <f t="shared" ca="1" si="503"/>
        <v/>
      </c>
      <c r="FM212" s="259">
        <f t="shared" si="534"/>
        <v>0</v>
      </c>
      <c r="FN212" s="259">
        <f>IF(FM212&lt;0,MAX($FN$2:FN211)+1,0)</f>
        <v>0</v>
      </c>
      <c r="FO212" s="259" t="str">
        <f t="shared" si="580"/>
        <v/>
      </c>
      <c r="FP212" s="259" t="str">
        <f ca="1">IFERROR(INDEX($FN$3:$FO$400,MATCH(ROWS($FP$3:FP212),$FN$3:$FN$400,0),2),"")</f>
        <v/>
      </c>
      <c r="FQ212" s="259" t="str">
        <f>IF(AE212="SE AVERE",MAX($FQ$2:FQ211)+1,"")</f>
        <v/>
      </c>
      <c r="FR212" s="259" t="str">
        <f>IF(AE212="SE DARE",MAX($FR$2:FR211)+1,"")</f>
        <v/>
      </c>
      <c r="FS212" s="259" t="str">
        <f ca="1">IF(AND(AE212="SP DARE",AA212&lt;&gt;$FS$1,AA212&lt;&gt;$FT$1),MAX($FS$2:FS211)+1,IF(AND(GQ212="SP DARE",AA212&lt;&gt;$FS$1,AA212&lt;&gt;$FT$1),MAX($FS$2:FS211)+1,""))</f>
        <v/>
      </c>
      <c r="FT212" s="259" t="str">
        <f ca="1">IF(AND(AE212="SP AVERE",AA212&lt;&gt;$FU$1),MAX($FT$2:FT211)+1,IF(AND(GQ212="SP AVERE",AA212&lt;&gt;$FU$1),MAX($FT$2:FT211)+1,""))</f>
        <v/>
      </c>
      <c r="FU212" s="259">
        <f t="shared" ca="1" si="581"/>
        <v>0</v>
      </c>
      <c r="FV212" s="259" t="str">
        <f t="shared" si="582"/>
        <v/>
      </c>
      <c r="FW212" s="259">
        <f ca="1">IFERROR(INDEX($FU$3:$FV$500,MATCH(ROWS($FW$3:FW212),$FU$3:$FU$500,0),2),0)</f>
        <v>0</v>
      </c>
      <c r="FX212" s="259">
        <f t="shared" ca="1" si="583"/>
        <v>0</v>
      </c>
      <c r="FY212" s="259">
        <f t="shared" ca="1" si="584"/>
        <v>0</v>
      </c>
      <c r="FZ212" s="259">
        <f ca="1">IF(FY212&gt;0,MAX($FZ$2:FZ211)+1,0)</f>
        <v>0</v>
      </c>
      <c r="GA212" s="259">
        <f ca="1">IFERROR(INDEX($FY$3:$FZ$500,MATCH(ROWS($GA$3:GA212),$FZ$3:$FZ$500,0),1),0)</f>
        <v>0</v>
      </c>
      <c r="GC212" s="259">
        <f t="shared" ca="1" si="585"/>
        <v>0</v>
      </c>
      <c r="GD212" s="259">
        <f t="shared" ca="1" si="586"/>
        <v>0</v>
      </c>
      <c r="GG212" s="259">
        <f t="shared" ca="1" si="587"/>
        <v>0</v>
      </c>
      <c r="GH212" s="259">
        <f t="shared" ca="1" si="588"/>
        <v>0</v>
      </c>
      <c r="GI212" s="259">
        <f t="shared" ca="1" si="589"/>
        <v>0</v>
      </c>
      <c r="GJ212" s="259">
        <f t="shared" ca="1" si="590"/>
        <v>0</v>
      </c>
      <c r="GK212" s="259">
        <f t="shared" ca="1" si="591"/>
        <v>0</v>
      </c>
      <c r="GL212" s="259">
        <f t="shared" ca="1" si="591"/>
        <v>0</v>
      </c>
      <c r="GM212" s="259">
        <f ca="1">IF(OR(GK212&gt;0,GL212&gt;0),MAX($GM$2:GM211)+1,0)</f>
        <v>0</v>
      </c>
      <c r="GN212" s="259" t="str">
        <f ca="1">IFERROR(INDEX($GD$3:$GM$400,MATCH(ROWS($GN$3:GN212),$GM$3:$GM$400,0),1),"")</f>
        <v/>
      </c>
      <c r="GO212" s="259" t="str">
        <f ca="1">IFERROR(INDEX($GD$3:$GM$400,MATCH(ROWS($GO$3:GO212),$GM$3:$GM$400,0),8),"")</f>
        <v/>
      </c>
      <c r="GP212" s="259" t="str">
        <f ca="1">IFERROR(INDEX($GD$3:$GM$400,MATCH(ROWS($GP$3:GP212),$GM$3:$GM$400,0),9),"")</f>
        <v/>
      </c>
      <c r="GQ212" s="259">
        <f t="shared" ca="1" si="535"/>
        <v>0</v>
      </c>
      <c r="GR212" s="259">
        <f t="shared" ca="1" si="592"/>
        <v>0</v>
      </c>
      <c r="GS212" s="259" t="str">
        <f t="shared" ca="1" si="593"/>
        <v/>
      </c>
      <c r="GT212" s="259" t="str">
        <f ca="1">IFERROR(INDEX($GD$3:$GS$400,MATCH(ROWS($GT$3:GT212),$GM$3:$GM$400,0),16),"")</f>
        <v/>
      </c>
      <c r="GU212" s="259">
        <f ca="1">IF(GQ212&lt;&gt;0,MAX($GU$2:$GU211)+1,0)</f>
        <v>0</v>
      </c>
      <c r="GV212" s="259">
        <f t="shared" ca="1" si="594"/>
        <v>0</v>
      </c>
      <c r="GW212" s="259" t="str">
        <f ca="1">IF(AND(IFERROR(INDEX($GU$3:$GV$400,MATCH(ROWS($GW$3:GW212),$GU$3:$GU$400,0),2),"")&lt;&gt;"",GW213&lt;&gt;""),CONCATENATE(IFERROR(INDEX($GU$3:$GV$400,MATCH(ROWS($GW$3:GW212),$GU$3:$GU$400,0),2),"")," - "),IFERROR(INDEX($GU$3:$GV$400,MATCH(ROWS($GW$3:GW212),$GU$3:$GU$400,0),2),""))</f>
        <v/>
      </c>
      <c r="GX212" s="259">
        <f ca="1">IF(OR(GN212="IVA NS/CREDITO",GN212="IVA NS/DEBITO",GN212="IVA C/ACCONTO",GN212="IMPOSTE C/ACCONTO"),MAX($GX$2:GX211)+1,0)</f>
        <v>0</v>
      </c>
      <c r="GY212" s="259" t="str">
        <f ca="1">IF(AND(IFERROR(INDEX($GN$3:$GX$200,MATCH(ROWS($GY$3:GY212),$GX$3:$GX$200,0),1),"")&lt;&gt;"",GY213&lt;&gt;""),CONCATENATE(IFERROR(INDEX($GN$3:$GX$200,MATCH(ROWS($GY$3:GY212),$GX$3:$GX$200,0),1),"")," - "),IFERROR(INDEX($GN$3:$GX$200,MATCH(ROWS($GY$3:GY212),$GX$3:$GX$200,0),1),""))</f>
        <v/>
      </c>
      <c r="HV212" s="259" t="str">
        <f ca="1">CONCATENATE(IFERROR(INDEX($HS$3:$HT$102,MATCH(ROWS($HV$3:HV212),$HT$3:$HT$102,0),1),""),HR212)</f>
        <v/>
      </c>
      <c r="IX212" s="259" t="str">
        <f t="shared" si="606"/>
        <v/>
      </c>
      <c r="IY212" s="259" t="str">
        <f t="shared" si="600"/>
        <v/>
      </c>
      <c r="IZ212" s="259" t="str">
        <f t="shared" si="608"/>
        <v/>
      </c>
      <c r="JA212" s="259" t="str">
        <f t="shared" ca="1" si="601"/>
        <v/>
      </c>
      <c r="JB212" s="259">
        <f t="shared" ca="1" si="536"/>
        <v>0</v>
      </c>
      <c r="JC212" s="259">
        <f t="shared" ca="1" si="504"/>
        <v>0</v>
      </c>
      <c r="JD212" s="259">
        <f t="shared" ca="1" si="505"/>
        <v>0</v>
      </c>
      <c r="JM212" s="259">
        <f t="shared" ca="1" si="506"/>
        <v>0</v>
      </c>
    </row>
    <row r="213" spans="1:273">
      <c r="A213" s="259">
        <f t="shared" si="537"/>
        <v>0</v>
      </c>
      <c r="B213" s="259">
        <f t="shared" si="538"/>
        <v>0</v>
      </c>
      <c r="C213" s="259">
        <f t="shared" si="539"/>
        <v>0</v>
      </c>
      <c r="D213" s="259">
        <f t="shared" si="540"/>
        <v>0</v>
      </c>
      <c r="E213" s="259">
        <f t="shared" si="541"/>
        <v>0</v>
      </c>
      <c r="F213" s="259">
        <f t="shared" si="542"/>
        <v>0</v>
      </c>
      <c r="G213" s="259">
        <f t="shared" ca="1" si="543"/>
        <v>0</v>
      </c>
      <c r="H213" s="259">
        <f t="shared" ca="1" si="544"/>
        <v>0</v>
      </c>
      <c r="I213" s="259">
        <f t="shared" ca="1" si="545"/>
        <v>0</v>
      </c>
      <c r="K213" s="259" t="str">
        <f ca="1">IFERROR(IF($I$1=1,INDEX($AA$3:$AS$220,MATCH(ROWS($K$3:K213),$AQ$3:$AQ$220,0),1),IF($I$1=2,INDEX($AA$3:$AS$220,MATCH(ROWS($K$3:K213),$AR$3:$AR$220,0),1),IF($I$1=3,INDEX($AA$3:$AS$220,MATCH(ROWS($K$3:K213),$AS$3:$AS$220,0),1),""))),"")</f>
        <v/>
      </c>
      <c r="L213" s="259">
        <f ca="1">IF(AND($L$1="VISUALIZZA TUTTI I CONTI",K213&lt;&gt;""),MAX(L212:L212)+1,IFERROR(IF($J$1=1,IF(INDEX(PIANO_DEI_CONTI,MATCH($K213,DENOMINAZIONE,0),5)=$L$1,MAX($L$2:L212)+1,0),IF($J$1=2,IF(INDEX(PIANO_DEI_CONTI,MATCH($K213,DENOMINAZIONE,0),7)=$L$1,MAX($L$2:L212)+1,0))),0))</f>
        <v>0</v>
      </c>
      <c r="M213" s="259" t="str">
        <f ca="1">IFERROR(INDEX($K$3:$K$220,MATCH(ROWS($M$3:M213),$L$3:$L$220,0),1),"")</f>
        <v/>
      </c>
      <c r="R213" s="259" t="str">
        <f t="shared" ca="1" si="516"/>
        <v/>
      </c>
      <c r="S213" s="259">
        <f ca="1">IF(IFERROR(MATCH(R213,DENOMINAZIONE_GIORNALE,0),0)&gt;0,MAX(S$2:S212)+1,0)</f>
        <v>0</v>
      </c>
      <c r="T213" s="259" t="str">
        <f ca="1">IFERROR(INDEX($R$3:$S$220,MATCH(ROWS($T$3:T213),$S$3:$S$220,0),1),"")</f>
        <v/>
      </c>
      <c r="U213" s="259">
        <f t="shared" ca="1" si="517"/>
        <v>0</v>
      </c>
      <c r="V213" s="259">
        <f ca="1">IF(IF(U213&lt;&gt;0,MAX($V$2:V212)+1,0)=0,0,IF(U213&lt;&gt;0,MAX($V$2:V212)+1,0))</f>
        <v>0</v>
      </c>
      <c r="W213" s="259">
        <f t="shared" si="546"/>
        <v>0</v>
      </c>
      <c r="X213" s="259">
        <f t="shared" si="547"/>
        <v>0</v>
      </c>
      <c r="Y213" s="259">
        <f>IF(W213="",0,MAX($Y$2:Y212)+1)</f>
        <v>180</v>
      </c>
      <c r="Z213" s="259" t="str">
        <f>IFERROR(INDEX($W$3:$Y$220,MATCH(ROWS($Z$2:Z212),$Y$3:$Y$220,0),1),"")</f>
        <v/>
      </c>
      <c r="AA213" s="259" t="str">
        <f t="shared" si="548"/>
        <v/>
      </c>
      <c r="AB213" s="259" t="str">
        <f t="shared" si="549"/>
        <v/>
      </c>
      <c r="AC213" s="259" t="str">
        <f t="shared" si="550"/>
        <v/>
      </c>
      <c r="AD213" s="259" t="str">
        <f t="shared" si="551"/>
        <v/>
      </c>
      <c r="AE213" s="259" t="str">
        <f t="shared" si="552"/>
        <v/>
      </c>
      <c r="AF213" s="259" t="str">
        <f t="shared" si="553"/>
        <v/>
      </c>
      <c r="AG213" s="259" t="str">
        <f t="shared" si="554"/>
        <v/>
      </c>
      <c r="AH213" s="259" t="str">
        <f t="shared" si="555"/>
        <v/>
      </c>
      <c r="AI213" s="259" t="str">
        <f t="shared" si="556"/>
        <v/>
      </c>
      <c r="AJ213" s="259" t="str">
        <f t="shared" si="557"/>
        <v/>
      </c>
      <c r="AK213" s="259" t="str">
        <f t="shared" si="558"/>
        <v/>
      </c>
      <c r="AL213" s="259">
        <f>IF(AK213&lt;&gt;"",MAX($AL$2:AL212)+1,0)</f>
        <v>0</v>
      </c>
      <c r="AM213" s="259" t="str">
        <f>IFERROR(INDEX($AK$3:$AL$220,MATCH(ROWS($AM$3:AM213),$AL$3:$AL$220,0),1),"")</f>
        <v/>
      </c>
      <c r="AN213" s="259" t="str">
        <f t="shared" si="559"/>
        <v/>
      </c>
      <c r="AO213" s="259" t="str">
        <f t="shared" si="560"/>
        <v/>
      </c>
      <c r="AP213" s="259" t="str">
        <f t="shared" si="561"/>
        <v/>
      </c>
      <c r="AQ213" s="259">
        <f>IF(OR(AG213=0,AG213=""),0,MAX(AQ$2:AQ212)+1)</f>
        <v>0</v>
      </c>
      <c r="AR213" s="259">
        <f>IF(OR(AH213=0,AH213=""),0,MAX(AR$2:AR212)+1)</f>
        <v>0</v>
      </c>
      <c r="AS213" s="259">
        <f>IF(OR(AI213=0,AI213=""),0,MAX(AS$2:AS212)+1)</f>
        <v>0</v>
      </c>
      <c r="AT213" s="259" t="str">
        <f ca="1">IFERROR(INDEX($AD$3:$AS$220,MATCH(ROWS(AT$3:AT213),AQ$3:AQ$220,0),1),"")</f>
        <v/>
      </c>
      <c r="AU213" s="259" t="str">
        <f ca="1">IFERROR(INDEX($AD$3:$AS$220,MATCH(ROWS(AU$3:AU213),AR$3:AR$220,0),1),"")</f>
        <v/>
      </c>
      <c r="AV213" s="259" t="str">
        <f ca="1">IFERROR(INDEX($AD$3:$AS$220,MATCH(ROWS(AV$3:AV213),AS$3:AS$220,0),1),"")</f>
        <v/>
      </c>
      <c r="AW213" s="259" t="str">
        <f ca="1">IFERROR(INDEX($AP$3:$AS$220,MATCH(ROWS(AW$3:AW213),AQ$3:AQ$220,0),1),"")</f>
        <v/>
      </c>
      <c r="AX213" s="259" t="str">
        <f ca="1">IFERROR(INDEX($AP$3:$AS$220,MATCH(ROWS(AX$3:AX213),AR$3:AR$220,0),1),"")</f>
        <v/>
      </c>
      <c r="AY213" s="259" t="str">
        <f ca="1">IFERROR(INDEX($AP$3:$AS$220,MATCH(ROWS(AY$3:AY213),AS$3:AS$220,0),1),"")</f>
        <v/>
      </c>
      <c r="AZ213" s="259" t="str">
        <f t="shared" ca="1" si="616"/>
        <v/>
      </c>
      <c r="BA213" s="259">
        <f t="shared" ca="1" si="484"/>
        <v>0</v>
      </c>
      <c r="BB213" s="259">
        <f t="shared" ca="1" si="617"/>
        <v>0</v>
      </c>
      <c r="BC213" s="259">
        <f t="shared" ca="1" si="618"/>
        <v>0</v>
      </c>
      <c r="BD213" s="259">
        <f t="shared" ca="1" si="619"/>
        <v>0</v>
      </c>
      <c r="BE213" s="259">
        <f t="shared" ca="1" si="620"/>
        <v>0</v>
      </c>
      <c r="BG213" s="259" t="str">
        <f t="shared" ca="1" si="518"/>
        <v/>
      </c>
      <c r="BH213" s="259">
        <f ca="1">IF(IFERROR(MATCH(BG213,DENOMINAZIONE_GIORNALE,0),0)&gt;0,MAX(BH$2:BH212)+1,0)</f>
        <v>0</v>
      </c>
      <c r="BI213" s="259" t="str">
        <f ca="1">IFERROR(INDEX($BG$3:$BH$220,MATCH(ROWS($BI$3:BI213),$BH$3:$BH$220,0),1),"")</f>
        <v/>
      </c>
      <c r="BJ213" s="259" t="str">
        <f t="shared" ca="1" si="519"/>
        <v/>
      </c>
      <c r="BK213" s="259" t="str">
        <f ca="1">IF(IF(BJ213&lt;&gt;"",MAX($BK$2:BK212)+1,0)=0,"",IF(BJ213&lt;&gt;"",MAX($BK$2:BK212)+1,0))</f>
        <v/>
      </c>
      <c r="BL213" s="259" t="str">
        <f ca="1">IFERROR(INDEX($T$3:$U$220, MATCH(ROWS(BL$3:BL213),$V$3:$V$220,0),1),"")</f>
        <v/>
      </c>
      <c r="BM213" s="259" t="str">
        <f ca="1">IFERROR(INDEX($T$3:$U$220, MATCH(ROWS(BM$3:BM213),$V$3:$V$220,0),2),"")</f>
        <v/>
      </c>
      <c r="BN213" s="259" t="str">
        <f ca="1">IF(IFERROR(INDEX($BI$3:$BJ$220,MATCH(ROWS(BN$3:BN213),$BK$3:$BK$220,0),1),"")="PATRIMONIO NETTO","",IFERROR(INDEX($BI$3:$BJ$220,MATCH(ROWS(BN$3:BN213),$BK$3:$BK$220,0),1),""))</f>
        <v/>
      </c>
      <c r="BO213" s="259" t="str">
        <f ca="1">IFERROR(INDEX($BI$3:$BJ$220,MATCH(ROWS(BO$3:BO213),$BK$3:$BK$220,0),2),"")</f>
        <v/>
      </c>
      <c r="BP213" s="259">
        <f ca="1">IF(BN213&lt;&gt;"",MAX(BP$2:$BP212)+1,0)</f>
        <v>0</v>
      </c>
      <c r="BQ213" s="259" t="str">
        <f ca="1">IFERROR(INDEX($BN$3:$BO$200,MATCH(ROWS(BQ$3:BQ213),$BP$3:$BP$220,0),1),"")</f>
        <v/>
      </c>
      <c r="BR213" s="259" t="str">
        <f ca="1">IFERROR(INDEX($BN$3:$BO$220,MATCH(ROWS(BR$3:BR213),$BP$3:$BP$220,0),2),"")</f>
        <v/>
      </c>
      <c r="BS213" s="259" t="str">
        <f ca="1">IFERROR(IF(OR(INDEX($T$3:$U$220,MATCH(ROWS(BL$3:BL213),$V$3:$V$220,0),1)="PRELEVAMENTI EXTRAGESTIONE",INDEX($T$3:$U$220,MATCH(ROWS(BL$3:BL213),$V$3:$V$220,0),1)="TITOLARE C/RITENUTE SUBITE"),"",INDEX($T$3:$U$220,MATCH(ROWS(BL$3:BL213),$V$3:$V$220,0),1)),"")</f>
        <v/>
      </c>
      <c r="BT213" s="259">
        <f t="shared" ca="1" si="562"/>
        <v>0</v>
      </c>
      <c r="BU213" s="259">
        <f ca="1">IF(BS213&lt;&gt;"",MAX(BU$2:BU212)+1,0)</f>
        <v>0</v>
      </c>
      <c r="BV213" s="259" t="str">
        <f ca="1">IFERROR(INDEX($BS$3:$BT$223,MATCH(ROWS(BV$3:BV213),$BU$3:$BU$223,0),1),"")</f>
        <v/>
      </c>
      <c r="BW213" s="259">
        <f t="shared" ca="1" si="563"/>
        <v>0</v>
      </c>
      <c r="CB213" s="259" t="str">
        <f ca="1">IFERROR(IF(OR($BB$1&lt;&gt;$BD$1,$BC$1&lt;&gt;$BE$1,$DS$231&lt;&gt;$DT$231,$DU$231&lt;&gt;$DV$231,$EO$25&lt;&gt;0,$EO$26&lt;&gt;0),INDEX($BI$3:$BK$220,MATCH(ROWS($CB$3:CB213),$BK$3:$BK$220,0),1),CONCATENATE(BQ213,BX213)),"")</f>
        <v/>
      </c>
      <c r="CC213" s="259" t="str">
        <f t="shared" ca="1" si="564"/>
        <v/>
      </c>
      <c r="CD213" s="259" t="str">
        <f t="shared" ca="1" si="520"/>
        <v/>
      </c>
      <c r="CE213" s="259">
        <f ca="1">IF(IFERROR(MATCH(CD213,DENOMINAZIONE_GIORNALE,0),0)&gt;0,MAX(CE$2:CE212)+1,0)</f>
        <v>0</v>
      </c>
      <c r="CF213" s="259" t="str">
        <f ca="1">IFERROR(INDEX($CD$3:$CE$220,MATCH(ROWS($CF$3:CF213),$CE$3:$CE$220,0),1),"")</f>
        <v/>
      </c>
      <c r="CG213" s="259">
        <f t="shared" ca="1" si="521"/>
        <v>0</v>
      </c>
      <c r="CH213" s="259" t="str">
        <f ca="1">IF(IF(CG213&lt;&gt;0,MAX($CH$2:CH212)+1,0)=0,"",IF(CG213&lt;&gt;"",MAX($CH$2:CH212)+1,0))</f>
        <v/>
      </c>
      <c r="CI213" s="259" t="str">
        <f ca="1">IFERROR(INDEX($CF$3:$CG$220,MATCH(ROWS($CI$3:CI213),$CH$3:$CH$220,0),1),"")</f>
        <v/>
      </c>
      <c r="CJ213" s="259" t="str">
        <f t="shared" ca="1" si="565"/>
        <v/>
      </c>
      <c r="CK213" s="259" t="str">
        <f t="shared" ca="1" si="522"/>
        <v/>
      </c>
      <c r="CL213" s="259">
        <f ca="1">IF(IFERROR(MATCH(CK213,DENOMINAZIONE_GIORNALE,0),0)&gt;0,MAX(CL$2:CL212)+1,0)</f>
        <v>0</v>
      </c>
      <c r="CM213" s="259" t="str">
        <f ca="1">IFERROR(INDEX($CK$3:$CL$220,MATCH(ROWS($CM$3:CM213),$CL$3:$CL$220,0),1),"")</f>
        <v/>
      </c>
      <c r="CN213" s="259" t="str">
        <f t="shared" ca="1" si="523"/>
        <v/>
      </c>
      <c r="CO213" s="259">
        <f ca="1">IF(IF(CN213&lt;&gt;0,MAX($CO$2:CO212)+1,0)=0,"",IF(CN213&lt;&gt;"",MAX($CO$2:CO212)+1,0))</f>
        <v>0</v>
      </c>
      <c r="CP213" s="259" t="str">
        <f ca="1">IFERROR(INDEX($CM$3:$CN$220,MATCH(ROWS(CP$3:CP213),$CO$3:$CO$220,0),1),"")</f>
        <v/>
      </c>
      <c r="CQ213" s="259" t="str">
        <f ca="1">IFERROR(INDEX($CM$3:$CN$220,MATCH(ROWS(CQ$3:CQ213),$CO$3:$CO$220,0),2),"")</f>
        <v/>
      </c>
      <c r="CS213" s="259">
        <f t="shared" ca="1" si="524"/>
        <v>0</v>
      </c>
      <c r="CT213" s="259">
        <f t="shared" ca="1" si="525"/>
        <v>0</v>
      </c>
      <c r="CU213" s="259">
        <f ca="1">IF(OR(CS213&gt;0,CT213&gt;0),MAX($CU$2:CU212)+1,0)</f>
        <v>0</v>
      </c>
      <c r="CV213" s="259" t="str">
        <f ca="1">IFERROR(INDEX(PIANO_DEI_CONTI,MATCH(ROWS($CV$3:CV213),$CU$3:$CU$200,0),2),"")</f>
        <v/>
      </c>
      <c r="CW213" s="259">
        <f ca="1">IFERROR(IF(CV213&lt;&gt;"",MAX($CW$2:CW212)+1,0),0)</f>
        <v>0</v>
      </c>
      <c r="CX213" s="259">
        <f t="shared" ca="1" si="609"/>
        <v>12</v>
      </c>
      <c r="CY213" s="259" t="str">
        <f t="shared" ca="1" si="607"/>
        <v>MASTRO</v>
      </c>
      <c r="CZ213" s="259" t="e">
        <f t="shared" ca="1" si="611"/>
        <v>#N/A</v>
      </c>
      <c r="DA213" s="259" t="str">
        <f t="shared" ca="1" si="621"/>
        <v/>
      </c>
      <c r="DB213" s="259" t="str">
        <f t="shared" ca="1" si="612"/>
        <v/>
      </c>
      <c r="DC213" s="259" t="str">
        <f t="shared" ca="1" si="613"/>
        <v/>
      </c>
      <c r="DD213" s="259" t="str">
        <f t="shared" ca="1" si="614"/>
        <v/>
      </c>
      <c r="DE213" s="259" t="str">
        <f t="shared" ca="1" si="615"/>
        <v/>
      </c>
      <c r="DF213" s="259">
        <f ca="1">IF(AND(CX213=$DE$2,$DF$2&lt;&gt;0),0,IF(AND(DB213&lt;&gt;"",OR(DB212&lt;&gt;"",DB214&lt;&gt;"")),MAX($DF$2:DF212)+1,0))</f>
        <v>0</v>
      </c>
      <c r="DG213" s="259" t="str">
        <f>IF(IF(LIBRO_GIORNALE!E121="","",IFERROR(INDEX(PIANO_DEI_CONTI,MATCH(BB213,DENOMINAZIONE,0),1),0))=0,"",IF(LIBRO_GIORNALE!E121="","",IFERROR(INDEX(PIANO_DEI_CONTI,MATCH(BB213,DENOMINAZIONE,0),1),0)))</f>
        <v/>
      </c>
      <c r="DH213" s="259">
        <f ca="1">IFERROR(IF($J$1=1,IF(INDEX(PIANO_DEI_CONTI,MATCH($K213,DENOMINAZIONE,0),5)=$DF$1,MAX($DH$2:DH212)+1,0),IF($J$1=2,IF(INDEX(PIANO_DEI_CONTI,MATCH($K213,DENOMINAZIONE,0),7)=$DF$1,MAX($DH$2:DH212)+1,0))),0)</f>
        <v>0</v>
      </c>
      <c r="DI213" s="259">
        <f ca="1">IFERROR(INDEX($K$3:$K$220,MATCH(ROWS($DI$3:DI213),$DH$3:$DH$220,0),1),0)</f>
        <v>0</v>
      </c>
      <c r="DJ213" s="259">
        <f t="shared" ca="1" si="526"/>
        <v>0</v>
      </c>
      <c r="DK213" s="259">
        <f ca="1">IF(DJ213=0,0,MAX(DK$2:DK212)+1)</f>
        <v>0</v>
      </c>
      <c r="DL213" s="259">
        <f ca="1">IFERROR(INDEX(PIANO_DEI_CONTI,MATCH(ROWS(DL$3:DL213),$DK$3:DK440,0),2),0)</f>
        <v>0</v>
      </c>
      <c r="DM213" s="259">
        <f t="shared" ca="1" si="527"/>
        <v>0</v>
      </c>
      <c r="DN213" s="259">
        <f t="shared" ca="1" si="528"/>
        <v>0</v>
      </c>
      <c r="DO213" s="259">
        <f t="shared" ca="1" si="566"/>
        <v>0</v>
      </c>
      <c r="DP213" s="259">
        <f t="shared" ca="1" si="567"/>
        <v>0</v>
      </c>
      <c r="DQ213" s="259">
        <f ca="1">IF(OR($DQ$1="TOTALI",$DQ$1="TOTALI ED ECCEDENZE"),IF(OR(DM213&gt;0,DN213&gt;0),MAX(DQ$2:DQ212)+1,0),IF($DQ$1="ECCEDENZE",IF(OR(DO213&gt;0,DP213&gt;0),MAX(DQ$2:DQ212)+1,0),""))</f>
        <v>0</v>
      </c>
      <c r="DR213" s="259" t="str">
        <f ca="1">IFERROR(INDEX($DL$3:$DQ$230,MATCH(ROWS(DR$3:DR213),$DQ$3:$DQ$230,0),1),"")</f>
        <v/>
      </c>
      <c r="DS213" s="259" t="str">
        <f t="shared" ca="1" si="568"/>
        <v/>
      </c>
      <c r="DT213" s="259" t="str">
        <f t="shared" ca="1" si="569"/>
        <v/>
      </c>
      <c r="DU213" s="259" t="str">
        <f t="shared" ca="1" si="570"/>
        <v/>
      </c>
      <c r="DV213" s="259" t="str">
        <f t="shared" ca="1" si="571"/>
        <v/>
      </c>
      <c r="DW213" s="259">
        <f t="shared" ca="1" si="572"/>
        <v>0</v>
      </c>
      <c r="DX213" s="259" t="str">
        <f t="shared" ca="1" si="573"/>
        <v/>
      </c>
      <c r="DY213" s="259" t="str">
        <f t="shared" ca="1" si="574"/>
        <v/>
      </c>
      <c r="DZ213" s="259" t="str">
        <f t="shared" ca="1" si="575"/>
        <v/>
      </c>
      <c r="EC213" s="259">
        <f>IF(IF(DG213&lt;&gt;"",REPLACE(DG213,3,1,""),0)&lt;&gt;0,MAX(EC$2:EC212)+1,0)</f>
        <v>0</v>
      </c>
      <c r="ED213" s="259">
        <f t="shared" ca="1" si="529"/>
        <v>0</v>
      </c>
      <c r="EH213" s="259" t="str">
        <f t="shared" ca="1" si="576"/>
        <v/>
      </c>
      <c r="EI213" s="260" t="b">
        <f t="shared" ca="1" si="602"/>
        <v>0</v>
      </c>
      <c r="EJ213" s="260" t="b">
        <f t="shared" ca="1" si="603"/>
        <v>0</v>
      </c>
      <c r="EK213" s="260" t="b">
        <f t="shared" ca="1" si="604"/>
        <v>0</v>
      </c>
      <c r="EL213" s="259">
        <f t="shared" si="577"/>
        <v>211</v>
      </c>
      <c r="EM213" s="259">
        <f ca="1">IF(AND(BA213&gt;0,BA213&lt;=$EM$1),MAX($EM$2:EM212)+1,0)</f>
        <v>0</v>
      </c>
      <c r="EN213" s="259">
        <f t="shared" ca="1" si="578"/>
        <v>213</v>
      </c>
      <c r="EP213" s="259" t="str">
        <f t="shared" ca="1" si="530"/>
        <v/>
      </c>
      <c r="EQ213" s="259">
        <f t="shared" ca="1" si="531"/>
        <v>0</v>
      </c>
      <c r="ER213" s="259">
        <f ca="1">IF(ISNA(EQ213),MAX(ER$2:ER212)+1,0)</f>
        <v>0</v>
      </c>
      <c r="ES213" s="259" t="str">
        <f t="shared" ca="1" si="579"/>
        <v/>
      </c>
      <c r="ET213" s="259" t="str">
        <f ca="1">IFERROR(UPPER(INDEX($ER$3:$ES$500,MATCH(ROWS(ET$3:ET213),$ER$3:$ER$500,0),2)),"")</f>
        <v/>
      </c>
      <c r="EW213" s="259">
        <f t="shared" ca="1" si="497"/>
        <v>1</v>
      </c>
      <c r="EX213" s="259">
        <v>111</v>
      </c>
      <c r="EY213" s="259">
        <f t="shared" ca="1" si="498"/>
        <v>0</v>
      </c>
      <c r="EZ213" s="259">
        <f t="shared" ca="1" si="499"/>
        <v>0</v>
      </c>
      <c r="FA213" s="259">
        <f t="shared" ca="1" si="500"/>
        <v>0</v>
      </c>
      <c r="FB213" s="259">
        <f t="shared" ca="1" si="501"/>
        <v>0</v>
      </c>
      <c r="FC213" s="259">
        <f t="shared" ca="1" si="502"/>
        <v>0</v>
      </c>
      <c r="FD213" s="259">
        <f t="shared" ca="1" si="532"/>
        <v>0</v>
      </c>
      <c r="FE213" s="259" t="str">
        <f t="shared" ca="1" si="533"/>
        <v/>
      </c>
      <c r="FF213" s="259" t="str">
        <f t="shared" ca="1" si="503"/>
        <v/>
      </c>
      <c r="FM213" s="259">
        <f t="shared" si="534"/>
        <v>0</v>
      </c>
      <c r="FN213" s="259">
        <f>IF(FM213&lt;0,MAX($FN$2:FN212)+1,0)</f>
        <v>0</v>
      </c>
      <c r="FO213" s="259" t="str">
        <f t="shared" si="580"/>
        <v/>
      </c>
      <c r="FP213" s="259" t="str">
        <f ca="1">IFERROR(INDEX($FN$3:$FO$400,MATCH(ROWS($FP$3:FP213),$FN$3:$FN$400,0),2),"")</f>
        <v/>
      </c>
      <c r="FQ213" s="259" t="str">
        <f>IF(AE213="SE AVERE",MAX($FQ$2:FQ212)+1,"")</f>
        <v/>
      </c>
      <c r="FR213" s="259" t="str">
        <f>IF(AE213="SE DARE",MAX($FR$2:FR212)+1,"")</f>
        <v/>
      </c>
      <c r="FS213" s="259" t="str">
        <f ca="1">IF(AND(AE213="SP DARE",AA213&lt;&gt;$FS$1,AA213&lt;&gt;$FT$1),MAX($FS$2:FS212)+1,IF(AND(GQ213="SP DARE",AA213&lt;&gt;$FS$1,AA213&lt;&gt;$FT$1),MAX($FS$2:FS212)+1,""))</f>
        <v/>
      </c>
      <c r="FT213" s="259" t="str">
        <f ca="1">IF(AND(AE213="SP AVERE",AA213&lt;&gt;$FU$1),MAX($FT$2:FT212)+1,IF(AND(GQ213="SP AVERE",AA213&lt;&gt;$FU$1),MAX($FT$2:FT212)+1,""))</f>
        <v/>
      </c>
      <c r="FU213" s="259">
        <f t="shared" ca="1" si="581"/>
        <v>0</v>
      </c>
      <c r="FV213" s="259" t="str">
        <f t="shared" si="582"/>
        <v/>
      </c>
      <c r="FW213" s="259">
        <f ca="1">IFERROR(INDEX($FU$3:$FV$500,MATCH(ROWS($FW$3:FW213),$FU$3:$FU$500,0),2),0)</f>
        <v>0</v>
      </c>
      <c r="FX213" s="259">
        <f t="shared" ca="1" si="583"/>
        <v>0</v>
      </c>
      <c r="FY213" s="259">
        <f t="shared" ca="1" si="584"/>
        <v>0</v>
      </c>
      <c r="FZ213" s="259">
        <f ca="1">IF(FY213&gt;0,MAX($FZ$2:FZ212)+1,0)</f>
        <v>0</v>
      </c>
      <c r="GA213" s="259">
        <f ca="1">IFERROR(INDEX($FY$3:$FZ$500,MATCH(ROWS($GA$3:GA213),$FZ$3:$FZ$500,0),1),0)</f>
        <v>0</v>
      </c>
      <c r="GC213" s="259">
        <f t="shared" ca="1" si="585"/>
        <v>0</v>
      </c>
      <c r="GD213" s="259">
        <f t="shared" ca="1" si="586"/>
        <v>0</v>
      </c>
      <c r="GG213" s="259">
        <f t="shared" ca="1" si="587"/>
        <v>0</v>
      </c>
      <c r="GH213" s="259">
        <f t="shared" ca="1" si="588"/>
        <v>0</v>
      </c>
      <c r="GI213" s="259">
        <f t="shared" ca="1" si="589"/>
        <v>0</v>
      </c>
      <c r="GJ213" s="259">
        <f t="shared" ca="1" si="590"/>
        <v>0</v>
      </c>
      <c r="GK213" s="259">
        <f t="shared" ca="1" si="591"/>
        <v>0</v>
      </c>
      <c r="GL213" s="259">
        <f t="shared" ca="1" si="591"/>
        <v>0</v>
      </c>
      <c r="GM213" s="259">
        <f ca="1">IF(OR(GK213&gt;0,GL213&gt;0),MAX($GM$2:GM212)+1,0)</f>
        <v>0</v>
      </c>
      <c r="GN213" s="259" t="str">
        <f ca="1">IFERROR(INDEX($GD$3:$GM$400,MATCH(ROWS($GN$3:GN213),$GM$3:$GM$400,0),1),"")</f>
        <v/>
      </c>
      <c r="GO213" s="259" t="str">
        <f ca="1">IFERROR(INDEX($GD$3:$GM$400,MATCH(ROWS($GO$3:GO213),$GM$3:$GM$400,0),8),"")</f>
        <v/>
      </c>
      <c r="GP213" s="259" t="str">
        <f ca="1">IFERROR(INDEX($GD$3:$GM$400,MATCH(ROWS($GP$3:GP213),$GM$3:$GM$400,0),9),"")</f>
        <v/>
      </c>
      <c r="GQ213" s="259">
        <f t="shared" ca="1" si="535"/>
        <v>0</v>
      </c>
      <c r="GR213" s="259">
        <f t="shared" ca="1" si="592"/>
        <v>0</v>
      </c>
      <c r="GS213" s="259" t="str">
        <f t="shared" ca="1" si="593"/>
        <v/>
      </c>
      <c r="GT213" s="259" t="str">
        <f ca="1">IFERROR(INDEX($GD$3:$GS$400,MATCH(ROWS($GT$3:GT213),$GM$3:$GM$400,0),16),"")</f>
        <v/>
      </c>
      <c r="GU213" s="259">
        <f ca="1">IF(GQ213&lt;&gt;0,MAX($GU$2:$GU212)+1,0)</f>
        <v>0</v>
      </c>
      <c r="GV213" s="259">
        <f t="shared" ca="1" si="594"/>
        <v>0</v>
      </c>
      <c r="GW213" s="259" t="str">
        <f ca="1">IF(AND(IFERROR(INDEX($GU$3:$GV$400,MATCH(ROWS($GW$3:GW213),$GU$3:$GU$400,0),2),"")&lt;&gt;"",GW214&lt;&gt;""),CONCATENATE(IFERROR(INDEX($GU$3:$GV$400,MATCH(ROWS($GW$3:GW213),$GU$3:$GU$400,0),2),"")," - "),IFERROR(INDEX($GU$3:$GV$400,MATCH(ROWS($GW$3:GW213),$GU$3:$GU$400,0),2),""))</f>
        <v/>
      </c>
      <c r="GX213" s="259">
        <f ca="1">IF(OR(GN213="IVA NS/CREDITO",GN213="IVA NS/DEBITO",GN213="IVA C/ACCONTO",GN213="IMPOSTE C/ACCONTO"),MAX($GX$2:GX212)+1,0)</f>
        <v>0</v>
      </c>
      <c r="GY213" s="259" t="str">
        <f ca="1">IF(AND(IFERROR(INDEX($GN$3:$GX$200,MATCH(ROWS($GY$3:GY213),$GX$3:$GX$200,0),1),"")&lt;&gt;"",GY214&lt;&gt;""),CONCATENATE(IFERROR(INDEX($GN$3:$GX$200,MATCH(ROWS($GY$3:GY213),$GX$3:$GX$200,0),1),"")," - "),IFERROR(INDEX($GN$3:$GX$200,MATCH(ROWS($GY$3:GY213),$GX$3:$GX$200,0),1),""))</f>
        <v/>
      </c>
      <c r="HV213" s="259" t="str">
        <f ca="1">CONCATENATE(IFERROR(INDEX($HS$3:$HT$102,MATCH(ROWS($HV$3:HV213),$HT$3:$HT$102,0),1),""),HR213)</f>
        <v/>
      </c>
      <c r="IX213" s="259" t="str">
        <f t="shared" si="606"/>
        <v/>
      </c>
      <c r="IY213" s="259" t="str">
        <f t="shared" si="600"/>
        <v/>
      </c>
      <c r="IZ213" s="259" t="str">
        <f t="shared" si="608"/>
        <v/>
      </c>
      <c r="JA213" s="259" t="str">
        <f t="shared" ca="1" si="601"/>
        <v/>
      </c>
      <c r="JB213" s="259">
        <f t="shared" ca="1" si="536"/>
        <v>0</v>
      </c>
      <c r="JC213" s="259">
        <f t="shared" ca="1" si="504"/>
        <v>0</v>
      </c>
      <c r="JD213" s="259">
        <f t="shared" ca="1" si="505"/>
        <v>0</v>
      </c>
      <c r="JM213" s="259">
        <f t="shared" ca="1" si="506"/>
        <v>0</v>
      </c>
    </row>
    <row r="214" spans="1:273">
      <c r="A214" s="259">
        <f t="shared" si="537"/>
        <v>0</v>
      </c>
      <c r="B214" s="259">
        <f t="shared" si="538"/>
        <v>0</v>
      </c>
      <c r="C214" s="259">
        <f t="shared" si="539"/>
        <v>0</v>
      </c>
      <c r="D214" s="259">
        <f t="shared" si="540"/>
        <v>0</v>
      </c>
      <c r="E214" s="259">
        <f t="shared" si="541"/>
        <v>0</v>
      </c>
      <c r="F214" s="259">
        <f t="shared" si="542"/>
        <v>0</v>
      </c>
      <c r="G214" s="259">
        <f t="shared" ca="1" si="543"/>
        <v>0</v>
      </c>
      <c r="H214" s="259">
        <f t="shared" ca="1" si="544"/>
        <v>0</v>
      </c>
      <c r="I214" s="259">
        <f t="shared" ca="1" si="545"/>
        <v>0</v>
      </c>
      <c r="K214" s="259" t="str">
        <f ca="1">IFERROR(IF($I$1=1,INDEX($AA$3:$AS$220,MATCH(ROWS($K$3:K214),$AQ$3:$AQ$220,0),1),IF($I$1=2,INDEX($AA$3:$AS$220,MATCH(ROWS($K$3:K214),$AR$3:$AR$220,0),1),IF($I$1=3,INDEX($AA$3:$AS$220,MATCH(ROWS($K$3:K214),$AS$3:$AS$220,0),1),""))),"")</f>
        <v/>
      </c>
      <c r="L214" s="259">
        <f ca="1">IF(AND($L$1="VISUALIZZA TUTTI I CONTI",K214&lt;&gt;""),MAX(L213:L213)+1,IFERROR(IF($J$1=1,IF(INDEX(PIANO_DEI_CONTI,MATCH($K214,DENOMINAZIONE,0),5)=$L$1,MAX($L$2:L213)+1,0),IF($J$1=2,IF(INDEX(PIANO_DEI_CONTI,MATCH($K214,DENOMINAZIONE,0),7)=$L$1,MAX($L$2:L213)+1,0))),0))</f>
        <v>0</v>
      </c>
      <c r="M214" s="259" t="str">
        <f ca="1">IFERROR(INDEX($K$3:$K$220,MATCH(ROWS($M$3:M214),$L$3:$L$220,0),1),"")</f>
        <v/>
      </c>
      <c r="R214" s="259" t="str">
        <f t="shared" ca="1" si="516"/>
        <v/>
      </c>
      <c r="S214" s="259">
        <f ca="1">IF(IFERROR(MATCH(R214,DENOMINAZIONE_GIORNALE,0),0)&gt;0,MAX(S$2:S213)+1,0)</f>
        <v>0</v>
      </c>
      <c r="T214" s="259" t="str">
        <f ca="1">IFERROR(INDEX($R$3:$S$220,MATCH(ROWS($T$3:T214),$S$3:$S$220,0),1),"")</f>
        <v/>
      </c>
      <c r="U214" s="259">
        <f t="shared" ca="1" si="517"/>
        <v>0</v>
      </c>
      <c r="V214" s="259">
        <f ca="1">IF(IF(U214&lt;&gt;0,MAX($V$2:V213)+1,0)=0,0,IF(U214&lt;&gt;0,MAX($V$2:V213)+1,0))</f>
        <v>0</v>
      </c>
      <c r="W214" s="259">
        <f t="shared" si="546"/>
        <v>0</v>
      </c>
      <c r="X214" s="259">
        <f t="shared" si="547"/>
        <v>0</v>
      </c>
      <c r="Z214" s="259" t="str">
        <f>IFERROR(INDEX($W$3:$Y$220,MATCH(ROWS($Z$2:Z213),$Y$3:$Y$220,0),1),"")</f>
        <v/>
      </c>
      <c r="AA214" s="259" t="str">
        <f t="shared" si="548"/>
        <v/>
      </c>
      <c r="AB214" s="259" t="str">
        <f t="shared" si="549"/>
        <v/>
      </c>
      <c r="AC214" s="259" t="str">
        <f t="shared" si="550"/>
        <v/>
      </c>
      <c r="AD214" s="259" t="str">
        <f t="shared" si="551"/>
        <v/>
      </c>
      <c r="AE214" s="259" t="str">
        <f t="shared" si="552"/>
        <v/>
      </c>
      <c r="AF214" s="259" t="str">
        <f t="shared" si="553"/>
        <v/>
      </c>
      <c r="AG214" s="259" t="str">
        <f t="shared" si="554"/>
        <v/>
      </c>
      <c r="AH214" s="259" t="str">
        <f t="shared" si="555"/>
        <v/>
      </c>
      <c r="AI214" s="259" t="str">
        <f t="shared" si="556"/>
        <v/>
      </c>
      <c r="AJ214" s="259" t="str">
        <f t="shared" si="557"/>
        <v/>
      </c>
      <c r="AK214" s="259" t="str">
        <f t="shared" si="558"/>
        <v/>
      </c>
      <c r="AL214" s="259">
        <f>IF(AK214&lt;&gt;"",MAX($AL$2:AL213)+1,0)</f>
        <v>0</v>
      </c>
      <c r="AM214" s="259" t="str">
        <f>IFERROR(INDEX($AK$3:$AL$220,MATCH(ROWS($AM$3:AM214),$AL$3:$AL$220,0),1),"")</f>
        <v/>
      </c>
      <c r="AN214" s="259" t="str">
        <f t="shared" si="559"/>
        <v/>
      </c>
      <c r="AO214" s="259" t="str">
        <f t="shared" si="560"/>
        <v/>
      </c>
      <c r="AP214" s="259" t="str">
        <f t="shared" si="561"/>
        <v/>
      </c>
      <c r="AQ214" s="259">
        <f>IF(OR(AG214=0,AG214=""),0,MAX(AQ$2:AQ213)+1)</f>
        <v>0</v>
      </c>
      <c r="AR214" s="259">
        <f>IF(OR(AH214=0,AH214=""),0,MAX(AR$2:AR213)+1)</f>
        <v>0</v>
      </c>
      <c r="AS214" s="259">
        <f>IF(OR(AI214=0,AI214=""),0,MAX(AS$2:AS213)+1)</f>
        <v>0</v>
      </c>
      <c r="AT214" s="259" t="str">
        <f ca="1">IFERROR(INDEX($AD$3:$AS$220,MATCH(ROWS(AT$3:AT214),AQ$3:AQ$220,0),1),"")</f>
        <v/>
      </c>
      <c r="AU214" s="259" t="str">
        <f ca="1">IFERROR(INDEX($AD$3:$AS$220,MATCH(ROWS(AU$3:AU214),AR$3:AR$220,0),1),"")</f>
        <v/>
      </c>
      <c r="AV214" s="259" t="str">
        <f ca="1">IFERROR(INDEX($AD$3:$AS$220,MATCH(ROWS(AV$3:AV214),AS$3:AS$220,0),1),"")</f>
        <v/>
      </c>
      <c r="AW214" s="259" t="str">
        <f ca="1">IFERROR(INDEX($AP$3:$AS$220,MATCH(ROWS(AW$3:AW214),AQ$3:AQ$220,0),1),"")</f>
        <v/>
      </c>
      <c r="AX214" s="259" t="str">
        <f ca="1">IFERROR(INDEX($AP$3:$AS$220,MATCH(ROWS(AX$3:AX214),AR$3:AR$220,0),1),"")</f>
        <v/>
      </c>
      <c r="AY214" s="259" t="str">
        <f ca="1">IFERROR(INDEX($AP$3:$AS$220,MATCH(ROWS(AY$3:AY214),AS$3:AS$220,0),1),"")</f>
        <v/>
      </c>
      <c r="AZ214" s="259" t="str">
        <f t="shared" ca="1" si="616"/>
        <v/>
      </c>
      <c r="BA214" s="259">
        <f t="shared" ca="1" si="484"/>
        <v>0</v>
      </c>
      <c r="BB214" s="259">
        <f t="shared" ca="1" si="617"/>
        <v>0</v>
      </c>
      <c r="BC214" s="259">
        <f t="shared" ca="1" si="618"/>
        <v>0</v>
      </c>
      <c r="BD214" s="259">
        <f t="shared" ca="1" si="619"/>
        <v>0</v>
      </c>
      <c r="BE214" s="259">
        <f t="shared" ca="1" si="620"/>
        <v>0</v>
      </c>
      <c r="BG214" s="259" t="str">
        <f t="shared" ca="1" si="518"/>
        <v/>
      </c>
      <c r="BH214" s="259">
        <f ca="1">IF(IFERROR(MATCH(BG214,DENOMINAZIONE_GIORNALE,0),0)&gt;0,MAX(BH$2:BH213)+1,0)</f>
        <v>0</v>
      </c>
      <c r="BI214" s="259" t="str">
        <f ca="1">IFERROR(INDEX($BG$3:$BH$220,MATCH(ROWS($BI$3:BI214),$BH$3:$BH$220,0),1),"")</f>
        <v/>
      </c>
      <c r="BJ214" s="259" t="str">
        <f t="shared" ca="1" si="519"/>
        <v/>
      </c>
      <c r="BK214" s="259" t="str">
        <f ca="1">IF(IF(BJ214&lt;&gt;"",MAX($BK$2:BK213)+1,0)=0,"",IF(BJ214&lt;&gt;"",MAX($BK$2:BK213)+1,0))</f>
        <v/>
      </c>
      <c r="BL214" s="259" t="str">
        <f ca="1">IFERROR(INDEX($T$3:$U$220, MATCH(ROWS(BL$3:BL214),$V$3:$V$220,0),1),"")</f>
        <v/>
      </c>
      <c r="BM214" s="259" t="str">
        <f ca="1">IFERROR(INDEX($T$3:$U$220, MATCH(ROWS(BM$3:BM214),$V$3:$V$220,0),2),"")</f>
        <v/>
      </c>
      <c r="BN214" s="259" t="str">
        <f ca="1">IF(IFERROR(INDEX($BI$3:$BJ$220,MATCH(ROWS(BN$3:BN214),$BK$3:$BK$220,0),1),"")="PATRIMONIO NETTO","",IFERROR(INDEX($BI$3:$BJ$220,MATCH(ROWS(BN$3:BN214),$BK$3:$BK$220,0),1),""))</f>
        <v/>
      </c>
      <c r="BO214" s="259" t="str">
        <f ca="1">IFERROR(INDEX($BI$3:$BJ$220,MATCH(ROWS(BO$3:BO214),$BK$3:$BK$220,0),2),"")</f>
        <v/>
      </c>
      <c r="BP214" s="259">
        <f ca="1">IF(BN214&lt;&gt;"",MAX(BP$2:$BP213)+1,0)</f>
        <v>0</v>
      </c>
      <c r="BQ214" s="259" t="str">
        <f ca="1">IFERROR(INDEX($BN$3:$BO$200,MATCH(ROWS(BQ$3:BQ214),$BP$3:$BP$220,0),1),"")</f>
        <v/>
      </c>
      <c r="BR214" s="259" t="str">
        <f ca="1">IFERROR(INDEX($BN$3:$BO$220,MATCH(ROWS(BR$3:BR214),$BP$3:$BP$220,0),2),"")</f>
        <v/>
      </c>
      <c r="BS214" s="259" t="str">
        <f ca="1">IFERROR(IF(OR(INDEX($T$3:$U$220,MATCH(ROWS(BL$3:BL214),$V$3:$V$220,0),1)="PRELEVAMENTI EXTRAGESTIONE",INDEX($T$3:$U$220,MATCH(ROWS(BL$3:BL214),$V$3:$V$220,0),1)="TITOLARE C/RITENUTE SUBITE"),"",INDEX($T$3:$U$220,MATCH(ROWS(BL$3:BL214),$V$3:$V$220,0),1)),"")</f>
        <v/>
      </c>
      <c r="BT214" s="259">
        <f t="shared" ca="1" si="562"/>
        <v>0</v>
      </c>
      <c r="BU214" s="259">
        <f ca="1">IF(BS214&lt;&gt;"",MAX(BU$2:BU213)+1,0)</f>
        <v>0</v>
      </c>
      <c r="BV214" s="259" t="str">
        <f ca="1">IFERROR(INDEX($BS$3:$BT$223,MATCH(ROWS(BV$3:BV214),$BU$3:$BU$223,0),1),"")</f>
        <v/>
      </c>
      <c r="BW214" s="259">
        <f t="shared" ca="1" si="563"/>
        <v>0</v>
      </c>
      <c r="CB214" s="259" t="str">
        <f ca="1">IFERROR(IF(OR($BB$1&lt;&gt;$BD$1,$BC$1&lt;&gt;$BE$1,$DS$231&lt;&gt;$DT$231,$DU$231&lt;&gt;$DV$231,$EO$25&lt;&gt;0,$EO$26&lt;&gt;0),INDEX($BI$3:$BK$220,MATCH(ROWS($CB$3:CB214),$BK$3:$BK$220,0),1),CONCATENATE(BQ214,BX214)),"")</f>
        <v/>
      </c>
      <c r="CC214" s="259" t="str">
        <f t="shared" ca="1" si="564"/>
        <v/>
      </c>
      <c r="CD214" s="259" t="str">
        <f t="shared" ca="1" si="520"/>
        <v/>
      </c>
      <c r="CE214" s="259">
        <f ca="1">IF(IFERROR(MATCH(CD214,DENOMINAZIONE_GIORNALE,0),0)&gt;0,MAX(CE$2:CE213)+1,0)</f>
        <v>0</v>
      </c>
      <c r="CF214" s="259" t="str">
        <f ca="1">IFERROR(INDEX($CD$3:$CE$220,MATCH(ROWS($CF$3:CF214),$CE$3:$CE$220,0),1),"")</f>
        <v/>
      </c>
      <c r="CG214" s="259">
        <f t="shared" ca="1" si="521"/>
        <v>0</v>
      </c>
      <c r="CH214" s="259" t="str">
        <f ca="1">IF(IF(CG214&lt;&gt;0,MAX($CH$2:CH213)+1,0)=0,"",IF(CG214&lt;&gt;"",MAX($CH$2:CH213)+1,0))</f>
        <v/>
      </c>
      <c r="CI214" s="259" t="str">
        <f ca="1">IFERROR(INDEX($CF$3:$CG$220,MATCH(ROWS($CI$3:CI214),$CH$3:$CH$220,0),1),"")</f>
        <v/>
      </c>
      <c r="CJ214" s="259" t="str">
        <f t="shared" ca="1" si="565"/>
        <v/>
      </c>
      <c r="CK214" s="259" t="str">
        <f t="shared" ca="1" si="522"/>
        <v/>
      </c>
      <c r="CL214" s="259">
        <f ca="1">IF(IFERROR(MATCH(CK214,DENOMINAZIONE_GIORNALE,0),0)&gt;0,MAX(CL$2:CL213)+1,0)</f>
        <v>0</v>
      </c>
      <c r="CM214" s="259" t="str">
        <f ca="1">IFERROR(INDEX($CK$3:$CL$220,MATCH(ROWS($CM$3:CM214),$CL$3:$CL$220,0),1),"")</f>
        <v/>
      </c>
      <c r="CN214" s="259" t="str">
        <f t="shared" ca="1" si="523"/>
        <v/>
      </c>
      <c r="CO214" s="259">
        <f ca="1">IF(IF(CN214&lt;&gt;0,MAX($CO$2:CO213)+1,0)=0,"",IF(CN214&lt;&gt;"",MAX($CO$2:CO213)+1,0))</f>
        <v>0</v>
      </c>
      <c r="CP214" s="259" t="str">
        <f ca="1">IFERROR(INDEX($CM$3:$CN$220,MATCH(ROWS(CP$3:CP214),$CO$3:$CO$220,0),1),"")</f>
        <v/>
      </c>
      <c r="CQ214" s="259" t="str">
        <f ca="1">IFERROR(INDEX($CM$3:$CN$220,MATCH(ROWS(CQ$3:CQ214),$CO$3:$CO$220,0),2),"")</f>
        <v/>
      </c>
      <c r="CS214" s="259">
        <f t="shared" ca="1" si="524"/>
        <v>0</v>
      </c>
      <c r="CT214" s="259">
        <f t="shared" ca="1" si="525"/>
        <v>0</v>
      </c>
      <c r="CU214" s="259">
        <f ca="1">IF(OR(CS214&gt;0,CT214&gt;0),MAX($CU$2:CU213)+1,0)</f>
        <v>0</v>
      </c>
      <c r="CV214" s="259" t="str">
        <f ca="1">IFERROR(INDEX(PIANO_DEI_CONTI,MATCH(ROWS($CV$3:CV214),$CU$3:$CU$200,0),2),"")</f>
        <v/>
      </c>
      <c r="CW214" s="259">
        <f ca="1">IFERROR(IF(CV214&lt;&gt;"",MAX($CW$2:CW213)+1,0),0)</f>
        <v>0</v>
      </c>
      <c r="CX214" s="259">
        <f t="shared" ca="1" si="609"/>
        <v>12</v>
      </c>
      <c r="CY214" s="259" t="str">
        <f t="shared" ca="1" si="607"/>
        <v>MASTRO</v>
      </c>
      <c r="CZ214" s="259" t="e">
        <f t="shared" ca="1" si="611"/>
        <v>#N/A</v>
      </c>
      <c r="DA214" s="259" t="str">
        <f t="shared" ca="1" si="621"/>
        <v/>
      </c>
      <c r="DB214" s="259" t="str">
        <f t="shared" ca="1" si="612"/>
        <v/>
      </c>
      <c r="DC214" s="259" t="str">
        <f t="shared" ca="1" si="613"/>
        <v/>
      </c>
      <c r="DD214" s="259" t="str">
        <f t="shared" ca="1" si="614"/>
        <v/>
      </c>
      <c r="DE214" s="259" t="str">
        <f t="shared" ca="1" si="615"/>
        <v/>
      </c>
      <c r="DF214" s="259">
        <f ca="1">IF(AND(CX214=$DE$2,$DF$2&lt;&gt;0),0,IF(AND(DB214&lt;&gt;"",OR(DB213&lt;&gt;"",DB215&lt;&gt;"")),MAX($DF$2:DF213)+1,0))</f>
        <v>0</v>
      </c>
      <c r="DG214" s="259" t="str">
        <f>IF(IF(LIBRO_GIORNALE!E122="","",IFERROR(INDEX(PIANO_DEI_CONTI,MATCH(BB214,DENOMINAZIONE,0),1),0))=0,"",IF(LIBRO_GIORNALE!E122="","",IFERROR(INDEX(PIANO_DEI_CONTI,MATCH(BB214,DENOMINAZIONE,0),1),0)))</f>
        <v/>
      </c>
      <c r="DH214" s="259">
        <f ca="1">IFERROR(IF($J$1=1,IF(INDEX(PIANO_DEI_CONTI,MATCH($K214,DENOMINAZIONE,0),5)=$DF$1,MAX($DH$2:DH213)+1,0),IF($J$1=2,IF(INDEX(PIANO_DEI_CONTI,MATCH($K214,DENOMINAZIONE,0),7)=$DF$1,MAX($DH$2:DH213)+1,0))),0)</f>
        <v>0</v>
      </c>
      <c r="DI214" s="259">
        <f ca="1">IFERROR(INDEX($K$3:$K$220,MATCH(ROWS($DI$3:DI214),$DH$3:$DH$220,0),1),0)</f>
        <v>0</v>
      </c>
      <c r="DJ214" s="259">
        <f t="shared" ca="1" si="526"/>
        <v>0</v>
      </c>
      <c r="DK214" s="259">
        <f ca="1">IF(DJ214=0,0,MAX(DK$2:DK213)+1)</f>
        <v>0</v>
      </c>
      <c r="DL214" s="259">
        <f ca="1">IFERROR(INDEX(PIANO_DEI_CONTI,MATCH(ROWS(DL$3:DL214),$DK$3:DK441,0),2),0)</f>
        <v>0</v>
      </c>
      <c r="DM214" s="259">
        <f t="shared" ca="1" si="527"/>
        <v>0</v>
      </c>
      <c r="DN214" s="259">
        <f t="shared" ca="1" si="528"/>
        <v>0</v>
      </c>
      <c r="DO214" s="259">
        <f t="shared" ca="1" si="566"/>
        <v>0</v>
      </c>
      <c r="DP214" s="259">
        <f t="shared" ca="1" si="567"/>
        <v>0</v>
      </c>
      <c r="DQ214" s="259">
        <f ca="1">IF(OR($DQ$1="TOTALI",$DQ$1="TOTALI ED ECCEDENZE"),IF(OR(DM214&gt;0,DN214&gt;0),MAX(DQ$2:DQ213)+1,0),IF($DQ$1="ECCEDENZE",IF(OR(DO214&gt;0,DP214&gt;0),MAX(DQ$2:DQ213)+1,0),""))</f>
        <v>0</v>
      </c>
      <c r="DR214" s="259" t="str">
        <f ca="1">IFERROR(INDEX($DL$3:$DQ$230,MATCH(ROWS(DR$3:DR214),$DQ$3:$DQ$230,0),1),"")</f>
        <v/>
      </c>
      <c r="DS214" s="259" t="str">
        <f t="shared" ca="1" si="568"/>
        <v/>
      </c>
      <c r="DT214" s="259" t="str">
        <f t="shared" ca="1" si="569"/>
        <v/>
      </c>
      <c r="DU214" s="259" t="str">
        <f t="shared" ca="1" si="570"/>
        <v/>
      </c>
      <c r="DV214" s="259" t="str">
        <f t="shared" ca="1" si="571"/>
        <v/>
      </c>
      <c r="DW214" s="259">
        <f t="shared" ca="1" si="572"/>
        <v>0</v>
      </c>
      <c r="DX214" s="259" t="str">
        <f t="shared" ca="1" si="573"/>
        <v/>
      </c>
      <c r="DY214" s="259" t="str">
        <f t="shared" ca="1" si="574"/>
        <v/>
      </c>
      <c r="DZ214" s="259" t="str">
        <f t="shared" ca="1" si="575"/>
        <v/>
      </c>
      <c r="EC214" s="259">
        <f>IF(IF(DG214&lt;&gt;"",REPLACE(DG214,3,1,""),0)&lt;&gt;0,MAX(EC$2:EC213)+1,0)</f>
        <v>0</v>
      </c>
      <c r="ED214" s="259">
        <f t="shared" ca="1" si="529"/>
        <v>0</v>
      </c>
      <c r="EH214" s="259" t="str">
        <f t="shared" ca="1" si="576"/>
        <v/>
      </c>
      <c r="EI214" s="260" t="b">
        <f t="shared" ca="1" si="602"/>
        <v>0</v>
      </c>
      <c r="EJ214" s="260" t="b">
        <f t="shared" ca="1" si="603"/>
        <v>0</v>
      </c>
      <c r="EK214" s="260" t="b">
        <f t="shared" ca="1" si="604"/>
        <v>0</v>
      </c>
      <c r="EL214" s="259">
        <f t="shared" si="577"/>
        <v>212</v>
      </c>
      <c r="EM214" s="259">
        <f ca="1">IF(AND(BA214&gt;0,BA214&lt;=$EM$1),MAX($EM$2:EM213)+1,0)</f>
        <v>0</v>
      </c>
      <c r="EN214" s="259">
        <f t="shared" ca="1" si="578"/>
        <v>214</v>
      </c>
      <c r="EP214" s="259" t="str">
        <f t="shared" ca="1" si="530"/>
        <v/>
      </c>
      <c r="EQ214" s="259">
        <f t="shared" ca="1" si="531"/>
        <v>0</v>
      </c>
      <c r="ER214" s="259">
        <f ca="1">IF(ISNA(EQ214),MAX(ER$2:ER213)+1,0)</f>
        <v>0</v>
      </c>
      <c r="ES214" s="259" t="str">
        <f t="shared" ca="1" si="579"/>
        <v/>
      </c>
      <c r="ET214" s="259" t="str">
        <f ca="1">IFERROR(UPPER(INDEX($ER$3:$ES$500,MATCH(ROWS(ET$3:ET214),$ER$3:$ER$500,0),2)),"")</f>
        <v/>
      </c>
      <c r="EW214" s="259">
        <f t="shared" ca="1" si="497"/>
        <v>1</v>
      </c>
      <c r="EX214" s="259">
        <v>112</v>
      </c>
      <c r="EY214" s="259">
        <f t="shared" ca="1" si="498"/>
        <v>0</v>
      </c>
      <c r="EZ214" s="259">
        <f t="shared" ca="1" si="499"/>
        <v>0</v>
      </c>
      <c r="FA214" s="259">
        <f t="shared" ca="1" si="500"/>
        <v>0</v>
      </c>
      <c r="FB214" s="259">
        <f t="shared" ca="1" si="501"/>
        <v>0</v>
      </c>
      <c r="FC214" s="259">
        <f t="shared" ca="1" si="502"/>
        <v>0</v>
      </c>
      <c r="FD214" s="259">
        <f t="shared" ca="1" si="532"/>
        <v>0</v>
      </c>
      <c r="FE214" s="259" t="str">
        <f t="shared" ca="1" si="533"/>
        <v/>
      </c>
      <c r="FF214" s="259" t="str">
        <f t="shared" ca="1" si="503"/>
        <v/>
      </c>
      <c r="FM214" s="259">
        <f t="shared" si="534"/>
        <v>0</v>
      </c>
      <c r="FN214" s="259">
        <f>IF(FM214&lt;0,MAX($FN$2:FN213)+1,0)</f>
        <v>0</v>
      </c>
      <c r="FO214" s="259" t="str">
        <f t="shared" si="580"/>
        <v/>
      </c>
      <c r="FP214" s="259" t="str">
        <f ca="1">IFERROR(INDEX($FN$3:$FO$400,MATCH(ROWS($FP$3:FP214),$FN$3:$FN$400,0),2),"")</f>
        <v/>
      </c>
      <c r="FQ214" s="259" t="str">
        <f>IF(AE214="SE AVERE",MAX($FQ$2:FQ213)+1,"")</f>
        <v/>
      </c>
      <c r="FR214" s="259" t="str">
        <f>IF(AE214="SE DARE",MAX($FR$2:FR213)+1,"")</f>
        <v/>
      </c>
      <c r="FS214" s="259" t="str">
        <f ca="1">IF(AND(AE214="SP DARE",AA214&lt;&gt;$FS$1,AA214&lt;&gt;$FT$1),MAX($FS$2:FS213)+1,IF(AND(GQ214="SP DARE",AA214&lt;&gt;$FS$1,AA214&lt;&gt;$FT$1),MAX($FS$2:FS213)+1,""))</f>
        <v/>
      </c>
      <c r="FT214" s="259" t="str">
        <f ca="1">IF(AND(AE214="SP AVERE",AA214&lt;&gt;$FU$1),MAX($FT$2:FT213)+1,IF(AND(GQ214="SP AVERE",AA214&lt;&gt;$FU$1),MAX($FT$2:FT213)+1,""))</f>
        <v/>
      </c>
      <c r="FU214" s="259">
        <f t="shared" ca="1" si="581"/>
        <v>0</v>
      </c>
      <c r="FV214" s="259" t="str">
        <f t="shared" si="582"/>
        <v/>
      </c>
      <c r="FW214" s="259">
        <f ca="1">IFERROR(INDEX($FU$3:$FV$500,MATCH(ROWS($FW$3:FW214),$FU$3:$FU$500,0),2),0)</f>
        <v>0</v>
      </c>
      <c r="FX214" s="259">
        <f t="shared" ca="1" si="583"/>
        <v>0</v>
      </c>
      <c r="FY214" s="259">
        <f t="shared" ca="1" si="584"/>
        <v>0</v>
      </c>
      <c r="FZ214" s="259">
        <f ca="1">IF(FY214&gt;0,MAX($FZ$2:FZ213)+1,0)</f>
        <v>0</v>
      </c>
      <c r="GA214" s="259">
        <f ca="1">IFERROR(INDEX($FY$3:$FZ$500,MATCH(ROWS($GA$3:GA214),$FZ$3:$FZ$500,0),1),0)</f>
        <v>0</v>
      </c>
      <c r="GC214" s="259">
        <f t="shared" ca="1" si="585"/>
        <v>0</v>
      </c>
      <c r="GD214" s="259">
        <f t="shared" ca="1" si="586"/>
        <v>0</v>
      </c>
      <c r="GG214" s="259">
        <f t="shared" ca="1" si="587"/>
        <v>0</v>
      </c>
      <c r="GH214" s="259">
        <f t="shared" ca="1" si="588"/>
        <v>0</v>
      </c>
      <c r="GI214" s="259">
        <f t="shared" ca="1" si="589"/>
        <v>0</v>
      </c>
      <c r="GJ214" s="259">
        <f t="shared" ca="1" si="590"/>
        <v>0</v>
      </c>
      <c r="GK214" s="259">
        <f t="shared" ca="1" si="591"/>
        <v>0</v>
      </c>
      <c r="GL214" s="259">
        <f t="shared" ca="1" si="591"/>
        <v>0</v>
      </c>
      <c r="GM214" s="259">
        <f ca="1">IF(OR(GK214&gt;0,GL214&gt;0),MAX($GM$2:GM213)+1,0)</f>
        <v>0</v>
      </c>
      <c r="GN214" s="259" t="str">
        <f ca="1">IFERROR(INDEX($GD$3:$GM$400,MATCH(ROWS($GN$3:GN214),$GM$3:$GM$400,0),1),"")</f>
        <v/>
      </c>
      <c r="GO214" s="259" t="str">
        <f ca="1">IFERROR(INDEX($GD$3:$GM$400,MATCH(ROWS($GO$3:GO214),$GM$3:$GM$400,0),8),"")</f>
        <v/>
      </c>
      <c r="GP214" s="259" t="str">
        <f ca="1">IFERROR(INDEX($GD$3:$GM$400,MATCH(ROWS($GP$3:GP214),$GM$3:$GM$400,0),9),"")</f>
        <v/>
      </c>
      <c r="GQ214" s="259">
        <f t="shared" ca="1" si="535"/>
        <v>0</v>
      </c>
      <c r="GR214" s="259">
        <f t="shared" ca="1" si="592"/>
        <v>0</v>
      </c>
      <c r="GS214" s="259" t="str">
        <f t="shared" ca="1" si="593"/>
        <v/>
      </c>
      <c r="GT214" s="259" t="str">
        <f ca="1">IFERROR(INDEX($GD$3:$GS$400,MATCH(ROWS($GT$3:GT214),$GM$3:$GM$400,0),16),"")</f>
        <v/>
      </c>
      <c r="GU214" s="259">
        <f ca="1">IF(GQ214&lt;&gt;0,MAX($GU$2:$GU213)+1,0)</f>
        <v>0</v>
      </c>
      <c r="GV214" s="259">
        <f t="shared" ca="1" si="594"/>
        <v>0</v>
      </c>
      <c r="GW214" s="259" t="str">
        <f ca="1">IF(AND(IFERROR(INDEX($GU$3:$GV$400,MATCH(ROWS($GW$3:GW214),$GU$3:$GU$400,0),2),"")&lt;&gt;"",GW215&lt;&gt;""),CONCATENATE(IFERROR(INDEX($GU$3:$GV$400,MATCH(ROWS($GW$3:GW214),$GU$3:$GU$400,0),2),"")," - "),IFERROR(INDEX($GU$3:$GV$400,MATCH(ROWS($GW$3:GW214),$GU$3:$GU$400,0),2),""))</f>
        <v/>
      </c>
      <c r="GX214" s="259">
        <f ca="1">IF(OR(GN214="IVA NS/CREDITO",GN214="IVA NS/DEBITO",GN214="IVA C/ACCONTO",GN214="IMPOSTE C/ACCONTO"),MAX($GX$2:GX213)+1,0)</f>
        <v>0</v>
      </c>
      <c r="GY214" s="259" t="str">
        <f ca="1">IF(AND(IFERROR(INDEX($GN$3:$GX$200,MATCH(ROWS($GY$3:GY214),$GX$3:$GX$200,0),1),"")&lt;&gt;"",GY215&lt;&gt;""),CONCATENATE(IFERROR(INDEX($GN$3:$GX$200,MATCH(ROWS($GY$3:GY214),$GX$3:$GX$200,0),1),"")," - "),IFERROR(INDEX($GN$3:$GX$200,MATCH(ROWS($GY$3:GY214),$GX$3:$GX$200,0),1),""))</f>
        <v/>
      </c>
      <c r="HV214" s="259" t="str">
        <f ca="1">CONCATENATE(IFERROR(INDEX($HS$3:$HT$102,MATCH(ROWS($HV$3:HV214),$HT$3:$HT$102,0),1),""),HR214)</f>
        <v/>
      </c>
      <c r="IX214" s="259" t="str">
        <f t="shared" si="606"/>
        <v/>
      </c>
      <c r="IY214" s="259" t="str">
        <f t="shared" si="600"/>
        <v/>
      </c>
      <c r="IZ214" s="259" t="str">
        <f t="shared" si="608"/>
        <v/>
      </c>
      <c r="JA214" s="259" t="str">
        <f t="shared" ca="1" si="601"/>
        <v/>
      </c>
      <c r="JB214" s="259">
        <f t="shared" ca="1" si="536"/>
        <v>0</v>
      </c>
      <c r="JC214" s="259">
        <f t="shared" ca="1" si="504"/>
        <v>0</v>
      </c>
      <c r="JD214" s="259">
        <f t="shared" ca="1" si="505"/>
        <v>0</v>
      </c>
      <c r="JM214" s="259">
        <f t="shared" ca="1" si="506"/>
        <v>0</v>
      </c>
    </row>
    <row r="215" spans="1:273">
      <c r="A215" s="259">
        <f t="shared" si="537"/>
        <v>0</v>
      </c>
      <c r="B215" s="259">
        <f t="shared" si="538"/>
        <v>0</v>
      </c>
      <c r="C215" s="259">
        <f t="shared" si="539"/>
        <v>0</v>
      </c>
      <c r="D215" s="259">
        <f t="shared" si="540"/>
        <v>0</v>
      </c>
      <c r="E215" s="259">
        <f t="shared" si="541"/>
        <v>0</v>
      </c>
      <c r="F215" s="259">
        <f t="shared" si="542"/>
        <v>0</v>
      </c>
      <c r="G215" s="259">
        <f t="shared" ca="1" si="543"/>
        <v>0</v>
      </c>
      <c r="H215" s="259">
        <f t="shared" ca="1" si="544"/>
        <v>0</v>
      </c>
      <c r="I215" s="259">
        <f t="shared" ca="1" si="545"/>
        <v>0</v>
      </c>
      <c r="K215" s="259" t="str">
        <f ca="1">IFERROR(IF($I$1=1,INDEX($AA$3:$AS$220,MATCH(ROWS($K$3:K215),$AQ$3:$AQ$220,0),1),IF($I$1=2,INDEX($AA$3:$AS$220,MATCH(ROWS($K$3:K215),$AR$3:$AR$220,0),1),IF($I$1=3,INDEX($AA$3:$AS$220,MATCH(ROWS($K$3:K215),$AS$3:$AS$220,0),1),""))),"")</f>
        <v/>
      </c>
      <c r="L215" s="259">
        <f ca="1">IF(AND($L$1="VISUALIZZA TUTTI I CONTI",K215&lt;&gt;""),MAX(L214:L214)+1,IFERROR(IF($J$1=1,IF(INDEX(PIANO_DEI_CONTI,MATCH($K215,DENOMINAZIONE,0),5)=$L$1,MAX($L$2:L214)+1,0),IF($J$1=2,IF(INDEX(PIANO_DEI_CONTI,MATCH($K215,DENOMINAZIONE,0),7)=$L$1,MAX($L$2:L214)+1,0))),0))</f>
        <v>0</v>
      </c>
      <c r="M215" s="259" t="str">
        <f ca="1">IFERROR(INDEX($K$3:$K$220,MATCH(ROWS($M$3:M215),$L$3:$L$220,0),1),"")</f>
        <v/>
      </c>
      <c r="R215" s="259" t="str">
        <f t="shared" ca="1" si="516"/>
        <v/>
      </c>
      <c r="S215" s="259">
        <f ca="1">IF(IFERROR(MATCH(R215,DENOMINAZIONE_GIORNALE,0),0)&gt;0,MAX(S$2:S214)+1,0)</f>
        <v>0</v>
      </c>
      <c r="T215" s="259" t="str">
        <f ca="1">IFERROR(INDEX($R$3:$S$220,MATCH(ROWS($T$3:T215),$S$3:$S$220,0),1),"")</f>
        <v/>
      </c>
      <c r="U215" s="259">
        <f t="shared" ca="1" si="517"/>
        <v>0</v>
      </c>
      <c r="V215" s="259">
        <f ca="1">IF(IF(U215&lt;&gt;0,MAX($V$2:V214)+1,0)=0,0,IF(U215&lt;&gt;0,MAX($V$2:V214)+1,0))</f>
        <v>0</v>
      </c>
      <c r="W215" s="259">
        <f t="shared" si="546"/>
        <v>0</v>
      </c>
      <c r="X215" s="259">
        <f t="shared" si="547"/>
        <v>0</v>
      </c>
      <c r="Z215" s="259" t="str">
        <f>IFERROR(INDEX($W$3:$Y$220,MATCH(ROWS($Z$2:Z214),$Y$3:$Y$220,0),1),"")</f>
        <v/>
      </c>
      <c r="AA215" s="259" t="str">
        <f t="shared" si="548"/>
        <v/>
      </c>
      <c r="AB215" s="259" t="str">
        <f t="shared" si="549"/>
        <v/>
      </c>
      <c r="AC215" s="259" t="str">
        <f t="shared" si="550"/>
        <v/>
      </c>
      <c r="AD215" s="259" t="str">
        <f t="shared" si="551"/>
        <v/>
      </c>
      <c r="AE215" s="259" t="str">
        <f t="shared" si="552"/>
        <v/>
      </c>
      <c r="AF215" s="259" t="str">
        <f t="shared" si="553"/>
        <v/>
      </c>
      <c r="AG215" s="259" t="str">
        <f t="shared" si="554"/>
        <v/>
      </c>
      <c r="AH215" s="259" t="str">
        <f t="shared" si="555"/>
        <v/>
      </c>
      <c r="AI215" s="259" t="str">
        <f t="shared" si="556"/>
        <v/>
      </c>
      <c r="AJ215" s="259" t="str">
        <f t="shared" si="557"/>
        <v/>
      </c>
      <c r="AK215" s="259" t="str">
        <f t="shared" si="558"/>
        <v/>
      </c>
      <c r="AL215" s="259">
        <f>IF(AK215&lt;&gt;"",MAX($AL$2:AL214)+1,0)</f>
        <v>0</v>
      </c>
      <c r="AM215" s="259" t="str">
        <f>IFERROR(INDEX($AK$3:$AL$220,MATCH(ROWS($AM$3:AM215),$AL$3:$AL$220,0),1),"")</f>
        <v/>
      </c>
      <c r="AN215" s="259" t="str">
        <f t="shared" si="559"/>
        <v/>
      </c>
      <c r="AO215" s="259" t="str">
        <f t="shared" si="560"/>
        <v/>
      </c>
      <c r="AP215" s="259" t="str">
        <f t="shared" si="561"/>
        <v/>
      </c>
      <c r="AQ215" s="259">
        <f>IF(OR(AG215=0,AG215=""),0,MAX(AQ$2:AQ214)+1)</f>
        <v>0</v>
      </c>
      <c r="AR215" s="259">
        <f>IF(OR(AH215=0,AH215=""),0,MAX(AR$2:AR214)+1)</f>
        <v>0</v>
      </c>
      <c r="AS215" s="259">
        <f>IF(OR(AI215=0,AI215=""),0,MAX(AS$2:AS214)+1)</f>
        <v>0</v>
      </c>
      <c r="AT215" s="259" t="str">
        <f ca="1">IFERROR(INDEX($AD$3:$AS$220,MATCH(ROWS(AT$3:AT215),AQ$3:AQ$220,0),1),"")</f>
        <v/>
      </c>
      <c r="AU215" s="259" t="str">
        <f ca="1">IFERROR(INDEX($AD$3:$AS$220,MATCH(ROWS(AU$3:AU215),AR$3:AR$220,0),1),"")</f>
        <v/>
      </c>
      <c r="AV215" s="259" t="str">
        <f ca="1">IFERROR(INDEX($AD$3:$AS$220,MATCH(ROWS(AV$3:AV215),AS$3:AS$220,0),1),"")</f>
        <v/>
      </c>
      <c r="AW215" s="259" t="str">
        <f ca="1">IFERROR(INDEX($AP$3:$AS$220,MATCH(ROWS(AW$3:AW215),AQ$3:AQ$220,0),1),"")</f>
        <v/>
      </c>
      <c r="AX215" s="259" t="str">
        <f ca="1">IFERROR(INDEX($AP$3:$AS$220,MATCH(ROWS(AX$3:AX215),AR$3:AR$220,0),1),"")</f>
        <v/>
      </c>
      <c r="AY215" s="259" t="str">
        <f ca="1">IFERROR(INDEX($AP$3:$AS$220,MATCH(ROWS(AY$3:AY215),AS$3:AS$220,0),1),"")</f>
        <v/>
      </c>
      <c r="AZ215" s="259" t="str">
        <f t="shared" ca="1" si="616"/>
        <v/>
      </c>
      <c r="BA215" s="259">
        <f t="shared" ca="1" si="484"/>
        <v>0</v>
      </c>
      <c r="BB215" s="259">
        <f t="shared" ca="1" si="617"/>
        <v>0</v>
      </c>
      <c r="BC215" s="259">
        <f t="shared" ca="1" si="618"/>
        <v>0</v>
      </c>
      <c r="BD215" s="259">
        <f t="shared" ca="1" si="619"/>
        <v>0</v>
      </c>
      <c r="BE215" s="259">
        <f t="shared" ca="1" si="620"/>
        <v>0</v>
      </c>
      <c r="BG215" s="259" t="str">
        <f t="shared" ca="1" si="518"/>
        <v/>
      </c>
      <c r="BH215" s="259">
        <f ca="1">IF(IFERROR(MATCH(BG215,DENOMINAZIONE_GIORNALE,0),0)&gt;0,MAX(BH$2:BH214)+1,0)</f>
        <v>0</v>
      </c>
      <c r="BI215" s="259" t="str">
        <f ca="1">IFERROR(INDEX($BG$3:$BH$220,MATCH(ROWS($BI$3:BI215),$BH$3:$BH$220,0),1),"")</f>
        <v/>
      </c>
      <c r="BJ215" s="259" t="str">
        <f t="shared" ca="1" si="519"/>
        <v/>
      </c>
      <c r="BK215" s="259" t="str">
        <f ca="1">IF(IF(BJ215&lt;&gt;"",MAX($BK$2:BK214)+1,0)=0,"",IF(BJ215&lt;&gt;"",MAX($BK$2:BK214)+1,0))</f>
        <v/>
      </c>
      <c r="BL215" s="259" t="str">
        <f ca="1">IFERROR(INDEX($T$3:$U$220, MATCH(ROWS(BL$3:BL215),$V$3:$V$220,0),1),"")</f>
        <v/>
      </c>
      <c r="BM215" s="259" t="str">
        <f ca="1">IFERROR(INDEX($T$3:$U$220, MATCH(ROWS(BM$3:BM215),$V$3:$V$220,0),2),"")</f>
        <v/>
      </c>
      <c r="BN215" s="259" t="str">
        <f ca="1">IF(IFERROR(INDEX($BI$3:$BJ$220,MATCH(ROWS(BN$3:BN215),$BK$3:$BK$220,0),1),"")="PATRIMONIO NETTO","",IFERROR(INDEX($BI$3:$BJ$220,MATCH(ROWS(BN$3:BN215),$BK$3:$BK$220,0),1),""))</f>
        <v/>
      </c>
      <c r="BO215" s="259" t="str">
        <f ca="1">IFERROR(INDEX($BI$3:$BJ$220,MATCH(ROWS(BO$3:BO215),$BK$3:$BK$220,0),2),"")</f>
        <v/>
      </c>
      <c r="BP215" s="259">
        <f ca="1">IF(BN215&lt;&gt;"",MAX(BP$2:$BP214)+1,0)</f>
        <v>0</v>
      </c>
      <c r="BQ215" s="259" t="str">
        <f ca="1">IFERROR(INDEX($BN$3:$BO$200,MATCH(ROWS(BQ$3:BQ215),$BP$3:$BP$220,0),1),"")</f>
        <v/>
      </c>
      <c r="BR215" s="259" t="str">
        <f ca="1">IFERROR(INDEX($BN$3:$BO$220,MATCH(ROWS(BR$3:BR215),$BP$3:$BP$220,0),2),"")</f>
        <v/>
      </c>
      <c r="BS215" s="259" t="str">
        <f ca="1">IFERROR(IF(OR(INDEX($T$3:$U$220,MATCH(ROWS(BL$3:BL215),$V$3:$V$220,0),1)="PRELEVAMENTI EXTRAGESTIONE",INDEX($T$3:$U$220,MATCH(ROWS(BL$3:BL215),$V$3:$V$220,0),1)="TITOLARE C/RITENUTE SUBITE"),"",INDEX($T$3:$U$220,MATCH(ROWS(BL$3:BL215),$V$3:$V$220,0),1)),"")</f>
        <v/>
      </c>
      <c r="BT215" s="259">
        <f t="shared" ca="1" si="562"/>
        <v>0</v>
      </c>
      <c r="BU215" s="259">
        <f ca="1">IF(BS215&lt;&gt;"",MAX(BU$2:BU214)+1,0)</f>
        <v>0</v>
      </c>
      <c r="BV215" s="259" t="str">
        <f ca="1">IFERROR(INDEX($BS$3:$BT$223,MATCH(ROWS(BV$3:BV215),$BU$3:$BU$223,0),1),"")</f>
        <v/>
      </c>
      <c r="BW215" s="259">
        <f t="shared" ca="1" si="563"/>
        <v>0</v>
      </c>
      <c r="CB215" s="259" t="str">
        <f ca="1">IFERROR(IF(OR($BB$1&lt;&gt;$BD$1,$BC$1&lt;&gt;$BE$1,$DS$231&lt;&gt;$DT$231,$DU$231&lt;&gt;$DV$231,$EO$25&lt;&gt;0,$EO$26&lt;&gt;0),INDEX($BI$3:$BK$220,MATCH(ROWS($CB$3:CB215),$BK$3:$BK$220,0),1),CONCATENATE(BQ215,BX215)),"")</f>
        <v/>
      </c>
      <c r="CC215" s="259" t="str">
        <f t="shared" ca="1" si="564"/>
        <v/>
      </c>
      <c r="CD215" s="259" t="str">
        <f t="shared" ca="1" si="520"/>
        <v/>
      </c>
      <c r="CE215" s="259">
        <f ca="1">IF(IFERROR(MATCH(CD215,DENOMINAZIONE_GIORNALE,0),0)&gt;0,MAX(CE$2:CE214)+1,0)</f>
        <v>0</v>
      </c>
      <c r="CF215" s="259" t="str">
        <f ca="1">IFERROR(INDEX($CD$3:$CE$220,MATCH(ROWS($CF$3:CF215),$CE$3:$CE$220,0),1),"")</f>
        <v/>
      </c>
      <c r="CG215" s="259">
        <f t="shared" ca="1" si="521"/>
        <v>0</v>
      </c>
      <c r="CH215" s="259" t="str">
        <f ca="1">IF(IF(CG215&lt;&gt;0,MAX($CH$2:CH214)+1,0)=0,"",IF(CG215&lt;&gt;"",MAX($CH$2:CH214)+1,0))</f>
        <v/>
      </c>
      <c r="CI215" s="259" t="str">
        <f ca="1">IFERROR(INDEX($CF$3:$CG$220,MATCH(ROWS($CI$3:CI215),$CH$3:$CH$220,0),1),"")</f>
        <v/>
      </c>
      <c r="CJ215" s="259" t="str">
        <f t="shared" ca="1" si="565"/>
        <v/>
      </c>
      <c r="CK215" s="259" t="str">
        <f t="shared" ca="1" si="522"/>
        <v/>
      </c>
      <c r="CL215" s="259">
        <f ca="1">IF(IFERROR(MATCH(CK215,DENOMINAZIONE_GIORNALE,0),0)&gt;0,MAX(CL$2:CL214)+1,0)</f>
        <v>0</v>
      </c>
      <c r="CM215" s="259" t="str">
        <f ca="1">IFERROR(INDEX($CK$3:$CL$220,MATCH(ROWS($CM$3:CM215),$CL$3:$CL$220,0),1),"")</f>
        <v/>
      </c>
      <c r="CN215" s="259" t="str">
        <f t="shared" ca="1" si="523"/>
        <v/>
      </c>
      <c r="CO215" s="259">
        <f ca="1">IF(IF(CN215&lt;&gt;0,MAX($CO$2:CO214)+1,0)=0,"",IF(CN215&lt;&gt;"",MAX($CO$2:CO214)+1,0))</f>
        <v>0</v>
      </c>
      <c r="CP215" s="259" t="str">
        <f ca="1">IFERROR(INDEX($CM$3:$CN$220,MATCH(ROWS(CP$3:CP215),$CO$3:$CO$220,0),1),"")</f>
        <v/>
      </c>
      <c r="CQ215" s="259" t="str">
        <f ca="1">IFERROR(INDEX($CM$3:$CN$220,MATCH(ROWS(CQ$3:CQ215),$CO$3:$CO$220,0),2),"")</f>
        <v/>
      </c>
      <c r="CS215" s="259">
        <f t="shared" ca="1" si="524"/>
        <v>0</v>
      </c>
      <c r="CT215" s="259">
        <f t="shared" ca="1" si="525"/>
        <v>0</v>
      </c>
      <c r="CU215" s="259">
        <f ca="1">IF(OR(CS215&gt;0,CT215&gt;0),MAX($CU$2:CU214)+1,0)</f>
        <v>0</v>
      </c>
      <c r="CV215" s="259" t="str">
        <f ca="1">IFERROR(INDEX(PIANO_DEI_CONTI,MATCH(ROWS($CV$3:CV215),$CU$3:$CU$200,0),2),"")</f>
        <v/>
      </c>
      <c r="CW215" s="259">
        <f ca="1">IFERROR(IF(CV215&lt;&gt;"",MAX($CW$2:CW214)+1,0),0)</f>
        <v>0</v>
      </c>
      <c r="CX215" s="259">
        <f t="shared" ca="1" si="609"/>
        <v>12</v>
      </c>
      <c r="CY215" s="259" t="str">
        <f t="shared" ca="1" si="607"/>
        <v>MASTRO</v>
      </c>
      <c r="CZ215" s="259" t="e">
        <f t="shared" ca="1" si="611"/>
        <v>#N/A</v>
      </c>
      <c r="DA215" s="259" t="str">
        <f t="shared" ca="1" si="621"/>
        <v/>
      </c>
      <c r="DB215" s="259" t="str">
        <f t="shared" ca="1" si="612"/>
        <v/>
      </c>
      <c r="DC215" s="259" t="str">
        <f t="shared" ca="1" si="613"/>
        <v/>
      </c>
      <c r="DD215" s="259" t="str">
        <f t="shared" ca="1" si="614"/>
        <v/>
      </c>
      <c r="DE215" s="259" t="str">
        <f t="shared" ca="1" si="615"/>
        <v/>
      </c>
      <c r="DF215" s="259">
        <f ca="1">IF(AND(CX215=$DE$2,$DF$2&lt;&gt;0),0,IF(AND(DB215&lt;&gt;"",OR(DB214&lt;&gt;"",DB216&lt;&gt;"")),MAX($DF$2:DF214)+1,0))</f>
        <v>0</v>
      </c>
      <c r="DG215" s="259" t="str">
        <f>IF(IF(LIBRO_GIORNALE!E123="","",IFERROR(INDEX(PIANO_DEI_CONTI,MATCH(BB215,DENOMINAZIONE,0),1),0))=0,"",IF(LIBRO_GIORNALE!E123="","",IFERROR(INDEX(PIANO_DEI_CONTI,MATCH(BB215,DENOMINAZIONE,0),1),0)))</f>
        <v/>
      </c>
      <c r="DH215" s="259">
        <f ca="1">IFERROR(IF($J$1=1,IF(INDEX(PIANO_DEI_CONTI,MATCH($K215,DENOMINAZIONE,0),5)=$DF$1,MAX($DH$2:DH214)+1,0),IF($J$1=2,IF(INDEX(PIANO_DEI_CONTI,MATCH($K215,DENOMINAZIONE,0),7)=$DF$1,MAX($DH$2:DH214)+1,0))),0)</f>
        <v>0</v>
      </c>
      <c r="DI215" s="259">
        <f ca="1">IFERROR(INDEX($K$3:$K$220,MATCH(ROWS($DI$3:DI215),$DH$3:$DH$220,0),1),0)</f>
        <v>0</v>
      </c>
      <c r="DJ215" s="259">
        <f t="shared" ca="1" si="526"/>
        <v>0</v>
      </c>
      <c r="DK215" s="259">
        <f ca="1">IF(DJ215=0,0,MAX(DK$2:DK214)+1)</f>
        <v>0</v>
      </c>
      <c r="DL215" s="259">
        <f ca="1">IFERROR(INDEX(PIANO_DEI_CONTI,MATCH(ROWS(DL$3:DL215),$DK$3:DK442,0),2),0)</f>
        <v>0</v>
      </c>
      <c r="DM215" s="259">
        <f t="shared" ca="1" si="527"/>
        <v>0</v>
      </c>
      <c r="DN215" s="259">
        <f t="shared" ca="1" si="528"/>
        <v>0</v>
      </c>
      <c r="DO215" s="259">
        <f t="shared" ca="1" si="566"/>
        <v>0</v>
      </c>
      <c r="DP215" s="259">
        <f t="shared" ca="1" si="567"/>
        <v>0</v>
      </c>
      <c r="DQ215" s="259">
        <f ca="1">IF(OR($DQ$1="TOTALI",$DQ$1="TOTALI ED ECCEDENZE"),IF(OR(DM215&gt;0,DN215&gt;0),MAX(DQ$2:DQ214)+1,0),IF($DQ$1="ECCEDENZE",IF(OR(DO215&gt;0,DP215&gt;0),MAX(DQ$2:DQ214)+1,0),""))</f>
        <v>0</v>
      </c>
      <c r="DR215" s="259" t="str">
        <f ca="1">IFERROR(INDEX($DL$3:$DQ$230,MATCH(ROWS(DR$3:DR215),$DQ$3:$DQ$230,0),1),"")</f>
        <v/>
      </c>
      <c r="DS215" s="259" t="str">
        <f t="shared" ca="1" si="568"/>
        <v/>
      </c>
      <c r="DT215" s="259" t="str">
        <f t="shared" ca="1" si="569"/>
        <v/>
      </c>
      <c r="DU215" s="259" t="str">
        <f t="shared" ca="1" si="570"/>
        <v/>
      </c>
      <c r="DV215" s="259" t="str">
        <f t="shared" ca="1" si="571"/>
        <v/>
      </c>
      <c r="DW215" s="259">
        <f t="shared" ca="1" si="572"/>
        <v>0</v>
      </c>
      <c r="DX215" s="259" t="str">
        <f t="shared" ca="1" si="573"/>
        <v/>
      </c>
      <c r="DY215" s="259" t="str">
        <f t="shared" ca="1" si="574"/>
        <v/>
      </c>
      <c r="DZ215" s="259" t="str">
        <f t="shared" ca="1" si="575"/>
        <v/>
      </c>
      <c r="EC215" s="259">
        <f>IF(IF(DG215&lt;&gt;"",REPLACE(DG215,3,1,""),0)&lt;&gt;0,MAX(EC$2:EC214)+1,0)</f>
        <v>0</v>
      </c>
      <c r="ED215" s="259">
        <f t="shared" ca="1" si="529"/>
        <v>0</v>
      </c>
      <c r="EH215" s="259" t="str">
        <f t="shared" ca="1" si="576"/>
        <v/>
      </c>
      <c r="EI215" s="260" t="b">
        <f t="shared" ca="1" si="602"/>
        <v>0</v>
      </c>
      <c r="EJ215" s="260" t="b">
        <f t="shared" ca="1" si="603"/>
        <v>0</v>
      </c>
      <c r="EK215" s="260" t="b">
        <f t="shared" ca="1" si="604"/>
        <v>0</v>
      </c>
      <c r="EL215" s="259">
        <f t="shared" si="577"/>
        <v>213</v>
      </c>
      <c r="EM215" s="259">
        <f ca="1">IF(AND(BA215&gt;0,BA215&lt;=$EM$1),MAX($EM$2:EM214)+1,0)</f>
        <v>0</v>
      </c>
      <c r="EN215" s="259">
        <f t="shared" ca="1" si="578"/>
        <v>215</v>
      </c>
      <c r="EP215" s="259" t="str">
        <f t="shared" ca="1" si="530"/>
        <v/>
      </c>
      <c r="EQ215" s="259">
        <f t="shared" ca="1" si="531"/>
        <v>0</v>
      </c>
      <c r="ER215" s="259">
        <f ca="1">IF(ISNA(EQ215),MAX(ER$2:ER214)+1,0)</f>
        <v>0</v>
      </c>
      <c r="ES215" s="259" t="str">
        <f t="shared" ca="1" si="579"/>
        <v/>
      </c>
      <c r="ET215" s="259" t="str">
        <f ca="1">IFERROR(UPPER(INDEX($ER$3:$ES$500,MATCH(ROWS(ET$3:ET215),$ER$3:$ER$500,0),2)),"")</f>
        <v/>
      </c>
      <c r="EW215" s="259">
        <f t="shared" ca="1" si="497"/>
        <v>1</v>
      </c>
      <c r="EX215" s="259">
        <v>113</v>
      </c>
      <c r="EY215" s="259">
        <f t="shared" ca="1" si="498"/>
        <v>0</v>
      </c>
      <c r="EZ215" s="259">
        <f t="shared" ca="1" si="499"/>
        <v>0</v>
      </c>
      <c r="FA215" s="259">
        <f t="shared" ca="1" si="500"/>
        <v>0</v>
      </c>
      <c r="FB215" s="259">
        <f t="shared" ca="1" si="501"/>
        <v>0</v>
      </c>
      <c r="FC215" s="259">
        <f t="shared" ca="1" si="502"/>
        <v>0</v>
      </c>
      <c r="FD215" s="259">
        <f t="shared" ca="1" si="532"/>
        <v>0</v>
      </c>
      <c r="FE215" s="259" t="str">
        <f t="shared" ca="1" si="533"/>
        <v/>
      </c>
      <c r="FF215" s="259" t="str">
        <f t="shared" ca="1" si="503"/>
        <v/>
      </c>
      <c r="FM215" s="259">
        <f t="shared" si="534"/>
        <v>0</v>
      </c>
      <c r="FN215" s="259">
        <f>IF(FM215&lt;0,MAX($FN$2:FN214)+1,0)</f>
        <v>0</v>
      </c>
      <c r="FO215" s="259" t="str">
        <f t="shared" si="580"/>
        <v/>
      </c>
      <c r="FP215" s="259" t="str">
        <f ca="1">IFERROR(INDEX($FN$3:$FO$400,MATCH(ROWS($FP$3:FP215),$FN$3:$FN$400,0),2),"")</f>
        <v/>
      </c>
      <c r="FQ215" s="259" t="str">
        <f>IF(AE215="SE AVERE",MAX($FQ$2:FQ214)+1,"")</f>
        <v/>
      </c>
      <c r="FR215" s="259" t="str">
        <f>IF(AE215="SE DARE",MAX($FR$2:FR214)+1,"")</f>
        <v/>
      </c>
      <c r="FS215" s="259" t="str">
        <f ca="1">IF(AND(AE215="SP DARE",AA215&lt;&gt;$FS$1,AA215&lt;&gt;$FT$1),MAX($FS$2:FS214)+1,IF(AND(GQ215="SP DARE",AA215&lt;&gt;$FS$1,AA215&lt;&gt;$FT$1),MAX($FS$2:FS214)+1,""))</f>
        <v/>
      </c>
      <c r="FT215" s="259" t="str">
        <f ca="1">IF(AND(AE215="SP AVERE",AA215&lt;&gt;$FU$1),MAX($FT$2:FT214)+1,IF(AND(GQ215="SP AVERE",AA215&lt;&gt;$FU$1),MAX($FT$2:FT214)+1,""))</f>
        <v/>
      </c>
      <c r="FU215" s="259">
        <f t="shared" ca="1" si="581"/>
        <v>0</v>
      </c>
      <c r="FV215" s="259" t="str">
        <f t="shared" si="582"/>
        <v/>
      </c>
      <c r="FW215" s="259">
        <f ca="1">IFERROR(INDEX($FU$3:$FV$500,MATCH(ROWS($FW$3:FW215),$FU$3:$FU$500,0),2),0)</f>
        <v>0</v>
      </c>
      <c r="FX215" s="259">
        <f t="shared" ca="1" si="583"/>
        <v>0</v>
      </c>
      <c r="FY215" s="259">
        <f t="shared" ca="1" si="584"/>
        <v>0</v>
      </c>
      <c r="FZ215" s="259">
        <f ca="1">IF(FY215&gt;0,MAX($FZ$2:FZ214)+1,0)</f>
        <v>0</v>
      </c>
      <c r="GA215" s="259">
        <f ca="1">IFERROR(INDEX($FY$3:$FZ$500,MATCH(ROWS($GA$3:GA215),$FZ$3:$FZ$500,0),1),0)</f>
        <v>0</v>
      </c>
      <c r="GC215" s="259">
        <f t="shared" ca="1" si="585"/>
        <v>0</v>
      </c>
      <c r="GD215" s="259">
        <f t="shared" ca="1" si="586"/>
        <v>0</v>
      </c>
      <c r="GG215" s="259">
        <f t="shared" ca="1" si="587"/>
        <v>0</v>
      </c>
      <c r="GH215" s="259">
        <f t="shared" ca="1" si="588"/>
        <v>0</v>
      </c>
      <c r="GI215" s="259">
        <f t="shared" ca="1" si="589"/>
        <v>0</v>
      </c>
      <c r="GJ215" s="259">
        <f t="shared" ca="1" si="590"/>
        <v>0</v>
      </c>
      <c r="GK215" s="259">
        <f t="shared" ca="1" si="591"/>
        <v>0</v>
      </c>
      <c r="GL215" s="259">
        <f t="shared" ca="1" si="591"/>
        <v>0</v>
      </c>
      <c r="GM215" s="259">
        <f ca="1">IF(OR(GK215&gt;0,GL215&gt;0),MAX($GM$2:GM214)+1,0)</f>
        <v>0</v>
      </c>
      <c r="GN215" s="259" t="str">
        <f ca="1">IFERROR(INDEX($GD$3:$GM$400,MATCH(ROWS($GN$3:GN215),$GM$3:$GM$400,0),1),"")</f>
        <v/>
      </c>
      <c r="GO215" s="259" t="str">
        <f ca="1">IFERROR(INDEX($GD$3:$GM$400,MATCH(ROWS($GO$3:GO215),$GM$3:$GM$400,0),8),"")</f>
        <v/>
      </c>
      <c r="GP215" s="259" t="str">
        <f ca="1">IFERROR(INDEX($GD$3:$GM$400,MATCH(ROWS($GP$3:GP215),$GM$3:$GM$400,0),9),"")</f>
        <v/>
      </c>
      <c r="GQ215" s="259">
        <f t="shared" ca="1" si="535"/>
        <v>0</v>
      </c>
      <c r="GR215" s="259">
        <f t="shared" ca="1" si="592"/>
        <v>0</v>
      </c>
      <c r="GS215" s="259" t="str">
        <f t="shared" ca="1" si="593"/>
        <v/>
      </c>
      <c r="GT215" s="259" t="str">
        <f ca="1">IFERROR(INDEX($GD$3:$GS$400,MATCH(ROWS($GT$3:GT215),$GM$3:$GM$400,0),16),"")</f>
        <v/>
      </c>
      <c r="GU215" s="259">
        <f ca="1">IF(GQ215&lt;&gt;0,MAX($GU$2:$GU214)+1,0)</f>
        <v>0</v>
      </c>
      <c r="GV215" s="259">
        <f t="shared" ca="1" si="594"/>
        <v>0</v>
      </c>
      <c r="GW215" s="259" t="str">
        <f ca="1">IF(AND(IFERROR(INDEX($GU$3:$GV$400,MATCH(ROWS($GW$3:GW215),$GU$3:$GU$400,0),2),"")&lt;&gt;"",GW216&lt;&gt;""),CONCATENATE(IFERROR(INDEX($GU$3:$GV$400,MATCH(ROWS($GW$3:GW215),$GU$3:$GU$400,0),2),"")," - "),IFERROR(INDEX($GU$3:$GV$400,MATCH(ROWS($GW$3:GW215),$GU$3:$GU$400,0),2),""))</f>
        <v/>
      </c>
      <c r="GX215" s="259">
        <f ca="1">IF(OR(GN215="IVA NS/CREDITO",GN215="IVA NS/DEBITO",GN215="IVA C/ACCONTO",GN215="IMPOSTE C/ACCONTO"),MAX($GX$2:GX214)+1,0)</f>
        <v>0</v>
      </c>
      <c r="GY215" s="259" t="str">
        <f ca="1">IF(AND(IFERROR(INDEX($GN$3:$GX$200,MATCH(ROWS($GY$3:GY215),$GX$3:$GX$200,0),1),"")&lt;&gt;"",GY216&lt;&gt;""),CONCATENATE(IFERROR(INDEX($GN$3:$GX$200,MATCH(ROWS($GY$3:GY215),$GX$3:$GX$200,0),1),"")," - "),IFERROR(INDEX($GN$3:$GX$200,MATCH(ROWS($GY$3:GY215),$GX$3:$GX$200,0),1),""))</f>
        <v/>
      </c>
      <c r="HV215" s="259" t="str">
        <f ca="1">CONCATENATE(IFERROR(INDEX($HS$3:$HT$102,MATCH(ROWS($HV$3:HV215),$HT$3:$HT$102,0),1),""),HR215)</f>
        <v/>
      </c>
      <c r="IX215" s="259" t="str">
        <f t="shared" si="606"/>
        <v/>
      </c>
      <c r="IY215" s="259" t="str">
        <f t="shared" si="600"/>
        <v/>
      </c>
      <c r="IZ215" s="259" t="str">
        <f t="shared" si="608"/>
        <v/>
      </c>
      <c r="JA215" s="259" t="str">
        <f t="shared" ca="1" si="601"/>
        <v/>
      </c>
      <c r="JB215" s="259">
        <f t="shared" ca="1" si="536"/>
        <v>0</v>
      </c>
      <c r="JC215" s="259">
        <f t="shared" ca="1" si="504"/>
        <v>0</v>
      </c>
      <c r="JD215" s="259">
        <f t="shared" ca="1" si="505"/>
        <v>0</v>
      </c>
      <c r="JM215" s="259">
        <f t="shared" ca="1" si="506"/>
        <v>0</v>
      </c>
    </row>
    <row r="216" spans="1:273">
      <c r="A216" s="259">
        <f t="shared" si="537"/>
        <v>0</v>
      </c>
      <c r="B216" s="259">
        <f t="shared" si="538"/>
        <v>0</v>
      </c>
      <c r="C216" s="259">
        <f t="shared" si="539"/>
        <v>0</v>
      </c>
      <c r="D216" s="259">
        <f t="shared" si="540"/>
        <v>0</v>
      </c>
      <c r="E216" s="259">
        <f t="shared" si="541"/>
        <v>0</v>
      </c>
      <c r="F216" s="259">
        <f t="shared" si="542"/>
        <v>0</v>
      </c>
      <c r="G216" s="259">
        <f t="shared" ca="1" si="543"/>
        <v>0</v>
      </c>
      <c r="H216" s="259">
        <f t="shared" ca="1" si="544"/>
        <v>0</v>
      </c>
      <c r="I216" s="259">
        <f t="shared" ca="1" si="545"/>
        <v>0</v>
      </c>
      <c r="K216" s="259" t="str">
        <f ca="1">IFERROR(IF($I$1=1,INDEX($AA$3:$AS$220,MATCH(ROWS($K$3:K216),$AQ$3:$AQ$220,0),1),IF($I$1=2,INDEX($AA$3:$AS$220,MATCH(ROWS($K$3:K216),$AR$3:$AR$220,0),1),IF($I$1=3,INDEX($AA$3:$AS$220,MATCH(ROWS($K$3:K216),$AS$3:$AS$220,0),1),""))),"")</f>
        <v/>
      </c>
      <c r="L216" s="259">
        <f ca="1">IF(AND($L$1="VISUALIZZA TUTTI I CONTI",K216&lt;&gt;""),MAX(L215:L215)+1,IFERROR(IF($J$1=1,IF(INDEX(PIANO_DEI_CONTI,MATCH($K216,DENOMINAZIONE,0),5)=$L$1,MAX($L$2:L215)+1,0),IF($J$1=2,IF(INDEX(PIANO_DEI_CONTI,MATCH($K216,DENOMINAZIONE,0),7)=$L$1,MAX($L$2:L215)+1,0))),0))</f>
        <v>0</v>
      </c>
      <c r="M216" s="259" t="str">
        <f ca="1">IFERROR(INDEX($K$3:$K$220,MATCH(ROWS($M$3:M216),$L$3:$L$220,0),1),"")</f>
        <v/>
      </c>
      <c r="R216" s="259" t="str">
        <f t="shared" ca="1" si="516"/>
        <v/>
      </c>
      <c r="S216" s="259">
        <f ca="1">IF(IFERROR(MATCH(R216,DENOMINAZIONE_GIORNALE,0),0)&gt;0,MAX(S$2:S215)+1,0)</f>
        <v>0</v>
      </c>
      <c r="T216" s="259" t="str">
        <f ca="1">IFERROR(INDEX($R$3:$S$220,MATCH(ROWS($T$3:T216),$S$3:$S$220,0),1),"")</f>
        <v/>
      </c>
      <c r="U216" s="259">
        <f t="shared" ca="1" si="517"/>
        <v>0</v>
      </c>
      <c r="V216" s="259">
        <f ca="1">IF(IF(U216&lt;&gt;0,MAX($V$2:V215)+1,0)=0,0,IF(U216&lt;&gt;0,MAX($V$2:V215)+1,0))</f>
        <v>0</v>
      </c>
      <c r="W216" s="259">
        <f t="shared" si="546"/>
        <v>0</v>
      </c>
      <c r="X216" s="259">
        <f t="shared" si="547"/>
        <v>0</v>
      </c>
      <c r="Z216" s="259" t="str">
        <f>IFERROR(INDEX($W$3:$Y$220,MATCH(ROWS($Z$2:Z215),$Y$3:$Y$220,0),1),"")</f>
        <v/>
      </c>
      <c r="AA216" s="259" t="str">
        <f t="shared" si="548"/>
        <v/>
      </c>
      <c r="AB216" s="259" t="str">
        <f t="shared" si="549"/>
        <v/>
      </c>
      <c r="AC216" s="259" t="str">
        <f t="shared" si="550"/>
        <v/>
      </c>
      <c r="AD216" s="259" t="str">
        <f t="shared" si="551"/>
        <v/>
      </c>
      <c r="AE216" s="259" t="str">
        <f t="shared" si="552"/>
        <v/>
      </c>
      <c r="AF216" s="259" t="str">
        <f t="shared" si="553"/>
        <v/>
      </c>
      <c r="AG216" s="259" t="str">
        <f t="shared" si="554"/>
        <v/>
      </c>
      <c r="AH216" s="259" t="str">
        <f t="shared" si="555"/>
        <v/>
      </c>
      <c r="AI216" s="259" t="str">
        <f t="shared" si="556"/>
        <v/>
      </c>
      <c r="AJ216" s="259" t="str">
        <f t="shared" si="557"/>
        <v/>
      </c>
      <c r="AK216" s="259" t="str">
        <f t="shared" si="558"/>
        <v/>
      </c>
      <c r="AL216" s="259">
        <f>IF(AK216&lt;&gt;"",MAX($AL$2:AL215)+1,0)</f>
        <v>0</v>
      </c>
      <c r="AM216" s="259" t="str">
        <f>IFERROR(INDEX($AK$3:$AL$220,MATCH(ROWS($AM$3:AM216),$AL$3:$AL$220,0),1),"")</f>
        <v/>
      </c>
      <c r="AN216" s="259" t="str">
        <f t="shared" si="559"/>
        <v/>
      </c>
      <c r="AO216" s="259" t="str">
        <f t="shared" si="560"/>
        <v/>
      </c>
      <c r="AP216" s="259" t="str">
        <f t="shared" si="561"/>
        <v/>
      </c>
      <c r="AQ216" s="259">
        <f>IF(OR(AG216=0,AG216=""),0,MAX(AQ$2:AQ215)+1)</f>
        <v>0</v>
      </c>
      <c r="AR216" s="259">
        <f>IF(OR(AH216=0,AH216=""),0,MAX(AR$2:AR215)+1)</f>
        <v>0</v>
      </c>
      <c r="AS216" s="259">
        <f>IF(OR(AI216=0,AI216=""),0,MAX(AS$2:AS215)+1)</f>
        <v>0</v>
      </c>
      <c r="AT216" s="259" t="str">
        <f ca="1">IFERROR(INDEX($AD$3:$AS$220,MATCH(ROWS(AT$3:AT216),AQ$3:AQ$220,0),1),"")</f>
        <v/>
      </c>
      <c r="AU216" s="259" t="str">
        <f ca="1">IFERROR(INDEX($AD$3:$AS$220,MATCH(ROWS(AU$3:AU216),AR$3:AR$220,0),1),"")</f>
        <v/>
      </c>
      <c r="AV216" s="259" t="str">
        <f ca="1">IFERROR(INDEX($AD$3:$AS$220,MATCH(ROWS(AV$3:AV216),AS$3:AS$220,0),1),"")</f>
        <v/>
      </c>
      <c r="AW216" s="259" t="str">
        <f ca="1">IFERROR(INDEX($AP$3:$AS$220,MATCH(ROWS(AW$3:AW216),AQ$3:AQ$220,0),1),"")</f>
        <v/>
      </c>
      <c r="AX216" s="259" t="str">
        <f ca="1">IFERROR(INDEX($AP$3:$AS$220,MATCH(ROWS(AX$3:AX216),AR$3:AR$220,0),1),"")</f>
        <v/>
      </c>
      <c r="AY216" s="259" t="str">
        <f ca="1">IFERROR(INDEX($AP$3:$AS$220,MATCH(ROWS(AY$3:AY216),AS$3:AS$220,0),1),"")</f>
        <v/>
      </c>
      <c r="AZ216" s="259" t="str">
        <f t="shared" ca="1" si="616"/>
        <v/>
      </c>
      <c r="BA216" s="259">
        <f t="shared" ca="1" si="484"/>
        <v>0</v>
      </c>
      <c r="BB216" s="259">
        <f t="shared" ca="1" si="617"/>
        <v>0</v>
      </c>
      <c r="BC216" s="259">
        <f t="shared" ca="1" si="618"/>
        <v>0</v>
      </c>
      <c r="BD216" s="259">
        <f t="shared" ca="1" si="619"/>
        <v>0</v>
      </c>
      <c r="BE216" s="259">
        <f t="shared" ca="1" si="620"/>
        <v>0</v>
      </c>
      <c r="BG216" s="259" t="str">
        <f t="shared" ca="1" si="518"/>
        <v/>
      </c>
      <c r="BH216" s="259">
        <f ca="1">IF(IFERROR(MATCH(BG216,DENOMINAZIONE_GIORNALE,0),0)&gt;0,MAX(BH$2:BH215)+1,0)</f>
        <v>0</v>
      </c>
      <c r="BI216" s="259" t="str">
        <f ca="1">IFERROR(INDEX($BG$3:$BH$220,MATCH(ROWS($BI$3:BI216),$BH$3:$BH$220,0),1),"")</f>
        <v/>
      </c>
      <c r="BJ216" s="259" t="str">
        <f t="shared" ca="1" si="519"/>
        <v/>
      </c>
      <c r="BK216" s="259" t="str">
        <f ca="1">IF(IF(BJ216&lt;&gt;"",MAX($BK$2:BK215)+1,0)=0,"",IF(BJ216&lt;&gt;"",MAX($BK$2:BK215)+1,0))</f>
        <v/>
      </c>
      <c r="BL216" s="259" t="str">
        <f ca="1">IFERROR(INDEX($T$3:$U$220, MATCH(ROWS(BL$3:BL216),$V$3:$V$220,0),1),"")</f>
        <v/>
      </c>
      <c r="BM216" s="259" t="str">
        <f ca="1">IFERROR(INDEX($T$3:$U$220, MATCH(ROWS(BM$3:BM216),$V$3:$V$220,0),2),"")</f>
        <v/>
      </c>
      <c r="BN216" s="259" t="str">
        <f ca="1">IF(IFERROR(INDEX($BI$3:$BJ$220,MATCH(ROWS(BN$3:BN216),$BK$3:$BK$220,0),1),"")="PATRIMONIO NETTO","",IFERROR(INDEX($BI$3:$BJ$220,MATCH(ROWS(BN$3:BN216),$BK$3:$BK$220,0),1),""))</f>
        <v/>
      </c>
      <c r="BO216" s="259" t="str">
        <f ca="1">IFERROR(INDEX($BI$3:$BJ$220,MATCH(ROWS(BO$3:BO216),$BK$3:$BK$220,0),2),"")</f>
        <v/>
      </c>
      <c r="BP216" s="259">
        <f ca="1">IF(BN216&lt;&gt;"",MAX(BP$2:$BP215)+1,0)</f>
        <v>0</v>
      </c>
      <c r="BQ216" s="259" t="str">
        <f ca="1">IFERROR(INDEX($BN$3:$BO$200,MATCH(ROWS(BQ$3:BQ216),$BP$3:$BP$220,0),1),"")</f>
        <v/>
      </c>
      <c r="BR216" s="259" t="str">
        <f ca="1">IFERROR(INDEX($BN$3:$BO$220,MATCH(ROWS(BR$3:BR216),$BP$3:$BP$220,0),2),"")</f>
        <v/>
      </c>
      <c r="BS216" s="259" t="str">
        <f ca="1">IFERROR(IF(OR(INDEX($T$3:$U$220,MATCH(ROWS(BL$3:BL216),$V$3:$V$220,0),1)="PRELEVAMENTI EXTRAGESTIONE",INDEX($T$3:$U$220,MATCH(ROWS(BL$3:BL216),$V$3:$V$220,0),1)="TITOLARE C/RITENUTE SUBITE"),"",INDEX($T$3:$U$220,MATCH(ROWS(BL$3:BL216),$V$3:$V$220,0),1)),"")</f>
        <v/>
      </c>
      <c r="BT216" s="259">
        <f t="shared" ca="1" si="562"/>
        <v>0</v>
      </c>
      <c r="BU216" s="259">
        <f ca="1">IF(BS216&lt;&gt;"",MAX(BU$2:BU215)+1,0)</f>
        <v>0</v>
      </c>
      <c r="BV216" s="259" t="str">
        <f ca="1">IFERROR(INDEX($BS$3:$BT$223,MATCH(ROWS(BV$3:BV216),$BU$3:$BU$223,0),1),"")</f>
        <v/>
      </c>
      <c r="BW216" s="259">
        <f t="shared" ca="1" si="563"/>
        <v>0</v>
      </c>
      <c r="CB216" s="259" t="str">
        <f ca="1">IFERROR(IF(OR($BB$1&lt;&gt;$BD$1,$BC$1&lt;&gt;$BE$1,$DS$231&lt;&gt;$DT$231,$DU$231&lt;&gt;$DV$231,$EO$25&lt;&gt;0,$EO$26&lt;&gt;0),INDEX($BI$3:$BK$220,MATCH(ROWS($CB$3:CB216),$BK$3:$BK$220,0),1),CONCATENATE(BQ216,BX216)),"")</f>
        <v/>
      </c>
      <c r="CC216" s="259" t="str">
        <f t="shared" ca="1" si="564"/>
        <v/>
      </c>
      <c r="CD216" s="259" t="str">
        <f t="shared" ca="1" si="520"/>
        <v/>
      </c>
      <c r="CE216" s="259">
        <f ca="1">IF(IFERROR(MATCH(CD216,DENOMINAZIONE_GIORNALE,0),0)&gt;0,MAX(CE$2:CE215)+1,0)</f>
        <v>0</v>
      </c>
      <c r="CF216" s="259" t="str">
        <f ca="1">IFERROR(INDEX($CD$3:$CE$220,MATCH(ROWS($CF$3:CF216),$CE$3:$CE$220,0),1),"")</f>
        <v/>
      </c>
      <c r="CG216" s="259">
        <f t="shared" ca="1" si="521"/>
        <v>0</v>
      </c>
      <c r="CH216" s="259" t="str">
        <f ca="1">IF(IF(CG216&lt;&gt;0,MAX($CH$2:CH215)+1,0)=0,"",IF(CG216&lt;&gt;"",MAX($CH$2:CH215)+1,0))</f>
        <v/>
      </c>
      <c r="CI216" s="259" t="str">
        <f ca="1">IFERROR(INDEX($CF$3:$CG$220,MATCH(ROWS($CI$3:CI216),$CH$3:$CH$220,0),1),"")</f>
        <v/>
      </c>
      <c r="CJ216" s="259" t="str">
        <f t="shared" ca="1" si="565"/>
        <v/>
      </c>
      <c r="CK216" s="259" t="str">
        <f t="shared" ca="1" si="522"/>
        <v/>
      </c>
      <c r="CL216" s="259">
        <f ca="1">IF(IFERROR(MATCH(CK216,DENOMINAZIONE_GIORNALE,0),0)&gt;0,MAX(CL$2:CL215)+1,0)</f>
        <v>0</v>
      </c>
      <c r="CM216" s="259" t="str">
        <f ca="1">IFERROR(INDEX($CK$3:$CL$220,MATCH(ROWS($CM$3:CM216),$CL$3:$CL$220,0),1),"")</f>
        <v/>
      </c>
      <c r="CN216" s="259" t="str">
        <f t="shared" ca="1" si="523"/>
        <v/>
      </c>
      <c r="CO216" s="259">
        <f ca="1">IF(IF(CN216&lt;&gt;0,MAX($CO$2:CO215)+1,0)=0,"",IF(CN216&lt;&gt;"",MAX($CO$2:CO215)+1,0))</f>
        <v>0</v>
      </c>
      <c r="CP216" s="259" t="str">
        <f ca="1">IFERROR(INDEX($CM$3:$CN$220,MATCH(ROWS(CP$3:CP216),$CO$3:$CO$220,0),1),"")</f>
        <v/>
      </c>
      <c r="CQ216" s="259" t="str">
        <f ca="1">IFERROR(INDEX($CM$3:$CN$220,MATCH(ROWS(CQ$3:CQ216),$CO$3:$CO$220,0),2),"")</f>
        <v/>
      </c>
      <c r="CS216" s="259">
        <f t="shared" ca="1" si="524"/>
        <v>0</v>
      </c>
      <c r="CT216" s="259">
        <f t="shared" ca="1" si="525"/>
        <v>0</v>
      </c>
      <c r="CU216" s="259">
        <f ca="1">IF(OR(CS216&gt;0,CT216&gt;0),MAX($CU$2:CU215)+1,0)</f>
        <v>0</v>
      </c>
      <c r="CV216" s="259" t="str">
        <f ca="1">IFERROR(INDEX(PIANO_DEI_CONTI,MATCH(ROWS($CV$3:CV216),$CU$3:$CU$200,0),2),"")</f>
        <v/>
      </c>
      <c r="CW216" s="259">
        <f ca="1">IFERROR(IF(CV216&lt;&gt;"",MAX($CW$2:CW215)+1,0),0)</f>
        <v>0</v>
      </c>
      <c r="CX216" s="259">
        <f t="shared" ca="1" si="609"/>
        <v>12</v>
      </c>
      <c r="CY216" s="259" t="str">
        <f t="shared" ca="1" si="607"/>
        <v>MASTRO</v>
      </c>
      <c r="CZ216" s="259" t="e">
        <f t="shared" ca="1" si="611"/>
        <v>#N/A</v>
      </c>
      <c r="DA216" s="259" t="str">
        <f t="shared" ca="1" si="621"/>
        <v/>
      </c>
      <c r="DB216" s="259" t="str">
        <f t="shared" ca="1" si="612"/>
        <v/>
      </c>
      <c r="DC216" s="259" t="str">
        <f t="shared" ca="1" si="613"/>
        <v/>
      </c>
      <c r="DD216" s="259" t="str">
        <f t="shared" ca="1" si="614"/>
        <v/>
      </c>
      <c r="DE216" s="259" t="str">
        <f t="shared" ca="1" si="615"/>
        <v/>
      </c>
      <c r="DF216" s="259">
        <f ca="1">IF(AND(CX216=$DE$2,$DF$2&lt;&gt;0),0,IF(AND(DB216&lt;&gt;"",OR(DB215&lt;&gt;"",DB217&lt;&gt;"")),MAX($DF$2:DF215)+1,0))</f>
        <v>0</v>
      </c>
      <c r="DG216" s="259" t="str">
        <f>IF(IF(LIBRO_GIORNALE!E124="","",IFERROR(INDEX(PIANO_DEI_CONTI,MATCH(BB216,DENOMINAZIONE,0),1),0))=0,"",IF(LIBRO_GIORNALE!E124="","",IFERROR(INDEX(PIANO_DEI_CONTI,MATCH(BB216,DENOMINAZIONE,0),1),0)))</f>
        <v/>
      </c>
      <c r="DH216" s="259">
        <f ca="1">IFERROR(IF($J$1=1,IF(INDEX(PIANO_DEI_CONTI,MATCH($K216,DENOMINAZIONE,0),5)=$DF$1,MAX($DH$2:DH215)+1,0),IF($J$1=2,IF(INDEX(PIANO_DEI_CONTI,MATCH($K216,DENOMINAZIONE,0),7)=$DF$1,MAX($DH$2:DH215)+1,0))),0)</f>
        <v>0</v>
      </c>
      <c r="DI216" s="259">
        <f ca="1">IFERROR(INDEX($K$3:$K$220,MATCH(ROWS($DI$3:DI216),$DH$3:$DH$220,0),1),0)</f>
        <v>0</v>
      </c>
      <c r="DJ216" s="259">
        <f t="shared" ca="1" si="526"/>
        <v>0</v>
      </c>
      <c r="DK216" s="259">
        <f ca="1">IF(DJ216=0,0,MAX(DK$2:DK215)+1)</f>
        <v>0</v>
      </c>
      <c r="DL216" s="259">
        <f ca="1">IFERROR(INDEX(PIANO_DEI_CONTI,MATCH(ROWS(DL$3:DL216),$DK$3:DK443,0),2),0)</f>
        <v>0</v>
      </c>
      <c r="DM216" s="259">
        <f t="shared" ca="1" si="527"/>
        <v>0</v>
      </c>
      <c r="DN216" s="259">
        <f t="shared" ca="1" si="528"/>
        <v>0</v>
      </c>
      <c r="DO216" s="259">
        <f t="shared" ca="1" si="566"/>
        <v>0</v>
      </c>
      <c r="DP216" s="259">
        <f t="shared" ca="1" si="567"/>
        <v>0</v>
      </c>
      <c r="DQ216" s="259">
        <f ca="1">IF(OR($DQ$1="TOTALI",$DQ$1="TOTALI ED ECCEDENZE"),IF(OR(DM216&gt;0,DN216&gt;0),MAX(DQ$2:DQ215)+1,0),IF($DQ$1="ECCEDENZE",IF(OR(DO216&gt;0,DP216&gt;0),MAX(DQ$2:DQ215)+1,0),""))</f>
        <v>0</v>
      </c>
      <c r="DR216" s="259" t="str">
        <f ca="1">IFERROR(INDEX($DL$3:$DQ$230,MATCH(ROWS(DR$3:DR216),$DQ$3:$DQ$230,0),1),"")</f>
        <v/>
      </c>
      <c r="DS216" s="259" t="str">
        <f t="shared" ca="1" si="568"/>
        <v/>
      </c>
      <c r="DT216" s="259" t="str">
        <f t="shared" ca="1" si="569"/>
        <v/>
      </c>
      <c r="DU216" s="259" t="str">
        <f t="shared" ca="1" si="570"/>
        <v/>
      </c>
      <c r="DV216" s="259" t="str">
        <f t="shared" ca="1" si="571"/>
        <v/>
      </c>
      <c r="DW216" s="259">
        <f t="shared" ca="1" si="572"/>
        <v>0</v>
      </c>
      <c r="DX216" s="259" t="str">
        <f t="shared" ca="1" si="573"/>
        <v/>
      </c>
      <c r="DY216" s="259" t="str">
        <f t="shared" ca="1" si="574"/>
        <v/>
      </c>
      <c r="DZ216" s="259" t="str">
        <f t="shared" ca="1" si="575"/>
        <v/>
      </c>
      <c r="EC216" s="259">
        <f>IF(IF(DG216&lt;&gt;"",REPLACE(DG216,3,1,""),0)&lt;&gt;0,MAX(EC$2:EC215)+1,0)</f>
        <v>0</v>
      </c>
      <c r="ED216" s="259">
        <f t="shared" ca="1" si="529"/>
        <v>0</v>
      </c>
      <c r="EH216" s="259" t="str">
        <f t="shared" ca="1" si="576"/>
        <v/>
      </c>
      <c r="EI216" s="260" t="b">
        <f t="shared" ca="1" si="602"/>
        <v>0</v>
      </c>
      <c r="EJ216" s="260" t="b">
        <f t="shared" ca="1" si="603"/>
        <v>0</v>
      </c>
      <c r="EK216" s="260" t="b">
        <f t="shared" ca="1" si="604"/>
        <v>0</v>
      </c>
      <c r="EL216" s="259">
        <f t="shared" si="577"/>
        <v>214</v>
      </c>
      <c r="EM216" s="259">
        <f ca="1">IF(AND(BA216&gt;0,BA216&lt;=$EM$1),MAX($EM$2:EM215)+1,0)</f>
        <v>0</v>
      </c>
      <c r="EN216" s="259">
        <f t="shared" ca="1" si="578"/>
        <v>216</v>
      </c>
      <c r="EP216" s="259" t="str">
        <f t="shared" ca="1" si="530"/>
        <v/>
      </c>
      <c r="EQ216" s="259">
        <f t="shared" ca="1" si="531"/>
        <v>0</v>
      </c>
      <c r="ER216" s="259">
        <f ca="1">IF(ISNA(EQ216),MAX(ER$2:ER215)+1,0)</f>
        <v>0</v>
      </c>
      <c r="ES216" s="259" t="str">
        <f t="shared" ca="1" si="579"/>
        <v/>
      </c>
      <c r="ET216" s="259" t="str">
        <f ca="1">IFERROR(UPPER(INDEX($ER$3:$ES$500,MATCH(ROWS(ET$3:ET216),$ER$3:$ER$500,0),2)),"")</f>
        <v/>
      </c>
      <c r="EW216" s="259">
        <f t="shared" ca="1" si="497"/>
        <v>1</v>
      </c>
      <c r="EX216" s="259">
        <v>114</v>
      </c>
      <c r="EY216" s="259">
        <f t="shared" ca="1" si="498"/>
        <v>0</v>
      </c>
      <c r="EZ216" s="259">
        <f t="shared" ca="1" si="499"/>
        <v>0</v>
      </c>
      <c r="FA216" s="259">
        <f t="shared" ca="1" si="500"/>
        <v>0</v>
      </c>
      <c r="FB216" s="259">
        <f t="shared" ca="1" si="501"/>
        <v>0</v>
      </c>
      <c r="FC216" s="259">
        <f t="shared" ca="1" si="502"/>
        <v>0</v>
      </c>
      <c r="FD216" s="259">
        <f t="shared" ca="1" si="532"/>
        <v>0</v>
      </c>
      <c r="FE216" s="259" t="str">
        <f t="shared" ca="1" si="533"/>
        <v/>
      </c>
      <c r="FF216" s="259" t="str">
        <f t="shared" ca="1" si="503"/>
        <v/>
      </c>
      <c r="FM216" s="259">
        <f t="shared" si="534"/>
        <v>0</v>
      </c>
      <c r="FN216" s="259">
        <f>IF(FM216&lt;0,MAX($FN$2:FN215)+1,0)</f>
        <v>0</v>
      </c>
      <c r="FO216" s="259" t="str">
        <f t="shared" si="580"/>
        <v/>
      </c>
      <c r="FP216" s="259" t="str">
        <f ca="1">IFERROR(INDEX($FN$3:$FO$400,MATCH(ROWS($FP$3:FP216),$FN$3:$FN$400,0),2),"")</f>
        <v/>
      </c>
      <c r="FQ216" s="259" t="str">
        <f>IF(AE216="SE AVERE",MAX($FQ$2:FQ215)+1,"")</f>
        <v/>
      </c>
      <c r="FR216" s="259" t="str">
        <f>IF(AE216="SE DARE",MAX($FR$2:FR215)+1,"")</f>
        <v/>
      </c>
      <c r="FS216" s="259" t="str">
        <f ca="1">IF(AND(AE216="SP DARE",AA216&lt;&gt;$FS$1,AA216&lt;&gt;$FT$1),MAX($FS$2:FS215)+1,IF(AND(GQ216="SP DARE",AA216&lt;&gt;$FS$1,AA216&lt;&gt;$FT$1),MAX($FS$2:FS215)+1,""))</f>
        <v/>
      </c>
      <c r="FT216" s="259" t="str">
        <f ca="1">IF(AND(AE216="SP AVERE",AA216&lt;&gt;$FU$1),MAX($FT$2:FT215)+1,IF(AND(GQ216="SP AVERE",AA216&lt;&gt;$FU$1),MAX($FT$2:FT215)+1,""))</f>
        <v/>
      </c>
      <c r="FU216" s="259">
        <f t="shared" ca="1" si="581"/>
        <v>0</v>
      </c>
      <c r="FV216" s="259" t="str">
        <f t="shared" si="582"/>
        <v/>
      </c>
      <c r="FW216" s="259">
        <f ca="1">IFERROR(INDEX($FU$3:$FV$500,MATCH(ROWS($FW$3:FW216),$FU$3:$FU$500,0),2),0)</f>
        <v>0</v>
      </c>
      <c r="FX216" s="259">
        <f t="shared" ca="1" si="583"/>
        <v>0</v>
      </c>
      <c r="FY216" s="259">
        <f t="shared" ca="1" si="584"/>
        <v>0</v>
      </c>
      <c r="FZ216" s="259">
        <f ca="1">IF(FY216&gt;0,MAX($FZ$2:FZ215)+1,0)</f>
        <v>0</v>
      </c>
      <c r="GA216" s="259">
        <f ca="1">IFERROR(INDEX($FY$3:$FZ$500,MATCH(ROWS($GA$3:GA216),$FZ$3:$FZ$500,0),1),0)</f>
        <v>0</v>
      </c>
      <c r="GC216" s="259">
        <f t="shared" ca="1" si="585"/>
        <v>0</v>
      </c>
      <c r="GD216" s="259">
        <f t="shared" ca="1" si="586"/>
        <v>0</v>
      </c>
      <c r="GG216" s="259">
        <f t="shared" ca="1" si="587"/>
        <v>0</v>
      </c>
      <c r="GH216" s="259">
        <f t="shared" ca="1" si="588"/>
        <v>0</v>
      </c>
      <c r="GI216" s="259">
        <f t="shared" ca="1" si="589"/>
        <v>0</v>
      </c>
      <c r="GJ216" s="259">
        <f t="shared" ca="1" si="590"/>
        <v>0</v>
      </c>
      <c r="GK216" s="259">
        <f t="shared" ca="1" si="591"/>
        <v>0</v>
      </c>
      <c r="GL216" s="259">
        <f t="shared" ca="1" si="591"/>
        <v>0</v>
      </c>
      <c r="GM216" s="259">
        <f ca="1">IF(OR(GK216&gt;0,GL216&gt;0),MAX($GM$2:GM215)+1,0)</f>
        <v>0</v>
      </c>
      <c r="GN216" s="259" t="str">
        <f ca="1">IFERROR(INDEX($GD$3:$GM$400,MATCH(ROWS($GN$3:GN216),$GM$3:$GM$400,0),1),"")</f>
        <v/>
      </c>
      <c r="GO216" s="259" t="str">
        <f ca="1">IFERROR(INDEX($GD$3:$GM$400,MATCH(ROWS($GO$3:GO216),$GM$3:$GM$400,0),8),"")</f>
        <v/>
      </c>
      <c r="GP216" s="259" t="str">
        <f ca="1">IFERROR(INDEX($GD$3:$GM$400,MATCH(ROWS($GP$3:GP216),$GM$3:$GM$400,0),9),"")</f>
        <v/>
      </c>
      <c r="GQ216" s="259">
        <f t="shared" ca="1" si="535"/>
        <v>0</v>
      </c>
      <c r="GR216" s="259">
        <f t="shared" ca="1" si="592"/>
        <v>0</v>
      </c>
      <c r="GS216" s="259" t="str">
        <f t="shared" ca="1" si="593"/>
        <v/>
      </c>
      <c r="GT216" s="259" t="str">
        <f ca="1">IFERROR(INDEX($GD$3:$GS$400,MATCH(ROWS($GT$3:GT216),$GM$3:$GM$400,0),16),"")</f>
        <v/>
      </c>
      <c r="GU216" s="259">
        <f ca="1">IF(GQ216&lt;&gt;0,MAX($GU$2:$GU215)+1,0)</f>
        <v>0</v>
      </c>
      <c r="GV216" s="259">
        <f t="shared" ca="1" si="594"/>
        <v>0</v>
      </c>
      <c r="GW216" s="259" t="str">
        <f ca="1">IF(AND(IFERROR(INDEX($GU$3:$GV$400,MATCH(ROWS($GW$3:GW216),$GU$3:$GU$400,0),2),"")&lt;&gt;"",GW217&lt;&gt;""),CONCATENATE(IFERROR(INDEX($GU$3:$GV$400,MATCH(ROWS($GW$3:GW216),$GU$3:$GU$400,0),2),"")," - "),IFERROR(INDEX($GU$3:$GV$400,MATCH(ROWS($GW$3:GW216),$GU$3:$GU$400,0),2),""))</f>
        <v/>
      </c>
      <c r="GX216" s="259">
        <f ca="1">IF(OR(GN216="IVA NS/CREDITO",GN216="IVA NS/DEBITO",GN216="IVA C/ACCONTO",GN216="IMPOSTE C/ACCONTO"),MAX($GX$2:GX215)+1,0)</f>
        <v>0</v>
      </c>
      <c r="GY216" s="259" t="str">
        <f ca="1">IF(AND(IFERROR(INDEX($GN$3:$GX$200,MATCH(ROWS($GY$3:GY216),$GX$3:$GX$200,0),1),"")&lt;&gt;"",GY217&lt;&gt;""),CONCATENATE(IFERROR(INDEX($GN$3:$GX$200,MATCH(ROWS($GY$3:GY216),$GX$3:$GX$200,0),1),"")," - "),IFERROR(INDEX($GN$3:$GX$200,MATCH(ROWS($GY$3:GY216),$GX$3:$GX$200,0),1),""))</f>
        <v/>
      </c>
      <c r="HV216" s="259" t="str">
        <f ca="1">CONCATENATE(IFERROR(INDEX($HS$3:$HT$102,MATCH(ROWS($HV$3:HV216),$HT$3:$HT$102,0),1),""),HR216)</f>
        <v/>
      </c>
      <c r="IX216" s="259" t="str">
        <f t="shared" si="606"/>
        <v/>
      </c>
      <c r="IY216" s="259" t="str">
        <f t="shared" si="600"/>
        <v/>
      </c>
      <c r="IZ216" s="259" t="str">
        <f t="shared" si="608"/>
        <v/>
      </c>
      <c r="JA216" s="259" t="str">
        <f t="shared" ca="1" si="601"/>
        <v/>
      </c>
      <c r="JB216" s="259">
        <f t="shared" ca="1" si="536"/>
        <v>0</v>
      </c>
      <c r="JC216" s="259">
        <f t="shared" ca="1" si="504"/>
        <v>0</v>
      </c>
      <c r="JD216" s="259">
        <f t="shared" ca="1" si="505"/>
        <v>0</v>
      </c>
      <c r="JM216" s="259">
        <f t="shared" ca="1" si="506"/>
        <v>0</v>
      </c>
    </row>
    <row r="217" spans="1:273">
      <c r="A217" s="259">
        <f t="shared" si="537"/>
        <v>0</v>
      </c>
      <c r="B217" s="259">
        <f t="shared" si="538"/>
        <v>0</v>
      </c>
      <c r="C217" s="259">
        <f t="shared" si="539"/>
        <v>0</v>
      </c>
      <c r="D217" s="259">
        <f t="shared" si="540"/>
        <v>0</v>
      </c>
      <c r="E217" s="259">
        <f t="shared" si="541"/>
        <v>0</v>
      </c>
      <c r="F217" s="259">
        <f t="shared" si="542"/>
        <v>0</v>
      </c>
      <c r="G217" s="259">
        <f t="shared" ca="1" si="543"/>
        <v>0</v>
      </c>
      <c r="H217" s="259">
        <f t="shared" ca="1" si="544"/>
        <v>0</v>
      </c>
      <c r="I217" s="259">
        <f t="shared" ca="1" si="545"/>
        <v>0</v>
      </c>
      <c r="K217" s="259" t="str">
        <f ca="1">IFERROR(IF($I$1=1,INDEX($AA$3:$AS$220,MATCH(ROWS($K$3:K217),$AQ$3:$AQ$220,0),1),IF($I$1=2,INDEX($AA$3:$AS$220,MATCH(ROWS($K$3:K217),$AR$3:$AR$220,0),1),IF($I$1=3,INDEX($AA$3:$AS$220,MATCH(ROWS($K$3:K217),$AS$3:$AS$220,0),1),""))),"")</f>
        <v/>
      </c>
      <c r="L217" s="259">
        <f ca="1">IF(AND($L$1="VISUALIZZA TUTTI I CONTI",K217&lt;&gt;""),MAX(L216:L216)+1,IFERROR(IF($J$1=1,IF(INDEX(PIANO_DEI_CONTI,MATCH($K217,DENOMINAZIONE,0),5)=$L$1,MAX($L$2:L216)+1,0),IF($J$1=2,IF(INDEX(PIANO_DEI_CONTI,MATCH($K217,DENOMINAZIONE,0),7)=$L$1,MAX($L$2:L216)+1,0))),0))</f>
        <v>0</v>
      </c>
      <c r="M217" s="259" t="str">
        <f ca="1">IFERROR(INDEX($K$3:$K$220,MATCH(ROWS($M$3:M217),$L$3:$L$220,0),1),"")</f>
        <v/>
      </c>
      <c r="R217" s="259" t="str">
        <f t="shared" ca="1" si="516"/>
        <v/>
      </c>
      <c r="S217" s="259">
        <f ca="1">IF(IFERROR(MATCH(R217,DENOMINAZIONE_GIORNALE,0),0)&gt;0,MAX(S$2:S216)+1,0)</f>
        <v>0</v>
      </c>
      <c r="T217" s="259" t="str">
        <f ca="1">IFERROR(INDEX($R$3:$S$220,MATCH(ROWS($T$3:T217),$S$3:$S$220,0),1),"")</f>
        <v/>
      </c>
      <c r="U217" s="259">
        <f t="shared" ca="1" si="517"/>
        <v>0</v>
      </c>
      <c r="V217" s="259">
        <f ca="1">IF(IF(U217&lt;&gt;0,MAX($V$2:V216)+1,0)=0,0,IF(U217&lt;&gt;0,MAX($V$2:V216)+1,0))</f>
        <v>0</v>
      </c>
      <c r="W217" s="259">
        <f t="shared" si="546"/>
        <v>0</v>
      </c>
      <c r="X217" s="259">
        <f t="shared" si="547"/>
        <v>0</v>
      </c>
      <c r="Z217" s="259" t="str">
        <f>IFERROR(INDEX($W$3:$Y$220,MATCH(ROWS($Z$2:Z216),$Y$3:$Y$220,0),1),"")</f>
        <v/>
      </c>
      <c r="AA217" s="259" t="str">
        <f t="shared" si="548"/>
        <v/>
      </c>
      <c r="AB217" s="259" t="str">
        <f t="shared" si="549"/>
        <v/>
      </c>
      <c r="AC217" s="259" t="str">
        <f t="shared" si="550"/>
        <v/>
      </c>
      <c r="AD217" s="259" t="str">
        <f t="shared" si="551"/>
        <v/>
      </c>
      <c r="AE217" s="259" t="str">
        <f t="shared" si="552"/>
        <v/>
      </c>
      <c r="AF217" s="259" t="str">
        <f t="shared" si="553"/>
        <v/>
      </c>
      <c r="AG217" s="259" t="str">
        <f t="shared" si="554"/>
        <v/>
      </c>
      <c r="AH217" s="259" t="str">
        <f t="shared" si="555"/>
        <v/>
      </c>
      <c r="AI217" s="259" t="str">
        <f t="shared" si="556"/>
        <v/>
      </c>
      <c r="AJ217" s="259" t="str">
        <f t="shared" si="557"/>
        <v/>
      </c>
      <c r="AK217" s="259" t="str">
        <f t="shared" si="558"/>
        <v/>
      </c>
      <c r="AL217" s="259">
        <f>IF(AK217&lt;&gt;"",MAX($AL$2:AL216)+1,0)</f>
        <v>0</v>
      </c>
      <c r="AM217" s="259" t="str">
        <f>IFERROR(INDEX($AK$3:$AL$220,MATCH(ROWS($AM$3:AM217),$AL$3:$AL$220,0),1),"")</f>
        <v/>
      </c>
      <c r="AN217" s="259" t="str">
        <f t="shared" si="559"/>
        <v/>
      </c>
      <c r="AO217" s="259" t="str">
        <f t="shared" si="560"/>
        <v/>
      </c>
      <c r="AP217" s="259" t="str">
        <f t="shared" si="561"/>
        <v/>
      </c>
      <c r="AQ217" s="259">
        <f>IF(OR(AG217=0,AG217=""),0,MAX(AQ$2:AQ216)+1)</f>
        <v>0</v>
      </c>
      <c r="AR217" s="259">
        <f>IF(OR(AH217=0,AH217=""),0,MAX(AR$2:AR216)+1)</f>
        <v>0</v>
      </c>
      <c r="AS217" s="259">
        <f>IF(OR(AI217=0,AI217=""),0,MAX(AS$2:AS216)+1)</f>
        <v>0</v>
      </c>
      <c r="AT217" s="259" t="str">
        <f ca="1">IFERROR(INDEX($AD$3:$AS$220,MATCH(ROWS(AT$3:AT217),AQ$3:AQ$220,0),1),"")</f>
        <v/>
      </c>
      <c r="AU217" s="259" t="str">
        <f ca="1">IFERROR(INDEX($AD$3:$AS$220,MATCH(ROWS(AU$3:AU217),AR$3:AR$220,0),1),"")</f>
        <v/>
      </c>
      <c r="AV217" s="259" t="str">
        <f ca="1">IFERROR(INDEX($AD$3:$AS$220,MATCH(ROWS(AV$3:AV217),AS$3:AS$220,0),1),"")</f>
        <v/>
      </c>
      <c r="AW217" s="259" t="str">
        <f ca="1">IFERROR(INDEX($AP$3:$AS$220,MATCH(ROWS(AW$3:AW217),AQ$3:AQ$220,0),1),"")</f>
        <v/>
      </c>
      <c r="AX217" s="259" t="str">
        <f ca="1">IFERROR(INDEX($AP$3:$AS$220,MATCH(ROWS(AX$3:AX217),AR$3:AR$220,0),1),"")</f>
        <v/>
      </c>
      <c r="AY217" s="259" t="str">
        <f ca="1">IFERROR(INDEX($AP$3:$AS$220,MATCH(ROWS(AY$3:AY217),AS$3:AS$220,0),1),"")</f>
        <v/>
      </c>
      <c r="AZ217" s="259" t="str">
        <f t="shared" ca="1" si="616"/>
        <v/>
      </c>
      <c r="BA217" s="259">
        <f t="shared" ca="1" si="484"/>
        <v>0</v>
      </c>
      <c r="BB217" s="259">
        <f t="shared" ca="1" si="617"/>
        <v>0</v>
      </c>
      <c r="BC217" s="259">
        <f t="shared" ca="1" si="618"/>
        <v>0</v>
      </c>
      <c r="BD217" s="259">
        <f t="shared" ca="1" si="619"/>
        <v>0</v>
      </c>
      <c r="BE217" s="259">
        <f t="shared" ca="1" si="620"/>
        <v>0</v>
      </c>
      <c r="BG217" s="259" t="str">
        <f t="shared" ca="1" si="518"/>
        <v/>
      </c>
      <c r="BH217" s="259">
        <f ca="1">IF(IFERROR(MATCH(BG217,DENOMINAZIONE_GIORNALE,0),0)&gt;0,MAX(BH$2:BH216)+1,0)</f>
        <v>0</v>
      </c>
      <c r="BI217" s="259" t="str">
        <f ca="1">IFERROR(INDEX($BG$3:$BH$220,MATCH(ROWS($BI$3:BI217),$BH$3:$BH$220,0),1),"")</f>
        <v/>
      </c>
      <c r="BJ217" s="259" t="str">
        <f t="shared" ca="1" si="519"/>
        <v/>
      </c>
      <c r="BK217" s="259" t="str">
        <f ca="1">IF(IF(BJ217&lt;&gt;"",MAX($BK$2:BK216)+1,0)=0,"",IF(BJ217&lt;&gt;"",MAX($BK$2:BK216)+1,0))</f>
        <v/>
      </c>
      <c r="BL217" s="259" t="str">
        <f ca="1">IFERROR(INDEX($T$3:$U$220, MATCH(ROWS(BL$3:BL217),$V$3:$V$220,0),1),"")</f>
        <v/>
      </c>
      <c r="BM217" s="259" t="str">
        <f ca="1">IFERROR(INDEX($T$3:$U$220, MATCH(ROWS(BM$3:BM217),$V$3:$V$220,0),2),"")</f>
        <v/>
      </c>
      <c r="BN217" s="259" t="str">
        <f ca="1">IF(IFERROR(INDEX($BI$3:$BJ$220,MATCH(ROWS(BN$3:BN217),$BK$3:$BK$220,0),1),"")="PATRIMONIO NETTO","",IFERROR(INDEX($BI$3:$BJ$220,MATCH(ROWS(BN$3:BN217),$BK$3:$BK$220,0),1),""))</f>
        <v/>
      </c>
      <c r="BO217" s="259" t="str">
        <f ca="1">IFERROR(INDEX($BI$3:$BJ$220,MATCH(ROWS(BO$3:BO217),$BK$3:$BK$220,0),2),"")</f>
        <v/>
      </c>
      <c r="BP217" s="259">
        <f ca="1">IF(BN217&lt;&gt;"",MAX(BP$2:$BP216)+1,0)</f>
        <v>0</v>
      </c>
      <c r="BQ217" s="259" t="str">
        <f ca="1">IFERROR(INDEX($BN$3:$BO$200,MATCH(ROWS(BQ$3:BQ217),$BP$3:$BP$220,0),1),"")</f>
        <v/>
      </c>
      <c r="BR217" s="259" t="str">
        <f ca="1">IFERROR(INDEX($BN$3:$BO$220,MATCH(ROWS(BR$3:BR217),$BP$3:$BP$220,0),2),"")</f>
        <v/>
      </c>
      <c r="BS217" s="259" t="str">
        <f ca="1">IFERROR(IF(OR(INDEX($T$3:$U$220,MATCH(ROWS(BL$3:BL217),$V$3:$V$220,0),1)="PRELEVAMENTI EXTRAGESTIONE",INDEX($T$3:$U$220,MATCH(ROWS(BL$3:BL217),$V$3:$V$220,0),1)="TITOLARE C/RITENUTE SUBITE"),"",INDEX($T$3:$U$220,MATCH(ROWS(BL$3:BL217),$V$3:$V$220,0),1)),"")</f>
        <v/>
      </c>
      <c r="BT217" s="259">
        <f t="shared" ca="1" si="562"/>
        <v>0</v>
      </c>
      <c r="BU217" s="259">
        <f ca="1">IF(BS217&lt;&gt;"",MAX(BU$2:BU216)+1,0)</f>
        <v>0</v>
      </c>
      <c r="BV217" s="259" t="str">
        <f ca="1">IFERROR(INDEX($BS$3:$BT$223,MATCH(ROWS(BV$3:BV217),$BU$3:$BU$223,0),1),"")</f>
        <v/>
      </c>
      <c r="BW217" s="259">
        <f t="shared" ca="1" si="563"/>
        <v>0</v>
      </c>
      <c r="CB217" s="259" t="str">
        <f ca="1">IFERROR(IF(OR($BB$1&lt;&gt;$BD$1,$BC$1&lt;&gt;$BE$1,$DS$231&lt;&gt;$DT$231,$DU$231&lt;&gt;$DV$231,$EO$25&lt;&gt;0,$EO$26&lt;&gt;0),INDEX($BI$3:$BK$220,MATCH(ROWS($CB$3:CB217),$BK$3:$BK$220,0),1),CONCATENATE(BQ217,BX217)),"")</f>
        <v/>
      </c>
      <c r="CC217" s="259" t="str">
        <f t="shared" ca="1" si="564"/>
        <v/>
      </c>
      <c r="CD217" s="259" t="str">
        <f t="shared" ca="1" si="520"/>
        <v/>
      </c>
      <c r="CE217" s="259">
        <f ca="1">IF(IFERROR(MATCH(CD217,DENOMINAZIONE_GIORNALE,0),0)&gt;0,MAX(CE$2:CE216)+1,0)</f>
        <v>0</v>
      </c>
      <c r="CF217" s="259" t="str">
        <f ca="1">IFERROR(INDEX($CD$3:$CE$220,MATCH(ROWS($CF$3:CF217),$CE$3:$CE$220,0),1),"")</f>
        <v/>
      </c>
      <c r="CG217" s="259">
        <f t="shared" ca="1" si="521"/>
        <v>0</v>
      </c>
      <c r="CH217" s="259" t="str">
        <f ca="1">IF(IF(CG217&lt;&gt;0,MAX($CH$2:CH216)+1,0)=0,"",IF(CG217&lt;&gt;"",MAX($CH$2:CH216)+1,0))</f>
        <v/>
      </c>
      <c r="CI217" s="259" t="str">
        <f ca="1">IFERROR(INDEX($CF$3:$CG$220,MATCH(ROWS($CI$3:CI217),$CH$3:$CH$220,0),1),"")</f>
        <v/>
      </c>
      <c r="CJ217" s="259" t="str">
        <f t="shared" ca="1" si="565"/>
        <v/>
      </c>
      <c r="CK217" s="259" t="str">
        <f t="shared" ca="1" si="522"/>
        <v/>
      </c>
      <c r="CL217" s="259">
        <f ca="1">IF(IFERROR(MATCH(CK217,DENOMINAZIONE_GIORNALE,0),0)&gt;0,MAX(CL$2:CL216)+1,0)</f>
        <v>0</v>
      </c>
      <c r="CM217" s="259" t="str">
        <f ca="1">IFERROR(INDEX($CK$3:$CL$220,MATCH(ROWS($CM$3:CM217),$CL$3:$CL$220,0),1),"")</f>
        <v/>
      </c>
      <c r="CN217" s="259" t="str">
        <f t="shared" ca="1" si="523"/>
        <v/>
      </c>
      <c r="CO217" s="259">
        <f ca="1">IF(IF(CN217&lt;&gt;0,MAX($CO$2:CO216)+1,0)=0,"",IF(CN217&lt;&gt;"",MAX($CO$2:CO216)+1,0))</f>
        <v>0</v>
      </c>
      <c r="CP217" s="259" t="str">
        <f ca="1">IFERROR(INDEX($CM$3:$CN$220,MATCH(ROWS(CP$3:CP217),$CO$3:$CO$220,0),1),"")</f>
        <v/>
      </c>
      <c r="CQ217" s="259" t="str">
        <f ca="1">IFERROR(INDEX($CM$3:$CN$220,MATCH(ROWS(CQ$3:CQ217),$CO$3:$CO$220,0),2),"")</f>
        <v/>
      </c>
      <c r="CS217" s="259">
        <f t="shared" ca="1" si="524"/>
        <v>0</v>
      </c>
      <c r="CT217" s="259">
        <f t="shared" ca="1" si="525"/>
        <v>0</v>
      </c>
      <c r="CU217" s="259">
        <f ca="1">IF(OR(CS217&gt;0,CT217&gt;0),MAX($CU$2:CU216)+1,0)</f>
        <v>0</v>
      </c>
      <c r="CV217" s="259" t="str">
        <f ca="1">IFERROR(INDEX(PIANO_DEI_CONTI,MATCH(ROWS($CV$3:CV217),$CU$3:$CU$200,0),2),"")</f>
        <v/>
      </c>
      <c r="CW217" s="259">
        <f ca="1">IFERROR(IF(CV217&lt;&gt;"",MAX($CW$2:CW216)+1,0),0)</f>
        <v>0</v>
      </c>
      <c r="CX217" s="259">
        <f t="shared" ca="1" si="609"/>
        <v>12</v>
      </c>
      <c r="CY217" s="259" t="str">
        <f t="shared" ca="1" si="607"/>
        <v>MASTRO</v>
      </c>
      <c r="CZ217" s="259" t="e">
        <f t="shared" ca="1" si="611"/>
        <v>#N/A</v>
      </c>
      <c r="DA217" s="259" t="str">
        <f t="shared" ca="1" si="621"/>
        <v/>
      </c>
      <c r="DB217" s="259" t="str">
        <f t="shared" ca="1" si="612"/>
        <v/>
      </c>
      <c r="DC217" s="259" t="str">
        <f t="shared" ca="1" si="613"/>
        <v/>
      </c>
      <c r="DD217" s="259" t="str">
        <f t="shared" ca="1" si="614"/>
        <v/>
      </c>
      <c r="DE217" s="259" t="str">
        <f t="shared" ca="1" si="615"/>
        <v/>
      </c>
      <c r="DF217" s="259">
        <f ca="1">IF(AND(CX217=$DE$2,$DF$2&lt;&gt;0),0,IF(AND(DB217&lt;&gt;"",OR(DB216&lt;&gt;"",DB218&lt;&gt;"")),MAX($DF$2:DF216)+1,0))</f>
        <v>0</v>
      </c>
      <c r="DG217" s="259" t="str">
        <f>IF(IF(LIBRO_GIORNALE!E125="","",IFERROR(INDEX(PIANO_DEI_CONTI,MATCH(BB217,DENOMINAZIONE,0),1),0))=0,"",IF(LIBRO_GIORNALE!E125="","",IFERROR(INDEX(PIANO_DEI_CONTI,MATCH(BB217,DENOMINAZIONE,0),1),0)))</f>
        <v/>
      </c>
      <c r="DH217" s="259">
        <f ca="1">IFERROR(IF($J$1=1,IF(INDEX(PIANO_DEI_CONTI,MATCH($K217,DENOMINAZIONE,0),5)=$DF$1,MAX($DH$2:DH216)+1,0),IF($J$1=2,IF(INDEX(PIANO_DEI_CONTI,MATCH($K217,DENOMINAZIONE,0),7)=$DF$1,MAX($DH$2:DH216)+1,0))),0)</f>
        <v>0</v>
      </c>
      <c r="DI217" s="259">
        <f ca="1">IFERROR(INDEX($K$3:$K$220,MATCH(ROWS($DI$3:DI217),$DH$3:$DH$220,0),1),0)</f>
        <v>0</v>
      </c>
      <c r="DJ217" s="259">
        <f t="shared" ca="1" si="526"/>
        <v>0</v>
      </c>
      <c r="DK217" s="259">
        <f ca="1">IF(DJ217=0,0,MAX(DK$2:DK216)+1)</f>
        <v>0</v>
      </c>
      <c r="DL217" s="259">
        <f ca="1">IFERROR(INDEX(PIANO_DEI_CONTI,MATCH(ROWS(DL$3:DL217),$DK$3:DK444,0),2),0)</f>
        <v>0</v>
      </c>
      <c r="DM217" s="259">
        <f t="shared" ca="1" si="527"/>
        <v>0</v>
      </c>
      <c r="DN217" s="259">
        <f t="shared" ca="1" si="528"/>
        <v>0</v>
      </c>
      <c r="DO217" s="259">
        <f t="shared" ca="1" si="566"/>
        <v>0</v>
      </c>
      <c r="DP217" s="259">
        <f t="shared" ca="1" si="567"/>
        <v>0</v>
      </c>
      <c r="DQ217" s="259">
        <f ca="1">IF(OR($DQ$1="TOTALI",$DQ$1="TOTALI ED ECCEDENZE"),IF(OR(DM217&gt;0,DN217&gt;0),MAX(DQ$2:DQ216)+1,0),IF($DQ$1="ECCEDENZE",IF(OR(DO217&gt;0,DP217&gt;0),MAX(DQ$2:DQ216)+1,0),""))</f>
        <v>0</v>
      </c>
      <c r="DR217" s="259" t="str">
        <f ca="1">IFERROR(INDEX($DL$3:$DQ$230,MATCH(ROWS(DR$3:DR217),$DQ$3:$DQ$230,0),1),"")</f>
        <v/>
      </c>
      <c r="DS217" s="259" t="str">
        <f t="shared" ca="1" si="568"/>
        <v/>
      </c>
      <c r="DT217" s="259" t="str">
        <f t="shared" ca="1" si="569"/>
        <v/>
      </c>
      <c r="DU217" s="259" t="str">
        <f t="shared" ca="1" si="570"/>
        <v/>
      </c>
      <c r="DV217" s="259" t="str">
        <f t="shared" ca="1" si="571"/>
        <v/>
      </c>
      <c r="DW217" s="259">
        <f t="shared" ca="1" si="572"/>
        <v>0</v>
      </c>
      <c r="DX217" s="259" t="str">
        <f t="shared" ca="1" si="573"/>
        <v/>
      </c>
      <c r="DY217" s="259" t="str">
        <f t="shared" ca="1" si="574"/>
        <v/>
      </c>
      <c r="DZ217" s="259" t="str">
        <f t="shared" ca="1" si="575"/>
        <v/>
      </c>
      <c r="EC217" s="259">
        <f>IF(IF(DG217&lt;&gt;"",REPLACE(DG217,3,1,""),0)&lt;&gt;0,MAX(EC$2:EC216)+1,0)</f>
        <v>0</v>
      </c>
      <c r="ED217" s="259">
        <f t="shared" ca="1" si="529"/>
        <v>0</v>
      </c>
      <c r="EH217" s="259" t="str">
        <f t="shared" ca="1" si="576"/>
        <v/>
      </c>
      <c r="EI217" s="260" t="b">
        <f t="shared" ca="1" si="602"/>
        <v>0</v>
      </c>
      <c r="EJ217" s="260" t="b">
        <f t="shared" ca="1" si="603"/>
        <v>0</v>
      </c>
      <c r="EK217" s="260" t="b">
        <f t="shared" ca="1" si="604"/>
        <v>0</v>
      </c>
      <c r="EL217" s="259">
        <f t="shared" si="577"/>
        <v>215</v>
      </c>
      <c r="EM217" s="259">
        <f ca="1">IF(AND(BA217&gt;0,BA217&lt;=$EM$1),MAX($EM$2:EM216)+1,0)</f>
        <v>0</v>
      </c>
      <c r="EN217" s="259">
        <f t="shared" ca="1" si="578"/>
        <v>217</v>
      </c>
      <c r="EP217" s="259" t="str">
        <f t="shared" ca="1" si="530"/>
        <v/>
      </c>
      <c r="EQ217" s="259">
        <f t="shared" ca="1" si="531"/>
        <v>0</v>
      </c>
      <c r="ER217" s="259">
        <f ca="1">IF(ISNA(EQ217),MAX(ER$2:ER216)+1,0)</f>
        <v>0</v>
      </c>
      <c r="ES217" s="259" t="str">
        <f t="shared" ca="1" si="579"/>
        <v/>
      </c>
      <c r="ET217" s="259" t="str">
        <f ca="1">IFERROR(UPPER(INDEX($ER$3:$ES$500,MATCH(ROWS(ET$3:ET217),$ER$3:$ER$500,0),2)),"")</f>
        <v/>
      </c>
      <c r="EW217" s="259">
        <f t="shared" ca="1" si="497"/>
        <v>1</v>
      </c>
      <c r="EX217" s="259">
        <v>115</v>
      </c>
      <c r="EY217" s="259">
        <f t="shared" ca="1" si="498"/>
        <v>0</v>
      </c>
      <c r="EZ217" s="259">
        <f t="shared" ca="1" si="499"/>
        <v>0</v>
      </c>
      <c r="FA217" s="259">
        <f t="shared" ca="1" si="500"/>
        <v>0</v>
      </c>
      <c r="FB217" s="259">
        <f t="shared" ca="1" si="501"/>
        <v>0</v>
      </c>
      <c r="FC217" s="259">
        <f t="shared" ca="1" si="502"/>
        <v>0</v>
      </c>
      <c r="FD217" s="259">
        <f t="shared" ca="1" si="532"/>
        <v>0</v>
      </c>
      <c r="FE217" s="259" t="str">
        <f t="shared" ca="1" si="533"/>
        <v/>
      </c>
      <c r="FF217" s="259" t="str">
        <f t="shared" ca="1" si="503"/>
        <v/>
      </c>
      <c r="FM217" s="259">
        <f t="shared" si="534"/>
        <v>0</v>
      </c>
      <c r="FN217" s="259">
        <f>IF(FM217&lt;0,MAX($FN$2:FN216)+1,0)</f>
        <v>0</v>
      </c>
      <c r="FO217" s="259" t="str">
        <f t="shared" si="580"/>
        <v/>
      </c>
      <c r="FP217" s="259" t="str">
        <f ca="1">IFERROR(INDEX($FN$3:$FO$400,MATCH(ROWS($FP$3:FP217),$FN$3:$FN$400,0),2),"")</f>
        <v/>
      </c>
      <c r="FQ217" s="259" t="str">
        <f>IF(AE217="SE AVERE",MAX($FQ$2:FQ216)+1,"")</f>
        <v/>
      </c>
      <c r="FR217" s="259" t="str">
        <f>IF(AE217="SE DARE",MAX($FR$2:FR216)+1,"")</f>
        <v/>
      </c>
      <c r="FS217" s="259" t="str">
        <f ca="1">IF(AND(AE217="SP DARE",AA217&lt;&gt;$FS$1,AA217&lt;&gt;$FT$1),MAX($FS$2:FS216)+1,IF(AND(GQ217="SP DARE",AA217&lt;&gt;$FS$1,AA217&lt;&gt;$FT$1),MAX($FS$2:FS216)+1,""))</f>
        <v/>
      </c>
      <c r="FT217" s="259" t="str">
        <f ca="1">IF(AND(AE217="SP AVERE",AA217&lt;&gt;$FU$1),MAX($FT$2:FT216)+1,IF(AND(GQ217="SP AVERE",AA217&lt;&gt;$FU$1),MAX($FT$2:FT216)+1,""))</f>
        <v/>
      </c>
      <c r="FU217" s="259">
        <f t="shared" ca="1" si="581"/>
        <v>0</v>
      </c>
      <c r="FV217" s="259" t="str">
        <f t="shared" si="582"/>
        <v/>
      </c>
      <c r="FW217" s="259">
        <f ca="1">IFERROR(INDEX($FU$3:$FV$500,MATCH(ROWS($FW$3:FW217),$FU$3:$FU$500,0),2),0)</f>
        <v>0</v>
      </c>
      <c r="FX217" s="259">
        <f t="shared" ca="1" si="583"/>
        <v>0</v>
      </c>
      <c r="FY217" s="259">
        <f t="shared" ca="1" si="584"/>
        <v>0</v>
      </c>
      <c r="FZ217" s="259">
        <f ca="1">IF(FY217&gt;0,MAX($FZ$2:FZ216)+1,0)</f>
        <v>0</v>
      </c>
      <c r="GA217" s="259">
        <f ca="1">IFERROR(INDEX($FY$3:$FZ$500,MATCH(ROWS($GA$3:GA217),$FZ$3:$FZ$500,0),1),0)</f>
        <v>0</v>
      </c>
      <c r="GC217" s="259">
        <f t="shared" ca="1" si="585"/>
        <v>0</v>
      </c>
      <c r="GD217" s="259">
        <f t="shared" ca="1" si="586"/>
        <v>0</v>
      </c>
      <c r="GG217" s="259">
        <f t="shared" ca="1" si="587"/>
        <v>0</v>
      </c>
      <c r="GH217" s="259">
        <f t="shared" ca="1" si="588"/>
        <v>0</v>
      </c>
      <c r="GI217" s="259">
        <f t="shared" ca="1" si="589"/>
        <v>0</v>
      </c>
      <c r="GJ217" s="259">
        <f t="shared" ca="1" si="590"/>
        <v>0</v>
      </c>
      <c r="GK217" s="259">
        <f t="shared" ca="1" si="591"/>
        <v>0</v>
      </c>
      <c r="GL217" s="259">
        <f t="shared" ca="1" si="591"/>
        <v>0</v>
      </c>
      <c r="GM217" s="259">
        <f ca="1">IF(OR(GK217&gt;0,GL217&gt;0),MAX($GM$2:GM216)+1,0)</f>
        <v>0</v>
      </c>
      <c r="GN217" s="259" t="str">
        <f ca="1">IFERROR(INDEX($GD$3:$GM$400,MATCH(ROWS($GN$3:GN217),$GM$3:$GM$400,0),1),"")</f>
        <v/>
      </c>
      <c r="GO217" s="259" t="str">
        <f ca="1">IFERROR(INDEX($GD$3:$GM$400,MATCH(ROWS($GO$3:GO217),$GM$3:$GM$400,0),8),"")</f>
        <v/>
      </c>
      <c r="GP217" s="259" t="str">
        <f ca="1">IFERROR(INDEX($GD$3:$GM$400,MATCH(ROWS($GP$3:GP217),$GM$3:$GM$400,0),9),"")</f>
        <v/>
      </c>
      <c r="GQ217" s="259">
        <f t="shared" ca="1" si="535"/>
        <v>0</v>
      </c>
      <c r="GR217" s="259">
        <f t="shared" ca="1" si="592"/>
        <v>0</v>
      </c>
      <c r="GS217" s="259" t="str">
        <f t="shared" ca="1" si="593"/>
        <v/>
      </c>
      <c r="GT217" s="259" t="str">
        <f ca="1">IFERROR(INDEX($GD$3:$GS$400,MATCH(ROWS($GT$3:GT217),$GM$3:$GM$400,0),16),"")</f>
        <v/>
      </c>
      <c r="GU217" s="259">
        <f ca="1">IF(GQ217&lt;&gt;0,MAX($GU$2:$GU216)+1,0)</f>
        <v>0</v>
      </c>
      <c r="GV217" s="259">
        <f t="shared" ca="1" si="594"/>
        <v>0</v>
      </c>
      <c r="GW217" s="259" t="str">
        <f ca="1">IF(AND(IFERROR(INDEX($GU$3:$GV$400,MATCH(ROWS($GW$3:GW217),$GU$3:$GU$400,0),2),"")&lt;&gt;"",GW218&lt;&gt;""),CONCATENATE(IFERROR(INDEX($GU$3:$GV$400,MATCH(ROWS($GW$3:GW217),$GU$3:$GU$400,0),2),"")," - "),IFERROR(INDEX($GU$3:$GV$400,MATCH(ROWS($GW$3:GW217),$GU$3:$GU$400,0),2),""))</f>
        <v/>
      </c>
      <c r="GX217" s="259">
        <f ca="1">IF(OR(GN217="IVA NS/CREDITO",GN217="IVA NS/DEBITO",GN217="IVA C/ACCONTO",GN217="IMPOSTE C/ACCONTO"),MAX($GX$2:GX216)+1,0)</f>
        <v>0</v>
      </c>
      <c r="GY217" s="259" t="str">
        <f ca="1">IF(AND(IFERROR(INDEX($GN$3:$GX$200,MATCH(ROWS($GY$3:GY217),$GX$3:$GX$200,0),1),"")&lt;&gt;"",GY218&lt;&gt;""),CONCATENATE(IFERROR(INDEX($GN$3:$GX$200,MATCH(ROWS($GY$3:GY217),$GX$3:$GX$200,0),1),"")," - "),IFERROR(INDEX($GN$3:$GX$200,MATCH(ROWS($GY$3:GY217),$GX$3:$GX$200,0),1),""))</f>
        <v/>
      </c>
      <c r="HV217" s="259" t="str">
        <f ca="1">CONCATENATE(IFERROR(INDEX($HS$3:$HT$102,MATCH(ROWS($HV$3:HV217),$HT$3:$HT$102,0),1),""),HR217)</f>
        <v/>
      </c>
      <c r="IX217" s="259" t="str">
        <f t="shared" si="606"/>
        <v/>
      </c>
      <c r="IY217" s="259" t="str">
        <f t="shared" si="600"/>
        <v/>
      </c>
      <c r="IZ217" s="259" t="str">
        <f t="shared" si="608"/>
        <v/>
      </c>
      <c r="JA217" s="259" t="str">
        <f t="shared" ca="1" si="601"/>
        <v/>
      </c>
      <c r="JB217" s="259">
        <f t="shared" ca="1" si="536"/>
        <v>0</v>
      </c>
      <c r="JC217" s="259">
        <f t="shared" ca="1" si="504"/>
        <v>0</v>
      </c>
      <c r="JD217" s="259">
        <f t="shared" ca="1" si="505"/>
        <v>0</v>
      </c>
      <c r="JM217" s="259">
        <f t="shared" ca="1" si="506"/>
        <v>0</v>
      </c>
    </row>
    <row r="218" spans="1:273">
      <c r="A218" s="259">
        <f t="shared" si="537"/>
        <v>0</v>
      </c>
      <c r="B218" s="259">
        <f t="shared" si="538"/>
        <v>0</v>
      </c>
      <c r="C218" s="259">
        <f t="shared" si="539"/>
        <v>0</v>
      </c>
      <c r="D218" s="259">
        <f t="shared" si="540"/>
        <v>0</v>
      </c>
      <c r="E218" s="259">
        <f t="shared" si="541"/>
        <v>0</v>
      </c>
      <c r="F218" s="259">
        <f t="shared" si="542"/>
        <v>0</v>
      </c>
      <c r="G218" s="259">
        <f t="shared" ca="1" si="543"/>
        <v>0</v>
      </c>
      <c r="H218" s="259">
        <f t="shared" ca="1" si="544"/>
        <v>0</v>
      </c>
      <c r="I218" s="259">
        <f t="shared" ca="1" si="545"/>
        <v>0</v>
      </c>
      <c r="K218" s="259" t="str">
        <f ca="1">IFERROR(IF($I$1=1,INDEX($AA$3:$AS$220,MATCH(ROWS($K$3:K218),$AQ$3:$AQ$220,0),1),IF($I$1=2,INDEX($AA$3:$AS$220,MATCH(ROWS($K$3:K218),$AR$3:$AR$220,0),1),IF($I$1=3,INDEX($AA$3:$AS$220,MATCH(ROWS($K$3:K218),$AS$3:$AS$220,0),1),""))),"")</f>
        <v/>
      </c>
      <c r="L218" s="259">
        <f ca="1">IF(AND($L$1="VISUALIZZA TUTTI I CONTI",K218&lt;&gt;""),MAX(L217:L217)+1,IFERROR(IF($J$1=1,IF(INDEX(PIANO_DEI_CONTI,MATCH($K218,DENOMINAZIONE,0),5)=$L$1,MAX($L$2:L217)+1,0),IF($J$1=2,IF(INDEX(PIANO_DEI_CONTI,MATCH($K218,DENOMINAZIONE,0),7)=$L$1,MAX($L$2:L217)+1,0))),0))</f>
        <v>0</v>
      </c>
      <c r="M218" s="259" t="str">
        <f ca="1">IFERROR(INDEX($K$3:$K$220,MATCH(ROWS($M$3:M218),$L$3:$L$220,0),1),"")</f>
        <v/>
      </c>
      <c r="R218" s="259" t="str">
        <f t="shared" ca="1" si="516"/>
        <v/>
      </c>
      <c r="S218" s="259">
        <f ca="1">IF(IFERROR(MATCH(R218,DENOMINAZIONE_GIORNALE,0),0)&gt;0,MAX(S$2:S217)+1,0)</f>
        <v>0</v>
      </c>
      <c r="T218" s="259" t="str">
        <f ca="1">IFERROR(INDEX($R$3:$S$220,MATCH(ROWS($T$3:T218),$S$3:$S$220,0),1),"")</f>
        <v/>
      </c>
      <c r="U218" s="259">
        <f t="shared" ca="1" si="517"/>
        <v>0</v>
      </c>
      <c r="V218" s="259">
        <f ca="1">IF(IF(U218&lt;&gt;0,MAX($V$2:V217)+1,0)=0,0,IF(U218&lt;&gt;0,MAX($V$2:V217)+1,0))</f>
        <v>0</v>
      </c>
      <c r="W218" s="259">
        <f t="shared" si="546"/>
        <v>0</v>
      </c>
      <c r="X218" s="259">
        <f t="shared" si="547"/>
        <v>0</v>
      </c>
      <c r="Z218" s="259" t="str">
        <f>IFERROR(INDEX($W$3:$Y$220,MATCH(ROWS($Z$2:Z217),$Y$3:$Y$220,0),1),"")</f>
        <v/>
      </c>
      <c r="AA218" s="259" t="str">
        <f t="shared" si="548"/>
        <v/>
      </c>
      <c r="AB218" s="259" t="str">
        <f t="shared" si="549"/>
        <v/>
      </c>
      <c r="AC218" s="259" t="str">
        <f t="shared" si="550"/>
        <v/>
      </c>
      <c r="AD218" s="259" t="str">
        <f t="shared" si="551"/>
        <v/>
      </c>
      <c r="AE218" s="259" t="str">
        <f t="shared" si="552"/>
        <v/>
      </c>
      <c r="AF218" s="259" t="str">
        <f t="shared" si="553"/>
        <v/>
      </c>
      <c r="AG218" s="259" t="str">
        <f t="shared" si="554"/>
        <v/>
      </c>
      <c r="AH218" s="259" t="str">
        <f t="shared" si="555"/>
        <v/>
      </c>
      <c r="AI218" s="259" t="str">
        <f t="shared" si="556"/>
        <v/>
      </c>
      <c r="AJ218" s="259" t="str">
        <f t="shared" si="557"/>
        <v/>
      </c>
      <c r="AK218" s="259" t="str">
        <f t="shared" si="558"/>
        <v/>
      </c>
      <c r="AL218" s="259">
        <f>IF(AK218&lt;&gt;"",MAX($AL$2:AL217)+1,0)</f>
        <v>0</v>
      </c>
      <c r="AM218" s="259" t="str">
        <f>IFERROR(INDEX($AK$3:$AL$220,MATCH(ROWS($AM$3:AM218),$AL$3:$AL$220,0),1),"")</f>
        <v/>
      </c>
      <c r="AN218" s="259" t="str">
        <f t="shared" si="559"/>
        <v/>
      </c>
      <c r="AO218" s="259" t="str">
        <f t="shared" si="560"/>
        <v/>
      </c>
      <c r="AP218" s="259" t="str">
        <f t="shared" si="561"/>
        <v/>
      </c>
      <c r="AQ218" s="259">
        <f>IF(OR(AG218=0,AG218=""),0,MAX(AQ$2:AQ217)+1)</f>
        <v>0</v>
      </c>
      <c r="AR218" s="259">
        <f>IF(OR(AH218=0,AH218=""),0,MAX(AR$2:AR217)+1)</f>
        <v>0</v>
      </c>
      <c r="AS218" s="259">
        <f>IF(OR(AI218=0,AI218=""),0,MAX(AS$2:AS217)+1)</f>
        <v>0</v>
      </c>
      <c r="AT218" s="259" t="str">
        <f ca="1">IFERROR(INDEX($AD$3:$AS$220,MATCH(ROWS(AT$3:AT218),AQ$3:AQ$220,0),1),"")</f>
        <v/>
      </c>
      <c r="AU218" s="259" t="str">
        <f ca="1">IFERROR(INDEX($AD$3:$AS$220,MATCH(ROWS(AU$3:AU218),AR$3:AR$220,0),1),"")</f>
        <v/>
      </c>
      <c r="AV218" s="259" t="str">
        <f ca="1">IFERROR(INDEX($AD$3:$AS$220,MATCH(ROWS(AV$3:AV218),AS$3:AS$220,0),1),"")</f>
        <v/>
      </c>
      <c r="AW218" s="259" t="str">
        <f ca="1">IFERROR(INDEX($AP$3:$AS$220,MATCH(ROWS(AW$3:AW218),AQ$3:AQ$220,0),1),"")</f>
        <v/>
      </c>
      <c r="AX218" s="259" t="str">
        <f ca="1">IFERROR(INDEX($AP$3:$AS$220,MATCH(ROWS(AX$3:AX218),AR$3:AR$220,0),1),"")</f>
        <v/>
      </c>
      <c r="AY218" s="259" t="str">
        <f ca="1">IFERROR(INDEX($AP$3:$AS$220,MATCH(ROWS(AY$3:AY218),AS$3:AS$220,0),1),"")</f>
        <v/>
      </c>
      <c r="AZ218" s="259" t="str">
        <f t="shared" ca="1" si="616"/>
        <v/>
      </c>
      <c r="BA218" s="259">
        <f t="shared" ca="1" si="484"/>
        <v>0</v>
      </c>
      <c r="BB218" s="259">
        <f t="shared" ca="1" si="617"/>
        <v>0</v>
      </c>
      <c r="BC218" s="259">
        <f t="shared" ca="1" si="618"/>
        <v>0</v>
      </c>
      <c r="BD218" s="259">
        <f t="shared" ca="1" si="619"/>
        <v>0</v>
      </c>
      <c r="BE218" s="259">
        <f t="shared" ca="1" si="620"/>
        <v>0</v>
      </c>
      <c r="BG218" s="259" t="str">
        <f t="shared" ca="1" si="518"/>
        <v/>
      </c>
      <c r="BH218" s="259">
        <f ca="1">IF(IFERROR(MATCH(BG218,DENOMINAZIONE_GIORNALE,0),0)&gt;0,MAX(BH$2:BH217)+1,0)</f>
        <v>0</v>
      </c>
      <c r="BI218" s="259" t="str">
        <f ca="1">IFERROR(INDEX($BG$3:$BH$220,MATCH(ROWS($BI$3:BI218),$BH$3:$BH$220,0),1),"")</f>
        <v/>
      </c>
      <c r="BJ218" s="259" t="str">
        <f t="shared" ca="1" si="519"/>
        <v/>
      </c>
      <c r="BK218" s="259" t="str">
        <f ca="1">IF(IF(BJ218&lt;&gt;"",MAX($BK$2:BK217)+1,0)=0,"",IF(BJ218&lt;&gt;"",MAX($BK$2:BK217)+1,0))</f>
        <v/>
      </c>
      <c r="BL218" s="259" t="str">
        <f ca="1">IFERROR(INDEX($T$3:$U$220, MATCH(ROWS(BL$3:BL218),$V$3:$V$220,0),1),"")</f>
        <v/>
      </c>
      <c r="BM218" s="259" t="str">
        <f ca="1">IFERROR(INDEX($T$3:$U$220, MATCH(ROWS(BM$3:BM218),$V$3:$V$220,0),2),"")</f>
        <v/>
      </c>
      <c r="BN218" s="259" t="str">
        <f ca="1">IF(IFERROR(INDEX($BI$3:$BJ$220,MATCH(ROWS(BN$3:BN218),$BK$3:$BK$220,0),1),"")="PATRIMONIO NETTO","",IFERROR(INDEX($BI$3:$BJ$220,MATCH(ROWS(BN$3:BN218),$BK$3:$BK$220,0),1),""))</f>
        <v/>
      </c>
      <c r="BO218" s="259" t="str">
        <f ca="1">IFERROR(INDEX($BI$3:$BJ$220,MATCH(ROWS(BO$3:BO218),$BK$3:$BK$220,0),2),"")</f>
        <v/>
      </c>
      <c r="BP218" s="259">
        <f ca="1">IF(BN218&lt;&gt;"",MAX(BP$2:$BP217)+1,0)</f>
        <v>0</v>
      </c>
      <c r="BQ218" s="259" t="str">
        <f ca="1">IFERROR(INDEX($BN$3:$BO$200,MATCH(ROWS(BQ$3:BQ218),$BP$3:$BP$220,0),1),"")</f>
        <v/>
      </c>
      <c r="BR218" s="259" t="str">
        <f ca="1">IFERROR(INDEX($BN$3:$BO$220,MATCH(ROWS(BR$3:BR218),$BP$3:$BP$220,0),2),"")</f>
        <v/>
      </c>
      <c r="BS218" s="259" t="str">
        <f ca="1">IFERROR(IF(OR(INDEX($T$3:$U$220,MATCH(ROWS(BL$3:BL218),$V$3:$V$220,0),1)="PRELEVAMENTI EXTRAGESTIONE",INDEX($T$3:$U$220,MATCH(ROWS(BL$3:BL218),$V$3:$V$220,0),1)="TITOLARE C/RITENUTE SUBITE"),"",INDEX($T$3:$U$220,MATCH(ROWS(BL$3:BL218),$V$3:$V$220,0),1)),"")</f>
        <v/>
      </c>
      <c r="BT218" s="259">
        <f t="shared" ca="1" si="562"/>
        <v>0</v>
      </c>
      <c r="BU218" s="259">
        <f ca="1">IF(BS218&lt;&gt;"",MAX(BU$2:BU217)+1,0)</f>
        <v>0</v>
      </c>
      <c r="BV218" s="259" t="str">
        <f ca="1">IFERROR(INDEX($BS$3:$BT$223,MATCH(ROWS(BV$3:BV218),$BU$3:$BU$223,0),1),"")</f>
        <v/>
      </c>
      <c r="BW218" s="259">
        <f t="shared" ca="1" si="563"/>
        <v>0</v>
      </c>
      <c r="CB218" s="259" t="str">
        <f ca="1">IFERROR(IF(OR($BB$1&lt;&gt;$BD$1,$BC$1&lt;&gt;$BE$1,$DS$231&lt;&gt;$DT$231,$DU$231&lt;&gt;$DV$231,$EO$25&lt;&gt;0,$EO$26&lt;&gt;0),INDEX($BI$3:$BK$220,MATCH(ROWS($CB$3:CB218),$BK$3:$BK$220,0),1),CONCATENATE(BQ218,BX218)),"")</f>
        <v/>
      </c>
      <c r="CC218" s="259" t="str">
        <f t="shared" ca="1" si="564"/>
        <v/>
      </c>
      <c r="CD218" s="259" t="str">
        <f t="shared" ca="1" si="520"/>
        <v/>
      </c>
      <c r="CE218" s="259">
        <f ca="1">IF(IFERROR(MATCH(CD218,DENOMINAZIONE_GIORNALE,0),0)&gt;0,MAX(CE$2:CE217)+1,0)</f>
        <v>0</v>
      </c>
      <c r="CF218" s="259" t="str">
        <f ca="1">IFERROR(INDEX($CD$3:$CE$220,MATCH(ROWS($CF$3:CF218),$CE$3:$CE$220,0),1),"")</f>
        <v/>
      </c>
      <c r="CG218" s="259">
        <f t="shared" ca="1" si="521"/>
        <v>0</v>
      </c>
      <c r="CH218" s="259" t="str">
        <f ca="1">IF(IF(CG218&lt;&gt;0,MAX($CH$2:CH217)+1,0)=0,"",IF(CG218&lt;&gt;"",MAX($CH$2:CH217)+1,0))</f>
        <v/>
      </c>
      <c r="CI218" s="259" t="str">
        <f ca="1">IFERROR(INDEX($CF$3:$CG$220,MATCH(ROWS($CI$3:CI218),$CH$3:$CH$220,0),1),"")</f>
        <v/>
      </c>
      <c r="CJ218" s="259" t="str">
        <f t="shared" ca="1" si="565"/>
        <v/>
      </c>
      <c r="CK218" s="259" t="str">
        <f t="shared" ca="1" si="522"/>
        <v/>
      </c>
      <c r="CL218" s="259">
        <f ca="1">IF(IFERROR(MATCH(CK218,DENOMINAZIONE_GIORNALE,0),0)&gt;0,MAX(CL$2:CL217)+1,0)</f>
        <v>0</v>
      </c>
      <c r="CM218" s="259" t="str">
        <f ca="1">IFERROR(INDEX($CK$3:$CL$220,MATCH(ROWS($CM$3:CM218),$CL$3:$CL$220,0),1),"")</f>
        <v/>
      </c>
      <c r="CN218" s="259" t="str">
        <f t="shared" ca="1" si="523"/>
        <v/>
      </c>
      <c r="CO218" s="259">
        <f ca="1">IF(IF(CN218&lt;&gt;0,MAX($CO$2:CO217)+1,0)=0,"",IF(CN218&lt;&gt;"",MAX($CO$2:CO217)+1,0))</f>
        <v>0</v>
      </c>
      <c r="CP218" s="259" t="str">
        <f ca="1">IFERROR(INDEX($CM$3:$CN$220,MATCH(ROWS(CP$3:CP218),$CO$3:$CO$220,0),1),"")</f>
        <v/>
      </c>
      <c r="CQ218" s="259" t="str">
        <f ca="1">IFERROR(INDEX($CM$3:$CN$220,MATCH(ROWS(CQ$3:CQ218),$CO$3:$CO$220,0),2),"")</f>
        <v/>
      </c>
      <c r="CS218" s="259">
        <f t="shared" ca="1" si="524"/>
        <v>0</v>
      </c>
      <c r="CT218" s="259">
        <f t="shared" ca="1" si="525"/>
        <v>0</v>
      </c>
      <c r="CU218" s="259">
        <f ca="1">IF(OR(CS218&gt;0,CT218&gt;0),MAX($CU$2:CU217)+1,0)</f>
        <v>0</v>
      </c>
      <c r="CV218" s="259" t="str">
        <f ca="1">IFERROR(INDEX(PIANO_DEI_CONTI,MATCH(ROWS($CV$3:CV218),$CU$3:$CU$200,0),2),"")</f>
        <v/>
      </c>
      <c r="CW218" s="259">
        <f ca="1">IFERROR(IF(CV218&lt;&gt;"",MAX($CW$2:CW217)+1,0),0)</f>
        <v>0</v>
      </c>
      <c r="CX218" s="259" t="str">
        <f>IFERROR(IF(CX200+1=1,"",(CX200+1)),"")</f>
        <v/>
      </c>
      <c r="CY218" s="259" t="str">
        <f t="shared" ca="1" si="607"/>
        <v>MASTRO</v>
      </c>
      <c r="DB218" s="259" t="str">
        <f t="shared" ref="DB218" ca="1" si="622">CY218</f>
        <v>MASTRO</v>
      </c>
      <c r="DF218" s="259">
        <f ca="1">IF(AND(CX218=$DE$2,$DF$2&lt;&gt;0),0,IF(AND(DB218&lt;&gt;"",OR(DB217&lt;&gt;"",DB219&lt;&gt;"")),MAX($DF$2:DF217)+1,0))</f>
        <v>0</v>
      </c>
      <c r="DG218" s="259" t="str">
        <f>IF(IF(LIBRO_GIORNALE!E126="","",IFERROR(INDEX(PIANO_DEI_CONTI,MATCH(BB218,DENOMINAZIONE,0),1),0))=0,"",IF(LIBRO_GIORNALE!E126="","",IFERROR(INDEX(PIANO_DEI_CONTI,MATCH(BB218,DENOMINAZIONE,0),1),0)))</f>
        <v/>
      </c>
      <c r="DH218" s="259">
        <f ca="1">IFERROR(IF($J$1=1,IF(INDEX(PIANO_DEI_CONTI,MATCH($K218,DENOMINAZIONE,0),5)=$DF$1,MAX($DH$2:DH217)+1,0),IF($J$1=2,IF(INDEX(PIANO_DEI_CONTI,MATCH($K218,DENOMINAZIONE,0),7)=$DF$1,MAX($DH$2:DH217)+1,0))),0)</f>
        <v>0</v>
      </c>
      <c r="DI218" s="259">
        <f ca="1">IFERROR(INDEX($K$3:$K$220,MATCH(ROWS($DI$3:DI218),$DH$3:$DH$220,0),1),0)</f>
        <v>0</v>
      </c>
      <c r="DJ218" s="259">
        <f t="shared" ca="1" si="526"/>
        <v>0</v>
      </c>
      <c r="DK218" s="259">
        <f ca="1">IF(DJ218=0,0,MAX(DK$2:DK217)+1)</f>
        <v>0</v>
      </c>
      <c r="DL218" s="259">
        <f ca="1">IFERROR(INDEX(PIANO_DEI_CONTI,MATCH(ROWS(DL$3:DL218),$DK$3:DK445,0),2),0)</f>
        <v>0</v>
      </c>
      <c r="DM218" s="259">
        <f t="shared" ca="1" si="527"/>
        <v>0</v>
      </c>
      <c r="DN218" s="259">
        <f t="shared" ca="1" si="528"/>
        <v>0</v>
      </c>
      <c r="DO218" s="259">
        <f t="shared" ca="1" si="566"/>
        <v>0</v>
      </c>
      <c r="DP218" s="259">
        <f t="shared" ca="1" si="567"/>
        <v>0</v>
      </c>
      <c r="DQ218" s="259">
        <f ca="1">IF(OR($DQ$1="TOTALI",$DQ$1="TOTALI ED ECCEDENZE"),IF(OR(DM218&gt;0,DN218&gt;0),MAX(DQ$2:DQ217)+1,0),IF($DQ$1="ECCEDENZE",IF(OR(DO218&gt;0,DP218&gt;0),MAX(DQ$2:DQ217)+1,0),""))</f>
        <v>0</v>
      </c>
      <c r="DR218" s="259" t="str">
        <f ca="1">IFERROR(INDEX($DL$3:$DQ$230,MATCH(ROWS(DR$3:DR218),$DQ$3:$DQ$230,0),1),"")</f>
        <v/>
      </c>
      <c r="DS218" s="259" t="str">
        <f t="shared" ca="1" si="568"/>
        <v/>
      </c>
      <c r="DT218" s="259" t="str">
        <f t="shared" ca="1" si="569"/>
        <v/>
      </c>
      <c r="DU218" s="259" t="str">
        <f t="shared" ca="1" si="570"/>
        <v/>
      </c>
      <c r="DV218" s="259" t="str">
        <f t="shared" ca="1" si="571"/>
        <v/>
      </c>
      <c r="DW218" s="259">
        <f t="shared" ca="1" si="572"/>
        <v>0</v>
      </c>
      <c r="DX218" s="259" t="str">
        <f t="shared" ca="1" si="573"/>
        <v/>
      </c>
      <c r="DY218" s="259" t="str">
        <f t="shared" ca="1" si="574"/>
        <v/>
      </c>
      <c r="DZ218" s="259" t="str">
        <f t="shared" ca="1" si="575"/>
        <v/>
      </c>
      <c r="EC218" s="259">
        <f>IF(IF(DG218&lt;&gt;"",REPLACE(DG218,3,1,""),0)&lt;&gt;0,MAX(EC$2:EC217)+1,0)</f>
        <v>0</v>
      </c>
      <c r="ED218" s="259">
        <f t="shared" ca="1" si="529"/>
        <v>0</v>
      </c>
      <c r="EH218" s="259" t="str">
        <f t="shared" ca="1" si="576"/>
        <v/>
      </c>
      <c r="EI218" s="260" t="b">
        <f t="shared" ca="1" si="602"/>
        <v>0</v>
      </c>
      <c r="EJ218" s="260" t="b">
        <f t="shared" ca="1" si="603"/>
        <v>0</v>
      </c>
      <c r="EK218" s="260" t="b">
        <f t="shared" ca="1" si="604"/>
        <v>0</v>
      </c>
      <c r="EL218" s="259">
        <f t="shared" si="577"/>
        <v>216</v>
      </c>
      <c r="EM218" s="259">
        <f ca="1">IF(AND(BA218&gt;0,BA218&lt;=$EM$1),MAX($EM$2:EM217)+1,0)</f>
        <v>0</v>
      </c>
      <c r="EN218" s="259">
        <f t="shared" ca="1" si="578"/>
        <v>218</v>
      </c>
      <c r="EP218" s="259" t="str">
        <f t="shared" ca="1" si="530"/>
        <v/>
      </c>
      <c r="EQ218" s="259">
        <f t="shared" ca="1" si="531"/>
        <v>0</v>
      </c>
      <c r="ER218" s="259">
        <f ca="1">IF(ISNA(EQ218),MAX(ER$2:ER217)+1,0)</f>
        <v>0</v>
      </c>
      <c r="ES218" s="259" t="str">
        <f t="shared" ca="1" si="579"/>
        <v/>
      </c>
      <c r="ET218" s="259" t="str">
        <f ca="1">IFERROR(UPPER(INDEX($ER$3:$ES$500,MATCH(ROWS(ET$3:ET218),$ER$3:$ER$500,0),2)),"")</f>
        <v/>
      </c>
      <c r="EW218" s="259">
        <f t="shared" ca="1" si="497"/>
        <v>1</v>
      </c>
      <c r="EX218" s="259">
        <v>116</v>
      </c>
      <c r="EY218" s="259">
        <f t="shared" ca="1" si="498"/>
        <v>0</v>
      </c>
      <c r="EZ218" s="259">
        <f t="shared" ca="1" si="499"/>
        <v>0</v>
      </c>
      <c r="FA218" s="259">
        <f t="shared" ca="1" si="500"/>
        <v>0</v>
      </c>
      <c r="FB218" s="259">
        <f t="shared" ca="1" si="501"/>
        <v>0</v>
      </c>
      <c r="FC218" s="259">
        <f t="shared" ca="1" si="502"/>
        <v>0</v>
      </c>
      <c r="FD218" s="259">
        <f t="shared" ca="1" si="532"/>
        <v>0</v>
      </c>
      <c r="FE218" s="259" t="str">
        <f t="shared" ca="1" si="533"/>
        <v/>
      </c>
      <c r="FF218" s="259" t="str">
        <f t="shared" ca="1" si="503"/>
        <v/>
      </c>
      <c r="FM218" s="259">
        <f t="shared" si="534"/>
        <v>0</v>
      </c>
      <c r="FN218" s="259">
        <f>IF(FM218&lt;0,MAX($FN$2:FN217)+1,0)</f>
        <v>0</v>
      </c>
      <c r="FO218" s="259" t="str">
        <f t="shared" si="580"/>
        <v/>
      </c>
      <c r="FP218" s="259" t="str">
        <f ca="1">IFERROR(INDEX($FN$3:$FO$400,MATCH(ROWS($FP$3:FP218),$FN$3:$FN$400,0),2),"")</f>
        <v/>
      </c>
      <c r="FQ218" s="259" t="str">
        <f>IF(AE218="SE AVERE",MAX($FQ$2:FQ217)+1,"")</f>
        <v/>
      </c>
      <c r="FR218" s="259" t="str">
        <f>IF(AE218="SE DARE",MAX($FR$2:FR217)+1,"")</f>
        <v/>
      </c>
      <c r="FS218" s="259" t="str">
        <f ca="1">IF(AND(AE218="SP DARE",AA218&lt;&gt;$FS$1,AA218&lt;&gt;$FT$1),MAX($FS$2:FS217)+1,IF(AND(GQ218="SP DARE",AA218&lt;&gt;$FS$1,AA218&lt;&gt;$FT$1),MAX($FS$2:FS217)+1,""))</f>
        <v/>
      </c>
      <c r="FT218" s="259" t="str">
        <f ca="1">IF(AND(AE218="SP AVERE",AA218&lt;&gt;$FU$1),MAX($FT$2:FT217)+1,IF(AND(GQ218="SP AVERE",AA218&lt;&gt;$FU$1),MAX($FT$2:FT217)+1,""))</f>
        <v/>
      </c>
      <c r="FU218" s="259">
        <f t="shared" ca="1" si="581"/>
        <v>0</v>
      </c>
      <c r="FV218" s="259" t="str">
        <f t="shared" si="582"/>
        <v/>
      </c>
      <c r="FW218" s="259">
        <f ca="1">IFERROR(INDEX($FU$3:$FV$500,MATCH(ROWS($FW$3:FW218),$FU$3:$FU$500,0),2),0)</f>
        <v>0</v>
      </c>
      <c r="FX218" s="259">
        <f t="shared" ca="1" si="583"/>
        <v>0</v>
      </c>
      <c r="FY218" s="259">
        <f t="shared" ca="1" si="584"/>
        <v>0</v>
      </c>
      <c r="FZ218" s="259">
        <f ca="1">IF(FY218&gt;0,MAX($FZ$2:FZ217)+1,0)</f>
        <v>0</v>
      </c>
      <c r="GA218" s="259">
        <f ca="1">IFERROR(INDEX($FY$3:$FZ$500,MATCH(ROWS($GA$3:GA218),$FZ$3:$FZ$500,0),1),0)</f>
        <v>0</v>
      </c>
      <c r="GC218" s="259">
        <f t="shared" ca="1" si="585"/>
        <v>0</v>
      </c>
      <c r="GD218" s="259">
        <f t="shared" ca="1" si="586"/>
        <v>0</v>
      </c>
      <c r="GG218" s="259">
        <f t="shared" ca="1" si="587"/>
        <v>0</v>
      </c>
      <c r="GH218" s="259">
        <f t="shared" ca="1" si="588"/>
        <v>0</v>
      </c>
      <c r="GI218" s="259">
        <f t="shared" ca="1" si="589"/>
        <v>0</v>
      </c>
      <c r="GJ218" s="259">
        <f t="shared" ca="1" si="590"/>
        <v>0</v>
      </c>
      <c r="GK218" s="259">
        <f t="shared" ca="1" si="591"/>
        <v>0</v>
      </c>
      <c r="GL218" s="259">
        <f t="shared" ca="1" si="591"/>
        <v>0</v>
      </c>
      <c r="GM218" s="259">
        <f ca="1">IF(OR(GK218&gt;0,GL218&gt;0),MAX($GM$2:GM217)+1,0)</f>
        <v>0</v>
      </c>
      <c r="GN218" s="259" t="str">
        <f ca="1">IFERROR(INDEX($GD$3:$GM$400,MATCH(ROWS($GN$3:GN218),$GM$3:$GM$400,0),1),"")</f>
        <v/>
      </c>
      <c r="GO218" s="259" t="str">
        <f ca="1">IFERROR(INDEX($GD$3:$GM$400,MATCH(ROWS($GO$3:GO218),$GM$3:$GM$400,0),8),"")</f>
        <v/>
      </c>
      <c r="GP218" s="259" t="str">
        <f ca="1">IFERROR(INDEX($GD$3:$GM$400,MATCH(ROWS($GP$3:GP218),$GM$3:$GM$400,0),9),"")</f>
        <v/>
      </c>
      <c r="GQ218" s="259">
        <f t="shared" ca="1" si="535"/>
        <v>0</v>
      </c>
      <c r="GR218" s="259">
        <f t="shared" ca="1" si="592"/>
        <v>0</v>
      </c>
      <c r="GS218" s="259" t="str">
        <f t="shared" ca="1" si="593"/>
        <v/>
      </c>
      <c r="GT218" s="259" t="str">
        <f ca="1">IFERROR(INDEX($GD$3:$GS$400,MATCH(ROWS($GT$3:GT218),$GM$3:$GM$400,0),16),"")</f>
        <v/>
      </c>
      <c r="GU218" s="259">
        <f ca="1">IF(GQ218&lt;&gt;0,MAX($GU$2:$GU217)+1,0)</f>
        <v>0</v>
      </c>
      <c r="GV218" s="259">
        <f t="shared" ca="1" si="594"/>
        <v>0</v>
      </c>
      <c r="GW218" s="259" t="str">
        <f ca="1">IF(AND(IFERROR(INDEX($GU$3:$GV$400,MATCH(ROWS($GW$3:GW218),$GU$3:$GU$400,0),2),"")&lt;&gt;"",GW219&lt;&gt;""),CONCATENATE(IFERROR(INDEX($GU$3:$GV$400,MATCH(ROWS($GW$3:GW218),$GU$3:$GU$400,0),2),"")," - "),IFERROR(INDEX($GU$3:$GV$400,MATCH(ROWS($GW$3:GW218),$GU$3:$GU$400,0),2),""))</f>
        <v/>
      </c>
      <c r="GX218" s="259">
        <f ca="1">IF(OR(GN218="IVA NS/CREDITO",GN218="IVA NS/DEBITO",GN218="IVA C/ACCONTO",GN218="IMPOSTE C/ACCONTO"),MAX($GX$2:GX217)+1,0)</f>
        <v>0</v>
      </c>
      <c r="GY218" s="259" t="str">
        <f ca="1">IF(AND(IFERROR(INDEX($GN$3:$GX$200,MATCH(ROWS($GY$3:GY218),$GX$3:$GX$200,0),1),"")&lt;&gt;"",GY219&lt;&gt;""),CONCATENATE(IFERROR(INDEX($GN$3:$GX$200,MATCH(ROWS($GY$3:GY218),$GX$3:$GX$200,0),1),"")," - "),IFERROR(INDEX($GN$3:$GX$200,MATCH(ROWS($GY$3:GY218),$GX$3:$GX$200,0),1),""))</f>
        <v/>
      </c>
      <c r="HV218" s="259" t="str">
        <f ca="1">CONCATENATE(IFERROR(INDEX($HS$3:$HT$102,MATCH(ROWS($HV$3:HV218),$HT$3:$HT$102,0),1),""),HR218)</f>
        <v/>
      </c>
      <c r="IX218" s="259" t="str">
        <f t="shared" si="606"/>
        <v/>
      </c>
      <c r="IY218" s="259" t="str">
        <f t="shared" si="600"/>
        <v/>
      </c>
      <c r="IZ218" s="259" t="str">
        <f t="shared" si="608"/>
        <v/>
      </c>
      <c r="JA218" s="259" t="str">
        <f t="shared" ca="1" si="601"/>
        <v/>
      </c>
      <c r="JB218" s="259">
        <f t="shared" ca="1" si="536"/>
        <v>0</v>
      </c>
      <c r="JC218" s="259">
        <f t="shared" ca="1" si="504"/>
        <v>0</v>
      </c>
      <c r="JD218" s="259">
        <f t="shared" ca="1" si="505"/>
        <v>0</v>
      </c>
      <c r="JM218" s="259">
        <f t="shared" ca="1" si="506"/>
        <v>0</v>
      </c>
    </row>
    <row r="219" spans="1:273">
      <c r="A219" s="259">
        <f t="shared" si="537"/>
        <v>0</v>
      </c>
      <c r="B219" s="259">
        <f t="shared" si="538"/>
        <v>0</v>
      </c>
      <c r="C219" s="259">
        <f t="shared" si="539"/>
        <v>0</v>
      </c>
      <c r="D219" s="259">
        <f t="shared" si="540"/>
        <v>0</v>
      </c>
      <c r="E219" s="259">
        <f t="shared" si="541"/>
        <v>0</v>
      </c>
      <c r="F219" s="259">
        <f t="shared" si="542"/>
        <v>0</v>
      </c>
      <c r="G219" s="259">
        <f t="shared" ca="1" si="543"/>
        <v>0</v>
      </c>
      <c r="H219" s="259">
        <f t="shared" ca="1" si="544"/>
        <v>0</v>
      </c>
      <c r="I219" s="259">
        <f t="shared" ca="1" si="545"/>
        <v>0</v>
      </c>
      <c r="K219" s="259" t="str">
        <f ca="1">IFERROR(IF($I$1=1,INDEX($AA$3:$AS$220,MATCH(ROWS($K$3:K219),$AQ$3:$AQ$220,0),1),IF($I$1=2,INDEX($AA$3:$AS$220,MATCH(ROWS($K$3:K219),$AR$3:$AR$220,0),1),IF($I$1=3,INDEX($AA$3:$AS$220,MATCH(ROWS($K$3:K219),$AS$3:$AS$220,0),1),""))),"")</f>
        <v/>
      </c>
      <c r="L219" s="259">
        <f ca="1">IF(AND($L$1="VISUALIZZA TUTTI I CONTI",K219&lt;&gt;""),MAX(L218:L218)+1,IFERROR(IF($J$1=1,IF(INDEX(PIANO_DEI_CONTI,MATCH($K219,DENOMINAZIONE,0),5)=$L$1,MAX($L$2:L218)+1,0),IF($J$1=2,IF(INDEX(PIANO_DEI_CONTI,MATCH($K219,DENOMINAZIONE,0),7)=$L$1,MAX($L$2:L218)+1,0))),0))</f>
        <v>0</v>
      </c>
      <c r="M219" s="259" t="str">
        <f ca="1">IFERROR(INDEX($K$3:$K$220,MATCH(ROWS($M$3:M219),$L$3:$L$220,0),1),"")</f>
        <v/>
      </c>
      <c r="R219" s="259" t="str">
        <f t="shared" ca="1" si="516"/>
        <v/>
      </c>
      <c r="S219" s="259">
        <f ca="1">IF(IFERROR(MATCH(R219,DENOMINAZIONE_GIORNALE,0),0)&gt;0,MAX(S$2:S218)+1,0)</f>
        <v>0</v>
      </c>
      <c r="T219" s="259" t="str">
        <f ca="1">IFERROR(INDEX($R$3:$S$220,MATCH(ROWS($T$3:T219),$S$3:$S$220,0),1),"")</f>
        <v/>
      </c>
      <c r="U219" s="259">
        <f t="shared" ca="1" si="517"/>
        <v>0</v>
      </c>
      <c r="V219" s="259">
        <f ca="1">IF(IF(U219&lt;&gt;0,MAX($V$2:V218)+1,0)=0,0,IF(U219&lt;&gt;0,MAX($V$2:V218)+1,0))</f>
        <v>0</v>
      </c>
      <c r="W219" s="259">
        <f t="shared" si="546"/>
        <v>0</v>
      </c>
      <c r="X219" s="259">
        <f t="shared" si="547"/>
        <v>0</v>
      </c>
      <c r="Z219" s="259" t="str">
        <f>IFERROR(INDEX($W$3:$Y$220,MATCH(ROWS($Z$2:Z218),$Y$3:$Y$220,0),1),"")</f>
        <v/>
      </c>
      <c r="AA219" s="259" t="str">
        <f t="shared" si="548"/>
        <v/>
      </c>
      <c r="AB219" s="259" t="str">
        <f t="shared" si="549"/>
        <v/>
      </c>
      <c r="AC219" s="259" t="str">
        <f t="shared" si="550"/>
        <v/>
      </c>
      <c r="AD219" s="259" t="str">
        <f t="shared" si="551"/>
        <v/>
      </c>
      <c r="AE219" s="259" t="str">
        <f t="shared" si="552"/>
        <v/>
      </c>
      <c r="AF219" s="259" t="str">
        <f t="shared" si="553"/>
        <v/>
      </c>
      <c r="AG219" s="259" t="str">
        <f t="shared" si="554"/>
        <v/>
      </c>
      <c r="AH219" s="259" t="str">
        <f t="shared" si="555"/>
        <v/>
      </c>
      <c r="AI219" s="259" t="str">
        <f t="shared" si="556"/>
        <v/>
      </c>
      <c r="AJ219" s="259" t="str">
        <f t="shared" si="557"/>
        <v/>
      </c>
      <c r="AK219" s="259" t="str">
        <f t="shared" si="558"/>
        <v/>
      </c>
      <c r="AL219" s="259">
        <f>IF(AK219&lt;&gt;"",MAX($AL$2:AL218)+1,0)</f>
        <v>0</v>
      </c>
      <c r="AM219" s="259" t="str">
        <f>IFERROR(INDEX($AK$3:$AL$220,MATCH(ROWS($AM$3:AM219),$AL$3:$AL$220,0),1),"")</f>
        <v/>
      </c>
      <c r="AN219" s="259" t="str">
        <f t="shared" si="559"/>
        <v/>
      </c>
      <c r="AO219" s="259" t="str">
        <f t="shared" si="560"/>
        <v/>
      </c>
      <c r="AP219" s="259" t="str">
        <f t="shared" si="561"/>
        <v/>
      </c>
      <c r="AQ219" s="259">
        <f>IF(OR(AG219=0,AG219=""),0,MAX(AQ$2:AQ218)+1)</f>
        <v>0</v>
      </c>
      <c r="AR219" s="259">
        <f>IF(OR(AH219=0,AH219=""),0,MAX(AR$2:AR218)+1)</f>
        <v>0</v>
      </c>
      <c r="AS219" s="259">
        <f>IF(OR(AI219=0,AI219=""),0,MAX(AS$2:AS218)+1)</f>
        <v>0</v>
      </c>
      <c r="AT219" s="259" t="str">
        <f ca="1">IFERROR(INDEX($AD$3:$AS$220,MATCH(ROWS(AT$3:AT219),AQ$3:AQ$220,0),1),"")</f>
        <v/>
      </c>
      <c r="AU219" s="259" t="str">
        <f ca="1">IFERROR(INDEX($AD$3:$AS$220,MATCH(ROWS(AU$3:AU219),AR$3:AR$220,0),1),"")</f>
        <v/>
      </c>
      <c r="AV219" s="259" t="str">
        <f ca="1">IFERROR(INDEX($AD$3:$AS$220,MATCH(ROWS(AV$3:AV219),AS$3:AS$220,0),1),"")</f>
        <v/>
      </c>
      <c r="AW219" s="259" t="str">
        <f ca="1">IFERROR(INDEX($AP$3:$AS$220,MATCH(ROWS(AW$3:AW219),AQ$3:AQ$220,0),1),"")</f>
        <v/>
      </c>
      <c r="AX219" s="259" t="str">
        <f ca="1">IFERROR(INDEX($AP$3:$AS$220,MATCH(ROWS(AX$3:AX219),AR$3:AR$220,0),1),"")</f>
        <v/>
      </c>
      <c r="AY219" s="259" t="str">
        <f ca="1">IFERROR(INDEX($AP$3:$AS$220,MATCH(ROWS(AY$3:AY219),AS$3:AS$220,0),1),"")</f>
        <v/>
      </c>
      <c r="AZ219" s="259" t="str">
        <f t="shared" ca="1" si="616"/>
        <v/>
      </c>
      <c r="BA219" s="259">
        <f t="shared" ca="1" si="484"/>
        <v>0</v>
      </c>
      <c r="BB219" s="259">
        <f t="shared" ca="1" si="617"/>
        <v>0</v>
      </c>
      <c r="BC219" s="259">
        <f t="shared" ca="1" si="618"/>
        <v>0</v>
      </c>
      <c r="BD219" s="259">
        <f t="shared" ca="1" si="619"/>
        <v>0</v>
      </c>
      <c r="BE219" s="259">
        <f t="shared" ca="1" si="620"/>
        <v>0</v>
      </c>
      <c r="BG219" s="259" t="str">
        <f t="shared" ca="1" si="518"/>
        <v/>
      </c>
      <c r="BH219" s="259">
        <f ca="1">IF(IFERROR(MATCH(BG219,DENOMINAZIONE_GIORNALE,0),0)&gt;0,MAX(BH$2:BH218)+1,0)</f>
        <v>0</v>
      </c>
      <c r="BI219" s="259" t="str">
        <f ca="1">IFERROR(INDEX($BG$3:$BH$220,MATCH(ROWS($BI$3:BI219),$BH$3:$BH$220,0),1),"")</f>
        <v/>
      </c>
      <c r="BJ219" s="259" t="str">
        <f t="shared" ca="1" si="519"/>
        <v/>
      </c>
      <c r="BK219" s="259" t="str">
        <f ca="1">IF(IF(BJ219&lt;&gt;"",MAX($BK$2:BK218)+1,0)=0,"",IF(BJ219&lt;&gt;"",MAX($BK$2:BK218)+1,0))</f>
        <v/>
      </c>
      <c r="BL219" s="259" t="str">
        <f ca="1">IFERROR(INDEX($T$3:$U$220, MATCH(ROWS(BL$3:BL219),$V$3:$V$220,0),1),"")</f>
        <v/>
      </c>
      <c r="BM219" s="259" t="str">
        <f ca="1">IFERROR(INDEX($T$3:$U$220, MATCH(ROWS(BM$3:BM219),$V$3:$V$220,0),2),"")</f>
        <v/>
      </c>
      <c r="BN219" s="259" t="str">
        <f ca="1">IF(IFERROR(INDEX($BI$3:$BJ$220,MATCH(ROWS(BN$3:BN219),$BK$3:$BK$220,0),1),"")="PATRIMONIO NETTO","",IFERROR(INDEX($BI$3:$BJ$220,MATCH(ROWS(BN$3:BN219),$BK$3:$BK$220,0),1),""))</f>
        <v/>
      </c>
      <c r="BO219" s="259" t="str">
        <f ca="1">IFERROR(INDEX($BI$3:$BJ$220,MATCH(ROWS(BO$3:BO219),$BK$3:$BK$220,0),2),"")</f>
        <v/>
      </c>
      <c r="BP219" s="259">
        <f ca="1">IF(BN219&lt;&gt;"",MAX(BP$2:$BP218)+1,0)</f>
        <v>0</v>
      </c>
      <c r="BQ219" s="259" t="str">
        <f ca="1">IFERROR(INDEX($BN$3:$BO$200,MATCH(ROWS(BQ$3:BQ219),$BP$3:$BP$220,0),1),"")</f>
        <v/>
      </c>
      <c r="BR219" s="259" t="str">
        <f ca="1">IFERROR(INDEX($BN$3:$BO$220,MATCH(ROWS(BR$3:BR219),$BP$3:$BP$220,0),2),"")</f>
        <v/>
      </c>
      <c r="BS219" s="259" t="str">
        <f ca="1">IFERROR(IF(OR(INDEX($T$3:$U$220,MATCH(ROWS(BL$3:BL219),$V$3:$V$220,0),1)="PRELEVAMENTI EXTRAGESTIONE",INDEX($T$3:$U$220,MATCH(ROWS(BL$3:BL219),$V$3:$V$220,0),1)="TITOLARE C/RITENUTE SUBITE"),"",INDEX($T$3:$U$220,MATCH(ROWS(BL$3:BL219),$V$3:$V$220,0),1)),"")</f>
        <v/>
      </c>
      <c r="BT219" s="259">
        <f t="shared" ca="1" si="562"/>
        <v>0</v>
      </c>
      <c r="BU219" s="259">
        <f ca="1">IF(BS219&lt;&gt;"",MAX(BU$2:BU218)+1,0)</f>
        <v>0</v>
      </c>
      <c r="BV219" s="259" t="str">
        <f ca="1">IFERROR(INDEX($BS$3:$BT$223,MATCH(ROWS(BV$3:BV219),$BU$3:$BU$223,0),1),"")</f>
        <v/>
      </c>
      <c r="BW219" s="259">
        <f t="shared" ca="1" si="563"/>
        <v>0</v>
      </c>
      <c r="CB219" s="259" t="str">
        <f ca="1">IFERROR(IF(OR($BB$1&lt;&gt;$BD$1,$BC$1&lt;&gt;$BE$1,$DS$231&lt;&gt;$DT$231,$DU$231&lt;&gt;$DV$231,$EO$25&lt;&gt;0,$EO$26&lt;&gt;0),INDEX($BI$3:$BK$220,MATCH(ROWS($CB$3:CB219),$BK$3:$BK$220,0),1),CONCATENATE(BQ219,BX219)),"")</f>
        <v/>
      </c>
      <c r="CC219" s="259" t="str">
        <f t="shared" ca="1" si="564"/>
        <v/>
      </c>
      <c r="CD219" s="259" t="str">
        <f t="shared" ca="1" si="520"/>
        <v/>
      </c>
      <c r="CE219" s="259">
        <f ca="1">IF(IFERROR(MATCH(CD219,DENOMINAZIONE_GIORNALE,0),0)&gt;0,MAX(CE$2:CE218)+1,0)</f>
        <v>0</v>
      </c>
      <c r="CF219" s="259" t="str">
        <f ca="1">IFERROR(INDEX($CD$3:$CE$220,MATCH(ROWS($CF$3:CF219),$CE$3:$CE$220,0),1),"")</f>
        <v/>
      </c>
      <c r="CG219" s="259">
        <f t="shared" ca="1" si="521"/>
        <v>0</v>
      </c>
      <c r="CH219" s="259" t="str">
        <f ca="1">IF(IF(CG219&lt;&gt;0,MAX($CH$2:CH218)+1,0)=0,"",IF(CG219&lt;&gt;"",MAX($CH$2:CH218)+1,0))</f>
        <v/>
      </c>
      <c r="CI219" s="259" t="str">
        <f ca="1">IFERROR(INDEX($CF$3:$CG$220,MATCH(ROWS($CI$3:CI219),$CH$3:$CH$220,0),1),"")</f>
        <v/>
      </c>
      <c r="CJ219" s="259" t="str">
        <f t="shared" ca="1" si="565"/>
        <v/>
      </c>
      <c r="CK219" s="259" t="str">
        <f t="shared" ca="1" si="522"/>
        <v/>
      </c>
      <c r="CL219" s="259">
        <f ca="1">IF(IFERROR(MATCH(CK219,DENOMINAZIONE_GIORNALE,0),0)&gt;0,MAX(CL$2:CL218)+1,0)</f>
        <v>0</v>
      </c>
      <c r="CM219" s="259" t="str">
        <f ca="1">IFERROR(INDEX($CK$3:$CL$220,MATCH(ROWS($CM$3:CM219),$CL$3:$CL$220,0),1),"")</f>
        <v/>
      </c>
      <c r="CN219" s="259" t="str">
        <f t="shared" ca="1" si="523"/>
        <v/>
      </c>
      <c r="CO219" s="259">
        <f ca="1">IF(IF(CN219&lt;&gt;0,MAX($CO$2:CO218)+1,0)=0,"",IF(CN219&lt;&gt;"",MAX($CO$2:CO218)+1,0))</f>
        <v>0</v>
      </c>
      <c r="CP219" s="259" t="str">
        <f ca="1">IFERROR(INDEX($CM$3:$CN$220,MATCH(ROWS(CP$3:CP219),$CO$3:$CO$220,0),1),"")</f>
        <v/>
      </c>
      <c r="CQ219" s="259" t="str">
        <f ca="1">IFERROR(INDEX($CM$3:$CN$220,MATCH(ROWS(CQ$3:CQ219),$CO$3:$CO$220,0),2),"")</f>
        <v/>
      </c>
      <c r="CS219" s="259">
        <f t="shared" ca="1" si="524"/>
        <v>0</v>
      </c>
      <c r="CT219" s="259">
        <f t="shared" ca="1" si="525"/>
        <v>0</v>
      </c>
      <c r="CU219" s="259">
        <f ca="1">IF(OR(CS219&gt;0,CT219&gt;0),MAX($CU$2:CU218)+1,0)</f>
        <v>0</v>
      </c>
      <c r="CV219" s="259" t="str">
        <f ca="1">IFERROR(INDEX(PIANO_DEI_CONTI,MATCH(ROWS($CV$3:CV219),$CU$3:$CU$200,0),2),"")</f>
        <v/>
      </c>
      <c r="CW219" s="259">
        <f ca="1">IFERROR(IF(CV219&lt;&gt;"",MAX($CW$2:CW218)+1,0),0)</f>
        <v>0</v>
      </c>
      <c r="CX219" s="259">
        <f ca="1">$EA$15</f>
        <v>13</v>
      </c>
      <c r="CY219" s="259" t="str">
        <f t="shared" ca="1" si="607"/>
        <v>MASTRO</v>
      </c>
      <c r="DA219" s="259" t="str">
        <f ca="1">IF(CY218="MASTRO","Conto n.","")</f>
        <v>Conto n.</v>
      </c>
      <c r="DB219" s="259" t="str">
        <f ca="1">IF(CY219=0,"",INDEX(PIANO_DEI_CONTI,MATCH(DC219,DENOMINAZIONE,0),1))</f>
        <v/>
      </c>
      <c r="DC219" s="259" t="str">
        <f ca="1">IF(OR(CY219=0,CY219="mastro"),"",CY219)</f>
        <v/>
      </c>
      <c r="DD219" s="259" t="str">
        <f ca="1">IF(AND($DA$2=TRUE,OR(INDEX(PIANO_DEI_CONTI,MATCH($DC219,DENOMINAZIONE,0),4)="A",INDEX(PIANO_DEI_CONTI,MATCH($DC219,DENOMINAZIONE,0),4)="D/A"),SUMIFS(AVERE,DENOMINAZIONE_GIORNALE,"="&amp;$DC219)&gt;SUMIFS(DARE,DENOMINAZIONE_GIORNALE,"="&amp;$DC219)),CONCATENATE("s ",FIXED(ABS(SUMIFS(AVERE,DENOMINAZIONE_GIORNALE,"="&amp;$DC219)-SUMIFS(DARE,DENOMINAZIONE_GIORNALE,"="&amp;$DC219)),2)),"")</f>
        <v/>
      </c>
      <c r="DE219" s="259" t="str">
        <f ca="1">IF(AND($DA$2=TRUE,OR(INDEX(PIANO_DEI_CONTI,MATCH($DC219,DENOMINAZIONE,0),4)="D",INDEX(PIANO_DEI_CONTI,MATCH($DC219,DENOMINAZIONE,0),4)="D/A"),SUMIFS(DARE,DENOMINAZIONE_GIORNALE,"="&amp;$DC219)&gt;SUMIFS(AVERE,DENOMINAZIONE_GIORNALE,"="&amp;$DC219)),CONCATENATE("s ",FIXED(ABS(SUMIFS(DARE,DENOMINAZIONE_GIORNALE,"="&amp;$DC219)-SUMIFS(AVERE,DENOMINAZIONE_GIORNALE,"="&amp;$DC219)),2)),"")</f>
        <v/>
      </c>
      <c r="DF219" s="259">
        <f ca="1">IF(AND(CX219=$DE$2,$DF$2&lt;&gt;0),0,IF(AND(DB219&lt;&gt;"",OR(DB218&lt;&gt;"",DB220&lt;&gt;"")),MAX($DF$2:DF218)+1,0))</f>
        <v>0</v>
      </c>
      <c r="DG219" s="259" t="str">
        <f>IF(IF(LIBRO_GIORNALE!E127="","",IFERROR(INDEX(PIANO_DEI_CONTI,MATCH(BB219,DENOMINAZIONE,0),1),0))=0,"",IF(LIBRO_GIORNALE!E127="","",IFERROR(INDEX(PIANO_DEI_CONTI,MATCH(BB219,DENOMINAZIONE,0),1),0)))</f>
        <v/>
      </c>
      <c r="DH219" s="259">
        <f ca="1">IFERROR(IF($J$1=1,IF(INDEX(PIANO_DEI_CONTI,MATCH($K219,DENOMINAZIONE,0),5)=$DF$1,MAX($DH$2:DH218)+1,0),IF($J$1=2,IF(INDEX(PIANO_DEI_CONTI,MATCH($K219,DENOMINAZIONE,0),7)=$DF$1,MAX($DH$2:DH218)+1,0))),0)</f>
        <v>0</v>
      </c>
      <c r="DI219" s="259">
        <f ca="1">IFERROR(INDEX($K$3:$K$220,MATCH(ROWS($DI$3:DI219),$DH$3:$DH$220,0),1),0)</f>
        <v>0</v>
      </c>
      <c r="DJ219" s="259">
        <f t="shared" ca="1" si="526"/>
        <v>0</v>
      </c>
      <c r="DK219" s="259">
        <f ca="1">IF(DJ219=0,0,MAX(DK$2:DK218)+1)</f>
        <v>0</v>
      </c>
      <c r="DL219" s="259">
        <f ca="1">IFERROR(INDEX(PIANO_DEI_CONTI,MATCH(ROWS(DL$3:DL219),$DK$3:DK446,0),2),0)</f>
        <v>0</v>
      </c>
      <c r="DM219" s="259">
        <f t="shared" ca="1" si="527"/>
        <v>0</v>
      </c>
      <c r="DN219" s="259">
        <f t="shared" ca="1" si="528"/>
        <v>0</v>
      </c>
      <c r="DO219" s="259">
        <f t="shared" ca="1" si="566"/>
        <v>0</v>
      </c>
      <c r="DP219" s="259">
        <f t="shared" ca="1" si="567"/>
        <v>0</v>
      </c>
      <c r="DQ219" s="259">
        <f ca="1">IF(OR($DQ$1="TOTALI",$DQ$1="TOTALI ED ECCEDENZE"),IF(OR(DM219&gt;0,DN219&gt;0),MAX(DQ$2:DQ218)+1,0),IF($DQ$1="ECCEDENZE",IF(OR(DO219&gt;0,DP219&gt;0),MAX(DQ$2:DQ218)+1,0),""))</f>
        <v>0</v>
      </c>
      <c r="DR219" s="259" t="str">
        <f ca="1">IFERROR(INDEX($DL$3:$DQ$230,MATCH(ROWS(DR$3:DR219),$DQ$3:$DQ$230,0),1),"")</f>
        <v/>
      </c>
      <c r="DS219" s="259" t="str">
        <f t="shared" ca="1" si="568"/>
        <v/>
      </c>
      <c r="DT219" s="259" t="str">
        <f t="shared" ca="1" si="569"/>
        <v/>
      </c>
      <c r="DU219" s="259" t="str">
        <f t="shared" ca="1" si="570"/>
        <v/>
      </c>
      <c r="DV219" s="259" t="str">
        <f t="shared" ca="1" si="571"/>
        <v/>
      </c>
      <c r="DW219" s="259">
        <f t="shared" ca="1" si="572"/>
        <v>0</v>
      </c>
      <c r="DX219" s="259" t="str">
        <f t="shared" ca="1" si="573"/>
        <v/>
      </c>
      <c r="DY219" s="259" t="str">
        <f t="shared" ca="1" si="574"/>
        <v/>
      </c>
      <c r="DZ219" s="259" t="str">
        <f t="shared" ca="1" si="575"/>
        <v/>
      </c>
      <c r="EC219" s="259">
        <f>IF(IF(DG219&lt;&gt;"",REPLACE(DG219,3,1,""),0)&lt;&gt;0,MAX(EC$2:EC218)+1,0)</f>
        <v>0</v>
      </c>
      <c r="ED219" s="259">
        <f t="shared" ca="1" si="529"/>
        <v>0</v>
      </c>
      <c r="EH219" s="259" t="str">
        <f t="shared" ca="1" si="576"/>
        <v/>
      </c>
      <c r="EI219" s="260" t="b">
        <f t="shared" ca="1" si="602"/>
        <v>0</v>
      </c>
      <c r="EJ219" s="260" t="b">
        <f t="shared" ca="1" si="603"/>
        <v>0</v>
      </c>
      <c r="EK219" s="260" t="b">
        <f t="shared" ca="1" si="604"/>
        <v>0</v>
      </c>
      <c r="EL219" s="259">
        <f t="shared" si="577"/>
        <v>217</v>
      </c>
      <c r="EM219" s="259">
        <f ca="1">IF(AND(BA219&gt;0,BA219&lt;=$EM$1),MAX($EM$2:EM218)+1,0)</f>
        <v>0</v>
      </c>
      <c r="EN219" s="259">
        <f t="shared" ca="1" si="578"/>
        <v>219</v>
      </c>
      <c r="EP219" s="259" t="str">
        <f t="shared" ca="1" si="530"/>
        <v/>
      </c>
      <c r="EQ219" s="259">
        <f t="shared" ca="1" si="531"/>
        <v>0</v>
      </c>
      <c r="ER219" s="259">
        <f ca="1">IF(ISNA(EQ219),MAX(ER$2:ER218)+1,0)</f>
        <v>0</v>
      </c>
      <c r="ES219" s="259" t="str">
        <f t="shared" ca="1" si="579"/>
        <v/>
      </c>
      <c r="ET219" s="259" t="str">
        <f ca="1">IFERROR(UPPER(INDEX($ER$3:$ES$500,MATCH(ROWS(ET$3:ET219),$ER$3:$ER$500,0),2)),"")</f>
        <v/>
      </c>
      <c r="EW219" s="259">
        <f t="shared" ca="1" si="497"/>
        <v>1</v>
      </c>
      <c r="EX219" s="259">
        <v>117</v>
      </c>
      <c r="EY219" s="259">
        <f t="shared" ca="1" si="498"/>
        <v>0</v>
      </c>
      <c r="EZ219" s="259">
        <f t="shared" ca="1" si="499"/>
        <v>0</v>
      </c>
      <c r="FA219" s="259">
        <f t="shared" ca="1" si="500"/>
        <v>0</v>
      </c>
      <c r="FB219" s="259">
        <f t="shared" ca="1" si="501"/>
        <v>0</v>
      </c>
      <c r="FC219" s="259">
        <f t="shared" ca="1" si="502"/>
        <v>0</v>
      </c>
      <c r="FD219" s="259">
        <f t="shared" ca="1" si="532"/>
        <v>0</v>
      </c>
      <c r="FE219" s="259" t="str">
        <f t="shared" ca="1" si="533"/>
        <v/>
      </c>
      <c r="FF219" s="259" t="str">
        <f t="shared" ca="1" si="503"/>
        <v/>
      </c>
      <c r="FM219" s="259">
        <f t="shared" si="534"/>
        <v>0</v>
      </c>
      <c r="FN219" s="259">
        <f>IF(FM219&lt;0,MAX($FN$2:FN218)+1,0)</f>
        <v>0</v>
      </c>
      <c r="FO219" s="259" t="str">
        <f t="shared" si="580"/>
        <v/>
      </c>
      <c r="FP219" s="259" t="str">
        <f ca="1">IFERROR(INDEX($FN$3:$FO$400,MATCH(ROWS($FP$3:FP219),$FN$3:$FN$400,0),2),"")</f>
        <v/>
      </c>
      <c r="FQ219" s="259" t="str">
        <f>IF(AE219="SE AVERE",MAX($FQ$2:FQ218)+1,"")</f>
        <v/>
      </c>
      <c r="FR219" s="259" t="str">
        <f>IF(AE219="SE DARE",MAX($FR$2:FR218)+1,"")</f>
        <v/>
      </c>
      <c r="FS219" s="259" t="str">
        <f ca="1">IF(AND(AE219="SP DARE",AA219&lt;&gt;$FS$1,AA219&lt;&gt;$FT$1),MAX($FS$2:FS218)+1,IF(AND(GQ219="SP DARE",AA219&lt;&gt;$FS$1,AA219&lt;&gt;$FT$1),MAX($FS$2:FS218)+1,""))</f>
        <v/>
      </c>
      <c r="FT219" s="259" t="str">
        <f ca="1">IF(AND(AE219="SP AVERE",AA219&lt;&gt;$FU$1),MAX($FT$2:FT218)+1,IF(AND(GQ219="SP AVERE",AA219&lt;&gt;$FU$1),MAX($FT$2:FT218)+1,""))</f>
        <v/>
      </c>
      <c r="FU219" s="259">
        <f t="shared" ca="1" si="581"/>
        <v>0</v>
      </c>
      <c r="FV219" s="259" t="str">
        <f t="shared" si="582"/>
        <v/>
      </c>
      <c r="FW219" s="259">
        <f ca="1">IFERROR(INDEX($FU$3:$FV$500,MATCH(ROWS($FW$3:FW219),$FU$3:$FU$500,0),2),0)</f>
        <v>0</v>
      </c>
      <c r="FX219" s="259">
        <f t="shared" ca="1" si="583"/>
        <v>0</v>
      </c>
      <c r="FY219" s="259">
        <f t="shared" ca="1" si="584"/>
        <v>0</v>
      </c>
      <c r="FZ219" s="259">
        <f ca="1">IF(FY219&gt;0,MAX($FZ$2:FZ218)+1,0)</f>
        <v>0</v>
      </c>
      <c r="GA219" s="259">
        <f ca="1">IFERROR(INDEX($FY$3:$FZ$500,MATCH(ROWS($GA$3:GA219),$FZ$3:$FZ$500,0),1),0)</f>
        <v>0</v>
      </c>
      <c r="GC219" s="259">
        <f t="shared" ca="1" si="585"/>
        <v>0</v>
      </c>
      <c r="GD219" s="259">
        <f t="shared" ca="1" si="586"/>
        <v>0</v>
      </c>
      <c r="GG219" s="259">
        <f t="shared" ca="1" si="587"/>
        <v>0</v>
      </c>
      <c r="GH219" s="259">
        <f t="shared" ca="1" si="588"/>
        <v>0</v>
      </c>
      <c r="GI219" s="259">
        <f t="shared" ca="1" si="589"/>
        <v>0</v>
      </c>
      <c r="GJ219" s="259">
        <f t="shared" ca="1" si="590"/>
        <v>0</v>
      </c>
      <c r="GK219" s="259">
        <f t="shared" ca="1" si="591"/>
        <v>0</v>
      </c>
      <c r="GL219" s="259">
        <f t="shared" ca="1" si="591"/>
        <v>0</v>
      </c>
      <c r="GM219" s="259">
        <f ca="1">IF(OR(GK219&gt;0,GL219&gt;0),MAX($GM$2:GM218)+1,0)</f>
        <v>0</v>
      </c>
      <c r="GN219" s="259" t="str">
        <f ca="1">IFERROR(INDEX($GD$3:$GM$400,MATCH(ROWS($GN$3:GN219),$GM$3:$GM$400,0),1),"")</f>
        <v/>
      </c>
      <c r="GO219" s="259" t="str">
        <f ca="1">IFERROR(INDEX($GD$3:$GM$400,MATCH(ROWS($GO$3:GO219),$GM$3:$GM$400,0),8),"")</f>
        <v/>
      </c>
      <c r="GP219" s="259" t="str">
        <f ca="1">IFERROR(INDEX($GD$3:$GM$400,MATCH(ROWS($GP$3:GP219),$GM$3:$GM$400,0),9),"")</f>
        <v/>
      </c>
      <c r="GQ219" s="259">
        <f t="shared" ca="1" si="535"/>
        <v>0</v>
      </c>
      <c r="GR219" s="259">
        <f t="shared" ca="1" si="592"/>
        <v>0</v>
      </c>
      <c r="GS219" s="259" t="str">
        <f t="shared" ca="1" si="593"/>
        <v/>
      </c>
      <c r="GT219" s="259" t="str">
        <f ca="1">IFERROR(INDEX($GD$3:$GS$400,MATCH(ROWS($GT$3:GT219),$GM$3:$GM$400,0),16),"")</f>
        <v/>
      </c>
      <c r="GU219" s="259">
        <f ca="1">IF(GQ219&lt;&gt;0,MAX($GU$2:$GU218)+1,0)</f>
        <v>0</v>
      </c>
      <c r="GV219" s="259">
        <f t="shared" ca="1" si="594"/>
        <v>0</v>
      </c>
      <c r="GW219" s="259" t="str">
        <f ca="1">IF(AND(IFERROR(INDEX($GU$3:$GV$400,MATCH(ROWS($GW$3:GW219),$GU$3:$GU$400,0),2),"")&lt;&gt;"",GW220&lt;&gt;""),CONCATENATE(IFERROR(INDEX($GU$3:$GV$400,MATCH(ROWS($GW$3:GW219),$GU$3:$GU$400,0),2),"")," - "),IFERROR(INDEX($GU$3:$GV$400,MATCH(ROWS($GW$3:GW219),$GU$3:$GU$400,0),2),""))</f>
        <v/>
      </c>
      <c r="GX219" s="259">
        <f ca="1">IF(OR(GN219="IVA NS/CREDITO",GN219="IVA NS/DEBITO",GN219="IVA C/ACCONTO",GN219="IMPOSTE C/ACCONTO"),MAX($GX$2:GX218)+1,0)</f>
        <v>0</v>
      </c>
      <c r="GY219" s="259" t="str">
        <f ca="1">IF(AND(IFERROR(INDEX($GN$3:$GX$200,MATCH(ROWS($GY$3:GY219),$GX$3:$GX$200,0),1),"")&lt;&gt;"",GY220&lt;&gt;""),CONCATENATE(IFERROR(INDEX($GN$3:$GX$200,MATCH(ROWS($GY$3:GY219),$GX$3:$GX$200,0),1),"")," - "),IFERROR(INDEX($GN$3:$GX$200,MATCH(ROWS($GY$3:GY219),$GX$3:$GX$200,0),1),""))</f>
        <v/>
      </c>
      <c r="HV219" s="259" t="str">
        <f ca="1">CONCATENATE(IFERROR(INDEX($HS$3:$HT$102,MATCH(ROWS($HV$3:HV219),$HT$3:$HT$102,0),1),""),HR219)</f>
        <v/>
      </c>
      <c r="IX219" s="259" t="str">
        <f t="shared" si="606"/>
        <v/>
      </c>
      <c r="IY219" s="259" t="str">
        <f t="shared" si="600"/>
        <v/>
      </c>
      <c r="IZ219" s="259" t="str">
        <f t="shared" si="608"/>
        <v/>
      </c>
      <c r="JA219" s="259" t="str">
        <f t="shared" ca="1" si="601"/>
        <v/>
      </c>
      <c r="JB219" s="259">
        <f t="shared" ca="1" si="536"/>
        <v>0</v>
      </c>
      <c r="JC219" s="259">
        <f t="shared" ca="1" si="504"/>
        <v>0</v>
      </c>
      <c r="JD219" s="259">
        <f t="shared" ca="1" si="505"/>
        <v>0</v>
      </c>
      <c r="JM219" s="259">
        <f t="shared" ca="1" si="506"/>
        <v>0</v>
      </c>
    </row>
    <row r="220" spans="1:273">
      <c r="A220" s="259">
        <f t="shared" si="537"/>
        <v>0</v>
      </c>
      <c r="B220" s="259">
        <f t="shared" si="538"/>
        <v>0</v>
      </c>
      <c r="C220" s="259">
        <f t="shared" si="539"/>
        <v>0</v>
      </c>
      <c r="D220" s="259">
        <f t="shared" si="540"/>
        <v>0</v>
      </c>
      <c r="E220" s="259">
        <f t="shared" si="541"/>
        <v>0</v>
      </c>
      <c r="F220" s="259">
        <f t="shared" si="542"/>
        <v>0</v>
      </c>
      <c r="G220" s="259">
        <f t="shared" si="543"/>
        <v>0</v>
      </c>
      <c r="H220" s="259">
        <f t="shared" si="544"/>
        <v>0</v>
      </c>
      <c r="I220" s="259">
        <f t="shared" si="545"/>
        <v>0</v>
      </c>
      <c r="K220" s="259" t="str">
        <f ca="1">IFERROR(IF($I$1=1,INDEX($AA$3:$AS$220,MATCH(ROWS($K$3:K220),$AQ$3:$AQ$220,0),1),IF($I$1=2,INDEX($AA$3:$AS$220,MATCH(ROWS($K$3:K220),$AR$3:$AR$220,0),1),IF($I$1=3,INDEX($AA$3:$AS$220,MATCH(ROWS($K$3:K220),$AS$3:$AS$220,0),1),""))),"")</f>
        <v/>
      </c>
      <c r="L220" s="259">
        <f ca="1">IF(AND($L$1="VISUALIZZA TUTTI I CONTI",K220&lt;&gt;""),MAX(L219:L219)+1,IFERROR(IF($J$1=1,IF(INDEX(PIANO_DEI_CONTI,MATCH($K220,DENOMINAZIONE,0),5)=$L$1,MAX($L$2:L219)+1,0),IF($J$1=2,IF(INDEX(PIANO_DEI_CONTI,MATCH($K220,DENOMINAZIONE,0),7)=$L$1,MAX($L$2:L219)+1,0))),0))</f>
        <v>0</v>
      </c>
      <c r="M220" s="259" t="str">
        <f ca="1">IFERROR(INDEX($K$3:$K$220,MATCH(ROWS($M$3:M220),$L$3:$L$220,0),1),"")</f>
        <v/>
      </c>
      <c r="R220" s="259" t="str">
        <f t="shared" ca="1" si="516"/>
        <v/>
      </c>
      <c r="S220" s="259">
        <f ca="1">IF(IFERROR(MATCH(R220,DENOMINAZIONE_GIORNALE,0),0)&gt;0,MAX(S$2:S219)+1,0)</f>
        <v>0</v>
      </c>
      <c r="T220" s="259" t="str">
        <f ca="1">IFERROR(INDEX($R$3:$S$220,MATCH(ROWS($T$3:T220),$S$3:$S$220,0),1),"")</f>
        <v/>
      </c>
      <c r="U220" s="259">
        <f t="shared" ca="1" si="517"/>
        <v>0</v>
      </c>
      <c r="V220" s="259">
        <f ca="1">IF(IF(U220&lt;&gt;0,MAX($V$2:V219)+1,0)=0,0,IF(U220&lt;&gt;0,MAX($V$2:V219)+1,0))</f>
        <v>0</v>
      </c>
      <c r="W220" s="259">
        <f t="shared" si="546"/>
        <v>0</v>
      </c>
      <c r="X220" s="259">
        <f t="shared" si="547"/>
        <v>0</v>
      </c>
      <c r="Z220" s="259" t="str">
        <f>IFERROR(INDEX($W$3:$Y$220,MATCH(ROWS($Z$2:Z219),$Y$3:$Y$220,0),1),"")</f>
        <v/>
      </c>
      <c r="AA220" s="259" t="str">
        <f t="shared" si="548"/>
        <v/>
      </c>
      <c r="AB220" s="259" t="str">
        <f t="shared" si="549"/>
        <v/>
      </c>
      <c r="AC220" s="259" t="str">
        <f t="shared" si="550"/>
        <v/>
      </c>
      <c r="AD220" s="259" t="str">
        <f t="shared" si="551"/>
        <v/>
      </c>
      <c r="AE220" s="259" t="str">
        <f t="shared" si="552"/>
        <v/>
      </c>
      <c r="AF220" s="259" t="str">
        <f t="shared" si="553"/>
        <v/>
      </c>
      <c r="AG220" s="259" t="str">
        <f t="shared" si="554"/>
        <v/>
      </c>
      <c r="AH220" s="259" t="str">
        <f t="shared" si="555"/>
        <v/>
      </c>
      <c r="AI220" s="259" t="str">
        <f t="shared" si="556"/>
        <v/>
      </c>
      <c r="AJ220" s="259" t="str">
        <f t="shared" si="557"/>
        <v/>
      </c>
      <c r="AK220" s="259" t="str">
        <f t="shared" si="558"/>
        <v/>
      </c>
      <c r="AL220" s="259">
        <f>IF(AK220&lt;&gt;"",MAX($AL$2:AL219)+1,0)</f>
        <v>0</v>
      </c>
      <c r="AM220" s="259" t="str">
        <f>IFERROR(INDEX($AK$3:$AL$220,MATCH(ROWS($AM$3:AM220),$AL$3:$AL$220,0),1),"")</f>
        <v/>
      </c>
      <c r="AN220" s="259" t="str">
        <f t="shared" si="559"/>
        <v/>
      </c>
      <c r="AO220" s="259" t="str">
        <f t="shared" si="560"/>
        <v/>
      </c>
      <c r="AP220" s="259" t="str">
        <f t="shared" si="561"/>
        <v/>
      </c>
      <c r="AQ220" s="259">
        <f>IF(OR(AG220=0,AG220=""),0,MAX(AQ$2:AQ219)+1)</f>
        <v>0</v>
      </c>
      <c r="AR220" s="259">
        <f>IF(OR(AH220=0,AH220=""),0,MAX(AR$2:AR219)+1)</f>
        <v>0</v>
      </c>
      <c r="AS220" s="259">
        <f>IF(OR(AI220=0,AI220=""),0,MAX(AS$2:AS219)+1)</f>
        <v>0</v>
      </c>
      <c r="AT220" s="259" t="str">
        <f ca="1">IFERROR(INDEX($AD$3:$AS$220,MATCH(ROWS(AT$3:AT220),AQ$3:AQ$220,0),1),"")</f>
        <v/>
      </c>
      <c r="AU220" s="259" t="str">
        <f ca="1">IFERROR(INDEX($AD$3:$AS$220,MATCH(ROWS(AU$3:AU220),AR$3:AR$220,0),1),"")</f>
        <v/>
      </c>
      <c r="AV220" s="259" t="str">
        <f ca="1">IFERROR(INDEX($AD$3:$AS$220,MATCH(ROWS(AV$3:AV220),AS$3:AS$220,0),1),"")</f>
        <v/>
      </c>
      <c r="AW220" s="259" t="str">
        <f ca="1">IFERROR(INDEX($AP$3:$AS$220,MATCH(ROWS(AW$3:AW220),AQ$3:AQ$220,0),1),"")</f>
        <v/>
      </c>
      <c r="AX220" s="259" t="str">
        <f ca="1">IFERROR(INDEX($AP$3:$AS$220,MATCH(ROWS(AX$3:AX220),AR$3:AR$220,0),1),"")</f>
        <v/>
      </c>
      <c r="AY220" s="259" t="str">
        <f ca="1">IFERROR(INDEX($AP$3:$AS$220,MATCH(ROWS(AY$3:AY220),AS$3:AS$220,0),1),"")</f>
        <v/>
      </c>
      <c r="AZ220" s="259" t="str">
        <f t="shared" ca="1" si="616"/>
        <v/>
      </c>
      <c r="BA220" s="259">
        <f t="shared" ca="1" si="484"/>
        <v>0</v>
      </c>
      <c r="BB220" s="259">
        <f t="shared" ca="1" si="617"/>
        <v>0</v>
      </c>
      <c r="BC220" s="259">
        <f t="shared" ca="1" si="618"/>
        <v>0</v>
      </c>
      <c r="BD220" s="259">
        <f t="shared" ca="1" si="619"/>
        <v>0</v>
      </c>
      <c r="BE220" s="259">
        <f t="shared" ca="1" si="620"/>
        <v>0</v>
      </c>
      <c r="BG220" s="259" t="str">
        <f t="shared" ca="1" si="518"/>
        <v/>
      </c>
      <c r="BH220" s="259">
        <f ca="1">IF(IFERROR(MATCH(BG220,DENOMINAZIONE_GIORNALE,0),0)&gt;0,MAX(BH$2:BH219)+1,0)</f>
        <v>0</v>
      </c>
      <c r="BI220" s="259" t="str">
        <f ca="1">IFERROR(INDEX($BG$3:$BH$220,MATCH(ROWS($BI$3:BI220),$BH$3:$BH$220,0),1),"")</f>
        <v/>
      </c>
      <c r="BJ220" s="259" t="str">
        <f t="shared" ca="1" si="519"/>
        <v/>
      </c>
      <c r="BK220" s="259" t="str">
        <f ca="1">IF(IF(BJ220&lt;&gt;"",MAX($BK$2:BK219)+1,0)=0,"",IF(BJ220&lt;&gt;"",MAX($BK$2:BK219)+1,0))</f>
        <v/>
      </c>
      <c r="BL220" s="259" t="str">
        <f ca="1">IFERROR(INDEX($T$3:$U$220, MATCH(ROWS(BL$3:BL220),$V$3:$V$220,0),1),"")</f>
        <v/>
      </c>
      <c r="BM220" s="259" t="str">
        <f ca="1">IFERROR(INDEX($T$3:$U$220, MATCH(ROWS(BM$3:BM220),$V$3:$V$220,0),2),"")</f>
        <v/>
      </c>
      <c r="BN220" s="259" t="str">
        <f ca="1">IF(IFERROR(INDEX($BI$3:$BJ$220,MATCH(ROWS(BN$3:BN220),$BK$3:$BK$220,0),1),"")="PATRIMONIO NETTO","",IFERROR(INDEX($BI$3:$BJ$220,MATCH(ROWS(BN$3:BN220),$BK$3:$BK$220,0),1),""))</f>
        <v/>
      </c>
      <c r="BO220" s="259" t="str">
        <f ca="1">IFERROR(INDEX($BI$3:$BJ$220,MATCH(ROWS(BO$3:BO220),$BK$3:$BK$220,0),2),"")</f>
        <v/>
      </c>
      <c r="BP220" s="259">
        <f ca="1">IF(BN220&lt;&gt;"",MAX(BP$2:$BP219)+1,0)</f>
        <v>0</v>
      </c>
      <c r="BQ220" s="259" t="str">
        <f ca="1">IFERROR(INDEX($BN$3:$BO$200,MATCH(ROWS(BQ$3:BQ220),$BP$3:$BP$220,0),1),"")</f>
        <v/>
      </c>
      <c r="BR220" s="259" t="str">
        <f ca="1">IFERROR(INDEX($BN$3:$BO$220,MATCH(ROWS(BR$3:BR220),$BP$3:$BP$220,0),2),"")</f>
        <v/>
      </c>
      <c r="BU220" s="259">
        <f>IF(BS220&lt;&gt;"",MAX(BU$2:BU219)+1,0)</f>
        <v>0</v>
      </c>
      <c r="CB220" s="259" t="str">
        <f ca="1">IFERROR(IF(OR($BB$1&lt;&gt;$BD$1,$BC$1&lt;&gt;$BE$1,$DS$231&lt;&gt;$DT$231,$DU$231&lt;&gt;$DV$231,$EO$25&lt;&gt;0,$EO$26&lt;&gt;0),INDEX($BI$3:$BK$220,MATCH(ROWS($CB$3:CB220),$BK$3:$BK$220,0),1),CONCATENATE(BQ220,BX220)),"")</f>
        <v/>
      </c>
      <c r="CC220" s="259" t="str">
        <f t="shared" ca="1" si="564"/>
        <v/>
      </c>
      <c r="CD220" s="259" t="str">
        <f t="shared" ca="1" si="520"/>
        <v/>
      </c>
      <c r="CE220" s="259">
        <f ca="1">IF(IFERROR(MATCH(CD220,DENOMINAZIONE_GIORNALE,0),0)&gt;0,MAX(CE$2:CE219)+1,0)</f>
        <v>0</v>
      </c>
      <c r="CF220" s="259" t="str">
        <f ca="1">IFERROR(INDEX($CD$3:$CE$220,MATCH(ROWS($CF$3:CF220),$CE$3:$CE$220,0),1),"")</f>
        <v/>
      </c>
      <c r="CG220" s="259">
        <f t="shared" ca="1" si="521"/>
        <v>0</v>
      </c>
      <c r="CH220" s="259" t="str">
        <f ca="1">IF(IF(CG220&lt;&gt;0,MAX($CH$2:CH219)+1,0)=0,"",IF(CG220&lt;&gt;"",MAX($CH$2:CH219)+1,0))</f>
        <v/>
      </c>
      <c r="CI220" s="259" t="str">
        <f ca="1">IFERROR(INDEX($CF$3:$CG$220,MATCH(ROWS($CI$3:CI220),$CH$3:$CH$220,0),1),"")</f>
        <v/>
      </c>
      <c r="CJ220" s="259" t="str">
        <f t="shared" ca="1" si="565"/>
        <v/>
      </c>
      <c r="CK220" s="259" t="str">
        <f t="shared" ca="1" si="522"/>
        <v/>
      </c>
      <c r="CL220" s="259">
        <f ca="1">IF(IFERROR(MATCH(CK220,DENOMINAZIONE_GIORNALE,0),0)&gt;0,MAX(CL$2:CL219)+1,0)</f>
        <v>0</v>
      </c>
      <c r="CM220" s="259" t="str">
        <f ca="1">IFERROR(INDEX($CK$3:$CL$220,MATCH(ROWS($CM$3:CM220),$CL$3:$CL$220,0),1),"")</f>
        <v/>
      </c>
      <c r="CN220" s="259" t="str">
        <f t="shared" ca="1" si="523"/>
        <v/>
      </c>
      <c r="CO220" s="259">
        <f ca="1">IF(IF(CN220&lt;&gt;0,MAX($CO$2:CO219)+1,0)=0,"",IF(CN220&lt;&gt;"",MAX($CO$2:CO219)+1,0))</f>
        <v>0</v>
      </c>
      <c r="CP220" s="259" t="str">
        <f ca="1">IFERROR(INDEX($CM$3:$CN$220,MATCH(ROWS(CP$3:CP220),$CO$3:$CO$220,0),1),"")</f>
        <v/>
      </c>
      <c r="CQ220" s="259" t="str">
        <f ca="1">IFERROR(INDEX($CM$3:$CN$220,MATCH(ROWS(CQ$3:CQ220),$CO$3:$CO$220,0),2),"")</f>
        <v/>
      </c>
      <c r="CS220" s="259">
        <f t="shared" ca="1" si="524"/>
        <v>0</v>
      </c>
      <c r="CT220" s="259">
        <f t="shared" ca="1" si="525"/>
        <v>0</v>
      </c>
      <c r="CU220" s="259">
        <f ca="1">IF(OR(CS220&gt;0,CT220&gt;0),MAX($CU$2:CU219)+1,0)</f>
        <v>0</v>
      </c>
      <c r="CV220" s="259" t="str">
        <f ca="1">IFERROR(INDEX(PIANO_DEI_CONTI,MATCH(ROWS($CV$3:CV220),$CU$3:$CU$200,0),2),"")</f>
        <v/>
      </c>
      <c r="CW220" s="259">
        <f ca="1">IFERROR(IF(CV220&lt;&gt;"",MAX($CW$2:CW219)+1,0),0)</f>
        <v>0</v>
      </c>
      <c r="CX220" s="259">
        <f t="shared" ref="CX220:CX235" ca="1" si="623">$EA$15</f>
        <v>13</v>
      </c>
      <c r="CY220" s="259" t="str">
        <f t="shared" ca="1" si="607"/>
        <v>MASTRO</v>
      </c>
      <c r="DA220" s="259" t="str">
        <f ca="1">IF(DB219="","","Num. riga")</f>
        <v/>
      </c>
      <c r="DB220" s="259" t="str">
        <f t="shared" ref="DB220" ca="1" si="624">IF(DB219="","","Data")</f>
        <v/>
      </c>
      <c r="DC220" s="259" t="str">
        <f ca="1">IF(DB219="","","Operazioni")</f>
        <v/>
      </c>
      <c r="DD220" s="259" t="str">
        <f ca="1">IF(DB219="","","Dare        ")</f>
        <v/>
      </c>
      <c r="DE220" s="259" t="str">
        <f ca="1">IF(DB219="","","Avere        ")</f>
        <v/>
      </c>
      <c r="DF220" s="259">
        <f ca="1">IF(AND(CX220=$DE$2,$DF$2&lt;&gt;0),0,IF(AND(DB220&lt;&gt;"",OR(DB219&lt;&gt;"",DB221&lt;&gt;"")),MAX($DF$2:DF219)+1,0))</f>
        <v>0</v>
      </c>
      <c r="DG220" s="259" t="str">
        <f>IF(IF(LIBRO_GIORNALE!E128="","",IFERROR(INDEX(PIANO_DEI_CONTI,MATCH(BB220,DENOMINAZIONE,0),1),0))=0,"",IF(LIBRO_GIORNALE!E128="","",IFERROR(INDEX(PIANO_DEI_CONTI,MATCH(BB220,DENOMINAZIONE,0),1),0)))</f>
        <v/>
      </c>
      <c r="DH220" s="259">
        <f ca="1">IFERROR(IF($J$1=1,IF(INDEX(PIANO_DEI_CONTI,MATCH($K220,DENOMINAZIONE,0),5)=$DF$1,MAX($DH$2:DH219)+1,0),IF($J$1=2,IF(INDEX(PIANO_DEI_CONTI,MATCH($K220,DENOMINAZIONE,0),7)=$DF$1,MAX($DH$2:DH219)+1,0))),0)</f>
        <v>0</v>
      </c>
      <c r="DI220" s="259">
        <f ca="1">IFERROR(INDEX($K$3:$K$220,MATCH(ROWS($DI$3:DI220),$DH$3:$DH$220,0),1),0)</f>
        <v>0</v>
      </c>
      <c r="DJ220" s="259">
        <f t="shared" ca="1" si="526"/>
        <v>0</v>
      </c>
      <c r="DK220" s="259">
        <f ca="1">IF(DJ220=0,0,MAX(DK$2:DK219)+1)</f>
        <v>0</v>
      </c>
      <c r="DL220" s="259">
        <f ca="1">IFERROR(INDEX(PIANO_DEI_CONTI,MATCH(ROWS(DL$3:DL220),$DK$3:DK447,0),2),0)</f>
        <v>0</v>
      </c>
      <c r="DM220" s="259">
        <f t="shared" ca="1" si="527"/>
        <v>0</v>
      </c>
      <c r="DN220" s="259">
        <f t="shared" ca="1" si="528"/>
        <v>0</v>
      </c>
      <c r="DO220" s="259">
        <f t="shared" ca="1" si="566"/>
        <v>0</v>
      </c>
      <c r="DP220" s="259">
        <f t="shared" ca="1" si="567"/>
        <v>0</v>
      </c>
      <c r="DQ220" s="259">
        <f ca="1">IF(OR($DQ$1="TOTALI",$DQ$1="TOTALI ED ECCEDENZE"),IF(OR(DM220&gt;0,DN220&gt;0),MAX(DQ$2:DQ219)+1,0),IF($DQ$1="ECCEDENZE",IF(OR(DO220&gt;0,DP220&gt;0),MAX(DQ$2:DQ219)+1,0),""))</f>
        <v>0</v>
      </c>
      <c r="DR220" s="259" t="str">
        <f ca="1">IFERROR(INDEX($DL$3:$DQ$230,MATCH(ROWS(DR$3:DR220),$DQ$3:$DQ$230,0),1),"")</f>
        <v/>
      </c>
      <c r="DS220" s="259" t="str">
        <f t="shared" ca="1" si="568"/>
        <v/>
      </c>
      <c r="DT220" s="259" t="str">
        <f t="shared" ca="1" si="569"/>
        <v/>
      </c>
      <c r="DU220" s="259" t="str">
        <f t="shared" ca="1" si="570"/>
        <v/>
      </c>
      <c r="DV220" s="259" t="str">
        <f t="shared" ca="1" si="571"/>
        <v/>
      </c>
      <c r="DW220" s="259">
        <f t="shared" ca="1" si="572"/>
        <v>0</v>
      </c>
      <c r="DX220" s="259" t="str">
        <f t="shared" ca="1" si="573"/>
        <v/>
      </c>
      <c r="DY220" s="259" t="str">
        <f t="shared" ca="1" si="574"/>
        <v/>
      </c>
      <c r="DZ220" s="259" t="str">
        <f t="shared" ca="1" si="575"/>
        <v/>
      </c>
      <c r="EC220" s="259">
        <f>IF(IF(DG220&lt;&gt;"",REPLACE(DG220,3,1,""),0)&lt;&gt;0,MAX(EC$2:EC219)+1,0)</f>
        <v>0</v>
      </c>
      <c r="ED220" s="259">
        <f t="shared" ca="1" si="529"/>
        <v>0</v>
      </c>
      <c r="EH220" s="259" t="str">
        <f t="shared" ca="1" si="576"/>
        <v/>
      </c>
      <c r="EI220" s="260"/>
      <c r="EJ220" s="260"/>
      <c r="EK220" s="260"/>
      <c r="EL220" s="259">
        <f t="shared" si="577"/>
        <v>218</v>
      </c>
      <c r="EM220" s="259">
        <f ca="1">IF(AND(BA220&gt;0,BA220&lt;=$EM$1),MAX($EM$2:EM219)+1,0)</f>
        <v>0</v>
      </c>
      <c r="EN220" s="259">
        <f t="shared" ca="1" si="578"/>
        <v>220</v>
      </c>
      <c r="EP220" s="259" t="str">
        <f t="shared" ca="1" si="530"/>
        <v/>
      </c>
      <c r="EQ220" s="259">
        <f t="shared" ca="1" si="531"/>
        <v>0</v>
      </c>
      <c r="ER220" s="259">
        <f ca="1">IF(ISNA(EQ220),MAX(ER$2:ER219)+1,0)</f>
        <v>0</v>
      </c>
      <c r="ES220" s="259" t="str">
        <f t="shared" ca="1" si="579"/>
        <v/>
      </c>
      <c r="ET220" s="259" t="str">
        <f ca="1">IFERROR(UPPER(INDEX($ER$3:$ES$500,MATCH(ROWS(ET$3:ET220),$ER$3:$ER$500,0),2)),"")</f>
        <v/>
      </c>
      <c r="EW220" s="259">
        <f t="shared" ca="1" si="497"/>
        <v>1</v>
      </c>
      <c r="EX220" s="259">
        <v>118</v>
      </c>
      <c r="EY220" s="259">
        <f t="shared" ca="1" si="498"/>
        <v>0</v>
      </c>
      <c r="EZ220" s="259">
        <f t="shared" ca="1" si="499"/>
        <v>0</v>
      </c>
      <c r="FA220" s="259">
        <f t="shared" ca="1" si="500"/>
        <v>0</v>
      </c>
      <c r="FB220" s="259">
        <f t="shared" ca="1" si="501"/>
        <v>0</v>
      </c>
      <c r="FC220" s="259">
        <f t="shared" ca="1" si="502"/>
        <v>0</v>
      </c>
      <c r="FD220" s="259">
        <f t="shared" ca="1" si="532"/>
        <v>0</v>
      </c>
      <c r="FE220" s="259" t="str">
        <f t="shared" ca="1" si="533"/>
        <v/>
      </c>
      <c r="FF220" s="259" t="str">
        <f t="shared" ca="1" si="503"/>
        <v/>
      </c>
      <c r="FM220" s="259">
        <f t="shared" si="534"/>
        <v>0</v>
      </c>
      <c r="FN220" s="259">
        <f>IF(FM220&lt;0,MAX($FN$2:FN219)+1,0)</f>
        <v>0</v>
      </c>
      <c r="FO220" s="259" t="str">
        <f t="shared" si="580"/>
        <v/>
      </c>
      <c r="FP220" s="259" t="str">
        <f ca="1">IFERROR(INDEX($FN$3:$FO$400,MATCH(ROWS($FP$3:FP220),$FN$3:$FN$400,0),2),"")</f>
        <v/>
      </c>
      <c r="FQ220" s="259" t="str">
        <f>IF(AE220="SE AVERE",MAX($FQ$2:FQ219)+1,"")</f>
        <v/>
      </c>
      <c r="FR220" s="259" t="str">
        <f>IF(AE220="SE DARE",MAX($FR$2:FR219)+1,"")</f>
        <v/>
      </c>
      <c r="FS220" s="259" t="str">
        <f ca="1">IF(AND(AE220="SP DARE",AA220&lt;&gt;$FS$1,AA220&lt;&gt;$FT$1),MAX($FS$2:FS219)+1,IF(AND(GQ220="SP DARE",AA220&lt;&gt;$FS$1,AA220&lt;&gt;$FT$1),MAX($FS$2:FS219)+1,""))</f>
        <v/>
      </c>
      <c r="FT220" s="259" t="str">
        <f ca="1">IF(AND(AE220="SP AVERE",AA220&lt;&gt;$FU$1),MAX($FT$2:FT219)+1,IF(AND(GQ220="SP AVERE",AA220&lt;&gt;$FU$1),MAX($FT$2:FT219)+1,""))</f>
        <v/>
      </c>
      <c r="FU220" s="259">
        <f t="shared" ca="1" si="581"/>
        <v>0</v>
      </c>
      <c r="FV220" s="259" t="str">
        <f t="shared" si="582"/>
        <v/>
      </c>
      <c r="FW220" s="259">
        <f ca="1">IFERROR(INDEX($FU$3:$FV$500,MATCH(ROWS($FW$3:FW220),$FU$3:$FU$500,0),2),0)</f>
        <v>0</v>
      </c>
      <c r="FX220" s="259">
        <f t="shared" ca="1" si="583"/>
        <v>0</v>
      </c>
      <c r="FY220" s="259">
        <f t="shared" ca="1" si="584"/>
        <v>0</v>
      </c>
      <c r="FZ220" s="259">
        <f ca="1">IF(FY220&gt;0,MAX($FZ$2:FZ219)+1,0)</f>
        <v>0</v>
      </c>
      <c r="GA220" s="259">
        <f ca="1">IFERROR(INDEX($FY$3:$FZ$500,MATCH(ROWS($GA$3:GA220),$FZ$3:$FZ$500,0),1),0)</f>
        <v>0</v>
      </c>
      <c r="GC220" s="259">
        <f t="shared" ca="1" si="585"/>
        <v>0</v>
      </c>
      <c r="GD220" s="259">
        <f t="shared" ca="1" si="586"/>
        <v>0</v>
      </c>
      <c r="GG220" s="259">
        <f t="shared" ca="1" si="587"/>
        <v>0</v>
      </c>
      <c r="GH220" s="259">
        <f t="shared" ca="1" si="588"/>
        <v>0</v>
      </c>
      <c r="GI220" s="259">
        <f t="shared" ca="1" si="589"/>
        <v>0</v>
      </c>
      <c r="GJ220" s="259">
        <f t="shared" ca="1" si="590"/>
        <v>0</v>
      </c>
      <c r="GK220" s="259">
        <f t="shared" ca="1" si="591"/>
        <v>0</v>
      </c>
      <c r="GL220" s="259">
        <f t="shared" ca="1" si="591"/>
        <v>0</v>
      </c>
      <c r="GM220" s="259">
        <f ca="1">IF(OR(GK220&gt;0,GL220&gt;0),MAX($GM$2:GM219)+1,0)</f>
        <v>0</v>
      </c>
      <c r="GN220" s="259" t="str">
        <f ca="1">IFERROR(INDEX($GD$3:$GM$400,MATCH(ROWS($GN$3:GN220),$GM$3:$GM$400,0),1),"")</f>
        <v/>
      </c>
      <c r="GO220" s="259" t="str">
        <f ca="1">IFERROR(INDEX($GD$3:$GM$400,MATCH(ROWS($GO$3:GO220),$GM$3:$GM$400,0),8),"")</f>
        <v/>
      </c>
      <c r="GP220" s="259" t="str">
        <f ca="1">IFERROR(INDEX($GD$3:$GM$400,MATCH(ROWS($GP$3:GP220),$GM$3:$GM$400,0),9),"")</f>
        <v/>
      </c>
      <c r="GQ220" s="259">
        <f t="shared" ca="1" si="535"/>
        <v>0</v>
      </c>
      <c r="GR220" s="259">
        <f t="shared" ca="1" si="592"/>
        <v>0</v>
      </c>
      <c r="GS220" s="259" t="str">
        <f t="shared" ca="1" si="593"/>
        <v/>
      </c>
      <c r="GT220" s="259" t="str">
        <f ca="1">IFERROR(INDEX($GD$3:$GS$400,MATCH(ROWS($GT$3:GT220),$GM$3:$GM$400,0),16),"")</f>
        <v/>
      </c>
      <c r="GU220" s="259">
        <f ca="1">IF(GQ220&lt;&gt;0,MAX($GU$2:$GU219)+1,0)</f>
        <v>0</v>
      </c>
      <c r="GV220" s="259">
        <f t="shared" ca="1" si="594"/>
        <v>0</v>
      </c>
      <c r="GW220" s="259" t="str">
        <f ca="1">IF(AND(IFERROR(INDEX($GU$3:$GV$400,MATCH(ROWS($GW$3:GW220),$GU$3:$GU$400,0),2),"")&lt;&gt;"",GW221&lt;&gt;""),CONCATENATE(IFERROR(INDEX($GU$3:$GV$400,MATCH(ROWS($GW$3:GW220),$GU$3:$GU$400,0),2),"")," - "),IFERROR(INDEX($GU$3:$GV$400,MATCH(ROWS($GW$3:GW220),$GU$3:$GU$400,0),2),""))</f>
        <v/>
      </c>
      <c r="GX220" s="259">
        <f ca="1">IF(OR(GN220="IVA NS/CREDITO",GN220="IVA NS/DEBITO",GN220="IVA C/ACCONTO",GN220="IMPOSTE C/ACCONTO"),MAX($GX$2:GX219)+1,0)</f>
        <v>0</v>
      </c>
      <c r="GY220" s="259" t="str">
        <f ca="1">IF(AND(IFERROR(INDEX($GN$3:$GX$200,MATCH(ROWS($GY$3:GY220),$GX$3:$GX$200,0),1),"")&lt;&gt;"",GY221&lt;&gt;""),CONCATENATE(IFERROR(INDEX($GN$3:$GX$200,MATCH(ROWS($GY$3:GY220),$GX$3:$GX$200,0),1),"")," - "),IFERROR(INDEX($GN$3:$GX$200,MATCH(ROWS($GY$3:GY220),$GX$3:$GX$200,0),1),""))</f>
        <v/>
      </c>
      <c r="HV220" s="259" t="str">
        <f ca="1">CONCATENATE(IFERROR(INDEX($HS$3:$HT$102,MATCH(ROWS($HV$3:HV220),$HT$3:$HT$102,0),1),""),HR220)</f>
        <v/>
      </c>
      <c r="IX220" s="259" t="str">
        <f t="shared" si="606"/>
        <v/>
      </c>
      <c r="IY220" s="259" t="str">
        <f t="shared" si="600"/>
        <v/>
      </c>
      <c r="IZ220" s="259" t="str">
        <f t="shared" si="608"/>
        <v/>
      </c>
      <c r="JA220" s="259" t="str">
        <f t="shared" ca="1" si="601"/>
        <v/>
      </c>
      <c r="JB220" s="259">
        <f t="shared" ca="1" si="536"/>
        <v>0</v>
      </c>
      <c r="JC220" s="259">
        <f t="shared" ca="1" si="504"/>
        <v>0</v>
      </c>
      <c r="JD220" s="259">
        <f t="shared" ca="1" si="505"/>
        <v>0</v>
      </c>
      <c r="JM220" s="259">
        <f t="shared" ca="1" si="506"/>
        <v>0</v>
      </c>
    </row>
    <row r="221" spans="1:273">
      <c r="B221" s="259">
        <f t="shared" si="538"/>
        <v>0</v>
      </c>
      <c r="AZ221" s="259" t="str">
        <f t="shared" ca="1" si="616"/>
        <v/>
      </c>
      <c r="BA221" s="259">
        <f t="shared" ca="1" si="484"/>
        <v>0</v>
      </c>
      <c r="BB221" s="259">
        <f t="shared" ca="1" si="617"/>
        <v>0</v>
      </c>
      <c r="BC221" s="259">
        <f t="shared" ca="1" si="618"/>
        <v>0</v>
      </c>
      <c r="BD221" s="259">
        <f t="shared" ca="1" si="619"/>
        <v>0</v>
      </c>
      <c r="BE221" s="259">
        <f t="shared" ca="1" si="620"/>
        <v>0</v>
      </c>
      <c r="BP221" s="259">
        <f>IF(BN221&lt;&gt;"",MAX(BP$2:$BP220)+1,0)</f>
        <v>0</v>
      </c>
      <c r="BQ221" s="259" t="s">
        <v>221</v>
      </c>
      <c r="BR221" s="259">
        <f ca="1">SUM($BR$3:$BR$220)</f>
        <v>0</v>
      </c>
      <c r="BU221" s="259">
        <f>IF(BS221&lt;&gt;"",MAX(BU$2:BU220)+1,0)</f>
        <v>0</v>
      </c>
      <c r="BV221" s="259" t="s">
        <v>220</v>
      </c>
      <c r="BW221" s="259">
        <f ca="1">SUM(BW3:BW220)</f>
        <v>0</v>
      </c>
      <c r="CX221" s="259">
        <f t="shared" ca="1" si="623"/>
        <v>13</v>
      </c>
      <c r="CY221" s="259" t="str">
        <f t="shared" ca="1" si="607"/>
        <v>MASTRO</v>
      </c>
      <c r="CZ221" s="259" t="e">
        <f t="shared" ref="CZ221:CZ235" ca="1" si="625">SUM(MATCH($CY221,INDIRECT(ADDRESS(SUM(CZ220)+3,54)&amp;":"&amp;ADDRESS(400,54)),0),CZ220)</f>
        <v>#N/A</v>
      </c>
      <c r="DA221" s="259" t="str">
        <f ca="1">IFERROR(INDEX(LIBRO_GIORNALE,CZ221,1),"")</f>
        <v/>
      </c>
      <c r="DB221" s="259" t="str">
        <f t="shared" ref="DB221:DB235" ca="1" si="626">IF(RIGHT(TEXT(IFERROR(INDEX(LIBRO_GIORNALE,CZ221,2),""),"gg/mm/aa"),1)="a",TEXT(IFERROR(INDEX(LIBRO_GIORNALE,CZ221,2),""),"dd/mm/yy"),TEXT(IFERROR(INDEX(LIBRO_GIORNALE,CZ221,2),""),"gg/mm/aa"))</f>
        <v/>
      </c>
      <c r="DC221" s="259" t="str">
        <f t="shared" ref="DC221:DC235" ca="1" si="627">IF(IFERROR(INDEX(LIBRO_GIORNALE,CZ221,4),"")=0,"manca la descrizione dell'operazione",IFERROR(INDEX(LIBRO_GIORNALE,CZ221,4),""))</f>
        <v/>
      </c>
      <c r="DD221" s="259" t="str">
        <f t="shared" ref="DD221:DD235" ca="1" si="628">IFERROR(IF(INDEX(LIBRO_GIORNALE,CZ221,5)&gt;0,INDEX(LIBRO_GIORNALE,CZ221,5),""),"")</f>
        <v/>
      </c>
      <c r="DE221" s="259" t="str">
        <f t="shared" ref="DE221:DE235" ca="1" si="629">IFERROR(IF(INDEX(LIBRO_GIORNALE,CZ221,6)&gt;0,INDEX(LIBRO_GIORNALE,CZ221,6),""),"")</f>
        <v/>
      </c>
      <c r="DF221" s="259">
        <f ca="1">IF(AND(CX221=$DE$2,$DF$2&lt;&gt;0),0,IF(AND(DB221&lt;&gt;"",OR(DB220&lt;&gt;"",DB222&lt;&gt;"")),MAX($DF$2:DF220)+1,0))</f>
        <v>0</v>
      </c>
      <c r="DG221" s="259" t="str">
        <f>IF(IF(LIBRO_GIORNALE!E129="","",IFERROR(INDEX(PIANO_DEI_CONTI,MATCH(BB221,DENOMINAZIONE,0),1),0))=0,"",IF(LIBRO_GIORNALE!E129="","",IFERROR(INDEX(PIANO_DEI_CONTI,MATCH(BB221,DENOMINAZIONE,0),1),0)))</f>
        <v/>
      </c>
      <c r="DU221" s="259" t="str">
        <f t="shared" ref="DU221:DU230" ca="1" si="630">IF(AND($DR221&lt;&gt;"",$DS221&gt;$DT221,$DQ$1="TOTALI ED ECCEDENZE",OR($DS221&gt;0,$DT221&gt;0)),$DS221-$DT221,IF(DS221=DT221,"",0))</f>
        <v/>
      </c>
      <c r="EC221" s="259">
        <f>IF(IF(DG221&lt;&gt;"",REPLACE(DG221,3,1,""),0)&lt;&gt;0,MAX(EC$2:EC220)+1,0)</f>
        <v>0</v>
      </c>
      <c r="ED221" s="259">
        <f t="shared" ca="1" si="529"/>
        <v>0</v>
      </c>
      <c r="EI221" s="260"/>
      <c r="EJ221" s="260"/>
      <c r="EK221" s="260"/>
      <c r="EL221" s="259">
        <f t="shared" si="577"/>
        <v>219</v>
      </c>
      <c r="EM221" s="259">
        <f ca="1">IF(AND(BA221&gt;0,BA221&lt;=$EM$1),MAX($EM$2:EM220)+1,0)</f>
        <v>0</v>
      </c>
      <c r="EN221" s="259">
        <f t="shared" ca="1" si="578"/>
        <v>221</v>
      </c>
      <c r="EP221" s="259" t="str">
        <f t="shared" ca="1" si="530"/>
        <v/>
      </c>
      <c r="EQ221" s="259">
        <f t="shared" ca="1" si="531"/>
        <v>0</v>
      </c>
      <c r="ER221" s="259">
        <f ca="1">IF(ISNA(EQ221),MAX(ER$2:ER220)+1,0)</f>
        <v>0</v>
      </c>
      <c r="ES221" s="259" t="str">
        <f t="shared" ca="1" si="579"/>
        <v/>
      </c>
      <c r="ET221" s="259" t="str">
        <f ca="1">IFERROR(UPPER(INDEX($ER$3:$ES$500,MATCH(ROWS(ET$3:ET221),$ER$3:$ER$500,0),2)),"")</f>
        <v/>
      </c>
      <c r="EW221" s="259">
        <f t="shared" ca="1" si="497"/>
        <v>1</v>
      </c>
      <c r="EX221" s="259">
        <v>119</v>
      </c>
      <c r="EY221" s="259">
        <f t="shared" ca="1" si="498"/>
        <v>0</v>
      </c>
      <c r="EZ221" s="259">
        <f t="shared" ca="1" si="499"/>
        <v>0</v>
      </c>
      <c r="FA221" s="259">
        <f t="shared" ca="1" si="500"/>
        <v>0</v>
      </c>
      <c r="FB221" s="259">
        <f t="shared" ca="1" si="501"/>
        <v>0</v>
      </c>
      <c r="FC221" s="259">
        <f t="shared" ca="1" si="502"/>
        <v>0</v>
      </c>
      <c r="FD221" s="259">
        <f t="shared" ca="1" si="532"/>
        <v>0</v>
      </c>
      <c r="FE221" s="259" t="str">
        <f t="shared" ca="1" si="533"/>
        <v/>
      </c>
      <c r="FF221" s="259" t="str">
        <f t="shared" ca="1" si="503"/>
        <v/>
      </c>
      <c r="FM221" s="259">
        <f t="shared" si="534"/>
        <v>0</v>
      </c>
      <c r="FN221" s="259">
        <f>IF(FM221&lt;0,MAX($FN$2:FN220)+1,0)</f>
        <v>0</v>
      </c>
      <c r="FO221" s="259" t="str">
        <f t="shared" si="580"/>
        <v/>
      </c>
      <c r="FP221" s="259" t="str">
        <f ca="1">IFERROR(INDEX($FN$3:$FO$400,MATCH(ROWS($FP$3:FP221),$FN$3:$FN$400,0),2),"")</f>
        <v/>
      </c>
      <c r="FQ221" s="259" t="str">
        <f>IF(AE221="SE AVERE",MAX($FQ$2:FQ220)+1,"")</f>
        <v/>
      </c>
      <c r="FR221" s="259" t="str">
        <f>IF(AE221="SE DARE",MAX($FR$2:FR220)+1,"")</f>
        <v/>
      </c>
      <c r="FS221" s="259" t="str">
        <f ca="1">IF(AND(AE221="SP DARE",AA221&lt;&gt;$FS$1,AA221&lt;&gt;$FT$1),MAX($FS$2:FS220)+1,IF(AND(GQ221="SP DARE",AA221&lt;&gt;$FS$1,AA221&lt;&gt;$FT$1),MAX($FS$2:FS220)+1,""))</f>
        <v/>
      </c>
      <c r="FT221" s="259" t="str">
        <f ca="1">IF(AND(AE221="SP AVERE",AA221&lt;&gt;$FU$1),MAX($FT$2:FT220)+1,IF(AND(GQ221="SP AVERE",AA221&lt;&gt;$FU$1),MAX($FT$2:FT220)+1,""))</f>
        <v/>
      </c>
      <c r="FU221" s="259">
        <f t="shared" ca="1" si="581"/>
        <v>0</v>
      </c>
      <c r="FV221" s="259">
        <f t="shared" si="582"/>
        <v>0</v>
      </c>
      <c r="FW221" s="259">
        <f ca="1">IFERROR(INDEX($FU$3:$FV$500,MATCH(ROWS($FW$3:FW221),$FU$3:$FU$500,0),2),0)</f>
        <v>0</v>
      </c>
      <c r="FX221" s="259">
        <f t="shared" ca="1" si="583"/>
        <v>0</v>
      </c>
      <c r="FY221" s="259">
        <f t="shared" ca="1" si="584"/>
        <v>0</v>
      </c>
      <c r="FZ221" s="259">
        <f ca="1">IF(FY221&gt;0,MAX($FZ$2:FZ220)+1,0)</f>
        <v>0</v>
      </c>
      <c r="GA221" s="259">
        <f ca="1">IFERROR(INDEX($FY$3:$FZ$500,MATCH(ROWS($GA$3:GA221),$FZ$3:$FZ$500,0),1),0)</f>
        <v>0</v>
      </c>
      <c r="GC221" s="259">
        <f t="shared" ca="1" si="585"/>
        <v>0</v>
      </c>
      <c r="GD221" s="259">
        <f t="shared" ca="1" si="586"/>
        <v>0</v>
      </c>
      <c r="GG221" s="259">
        <f t="shared" ca="1" si="587"/>
        <v>0</v>
      </c>
      <c r="GH221" s="259">
        <f t="shared" ca="1" si="588"/>
        <v>0</v>
      </c>
      <c r="GI221" s="259">
        <f t="shared" ca="1" si="589"/>
        <v>0</v>
      </c>
      <c r="GJ221" s="259">
        <f t="shared" ca="1" si="590"/>
        <v>0</v>
      </c>
      <c r="GK221" s="259">
        <f t="shared" ca="1" si="591"/>
        <v>0</v>
      </c>
      <c r="GL221" s="259">
        <f t="shared" ca="1" si="591"/>
        <v>0</v>
      </c>
      <c r="GM221" s="259">
        <f ca="1">IF(OR(GK221&gt;0,GL221&gt;0),MAX($GM$2:GM220)+1,0)</f>
        <v>0</v>
      </c>
      <c r="GN221" s="259" t="str">
        <f ca="1">IFERROR(INDEX($GD$3:$GM$400,MATCH(ROWS($GN$3:GN221),$GM$3:$GM$400,0),1),"")</f>
        <v/>
      </c>
      <c r="GO221" s="259" t="str">
        <f ca="1">IFERROR(INDEX($GD$3:$GM$400,MATCH(ROWS($GO$3:GO221),$GM$3:$GM$400,0),8),"")</f>
        <v/>
      </c>
      <c r="GP221" s="259" t="str">
        <f ca="1">IFERROR(INDEX($GD$3:$GM$400,MATCH(ROWS($GP$3:GP221),$GM$3:$GM$400,0),9),"")</f>
        <v/>
      </c>
      <c r="GQ221" s="259">
        <f t="shared" ca="1" si="535"/>
        <v>0</v>
      </c>
      <c r="GR221" s="259">
        <f t="shared" ca="1" si="592"/>
        <v>0</v>
      </c>
      <c r="GS221" s="259" t="str">
        <f t="shared" ca="1" si="593"/>
        <v/>
      </c>
      <c r="GT221" s="259" t="str">
        <f ca="1">IFERROR(INDEX($GD$3:$GS$400,MATCH(ROWS($GT$3:GT221),$GM$3:$GM$400,0),16),"")</f>
        <v/>
      </c>
      <c r="GU221" s="259">
        <f ca="1">IF(GQ221&lt;&gt;0,MAX($GU$2:$GU220)+1,0)</f>
        <v>0</v>
      </c>
      <c r="GV221" s="259">
        <f t="shared" ca="1" si="594"/>
        <v>0</v>
      </c>
      <c r="GW221" s="259" t="str">
        <f ca="1">IF(AND(IFERROR(INDEX($GU$3:$GV$400,MATCH(ROWS($GW$3:GW221),$GU$3:$GU$400,0),2),"")&lt;&gt;"",GW222&lt;&gt;""),CONCATENATE(IFERROR(INDEX($GU$3:$GV$400,MATCH(ROWS($GW$3:GW221),$GU$3:$GU$400,0),2),"")," - "),IFERROR(INDEX($GU$3:$GV$400,MATCH(ROWS($GW$3:GW221),$GU$3:$GU$400,0),2),""))</f>
        <v/>
      </c>
      <c r="GX221" s="259">
        <f ca="1">IF(OR(GN221="IVA NS/CREDITO",GN221="IVA NS/DEBITO",GN221="IVA C/ACCONTO",GN221="IMPOSTE C/ACCONTO"),MAX($GX$2:GX220)+1,0)</f>
        <v>0</v>
      </c>
      <c r="GY221" s="259" t="str">
        <f ca="1">IF(AND(IFERROR(INDEX($GN$3:$GX$200,MATCH(ROWS($GY$3:GY221),$GX$3:$GX$200,0),1),"")&lt;&gt;"",GY222&lt;&gt;""),CONCATENATE(IFERROR(INDEX($GN$3:$GX$200,MATCH(ROWS($GY$3:GY221),$GX$3:$GX$200,0),1),"")," - "),IFERROR(INDEX($GN$3:$GX$200,MATCH(ROWS($GY$3:GY221),$GX$3:$GX$200,0),1),""))</f>
        <v/>
      </c>
      <c r="HV221" s="259" t="str">
        <f ca="1">CONCATENATE(IFERROR(INDEX($HS$3:$HT$102,MATCH(ROWS($HV$3:HV221),$HT$3:$HT$102,0),1),""),HR221)</f>
        <v/>
      </c>
      <c r="IX221" s="259" t="str">
        <f t="shared" si="606"/>
        <v/>
      </c>
      <c r="IY221" s="259" t="str">
        <f t="shared" si="600"/>
        <v/>
      </c>
      <c r="IZ221" s="259" t="str">
        <f t="shared" si="608"/>
        <v/>
      </c>
      <c r="JA221" s="259" t="str">
        <f t="shared" ca="1" si="601"/>
        <v/>
      </c>
      <c r="JB221" s="259">
        <f t="shared" ca="1" si="536"/>
        <v>0</v>
      </c>
      <c r="JC221" s="259">
        <f t="shared" ca="1" si="504"/>
        <v>0</v>
      </c>
      <c r="JD221" s="259">
        <f t="shared" ca="1" si="505"/>
        <v>0</v>
      </c>
      <c r="JM221" s="259">
        <f t="shared" ca="1" si="506"/>
        <v>0</v>
      </c>
    </row>
    <row r="222" spans="1:273">
      <c r="B222" s="259">
        <f t="shared" si="538"/>
        <v>0</v>
      </c>
      <c r="AZ222" s="259" t="str">
        <f t="shared" ca="1" si="616"/>
        <v/>
      </c>
      <c r="BA222" s="259">
        <f t="shared" ca="1" si="484"/>
        <v>0</v>
      </c>
      <c r="BB222" s="259">
        <f t="shared" ca="1" si="617"/>
        <v>0</v>
      </c>
      <c r="BC222" s="259">
        <f t="shared" ca="1" si="618"/>
        <v>0</v>
      </c>
      <c r="BD222" s="259">
        <f t="shared" ca="1" si="619"/>
        <v>0</v>
      </c>
      <c r="BE222" s="259">
        <f t="shared" ca="1" si="620"/>
        <v>0</v>
      </c>
      <c r="BP222" s="259">
        <f>IF(BN222&lt;&gt;"",MAX(BP$2:$BP221)+1,0)</f>
        <v>0</v>
      </c>
      <c r="BQ222" s="259" t="str">
        <f ca="1">IF($BX$1&gt;0,$BP$1,"")</f>
        <v/>
      </c>
      <c r="BR222" s="259" t="str">
        <f ca="1">IFERROR(INDEX($BI$3:$BJ$220,MATCH($BQ$222,$BI$3:$BI$220,0),2),"")</f>
        <v/>
      </c>
      <c r="BU222" s="259">
        <f>IF(BS222&lt;&gt;"",MAX(BU$2:BU221)+1,0)</f>
        <v>0</v>
      </c>
      <c r="BV222" s="259" t="str">
        <f ca="1">IF($EO$1=TRUE,"PERDITA D'ESERCIZIO","SALDO ECONOMICO NEGATIVO")</f>
        <v>PERDITA D'ESERCIZIO</v>
      </c>
      <c r="BW222" s="259">
        <f ca="1">IF($CP$1&gt;$CM$1,$CP$1-$CM$1,0)</f>
        <v>0</v>
      </c>
      <c r="CX222" s="259">
        <f t="shared" ca="1" si="623"/>
        <v>13</v>
      </c>
      <c r="CY222" s="259" t="str">
        <f t="shared" ca="1" si="607"/>
        <v>MASTRO</v>
      </c>
      <c r="CZ222" s="259" t="e">
        <f t="shared" ca="1" si="625"/>
        <v>#N/A</v>
      </c>
      <c r="DA222" s="259" t="str">
        <f t="shared" ref="DA222:DA235" ca="1" si="631">IFERROR(INDEX(LIBRO_GIORNALE,CZ222,1),"")</f>
        <v/>
      </c>
      <c r="DB222" s="259" t="str">
        <f t="shared" ca="1" si="626"/>
        <v/>
      </c>
      <c r="DC222" s="259" t="str">
        <f t="shared" ca="1" si="627"/>
        <v/>
      </c>
      <c r="DD222" s="259" t="str">
        <f t="shared" ca="1" si="628"/>
        <v/>
      </c>
      <c r="DE222" s="259" t="str">
        <f t="shared" ca="1" si="629"/>
        <v/>
      </c>
      <c r="DF222" s="259">
        <f ca="1">IF(AND(CX222=$DE$2,$DF$2&lt;&gt;0),0,IF(AND(DB222&lt;&gt;"",OR(DB221&lt;&gt;"",DB223&lt;&gt;"")),MAX($DF$2:DF221)+1,0))</f>
        <v>0</v>
      </c>
      <c r="DG222" s="259" t="str">
        <f>IF(IF(LIBRO_GIORNALE!E130="","",IFERROR(INDEX(PIANO_DEI_CONTI,MATCH(BB222,DENOMINAZIONE,0),1),0))=0,"",IF(LIBRO_GIORNALE!E130="","",IFERROR(INDEX(PIANO_DEI_CONTI,MATCH(BB222,DENOMINAZIONE,0),1),0)))</f>
        <v/>
      </c>
      <c r="DU222" s="259" t="str">
        <f t="shared" ca="1" si="630"/>
        <v/>
      </c>
      <c r="EC222" s="259">
        <f>IF(IF(DG222&lt;&gt;"",REPLACE(DG222,3,1,""),0)&lt;&gt;0,MAX(EC$2:EC221)+1,0)</f>
        <v>0</v>
      </c>
      <c r="ED222" s="259">
        <f t="shared" ca="1" si="529"/>
        <v>0</v>
      </c>
      <c r="EI222" s="260"/>
      <c r="EJ222" s="260"/>
      <c r="EK222" s="260"/>
      <c r="EL222" s="259">
        <f t="shared" si="577"/>
        <v>220</v>
      </c>
      <c r="EM222" s="259">
        <f ca="1">IF(AND(BA222&gt;0,BA222&lt;=$EM$1),MAX($EM$2:EM221)+1,0)</f>
        <v>0</v>
      </c>
      <c r="EN222" s="259">
        <f t="shared" ca="1" si="578"/>
        <v>222</v>
      </c>
      <c r="EP222" s="259" t="str">
        <f t="shared" ca="1" si="530"/>
        <v/>
      </c>
      <c r="EQ222" s="259">
        <f t="shared" ca="1" si="531"/>
        <v>0</v>
      </c>
      <c r="ER222" s="259">
        <f ca="1">IF(ISNA(EQ222),MAX(ER$2:ER221)+1,0)</f>
        <v>0</v>
      </c>
      <c r="ES222" s="259" t="str">
        <f t="shared" ca="1" si="579"/>
        <v/>
      </c>
      <c r="ET222" s="259" t="str">
        <f ca="1">IFERROR(UPPER(INDEX($ER$3:$ES$500,MATCH(ROWS(ET$3:ET222),$ER$3:$ER$500,0),2)),"")</f>
        <v/>
      </c>
      <c r="EW222" s="259">
        <f t="shared" ca="1" si="497"/>
        <v>1</v>
      </c>
      <c r="EX222" s="259">
        <v>120</v>
      </c>
      <c r="EY222" s="259">
        <f t="shared" ca="1" si="498"/>
        <v>0</v>
      </c>
      <c r="EZ222" s="259">
        <f t="shared" ca="1" si="499"/>
        <v>0</v>
      </c>
      <c r="FA222" s="259">
        <f t="shared" ca="1" si="500"/>
        <v>0</v>
      </c>
      <c r="FB222" s="259">
        <f t="shared" ca="1" si="501"/>
        <v>0</v>
      </c>
      <c r="FC222" s="259">
        <f t="shared" ca="1" si="502"/>
        <v>0</v>
      </c>
      <c r="FD222" s="259">
        <f t="shared" ca="1" si="532"/>
        <v>0</v>
      </c>
      <c r="FE222" s="259" t="str">
        <f t="shared" ca="1" si="533"/>
        <v/>
      </c>
      <c r="FF222" s="259" t="str">
        <f t="shared" ca="1" si="503"/>
        <v/>
      </c>
      <c r="FM222" s="259">
        <f t="shared" si="534"/>
        <v>0</v>
      </c>
      <c r="FN222" s="259">
        <f>IF(FM222&lt;0,MAX($FN$2:FN221)+1,0)</f>
        <v>0</v>
      </c>
      <c r="FO222" s="259" t="str">
        <f t="shared" si="580"/>
        <v/>
      </c>
      <c r="FP222" s="259" t="str">
        <f ca="1">IFERROR(INDEX($FN$3:$FO$400,MATCH(ROWS($FP$3:FP222),$FN$3:$FN$400,0),2),"")</f>
        <v/>
      </c>
      <c r="FQ222" s="259" t="str">
        <f>IF(AE222="SE AVERE",MAX($FQ$2:FQ221)+1,"")</f>
        <v/>
      </c>
      <c r="FR222" s="259" t="str">
        <f>IF(AE222="SE DARE",MAX($FR$2:FR221)+1,"")</f>
        <v/>
      </c>
      <c r="FS222" s="259" t="str">
        <f ca="1">IF(AND(AE222="SP DARE",AA222&lt;&gt;$FS$1,AA222&lt;&gt;$FT$1),MAX($FS$2:FS221)+1,IF(AND(GQ222="SP DARE",AA222&lt;&gt;$FS$1,AA222&lt;&gt;$FT$1),MAX($FS$2:FS221)+1,""))</f>
        <v/>
      </c>
      <c r="FT222" s="259" t="str">
        <f ca="1">IF(AND(AE222="SP AVERE",AA222&lt;&gt;$FU$1),MAX($FT$2:FT221)+1,IF(AND(GQ222="SP AVERE",AA222&lt;&gt;$FU$1),MAX($FT$2:FT221)+1,""))</f>
        <v/>
      </c>
      <c r="FU222" s="259">
        <f t="shared" ca="1" si="581"/>
        <v>0</v>
      </c>
      <c r="FV222" s="259">
        <f t="shared" si="582"/>
        <v>0</v>
      </c>
      <c r="FW222" s="259">
        <f ca="1">IFERROR(INDEX($FU$3:$FV$500,MATCH(ROWS($FW$3:FW222),$FU$3:$FU$500,0),2),0)</f>
        <v>0</v>
      </c>
      <c r="FX222" s="259">
        <f t="shared" ca="1" si="583"/>
        <v>0</v>
      </c>
      <c r="FY222" s="259">
        <f t="shared" ca="1" si="584"/>
        <v>0</v>
      </c>
      <c r="FZ222" s="259">
        <f ca="1">IF(FY222&gt;0,MAX($FZ$2:FZ221)+1,0)</f>
        <v>0</v>
      </c>
      <c r="GA222" s="259">
        <f ca="1">IFERROR(INDEX($FY$3:$FZ$500,MATCH(ROWS($GA$3:GA222),$FZ$3:$FZ$500,0),1),0)</f>
        <v>0</v>
      </c>
      <c r="GC222" s="259">
        <f t="shared" ca="1" si="585"/>
        <v>0</v>
      </c>
      <c r="GD222" s="259">
        <f t="shared" ca="1" si="586"/>
        <v>0</v>
      </c>
      <c r="GG222" s="259">
        <f t="shared" ca="1" si="587"/>
        <v>0</v>
      </c>
      <c r="GH222" s="259">
        <f t="shared" ca="1" si="588"/>
        <v>0</v>
      </c>
      <c r="GI222" s="259">
        <f t="shared" ca="1" si="589"/>
        <v>0</v>
      </c>
      <c r="GJ222" s="259">
        <f t="shared" ca="1" si="590"/>
        <v>0</v>
      </c>
      <c r="GK222" s="259">
        <f t="shared" ca="1" si="591"/>
        <v>0</v>
      </c>
      <c r="GL222" s="259">
        <f t="shared" ca="1" si="591"/>
        <v>0</v>
      </c>
      <c r="GM222" s="259">
        <f ca="1">IF(OR(GK222&gt;0,GL222&gt;0),MAX($GM$2:GM221)+1,0)</f>
        <v>0</v>
      </c>
      <c r="GN222" s="259" t="str">
        <f ca="1">IFERROR(INDEX($GD$3:$GM$400,MATCH(ROWS($GN$3:GN222),$GM$3:$GM$400,0),1),"")</f>
        <v/>
      </c>
      <c r="GO222" s="259" t="str">
        <f ca="1">IFERROR(INDEX($GD$3:$GM$400,MATCH(ROWS($GO$3:GO222),$GM$3:$GM$400,0),8),"")</f>
        <v/>
      </c>
      <c r="GP222" s="259" t="str">
        <f ca="1">IFERROR(INDEX($GD$3:$GM$400,MATCH(ROWS($GP$3:GP222),$GM$3:$GM$400,0),9),"")</f>
        <v/>
      </c>
      <c r="GQ222" s="259">
        <f t="shared" ca="1" si="535"/>
        <v>0</v>
      </c>
      <c r="GR222" s="259">
        <f t="shared" ca="1" si="592"/>
        <v>0</v>
      </c>
      <c r="GS222" s="259" t="str">
        <f t="shared" ca="1" si="593"/>
        <v/>
      </c>
      <c r="GT222" s="259" t="str">
        <f ca="1">IFERROR(INDEX($GD$3:$GS$400,MATCH(ROWS($GT$3:GT222),$GM$3:$GM$400,0),16),"")</f>
        <v/>
      </c>
      <c r="GU222" s="259">
        <f ca="1">IF(GQ222&lt;&gt;0,MAX($GU$2:$GU221)+1,0)</f>
        <v>0</v>
      </c>
      <c r="GV222" s="259">
        <f t="shared" ca="1" si="594"/>
        <v>0</v>
      </c>
      <c r="GW222" s="259" t="str">
        <f ca="1">IF(AND(IFERROR(INDEX($GU$3:$GV$400,MATCH(ROWS($GW$3:GW222),$GU$3:$GU$400,0),2),"")&lt;&gt;"",GW223&lt;&gt;""),CONCATENATE(IFERROR(INDEX($GU$3:$GV$400,MATCH(ROWS($GW$3:GW222),$GU$3:$GU$400,0),2),"")," - "),IFERROR(INDEX($GU$3:$GV$400,MATCH(ROWS($GW$3:GW222),$GU$3:$GU$400,0),2),""))</f>
        <v/>
      </c>
      <c r="GX222" s="259">
        <f ca="1">IF(OR(GN222="IVA NS/CREDITO",GN222="IVA NS/DEBITO",GN222="IVA C/ACCONTO",GN222="IMPOSTE C/ACCONTO"),MAX($GX$2:GX221)+1,0)</f>
        <v>0</v>
      </c>
      <c r="GY222" s="259" t="str">
        <f ca="1">IF(AND(IFERROR(INDEX($GN$3:$GX$200,MATCH(ROWS($GY$3:GY222),$GX$3:$GX$200,0),1),"")&lt;&gt;"",GY223&lt;&gt;""),CONCATENATE(IFERROR(INDEX($GN$3:$GX$200,MATCH(ROWS($GY$3:GY222),$GX$3:$GX$200,0),1),"")," - "),IFERROR(INDEX($GN$3:$GX$200,MATCH(ROWS($GY$3:GY222),$GX$3:$GX$200,0),1),""))</f>
        <v/>
      </c>
      <c r="HV222" s="259" t="str">
        <f ca="1">CONCATENATE(IFERROR(INDEX($HS$3:$HT$102,MATCH(ROWS($HV$3:HV222),$HT$3:$HT$102,0),1),""),HR222)</f>
        <v/>
      </c>
      <c r="IX222" s="259" t="str">
        <f t="shared" si="606"/>
        <v/>
      </c>
      <c r="IY222" s="259" t="str">
        <f t="shared" si="600"/>
        <v/>
      </c>
      <c r="IZ222" s="259" t="str">
        <f t="shared" si="608"/>
        <v/>
      </c>
      <c r="JA222" s="259" t="str">
        <f t="shared" ca="1" si="601"/>
        <v/>
      </c>
      <c r="JB222" s="259">
        <f t="shared" ca="1" si="536"/>
        <v>0</v>
      </c>
      <c r="JC222" s="259">
        <f t="shared" ca="1" si="504"/>
        <v>0</v>
      </c>
      <c r="JD222" s="259">
        <f t="shared" ca="1" si="505"/>
        <v>0</v>
      </c>
      <c r="JM222" s="259">
        <f t="shared" ca="1" si="506"/>
        <v>0</v>
      </c>
    </row>
    <row r="223" spans="1:273">
      <c r="B223" s="259">
        <f t="shared" si="538"/>
        <v>0</v>
      </c>
      <c r="AZ223" s="259" t="str">
        <f t="shared" ca="1" si="616"/>
        <v/>
      </c>
      <c r="BA223" s="259">
        <f t="shared" ca="1" si="484"/>
        <v>0</v>
      </c>
      <c r="BB223" s="259">
        <f t="shared" ca="1" si="617"/>
        <v>0</v>
      </c>
      <c r="BC223" s="259">
        <f t="shared" ca="1" si="618"/>
        <v>0</v>
      </c>
      <c r="BD223" s="259">
        <f t="shared" ca="1" si="619"/>
        <v>0</v>
      </c>
      <c r="BE223" s="259">
        <f t="shared" ca="1" si="620"/>
        <v>0</v>
      </c>
      <c r="BP223" s="259">
        <f>IF(BN223&lt;&gt;"",MAX(BP$2:$BP222)+1,0)</f>
        <v>0</v>
      </c>
      <c r="BQ223" s="259" t="str">
        <f ca="1">IF($EO$1=TRUE,"UTILE D'ESERCIZIO","SALDO ECONOMICO POSITIVO")</f>
        <v>UTILE D'ESERCIZIO</v>
      </c>
      <c r="BR223" s="259">
        <f ca="1">IF($CP$1&lt;$CM$1,$CM$1-$CP$1,0)</f>
        <v>0</v>
      </c>
      <c r="BU223" s="259">
        <f>IF(BS223&lt;&gt;"",MAX(BU$2:BU222)+1,0)</f>
        <v>0</v>
      </c>
      <c r="BV223" s="259" t="s">
        <v>248</v>
      </c>
      <c r="BW223" s="259">
        <f ca="1">IFERROR(SUM($BM$3:$BM$220)+$BW$222,"")</f>
        <v>0</v>
      </c>
      <c r="CX223" s="259">
        <f t="shared" ca="1" si="623"/>
        <v>13</v>
      </c>
      <c r="CY223" s="259" t="str">
        <f t="shared" ca="1" si="607"/>
        <v>MASTRO</v>
      </c>
      <c r="CZ223" s="259" t="e">
        <f t="shared" ca="1" si="625"/>
        <v>#N/A</v>
      </c>
      <c r="DA223" s="259" t="str">
        <f t="shared" ca="1" si="631"/>
        <v/>
      </c>
      <c r="DB223" s="259" t="str">
        <f t="shared" ca="1" si="626"/>
        <v/>
      </c>
      <c r="DC223" s="259" t="str">
        <f t="shared" ca="1" si="627"/>
        <v/>
      </c>
      <c r="DD223" s="259" t="str">
        <f t="shared" ca="1" si="628"/>
        <v/>
      </c>
      <c r="DE223" s="259" t="str">
        <f t="shared" ca="1" si="629"/>
        <v/>
      </c>
      <c r="DF223" s="259">
        <f ca="1">IF(AND(CX223=$DE$2,$DF$2&lt;&gt;0),0,IF(AND(DB223&lt;&gt;"",OR(DB222&lt;&gt;"",DB224&lt;&gt;"")),MAX($DF$2:DF222)+1,0))</f>
        <v>0</v>
      </c>
      <c r="DG223" s="259" t="str">
        <f>IF(IF(LIBRO_GIORNALE!E131="","",IFERROR(INDEX(PIANO_DEI_CONTI,MATCH(BB223,DENOMINAZIONE,0),1),0))=0,"",IF(LIBRO_GIORNALE!E131="","",IFERROR(INDEX(PIANO_DEI_CONTI,MATCH(BB223,DENOMINAZIONE,0),1),0)))</f>
        <v/>
      </c>
      <c r="DU223" s="259" t="str">
        <f t="shared" ca="1" si="630"/>
        <v/>
      </c>
      <c r="EC223" s="259">
        <f>IF(IF(DG223&lt;&gt;"",REPLACE(DG223,3,1,""),0)&lt;&gt;0,MAX(EC$2:EC222)+1,0)</f>
        <v>0</v>
      </c>
      <c r="ED223" s="259">
        <f t="shared" ca="1" si="529"/>
        <v>0</v>
      </c>
      <c r="EI223" s="260"/>
      <c r="EJ223" s="260"/>
      <c r="EK223" s="260"/>
      <c r="EL223" s="259">
        <f t="shared" si="577"/>
        <v>221</v>
      </c>
      <c r="EM223" s="259">
        <f ca="1">IF(AND(BA223&gt;0,BA223&lt;=$EM$1),MAX($EM$2:EM222)+1,0)</f>
        <v>0</v>
      </c>
      <c r="EN223" s="259">
        <f t="shared" ca="1" si="578"/>
        <v>223</v>
      </c>
      <c r="EP223" s="259" t="str">
        <f t="shared" ca="1" si="530"/>
        <v/>
      </c>
      <c r="EQ223" s="259">
        <f t="shared" ca="1" si="531"/>
        <v>0</v>
      </c>
      <c r="ER223" s="259">
        <f ca="1">IF(ISNA(EQ223),MAX(ER$2:ER222)+1,0)</f>
        <v>0</v>
      </c>
      <c r="ES223" s="259" t="str">
        <f t="shared" ca="1" si="579"/>
        <v/>
      </c>
      <c r="ET223" s="259" t="str">
        <f ca="1">IFERROR(UPPER(INDEX($ER$3:$ES$500,MATCH(ROWS(ET$3:ET223),$ER$3:$ER$500,0),2)),"")</f>
        <v/>
      </c>
      <c r="EW223" s="259">
        <f t="shared" ca="1" si="497"/>
        <v>1</v>
      </c>
      <c r="EX223" s="259">
        <v>121</v>
      </c>
      <c r="EY223" s="259">
        <f t="shared" ca="1" si="498"/>
        <v>0</v>
      </c>
      <c r="EZ223" s="259">
        <f t="shared" ca="1" si="499"/>
        <v>0</v>
      </c>
      <c r="FA223" s="259">
        <f t="shared" ca="1" si="500"/>
        <v>0</v>
      </c>
      <c r="FB223" s="259">
        <f t="shared" ca="1" si="501"/>
        <v>0</v>
      </c>
      <c r="FC223" s="259">
        <f t="shared" ca="1" si="502"/>
        <v>0</v>
      </c>
      <c r="FD223" s="259">
        <f t="shared" ca="1" si="532"/>
        <v>0</v>
      </c>
      <c r="FE223" s="259" t="str">
        <f t="shared" ca="1" si="533"/>
        <v/>
      </c>
      <c r="FF223" s="259" t="str">
        <f t="shared" ca="1" si="503"/>
        <v/>
      </c>
      <c r="FM223" s="259">
        <f t="shared" si="534"/>
        <v>0</v>
      </c>
      <c r="FN223" s="259">
        <f>IF(FM223&lt;0,MAX($FN$2:FN222)+1,0)</f>
        <v>0</v>
      </c>
      <c r="FO223" s="259" t="str">
        <f t="shared" si="580"/>
        <v/>
      </c>
      <c r="FP223" s="259" t="str">
        <f ca="1">IFERROR(INDEX($FN$3:$FO$400,MATCH(ROWS($FP$3:FP223),$FN$3:$FN$400,0),2),"")</f>
        <v/>
      </c>
      <c r="FQ223" s="259" t="str">
        <f>IF(AE223="SE AVERE",MAX($FQ$2:FQ222)+1,"")</f>
        <v/>
      </c>
      <c r="FR223" s="259" t="str">
        <f>IF(AE223="SE DARE",MAX($FR$2:FR222)+1,"")</f>
        <v/>
      </c>
      <c r="FS223" s="259" t="str">
        <f ca="1">IF(AND(AE223="SP DARE",AA223&lt;&gt;$FS$1,AA223&lt;&gt;$FT$1),MAX($FS$2:FS222)+1,IF(AND(GQ223="SP DARE",AA223&lt;&gt;$FS$1,AA223&lt;&gt;$FT$1),MAX($FS$2:FS222)+1,""))</f>
        <v/>
      </c>
      <c r="FT223" s="259" t="str">
        <f ca="1">IF(AND(AE223="SP AVERE",AA223&lt;&gt;$FU$1),MAX($FT$2:FT222)+1,IF(AND(GQ223="SP AVERE",AA223&lt;&gt;$FU$1),MAX($FT$2:FT222)+1,""))</f>
        <v/>
      </c>
      <c r="FU223" s="259">
        <f t="shared" ca="1" si="581"/>
        <v>0</v>
      </c>
      <c r="FV223" s="259">
        <f t="shared" si="582"/>
        <v>0</v>
      </c>
      <c r="FW223" s="259">
        <f ca="1">IFERROR(INDEX($FU$3:$FV$500,MATCH(ROWS($FW$3:FW223),$FU$3:$FU$500,0),2),0)</f>
        <v>0</v>
      </c>
      <c r="FX223" s="259">
        <f t="shared" ca="1" si="583"/>
        <v>0</v>
      </c>
      <c r="FY223" s="259">
        <f t="shared" ca="1" si="584"/>
        <v>0</v>
      </c>
      <c r="FZ223" s="259">
        <f ca="1">IF(FY223&gt;0,MAX($FZ$2:FZ222)+1,0)</f>
        <v>0</v>
      </c>
      <c r="GA223" s="259">
        <f ca="1">IFERROR(INDEX($FY$3:$FZ$500,MATCH(ROWS($GA$3:GA223),$FZ$3:$FZ$500,0),1),0)</f>
        <v>0</v>
      </c>
      <c r="GC223" s="259">
        <f t="shared" ca="1" si="585"/>
        <v>0</v>
      </c>
      <c r="GD223" s="259">
        <f t="shared" ca="1" si="586"/>
        <v>0</v>
      </c>
      <c r="GG223" s="259">
        <f t="shared" ca="1" si="587"/>
        <v>0</v>
      </c>
      <c r="GH223" s="259">
        <f t="shared" ca="1" si="588"/>
        <v>0</v>
      </c>
      <c r="GI223" s="259">
        <f t="shared" ca="1" si="589"/>
        <v>0</v>
      </c>
      <c r="GJ223" s="259">
        <f t="shared" ca="1" si="590"/>
        <v>0</v>
      </c>
      <c r="GK223" s="259">
        <f t="shared" ca="1" si="591"/>
        <v>0</v>
      </c>
      <c r="GL223" s="259">
        <f t="shared" ca="1" si="591"/>
        <v>0</v>
      </c>
      <c r="GM223" s="259">
        <f ca="1">IF(OR(GK223&gt;0,GL223&gt;0),MAX($GM$2:GM222)+1,0)</f>
        <v>0</v>
      </c>
      <c r="GN223" s="259" t="str">
        <f ca="1">IFERROR(INDEX($GD$3:$GM$400,MATCH(ROWS($GN$3:GN223),$GM$3:$GM$400,0),1),"")</f>
        <v/>
      </c>
      <c r="GO223" s="259" t="str">
        <f ca="1">IFERROR(INDEX($GD$3:$GM$400,MATCH(ROWS($GO$3:GO223),$GM$3:$GM$400,0),8),"")</f>
        <v/>
      </c>
      <c r="GP223" s="259" t="str">
        <f ca="1">IFERROR(INDEX($GD$3:$GM$400,MATCH(ROWS($GP$3:GP223),$GM$3:$GM$400,0),9),"")</f>
        <v/>
      </c>
      <c r="GQ223" s="259">
        <f t="shared" ca="1" si="535"/>
        <v>0</v>
      </c>
      <c r="GR223" s="259">
        <f t="shared" ca="1" si="592"/>
        <v>0</v>
      </c>
      <c r="GS223" s="259" t="str">
        <f t="shared" ca="1" si="593"/>
        <v/>
      </c>
      <c r="GT223" s="259" t="str">
        <f ca="1">IFERROR(INDEX($GD$3:$GS$400,MATCH(ROWS($GT$3:GT223),$GM$3:$GM$400,0),16),"")</f>
        <v/>
      </c>
      <c r="GU223" s="259">
        <f ca="1">IF(GQ223&lt;&gt;0,MAX($GU$2:$GU222)+1,0)</f>
        <v>0</v>
      </c>
      <c r="GV223" s="259">
        <f t="shared" ca="1" si="594"/>
        <v>0</v>
      </c>
      <c r="GW223" s="259" t="str">
        <f ca="1">IF(AND(IFERROR(INDEX($GU$3:$GV$400,MATCH(ROWS($GW$3:GW223),$GU$3:$GU$400,0),2),"")&lt;&gt;"",GW224&lt;&gt;""),CONCATENATE(IFERROR(INDEX($GU$3:$GV$400,MATCH(ROWS($GW$3:GW223),$GU$3:$GU$400,0),2),"")," - "),IFERROR(INDEX($GU$3:$GV$400,MATCH(ROWS($GW$3:GW223),$GU$3:$GU$400,0),2),""))</f>
        <v/>
      </c>
      <c r="GX223" s="259">
        <f ca="1">IF(OR(GN223="IVA NS/CREDITO",GN223="IVA NS/DEBITO",GN223="IVA C/ACCONTO",GN223="IMPOSTE C/ACCONTO"),MAX($GX$2:GX222)+1,0)</f>
        <v>0</v>
      </c>
      <c r="GY223" s="259" t="str">
        <f ca="1">IF(AND(IFERROR(INDEX($GN$3:$GX$200,MATCH(ROWS($GY$3:GY223),$GX$3:$GX$200,0),1),"")&lt;&gt;"",GY224&lt;&gt;""),CONCATENATE(IFERROR(INDEX($GN$3:$GX$200,MATCH(ROWS($GY$3:GY223),$GX$3:$GX$200,0),1),"")," - "),IFERROR(INDEX($GN$3:$GX$200,MATCH(ROWS($GY$3:GY223),$GX$3:$GX$200,0),1),""))</f>
        <v/>
      </c>
      <c r="HV223" s="259" t="str">
        <f ca="1">CONCATENATE(IFERROR(INDEX($HS$3:$HT$102,MATCH(ROWS($HV$3:HV223),$HT$3:$HT$102,0),1),""),HR223)</f>
        <v/>
      </c>
      <c r="IX223" s="259" t="str">
        <f t="shared" si="606"/>
        <v/>
      </c>
      <c r="IY223" s="259" t="str">
        <f t="shared" si="600"/>
        <v/>
      </c>
      <c r="IZ223" s="259" t="str">
        <f t="shared" si="608"/>
        <v/>
      </c>
      <c r="JA223" s="259" t="str">
        <f t="shared" ca="1" si="601"/>
        <v/>
      </c>
      <c r="JB223" s="259">
        <f t="shared" ca="1" si="536"/>
        <v>0</v>
      </c>
      <c r="JC223" s="259">
        <f t="shared" ca="1" si="504"/>
        <v>0</v>
      </c>
      <c r="JD223" s="259">
        <f t="shared" ca="1" si="505"/>
        <v>0</v>
      </c>
      <c r="JM223" s="259">
        <f t="shared" ca="1" si="506"/>
        <v>0</v>
      </c>
    </row>
    <row r="224" spans="1:273">
      <c r="AZ224" s="259" t="str">
        <f t="shared" ca="1" si="616"/>
        <v/>
      </c>
      <c r="BA224" s="259">
        <f t="shared" ca="1" si="484"/>
        <v>0</v>
      </c>
      <c r="BB224" s="259">
        <f t="shared" ca="1" si="617"/>
        <v>0</v>
      </c>
      <c r="BC224" s="259">
        <f t="shared" ca="1" si="618"/>
        <v>0</v>
      </c>
      <c r="BD224" s="259">
        <f t="shared" ca="1" si="619"/>
        <v>0</v>
      </c>
      <c r="BE224" s="259">
        <f t="shared" ca="1" si="620"/>
        <v>0</v>
      </c>
      <c r="BP224" s="259">
        <f>IF(BN224&lt;&gt;"",MAX(BP$2:$BP223)+1,0)</f>
        <v>0</v>
      </c>
      <c r="BQ224" s="259" t="s">
        <v>248</v>
      </c>
      <c r="BR224" s="259">
        <f ca="1">IFERROR(SUM($BJ$3:$BJ$220)+$BR$223,"")</f>
        <v>0</v>
      </c>
      <c r="BU224" s="259">
        <f>IF(BS224&lt;&gt;"",MAX(BU$2:BU223)+1,0)</f>
        <v>0</v>
      </c>
      <c r="CX224" s="259">
        <f t="shared" ca="1" si="623"/>
        <v>13</v>
      </c>
      <c r="CY224" s="259" t="str">
        <f t="shared" ca="1" si="607"/>
        <v>MASTRO</v>
      </c>
      <c r="CZ224" s="259" t="e">
        <f t="shared" ca="1" si="625"/>
        <v>#N/A</v>
      </c>
      <c r="DA224" s="259" t="str">
        <f t="shared" ca="1" si="631"/>
        <v/>
      </c>
      <c r="DB224" s="259" t="str">
        <f t="shared" ca="1" si="626"/>
        <v/>
      </c>
      <c r="DC224" s="259" t="str">
        <f t="shared" ca="1" si="627"/>
        <v/>
      </c>
      <c r="DD224" s="259" t="str">
        <f t="shared" ca="1" si="628"/>
        <v/>
      </c>
      <c r="DE224" s="259" t="str">
        <f t="shared" ca="1" si="629"/>
        <v/>
      </c>
      <c r="DF224" s="259">
        <f ca="1">IF(AND(CX224=$DE$2,$DF$2&lt;&gt;0),0,IF(AND(DB224&lt;&gt;"",OR(DB223&lt;&gt;"",DB225&lt;&gt;"")),MAX($DF$2:DF223)+1,0))</f>
        <v>0</v>
      </c>
      <c r="DG224" s="259" t="str">
        <f>IF(IF(LIBRO_GIORNALE!E132="","",IFERROR(INDEX(PIANO_DEI_CONTI,MATCH(BB224,DENOMINAZIONE,0),1),0))=0,"",IF(LIBRO_GIORNALE!E132="","",IFERROR(INDEX(PIANO_DEI_CONTI,MATCH(BB224,DENOMINAZIONE,0),1),0)))</f>
        <v/>
      </c>
      <c r="DU224" s="259" t="str">
        <f t="shared" ca="1" si="630"/>
        <v/>
      </c>
      <c r="EC224" s="259">
        <f>IF(IF(DG224&lt;&gt;"",REPLACE(DG224,3,1,""),0)&lt;&gt;0,MAX(EC$2:EC223)+1,0)</f>
        <v>0</v>
      </c>
      <c r="ED224" s="259">
        <f t="shared" ca="1" si="529"/>
        <v>0</v>
      </c>
      <c r="EI224" s="260"/>
      <c r="EJ224" s="260"/>
      <c r="EK224" s="260"/>
      <c r="EL224" s="259">
        <f t="shared" si="577"/>
        <v>222</v>
      </c>
      <c r="EM224" s="259">
        <f ca="1">IF(AND(BA224&gt;0,BA224&lt;=$EM$1),MAX($EM$2:EM223)+1,0)</f>
        <v>0</v>
      </c>
      <c r="EN224" s="259">
        <f t="shared" ca="1" si="578"/>
        <v>224</v>
      </c>
      <c r="EP224" s="259" t="str">
        <f t="shared" ca="1" si="530"/>
        <v/>
      </c>
      <c r="EQ224" s="259">
        <f t="shared" ca="1" si="531"/>
        <v>0</v>
      </c>
      <c r="ER224" s="259">
        <f ca="1">IF(ISNA(EQ224),MAX(ER$2:ER223)+1,0)</f>
        <v>0</v>
      </c>
      <c r="ES224" s="259" t="str">
        <f t="shared" ca="1" si="579"/>
        <v/>
      </c>
      <c r="ET224" s="259" t="str">
        <f ca="1">IFERROR(UPPER(INDEX($ER$3:$ES$500,MATCH(ROWS(ET$3:ET224),$ER$3:$ER$500,0),2)),"")</f>
        <v/>
      </c>
      <c r="EW224" s="259">
        <f t="shared" ca="1" si="497"/>
        <v>1</v>
      </c>
      <c r="EX224" s="259">
        <v>122</v>
      </c>
      <c r="EY224" s="259">
        <f t="shared" ca="1" si="498"/>
        <v>0</v>
      </c>
      <c r="EZ224" s="259">
        <f t="shared" ca="1" si="499"/>
        <v>0</v>
      </c>
      <c r="FA224" s="259">
        <f t="shared" ca="1" si="500"/>
        <v>0</v>
      </c>
      <c r="FB224" s="259">
        <f t="shared" ca="1" si="501"/>
        <v>0</v>
      </c>
      <c r="FC224" s="259">
        <f t="shared" ca="1" si="502"/>
        <v>0</v>
      </c>
      <c r="FD224" s="259">
        <f t="shared" ca="1" si="532"/>
        <v>0</v>
      </c>
      <c r="FE224" s="259" t="str">
        <f t="shared" ca="1" si="533"/>
        <v/>
      </c>
      <c r="FF224" s="259" t="str">
        <f t="shared" ca="1" si="503"/>
        <v/>
      </c>
      <c r="FM224" s="259">
        <f t="shared" si="534"/>
        <v>0</v>
      </c>
      <c r="FN224" s="259">
        <f>IF(FM224&lt;0,MAX($FN$2:FN223)+1,0)</f>
        <v>0</v>
      </c>
      <c r="FO224" s="259" t="str">
        <f t="shared" si="580"/>
        <v/>
      </c>
      <c r="FP224" s="259" t="str">
        <f ca="1">IFERROR(INDEX($FN$3:$FO$400,MATCH(ROWS($FP$3:FP224),$FN$3:$FN$400,0),2),"")</f>
        <v/>
      </c>
      <c r="FQ224" s="259" t="str">
        <f>IF(AE224="SE AVERE",MAX($FQ$2:FQ223)+1,"")</f>
        <v/>
      </c>
      <c r="FR224" s="259" t="str">
        <f>IF(AE224="SE DARE",MAX($FR$2:FR223)+1,"")</f>
        <v/>
      </c>
      <c r="FS224" s="259" t="str">
        <f ca="1">IF(AND(AE224="SP DARE",AA224&lt;&gt;$FS$1,AA224&lt;&gt;$FT$1),MAX($FS$2:FS223)+1,IF(AND(GQ224="SP DARE",AA224&lt;&gt;$FS$1,AA224&lt;&gt;$FT$1),MAX($FS$2:FS223)+1,""))</f>
        <v/>
      </c>
      <c r="FT224" s="259" t="str">
        <f ca="1">IF(AND(AE224="SP AVERE",AA224&lt;&gt;$FU$1),MAX($FT$2:FT223)+1,IF(AND(GQ224="SP AVERE",AA224&lt;&gt;$FU$1),MAX($FT$2:FT223)+1,""))</f>
        <v/>
      </c>
      <c r="FU224" s="259">
        <f t="shared" ca="1" si="581"/>
        <v>0</v>
      </c>
      <c r="FV224" s="259">
        <f t="shared" si="582"/>
        <v>0</v>
      </c>
      <c r="FW224" s="259">
        <f ca="1">IFERROR(INDEX($FU$3:$FV$500,MATCH(ROWS($FW$3:FW224),$FU$3:$FU$500,0),2),0)</f>
        <v>0</v>
      </c>
      <c r="FX224" s="259">
        <f t="shared" ca="1" si="583"/>
        <v>0</v>
      </c>
      <c r="FY224" s="259">
        <f t="shared" ca="1" si="584"/>
        <v>0</v>
      </c>
      <c r="FZ224" s="259">
        <f ca="1">IF(FY224&gt;0,MAX($FZ$2:FZ223)+1,0)</f>
        <v>0</v>
      </c>
      <c r="GA224" s="259">
        <f ca="1">IFERROR(INDEX($FY$3:$FZ$500,MATCH(ROWS($GA$3:GA224),$FZ$3:$FZ$500,0),1),0)</f>
        <v>0</v>
      </c>
      <c r="GC224" s="259">
        <f t="shared" ca="1" si="585"/>
        <v>0</v>
      </c>
      <c r="GD224" s="259">
        <f t="shared" ca="1" si="586"/>
        <v>0</v>
      </c>
      <c r="GG224" s="259">
        <f t="shared" ca="1" si="587"/>
        <v>0</v>
      </c>
      <c r="GH224" s="259">
        <f t="shared" ca="1" si="588"/>
        <v>0</v>
      </c>
      <c r="GI224" s="259">
        <f t="shared" ca="1" si="589"/>
        <v>0</v>
      </c>
      <c r="GJ224" s="259">
        <f t="shared" ca="1" si="590"/>
        <v>0</v>
      </c>
      <c r="GK224" s="259">
        <f t="shared" ca="1" si="591"/>
        <v>0</v>
      </c>
      <c r="GL224" s="259">
        <f t="shared" ca="1" si="591"/>
        <v>0</v>
      </c>
      <c r="GM224" s="259">
        <f ca="1">IF(OR(GK224&gt;0,GL224&gt;0),MAX($GM$2:GM223)+1,0)</f>
        <v>0</v>
      </c>
      <c r="GN224" s="259" t="str">
        <f ca="1">IFERROR(INDEX($GD$3:$GM$400,MATCH(ROWS($GN$3:GN224),$GM$3:$GM$400,0),1),"")</f>
        <v/>
      </c>
      <c r="GO224" s="259" t="str">
        <f ca="1">IFERROR(INDEX($GD$3:$GM$400,MATCH(ROWS($GO$3:GO224),$GM$3:$GM$400,0),8),"")</f>
        <v/>
      </c>
      <c r="GP224" s="259" t="str">
        <f ca="1">IFERROR(INDEX($GD$3:$GM$400,MATCH(ROWS($GP$3:GP224),$GM$3:$GM$400,0),9),"")</f>
        <v/>
      </c>
      <c r="GQ224" s="259">
        <f t="shared" ca="1" si="535"/>
        <v>0</v>
      </c>
      <c r="GR224" s="259">
        <f t="shared" ca="1" si="592"/>
        <v>0</v>
      </c>
      <c r="GS224" s="259" t="str">
        <f t="shared" ca="1" si="593"/>
        <v/>
      </c>
      <c r="GT224" s="259" t="str">
        <f ca="1">IFERROR(INDEX($GD$3:$GS$400,MATCH(ROWS($GT$3:GT224),$GM$3:$GM$400,0),16),"")</f>
        <v/>
      </c>
      <c r="GU224" s="259">
        <f ca="1">IF(GQ224&lt;&gt;0,MAX($GU$2:$GU223)+1,0)</f>
        <v>0</v>
      </c>
      <c r="GV224" s="259">
        <f t="shared" ca="1" si="594"/>
        <v>0</v>
      </c>
      <c r="GW224" s="259" t="str">
        <f ca="1">IF(AND(IFERROR(INDEX($GU$3:$GV$400,MATCH(ROWS($GW$3:GW224),$GU$3:$GU$400,0),2),"")&lt;&gt;"",GW225&lt;&gt;""),CONCATENATE(IFERROR(INDEX($GU$3:$GV$400,MATCH(ROWS($GW$3:GW224),$GU$3:$GU$400,0),2),"")," - "),IFERROR(INDEX($GU$3:$GV$400,MATCH(ROWS($GW$3:GW224),$GU$3:$GU$400,0),2),""))</f>
        <v/>
      </c>
      <c r="GX224" s="259">
        <f ca="1">IF(OR(GN224="IVA NS/CREDITO",GN224="IVA NS/DEBITO",GN224="IVA C/ACCONTO",GN224="IMPOSTE C/ACCONTO"),MAX($GX$2:GX223)+1,0)</f>
        <v>0</v>
      </c>
      <c r="GY224" s="259" t="str">
        <f ca="1">IF(AND(IFERROR(INDEX($GN$3:$GX$200,MATCH(ROWS($GY$3:GY224),$GX$3:$GX$200,0),1),"")&lt;&gt;"",GY225&lt;&gt;""),CONCATENATE(IFERROR(INDEX($GN$3:$GX$200,MATCH(ROWS($GY$3:GY224),$GX$3:$GX$200,0),1),"")," - "),IFERROR(INDEX($GN$3:$GX$200,MATCH(ROWS($GY$3:GY224),$GX$3:$GX$200,0),1),""))</f>
        <v/>
      </c>
      <c r="HV224" s="259" t="str">
        <f ca="1">CONCATENATE(IFERROR(INDEX($HS$3:$HT$102,MATCH(ROWS($HV$3:HV224),$HT$3:$HT$102,0),1),""),HR224)</f>
        <v/>
      </c>
      <c r="IX224" s="259" t="str">
        <f t="shared" si="606"/>
        <v/>
      </c>
      <c r="IY224" s="259" t="str">
        <f t="shared" si="600"/>
        <v/>
      </c>
      <c r="IZ224" s="259" t="str">
        <f t="shared" si="608"/>
        <v/>
      </c>
      <c r="JA224" s="259" t="str">
        <f t="shared" ca="1" si="601"/>
        <v/>
      </c>
      <c r="JB224" s="259">
        <f t="shared" ca="1" si="536"/>
        <v>0</v>
      </c>
      <c r="JC224" s="259">
        <f t="shared" ca="1" si="504"/>
        <v>0</v>
      </c>
      <c r="JD224" s="259">
        <f t="shared" ca="1" si="505"/>
        <v>0</v>
      </c>
      <c r="JM224" s="259">
        <f t="shared" ca="1" si="506"/>
        <v>0</v>
      </c>
    </row>
    <row r="225" spans="52:273">
      <c r="AZ225" s="259" t="str">
        <f t="shared" ca="1" si="616"/>
        <v/>
      </c>
      <c r="BA225" s="259">
        <f t="shared" ca="1" si="484"/>
        <v>0</v>
      </c>
      <c r="BB225" s="259">
        <f t="shared" ca="1" si="617"/>
        <v>0</v>
      </c>
      <c r="BC225" s="259">
        <f t="shared" ca="1" si="618"/>
        <v>0</v>
      </c>
      <c r="BD225" s="259">
        <f t="shared" ca="1" si="619"/>
        <v>0</v>
      </c>
      <c r="BE225" s="259">
        <f t="shared" ca="1" si="620"/>
        <v>0</v>
      </c>
      <c r="BP225" s="259">
        <f>IF(BN225&lt;&gt;"",MAX(BP$2:$BP224)+1,0)</f>
        <v>0</v>
      </c>
      <c r="BQ225" s="259" t="s">
        <v>262</v>
      </c>
      <c r="BR225" s="259">
        <f ca="1">IFERROR(SUM($BJ$3:$BJ$220)+$BR$223,"")</f>
        <v>0</v>
      </c>
      <c r="BU225" s="259">
        <f>IF(BS225&lt;&gt;"",MAX(BU$2:BU224)+1,0)</f>
        <v>0</v>
      </c>
      <c r="CX225" s="259">
        <f t="shared" ca="1" si="623"/>
        <v>13</v>
      </c>
      <c r="CY225" s="259" t="str">
        <f t="shared" ca="1" si="607"/>
        <v>MASTRO</v>
      </c>
      <c r="CZ225" s="259" t="e">
        <f t="shared" ca="1" si="625"/>
        <v>#N/A</v>
      </c>
      <c r="DA225" s="259" t="str">
        <f t="shared" ca="1" si="631"/>
        <v/>
      </c>
      <c r="DB225" s="259" t="str">
        <f t="shared" ca="1" si="626"/>
        <v/>
      </c>
      <c r="DC225" s="259" t="str">
        <f t="shared" ca="1" si="627"/>
        <v/>
      </c>
      <c r="DD225" s="259" t="str">
        <f t="shared" ca="1" si="628"/>
        <v/>
      </c>
      <c r="DE225" s="259" t="str">
        <f t="shared" ca="1" si="629"/>
        <v/>
      </c>
      <c r="DF225" s="259">
        <f ca="1">IF(AND(CX225=$DE$2,$DF$2&lt;&gt;0),0,IF(AND(DB225&lt;&gt;"",OR(DB224&lt;&gt;"",DB226&lt;&gt;"")),MAX($DF$2:DF224)+1,0))</f>
        <v>0</v>
      </c>
      <c r="DG225" s="259" t="str">
        <f>IF(IF(LIBRO_GIORNALE!E133="","",IFERROR(INDEX(PIANO_DEI_CONTI,MATCH(BB225,DENOMINAZIONE,0),1),0))=0,"",IF(LIBRO_GIORNALE!E133="","",IFERROR(INDEX(PIANO_DEI_CONTI,MATCH(BB225,DENOMINAZIONE,0),1),0)))</f>
        <v/>
      </c>
      <c r="DU225" s="259" t="str">
        <f t="shared" ca="1" si="630"/>
        <v/>
      </c>
      <c r="EC225" s="259">
        <f>IF(IF(DG225&lt;&gt;"",REPLACE(DG225,3,1,""),0)&lt;&gt;0,MAX(EC$2:EC224)+1,0)</f>
        <v>0</v>
      </c>
      <c r="ED225" s="259">
        <f t="shared" ca="1" si="529"/>
        <v>0</v>
      </c>
      <c r="EI225" s="260"/>
      <c r="EJ225" s="260"/>
      <c r="EK225" s="260"/>
      <c r="EL225" s="259">
        <f t="shared" si="577"/>
        <v>223</v>
      </c>
      <c r="EM225" s="259">
        <f ca="1">IF(AND(BA225&gt;0,BA225&lt;=$EM$1),MAX($EM$2:EM224)+1,0)</f>
        <v>0</v>
      </c>
      <c r="EN225" s="259">
        <f t="shared" ca="1" si="578"/>
        <v>225</v>
      </c>
      <c r="EP225" s="259" t="str">
        <f t="shared" ca="1" si="530"/>
        <v/>
      </c>
      <c r="EQ225" s="259">
        <f t="shared" ca="1" si="531"/>
        <v>0</v>
      </c>
      <c r="ER225" s="259">
        <f ca="1">IF(ISNA(EQ225),MAX(ER$2:ER224)+1,0)</f>
        <v>0</v>
      </c>
      <c r="ES225" s="259" t="str">
        <f t="shared" ca="1" si="579"/>
        <v/>
      </c>
      <c r="ET225" s="259" t="str">
        <f ca="1">IFERROR(UPPER(INDEX($ER$3:$ES$500,MATCH(ROWS(ET$3:ET225),$ER$3:$ER$500,0),2)),"")</f>
        <v/>
      </c>
      <c r="EW225" s="259">
        <f t="shared" ca="1" si="497"/>
        <v>1</v>
      </c>
      <c r="EX225" s="259">
        <v>123</v>
      </c>
      <c r="EY225" s="259">
        <f t="shared" ca="1" si="498"/>
        <v>0</v>
      </c>
      <c r="EZ225" s="259">
        <f t="shared" ca="1" si="499"/>
        <v>0</v>
      </c>
      <c r="FA225" s="259">
        <f t="shared" ca="1" si="500"/>
        <v>0</v>
      </c>
      <c r="FB225" s="259">
        <f t="shared" ca="1" si="501"/>
        <v>0</v>
      </c>
      <c r="FC225" s="259">
        <f t="shared" ca="1" si="502"/>
        <v>0</v>
      </c>
      <c r="FD225" s="259">
        <f t="shared" ca="1" si="532"/>
        <v>0</v>
      </c>
      <c r="FE225" s="259" t="str">
        <f t="shared" ca="1" si="533"/>
        <v/>
      </c>
      <c r="FF225" s="259" t="str">
        <f t="shared" ca="1" si="503"/>
        <v/>
      </c>
      <c r="FM225" s="259">
        <f t="shared" si="534"/>
        <v>0</v>
      </c>
      <c r="FN225" s="259">
        <f>IF(FM225&lt;0,MAX($FN$2:FN224)+1,0)</f>
        <v>0</v>
      </c>
      <c r="FO225" s="259" t="str">
        <f t="shared" si="580"/>
        <v/>
      </c>
      <c r="FP225" s="259" t="str">
        <f ca="1">IFERROR(INDEX($FN$3:$FO$400,MATCH(ROWS($FP$3:FP225),$FN$3:$FN$400,0),2),"")</f>
        <v/>
      </c>
      <c r="FQ225" s="259" t="str">
        <f>IF(AE225="SE AVERE",MAX($FQ$2:FQ224)+1,"")</f>
        <v/>
      </c>
      <c r="FR225" s="259" t="str">
        <f>IF(AE225="SE DARE",MAX($FR$2:FR224)+1,"")</f>
        <v/>
      </c>
      <c r="FS225" s="259" t="str">
        <f ca="1">IF(AND(AE225="SP DARE",AA225&lt;&gt;$FS$1,AA225&lt;&gt;$FT$1),MAX($FS$2:FS224)+1,IF(AND(GQ225="SP DARE",AA225&lt;&gt;$FS$1,AA225&lt;&gt;$FT$1),MAX($FS$2:FS224)+1,""))</f>
        <v/>
      </c>
      <c r="FT225" s="259" t="str">
        <f ca="1">IF(AND(AE225="SP AVERE",AA225&lt;&gt;$FU$1),MAX($FT$2:FT224)+1,IF(AND(GQ225="SP AVERE",AA225&lt;&gt;$FU$1),MAX($FT$2:FT224)+1,""))</f>
        <v/>
      </c>
      <c r="FU225" s="259">
        <f t="shared" ca="1" si="581"/>
        <v>0</v>
      </c>
      <c r="FV225" s="259">
        <f t="shared" si="582"/>
        <v>0</v>
      </c>
      <c r="FW225" s="259">
        <f ca="1">IFERROR(INDEX($FU$3:$FV$500,MATCH(ROWS($FW$3:FW225),$FU$3:$FU$500,0),2),0)</f>
        <v>0</v>
      </c>
      <c r="FX225" s="259">
        <f t="shared" ca="1" si="583"/>
        <v>0</v>
      </c>
      <c r="FY225" s="259">
        <f t="shared" ca="1" si="584"/>
        <v>0</v>
      </c>
      <c r="FZ225" s="259">
        <f ca="1">IF(FY225&gt;0,MAX($FZ$2:FZ224)+1,0)</f>
        <v>0</v>
      </c>
      <c r="GA225" s="259">
        <f ca="1">IFERROR(INDEX($FY$3:$FZ$500,MATCH(ROWS($GA$3:GA225),$FZ$3:$FZ$500,0),1),0)</f>
        <v>0</v>
      </c>
      <c r="GC225" s="259">
        <f t="shared" ca="1" si="585"/>
        <v>0</v>
      </c>
      <c r="GD225" s="259">
        <f t="shared" ca="1" si="586"/>
        <v>0</v>
      </c>
      <c r="GG225" s="259">
        <f t="shared" ca="1" si="587"/>
        <v>0</v>
      </c>
      <c r="GH225" s="259">
        <f t="shared" ca="1" si="588"/>
        <v>0</v>
      </c>
      <c r="GI225" s="259">
        <f t="shared" ca="1" si="589"/>
        <v>0</v>
      </c>
      <c r="GJ225" s="259">
        <f t="shared" ca="1" si="590"/>
        <v>0</v>
      </c>
      <c r="GK225" s="259">
        <f t="shared" ca="1" si="591"/>
        <v>0</v>
      </c>
      <c r="GL225" s="259">
        <f t="shared" ca="1" si="591"/>
        <v>0</v>
      </c>
      <c r="GM225" s="259">
        <f ca="1">IF(OR(GK225&gt;0,GL225&gt;0),MAX($GM$2:GM224)+1,0)</f>
        <v>0</v>
      </c>
      <c r="GN225" s="259" t="str">
        <f ca="1">IFERROR(INDEX($GD$3:$GM$400,MATCH(ROWS($GN$3:GN225),$GM$3:$GM$400,0),1),"")</f>
        <v/>
      </c>
      <c r="GO225" s="259" t="str">
        <f ca="1">IFERROR(INDEX($GD$3:$GM$400,MATCH(ROWS($GO$3:GO225),$GM$3:$GM$400,0),8),"")</f>
        <v/>
      </c>
      <c r="GP225" s="259" t="str">
        <f ca="1">IFERROR(INDEX($GD$3:$GM$400,MATCH(ROWS($GP$3:GP225),$GM$3:$GM$400,0),9),"")</f>
        <v/>
      </c>
      <c r="GQ225" s="259">
        <f t="shared" ca="1" si="535"/>
        <v>0</v>
      </c>
      <c r="GR225" s="259">
        <f t="shared" ca="1" si="592"/>
        <v>0</v>
      </c>
      <c r="GS225" s="259" t="str">
        <f t="shared" ca="1" si="593"/>
        <v/>
      </c>
      <c r="GT225" s="259" t="str">
        <f ca="1">IFERROR(INDEX($GD$3:$GS$400,MATCH(ROWS($GT$3:GT225),$GM$3:$GM$400,0),16),"")</f>
        <v/>
      </c>
      <c r="GU225" s="259">
        <f ca="1">IF(GQ225&lt;&gt;0,MAX($GU$2:$GU224)+1,0)</f>
        <v>0</v>
      </c>
      <c r="GV225" s="259">
        <f t="shared" ca="1" si="594"/>
        <v>0</v>
      </c>
      <c r="GW225" s="259" t="str">
        <f ca="1">IF(AND(IFERROR(INDEX($GU$3:$GV$400,MATCH(ROWS($GW$3:GW225),$GU$3:$GU$400,0),2),"")&lt;&gt;"",GW226&lt;&gt;""),CONCATENATE(IFERROR(INDEX($GU$3:$GV$400,MATCH(ROWS($GW$3:GW225),$GU$3:$GU$400,0),2),"")," - "),IFERROR(INDEX($GU$3:$GV$400,MATCH(ROWS($GW$3:GW225),$GU$3:$GU$400,0),2),""))</f>
        <v/>
      </c>
      <c r="GX225" s="259">
        <f ca="1">IF(OR(GN225="IVA NS/CREDITO",GN225="IVA NS/DEBITO",GN225="IVA C/ACCONTO",GN225="IMPOSTE C/ACCONTO"),MAX($GX$2:GX224)+1,0)</f>
        <v>0</v>
      </c>
      <c r="GY225" s="259" t="str">
        <f ca="1">IF(AND(IFERROR(INDEX($GN$3:$GX$200,MATCH(ROWS($GY$3:GY225),$GX$3:$GX$200,0),1),"")&lt;&gt;"",GY226&lt;&gt;""),CONCATENATE(IFERROR(INDEX($GN$3:$GX$200,MATCH(ROWS($GY$3:GY225),$GX$3:$GX$200,0),1),"")," - "),IFERROR(INDEX($GN$3:$GX$200,MATCH(ROWS($GY$3:GY225),$GX$3:$GX$200,0),1),""))</f>
        <v/>
      </c>
      <c r="HV225" s="259" t="str">
        <f ca="1">CONCATENATE(IFERROR(INDEX($HS$3:$HT$102,MATCH(ROWS($HV$3:HV225),$HT$3:$HT$102,0),1),""),HR225)</f>
        <v/>
      </c>
      <c r="IX225" s="259" t="str">
        <f t="shared" si="606"/>
        <v/>
      </c>
      <c r="IY225" s="259" t="str">
        <f t="shared" si="600"/>
        <v/>
      </c>
      <c r="IZ225" s="259" t="str">
        <f t="shared" si="608"/>
        <v/>
      </c>
      <c r="JA225" s="259" t="str">
        <f t="shared" ca="1" si="601"/>
        <v/>
      </c>
      <c r="JB225" s="259">
        <f t="shared" ca="1" si="536"/>
        <v>0</v>
      </c>
      <c r="JC225" s="259">
        <f t="shared" ca="1" si="504"/>
        <v>0</v>
      </c>
      <c r="JD225" s="259">
        <f t="shared" ca="1" si="505"/>
        <v>0</v>
      </c>
      <c r="JM225" s="259">
        <f t="shared" ca="1" si="506"/>
        <v>0</v>
      </c>
    </row>
    <row r="226" spans="52:273">
      <c r="AZ226" s="259" t="str">
        <f t="shared" ca="1" si="616"/>
        <v/>
      </c>
      <c r="BA226" s="259">
        <f t="shared" ca="1" si="484"/>
        <v>0</v>
      </c>
      <c r="BB226" s="259">
        <f t="shared" ca="1" si="617"/>
        <v>0</v>
      </c>
      <c r="BC226" s="259">
        <f t="shared" ca="1" si="618"/>
        <v>0</v>
      </c>
      <c r="BD226" s="259">
        <f t="shared" ca="1" si="619"/>
        <v>0</v>
      </c>
      <c r="BE226" s="259">
        <f t="shared" ca="1" si="620"/>
        <v>0</v>
      </c>
      <c r="CX226" s="259">
        <f t="shared" ca="1" si="623"/>
        <v>13</v>
      </c>
      <c r="CY226" s="259" t="str">
        <f t="shared" ca="1" si="607"/>
        <v>MASTRO</v>
      </c>
      <c r="CZ226" s="259" t="e">
        <f t="shared" ca="1" si="625"/>
        <v>#N/A</v>
      </c>
      <c r="DA226" s="259" t="str">
        <f t="shared" ca="1" si="631"/>
        <v/>
      </c>
      <c r="DB226" s="259" t="str">
        <f t="shared" ca="1" si="626"/>
        <v/>
      </c>
      <c r="DC226" s="259" t="str">
        <f t="shared" ca="1" si="627"/>
        <v/>
      </c>
      <c r="DD226" s="259" t="str">
        <f t="shared" ca="1" si="628"/>
        <v/>
      </c>
      <c r="DE226" s="259" t="str">
        <f t="shared" ca="1" si="629"/>
        <v/>
      </c>
      <c r="DF226" s="259">
        <f ca="1">IF(AND(CX226=$DE$2,$DF$2&lt;&gt;0),0,IF(AND(DB226&lt;&gt;"",OR(DB225&lt;&gt;"",DB227&lt;&gt;"")),MAX($DF$2:DF225)+1,0))</f>
        <v>0</v>
      </c>
      <c r="DG226" s="259" t="str">
        <f>IF(IF(LIBRO_GIORNALE!E134="","",IFERROR(INDEX(PIANO_DEI_CONTI,MATCH(BB226,DENOMINAZIONE,0),1),0))=0,"",IF(LIBRO_GIORNALE!E134="","",IFERROR(INDEX(PIANO_DEI_CONTI,MATCH(BB226,DENOMINAZIONE,0),1),0)))</f>
        <v/>
      </c>
      <c r="DU226" s="259" t="str">
        <f t="shared" ca="1" si="630"/>
        <v/>
      </c>
      <c r="EC226" s="259">
        <f>IF(IF(DG226&lt;&gt;"",REPLACE(DG226,3,1,""),0)&lt;&gt;0,MAX(EC$2:EC225)+1,0)</f>
        <v>0</v>
      </c>
      <c r="ED226" s="259">
        <f t="shared" ca="1" si="529"/>
        <v>0</v>
      </c>
      <c r="EI226" s="260"/>
      <c r="EJ226" s="260"/>
      <c r="EK226" s="260"/>
      <c r="EL226" s="259">
        <f t="shared" si="577"/>
        <v>224</v>
      </c>
      <c r="EM226" s="259">
        <f ca="1">IF(AND(BA226&gt;0,BA226&lt;=$EM$1),MAX($EM$2:EM225)+1,0)</f>
        <v>0</v>
      </c>
      <c r="EN226" s="259">
        <f t="shared" ca="1" si="578"/>
        <v>226</v>
      </c>
      <c r="EP226" s="259" t="str">
        <f t="shared" ca="1" si="530"/>
        <v/>
      </c>
      <c r="EQ226" s="259">
        <f t="shared" ca="1" si="531"/>
        <v>0</v>
      </c>
      <c r="ER226" s="259">
        <f ca="1">IF(ISNA(EQ226),MAX(ER$2:ER225)+1,0)</f>
        <v>0</v>
      </c>
      <c r="ES226" s="259" t="str">
        <f t="shared" ca="1" si="579"/>
        <v/>
      </c>
      <c r="ET226" s="259" t="str">
        <f ca="1">IFERROR(UPPER(INDEX($ER$3:$ES$500,MATCH(ROWS(ET$3:ET226),$ER$3:$ER$500,0),2)),"")</f>
        <v/>
      </c>
      <c r="EW226" s="259">
        <f t="shared" ca="1" si="497"/>
        <v>1</v>
      </c>
      <c r="EX226" s="259">
        <v>124</v>
      </c>
      <c r="EY226" s="259">
        <f t="shared" ca="1" si="498"/>
        <v>0</v>
      </c>
      <c r="EZ226" s="259">
        <f t="shared" ca="1" si="499"/>
        <v>0</v>
      </c>
      <c r="FA226" s="259">
        <f t="shared" ca="1" si="500"/>
        <v>0</v>
      </c>
      <c r="FB226" s="259">
        <f t="shared" ca="1" si="501"/>
        <v>0</v>
      </c>
      <c r="FC226" s="259">
        <f t="shared" ca="1" si="502"/>
        <v>0</v>
      </c>
      <c r="FD226" s="259">
        <f t="shared" ca="1" si="532"/>
        <v>0</v>
      </c>
      <c r="FE226" s="259" t="str">
        <f t="shared" ca="1" si="533"/>
        <v/>
      </c>
      <c r="FF226" s="259" t="str">
        <f t="shared" ca="1" si="503"/>
        <v/>
      </c>
      <c r="FM226" s="259">
        <f t="shared" si="534"/>
        <v>0</v>
      </c>
      <c r="FN226" s="259">
        <f>IF(FM226&lt;0,MAX($FN$2:FN225)+1,0)</f>
        <v>0</v>
      </c>
      <c r="FO226" s="259" t="str">
        <f t="shared" si="580"/>
        <v/>
      </c>
      <c r="FP226" s="259" t="str">
        <f ca="1">IFERROR(INDEX($FN$3:$FO$400,MATCH(ROWS($FP$3:FP226),$FN$3:$FN$400,0),2),"")</f>
        <v/>
      </c>
      <c r="FQ226" s="259" t="str">
        <f>IF(AE226="SE AVERE",MAX($FQ$2:FQ225)+1,"")</f>
        <v/>
      </c>
      <c r="FR226" s="259" t="str">
        <f>IF(AE226="SE DARE",MAX($FR$2:FR225)+1,"")</f>
        <v/>
      </c>
      <c r="FS226" s="259" t="str">
        <f ca="1">IF(AND(AE226="SP DARE",AA226&lt;&gt;$FS$1,AA226&lt;&gt;$FT$1),MAX($FS$2:FS225)+1,IF(AND(GQ226="SP DARE",AA226&lt;&gt;$FS$1,AA226&lt;&gt;$FT$1),MAX($FS$2:FS225)+1,""))</f>
        <v/>
      </c>
      <c r="FT226" s="259" t="str">
        <f ca="1">IF(AND(AE226="SP AVERE",AA226&lt;&gt;$FU$1),MAX($FT$2:FT225)+1,IF(AND(GQ226="SP AVERE",AA226&lt;&gt;$FU$1),MAX($FT$2:FT225)+1,""))</f>
        <v/>
      </c>
      <c r="FU226" s="259">
        <f t="shared" ca="1" si="581"/>
        <v>0</v>
      </c>
      <c r="FV226" s="259">
        <f t="shared" si="582"/>
        <v>0</v>
      </c>
      <c r="FW226" s="259">
        <f ca="1">IFERROR(INDEX($FU$3:$FV$500,MATCH(ROWS($FW$3:FW226),$FU$3:$FU$500,0),2),0)</f>
        <v>0</v>
      </c>
      <c r="FX226" s="259">
        <f t="shared" ca="1" si="583"/>
        <v>0</v>
      </c>
      <c r="FY226" s="259">
        <f t="shared" ca="1" si="584"/>
        <v>0</v>
      </c>
      <c r="FZ226" s="259">
        <f ca="1">IF(FY226&gt;0,MAX($FZ$2:FZ225)+1,0)</f>
        <v>0</v>
      </c>
      <c r="GA226" s="259">
        <f ca="1">IFERROR(INDEX($FY$3:$FZ$500,MATCH(ROWS($GA$3:GA226),$FZ$3:$FZ$500,0),1),0)</f>
        <v>0</v>
      </c>
      <c r="GC226" s="259">
        <f t="shared" ca="1" si="585"/>
        <v>0</v>
      </c>
      <c r="GD226" s="259">
        <f t="shared" ca="1" si="586"/>
        <v>0</v>
      </c>
      <c r="GG226" s="259">
        <f t="shared" ca="1" si="587"/>
        <v>0</v>
      </c>
      <c r="GH226" s="259">
        <f t="shared" ca="1" si="588"/>
        <v>0</v>
      </c>
      <c r="GI226" s="259">
        <f t="shared" ca="1" si="589"/>
        <v>0</v>
      </c>
      <c r="GJ226" s="259">
        <f t="shared" ca="1" si="590"/>
        <v>0</v>
      </c>
      <c r="GK226" s="259">
        <f t="shared" ca="1" si="591"/>
        <v>0</v>
      </c>
      <c r="GL226" s="259">
        <f t="shared" ca="1" si="591"/>
        <v>0</v>
      </c>
      <c r="GM226" s="259">
        <f ca="1">IF(OR(GK226&gt;0,GL226&gt;0),MAX($GM$2:GM225)+1,0)</f>
        <v>0</v>
      </c>
      <c r="GN226" s="259" t="str">
        <f ca="1">IFERROR(INDEX($GD$3:$GM$400,MATCH(ROWS($GN$3:GN226),$GM$3:$GM$400,0),1),"")</f>
        <v/>
      </c>
      <c r="GO226" s="259" t="str">
        <f ca="1">IFERROR(INDEX($GD$3:$GM$400,MATCH(ROWS($GO$3:GO226),$GM$3:$GM$400,0),8),"")</f>
        <v/>
      </c>
      <c r="GP226" s="259" t="str">
        <f ca="1">IFERROR(INDEX($GD$3:$GM$400,MATCH(ROWS($GP$3:GP226),$GM$3:$GM$400,0),9),"")</f>
        <v/>
      </c>
      <c r="GQ226" s="259">
        <f t="shared" ca="1" si="535"/>
        <v>0</v>
      </c>
      <c r="GR226" s="259">
        <f t="shared" ca="1" si="592"/>
        <v>0</v>
      </c>
      <c r="GS226" s="259" t="str">
        <f t="shared" ca="1" si="593"/>
        <v/>
      </c>
      <c r="GT226" s="259" t="str">
        <f ca="1">IFERROR(INDEX($GD$3:$GS$400,MATCH(ROWS($GT$3:GT226),$GM$3:$GM$400,0),16),"")</f>
        <v/>
      </c>
      <c r="GU226" s="259">
        <f ca="1">IF(GQ226&lt;&gt;0,MAX($GU$2:$GU225)+1,0)</f>
        <v>0</v>
      </c>
      <c r="GV226" s="259">
        <f t="shared" ca="1" si="594"/>
        <v>0</v>
      </c>
      <c r="GW226" s="259" t="str">
        <f ca="1">IF(AND(IFERROR(INDEX($GU$3:$GV$400,MATCH(ROWS($GW$3:GW226),$GU$3:$GU$400,0),2),"")&lt;&gt;"",GW227&lt;&gt;""),CONCATENATE(IFERROR(INDEX($GU$3:$GV$400,MATCH(ROWS($GW$3:GW226),$GU$3:$GU$400,0),2),"")," - "),IFERROR(INDEX($GU$3:$GV$400,MATCH(ROWS($GW$3:GW226),$GU$3:$GU$400,0),2),""))</f>
        <v/>
      </c>
      <c r="GX226" s="259">
        <f ca="1">IF(OR(GN226="IVA NS/CREDITO",GN226="IVA NS/DEBITO",GN226="IVA C/ACCONTO",GN226="IMPOSTE C/ACCONTO"),MAX($GX$2:GX225)+1,0)</f>
        <v>0</v>
      </c>
      <c r="GY226" s="259" t="str">
        <f ca="1">IF(AND(IFERROR(INDEX($GN$3:$GX$200,MATCH(ROWS($GY$3:GY226),$GX$3:$GX$200,0),1),"")&lt;&gt;"",GY227&lt;&gt;""),CONCATENATE(IFERROR(INDEX($GN$3:$GX$200,MATCH(ROWS($GY$3:GY226),$GX$3:$GX$200,0),1),"")," - "),IFERROR(INDEX($GN$3:$GX$200,MATCH(ROWS($GY$3:GY226),$GX$3:$GX$200,0),1),""))</f>
        <v/>
      </c>
      <c r="HV226" s="259" t="str">
        <f ca="1">CONCATENATE(IFERROR(INDEX($HS$3:$HT$102,MATCH(ROWS($HV$3:HV226),$HT$3:$HT$102,0),1),""),HR226)</f>
        <v/>
      </c>
      <c r="IX226" s="259" t="str">
        <f t="shared" si="606"/>
        <v/>
      </c>
      <c r="IY226" s="259" t="str">
        <f t="shared" si="600"/>
        <v/>
      </c>
      <c r="IZ226" s="259" t="str">
        <f t="shared" si="608"/>
        <v/>
      </c>
      <c r="JA226" s="259" t="str">
        <f t="shared" ca="1" si="601"/>
        <v/>
      </c>
      <c r="JB226" s="259">
        <f t="shared" ca="1" si="536"/>
        <v>0</v>
      </c>
      <c r="JC226" s="259">
        <f t="shared" ca="1" si="504"/>
        <v>0</v>
      </c>
      <c r="JD226" s="259">
        <f t="shared" ca="1" si="505"/>
        <v>0</v>
      </c>
      <c r="JM226" s="259">
        <f t="shared" ca="1" si="506"/>
        <v>0</v>
      </c>
    </row>
    <row r="227" spans="52:273">
      <c r="AZ227" s="259" t="str">
        <f t="shared" ca="1" si="616"/>
        <v/>
      </c>
      <c r="BA227" s="259">
        <f t="shared" ca="1" si="484"/>
        <v>0</v>
      </c>
      <c r="BB227" s="259">
        <f t="shared" ca="1" si="617"/>
        <v>0</v>
      </c>
      <c r="BC227" s="259">
        <f t="shared" ca="1" si="618"/>
        <v>0</v>
      </c>
      <c r="BD227" s="259">
        <f t="shared" ca="1" si="619"/>
        <v>0</v>
      </c>
      <c r="BE227" s="259">
        <f t="shared" ca="1" si="620"/>
        <v>0</v>
      </c>
      <c r="CX227" s="259">
        <f t="shared" ca="1" si="623"/>
        <v>13</v>
      </c>
      <c r="CY227" s="259" t="str">
        <f t="shared" ca="1" si="607"/>
        <v>MASTRO</v>
      </c>
      <c r="CZ227" s="259" t="e">
        <f t="shared" ca="1" si="625"/>
        <v>#N/A</v>
      </c>
      <c r="DA227" s="259" t="str">
        <f t="shared" ca="1" si="631"/>
        <v/>
      </c>
      <c r="DB227" s="259" t="str">
        <f t="shared" ca="1" si="626"/>
        <v/>
      </c>
      <c r="DC227" s="259" t="str">
        <f t="shared" ca="1" si="627"/>
        <v/>
      </c>
      <c r="DD227" s="259" t="str">
        <f t="shared" ca="1" si="628"/>
        <v/>
      </c>
      <c r="DE227" s="259" t="str">
        <f t="shared" ca="1" si="629"/>
        <v/>
      </c>
      <c r="DF227" s="259">
        <f ca="1">IF(AND(CX227=$DE$2,$DF$2&lt;&gt;0),0,IF(AND(DB227&lt;&gt;"",OR(DB226&lt;&gt;"",DB228&lt;&gt;"")),MAX($DF$2:DF226)+1,0))</f>
        <v>0</v>
      </c>
      <c r="DG227" s="259" t="str">
        <f>IF(IF(LIBRO_GIORNALE!E135="","",IFERROR(INDEX(PIANO_DEI_CONTI,MATCH(BB227,DENOMINAZIONE,0),1),0))=0,"",IF(LIBRO_GIORNALE!E135="","",IFERROR(INDEX(PIANO_DEI_CONTI,MATCH(BB227,DENOMINAZIONE,0),1),0)))</f>
        <v/>
      </c>
      <c r="DU227" s="259" t="str">
        <f t="shared" ca="1" si="630"/>
        <v/>
      </c>
      <c r="EC227" s="259">
        <f>IF(IF(DG227&lt;&gt;"",REPLACE(DG227,3,1,""),0)&lt;&gt;0,MAX(EC$2:EC226)+1,0)</f>
        <v>0</v>
      </c>
      <c r="ED227" s="259">
        <f t="shared" ca="1" si="529"/>
        <v>0</v>
      </c>
      <c r="EI227" s="260"/>
      <c r="EJ227" s="260"/>
      <c r="EK227" s="260"/>
      <c r="EL227" s="259">
        <f t="shared" si="577"/>
        <v>225</v>
      </c>
      <c r="EM227" s="259">
        <f ca="1">IF(AND(BA227&gt;0,BA227&lt;=$EM$1),MAX($EM$2:EM226)+1,0)</f>
        <v>0</v>
      </c>
      <c r="EN227" s="259">
        <f t="shared" ca="1" si="578"/>
        <v>227</v>
      </c>
      <c r="EP227" s="259" t="str">
        <f t="shared" ca="1" si="530"/>
        <v/>
      </c>
      <c r="EQ227" s="259">
        <f t="shared" ca="1" si="531"/>
        <v>0</v>
      </c>
      <c r="ER227" s="259">
        <f ca="1">IF(ISNA(EQ227),MAX(ER$2:ER226)+1,0)</f>
        <v>0</v>
      </c>
      <c r="ES227" s="259" t="str">
        <f t="shared" ca="1" si="579"/>
        <v/>
      </c>
      <c r="ET227" s="259" t="str">
        <f ca="1">IFERROR(UPPER(INDEX($ER$3:$ES$500,MATCH(ROWS(ET$3:ET227),$ER$3:$ER$500,0),2)),"")</f>
        <v/>
      </c>
      <c r="EW227" s="259">
        <f t="shared" ca="1" si="497"/>
        <v>1</v>
      </c>
      <c r="EX227" s="259">
        <v>125</v>
      </c>
      <c r="EY227" s="259">
        <f t="shared" ca="1" si="498"/>
        <v>0</v>
      </c>
      <c r="EZ227" s="259">
        <f t="shared" ca="1" si="499"/>
        <v>0</v>
      </c>
      <c r="FA227" s="259">
        <f t="shared" ca="1" si="500"/>
        <v>0</v>
      </c>
      <c r="FB227" s="259">
        <f t="shared" ca="1" si="501"/>
        <v>0</v>
      </c>
      <c r="FC227" s="259">
        <f t="shared" ca="1" si="502"/>
        <v>0</v>
      </c>
      <c r="FD227" s="259">
        <f t="shared" ca="1" si="532"/>
        <v>0</v>
      </c>
      <c r="FE227" s="259" t="str">
        <f t="shared" ca="1" si="533"/>
        <v/>
      </c>
      <c r="FF227" s="259" t="str">
        <f t="shared" ca="1" si="503"/>
        <v/>
      </c>
      <c r="FM227" s="259">
        <f t="shared" si="534"/>
        <v>0</v>
      </c>
      <c r="FN227" s="259">
        <f>IF(FM227&lt;0,MAX($FN$2:FN226)+1,0)</f>
        <v>0</v>
      </c>
      <c r="FO227" s="259" t="str">
        <f t="shared" si="580"/>
        <v/>
      </c>
      <c r="FP227" s="259" t="str">
        <f ca="1">IFERROR(INDEX($FN$3:$FO$400,MATCH(ROWS($FP$3:FP227),$FN$3:$FN$400,0),2),"")</f>
        <v/>
      </c>
      <c r="FQ227" s="259" t="str">
        <f>IF(AE227="SE AVERE",MAX($FQ$2:FQ226)+1,"")</f>
        <v/>
      </c>
      <c r="FR227" s="259" t="str">
        <f>IF(AE227="SE DARE",MAX($FR$2:FR226)+1,"")</f>
        <v/>
      </c>
      <c r="FS227" s="259" t="str">
        <f ca="1">IF(AND(AE227="SP DARE",AA227&lt;&gt;$FS$1,AA227&lt;&gt;$FT$1),MAX($FS$2:FS226)+1,IF(AND(GQ227="SP DARE",AA227&lt;&gt;$FS$1,AA227&lt;&gt;$FT$1),MAX($FS$2:FS226)+1,""))</f>
        <v/>
      </c>
      <c r="FT227" s="259" t="str">
        <f ca="1">IF(AND(AE227="SP AVERE",AA227&lt;&gt;$FU$1),MAX($FT$2:FT226)+1,IF(AND(GQ227="SP AVERE",AA227&lt;&gt;$FU$1),MAX($FT$2:FT226)+1,""))</f>
        <v/>
      </c>
      <c r="FU227" s="259">
        <f t="shared" ca="1" si="581"/>
        <v>0</v>
      </c>
      <c r="FV227" s="259">
        <f t="shared" si="582"/>
        <v>0</v>
      </c>
      <c r="FW227" s="259">
        <f ca="1">IFERROR(INDEX($FU$3:$FV$500,MATCH(ROWS($FW$3:FW227),$FU$3:$FU$500,0),2),0)</f>
        <v>0</v>
      </c>
      <c r="FX227" s="259">
        <f t="shared" ca="1" si="583"/>
        <v>0</v>
      </c>
      <c r="FY227" s="259">
        <f t="shared" ca="1" si="584"/>
        <v>0</v>
      </c>
      <c r="FZ227" s="259">
        <f ca="1">IF(FY227&gt;0,MAX($FZ$2:FZ226)+1,0)</f>
        <v>0</v>
      </c>
      <c r="GA227" s="259">
        <f ca="1">IFERROR(INDEX($FY$3:$FZ$500,MATCH(ROWS($GA$3:GA227),$FZ$3:$FZ$500,0),1),0)</f>
        <v>0</v>
      </c>
      <c r="GC227" s="259">
        <f t="shared" ca="1" si="585"/>
        <v>0</v>
      </c>
      <c r="GD227" s="259">
        <f t="shared" ca="1" si="586"/>
        <v>0</v>
      </c>
      <c r="GG227" s="259">
        <f t="shared" ca="1" si="587"/>
        <v>0</v>
      </c>
      <c r="GH227" s="259">
        <f t="shared" ca="1" si="588"/>
        <v>0</v>
      </c>
      <c r="GI227" s="259">
        <f t="shared" ca="1" si="589"/>
        <v>0</v>
      </c>
      <c r="GJ227" s="259">
        <f t="shared" ca="1" si="590"/>
        <v>0</v>
      </c>
      <c r="GK227" s="259">
        <f t="shared" ca="1" si="591"/>
        <v>0</v>
      </c>
      <c r="GL227" s="259">
        <f t="shared" ca="1" si="591"/>
        <v>0</v>
      </c>
      <c r="GM227" s="259">
        <f ca="1">IF(OR(GK227&gt;0,GL227&gt;0),MAX($GM$2:GM226)+1,0)</f>
        <v>0</v>
      </c>
      <c r="GN227" s="259" t="str">
        <f ca="1">IFERROR(INDEX($GD$3:$GM$400,MATCH(ROWS($GN$3:GN227),$GM$3:$GM$400,0),1),"")</f>
        <v/>
      </c>
      <c r="GO227" s="259" t="str">
        <f ca="1">IFERROR(INDEX($GD$3:$GM$400,MATCH(ROWS($GO$3:GO227),$GM$3:$GM$400,0),8),"")</f>
        <v/>
      </c>
      <c r="GP227" s="259" t="str">
        <f ca="1">IFERROR(INDEX($GD$3:$GM$400,MATCH(ROWS($GP$3:GP227),$GM$3:$GM$400,0),9),"")</f>
        <v/>
      </c>
      <c r="GQ227" s="259">
        <f t="shared" ca="1" si="535"/>
        <v>0</v>
      </c>
      <c r="GR227" s="259">
        <f t="shared" ca="1" si="592"/>
        <v>0</v>
      </c>
      <c r="GS227" s="259" t="str">
        <f t="shared" ca="1" si="593"/>
        <v/>
      </c>
      <c r="GT227" s="259" t="str">
        <f ca="1">IFERROR(INDEX($GD$3:$GS$400,MATCH(ROWS($GT$3:GT227),$GM$3:$GM$400,0),16),"")</f>
        <v/>
      </c>
      <c r="GU227" s="259">
        <f ca="1">IF(GQ227&lt;&gt;0,MAX($GU$2:$GU226)+1,0)</f>
        <v>0</v>
      </c>
      <c r="GV227" s="259">
        <f t="shared" ca="1" si="594"/>
        <v>0</v>
      </c>
      <c r="GW227" s="259" t="str">
        <f ca="1">IF(AND(IFERROR(INDEX($GU$3:$GV$400,MATCH(ROWS($GW$3:GW227),$GU$3:$GU$400,0),2),"")&lt;&gt;"",GW228&lt;&gt;""),CONCATENATE(IFERROR(INDEX($GU$3:$GV$400,MATCH(ROWS($GW$3:GW227),$GU$3:$GU$400,0),2),"")," - "),IFERROR(INDEX($GU$3:$GV$400,MATCH(ROWS($GW$3:GW227),$GU$3:$GU$400,0),2),""))</f>
        <v/>
      </c>
      <c r="GX227" s="259">
        <f ca="1">IF(OR(GN227="IVA NS/CREDITO",GN227="IVA NS/DEBITO",GN227="IVA C/ACCONTO",GN227="IMPOSTE C/ACCONTO"),MAX($GX$2:GX226)+1,0)</f>
        <v>0</v>
      </c>
      <c r="GY227" s="259" t="str">
        <f ca="1">IF(AND(IFERROR(INDEX($GN$3:$GX$200,MATCH(ROWS($GY$3:GY227),$GX$3:$GX$200,0),1),"")&lt;&gt;"",GY228&lt;&gt;""),CONCATENATE(IFERROR(INDEX($GN$3:$GX$200,MATCH(ROWS($GY$3:GY227),$GX$3:$GX$200,0),1),"")," - "),IFERROR(INDEX($GN$3:$GX$200,MATCH(ROWS($GY$3:GY227),$GX$3:$GX$200,0),1),""))</f>
        <v/>
      </c>
      <c r="HV227" s="259" t="str">
        <f ca="1">CONCATENATE(IFERROR(INDEX($HS$3:$HT$102,MATCH(ROWS($HV$3:HV227),$HT$3:$HT$102,0),1),""),HR227)</f>
        <v/>
      </c>
      <c r="IX227" s="259" t="str">
        <f t="shared" si="606"/>
        <v/>
      </c>
      <c r="IY227" s="259" t="str">
        <f t="shared" si="600"/>
        <v/>
      </c>
      <c r="IZ227" s="259" t="str">
        <f t="shared" si="608"/>
        <v/>
      </c>
      <c r="JA227" s="259" t="str">
        <f t="shared" ca="1" si="601"/>
        <v/>
      </c>
      <c r="JB227" s="259">
        <f t="shared" ca="1" si="536"/>
        <v>0</v>
      </c>
      <c r="JC227" s="259">
        <f t="shared" ca="1" si="504"/>
        <v>0</v>
      </c>
      <c r="JD227" s="259">
        <f t="shared" ca="1" si="505"/>
        <v>0</v>
      </c>
      <c r="JM227" s="259">
        <f t="shared" ca="1" si="506"/>
        <v>0</v>
      </c>
    </row>
    <row r="228" spans="52:273">
      <c r="AZ228" s="259" t="str">
        <f t="shared" ca="1" si="616"/>
        <v/>
      </c>
      <c r="BA228" s="259">
        <f t="shared" ca="1" si="484"/>
        <v>0</v>
      </c>
      <c r="BB228" s="259">
        <f t="shared" ca="1" si="617"/>
        <v>0</v>
      </c>
      <c r="BC228" s="259">
        <f t="shared" ca="1" si="618"/>
        <v>0</v>
      </c>
      <c r="BD228" s="259">
        <f t="shared" ca="1" si="619"/>
        <v>0</v>
      </c>
      <c r="BE228" s="259">
        <f t="shared" ca="1" si="620"/>
        <v>0</v>
      </c>
      <c r="CX228" s="259">
        <f t="shared" ca="1" si="623"/>
        <v>13</v>
      </c>
      <c r="CY228" s="259" t="str">
        <f t="shared" ca="1" si="607"/>
        <v>MASTRO</v>
      </c>
      <c r="CZ228" s="259" t="e">
        <f t="shared" ca="1" si="625"/>
        <v>#N/A</v>
      </c>
      <c r="DA228" s="259" t="str">
        <f t="shared" ca="1" si="631"/>
        <v/>
      </c>
      <c r="DB228" s="259" t="str">
        <f t="shared" ca="1" si="626"/>
        <v/>
      </c>
      <c r="DC228" s="259" t="str">
        <f t="shared" ca="1" si="627"/>
        <v/>
      </c>
      <c r="DD228" s="259" t="str">
        <f t="shared" ca="1" si="628"/>
        <v/>
      </c>
      <c r="DE228" s="259" t="str">
        <f t="shared" ca="1" si="629"/>
        <v/>
      </c>
      <c r="DF228" s="259">
        <f ca="1">IF(AND(CX228=$DE$2,$DF$2&lt;&gt;0),0,IF(AND(DB228&lt;&gt;"",OR(DB227&lt;&gt;"",DB229&lt;&gt;"")),MAX($DF$2:DF227)+1,0))</f>
        <v>0</v>
      </c>
      <c r="DG228" s="259" t="str">
        <f>IF(IF(LIBRO_GIORNALE!E136="","",IFERROR(INDEX(PIANO_DEI_CONTI,MATCH(BB228,DENOMINAZIONE,0),1),0))=0,"",IF(LIBRO_GIORNALE!E136="","",IFERROR(INDEX(PIANO_DEI_CONTI,MATCH(BB228,DENOMINAZIONE,0),1),0)))</f>
        <v/>
      </c>
      <c r="DU228" s="259" t="str">
        <f t="shared" ca="1" si="630"/>
        <v/>
      </c>
      <c r="EC228" s="259">
        <f>IF(IF(DG228&lt;&gt;"",REPLACE(DG228,3,1,""),0)&lt;&gt;0,MAX(EC$2:EC227)+1,0)</f>
        <v>0</v>
      </c>
      <c r="ED228" s="259">
        <f t="shared" ca="1" si="529"/>
        <v>0</v>
      </c>
      <c r="EI228" s="260"/>
      <c r="EJ228" s="260"/>
      <c r="EK228" s="260"/>
      <c r="EL228" s="259">
        <f t="shared" si="577"/>
        <v>226</v>
      </c>
      <c r="EM228" s="259">
        <f ca="1">IF(AND(BA228&gt;0,BA228&lt;=$EM$1),MAX($EM$2:EM227)+1,0)</f>
        <v>0</v>
      </c>
      <c r="EN228" s="259">
        <f t="shared" ca="1" si="578"/>
        <v>228</v>
      </c>
      <c r="EP228" s="259" t="str">
        <f t="shared" ca="1" si="530"/>
        <v/>
      </c>
      <c r="EQ228" s="259">
        <f t="shared" ca="1" si="531"/>
        <v>0</v>
      </c>
      <c r="ER228" s="259">
        <f ca="1">IF(ISNA(EQ228),MAX(ER$2:ER227)+1,0)</f>
        <v>0</v>
      </c>
      <c r="ES228" s="259" t="str">
        <f t="shared" ca="1" si="579"/>
        <v/>
      </c>
      <c r="ET228" s="259" t="str">
        <f ca="1">IFERROR(UPPER(INDEX($ER$3:$ES$500,MATCH(ROWS(ET$3:ET228),$ER$3:$ER$500,0),2)),"")</f>
        <v/>
      </c>
      <c r="EW228" s="259">
        <f t="shared" ca="1" si="497"/>
        <v>1</v>
      </c>
      <c r="EX228" s="259">
        <v>126</v>
      </c>
      <c r="EY228" s="259">
        <f t="shared" ca="1" si="498"/>
        <v>0</v>
      </c>
      <c r="EZ228" s="259">
        <f t="shared" ca="1" si="499"/>
        <v>0</v>
      </c>
      <c r="FA228" s="259">
        <f t="shared" ca="1" si="500"/>
        <v>0</v>
      </c>
      <c r="FB228" s="259">
        <f t="shared" ca="1" si="501"/>
        <v>0</v>
      </c>
      <c r="FC228" s="259">
        <f t="shared" ca="1" si="502"/>
        <v>0</v>
      </c>
      <c r="FD228" s="259">
        <f t="shared" ca="1" si="532"/>
        <v>0</v>
      </c>
      <c r="FE228" s="259" t="str">
        <f t="shared" ca="1" si="533"/>
        <v/>
      </c>
      <c r="FF228" s="259" t="str">
        <f t="shared" ca="1" si="503"/>
        <v/>
      </c>
      <c r="FM228" s="259">
        <f t="shared" si="534"/>
        <v>0</v>
      </c>
      <c r="FN228" s="259">
        <f>IF(FM228&lt;0,MAX($FN$2:FN227)+1,0)</f>
        <v>0</v>
      </c>
      <c r="FO228" s="259" t="str">
        <f t="shared" si="580"/>
        <v/>
      </c>
      <c r="FP228" s="259" t="str">
        <f ca="1">IFERROR(INDEX($FN$3:$FO$400,MATCH(ROWS($FP$3:FP228),$FN$3:$FN$400,0),2),"")</f>
        <v/>
      </c>
      <c r="FQ228" s="259" t="str">
        <f>IF(AE228="SE AVERE",MAX($FQ$2:FQ227)+1,"")</f>
        <v/>
      </c>
      <c r="FR228" s="259" t="str">
        <f>IF(AE228="SE DARE",MAX($FR$2:FR227)+1,"")</f>
        <v/>
      </c>
      <c r="FS228" s="259" t="str">
        <f ca="1">IF(AND(AE228="SP DARE",AA228&lt;&gt;$FS$1,AA228&lt;&gt;$FT$1),MAX($FS$2:FS227)+1,IF(AND(GQ228="SP DARE",AA228&lt;&gt;$FS$1,AA228&lt;&gt;$FT$1),MAX($FS$2:FS227)+1,""))</f>
        <v/>
      </c>
      <c r="FT228" s="259" t="str">
        <f ca="1">IF(AND(AE228="SP AVERE",AA228&lt;&gt;$FU$1),MAX($FT$2:FT227)+1,IF(AND(GQ228="SP AVERE",AA228&lt;&gt;$FU$1),MAX($FT$2:FT227)+1,""))</f>
        <v/>
      </c>
      <c r="FU228" s="259">
        <f t="shared" ca="1" si="581"/>
        <v>0</v>
      </c>
      <c r="FV228" s="259">
        <f t="shared" si="582"/>
        <v>0</v>
      </c>
      <c r="FW228" s="259">
        <f ca="1">IFERROR(INDEX($FU$3:$FV$500,MATCH(ROWS($FW$3:FW228),$FU$3:$FU$500,0),2),0)</f>
        <v>0</v>
      </c>
      <c r="FX228" s="259">
        <f t="shared" ca="1" si="583"/>
        <v>0</v>
      </c>
      <c r="FY228" s="259">
        <f t="shared" ca="1" si="584"/>
        <v>0</v>
      </c>
      <c r="FZ228" s="259">
        <f ca="1">IF(FY228&gt;0,MAX($FZ$2:FZ227)+1,0)</f>
        <v>0</v>
      </c>
      <c r="GA228" s="259">
        <f ca="1">IFERROR(INDEX($FY$3:$FZ$500,MATCH(ROWS($GA$3:GA228),$FZ$3:$FZ$500,0),1),0)</f>
        <v>0</v>
      </c>
      <c r="GC228" s="259">
        <f t="shared" ca="1" si="585"/>
        <v>0</v>
      </c>
      <c r="GD228" s="259">
        <f t="shared" ca="1" si="586"/>
        <v>0</v>
      </c>
      <c r="GG228" s="259">
        <f t="shared" ca="1" si="587"/>
        <v>0</v>
      </c>
      <c r="GH228" s="259">
        <f t="shared" ca="1" si="588"/>
        <v>0</v>
      </c>
      <c r="GI228" s="259">
        <f t="shared" ca="1" si="589"/>
        <v>0</v>
      </c>
      <c r="GJ228" s="259">
        <f t="shared" ca="1" si="590"/>
        <v>0</v>
      </c>
      <c r="GK228" s="259">
        <f t="shared" ca="1" si="591"/>
        <v>0</v>
      </c>
      <c r="GL228" s="259">
        <f t="shared" ca="1" si="591"/>
        <v>0</v>
      </c>
      <c r="GM228" s="259">
        <f ca="1">IF(OR(GK228&gt;0,GL228&gt;0),MAX($GM$2:GM227)+1,0)</f>
        <v>0</v>
      </c>
      <c r="GN228" s="259" t="str">
        <f ca="1">IFERROR(INDEX($GD$3:$GM$400,MATCH(ROWS($GN$3:GN228),$GM$3:$GM$400,0),1),"")</f>
        <v/>
      </c>
      <c r="GO228" s="259" t="str">
        <f ca="1">IFERROR(INDEX($GD$3:$GM$400,MATCH(ROWS($GO$3:GO228),$GM$3:$GM$400,0),8),"")</f>
        <v/>
      </c>
      <c r="GP228" s="259" t="str">
        <f ca="1">IFERROR(INDEX($GD$3:$GM$400,MATCH(ROWS($GP$3:GP228),$GM$3:$GM$400,0),9),"")</f>
        <v/>
      </c>
      <c r="GQ228" s="259">
        <f t="shared" ca="1" si="535"/>
        <v>0</v>
      </c>
      <c r="GR228" s="259">
        <f t="shared" ca="1" si="592"/>
        <v>0</v>
      </c>
      <c r="GS228" s="259" t="str">
        <f t="shared" ca="1" si="593"/>
        <v/>
      </c>
      <c r="GT228" s="259" t="str">
        <f ca="1">IFERROR(INDEX($GD$3:$GS$400,MATCH(ROWS($GT$3:GT228),$GM$3:$GM$400,0),16),"")</f>
        <v/>
      </c>
      <c r="GU228" s="259">
        <f ca="1">IF(GQ228&lt;&gt;0,MAX($GU$2:$GU227)+1,0)</f>
        <v>0</v>
      </c>
      <c r="GV228" s="259">
        <f t="shared" ca="1" si="594"/>
        <v>0</v>
      </c>
      <c r="GW228" s="259" t="str">
        <f ca="1">IF(AND(IFERROR(INDEX($GU$3:$GV$400,MATCH(ROWS($GW$3:GW228),$GU$3:$GU$400,0),2),"")&lt;&gt;"",GW229&lt;&gt;""),CONCATENATE(IFERROR(INDEX($GU$3:$GV$400,MATCH(ROWS($GW$3:GW228),$GU$3:$GU$400,0),2),"")," - "),IFERROR(INDEX($GU$3:$GV$400,MATCH(ROWS($GW$3:GW228),$GU$3:$GU$400,0),2),""))</f>
        <v/>
      </c>
      <c r="GX228" s="259">
        <f ca="1">IF(OR(GN228="IVA NS/CREDITO",GN228="IVA NS/DEBITO",GN228="IVA C/ACCONTO",GN228="IMPOSTE C/ACCONTO"),MAX($GX$2:GX227)+1,0)</f>
        <v>0</v>
      </c>
      <c r="GY228" s="259" t="str">
        <f ca="1">IF(AND(IFERROR(INDEX($GN$3:$GX$200,MATCH(ROWS($GY$3:GY228),$GX$3:$GX$200,0),1),"")&lt;&gt;"",GY229&lt;&gt;""),CONCATENATE(IFERROR(INDEX($GN$3:$GX$200,MATCH(ROWS($GY$3:GY228),$GX$3:$GX$200,0),1),"")," - "),IFERROR(INDEX($GN$3:$GX$200,MATCH(ROWS($GY$3:GY228),$GX$3:$GX$200,0),1),""))</f>
        <v/>
      </c>
      <c r="HV228" s="259" t="str">
        <f ca="1">CONCATENATE(IFERROR(INDEX($HS$3:$HT$102,MATCH(ROWS($HV$3:HV228),$HT$3:$HT$102,0),1),""),HR228)</f>
        <v/>
      </c>
      <c r="IX228" s="259" t="str">
        <f t="shared" si="606"/>
        <v/>
      </c>
      <c r="IY228" s="259" t="str">
        <f t="shared" si="600"/>
        <v/>
      </c>
      <c r="IZ228" s="259" t="str">
        <f t="shared" si="608"/>
        <v/>
      </c>
      <c r="JA228" s="259" t="str">
        <f t="shared" ca="1" si="601"/>
        <v/>
      </c>
      <c r="JB228" s="259">
        <f t="shared" ca="1" si="536"/>
        <v>0</v>
      </c>
      <c r="JC228" s="259">
        <f t="shared" ca="1" si="504"/>
        <v>0</v>
      </c>
      <c r="JD228" s="259">
        <f t="shared" ca="1" si="505"/>
        <v>0</v>
      </c>
      <c r="JM228" s="259">
        <f t="shared" ca="1" si="506"/>
        <v>0</v>
      </c>
    </row>
    <row r="229" spans="52:273">
      <c r="AZ229" s="259" t="str">
        <f t="shared" ca="1" si="616"/>
        <v/>
      </c>
      <c r="BA229" s="259">
        <f t="shared" ca="1" si="484"/>
        <v>0</v>
      </c>
      <c r="BB229" s="259">
        <f t="shared" ca="1" si="617"/>
        <v>0</v>
      </c>
      <c r="BC229" s="259">
        <f t="shared" ca="1" si="618"/>
        <v>0</v>
      </c>
      <c r="BD229" s="259">
        <f t="shared" ca="1" si="619"/>
        <v>0</v>
      </c>
      <c r="BE229" s="259">
        <f t="shared" ca="1" si="620"/>
        <v>0</v>
      </c>
      <c r="CX229" s="259">
        <f t="shared" ca="1" si="623"/>
        <v>13</v>
      </c>
      <c r="CY229" s="259" t="str">
        <f t="shared" ca="1" si="607"/>
        <v>MASTRO</v>
      </c>
      <c r="CZ229" s="259" t="e">
        <f t="shared" ca="1" si="625"/>
        <v>#N/A</v>
      </c>
      <c r="DA229" s="259" t="str">
        <f t="shared" ca="1" si="631"/>
        <v/>
      </c>
      <c r="DB229" s="259" t="str">
        <f t="shared" ca="1" si="626"/>
        <v/>
      </c>
      <c r="DC229" s="259" t="str">
        <f t="shared" ca="1" si="627"/>
        <v/>
      </c>
      <c r="DD229" s="259" t="str">
        <f t="shared" ca="1" si="628"/>
        <v/>
      </c>
      <c r="DE229" s="259" t="str">
        <f t="shared" ca="1" si="629"/>
        <v/>
      </c>
      <c r="DF229" s="259">
        <f ca="1">IF(AND(CX229=$DE$2,$DF$2&lt;&gt;0),0,IF(AND(DB229&lt;&gt;"",OR(DB228&lt;&gt;"",DB230&lt;&gt;"")),MAX($DF$2:DF228)+1,0))</f>
        <v>0</v>
      </c>
      <c r="DG229" s="259" t="str">
        <f>IF(IF(LIBRO_GIORNALE!E137="","",IFERROR(INDEX(PIANO_DEI_CONTI,MATCH(BB229,DENOMINAZIONE,0),1),0))=0,"",IF(LIBRO_GIORNALE!E137="","",IFERROR(INDEX(PIANO_DEI_CONTI,MATCH(BB229,DENOMINAZIONE,0),1),0)))</f>
        <v/>
      </c>
      <c r="DU229" s="259" t="str">
        <f t="shared" ca="1" si="630"/>
        <v/>
      </c>
      <c r="EC229" s="259">
        <f>IF(IF(DG229&lt;&gt;"",REPLACE(DG229,3,1,""),0)&lt;&gt;0,MAX(EC$2:EC228)+1,0)</f>
        <v>0</v>
      </c>
      <c r="ED229" s="259">
        <f t="shared" ca="1" si="529"/>
        <v>0</v>
      </c>
      <c r="EI229" s="260"/>
      <c r="EJ229" s="260"/>
      <c r="EK229" s="260"/>
      <c r="EL229" s="259">
        <f t="shared" si="577"/>
        <v>227</v>
      </c>
      <c r="EM229" s="259">
        <f ca="1">IF(AND(BA229&gt;0,BA229&lt;=$EM$1),MAX($EM$2:EM228)+1,0)</f>
        <v>0</v>
      </c>
      <c r="EN229" s="259">
        <f t="shared" ca="1" si="578"/>
        <v>229</v>
      </c>
      <c r="EP229" s="259" t="str">
        <f t="shared" ca="1" si="530"/>
        <v/>
      </c>
      <c r="EQ229" s="259">
        <f t="shared" ca="1" si="531"/>
        <v>0</v>
      </c>
      <c r="ER229" s="259">
        <f ca="1">IF(ISNA(EQ229),MAX(ER$2:ER228)+1,0)</f>
        <v>0</v>
      </c>
      <c r="ES229" s="259" t="str">
        <f t="shared" ca="1" si="579"/>
        <v/>
      </c>
      <c r="ET229" s="259" t="str">
        <f ca="1">IFERROR(UPPER(INDEX($ER$3:$ES$500,MATCH(ROWS(ET$3:ET229),$ER$3:$ER$500,0),2)),"")</f>
        <v/>
      </c>
      <c r="EW229" s="259">
        <f t="shared" ca="1" si="497"/>
        <v>1</v>
      </c>
      <c r="EX229" s="259">
        <v>127</v>
      </c>
      <c r="EY229" s="259">
        <f t="shared" ca="1" si="498"/>
        <v>0</v>
      </c>
      <c r="EZ229" s="259">
        <f t="shared" ca="1" si="499"/>
        <v>0</v>
      </c>
      <c r="FA229" s="259">
        <f t="shared" ca="1" si="500"/>
        <v>0</v>
      </c>
      <c r="FB229" s="259">
        <f t="shared" ca="1" si="501"/>
        <v>0</v>
      </c>
      <c r="FC229" s="259">
        <f t="shared" ca="1" si="502"/>
        <v>0</v>
      </c>
      <c r="FD229" s="259">
        <f t="shared" ca="1" si="532"/>
        <v>0</v>
      </c>
      <c r="FE229" s="259" t="str">
        <f t="shared" ca="1" si="533"/>
        <v/>
      </c>
      <c r="FF229" s="259" t="str">
        <f t="shared" ca="1" si="503"/>
        <v/>
      </c>
      <c r="FM229" s="259">
        <f t="shared" si="534"/>
        <v>0</v>
      </c>
      <c r="FN229" s="259">
        <f>IF(FM229&lt;0,MAX($FN$2:FN228)+1,0)</f>
        <v>0</v>
      </c>
      <c r="FO229" s="259" t="str">
        <f t="shared" si="580"/>
        <v/>
      </c>
      <c r="FP229" s="259" t="str">
        <f ca="1">IFERROR(INDEX($FN$3:$FO$400,MATCH(ROWS($FP$3:FP229),$FN$3:$FN$400,0),2),"")</f>
        <v/>
      </c>
      <c r="FQ229" s="259" t="str">
        <f>IF(AE229="SE AVERE",MAX($FQ$2:FQ228)+1,"")</f>
        <v/>
      </c>
      <c r="FR229" s="259" t="str">
        <f>IF(AE229="SE DARE",MAX($FR$2:FR228)+1,"")</f>
        <v/>
      </c>
      <c r="FS229" s="259" t="str">
        <f ca="1">IF(AND(AE229="SP DARE",AA229&lt;&gt;$FS$1,AA229&lt;&gt;$FT$1),MAX($FS$2:FS228)+1,IF(AND(GQ229="SP DARE",AA229&lt;&gt;$FS$1,AA229&lt;&gt;$FT$1),MAX($FS$2:FS228)+1,""))</f>
        <v/>
      </c>
      <c r="FT229" s="259" t="str">
        <f ca="1">IF(AND(AE229="SP AVERE",AA229&lt;&gt;$FU$1),MAX($FT$2:FT228)+1,IF(AND(GQ229="SP AVERE",AA229&lt;&gt;$FU$1),MAX($FT$2:FT228)+1,""))</f>
        <v/>
      </c>
      <c r="FU229" s="259">
        <f t="shared" ca="1" si="581"/>
        <v>0</v>
      </c>
      <c r="FV229" s="259">
        <f t="shared" si="582"/>
        <v>0</v>
      </c>
      <c r="FW229" s="259">
        <f ca="1">IFERROR(INDEX($FU$3:$FV$500,MATCH(ROWS($FW$3:FW229),$FU$3:$FU$500,0),2),0)</f>
        <v>0</v>
      </c>
      <c r="FX229" s="259">
        <f t="shared" ca="1" si="583"/>
        <v>0</v>
      </c>
      <c r="FY229" s="259">
        <f t="shared" ca="1" si="584"/>
        <v>0</v>
      </c>
      <c r="FZ229" s="259">
        <f ca="1">IF(FY229&gt;0,MAX($FZ$2:FZ228)+1,0)</f>
        <v>0</v>
      </c>
      <c r="GA229" s="259">
        <f ca="1">IFERROR(INDEX($FY$3:$FZ$500,MATCH(ROWS($GA$3:GA229),$FZ$3:$FZ$500,0),1),0)</f>
        <v>0</v>
      </c>
      <c r="GC229" s="259">
        <f t="shared" ca="1" si="585"/>
        <v>0</v>
      </c>
      <c r="GD229" s="259">
        <f t="shared" ca="1" si="586"/>
        <v>0</v>
      </c>
      <c r="GG229" s="259">
        <f t="shared" ca="1" si="587"/>
        <v>0</v>
      </c>
      <c r="GH229" s="259">
        <f t="shared" ca="1" si="588"/>
        <v>0</v>
      </c>
      <c r="GI229" s="259">
        <f t="shared" ca="1" si="589"/>
        <v>0</v>
      </c>
      <c r="GJ229" s="259">
        <f t="shared" ca="1" si="590"/>
        <v>0</v>
      </c>
      <c r="GK229" s="259">
        <f t="shared" ca="1" si="591"/>
        <v>0</v>
      </c>
      <c r="GL229" s="259">
        <f t="shared" ca="1" si="591"/>
        <v>0</v>
      </c>
      <c r="GM229" s="259">
        <f ca="1">IF(OR(GK229&gt;0,GL229&gt;0),MAX($GM$2:GM228)+1,0)</f>
        <v>0</v>
      </c>
      <c r="GN229" s="259" t="str">
        <f ca="1">IFERROR(INDEX($GD$3:$GM$400,MATCH(ROWS($GN$3:GN229),$GM$3:$GM$400,0),1),"")</f>
        <v/>
      </c>
      <c r="GO229" s="259" t="str">
        <f ca="1">IFERROR(INDEX($GD$3:$GM$400,MATCH(ROWS($GO$3:GO229),$GM$3:$GM$400,0),8),"")</f>
        <v/>
      </c>
      <c r="GP229" s="259" t="str">
        <f ca="1">IFERROR(INDEX($GD$3:$GM$400,MATCH(ROWS($GP$3:GP229),$GM$3:$GM$400,0),9),"")</f>
        <v/>
      </c>
      <c r="GQ229" s="259">
        <f t="shared" ca="1" si="535"/>
        <v>0</v>
      </c>
      <c r="GR229" s="259">
        <f t="shared" ca="1" si="592"/>
        <v>0</v>
      </c>
      <c r="GS229" s="259" t="str">
        <f t="shared" ca="1" si="593"/>
        <v/>
      </c>
      <c r="GT229" s="259" t="str">
        <f ca="1">IFERROR(INDEX($GD$3:$GS$400,MATCH(ROWS($GT$3:GT229),$GM$3:$GM$400,0),16),"")</f>
        <v/>
      </c>
      <c r="GU229" s="259">
        <f ca="1">IF(GQ229&lt;&gt;0,MAX($GU$2:$GU228)+1,0)</f>
        <v>0</v>
      </c>
      <c r="GV229" s="259">
        <f t="shared" ca="1" si="594"/>
        <v>0</v>
      </c>
      <c r="GW229" s="259" t="str">
        <f ca="1">IF(AND(IFERROR(INDEX($GU$3:$GV$400,MATCH(ROWS($GW$3:GW229),$GU$3:$GU$400,0),2),"")&lt;&gt;"",GW230&lt;&gt;""),CONCATENATE(IFERROR(INDEX($GU$3:$GV$400,MATCH(ROWS($GW$3:GW229),$GU$3:$GU$400,0),2),"")," - "),IFERROR(INDEX($GU$3:$GV$400,MATCH(ROWS($GW$3:GW229),$GU$3:$GU$400,0),2),""))</f>
        <v/>
      </c>
      <c r="GX229" s="259">
        <f ca="1">IF(OR(GN229="IVA NS/CREDITO",GN229="IVA NS/DEBITO",GN229="IVA C/ACCONTO",GN229="IMPOSTE C/ACCONTO"),MAX($GX$2:GX228)+1,0)</f>
        <v>0</v>
      </c>
      <c r="GY229" s="259" t="str">
        <f ca="1">IF(AND(IFERROR(INDEX($GN$3:$GX$200,MATCH(ROWS($GY$3:GY229),$GX$3:$GX$200,0),1),"")&lt;&gt;"",GY230&lt;&gt;""),CONCATENATE(IFERROR(INDEX($GN$3:$GX$200,MATCH(ROWS($GY$3:GY229),$GX$3:$GX$200,0),1),"")," - "),IFERROR(INDEX($GN$3:$GX$200,MATCH(ROWS($GY$3:GY229),$GX$3:$GX$200,0),1),""))</f>
        <v/>
      </c>
      <c r="HV229" s="259" t="str">
        <f ca="1">CONCATENATE(IFERROR(INDEX($HS$3:$HT$102,MATCH(ROWS($HV$3:HV229),$HT$3:$HT$102,0),1),""),HR229)</f>
        <v/>
      </c>
      <c r="IX229" s="259" t="str">
        <f t="shared" si="606"/>
        <v/>
      </c>
      <c r="IY229" s="259" t="str">
        <f t="shared" si="600"/>
        <v/>
      </c>
      <c r="IZ229" s="259" t="str">
        <f t="shared" si="608"/>
        <v/>
      </c>
      <c r="JA229" s="259" t="str">
        <f t="shared" ca="1" si="601"/>
        <v/>
      </c>
      <c r="JB229" s="259">
        <f t="shared" ca="1" si="536"/>
        <v>0</v>
      </c>
      <c r="JC229" s="259">
        <f t="shared" ca="1" si="504"/>
        <v>0</v>
      </c>
      <c r="JD229" s="259">
        <f t="shared" ca="1" si="505"/>
        <v>0</v>
      </c>
      <c r="JM229" s="259">
        <f t="shared" ca="1" si="506"/>
        <v>0</v>
      </c>
    </row>
    <row r="230" spans="52:273">
      <c r="AZ230" s="259" t="str">
        <f t="shared" ca="1" si="616"/>
        <v/>
      </c>
      <c r="BA230" s="259">
        <f t="shared" ca="1" si="484"/>
        <v>0</v>
      </c>
      <c r="BB230" s="259">
        <f t="shared" ca="1" si="617"/>
        <v>0</v>
      </c>
      <c r="BC230" s="259">
        <f t="shared" ca="1" si="618"/>
        <v>0</v>
      </c>
      <c r="BD230" s="259">
        <f t="shared" ca="1" si="619"/>
        <v>0</v>
      </c>
      <c r="BE230" s="259">
        <f t="shared" ca="1" si="620"/>
        <v>0</v>
      </c>
      <c r="CX230" s="259">
        <f t="shared" ca="1" si="623"/>
        <v>13</v>
      </c>
      <c r="CY230" s="259" t="str">
        <f t="shared" ca="1" si="607"/>
        <v>MASTRO</v>
      </c>
      <c r="CZ230" s="259" t="e">
        <f t="shared" ca="1" si="625"/>
        <v>#N/A</v>
      </c>
      <c r="DA230" s="259" t="str">
        <f t="shared" ca="1" si="631"/>
        <v/>
      </c>
      <c r="DB230" s="259" t="str">
        <f t="shared" ca="1" si="626"/>
        <v/>
      </c>
      <c r="DC230" s="259" t="str">
        <f t="shared" ca="1" si="627"/>
        <v/>
      </c>
      <c r="DD230" s="259" t="str">
        <f t="shared" ca="1" si="628"/>
        <v/>
      </c>
      <c r="DE230" s="259" t="str">
        <f t="shared" ca="1" si="629"/>
        <v/>
      </c>
      <c r="DF230" s="259">
        <f ca="1">IF(AND(CX230=$DE$2,$DF$2&lt;&gt;0),0,IF(AND(DB230&lt;&gt;"",OR(DB229&lt;&gt;"",DB231&lt;&gt;"")),MAX($DF$2:DF229)+1,0))</f>
        <v>0</v>
      </c>
      <c r="DG230" s="259" t="str">
        <f>IF(IF(LIBRO_GIORNALE!E138="","",IFERROR(INDEX(PIANO_DEI_CONTI,MATCH(BB230,DENOMINAZIONE,0),1),0))=0,"",IF(LIBRO_GIORNALE!E138="","",IFERROR(INDEX(PIANO_DEI_CONTI,MATCH(BB230,DENOMINAZIONE,0),1),0)))</f>
        <v/>
      </c>
      <c r="DU230" s="259" t="str">
        <f t="shared" ca="1" si="630"/>
        <v/>
      </c>
      <c r="EC230" s="259">
        <f>IF(IF(DG230&lt;&gt;"",REPLACE(DG230,3,1,""),0)&lt;&gt;0,MAX(EC$2:EC229)+1,0)</f>
        <v>0</v>
      </c>
      <c r="ED230" s="259">
        <f t="shared" ca="1" si="529"/>
        <v>0</v>
      </c>
      <c r="EI230" s="260"/>
      <c r="EJ230" s="260"/>
      <c r="EK230" s="260"/>
      <c r="EL230" s="259">
        <f t="shared" si="577"/>
        <v>228</v>
      </c>
      <c r="EM230" s="259">
        <f ca="1">IF(AND(BA230&gt;0,BA230&lt;=$EM$1),MAX($EM$2:EM229)+1,0)</f>
        <v>0</v>
      </c>
      <c r="EN230" s="259">
        <f t="shared" ca="1" si="578"/>
        <v>230</v>
      </c>
      <c r="EP230" s="259" t="str">
        <f t="shared" ca="1" si="530"/>
        <v/>
      </c>
      <c r="EQ230" s="259">
        <f t="shared" ca="1" si="531"/>
        <v>0</v>
      </c>
      <c r="ER230" s="259">
        <f ca="1">IF(ISNA(EQ230),MAX(ER$2:ER229)+1,0)</f>
        <v>0</v>
      </c>
      <c r="ES230" s="259" t="str">
        <f t="shared" ca="1" si="579"/>
        <v/>
      </c>
      <c r="ET230" s="259" t="str">
        <f ca="1">IFERROR(UPPER(INDEX($ER$3:$ES$500,MATCH(ROWS(ET$3:ET230),$ER$3:$ER$500,0),2)),"")</f>
        <v/>
      </c>
      <c r="EW230" s="259">
        <f t="shared" ca="1" si="497"/>
        <v>1</v>
      </c>
      <c r="EX230" s="259">
        <v>128</v>
      </c>
      <c r="EY230" s="259">
        <f t="shared" ca="1" si="498"/>
        <v>0</v>
      </c>
      <c r="EZ230" s="259">
        <f t="shared" ca="1" si="499"/>
        <v>0</v>
      </c>
      <c r="FA230" s="259">
        <f t="shared" ca="1" si="500"/>
        <v>0</v>
      </c>
      <c r="FB230" s="259">
        <f t="shared" ca="1" si="501"/>
        <v>0</v>
      </c>
      <c r="FC230" s="259">
        <f t="shared" ca="1" si="502"/>
        <v>0</v>
      </c>
      <c r="FD230" s="259">
        <f t="shared" ca="1" si="532"/>
        <v>0</v>
      </c>
      <c r="FE230" s="259" t="str">
        <f t="shared" ca="1" si="533"/>
        <v/>
      </c>
      <c r="FF230" s="259" t="str">
        <f t="shared" ca="1" si="503"/>
        <v/>
      </c>
      <c r="FM230" s="259">
        <f t="shared" si="534"/>
        <v>0</v>
      </c>
      <c r="FN230" s="259">
        <f>IF(FM230&lt;0,MAX($FN$2:FN229)+1,0)</f>
        <v>0</v>
      </c>
      <c r="FO230" s="259" t="str">
        <f t="shared" si="580"/>
        <v/>
      </c>
      <c r="FP230" s="259" t="str">
        <f ca="1">IFERROR(INDEX($FN$3:$FO$400,MATCH(ROWS($FP$3:FP230),$FN$3:$FN$400,0),2),"")</f>
        <v/>
      </c>
      <c r="FQ230" s="259" t="str">
        <f>IF(AE230="SE AVERE",MAX($FQ$2:FQ229)+1,"")</f>
        <v/>
      </c>
      <c r="FR230" s="259" t="str">
        <f>IF(AE230="SE DARE",MAX($FR$2:FR229)+1,"")</f>
        <v/>
      </c>
      <c r="FS230" s="259" t="str">
        <f ca="1">IF(AND(AE230="SP DARE",AA230&lt;&gt;$FS$1,AA230&lt;&gt;$FT$1),MAX($FS$2:FS229)+1,IF(AND(GQ230="SP DARE",AA230&lt;&gt;$FS$1,AA230&lt;&gt;$FT$1),MAX($FS$2:FS229)+1,""))</f>
        <v/>
      </c>
      <c r="FT230" s="259" t="str">
        <f ca="1">IF(AND(AE230="SP AVERE",AA230&lt;&gt;$FU$1),MAX($FT$2:FT229)+1,IF(AND(GQ230="SP AVERE",AA230&lt;&gt;$FU$1),MAX($FT$2:FT229)+1,""))</f>
        <v/>
      </c>
      <c r="FU230" s="259">
        <f t="shared" ca="1" si="581"/>
        <v>0</v>
      </c>
      <c r="FV230" s="259">
        <f t="shared" si="582"/>
        <v>0</v>
      </c>
      <c r="FW230" s="259">
        <f ca="1">IFERROR(INDEX($FU$3:$FV$500,MATCH(ROWS($FW$3:FW230),$FU$3:$FU$500,0),2),0)</f>
        <v>0</v>
      </c>
      <c r="FX230" s="259">
        <f t="shared" ca="1" si="583"/>
        <v>0</v>
      </c>
      <c r="FY230" s="259">
        <f t="shared" ca="1" si="584"/>
        <v>0</v>
      </c>
      <c r="FZ230" s="259">
        <f ca="1">IF(FY230&gt;0,MAX($FZ$2:FZ229)+1,0)</f>
        <v>0</v>
      </c>
      <c r="GA230" s="259">
        <f ca="1">IFERROR(INDEX($FY$3:$FZ$500,MATCH(ROWS($GA$3:GA230),$FZ$3:$FZ$500,0),1),0)</f>
        <v>0</v>
      </c>
      <c r="GC230" s="259">
        <f t="shared" ca="1" si="585"/>
        <v>0</v>
      </c>
      <c r="GD230" s="259">
        <f t="shared" ca="1" si="586"/>
        <v>0</v>
      </c>
      <c r="GG230" s="259">
        <f t="shared" ca="1" si="587"/>
        <v>0</v>
      </c>
      <c r="GH230" s="259">
        <f t="shared" ca="1" si="588"/>
        <v>0</v>
      </c>
      <c r="GI230" s="259">
        <f t="shared" ca="1" si="589"/>
        <v>0</v>
      </c>
      <c r="GJ230" s="259">
        <f t="shared" ca="1" si="590"/>
        <v>0</v>
      </c>
      <c r="GK230" s="259">
        <f t="shared" ca="1" si="591"/>
        <v>0</v>
      </c>
      <c r="GL230" s="259">
        <f t="shared" ca="1" si="591"/>
        <v>0</v>
      </c>
      <c r="GM230" s="259">
        <f ca="1">IF(OR(GK230&gt;0,GL230&gt;0),MAX($GM$2:GM229)+1,0)</f>
        <v>0</v>
      </c>
      <c r="GN230" s="259" t="str">
        <f ca="1">IFERROR(INDEX($GD$3:$GM$400,MATCH(ROWS($GN$3:GN230),$GM$3:$GM$400,0),1),"")</f>
        <v/>
      </c>
      <c r="GO230" s="259" t="str">
        <f ca="1">IFERROR(INDEX($GD$3:$GM$400,MATCH(ROWS($GO$3:GO230),$GM$3:$GM$400,0),8),"")</f>
        <v/>
      </c>
      <c r="GP230" s="259" t="str">
        <f ca="1">IFERROR(INDEX($GD$3:$GM$400,MATCH(ROWS($GP$3:GP230),$GM$3:$GM$400,0),9),"")</f>
        <v/>
      </c>
      <c r="GQ230" s="259">
        <f t="shared" ca="1" si="535"/>
        <v>0</v>
      </c>
      <c r="GR230" s="259">
        <f t="shared" ca="1" si="592"/>
        <v>0</v>
      </c>
      <c r="GS230" s="259" t="str">
        <f t="shared" ca="1" si="593"/>
        <v/>
      </c>
      <c r="GT230" s="259" t="str">
        <f ca="1">IFERROR(INDEX($GD$3:$GS$400,MATCH(ROWS($GT$3:GT230),$GM$3:$GM$400,0),16),"")</f>
        <v/>
      </c>
      <c r="GU230" s="259">
        <f ca="1">IF(GQ230&lt;&gt;0,MAX($GU$2:$GU229)+1,0)</f>
        <v>0</v>
      </c>
      <c r="GV230" s="259">
        <f t="shared" ca="1" si="594"/>
        <v>0</v>
      </c>
      <c r="GW230" s="259" t="str">
        <f ca="1">IF(AND(IFERROR(INDEX($GU$3:$GV$400,MATCH(ROWS($GW$3:GW230),$GU$3:$GU$400,0),2),"")&lt;&gt;"",GW231&lt;&gt;""),CONCATENATE(IFERROR(INDEX($GU$3:$GV$400,MATCH(ROWS($GW$3:GW230),$GU$3:$GU$400,0),2),"")," - "),IFERROR(INDEX($GU$3:$GV$400,MATCH(ROWS($GW$3:GW230),$GU$3:$GU$400,0),2),""))</f>
        <v/>
      </c>
      <c r="GX230" s="259">
        <f ca="1">IF(OR(GN230="IVA NS/CREDITO",GN230="IVA NS/DEBITO",GN230="IVA C/ACCONTO",GN230="IMPOSTE C/ACCONTO"),MAX($GX$2:GX229)+1,0)</f>
        <v>0</v>
      </c>
      <c r="GY230" s="259" t="str">
        <f ca="1">IF(AND(IFERROR(INDEX($GN$3:$GX$200,MATCH(ROWS($GY$3:GY230),$GX$3:$GX$200,0),1),"")&lt;&gt;"",GY231&lt;&gt;""),CONCATENATE(IFERROR(INDEX($GN$3:$GX$200,MATCH(ROWS($GY$3:GY230),$GX$3:$GX$200,0),1),"")," - "),IFERROR(INDEX($GN$3:$GX$200,MATCH(ROWS($GY$3:GY230),$GX$3:$GX$200,0),1),""))</f>
        <v/>
      </c>
      <c r="HV230" s="259" t="str">
        <f ca="1">CONCATENATE(IFERROR(INDEX($HS$3:$HT$102,MATCH(ROWS($HV$3:HV230),$HT$3:$HT$102,0),1),""),HR230)</f>
        <v/>
      </c>
      <c r="IX230" s="259" t="str">
        <f t="shared" si="606"/>
        <v/>
      </c>
      <c r="IY230" s="259" t="str">
        <f t="shared" si="600"/>
        <v/>
      </c>
      <c r="IZ230" s="259" t="str">
        <f t="shared" si="608"/>
        <v/>
      </c>
      <c r="JA230" s="259" t="str">
        <f t="shared" ca="1" si="601"/>
        <v/>
      </c>
      <c r="JB230" s="259">
        <f t="shared" ca="1" si="536"/>
        <v>0</v>
      </c>
      <c r="JC230" s="259">
        <f t="shared" ca="1" si="504"/>
        <v>0</v>
      </c>
      <c r="JD230" s="259">
        <f t="shared" ca="1" si="505"/>
        <v>0</v>
      </c>
      <c r="JM230" s="259">
        <f t="shared" ca="1" si="506"/>
        <v>0</v>
      </c>
    </row>
    <row r="231" spans="52:273">
      <c r="AZ231" s="259" t="str">
        <f t="shared" ca="1" si="616"/>
        <v/>
      </c>
      <c r="BA231" s="259">
        <f t="shared" ref="BA231:BA294" ca="1" si="632">IF(AND(EY131&gt;=INIZIO_AC,EY131&gt;=INIZIO_A_PC,EY131&lt;=FINE_AC),EY131,0)</f>
        <v>0</v>
      </c>
      <c r="BB231" s="259">
        <f t="shared" ca="1" si="617"/>
        <v>0</v>
      </c>
      <c r="BC231" s="259">
        <f t="shared" ca="1" si="618"/>
        <v>0</v>
      </c>
      <c r="BD231" s="259">
        <f t="shared" ca="1" si="619"/>
        <v>0</v>
      </c>
      <c r="BE231" s="259">
        <f t="shared" ca="1" si="620"/>
        <v>0</v>
      </c>
      <c r="CX231" s="259">
        <f t="shared" ca="1" si="623"/>
        <v>13</v>
      </c>
      <c r="CY231" s="259" t="str">
        <f t="shared" ca="1" si="607"/>
        <v>MASTRO</v>
      </c>
      <c r="CZ231" s="259" t="e">
        <f t="shared" ca="1" si="625"/>
        <v>#N/A</v>
      </c>
      <c r="DA231" s="259" t="str">
        <f t="shared" ca="1" si="631"/>
        <v/>
      </c>
      <c r="DB231" s="259" t="str">
        <f t="shared" ca="1" si="626"/>
        <v/>
      </c>
      <c r="DC231" s="259" t="str">
        <f t="shared" ca="1" si="627"/>
        <v/>
      </c>
      <c r="DD231" s="259" t="str">
        <f t="shared" ca="1" si="628"/>
        <v/>
      </c>
      <c r="DE231" s="259" t="str">
        <f t="shared" ca="1" si="629"/>
        <v/>
      </c>
      <c r="DF231" s="259">
        <f ca="1">IF(AND(CX231=$DE$2,$DF$2&lt;&gt;0),0,IF(AND(DB231&lt;&gt;"",OR(DB230&lt;&gt;"",DB232&lt;&gt;"")),MAX($DF$2:DF230)+1,0))</f>
        <v>0</v>
      </c>
      <c r="DG231" s="259" t="str">
        <f>IF(IF(LIBRO_GIORNALE!E139="","",IFERROR(INDEX(PIANO_DEI_CONTI,MATCH(BB231,DENOMINAZIONE,0),1),0))=0,"",IF(LIBRO_GIORNALE!E139="","",IFERROR(INDEX(PIANO_DEI_CONTI,MATCH(BB231,DENOMINAZIONE,0),1),0)))</f>
        <v/>
      </c>
      <c r="DS231" s="259">
        <f ca="1">ROUND(SUM(DS$3:DS$230),2)</f>
        <v>0</v>
      </c>
      <c r="DT231" s="259">
        <f ca="1">ROUND(SUM(DT$3:DT$230),2)</f>
        <v>0</v>
      </c>
      <c r="DU231" s="259">
        <f ca="1">ROUND(SUM(DU$3:DU$230),2)</f>
        <v>0</v>
      </c>
      <c r="DV231" s="259">
        <f ca="1">ROUND(SUM(DV$3:DV$230),2)</f>
        <v>0</v>
      </c>
      <c r="EC231" s="259">
        <f>IF(IF(DG231&lt;&gt;"",REPLACE(DG231,3,1,""),0)&lt;&gt;0,MAX(EC$2:EC230)+1,0)</f>
        <v>0</v>
      </c>
      <c r="ED231" s="259">
        <f t="shared" ca="1" si="529"/>
        <v>0</v>
      </c>
      <c r="EI231" s="260"/>
      <c r="EJ231" s="260"/>
      <c r="EK231" s="260"/>
      <c r="EL231" s="259">
        <f t="shared" si="577"/>
        <v>229</v>
      </c>
      <c r="EM231" s="259">
        <f ca="1">IF(AND(BA231&gt;0,BA231&lt;=$EM$1),MAX($EM$2:EM230)+1,0)</f>
        <v>0</v>
      </c>
      <c r="EN231" s="259">
        <f t="shared" ca="1" si="578"/>
        <v>231</v>
      </c>
      <c r="EP231" s="259" t="str">
        <f t="shared" ca="1" si="530"/>
        <v/>
      </c>
      <c r="EQ231" s="259">
        <f t="shared" ca="1" si="531"/>
        <v>0</v>
      </c>
      <c r="ER231" s="259">
        <f ca="1">IF(ISNA(EQ231),MAX(ER$2:ER230)+1,0)</f>
        <v>0</v>
      </c>
      <c r="ES231" s="259" t="str">
        <f t="shared" ca="1" si="579"/>
        <v/>
      </c>
      <c r="ET231" s="259" t="str">
        <f ca="1">IFERROR(UPPER(INDEX($ER$3:$ES$500,MATCH(ROWS(ET$3:ET231),$ER$3:$ER$500,0),2)),"")</f>
        <v/>
      </c>
      <c r="EW231" s="259">
        <f t="shared" ca="1" si="497"/>
        <v>1</v>
      </c>
      <c r="EX231" s="259">
        <v>129</v>
      </c>
      <c r="EY231" s="259">
        <f t="shared" ca="1" si="498"/>
        <v>0</v>
      </c>
      <c r="EZ231" s="259">
        <f t="shared" ca="1" si="499"/>
        <v>0</v>
      </c>
      <c r="FA231" s="259">
        <f t="shared" ca="1" si="500"/>
        <v>0</v>
      </c>
      <c r="FB231" s="259">
        <f t="shared" ca="1" si="501"/>
        <v>0</v>
      </c>
      <c r="FC231" s="259">
        <f t="shared" ca="1" si="502"/>
        <v>0</v>
      </c>
      <c r="FD231" s="259">
        <f t="shared" ca="1" si="532"/>
        <v>0</v>
      </c>
      <c r="FE231" s="259" t="str">
        <f t="shared" ca="1" si="533"/>
        <v/>
      </c>
      <c r="FF231" s="259" t="str">
        <f t="shared" ca="1" si="503"/>
        <v/>
      </c>
      <c r="FM231" s="259">
        <f t="shared" si="534"/>
        <v>0</v>
      </c>
      <c r="FN231" s="259">
        <f>IF(FM231&lt;0,MAX($FN$2:FN230)+1,0)</f>
        <v>0</v>
      </c>
      <c r="FO231" s="259" t="str">
        <f t="shared" si="580"/>
        <v/>
      </c>
      <c r="FP231" s="259" t="str">
        <f ca="1">IFERROR(INDEX($FN$3:$FO$400,MATCH(ROWS($FP$3:FP231),$FN$3:$FN$400,0),2),"")</f>
        <v/>
      </c>
      <c r="FQ231" s="259" t="str">
        <f>IF(AE231="SE AVERE",MAX($FQ$2:FQ230)+1,"")</f>
        <v/>
      </c>
      <c r="FR231" s="259" t="str">
        <f>IF(AE231="SE DARE",MAX($FR$2:FR230)+1,"")</f>
        <v/>
      </c>
      <c r="FS231" s="259" t="str">
        <f ca="1">IF(AND(AE231="SP DARE",AA231&lt;&gt;$FS$1,AA231&lt;&gt;$FT$1),MAX($FS$2:FS230)+1,IF(AND(GQ231="SP DARE",AA231&lt;&gt;$FS$1,AA231&lt;&gt;$FT$1),MAX($FS$2:FS230)+1,""))</f>
        <v/>
      </c>
      <c r="FT231" s="259" t="str">
        <f ca="1">IF(AND(AE231="SP AVERE",AA231&lt;&gt;$FU$1),MAX($FT$2:FT230)+1,IF(AND(GQ231="SP AVERE",AA231&lt;&gt;$FU$1),MAX($FT$2:FT230)+1,""))</f>
        <v/>
      </c>
      <c r="FU231" s="259">
        <f t="shared" ca="1" si="581"/>
        <v>0</v>
      </c>
      <c r="FV231" s="259">
        <f t="shared" si="582"/>
        <v>0</v>
      </c>
      <c r="FW231" s="259">
        <f ca="1">IFERROR(INDEX($FU$3:$FV$500,MATCH(ROWS($FW$3:FW231),$FU$3:$FU$500,0),2),0)</f>
        <v>0</v>
      </c>
      <c r="FX231" s="259">
        <f t="shared" ca="1" si="583"/>
        <v>0</v>
      </c>
      <c r="FY231" s="259">
        <f t="shared" ca="1" si="584"/>
        <v>0</v>
      </c>
      <c r="FZ231" s="259">
        <f ca="1">IF(FY231&gt;0,MAX($FZ$2:FZ230)+1,0)</f>
        <v>0</v>
      </c>
      <c r="GA231" s="259">
        <f ca="1">IFERROR(INDEX($FY$3:$FZ$500,MATCH(ROWS($GA$3:GA231),$FZ$3:$FZ$500,0),1),0)</f>
        <v>0</v>
      </c>
      <c r="GC231" s="259">
        <f t="shared" ca="1" si="585"/>
        <v>0</v>
      </c>
      <c r="GD231" s="259">
        <f t="shared" ca="1" si="586"/>
        <v>0</v>
      </c>
      <c r="GG231" s="259">
        <f t="shared" ca="1" si="587"/>
        <v>0</v>
      </c>
      <c r="GH231" s="259">
        <f t="shared" ca="1" si="588"/>
        <v>0</v>
      </c>
      <c r="GI231" s="259">
        <f t="shared" ca="1" si="589"/>
        <v>0</v>
      </c>
      <c r="GJ231" s="259">
        <f t="shared" ca="1" si="590"/>
        <v>0</v>
      </c>
      <c r="GK231" s="259">
        <f t="shared" ca="1" si="591"/>
        <v>0</v>
      </c>
      <c r="GL231" s="259">
        <f t="shared" ca="1" si="591"/>
        <v>0</v>
      </c>
      <c r="GM231" s="259">
        <f ca="1">IF(OR(GK231&gt;0,GL231&gt;0),MAX($GM$2:GM230)+1,0)</f>
        <v>0</v>
      </c>
      <c r="GN231" s="259" t="str">
        <f ca="1">IFERROR(INDEX($GD$3:$GM$400,MATCH(ROWS($GN$3:GN231),$GM$3:$GM$400,0),1),"")</f>
        <v/>
      </c>
      <c r="GO231" s="259" t="str">
        <f ca="1">IFERROR(INDEX($GD$3:$GM$400,MATCH(ROWS($GO$3:GO231),$GM$3:$GM$400,0),8),"")</f>
        <v/>
      </c>
      <c r="GP231" s="259" t="str">
        <f ca="1">IFERROR(INDEX($GD$3:$GM$400,MATCH(ROWS($GP$3:GP231),$GM$3:$GM$400,0),9),"")</f>
        <v/>
      </c>
      <c r="GQ231" s="259">
        <f t="shared" ca="1" si="535"/>
        <v>0</v>
      </c>
      <c r="GR231" s="259">
        <f t="shared" ca="1" si="592"/>
        <v>0</v>
      </c>
      <c r="GS231" s="259" t="str">
        <f t="shared" ca="1" si="593"/>
        <v/>
      </c>
      <c r="GT231" s="259" t="str">
        <f ca="1">IFERROR(INDEX($GD$3:$GS$400,MATCH(ROWS($GT$3:GT231),$GM$3:$GM$400,0),16),"")</f>
        <v/>
      </c>
      <c r="GU231" s="259">
        <f ca="1">IF(GQ231&lt;&gt;0,MAX($GU$2:$GU230)+1,0)</f>
        <v>0</v>
      </c>
      <c r="GV231" s="259">
        <f t="shared" ca="1" si="594"/>
        <v>0</v>
      </c>
      <c r="GW231" s="259" t="str">
        <f ca="1">IF(AND(IFERROR(INDEX($GU$3:$GV$400,MATCH(ROWS($GW$3:GW231),$GU$3:$GU$400,0),2),"")&lt;&gt;"",GW232&lt;&gt;""),CONCATENATE(IFERROR(INDEX($GU$3:$GV$400,MATCH(ROWS($GW$3:GW231),$GU$3:$GU$400,0),2),"")," - "),IFERROR(INDEX($GU$3:$GV$400,MATCH(ROWS($GW$3:GW231),$GU$3:$GU$400,0),2),""))</f>
        <v/>
      </c>
      <c r="GX231" s="259">
        <f ca="1">IF(OR(GN231="IVA NS/CREDITO",GN231="IVA NS/DEBITO",GN231="IVA C/ACCONTO",GN231="IMPOSTE C/ACCONTO"),MAX($GX$2:GX230)+1,0)</f>
        <v>0</v>
      </c>
      <c r="GY231" s="259" t="str">
        <f ca="1">IF(AND(IFERROR(INDEX($GN$3:$GX$200,MATCH(ROWS($GY$3:GY231),$GX$3:$GX$200,0),1),"")&lt;&gt;"",GY232&lt;&gt;""),CONCATENATE(IFERROR(INDEX($GN$3:$GX$200,MATCH(ROWS($GY$3:GY231),$GX$3:$GX$200,0),1),"")," - "),IFERROR(INDEX($GN$3:$GX$200,MATCH(ROWS($GY$3:GY231),$GX$3:$GX$200,0),1),""))</f>
        <v/>
      </c>
      <c r="IZ231" s="259" t="str">
        <f t="shared" si="608"/>
        <v/>
      </c>
      <c r="JA231" s="259" t="str">
        <f t="shared" ca="1" si="601"/>
        <v/>
      </c>
      <c r="JB231" s="259">
        <f t="shared" ca="1" si="536"/>
        <v>0</v>
      </c>
      <c r="JC231" s="259">
        <f t="shared" ca="1" si="504"/>
        <v>0</v>
      </c>
      <c r="JD231" s="259">
        <f t="shared" ca="1" si="505"/>
        <v>0</v>
      </c>
      <c r="JM231" s="259">
        <f t="shared" ca="1" si="506"/>
        <v>0</v>
      </c>
    </row>
    <row r="232" spans="52:273">
      <c r="AZ232" s="259" t="str">
        <f t="shared" ca="1" si="616"/>
        <v/>
      </c>
      <c r="BA232" s="259">
        <f t="shared" ca="1" si="632"/>
        <v>0</v>
      </c>
      <c r="BB232" s="259">
        <f t="shared" ca="1" si="617"/>
        <v>0</v>
      </c>
      <c r="BC232" s="259">
        <f t="shared" ca="1" si="618"/>
        <v>0</v>
      </c>
      <c r="BD232" s="259">
        <f t="shared" ca="1" si="619"/>
        <v>0</v>
      </c>
      <c r="BE232" s="259">
        <f t="shared" ca="1" si="620"/>
        <v>0</v>
      </c>
      <c r="BQ232" s="259" t="str">
        <f ca="1">IFERROR(INDEX($BN$3:$BO$200,MATCH(ROWS(BQ$3:BQ232),$BP$3:$BP$220,0),1),"")</f>
        <v/>
      </c>
      <c r="CX232" s="259">
        <f t="shared" ca="1" si="623"/>
        <v>13</v>
      </c>
      <c r="CY232" s="259" t="str">
        <f t="shared" ca="1" si="607"/>
        <v>MASTRO</v>
      </c>
      <c r="CZ232" s="259" t="e">
        <f t="shared" ca="1" si="625"/>
        <v>#N/A</v>
      </c>
      <c r="DA232" s="259" t="str">
        <f t="shared" ca="1" si="631"/>
        <v/>
      </c>
      <c r="DB232" s="259" t="str">
        <f t="shared" ca="1" si="626"/>
        <v/>
      </c>
      <c r="DC232" s="259" t="str">
        <f t="shared" ca="1" si="627"/>
        <v/>
      </c>
      <c r="DD232" s="259" t="str">
        <f t="shared" ca="1" si="628"/>
        <v/>
      </c>
      <c r="DE232" s="259" t="str">
        <f t="shared" ca="1" si="629"/>
        <v/>
      </c>
      <c r="DF232" s="259">
        <f ca="1">IF(AND(CX232=$DE$2,$DF$2&lt;&gt;0),0,IF(AND(DB232&lt;&gt;"",OR(DB231&lt;&gt;"",DB233&lt;&gt;"")),MAX($DF$2:DF231)+1,0))</f>
        <v>0</v>
      </c>
      <c r="DG232" s="259" t="str">
        <f>IF(IF(LIBRO_GIORNALE!E140="","",IFERROR(INDEX(PIANO_DEI_CONTI,MATCH(BB232,DENOMINAZIONE,0),1),0))=0,"",IF(LIBRO_GIORNALE!E140="","",IFERROR(INDEX(PIANO_DEI_CONTI,MATCH(BB232,DENOMINAZIONE,0),1),0)))</f>
        <v/>
      </c>
      <c r="DS232" s="280">
        <f ca="1">ROUND(SUM(DARE),2)</f>
        <v>0</v>
      </c>
      <c r="DT232" s="280">
        <f ca="1">ROUND(SUM(AVERE),2)</f>
        <v>0</v>
      </c>
      <c r="EC232" s="259">
        <f>IF(IF(DG232&lt;&gt;"",REPLACE(DG232,3,1,""),0)&lt;&gt;0,MAX(EC$2:EC231)+1,0)</f>
        <v>0</v>
      </c>
      <c r="ED232" s="259">
        <f t="shared" ca="1" si="529"/>
        <v>0</v>
      </c>
      <c r="EL232" s="259">
        <f t="shared" si="577"/>
        <v>230</v>
      </c>
      <c r="EM232" s="259">
        <f ca="1">IF(AND(BA232&gt;0,BA232&lt;=$EM$1),MAX($EM$2:EM231)+1,0)</f>
        <v>0</v>
      </c>
      <c r="EN232" s="259">
        <f t="shared" ca="1" si="578"/>
        <v>232</v>
      </c>
      <c r="EP232" s="259" t="str">
        <f t="shared" ca="1" si="530"/>
        <v/>
      </c>
      <c r="EQ232" s="259">
        <f t="shared" ca="1" si="531"/>
        <v>0</v>
      </c>
      <c r="ER232" s="259">
        <f ca="1">IF(ISNA(EQ232),MAX(ER$2:ER231)+1,0)</f>
        <v>0</v>
      </c>
      <c r="ES232" s="259" t="str">
        <f t="shared" ca="1" si="579"/>
        <v/>
      </c>
      <c r="ET232" s="259" t="str">
        <f ca="1">IFERROR(UPPER(INDEX($ER$3:$ES$500,MATCH(ROWS(ET$3:ET232),$ER$3:$ER$500,0),2)),"")</f>
        <v/>
      </c>
      <c r="EW232" s="259">
        <f t="shared" ref="EW232:EW295" ca="1" si="633">IF(AND($EX$3&lt;&gt;0,EX232&gt;=$EX$3),0,1)</f>
        <v>1</v>
      </c>
      <c r="EX232" s="259">
        <v>130</v>
      </c>
      <c r="EY232" s="259">
        <f t="shared" ref="EY232:EY295" ca="1" si="634">IF(EW232=0,0,INDIRECT(ADDRESS(ROW()-92,COLUMN()-151,,,"LIBRO_GIORNALE")))</f>
        <v>0</v>
      </c>
      <c r="EZ232" s="259">
        <f t="shared" ref="EZ232:EZ295" ca="1" si="635">IF(EW232=0,0,INDIRECT(ADDRESS(ROW()-92,COLUMN()-151,,,"LIBRO_GIORNALE")))</f>
        <v>0</v>
      </c>
      <c r="FA232" s="259">
        <f t="shared" ref="FA232:FA295" ca="1" si="636">IF(EW232=0,0,INDIRECT(ADDRESS(ROW()-92,COLUMN()-151,,,"LIBRO_GIORNALE")))</f>
        <v>0</v>
      </c>
      <c r="FB232" s="259">
        <f t="shared" ref="FB232:FB295" ca="1" si="637">IF(EZ232=0,0,ROUND(IF(EW232=0,0,INDIRECT(ADDRESS(ROW()-92,COLUMN()-151,,,"LIBRO_GIORNALE"))),2))</f>
        <v>0</v>
      </c>
      <c r="FC232" s="259">
        <f t="shared" ref="FC232:FC295" ca="1" si="638">IF(EZ232=0,0,ROUND(IF(EW232=0,0,INDIRECT(ADDRESS(ROW()-92,COLUMN()-151,,,"LIBRO_GIORNALE"))),2))</f>
        <v>0</v>
      </c>
      <c r="FD232" s="259">
        <f t="shared" ca="1" si="532"/>
        <v>0</v>
      </c>
      <c r="FE232" s="259" t="str">
        <f t="shared" ca="1" si="533"/>
        <v/>
      </c>
      <c r="FF232" s="259" t="str">
        <f t="shared" ref="FF232:FF295" ca="1" si="639">IF(EZ232&lt;&gt;0,ROW()-102,"")</f>
        <v/>
      </c>
      <c r="FM232" s="259">
        <f t="shared" si="534"/>
        <v>0</v>
      </c>
      <c r="FN232" s="259">
        <f>IF(FM232&lt;0,MAX($FN$2:FN231)+1,0)</f>
        <v>0</v>
      </c>
      <c r="FO232" s="259" t="str">
        <f t="shared" si="580"/>
        <v/>
      </c>
      <c r="FP232" s="259" t="str">
        <f ca="1">IFERROR(INDEX($FN$3:$FO$400,MATCH(ROWS($FP$3:FP232),$FN$3:$FN$400,0),2),"")</f>
        <v/>
      </c>
      <c r="FQ232" s="259" t="str">
        <f>IF(AE232="SE AVERE",MAX($FQ$2:FQ231)+1,"")</f>
        <v/>
      </c>
      <c r="FR232" s="259" t="str">
        <f>IF(AE232="SE DARE",MAX($FR$2:FR231)+1,"")</f>
        <v/>
      </c>
      <c r="FS232" s="259" t="str">
        <f ca="1">IF(AND(AE232="SP DARE",AA232&lt;&gt;$FS$1,AA232&lt;&gt;$FT$1),MAX($FS$2:FS231)+1,IF(AND(GQ232="SP DARE",AA232&lt;&gt;$FS$1,AA232&lt;&gt;$FT$1),MAX($FS$2:FS231)+1,""))</f>
        <v/>
      </c>
      <c r="FT232" s="259" t="str">
        <f ca="1">IF(AND(AE232="SP AVERE",AA232&lt;&gt;$FU$1),MAX($FT$2:FT231)+1,IF(AND(GQ232="SP AVERE",AA232&lt;&gt;$FU$1),MAX($FT$2:FT231)+1,""))</f>
        <v/>
      </c>
      <c r="FU232" s="259">
        <f t="shared" ca="1" si="581"/>
        <v>0</v>
      </c>
      <c r="FV232" s="259">
        <f t="shared" si="582"/>
        <v>0</v>
      </c>
      <c r="FW232" s="259">
        <f ca="1">IFERROR(INDEX($FU$3:$FV$500,MATCH(ROWS($FW$3:FW232),$FU$3:$FU$500,0),2),0)</f>
        <v>0</v>
      </c>
      <c r="FX232" s="259">
        <f t="shared" ca="1" si="583"/>
        <v>0</v>
      </c>
      <c r="FY232" s="259">
        <f t="shared" ca="1" si="584"/>
        <v>0</v>
      </c>
      <c r="FZ232" s="259">
        <f ca="1">IF(FY232&gt;0,MAX($FZ$2:FZ231)+1,0)</f>
        <v>0</v>
      </c>
      <c r="GA232" s="259">
        <f ca="1">IFERROR(INDEX($FY$3:$FZ$500,MATCH(ROWS($GA$3:GA232),$FZ$3:$FZ$500,0),1),0)</f>
        <v>0</v>
      </c>
      <c r="GC232" s="259">
        <f t="shared" ca="1" si="585"/>
        <v>0</v>
      </c>
      <c r="GD232" s="259">
        <f t="shared" ca="1" si="586"/>
        <v>0</v>
      </c>
      <c r="GG232" s="259">
        <f t="shared" ca="1" si="587"/>
        <v>0</v>
      </c>
      <c r="GH232" s="259">
        <f t="shared" ca="1" si="588"/>
        <v>0</v>
      </c>
      <c r="GI232" s="259">
        <f t="shared" ca="1" si="589"/>
        <v>0</v>
      </c>
      <c r="GJ232" s="259">
        <f t="shared" ca="1" si="590"/>
        <v>0</v>
      </c>
      <c r="GK232" s="259">
        <f t="shared" ca="1" si="591"/>
        <v>0</v>
      </c>
      <c r="GL232" s="259">
        <f t="shared" ca="1" si="591"/>
        <v>0</v>
      </c>
      <c r="GM232" s="259">
        <f ca="1">IF(OR(GK232&gt;0,GL232&gt;0),MAX($GM$2:GM231)+1,0)</f>
        <v>0</v>
      </c>
      <c r="GN232" s="259" t="str">
        <f ca="1">IFERROR(INDEX($GD$3:$GM$400,MATCH(ROWS($GN$3:GN232),$GM$3:$GM$400,0),1),"")</f>
        <v/>
      </c>
      <c r="GO232" s="259" t="str">
        <f ca="1">IFERROR(INDEX($GD$3:$GM$400,MATCH(ROWS($GO$3:GO232),$GM$3:$GM$400,0),8),"")</f>
        <v/>
      </c>
      <c r="GP232" s="259" t="str">
        <f ca="1">IFERROR(INDEX($GD$3:$GM$400,MATCH(ROWS($GP$3:GP232),$GM$3:$GM$400,0),9),"")</f>
        <v/>
      </c>
      <c r="GQ232" s="259">
        <f t="shared" ca="1" si="535"/>
        <v>0</v>
      </c>
      <c r="GR232" s="259">
        <f t="shared" ca="1" si="592"/>
        <v>0</v>
      </c>
      <c r="GS232" s="259" t="str">
        <f t="shared" ca="1" si="593"/>
        <v/>
      </c>
      <c r="GT232" s="259" t="str">
        <f ca="1">IFERROR(INDEX($GD$3:$GS$400,MATCH(ROWS($GT$3:GT232),$GM$3:$GM$400,0),16),"")</f>
        <v/>
      </c>
      <c r="GU232" s="259">
        <f ca="1">IF(GQ232&lt;&gt;0,MAX($GU$2:$GU231)+1,0)</f>
        <v>0</v>
      </c>
      <c r="GV232" s="259">
        <f t="shared" ca="1" si="594"/>
        <v>0</v>
      </c>
      <c r="GW232" s="259" t="str">
        <f ca="1">IF(AND(IFERROR(INDEX($GU$3:$GV$400,MATCH(ROWS($GW$3:GW232),$GU$3:$GU$400,0),2),"")&lt;&gt;"",GW233&lt;&gt;""),CONCATENATE(IFERROR(INDEX($GU$3:$GV$400,MATCH(ROWS($GW$3:GW232),$GU$3:$GU$400,0),2),"")," - "),IFERROR(INDEX($GU$3:$GV$400,MATCH(ROWS($GW$3:GW232),$GU$3:$GU$400,0),2),""))</f>
        <v/>
      </c>
      <c r="GX232" s="259">
        <f ca="1">IF(OR(GN232="IVA NS/CREDITO",GN232="IVA NS/DEBITO",GN232="IVA C/ACCONTO",GN232="IMPOSTE C/ACCONTO"),MAX($GX$2:GX231)+1,0)</f>
        <v>0</v>
      </c>
      <c r="GY232" s="259" t="str">
        <f ca="1">IF(AND(IFERROR(INDEX($GN$3:$GX$200,MATCH(ROWS($GY$3:GY232),$GX$3:$GX$200,0),1),"")&lt;&gt;"",GY233&lt;&gt;""),CONCATENATE(IFERROR(INDEX($GN$3:$GX$200,MATCH(ROWS($GY$3:GY232),$GX$3:$GX$200,0),1),"")," - "),IFERROR(INDEX($GN$3:$GX$200,MATCH(ROWS($GY$3:GY232),$GX$3:$GX$200,0),1),""))</f>
        <v/>
      </c>
      <c r="JA232" s="259" t="str">
        <f t="shared" ca="1" si="601"/>
        <v/>
      </c>
      <c r="JB232" s="259">
        <f t="shared" ca="1" si="536"/>
        <v>0</v>
      </c>
      <c r="JC232" s="259">
        <f t="shared" ref="JC232:JC295" ca="1" si="640">IF(OR(FB232&lt;0,FC232&lt;0),1,0)</f>
        <v>0</v>
      </c>
      <c r="JD232" s="259">
        <f t="shared" ref="JD232:JD295" ca="1" si="641">IF(AND(FB232&lt;&gt;0,FC232&lt;&gt;0),1,0)</f>
        <v>0</v>
      </c>
      <c r="JM232" s="259">
        <f t="shared" ref="JM232:JM295" ca="1" si="642">IF(AND(EY232&gt;0,EY232&gt;EY233,EY233&lt;&gt;0),1,0)</f>
        <v>0</v>
      </c>
    </row>
    <row r="233" spans="52:273">
      <c r="AZ233" s="259" t="str">
        <f t="shared" ca="1" si="616"/>
        <v/>
      </c>
      <c r="BA233" s="259">
        <f t="shared" ca="1" si="632"/>
        <v>0</v>
      </c>
      <c r="BB233" s="259">
        <f t="shared" ca="1" si="617"/>
        <v>0</v>
      </c>
      <c r="BC233" s="259">
        <f t="shared" ca="1" si="618"/>
        <v>0</v>
      </c>
      <c r="BD233" s="259">
        <f t="shared" ca="1" si="619"/>
        <v>0</v>
      </c>
      <c r="BE233" s="259">
        <f t="shared" ca="1" si="620"/>
        <v>0</v>
      </c>
      <c r="BQ233" s="259" t="str">
        <f ca="1">IFERROR(INDEX($BN$3:$BO$200,MATCH(ROWS(BQ$3:BQ233),$BP$3:$BP$220,0),1),"")</f>
        <v/>
      </c>
      <c r="CX233" s="259">
        <f t="shared" ca="1" si="623"/>
        <v>13</v>
      </c>
      <c r="CY233" s="259" t="str">
        <f t="shared" ca="1" si="607"/>
        <v>MASTRO</v>
      </c>
      <c r="CZ233" s="259" t="e">
        <f t="shared" ca="1" si="625"/>
        <v>#N/A</v>
      </c>
      <c r="DA233" s="259" t="str">
        <f t="shared" ca="1" si="631"/>
        <v/>
      </c>
      <c r="DB233" s="259" t="str">
        <f t="shared" ca="1" si="626"/>
        <v/>
      </c>
      <c r="DC233" s="259" t="str">
        <f t="shared" ca="1" si="627"/>
        <v/>
      </c>
      <c r="DD233" s="259" t="str">
        <f t="shared" ca="1" si="628"/>
        <v/>
      </c>
      <c r="DE233" s="259" t="str">
        <f t="shared" ca="1" si="629"/>
        <v/>
      </c>
      <c r="DF233" s="259">
        <f ca="1">IF(AND(CX233=$DE$2,$DF$2&lt;&gt;0),0,IF(AND(DB233&lt;&gt;"",OR(DB232&lt;&gt;"",DB234&lt;&gt;"")),MAX($DF$2:DF232)+1,0))</f>
        <v>0</v>
      </c>
      <c r="DG233" s="259" t="str">
        <f>IF(IF(LIBRO_GIORNALE!E141="","",IFERROR(INDEX(PIANO_DEI_CONTI,MATCH(BB233,DENOMINAZIONE,0),1),0))=0,"",IF(LIBRO_GIORNALE!E141="","",IFERROR(INDEX(PIANO_DEI_CONTI,MATCH(BB233,DENOMINAZIONE,0),1),0)))</f>
        <v/>
      </c>
      <c r="DS233" s="259">
        <f ca="1">MAX($DK$3:$DK$220)</f>
        <v>4</v>
      </c>
      <c r="DT233" s="259">
        <f ca="1">MAX($DQ$3:$DQ$220)</f>
        <v>0</v>
      </c>
      <c r="EC233" s="259">
        <f>IF(IF(DG233&lt;&gt;"",REPLACE(DG233,3,1,""),0)&lt;&gt;0,MAX(EC$2:EC232)+1,0)</f>
        <v>0</v>
      </c>
      <c r="ED233" s="259">
        <f t="shared" ca="1" si="529"/>
        <v>0</v>
      </c>
      <c r="EL233" s="259">
        <f t="shared" si="577"/>
        <v>231</v>
      </c>
      <c r="EM233" s="259">
        <f ca="1">IF(AND(BA233&gt;0,BA233&lt;=$EM$1),MAX($EM$2:EM232)+1,0)</f>
        <v>0</v>
      </c>
      <c r="EN233" s="259">
        <f t="shared" ca="1" si="578"/>
        <v>233</v>
      </c>
      <c r="EP233" s="259" t="str">
        <f t="shared" ca="1" si="530"/>
        <v/>
      </c>
      <c r="EQ233" s="259">
        <f t="shared" ca="1" si="531"/>
        <v>0</v>
      </c>
      <c r="ER233" s="259">
        <f ca="1">IF(ISNA(EQ233),MAX(ER$2:ER232)+1,0)</f>
        <v>0</v>
      </c>
      <c r="ES233" s="259" t="str">
        <f t="shared" ca="1" si="579"/>
        <v/>
      </c>
      <c r="ET233" s="259" t="str">
        <f ca="1">IFERROR(UPPER(INDEX($ER$3:$ES$500,MATCH(ROWS(ET$3:ET233),$ER$3:$ER$500,0),2)),"")</f>
        <v/>
      </c>
      <c r="EW233" s="259">
        <f t="shared" ca="1" si="633"/>
        <v>1</v>
      </c>
      <c r="EX233" s="259">
        <v>131</v>
      </c>
      <c r="EY233" s="259">
        <f t="shared" ca="1" si="634"/>
        <v>0</v>
      </c>
      <c r="EZ233" s="259">
        <f t="shared" ca="1" si="635"/>
        <v>0</v>
      </c>
      <c r="FA233" s="259">
        <f t="shared" ca="1" si="636"/>
        <v>0</v>
      </c>
      <c r="FB233" s="259">
        <f t="shared" ca="1" si="637"/>
        <v>0</v>
      </c>
      <c r="FC233" s="259">
        <f t="shared" ca="1" si="638"/>
        <v>0</v>
      </c>
      <c r="FD233" s="259">
        <f t="shared" ca="1" si="532"/>
        <v>0</v>
      </c>
      <c r="FE233" s="259" t="str">
        <f t="shared" ca="1" si="533"/>
        <v/>
      </c>
      <c r="FF233" s="259" t="str">
        <f t="shared" ca="1" si="639"/>
        <v/>
      </c>
      <c r="FM233" s="259">
        <f t="shared" si="534"/>
        <v>0</v>
      </c>
      <c r="FN233" s="259">
        <f>IF(FM233&lt;0,MAX($FN$2:FN232)+1,0)</f>
        <v>0</v>
      </c>
      <c r="FO233" s="259" t="str">
        <f t="shared" si="580"/>
        <v/>
      </c>
      <c r="FP233" s="259" t="str">
        <f ca="1">IFERROR(INDEX($FN$3:$FO$400,MATCH(ROWS($FP$3:FP233),$FN$3:$FN$400,0),2),"")</f>
        <v/>
      </c>
      <c r="FQ233" s="259" t="str">
        <f>IF(AE233="SE AVERE",MAX($FQ$2:FQ232)+1,"")</f>
        <v/>
      </c>
      <c r="FR233" s="259" t="str">
        <f>IF(AE233="SE DARE",MAX($FR$2:FR232)+1,"")</f>
        <v/>
      </c>
      <c r="FS233" s="259" t="str">
        <f ca="1">IF(AND(AE233="SP DARE",AA233&lt;&gt;$FS$1,AA233&lt;&gt;$FT$1),MAX($FS$2:FS232)+1,IF(AND(GQ233="SP DARE",AA233&lt;&gt;$FS$1,AA233&lt;&gt;$FT$1),MAX($FS$2:FS232)+1,""))</f>
        <v/>
      </c>
      <c r="FT233" s="259" t="str">
        <f ca="1">IF(AND(AE233="SP AVERE",AA233&lt;&gt;$FU$1),MAX($FT$2:FT232)+1,IF(AND(GQ233="SP AVERE",AA233&lt;&gt;$FU$1),MAX($FT$2:FT232)+1,""))</f>
        <v/>
      </c>
      <c r="FU233" s="259">
        <f t="shared" ca="1" si="581"/>
        <v>0</v>
      </c>
      <c r="FV233" s="259">
        <f t="shared" si="582"/>
        <v>0</v>
      </c>
      <c r="FW233" s="259">
        <f ca="1">IFERROR(INDEX($FU$3:$FV$500,MATCH(ROWS($FW$3:FW233),$FU$3:$FU$500,0),2),0)</f>
        <v>0</v>
      </c>
      <c r="FX233" s="259">
        <f t="shared" ca="1" si="583"/>
        <v>0</v>
      </c>
      <c r="FY233" s="259">
        <f t="shared" ca="1" si="584"/>
        <v>0</v>
      </c>
      <c r="FZ233" s="259">
        <f ca="1">IF(FY233&gt;0,MAX($FZ$2:FZ232)+1,0)</f>
        <v>0</v>
      </c>
      <c r="GA233" s="259">
        <f ca="1">IFERROR(INDEX($FY$3:$FZ$500,MATCH(ROWS($GA$3:GA233),$FZ$3:$FZ$500,0),1),0)</f>
        <v>0</v>
      </c>
      <c r="GC233" s="259">
        <f t="shared" ca="1" si="585"/>
        <v>0</v>
      </c>
      <c r="GD233" s="259">
        <f t="shared" ca="1" si="586"/>
        <v>0</v>
      </c>
      <c r="GG233" s="259">
        <f t="shared" ca="1" si="587"/>
        <v>0</v>
      </c>
      <c r="GH233" s="259">
        <f t="shared" ca="1" si="588"/>
        <v>0</v>
      </c>
      <c r="GI233" s="259">
        <f t="shared" ca="1" si="589"/>
        <v>0</v>
      </c>
      <c r="GJ233" s="259">
        <f t="shared" ca="1" si="590"/>
        <v>0</v>
      </c>
      <c r="GK233" s="259">
        <f t="shared" ca="1" si="591"/>
        <v>0</v>
      </c>
      <c r="GL233" s="259">
        <f t="shared" ca="1" si="591"/>
        <v>0</v>
      </c>
      <c r="GM233" s="259">
        <f ca="1">IF(OR(GK233&gt;0,GL233&gt;0),MAX($GM$2:GM232)+1,0)</f>
        <v>0</v>
      </c>
      <c r="GN233" s="259" t="str">
        <f ca="1">IFERROR(INDEX($GD$3:$GM$400,MATCH(ROWS($GN$3:GN233),$GM$3:$GM$400,0),1),"")</f>
        <v/>
      </c>
      <c r="GO233" s="259" t="str">
        <f ca="1">IFERROR(INDEX($GD$3:$GM$400,MATCH(ROWS($GO$3:GO233),$GM$3:$GM$400,0),8),"")</f>
        <v/>
      </c>
      <c r="GP233" s="259" t="str">
        <f ca="1">IFERROR(INDEX($GD$3:$GM$400,MATCH(ROWS($GP$3:GP233),$GM$3:$GM$400,0),9),"")</f>
        <v/>
      </c>
      <c r="GQ233" s="259">
        <f t="shared" ca="1" si="535"/>
        <v>0</v>
      </c>
      <c r="GR233" s="259">
        <f t="shared" ca="1" si="592"/>
        <v>0</v>
      </c>
      <c r="GS233" s="259" t="str">
        <f t="shared" ca="1" si="593"/>
        <v/>
      </c>
      <c r="GT233" s="259" t="str">
        <f ca="1">IFERROR(INDEX($GD$3:$GS$400,MATCH(ROWS($GT$3:GT233),$GM$3:$GM$400,0),16),"")</f>
        <v/>
      </c>
      <c r="GU233" s="259">
        <f ca="1">IF(GQ233&lt;&gt;0,MAX($GU$2:$GU232)+1,0)</f>
        <v>0</v>
      </c>
      <c r="GV233" s="259">
        <f t="shared" ca="1" si="594"/>
        <v>0</v>
      </c>
      <c r="GW233" s="259" t="str">
        <f ca="1">IF(AND(IFERROR(INDEX($GU$3:$GV$400,MATCH(ROWS($GW$3:GW233),$GU$3:$GU$400,0),2),"")&lt;&gt;"",GW234&lt;&gt;""),CONCATENATE(IFERROR(INDEX($GU$3:$GV$400,MATCH(ROWS($GW$3:GW233),$GU$3:$GU$400,0),2),"")," - "),IFERROR(INDEX($GU$3:$GV$400,MATCH(ROWS($GW$3:GW233),$GU$3:$GU$400,0),2),""))</f>
        <v/>
      </c>
      <c r="GX233" s="259">
        <f ca="1">IF(OR(GN233="IVA NS/CREDITO",GN233="IVA NS/DEBITO",GN233="IVA C/ACCONTO",GN233="IMPOSTE C/ACCONTO"),MAX($GX$2:GX232)+1,0)</f>
        <v>0</v>
      </c>
      <c r="GY233" s="259" t="str">
        <f ca="1">IF(AND(IFERROR(INDEX($GN$3:$GX$200,MATCH(ROWS($GY$3:GY233),$GX$3:$GX$200,0),1),"")&lt;&gt;"",GY234&lt;&gt;""),CONCATENATE(IFERROR(INDEX($GN$3:$GX$200,MATCH(ROWS($GY$3:GY233),$GX$3:$GX$200,0),1),"")," - "),IFERROR(INDEX($GN$3:$GX$200,MATCH(ROWS($GY$3:GY233),$GX$3:$GX$200,0),1),""))</f>
        <v/>
      </c>
      <c r="JA233" s="259" t="str">
        <f t="shared" ca="1" si="601"/>
        <v/>
      </c>
      <c r="JB233" s="259">
        <f t="shared" ca="1" si="536"/>
        <v>0</v>
      </c>
      <c r="JC233" s="259">
        <f t="shared" ca="1" si="640"/>
        <v>0</v>
      </c>
      <c r="JD233" s="259">
        <f t="shared" ca="1" si="641"/>
        <v>0</v>
      </c>
      <c r="JM233" s="259">
        <f t="shared" ca="1" si="642"/>
        <v>0</v>
      </c>
    </row>
    <row r="234" spans="52:273">
      <c r="AZ234" s="259" t="str">
        <f t="shared" ca="1" si="616"/>
        <v/>
      </c>
      <c r="BA234" s="259">
        <f t="shared" ca="1" si="632"/>
        <v>0</v>
      </c>
      <c r="BB234" s="259">
        <f t="shared" ca="1" si="617"/>
        <v>0</v>
      </c>
      <c r="BC234" s="259">
        <f t="shared" ca="1" si="618"/>
        <v>0</v>
      </c>
      <c r="BD234" s="259">
        <f t="shared" ca="1" si="619"/>
        <v>0</v>
      </c>
      <c r="BE234" s="259">
        <f t="shared" ca="1" si="620"/>
        <v>0</v>
      </c>
      <c r="BQ234" s="259" t="str">
        <f ca="1">IFERROR(INDEX($BN$3:$BO$200,MATCH(ROWS(BQ$3:BQ234),$BP$3:$BP$220,0),1),"")</f>
        <v/>
      </c>
      <c r="CX234" s="259">
        <f t="shared" ca="1" si="623"/>
        <v>13</v>
      </c>
      <c r="CY234" s="259" t="str">
        <f t="shared" ref="CY234:CY270" ca="1" si="643">IF(ISERROR(INDEX($CV$3:$CX$2300,MATCH(CX234,$CW$3:$CW$2300,0),1)),"MASTRO",INDEX($CV$3:$CX$2300,MATCH(CX234,$CW$3:$CW$2300,0),1))</f>
        <v>MASTRO</v>
      </c>
      <c r="CZ234" s="259" t="e">
        <f t="shared" ca="1" si="625"/>
        <v>#N/A</v>
      </c>
      <c r="DA234" s="259" t="str">
        <f t="shared" ca="1" si="631"/>
        <v/>
      </c>
      <c r="DB234" s="259" t="str">
        <f t="shared" ca="1" si="626"/>
        <v/>
      </c>
      <c r="DC234" s="259" t="str">
        <f t="shared" ca="1" si="627"/>
        <v/>
      </c>
      <c r="DD234" s="259" t="str">
        <f t="shared" ca="1" si="628"/>
        <v/>
      </c>
      <c r="DE234" s="259" t="str">
        <f t="shared" ca="1" si="629"/>
        <v/>
      </c>
      <c r="DF234" s="259">
        <f ca="1">IF(AND(CX234=$DE$2,$DF$2&lt;&gt;0),0,IF(AND(DB234&lt;&gt;"",OR(DB233&lt;&gt;"",DB235&lt;&gt;"")),MAX($DF$2:DF233)+1,0))</f>
        <v>0</v>
      </c>
      <c r="DG234" s="259" t="str">
        <f>IF(IF(LIBRO_GIORNALE!E142="","",IFERROR(INDEX(PIANO_DEI_CONTI,MATCH(BB234,DENOMINAZIONE,0),1),0))=0,"",IF(LIBRO_GIORNALE!E142="","",IFERROR(INDEX(PIANO_DEI_CONTI,MATCH(BB234,DENOMINAZIONE,0),1),0)))</f>
        <v/>
      </c>
      <c r="EC234" s="259">
        <f>IF(IF(DG234&lt;&gt;"",REPLACE(DG234,3,1,""),0)&lt;&gt;0,MAX(EC$2:EC233)+1,0)</f>
        <v>0</v>
      </c>
      <c r="ED234" s="259">
        <f t="shared" ca="1" si="529"/>
        <v>0</v>
      </c>
      <c r="EL234" s="259">
        <f t="shared" si="577"/>
        <v>232</v>
      </c>
      <c r="EM234" s="259">
        <f ca="1">IF(AND(BA234&gt;0,BA234&lt;=$EM$1),MAX($EM$2:EM233)+1,0)</f>
        <v>0</v>
      </c>
      <c r="EN234" s="259">
        <f t="shared" ca="1" si="578"/>
        <v>234</v>
      </c>
      <c r="EP234" s="259" t="str">
        <f t="shared" ca="1" si="530"/>
        <v/>
      </c>
      <c r="EQ234" s="259">
        <f t="shared" ca="1" si="531"/>
        <v>0</v>
      </c>
      <c r="ER234" s="259">
        <f ca="1">IF(ISNA(EQ234),MAX(ER$2:ER233)+1,0)</f>
        <v>0</v>
      </c>
      <c r="ES234" s="259" t="str">
        <f t="shared" ca="1" si="579"/>
        <v/>
      </c>
      <c r="ET234" s="259" t="str">
        <f ca="1">IFERROR(UPPER(INDEX($ER$3:$ES$500,MATCH(ROWS(ET$3:ET234),$ER$3:$ER$500,0),2)),"")</f>
        <v/>
      </c>
      <c r="EW234" s="259">
        <f t="shared" ca="1" si="633"/>
        <v>1</v>
      </c>
      <c r="EX234" s="259">
        <v>132</v>
      </c>
      <c r="EY234" s="259">
        <f t="shared" ca="1" si="634"/>
        <v>0</v>
      </c>
      <c r="EZ234" s="259">
        <f t="shared" ca="1" si="635"/>
        <v>0</v>
      </c>
      <c r="FA234" s="259">
        <f t="shared" ca="1" si="636"/>
        <v>0</v>
      </c>
      <c r="FB234" s="259">
        <f t="shared" ca="1" si="637"/>
        <v>0</v>
      </c>
      <c r="FC234" s="259">
        <f t="shared" ca="1" si="638"/>
        <v>0</v>
      </c>
      <c r="FD234" s="259">
        <f t="shared" ca="1" si="532"/>
        <v>0</v>
      </c>
      <c r="FE234" s="259" t="str">
        <f t="shared" ca="1" si="533"/>
        <v/>
      </c>
      <c r="FF234" s="259" t="str">
        <f t="shared" ca="1" si="639"/>
        <v/>
      </c>
      <c r="FM234" s="259">
        <f t="shared" si="534"/>
        <v>0</v>
      </c>
      <c r="FN234" s="259">
        <f>IF(FM234&lt;0,MAX($FN$2:FN233)+1,0)</f>
        <v>0</v>
      </c>
      <c r="FO234" s="259" t="str">
        <f t="shared" si="580"/>
        <v/>
      </c>
      <c r="FP234" s="259" t="str">
        <f ca="1">IFERROR(INDEX($FN$3:$FO$400,MATCH(ROWS($FP$3:FP234),$FN$3:$FN$400,0),2),"")</f>
        <v/>
      </c>
      <c r="FQ234" s="259" t="str">
        <f>IF(AE234="SE AVERE",MAX($FQ$2:FQ233)+1,"")</f>
        <v/>
      </c>
      <c r="FR234" s="259" t="str">
        <f>IF(AE234="SE DARE",MAX($FR$2:FR233)+1,"")</f>
        <v/>
      </c>
      <c r="FS234" s="259" t="str">
        <f ca="1">IF(AND(AE234="SP DARE",AA234&lt;&gt;$FS$1,AA234&lt;&gt;$FT$1),MAX($FS$2:FS233)+1,IF(AND(GQ234="SP DARE",AA234&lt;&gt;$FS$1,AA234&lt;&gt;$FT$1),MAX($FS$2:FS233)+1,""))</f>
        <v/>
      </c>
      <c r="FT234" s="259" t="str">
        <f ca="1">IF(AND(AE234="SP AVERE",AA234&lt;&gt;$FU$1),MAX($FT$2:FT233)+1,IF(AND(GQ234="SP AVERE",AA234&lt;&gt;$FU$1),MAX($FT$2:FT233)+1,""))</f>
        <v/>
      </c>
      <c r="FU234" s="259">
        <f t="shared" ca="1" si="581"/>
        <v>0</v>
      </c>
      <c r="FV234" s="259">
        <f t="shared" si="582"/>
        <v>0</v>
      </c>
      <c r="FW234" s="259">
        <f ca="1">IFERROR(INDEX($FU$3:$FV$500,MATCH(ROWS($FW$3:FW234),$FU$3:$FU$500,0),2),0)</f>
        <v>0</v>
      </c>
      <c r="FX234" s="259">
        <f t="shared" ca="1" si="583"/>
        <v>0</v>
      </c>
      <c r="FY234" s="259">
        <f t="shared" ca="1" si="584"/>
        <v>0</v>
      </c>
      <c r="FZ234" s="259">
        <f ca="1">IF(FY234&gt;0,MAX($FZ$2:FZ233)+1,0)</f>
        <v>0</v>
      </c>
      <c r="GA234" s="259">
        <f ca="1">IFERROR(INDEX($FY$3:$FZ$500,MATCH(ROWS($GA$3:GA234),$FZ$3:$FZ$500,0),1),0)</f>
        <v>0</v>
      </c>
      <c r="GC234" s="259">
        <f t="shared" ca="1" si="585"/>
        <v>0</v>
      </c>
      <c r="GD234" s="259">
        <f t="shared" ca="1" si="586"/>
        <v>0</v>
      </c>
      <c r="GG234" s="259">
        <f t="shared" ca="1" si="587"/>
        <v>0</v>
      </c>
      <c r="GH234" s="259">
        <f t="shared" ca="1" si="588"/>
        <v>0</v>
      </c>
      <c r="GI234" s="259">
        <f t="shared" ca="1" si="589"/>
        <v>0</v>
      </c>
      <c r="GJ234" s="259">
        <f t="shared" ca="1" si="590"/>
        <v>0</v>
      </c>
      <c r="GK234" s="259">
        <f t="shared" ca="1" si="591"/>
        <v>0</v>
      </c>
      <c r="GL234" s="259">
        <f t="shared" ca="1" si="591"/>
        <v>0</v>
      </c>
      <c r="GM234" s="259">
        <f ca="1">IF(OR(GK234&gt;0,GL234&gt;0),MAX($GM$2:GM233)+1,0)</f>
        <v>0</v>
      </c>
      <c r="GN234" s="259" t="str">
        <f ca="1">IFERROR(INDEX($GD$3:$GM$400,MATCH(ROWS($GN$3:GN234),$GM$3:$GM$400,0),1),"")</f>
        <v/>
      </c>
      <c r="GO234" s="259" t="str">
        <f ca="1">IFERROR(INDEX($GD$3:$GM$400,MATCH(ROWS($GO$3:GO234),$GM$3:$GM$400,0),8),"")</f>
        <v/>
      </c>
      <c r="GP234" s="259" t="str">
        <f ca="1">IFERROR(INDEX($GD$3:$GM$400,MATCH(ROWS($GP$3:GP234),$GM$3:$GM$400,0),9),"")</f>
        <v/>
      </c>
      <c r="GQ234" s="259">
        <f t="shared" ca="1" si="535"/>
        <v>0</v>
      </c>
      <c r="GR234" s="259">
        <f t="shared" ca="1" si="592"/>
        <v>0</v>
      </c>
      <c r="GS234" s="259" t="str">
        <f t="shared" ca="1" si="593"/>
        <v/>
      </c>
      <c r="GT234" s="259" t="str">
        <f ca="1">IFERROR(INDEX($GD$3:$GS$400,MATCH(ROWS($GT$3:GT234),$GM$3:$GM$400,0),16),"")</f>
        <v/>
      </c>
      <c r="GU234" s="259">
        <f ca="1">IF(GQ234&lt;&gt;0,MAX($GU$2:$GU233)+1,0)</f>
        <v>0</v>
      </c>
      <c r="GV234" s="259">
        <f t="shared" ca="1" si="594"/>
        <v>0</v>
      </c>
      <c r="GW234" s="259" t="str">
        <f ca="1">IF(AND(IFERROR(INDEX($GU$3:$GV$400,MATCH(ROWS($GW$3:GW234),$GU$3:$GU$400,0),2),"")&lt;&gt;"",GW235&lt;&gt;""),CONCATENATE(IFERROR(INDEX($GU$3:$GV$400,MATCH(ROWS($GW$3:GW234),$GU$3:$GU$400,0),2),"")," - "),IFERROR(INDEX($GU$3:$GV$400,MATCH(ROWS($GW$3:GW234),$GU$3:$GU$400,0),2),""))</f>
        <v/>
      </c>
      <c r="GX234" s="259">
        <f ca="1">IF(OR(GN234="IVA NS/CREDITO",GN234="IVA NS/DEBITO",GN234="IVA C/ACCONTO",GN234="IMPOSTE C/ACCONTO"),MAX($GX$2:GX233)+1,0)</f>
        <v>0</v>
      </c>
      <c r="GY234" s="259" t="str">
        <f ca="1">IF(AND(IFERROR(INDEX($GN$3:$GX$200,MATCH(ROWS($GY$3:GY234),$GX$3:$GX$200,0),1),"")&lt;&gt;"",GY235&lt;&gt;""),CONCATENATE(IFERROR(INDEX($GN$3:$GX$200,MATCH(ROWS($GY$3:GY234),$GX$3:$GX$200,0),1),"")," - "),IFERROR(INDEX($GN$3:$GX$200,MATCH(ROWS($GY$3:GY234),$GX$3:$GX$200,0),1),""))</f>
        <v/>
      </c>
      <c r="JA234" s="259" t="str">
        <f t="shared" ca="1" si="601"/>
        <v/>
      </c>
      <c r="JB234" s="259">
        <f t="shared" ca="1" si="536"/>
        <v>0</v>
      </c>
      <c r="JC234" s="259">
        <f t="shared" ca="1" si="640"/>
        <v>0</v>
      </c>
      <c r="JD234" s="259">
        <f t="shared" ca="1" si="641"/>
        <v>0</v>
      </c>
      <c r="JM234" s="259">
        <f t="shared" ca="1" si="642"/>
        <v>0</v>
      </c>
    </row>
    <row r="235" spans="52:273">
      <c r="AZ235" s="259" t="str">
        <f t="shared" ca="1" si="616"/>
        <v/>
      </c>
      <c r="BA235" s="259">
        <f t="shared" ca="1" si="632"/>
        <v>0</v>
      </c>
      <c r="BB235" s="259">
        <f t="shared" ca="1" si="617"/>
        <v>0</v>
      </c>
      <c r="BC235" s="259">
        <f t="shared" ca="1" si="618"/>
        <v>0</v>
      </c>
      <c r="BD235" s="259">
        <f t="shared" ca="1" si="619"/>
        <v>0</v>
      </c>
      <c r="BE235" s="259">
        <f t="shared" ca="1" si="620"/>
        <v>0</v>
      </c>
      <c r="BQ235" s="259" t="str">
        <f ca="1">IFERROR(INDEX($BN$3:$BO$200,MATCH(ROWS(BQ$3:BQ235),$BP$3:$BP$220,0),1),"")</f>
        <v/>
      </c>
      <c r="CX235" s="259">
        <f t="shared" ca="1" si="623"/>
        <v>13</v>
      </c>
      <c r="CY235" s="259" t="str">
        <f t="shared" ca="1" si="643"/>
        <v>MASTRO</v>
      </c>
      <c r="CZ235" s="259" t="e">
        <f t="shared" ca="1" si="625"/>
        <v>#N/A</v>
      </c>
      <c r="DA235" s="259" t="str">
        <f t="shared" ca="1" si="631"/>
        <v/>
      </c>
      <c r="DB235" s="259" t="str">
        <f t="shared" ca="1" si="626"/>
        <v/>
      </c>
      <c r="DC235" s="259" t="str">
        <f t="shared" ca="1" si="627"/>
        <v/>
      </c>
      <c r="DD235" s="259" t="str">
        <f t="shared" ca="1" si="628"/>
        <v/>
      </c>
      <c r="DE235" s="259" t="str">
        <f t="shared" ca="1" si="629"/>
        <v/>
      </c>
      <c r="DF235" s="259">
        <f ca="1">IF(AND(CX235=$DE$2,$DF$2&lt;&gt;0),0,IF(AND(DB235&lt;&gt;"",OR(DB234&lt;&gt;"",DB236&lt;&gt;"")),MAX($DF$2:DF234)+1,0))</f>
        <v>0</v>
      </c>
      <c r="DG235" s="259" t="str">
        <f>IF(IF(LIBRO_GIORNALE!E143="","",IFERROR(INDEX(PIANO_DEI_CONTI,MATCH(BB235,DENOMINAZIONE,0),1),0))=0,"",IF(LIBRO_GIORNALE!E143="","",IFERROR(INDEX(PIANO_DEI_CONTI,MATCH(BB235,DENOMINAZIONE,0),1),0)))</f>
        <v/>
      </c>
      <c r="EC235" s="259">
        <f>IF(IF(DG235&lt;&gt;"",REPLACE(DG235,3,1,""),0)&lt;&gt;0,MAX(EC$2:EC234)+1,0)</f>
        <v>0</v>
      </c>
      <c r="ED235" s="259">
        <f t="shared" ca="1" si="529"/>
        <v>0</v>
      </c>
      <c r="EL235" s="259">
        <f t="shared" si="577"/>
        <v>233</v>
      </c>
      <c r="EM235" s="259">
        <f ca="1">IF(AND(BA235&gt;0,BA235&lt;=$EM$1),MAX($EM$2:EM234)+1,0)</f>
        <v>0</v>
      </c>
      <c r="EN235" s="259">
        <f t="shared" ca="1" si="578"/>
        <v>235</v>
      </c>
      <c r="EP235" s="259" t="str">
        <f t="shared" ca="1" si="530"/>
        <v/>
      </c>
      <c r="EQ235" s="259">
        <f t="shared" ca="1" si="531"/>
        <v>0</v>
      </c>
      <c r="ER235" s="259">
        <f ca="1">IF(ISNA(EQ235),MAX(ER$2:ER234)+1,0)</f>
        <v>0</v>
      </c>
      <c r="ES235" s="259" t="str">
        <f t="shared" ca="1" si="579"/>
        <v/>
      </c>
      <c r="ET235" s="259" t="str">
        <f ca="1">IFERROR(UPPER(INDEX($ER$3:$ES$500,MATCH(ROWS(ET$3:ET235),$ER$3:$ER$500,0),2)),"")</f>
        <v/>
      </c>
      <c r="EW235" s="259">
        <f t="shared" ca="1" si="633"/>
        <v>1</v>
      </c>
      <c r="EX235" s="259">
        <v>133</v>
      </c>
      <c r="EY235" s="259">
        <f t="shared" ca="1" si="634"/>
        <v>0</v>
      </c>
      <c r="EZ235" s="259">
        <f t="shared" ca="1" si="635"/>
        <v>0</v>
      </c>
      <c r="FA235" s="259">
        <f t="shared" ca="1" si="636"/>
        <v>0</v>
      </c>
      <c r="FB235" s="259">
        <f t="shared" ca="1" si="637"/>
        <v>0</v>
      </c>
      <c r="FC235" s="259">
        <f t="shared" ca="1" si="638"/>
        <v>0</v>
      </c>
      <c r="FD235" s="259">
        <f t="shared" ca="1" si="532"/>
        <v>0</v>
      </c>
      <c r="FE235" s="259" t="str">
        <f t="shared" ca="1" si="533"/>
        <v/>
      </c>
      <c r="FF235" s="259" t="str">
        <f t="shared" ca="1" si="639"/>
        <v/>
      </c>
      <c r="FM235" s="259">
        <f t="shared" si="534"/>
        <v>0</v>
      </c>
      <c r="FN235" s="259">
        <f>IF(FM235&lt;0,MAX($FN$2:FN234)+1,0)</f>
        <v>0</v>
      </c>
      <c r="FO235" s="259" t="str">
        <f t="shared" si="580"/>
        <v/>
      </c>
      <c r="FP235" s="259" t="str">
        <f ca="1">IFERROR(INDEX($FN$3:$FO$400,MATCH(ROWS($FP$3:FP235),$FN$3:$FN$400,0),2),"")</f>
        <v/>
      </c>
      <c r="FQ235" s="259" t="str">
        <f>IF(AE235="SE AVERE",MAX($FQ$2:FQ234)+1,"")</f>
        <v/>
      </c>
      <c r="FR235" s="259" t="str">
        <f>IF(AE235="SE DARE",MAX($FR$2:FR234)+1,"")</f>
        <v/>
      </c>
      <c r="FS235" s="259" t="str">
        <f ca="1">IF(AND(AE235="SP DARE",AA235&lt;&gt;$FS$1,AA235&lt;&gt;$FT$1),MAX($FS$2:FS234)+1,IF(AND(GQ235="SP DARE",AA235&lt;&gt;$FS$1,AA235&lt;&gt;$FT$1),MAX($FS$2:FS234)+1,""))</f>
        <v/>
      </c>
      <c r="FT235" s="259" t="str">
        <f ca="1">IF(AND(AE235="SP AVERE",AA235&lt;&gt;$FU$1),MAX($FT$2:FT234)+1,IF(AND(GQ235="SP AVERE",AA235&lt;&gt;$FU$1),MAX($FT$2:FT234)+1,""))</f>
        <v/>
      </c>
      <c r="FU235" s="259">
        <f t="shared" ca="1" si="581"/>
        <v>0</v>
      </c>
      <c r="FV235" s="259">
        <f t="shared" si="582"/>
        <v>0</v>
      </c>
      <c r="FW235" s="259">
        <f ca="1">IFERROR(INDEX($FU$3:$FV$500,MATCH(ROWS($FW$3:FW235),$FU$3:$FU$500,0),2),0)</f>
        <v>0</v>
      </c>
      <c r="FX235" s="259">
        <f t="shared" ca="1" si="583"/>
        <v>0</v>
      </c>
      <c r="FY235" s="259">
        <f t="shared" ca="1" si="584"/>
        <v>0</v>
      </c>
      <c r="FZ235" s="259">
        <f ca="1">IF(FY235&gt;0,MAX($FZ$2:FZ234)+1,0)</f>
        <v>0</v>
      </c>
      <c r="GA235" s="259">
        <f ca="1">IFERROR(INDEX($FY$3:$FZ$500,MATCH(ROWS($GA$3:GA235),$FZ$3:$FZ$500,0),1),0)</f>
        <v>0</v>
      </c>
      <c r="GC235" s="259">
        <f t="shared" ca="1" si="585"/>
        <v>0</v>
      </c>
      <c r="GD235" s="259">
        <f t="shared" ca="1" si="586"/>
        <v>0</v>
      </c>
      <c r="GG235" s="259">
        <f t="shared" ca="1" si="587"/>
        <v>0</v>
      </c>
      <c r="GH235" s="259">
        <f t="shared" ca="1" si="588"/>
        <v>0</v>
      </c>
      <c r="GI235" s="259">
        <f t="shared" ca="1" si="589"/>
        <v>0</v>
      </c>
      <c r="GJ235" s="259">
        <f t="shared" ca="1" si="590"/>
        <v>0</v>
      </c>
      <c r="GK235" s="259">
        <f t="shared" ca="1" si="591"/>
        <v>0</v>
      </c>
      <c r="GL235" s="259">
        <f t="shared" ca="1" si="591"/>
        <v>0</v>
      </c>
      <c r="GM235" s="259">
        <f ca="1">IF(OR(GK235&gt;0,GL235&gt;0),MAX($GM$2:GM234)+1,0)</f>
        <v>0</v>
      </c>
      <c r="GN235" s="259" t="str">
        <f ca="1">IFERROR(INDEX($GD$3:$GM$400,MATCH(ROWS($GN$3:GN235),$GM$3:$GM$400,0),1),"")</f>
        <v/>
      </c>
      <c r="GO235" s="259" t="str">
        <f ca="1">IFERROR(INDEX($GD$3:$GM$400,MATCH(ROWS($GO$3:GO235),$GM$3:$GM$400,0),8),"")</f>
        <v/>
      </c>
      <c r="GP235" s="259" t="str">
        <f ca="1">IFERROR(INDEX($GD$3:$GM$400,MATCH(ROWS($GP$3:GP235),$GM$3:$GM$400,0),9),"")</f>
        <v/>
      </c>
      <c r="GQ235" s="259">
        <f t="shared" ca="1" si="535"/>
        <v>0</v>
      </c>
      <c r="GR235" s="259">
        <f t="shared" ca="1" si="592"/>
        <v>0</v>
      </c>
      <c r="GS235" s="259" t="str">
        <f t="shared" ca="1" si="593"/>
        <v/>
      </c>
      <c r="GT235" s="259" t="str">
        <f ca="1">IFERROR(INDEX($GD$3:$GS$400,MATCH(ROWS($GT$3:GT235),$GM$3:$GM$400,0),16),"")</f>
        <v/>
      </c>
      <c r="GU235" s="259">
        <f ca="1">IF(GQ235&lt;&gt;0,MAX($GU$2:$GU234)+1,0)</f>
        <v>0</v>
      </c>
      <c r="GV235" s="259">
        <f t="shared" ca="1" si="594"/>
        <v>0</v>
      </c>
      <c r="GW235" s="259" t="str">
        <f ca="1">IF(AND(IFERROR(INDEX($GU$3:$GV$400,MATCH(ROWS($GW$3:GW235),$GU$3:$GU$400,0),2),"")&lt;&gt;"",GW236&lt;&gt;""),CONCATENATE(IFERROR(INDEX($GU$3:$GV$400,MATCH(ROWS($GW$3:GW235),$GU$3:$GU$400,0),2),"")," - "),IFERROR(INDEX($GU$3:$GV$400,MATCH(ROWS($GW$3:GW235),$GU$3:$GU$400,0),2),""))</f>
        <v/>
      </c>
      <c r="GX235" s="259">
        <f ca="1">IF(OR(GN235="IVA NS/CREDITO",GN235="IVA NS/DEBITO",GN235="IVA C/ACCONTO",GN235="IMPOSTE C/ACCONTO"),MAX($GX$2:GX234)+1,0)</f>
        <v>0</v>
      </c>
      <c r="GY235" s="259" t="str">
        <f ca="1">IF(AND(IFERROR(INDEX($GN$3:$GX$200,MATCH(ROWS($GY$3:GY235),$GX$3:$GX$200,0),1),"")&lt;&gt;"",GY236&lt;&gt;""),CONCATENATE(IFERROR(INDEX($GN$3:$GX$200,MATCH(ROWS($GY$3:GY235),$GX$3:$GX$200,0),1),"")," - "),IFERROR(INDEX($GN$3:$GX$200,MATCH(ROWS($GY$3:GY235),$GX$3:$GX$200,0),1),""))</f>
        <v/>
      </c>
      <c r="JA235" s="259" t="str">
        <f t="shared" ca="1" si="601"/>
        <v/>
      </c>
      <c r="JB235" s="259">
        <f t="shared" ca="1" si="536"/>
        <v>0</v>
      </c>
      <c r="JC235" s="259">
        <f t="shared" ca="1" si="640"/>
        <v>0</v>
      </c>
      <c r="JD235" s="259">
        <f t="shared" ca="1" si="641"/>
        <v>0</v>
      </c>
      <c r="JM235" s="259">
        <f t="shared" ca="1" si="642"/>
        <v>0</v>
      </c>
    </row>
    <row r="236" spans="52:273">
      <c r="AZ236" s="259" t="str">
        <f t="shared" ca="1" si="616"/>
        <v/>
      </c>
      <c r="BA236" s="259">
        <f t="shared" ca="1" si="632"/>
        <v>0</v>
      </c>
      <c r="BB236" s="259">
        <f t="shared" ca="1" si="617"/>
        <v>0</v>
      </c>
      <c r="BC236" s="259">
        <f t="shared" ca="1" si="618"/>
        <v>0</v>
      </c>
      <c r="BD236" s="259">
        <f t="shared" ca="1" si="619"/>
        <v>0</v>
      </c>
      <c r="BE236" s="259">
        <f t="shared" ca="1" si="620"/>
        <v>0</v>
      </c>
      <c r="BQ236" s="259" t="str">
        <f ca="1">IFERROR(INDEX($BN$3:$BO$200,MATCH(ROWS(BQ$3:BQ236),$BP$3:$BP$220,0),1),"")</f>
        <v/>
      </c>
      <c r="CX236" s="259" t="str">
        <f>IFERROR(IF(CX218+1=1,"",(CX218+1)),"")</f>
        <v/>
      </c>
      <c r="CY236" s="259" t="str">
        <f t="shared" ca="1" si="643"/>
        <v>MASTRO</v>
      </c>
      <c r="DB236" s="259" t="str">
        <f t="shared" ref="DB236" ca="1" si="644">CY236</f>
        <v>MASTRO</v>
      </c>
      <c r="DF236" s="259">
        <f ca="1">IF(AND(CX236=$DE$2,$DF$2&lt;&gt;0),0,IF(AND(DB236&lt;&gt;"",OR(DB235&lt;&gt;"",DB237&lt;&gt;"")),MAX($DF$2:DF235)+1,0))</f>
        <v>0</v>
      </c>
      <c r="DG236" s="259" t="str">
        <f>IF(IF(LIBRO_GIORNALE!E144="","",IFERROR(INDEX(PIANO_DEI_CONTI,MATCH(BB236,DENOMINAZIONE,0),1),0))=0,"",IF(LIBRO_GIORNALE!E144="","",IFERROR(INDEX(PIANO_DEI_CONTI,MATCH(BB236,DENOMINAZIONE,0),1),0)))</f>
        <v/>
      </c>
      <c r="EC236" s="259">
        <f>IF(IF(DG236&lt;&gt;"",REPLACE(DG236,3,1,""),0)&lt;&gt;0,MAX(EC$2:EC235)+1,0)</f>
        <v>0</v>
      </c>
      <c r="ED236" s="259">
        <f t="shared" ca="1" si="529"/>
        <v>0</v>
      </c>
      <c r="EL236" s="259">
        <f t="shared" si="577"/>
        <v>234</v>
      </c>
      <c r="EM236" s="259">
        <f ca="1">IF(AND(BA236&gt;0,BA236&lt;=$EM$1),MAX($EM$2:EM235)+1,0)</f>
        <v>0</v>
      </c>
      <c r="EN236" s="259">
        <f t="shared" ca="1" si="578"/>
        <v>236</v>
      </c>
      <c r="EP236" s="259" t="str">
        <f t="shared" ca="1" si="530"/>
        <v/>
      </c>
      <c r="EQ236" s="259">
        <f t="shared" ca="1" si="531"/>
        <v>0</v>
      </c>
      <c r="ER236" s="259">
        <f ca="1">IF(ISNA(EQ236),MAX(ER$2:ER235)+1,0)</f>
        <v>0</v>
      </c>
      <c r="ES236" s="259" t="str">
        <f t="shared" ca="1" si="579"/>
        <v/>
      </c>
      <c r="ET236" s="259" t="str">
        <f ca="1">IFERROR(UPPER(INDEX($ER$3:$ES$500,MATCH(ROWS(ET$3:ET236),$ER$3:$ER$500,0),2)),"")</f>
        <v/>
      </c>
      <c r="EW236" s="259">
        <f t="shared" ca="1" si="633"/>
        <v>1</v>
      </c>
      <c r="EX236" s="259">
        <v>134</v>
      </c>
      <c r="EY236" s="259">
        <f t="shared" ca="1" si="634"/>
        <v>0</v>
      </c>
      <c r="EZ236" s="259">
        <f t="shared" ca="1" si="635"/>
        <v>0</v>
      </c>
      <c r="FA236" s="259">
        <f t="shared" ca="1" si="636"/>
        <v>0</v>
      </c>
      <c r="FB236" s="259">
        <f t="shared" ca="1" si="637"/>
        <v>0</v>
      </c>
      <c r="FC236" s="259">
        <f t="shared" ca="1" si="638"/>
        <v>0</v>
      </c>
      <c r="FD236" s="259">
        <f t="shared" ca="1" si="532"/>
        <v>0</v>
      </c>
      <c r="FE236" s="259" t="str">
        <f t="shared" ca="1" si="533"/>
        <v/>
      </c>
      <c r="FF236" s="259" t="str">
        <f t="shared" ca="1" si="639"/>
        <v/>
      </c>
      <c r="FM236" s="259">
        <f t="shared" si="534"/>
        <v>0</v>
      </c>
      <c r="FN236" s="259">
        <f>IF(FM236&lt;0,MAX($FN$2:FN235)+1,0)</f>
        <v>0</v>
      </c>
      <c r="FO236" s="259" t="str">
        <f t="shared" si="580"/>
        <v/>
      </c>
      <c r="FP236" s="259" t="str">
        <f ca="1">IFERROR(INDEX($FN$3:$FO$400,MATCH(ROWS($FP$3:FP236),$FN$3:$FN$400,0),2),"")</f>
        <v/>
      </c>
      <c r="FQ236" s="259" t="str">
        <f>IF(AE236="SE AVERE",MAX($FQ$2:FQ235)+1,"")</f>
        <v/>
      </c>
      <c r="FR236" s="259" t="str">
        <f>IF(AE236="SE DARE",MAX($FR$2:FR235)+1,"")</f>
        <v/>
      </c>
      <c r="FS236" s="259" t="str">
        <f ca="1">IF(AND(AE236="SP DARE",AA236&lt;&gt;$FS$1,AA236&lt;&gt;$FT$1),MAX($FS$2:FS235)+1,IF(AND(GQ236="SP DARE",AA236&lt;&gt;$FS$1,AA236&lt;&gt;$FT$1),MAX($FS$2:FS235)+1,""))</f>
        <v/>
      </c>
      <c r="FT236" s="259" t="str">
        <f ca="1">IF(AND(AE236="SP AVERE",AA236&lt;&gt;$FU$1),MAX($FT$2:FT235)+1,IF(AND(GQ236="SP AVERE",AA236&lt;&gt;$FU$1),MAX($FT$2:FT235)+1,""))</f>
        <v/>
      </c>
      <c r="FU236" s="259">
        <f t="shared" ca="1" si="581"/>
        <v>0</v>
      </c>
      <c r="FV236" s="259">
        <f t="shared" si="582"/>
        <v>0</v>
      </c>
      <c r="FW236" s="259">
        <f ca="1">IFERROR(INDEX($FU$3:$FV$500,MATCH(ROWS($FW$3:FW236),$FU$3:$FU$500,0),2),0)</f>
        <v>0</v>
      </c>
      <c r="FX236" s="259">
        <f t="shared" ca="1" si="583"/>
        <v>0</v>
      </c>
      <c r="FY236" s="259">
        <f t="shared" ca="1" si="584"/>
        <v>0</v>
      </c>
      <c r="FZ236" s="259">
        <f ca="1">IF(FY236&gt;0,MAX($FZ$2:FZ235)+1,0)</f>
        <v>0</v>
      </c>
      <c r="GA236" s="259">
        <f ca="1">IFERROR(INDEX($FY$3:$FZ$500,MATCH(ROWS($GA$3:GA236),$FZ$3:$FZ$500,0),1),0)</f>
        <v>0</v>
      </c>
      <c r="GC236" s="259">
        <f t="shared" ca="1" si="585"/>
        <v>0</v>
      </c>
      <c r="GD236" s="259">
        <f t="shared" ca="1" si="586"/>
        <v>0</v>
      </c>
      <c r="GG236" s="259">
        <f t="shared" ca="1" si="587"/>
        <v>0</v>
      </c>
      <c r="GH236" s="259">
        <f t="shared" ca="1" si="588"/>
        <v>0</v>
      </c>
      <c r="GI236" s="259">
        <f t="shared" ca="1" si="589"/>
        <v>0</v>
      </c>
      <c r="GJ236" s="259">
        <f t="shared" ca="1" si="590"/>
        <v>0</v>
      </c>
      <c r="GK236" s="259">
        <f t="shared" ca="1" si="591"/>
        <v>0</v>
      </c>
      <c r="GL236" s="259">
        <f t="shared" ca="1" si="591"/>
        <v>0</v>
      </c>
      <c r="GM236" s="259">
        <f ca="1">IF(OR(GK236&gt;0,GL236&gt;0),MAX($GM$2:GM235)+1,0)</f>
        <v>0</v>
      </c>
      <c r="GN236" s="259" t="str">
        <f ca="1">IFERROR(INDEX($GD$3:$GM$400,MATCH(ROWS($GN$3:GN236),$GM$3:$GM$400,0),1),"")</f>
        <v/>
      </c>
      <c r="GO236" s="259" t="str">
        <f ca="1">IFERROR(INDEX($GD$3:$GM$400,MATCH(ROWS($GO$3:GO236),$GM$3:$GM$400,0),8),"")</f>
        <v/>
      </c>
      <c r="GP236" s="259" t="str">
        <f ca="1">IFERROR(INDEX($GD$3:$GM$400,MATCH(ROWS($GP$3:GP236),$GM$3:$GM$400,0),9),"")</f>
        <v/>
      </c>
      <c r="GQ236" s="259">
        <f t="shared" ca="1" si="535"/>
        <v>0</v>
      </c>
      <c r="GR236" s="259">
        <f t="shared" ca="1" si="592"/>
        <v>0</v>
      </c>
      <c r="GS236" s="259" t="str">
        <f t="shared" ca="1" si="593"/>
        <v/>
      </c>
      <c r="GT236" s="259" t="str">
        <f ca="1">IFERROR(INDEX($GD$3:$GS$400,MATCH(ROWS($GT$3:GT236),$GM$3:$GM$400,0),16),"")</f>
        <v/>
      </c>
      <c r="GU236" s="259">
        <f ca="1">IF(GQ236&lt;&gt;0,MAX($GU$2:$GU235)+1,0)</f>
        <v>0</v>
      </c>
      <c r="GV236" s="259">
        <f t="shared" ca="1" si="594"/>
        <v>0</v>
      </c>
      <c r="GW236" s="259" t="str">
        <f ca="1">IF(AND(IFERROR(INDEX($GU$3:$GV$400,MATCH(ROWS($GW$3:GW236),$GU$3:$GU$400,0),2),"")&lt;&gt;"",GW237&lt;&gt;""),CONCATENATE(IFERROR(INDEX($GU$3:$GV$400,MATCH(ROWS($GW$3:GW236),$GU$3:$GU$400,0),2),"")," - "),IFERROR(INDEX($GU$3:$GV$400,MATCH(ROWS($GW$3:GW236),$GU$3:$GU$400,0),2),""))</f>
        <v/>
      </c>
      <c r="GX236" s="259">
        <f ca="1">IF(OR(GN236="IVA NS/CREDITO",GN236="IVA NS/DEBITO",GN236="IVA C/ACCONTO",GN236="IMPOSTE C/ACCONTO"),MAX($GX$2:GX235)+1,0)</f>
        <v>0</v>
      </c>
      <c r="GY236" s="259" t="str">
        <f ca="1">IF(AND(IFERROR(INDEX($GN$3:$GX$200,MATCH(ROWS($GY$3:GY236),$GX$3:$GX$200,0),1),"")&lt;&gt;"",GY237&lt;&gt;""),CONCATENATE(IFERROR(INDEX($GN$3:$GX$200,MATCH(ROWS($GY$3:GY236),$GX$3:$GX$200,0),1),"")," - "),IFERROR(INDEX($GN$3:$GX$200,MATCH(ROWS($GY$3:GY236),$GX$3:$GX$200,0),1),""))</f>
        <v/>
      </c>
      <c r="JA236" s="259" t="str">
        <f t="shared" ca="1" si="601"/>
        <v/>
      </c>
      <c r="JB236" s="259">
        <f t="shared" ca="1" si="536"/>
        <v>0</v>
      </c>
      <c r="JC236" s="259">
        <f t="shared" ca="1" si="640"/>
        <v>0</v>
      </c>
      <c r="JD236" s="259">
        <f t="shared" ca="1" si="641"/>
        <v>0</v>
      </c>
      <c r="JM236" s="259">
        <f t="shared" ca="1" si="642"/>
        <v>0</v>
      </c>
    </row>
    <row r="237" spans="52:273">
      <c r="AZ237" s="259" t="str">
        <f t="shared" ca="1" si="616"/>
        <v/>
      </c>
      <c r="BA237" s="259">
        <f t="shared" ca="1" si="632"/>
        <v>0</v>
      </c>
      <c r="BB237" s="259">
        <f t="shared" ca="1" si="617"/>
        <v>0</v>
      </c>
      <c r="BC237" s="259">
        <f t="shared" ca="1" si="618"/>
        <v>0</v>
      </c>
      <c r="BD237" s="259">
        <f t="shared" ca="1" si="619"/>
        <v>0</v>
      </c>
      <c r="BE237" s="259">
        <f t="shared" ca="1" si="620"/>
        <v>0</v>
      </c>
      <c r="BQ237" s="259" t="str">
        <f ca="1">IFERROR(INDEX($BN$3:$BO$200,MATCH(ROWS(BQ$3:BQ237),$BP$3:$BP$220,0),1),"")</f>
        <v/>
      </c>
      <c r="CX237" s="259">
        <f ca="1">$EA$16</f>
        <v>14</v>
      </c>
      <c r="CY237" s="259" t="str">
        <f t="shared" ca="1" si="643"/>
        <v>MASTRO</v>
      </c>
      <c r="DA237" s="259" t="str">
        <f ca="1">IF(CY236="MASTRO","Conto n.","")</f>
        <v>Conto n.</v>
      </c>
      <c r="DB237" s="259" t="str">
        <f ca="1">IF(CY237=0,"",INDEX(PIANO_DEI_CONTI,MATCH(DC237,DENOMINAZIONE,0),1))</f>
        <v/>
      </c>
      <c r="DC237" s="259" t="str">
        <f ca="1">IF(OR(CY237=0,CY237="mastro"),"",CY237)</f>
        <v/>
      </c>
      <c r="DD237" s="259" t="str">
        <f ca="1">IF(AND($DA$2=TRUE,OR(INDEX(PIANO_DEI_CONTI,MATCH($DC237,DENOMINAZIONE,0),4)="A",INDEX(PIANO_DEI_CONTI,MATCH($DC237,DENOMINAZIONE,0),4)="D/A"),SUMIFS(AVERE,DENOMINAZIONE_GIORNALE,"="&amp;$DC237)&gt;SUMIFS(DARE,DENOMINAZIONE_GIORNALE,"="&amp;$DC237)),CONCATENATE("s ",FIXED(ABS(SUMIFS(AVERE,DENOMINAZIONE_GIORNALE,"="&amp;$DC237)-SUMIFS(DARE,DENOMINAZIONE_GIORNALE,"="&amp;$DC237)),2)),"")</f>
        <v/>
      </c>
      <c r="DE237" s="259" t="str">
        <f ca="1">IF(AND($DA$2=TRUE,OR(INDEX(PIANO_DEI_CONTI,MATCH($DC237,DENOMINAZIONE,0),4)="D",INDEX(PIANO_DEI_CONTI,MATCH($DC237,DENOMINAZIONE,0),4)="D/A"),SUMIFS(DARE,DENOMINAZIONE_GIORNALE,"="&amp;$DC237)&gt;SUMIFS(AVERE,DENOMINAZIONE_GIORNALE,"="&amp;$DC237)),CONCATENATE("s ",FIXED(ABS(SUMIFS(DARE,DENOMINAZIONE_GIORNALE,"="&amp;$DC237)-SUMIFS(AVERE,DENOMINAZIONE_GIORNALE,"="&amp;$DC237)),2)),"")</f>
        <v/>
      </c>
      <c r="DF237" s="259">
        <f ca="1">IF(AND(CX237=$DE$2,$DF$2&lt;&gt;0),0,IF(AND(DB237&lt;&gt;"",OR(DB236&lt;&gt;"",DB238&lt;&gt;"")),MAX($DF$2:DF236)+1,0))</f>
        <v>0</v>
      </c>
      <c r="DG237" s="259" t="str">
        <f>IF(IF(LIBRO_GIORNALE!E145="","",IFERROR(INDEX(PIANO_DEI_CONTI,MATCH(BB237,DENOMINAZIONE,0),1),0))=0,"",IF(LIBRO_GIORNALE!E145="","",IFERROR(INDEX(PIANO_DEI_CONTI,MATCH(BB237,DENOMINAZIONE,0),1),0)))</f>
        <v/>
      </c>
      <c r="EC237" s="259">
        <f>IF(IF(DG237&lt;&gt;"",REPLACE(DG237,3,1,""),0)&lt;&gt;0,MAX(EC$2:EC236)+1,0)</f>
        <v>0</v>
      </c>
      <c r="ED237" s="259">
        <f t="shared" ca="1" si="529"/>
        <v>0</v>
      </c>
      <c r="EL237" s="259">
        <f t="shared" si="577"/>
        <v>235</v>
      </c>
      <c r="EM237" s="259">
        <f ca="1">IF(AND(BA237&gt;0,BA237&lt;=$EM$1),MAX($EM$2:EM236)+1,0)</f>
        <v>0</v>
      </c>
      <c r="EN237" s="259">
        <f t="shared" ca="1" si="578"/>
        <v>237</v>
      </c>
      <c r="EP237" s="259" t="str">
        <f t="shared" ca="1" si="530"/>
        <v/>
      </c>
      <c r="EQ237" s="259">
        <f t="shared" ca="1" si="531"/>
        <v>0</v>
      </c>
      <c r="ER237" s="259">
        <f ca="1">IF(ISNA(EQ237),MAX(ER$2:ER236)+1,0)</f>
        <v>0</v>
      </c>
      <c r="ES237" s="259" t="str">
        <f t="shared" ca="1" si="579"/>
        <v/>
      </c>
      <c r="ET237" s="259" t="str">
        <f ca="1">IFERROR(UPPER(INDEX($ER$3:$ES$500,MATCH(ROWS(ET$3:ET237),$ER$3:$ER$500,0),2)),"")</f>
        <v/>
      </c>
      <c r="EW237" s="259">
        <f t="shared" ca="1" si="633"/>
        <v>1</v>
      </c>
      <c r="EX237" s="259">
        <v>135</v>
      </c>
      <c r="EY237" s="259">
        <f t="shared" ca="1" si="634"/>
        <v>0</v>
      </c>
      <c r="EZ237" s="259">
        <f t="shared" ca="1" si="635"/>
        <v>0</v>
      </c>
      <c r="FA237" s="259">
        <f t="shared" ca="1" si="636"/>
        <v>0</v>
      </c>
      <c r="FB237" s="259">
        <f t="shared" ca="1" si="637"/>
        <v>0</v>
      </c>
      <c r="FC237" s="259">
        <f t="shared" ca="1" si="638"/>
        <v>0</v>
      </c>
      <c r="FD237" s="259">
        <f t="shared" ca="1" si="532"/>
        <v>0</v>
      </c>
      <c r="FE237" s="259" t="str">
        <f t="shared" ca="1" si="533"/>
        <v/>
      </c>
      <c r="FF237" s="259" t="str">
        <f t="shared" ca="1" si="639"/>
        <v/>
      </c>
      <c r="FM237" s="259">
        <f t="shared" si="534"/>
        <v>0</v>
      </c>
      <c r="FN237" s="259">
        <f>IF(FM237&lt;0,MAX($FN$2:FN236)+1,0)</f>
        <v>0</v>
      </c>
      <c r="FO237" s="259" t="str">
        <f t="shared" si="580"/>
        <v/>
      </c>
      <c r="FP237" s="259" t="str">
        <f ca="1">IFERROR(INDEX($FN$3:$FO$400,MATCH(ROWS($FP$3:FP237),$FN$3:$FN$400,0),2),"")</f>
        <v/>
      </c>
      <c r="FQ237" s="259" t="str">
        <f>IF(AE237="SE AVERE",MAX($FQ$2:FQ236)+1,"")</f>
        <v/>
      </c>
      <c r="FR237" s="259" t="str">
        <f>IF(AE237="SE DARE",MAX($FR$2:FR236)+1,"")</f>
        <v/>
      </c>
      <c r="FS237" s="259" t="str">
        <f ca="1">IF(AND(AE237="SP DARE",AA237&lt;&gt;$FS$1,AA237&lt;&gt;$FT$1),MAX($FS$2:FS236)+1,IF(AND(GQ237="SP DARE",AA237&lt;&gt;$FS$1,AA237&lt;&gt;$FT$1),MAX($FS$2:FS236)+1,""))</f>
        <v/>
      </c>
      <c r="FT237" s="259" t="str">
        <f ca="1">IF(AND(AE237="SP AVERE",AA237&lt;&gt;$FU$1),MAX($FT$2:FT236)+1,IF(AND(GQ237="SP AVERE",AA237&lt;&gt;$FU$1),MAX($FT$2:FT236)+1,""))</f>
        <v/>
      </c>
      <c r="FU237" s="259">
        <f t="shared" ca="1" si="581"/>
        <v>0</v>
      </c>
      <c r="FV237" s="259">
        <f t="shared" si="582"/>
        <v>0</v>
      </c>
      <c r="FW237" s="259">
        <f ca="1">IFERROR(INDEX($FU$3:$FV$500,MATCH(ROWS($FW$3:FW237),$FU$3:$FU$500,0),2),0)</f>
        <v>0</v>
      </c>
      <c r="FX237" s="259">
        <f t="shared" ca="1" si="583"/>
        <v>0</v>
      </c>
      <c r="FY237" s="259">
        <f t="shared" ca="1" si="584"/>
        <v>0</v>
      </c>
      <c r="FZ237" s="259">
        <f ca="1">IF(FY237&gt;0,MAX($FZ$2:FZ236)+1,0)</f>
        <v>0</v>
      </c>
      <c r="GA237" s="259">
        <f ca="1">IFERROR(INDEX($FY$3:$FZ$500,MATCH(ROWS($GA$3:GA237),$FZ$3:$FZ$500,0),1),0)</f>
        <v>0</v>
      </c>
      <c r="GC237" s="259">
        <f t="shared" ca="1" si="585"/>
        <v>0</v>
      </c>
      <c r="GD237" s="259">
        <f t="shared" ca="1" si="586"/>
        <v>0</v>
      </c>
      <c r="GG237" s="259">
        <f t="shared" ca="1" si="587"/>
        <v>0</v>
      </c>
      <c r="GH237" s="259">
        <f t="shared" ca="1" si="588"/>
        <v>0</v>
      </c>
      <c r="GI237" s="259">
        <f t="shared" ca="1" si="589"/>
        <v>0</v>
      </c>
      <c r="GJ237" s="259">
        <f t="shared" ca="1" si="590"/>
        <v>0</v>
      </c>
      <c r="GK237" s="259">
        <f t="shared" ca="1" si="591"/>
        <v>0</v>
      </c>
      <c r="GL237" s="259">
        <f t="shared" ca="1" si="591"/>
        <v>0</v>
      </c>
      <c r="GM237" s="259">
        <f ca="1">IF(OR(GK237&gt;0,GL237&gt;0),MAX($GM$2:GM236)+1,0)</f>
        <v>0</v>
      </c>
      <c r="GN237" s="259" t="str">
        <f ca="1">IFERROR(INDEX($GD$3:$GM$400,MATCH(ROWS($GN$3:GN237),$GM$3:$GM$400,0),1),"")</f>
        <v/>
      </c>
      <c r="GO237" s="259" t="str">
        <f ca="1">IFERROR(INDEX($GD$3:$GM$400,MATCH(ROWS($GO$3:GO237),$GM$3:$GM$400,0),8),"")</f>
        <v/>
      </c>
      <c r="GP237" s="259" t="str">
        <f ca="1">IFERROR(INDEX($GD$3:$GM$400,MATCH(ROWS($GP$3:GP237),$GM$3:$GM$400,0),9),"")</f>
        <v/>
      </c>
      <c r="GQ237" s="259">
        <f t="shared" ca="1" si="535"/>
        <v>0</v>
      </c>
      <c r="GR237" s="259">
        <f t="shared" ca="1" si="592"/>
        <v>0</v>
      </c>
      <c r="GS237" s="259" t="str">
        <f t="shared" ca="1" si="593"/>
        <v/>
      </c>
      <c r="GT237" s="259" t="str">
        <f ca="1">IFERROR(INDEX($GD$3:$GS$400,MATCH(ROWS($GT$3:GT237),$GM$3:$GM$400,0),16),"")</f>
        <v/>
      </c>
      <c r="GU237" s="259">
        <f ca="1">IF(GQ237&lt;&gt;0,MAX($GU$2:$GU236)+1,0)</f>
        <v>0</v>
      </c>
      <c r="GV237" s="259">
        <f t="shared" ca="1" si="594"/>
        <v>0</v>
      </c>
      <c r="GW237" s="259" t="str">
        <f ca="1">IF(AND(IFERROR(INDEX($GU$3:$GV$400,MATCH(ROWS($GW$3:GW237),$GU$3:$GU$400,0),2),"")&lt;&gt;"",GW238&lt;&gt;""),CONCATENATE(IFERROR(INDEX($GU$3:$GV$400,MATCH(ROWS($GW$3:GW237),$GU$3:$GU$400,0),2),"")," - "),IFERROR(INDEX($GU$3:$GV$400,MATCH(ROWS($GW$3:GW237),$GU$3:$GU$400,0),2),""))</f>
        <v/>
      </c>
      <c r="GX237" s="259">
        <f ca="1">IF(OR(GN237="IVA NS/CREDITO",GN237="IVA NS/DEBITO",GN237="IVA C/ACCONTO",GN237="IMPOSTE C/ACCONTO"),MAX($GX$2:GX236)+1,0)</f>
        <v>0</v>
      </c>
      <c r="GY237" s="259" t="str">
        <f ca="1">IF(AND(IFERROR(INDEX($GN$3:$GX$200,MATCH(ROWS($GY$3:GY237),$GX$3:$GX$200,0),1),"")&lt;&gt;"",GY238&lt;&gt;""),CONCATENATE(IFERROR(INDEX($GN$3:$GX$200,MATCH(ROWS($GY$3:GY237),$GX$3:$GX$200,0),1),"")," - "),IFERROR(INDEX($GN$3:$GX$200,MATCH(ROWS($GY$3:GY237),$GX$3:$GX$200,0),1),""))</f>
        <v/>
      </c>
      <c r="JA237" s="259" t="str">
        <f t="shared" ca="1" si="601"/>
        <v/>
      </c>
      <c r="JB237" s="259">
        <f t="shared" ca="1" si="536"/>
        <v>0</v>
      </c>
      <c r="JC237" s="259">
        <f t="shared" ca="1" si="640"/>
        <v>0</v>
      </c>
      <c r="JD237" s="259">
        <f t="shared" ca="1" si="641"/>
        <v>0</v>
      </c>
      <c r="JM237" s="259">
        <f t="shared" ca="1" si="642"/>
        <v>0</v>
      </c>
    </row>
    <row r="238" spans="52:273">
      <c r="AZ238" s="259" t="str">
        <f t="shared" ca="1" si="616"/>
        <v/>
      </c>
      <c r="BA238" s="259">
        <f t="shared" ca="1" si="632"/>
        <v>0</v>
      </c>
      <c r="BB238" s="259">
        <f t="shared" ca="1" si="617"/>
        <v>0</v>
      </c>
      <c r="BC238" s="259">
        <f t="shared" ca="1" si="618"/>
        <v>0</v>
      </c>
      <c r="BD238" s="259">
        <f t="shared" ca="1" si="619"/>
        <v>0</v>
      </c>
      <c r="BE238" s="259">
        <f t="shared" ca="1" si="620"/>
        <v>0</v>
      </c>
      <c r="BQ238" s="259" t="str">
        <f ca="1">IFERROR(INDEX($BN$3:$BO$200,MATCH(ROWS(BQ$3:BQ238),$BP$3:$BP$220,0),1),"")</f>
        <v/>
      </c>
      <c r="CX238" s="259">
        <f t="shared" ref="CX238:CX253" ca="1" si="645">$EA$16</f>
        <v>14</v>
      </c>
      <c r="CY238" s="259" t="str">
        <f t="shared" ca="1" si="643"/>
        <v>MASTRO</v>
      </c>
      <c r="DA238" s="259" t="str">
        <f ca="1">IF(DB237="","","Num. riga")</f>
        <v/>
      </c>
      <c r="DB238" s="259" t="str">
        <f t="shared" ref="DB238" ca="1" si="646">IF(DB237="","","Data")</f>
        <v/>
      </c>
      <c r="DC238" s="259" t="str">
        <f ca="1">IF(DB237="","","Operazioni")</f>
        <v/>
      </c>
      <c r="DD238" s="259" t="str">
        <f ca="1">IF(DB237="","","Dare        ")</f>
        <v/>
      </c>
      <c r="DE238" s="259" t="str">
        <f ca="1">IF(DB237="","","Avere        ")</f>
        <v/>
      </c>
      <c r="DF238" s="259">
        <f ca="1">IF(AND(CX238=$DE$2,$DF$2&lt;&gt;0),0,IF(AND(DB238&lt;&gt;"",OR(DB237&lt;&gt;"",DB239&lt;&gt;"")),MAX($DF$2:DF237)+1,0))</f>
        <v>0</v>
      </c>
      <c r="DG238" s="259" t="str">
        <f>IF(IF(LIBRO_GIORNALE!E146="","",IFERROR(INDEX(PIANO_DEI_CONTI,MATCH(BB238,DENOMINAZIONE,0),1),0))=0,"",IF(LIBRO_GIORNALE!E146="","",IFERROR(INDEX(PIANO_DEI_CONTI,MATCH(BB238,DENOMINAZIONE,0),1),0)))</f>
        <v/>
      </c>
      <c r="EC238" s="259">
        <f>IF(IF(DG238&lt;&gt;"",REPLACE(DG238,3,1,""),0)&lt;&gt;0,MAX(EC$2:EC237)+1,0)</f>
        <v>0</v>
      </c>
      <c r="ED238" s="259">
        <f t="shared" ca="1" si="529"/>
        <v>0</v>
      </c>
      <c r="EL238" s="259">
        <f t="shared" si="577"/>
        <v>236</v>
      </c>
      <c r="EM238" s="259">
        <f ca="1">IF(AND(BA238&gt;0,BA238&lt;=$EM$1),MAX($EM$2:EM237)+1,0)</f>
        <v>0</v>
      </c>
      <c r="EN238" s="259">
        <f t="shared" ca="1" si="578"/>
        <v>238</v>
      </c>
      <c r="EP238" s="259" t="str">
        <f t="shared" ca="1" si="530"/>
        <v/>
      </c>
      <c r="EQ238" s="259">
        <f t="shared" ca="1" si="531"/>
        <v>0</v>
      </c>
      <c r="ER238" s="259">
        <f ca="1">IF(ISNA(EQ238),MAX(ER$2:ER237)+1,0)</f>
        <v>0</v>
      </c>
      <c r="ES238" s="259" t="str">
        <f t="shared" ca="1" si="579"/>
        <v/>
      </c>
      <c r="ET238" s="259" t="str">
        <f ca="1">IFERROR(UPPER(INDEX($ER$3:$ES$500,MATCH(ROWS(ET$3:ET238),$ER$3:$ER$500,0),2)),"")</f>
        <v/>
      </c>
      <c r="EW238" s="259">
        <f t="shared" ca="1" si="633"/>
        <v>1</v>
      </c>
      <c r="EX238" s="259">
        <v>136</v>
      </c>
      <c r="EY238" s="259">
        <f t="shared" ca="1" si="634"/>
        <v>0</v>
      </c>
      <c r="EZ238" s="259">
        <f t="shared" ca="1" si="635"/>
        <v>0</v>
      </c>
      <c r="FA238" s="259">
        <f t="shared" ca="1" si="636"/>
        <v>0</v>
      </c>
      <c r="FB238" s="259">
        <f t="shared" ca="1" si="637"/>
        <v>0</v>
      </c>
      <c r="FC238" s="259">
        <f t="shared" ca="1" si="638"/>
        <v>0</v>
      </c>
      <c r="FD238" s="259">
        <f t="shared" ca="1" si="532"/>
        <v>0</v>
      </c>
      <c r="FE238" s="259" t="str">
        <f t="shared" ca="1" si="533"/>
        <v/>
      </c>
      <c r="FF238" s="259" t="str">
        <f t="shared" ca="1" si="639"/>
        <v/>
      </c>
      <c r="FM238" s="259">
        <f t="shared" si="534"/>
        <v>0</v>
      </c>
      <c r="FN238" s="259">
        <f>IF(FM238&lt;0,MAX($FN$2:FN237)+1,0)</f>
        <v>0</v>
      </c>
      <c r="FO238" s="259" t="str">
        <f t="shared" si="580"/>
        <v/>
      </c>
      <c r="FP238" s="259" t="str">
        <f ca="1">IFERROR(INDEX($FN$3:$FO$400,MATCH(ROWS($FP$3:FP238),$FN$3:$FN$400,0),2),"")</f>
        <v/>
      </c>
      <c r="FQ238" s="259" t="str">
        <f>IF(AE238="SE AVERE",MAX($FQ$2:FQ237)+1,"")</f>
        <v/>
      </c>
      <c r="FR238" s="259" t="str">
        <f>IF(AE238="SE DARE",MAX($FR$2:FR237)+1,"")</f>
        <v/>
      </c>
      <c r="FS238" s="259" t="str">
        <f ca="1">IF(AND(AE238="SP DARE",AA238&lt;&gt;$FS$1,AA238&lt;&gt;$FT$1),MAX($FS$2:FS237)+1,IF(AND(GQ238="SP DARE",AA238&lt;&gt;$FS$1,AA238&lt;&gt;$FT$1),MAX($FS$2:FS237)+1,""))</f>
        <v/>
      </c>
      <c r="FT238" s="259" t="str">
        <f ca="1">IF(AND(AE238="SP AVERE",AA238&lt;&gt;$FU$1),MAX($FT$2:FT237)+1,IF(AND(GQ238="SP AVERE",AA238&lt;&gt;$FU$1),MAX($FT$2:FT237)+1,""))</f>
        <v/>
      </c>
      <c r="FU238" s="259">
        <f t="shared" ca="1" si="581"/>
        <v>0</v>
      </c>
      <c r="FV238" s="259">
        <f t="shared" si="582"/>
        <v>0</v>
      </c>
      <c r="FW238" s="259">
        <f ca="1">IFERROR(INDEX($FU$3:$FV$500,MATCH(ROWS($FW$3:FW238),$FU$3:$FU$500,0),2),0)</f>
        <v>0</v>
      </c>
      <c r="FX238" s="259">
        <f t="shared" ca="1" si="583"/>
        <v>0</v>
      </c>
      <c r="FY238" s="259">
        <f t="shared" ca="1" si="584"/>
        <v>0</v>
      </c>
      <c r="FZ238" s="259">
        <f ca="1">IF(FY238&gt;0,MAX($FZ$2:FZ237)+1,0)</f>
        <v>0</v>
      </c>
      <c r="GA238" s="259">
        <f ca="1">IFERROR(INDEX($FY$3:$FZ$500,MATCH(ROWS($GA$3:GA238),$FZ$3:$FZ$500,0),1),0)</f>
        <v>0</v>
      </c>
      <c r="GC238" s="259">
        <f t="shared" ca="1" si="585"/>
        <v>0</v>
      </c>
      <c r="GD238" s="259">
        <f t="shared" ca="1" si="586"/>
        <v>0</v>
      </c>
      <c r="GG238" s="259">
        <f t="shared" ca="1" si="587"/>
        <v>0</v>
      </c>
      <c r="GH238" s="259">
        <f t="shared" ca="1" si="588"/>
        <v>0</v>
      </c>
      <c r="GI238" s="259">
        <f t="shared" ca="1" si="589"/>
        <v>0</v>
      </c>
      <c r="GJ238" s="259">
        <f t="shared" ca="1" si="590"/>
        <v>0</v>
      </c>
      <c r="GK238" s="259">
        <f t="shared" ca="1" si="591"/>
        <v>0</v>
      </c>
      <c r="GL238" s="259">
        <f t="shared" ca="1" si="591"/>
        <v>0</v>
      </c>
      <c r="GM238" s="259">
        <f ca="1">IF(OR(GK238&gt;0,GL238&gt;0),MAX($GM$2:GM237)+1,0)</f>
        <v>0</v>
      </c>
      <c r="GN238" s="259" t="str">
        <f ca="1">IFERROR(INDEX($GD$3:$GM$400,MATCH(ROWS($GN$3:GN238),$GM$3:$GM$400,0),1),"")</f>
        <v/>
      </c>
      <c r="GO238" s="259" t="str">
        <f ca="1">IFERROR(INDEX($GD$3:$GM$400,MATCH(ROWS($GO$3:GO238),$GM$3:$GM$400,0),8),"")</f>
        <v/>
      </c>
      <c r="GP238" s="259" t="str">
        <f ca="1">IFERROR(INDEX($GD$3:$GM$400,MATCH(ROWS($GP$3:GP238),$GM$3:$GM$400,0),9),"")</f>
        <v/>
      </c>
      <c r="GQ238" s="259">
        <f t="shared" ca="1" si="535"/>
        <v>0</v>
      </c>
      <c r="GR238" s="259">
        <f t="shared" ca="1" si="592"/>
        <v>0</v>
      </c>
      <c r="GS238" s="259" t="str">
        <f t="shared" ca="1" si="593"/>
        <v/>
      </c>
      <c r="GT238" s="259" t="str">
        <f ca="1">IFERROR(INDEX($GD$3:$GS$400,MATCH(ROWS($GT$3:GT238),$GM$3:$GM$400,0),16),"")</f>
        <v/>
      </c>
      <c r="GU238" s="259">
        <f ca="1">IF(GQ238&lt;&gt;0,MAX($GU$2:$GU237)+1,0)</f>
        <v>0</v>
      </c>
      <c r="GV238" s="259">
        <f t="shared" ca="1" si="594"/>
        <v>0</v>
      </c>
      <c r="GW238" s="259" t="str">
        <f ca="1">IF(AND(IFERROR(INDEX($GU$3:$GV$400,MATCH(ROWS($GW$3:GW238),$GU$3:$GU$400,0),2),"")&lt;&gt;"",GW239&lt;&gt;""),CONCATENATE(IFERROR(INDEX($GU$3:$GV$400,MATCH(ROWS($GW$3:GW238),$GU$3:$GU$400,0),2),"")," - "),IFERROR(INDEX($GU$3:$GV$400,MATCH(ROWS($GW$3:GW238),$GU$3:$GU$400,0),2),""))</f>
        <v/>
      </c>
      <c r="GX238" s="259">
        <f ca="1">IF(OR(GN238="IVA NS/CREDITO",GN238="IVA NS/DEBITO",GN238="IVA C/ACCONTO",GN238="IMPOSTE C/ACCONTO"),MAX($GX$2:GX237)+1,0)</f>
        <v>0</v>
      </c>
      <c r="GY238" s="259" t="str">
        <f ca="1">IF(AND(IFERROR(INDEX($GN$3:$GX$200,MATCH(ROWS($GY$3:GY238),$GX$3:$GX$200,0),1),"")&lt;&gt;"",GY239&lt;&gt;""),CONCATENATE(IFERROR(INDEX($GN$3:$GX$200,MATCH(ROWS($GY$3:GY238),$GX$3:$GX$200,0),1),"")," - "),IFERROR(INDEX($GN$3:$GX$200,MATCH(ROWS($GY$3:GY238),$GX$3:$GX$200,0),1),""))</f>
        <v/>
      </c>
      <c r="JA238" s="259" t="str">
        <f t="shared" ca="1" si="601"/>
        <v/>
      </c>
      <c r="JB238" s="259">
        <f t="shared" ca="1" si="536"/>
        <v>0</v>
      </c>
      <c r="JC238" s="259">
        <f t="shared" ca="1" si="640"/>
        <v>0</v>
      </c>
      <c r="JD238" s="259">
        <f t="shared" ca="1" si="641"/>
        <v>0</v>
      </c>
      <c r="JM238" s="259">
        <f t="shared" ca="1" si="642"/>
        <v>0</v>
      </c>
    </row>
    <row r="239" spans="52:273">
      <c r="AZ239" s="259" t="str">
        <f t="shared" ca="1" si="616"/>
        <v/>
      </c>
      <c r="BA239" s="259">
        <f t="shared" ca="1" si="632"/>
        <v>0</v>
      </c>
      <c r="BB239" s="259">
        <f t="shared" ca="1" si="617"/>
        <v>0</v>
      </c>
      <c r="BC239" s="259">
        <f t="shared" ca="1" si="618"/>
        <v>0</v>
      </c>
      <c r="BD239" s="259">
        <f t="shared" ca="1" si="619"/>
        <v>0</v>
      </c>
      <c r="BE239" s="259">
        <f t="shared" ca="1" si="620"/>
        <v>0</v>
      </c>
      <c r="BQ239" s="259" t="str">
        <f ca="1">IFERROR(INDEX($BN$3:$BO$200,MATCH(ROWS(BQ$3:BQ239),$BP$3:$BP$220,0),1),"")</f>
        <v/>
      </c>
      <c r="CX239" s="259">
        <f t="shared" ca="1" si="645"/>
        <v>14</v>
      </c>
      <c r="CY239" s="259" t="str">
        <f t="shared" ca="1" si="643"/>
        <v>MASTRO</v>
      </c>
      <c r="CZ239" s="259" t="e">
        <f t="shared" ref="CZ239:CZ253" ca="1" si="647">SUM(MATCH($CY239,INDIRECT(ADDRESS(SUM(CZ238)+3,54)&amp;":"&amp;ADDRESS(400,54)),0),CZ238)</f>
        <v>#N/A</v>
      </c>
      <c r="DA239" s="259" t="str">
        <f ca="1">IFERROR(INDEX(LIBRO_GIORNALE,CZ239,1),"")</f>
        <v/>
      </c>
      <c r="DB239" s="259" t="str">
        <f t="shared" ref="DB239:DB253" ca="1" si="648">IF(RIGHT(TEXT(IFERROR(INDEX(LIBRO_GIORNALE,CZ239,2),""),"gg/mm/aa"),1)="a",TEXT(IFERROR(INDEX(LIBRO_GIORNALE,CZ239,2),""),"dd/mm/yy"),TEXT(IFERROR(INDEX(LIBRO_GIORNALE,CZ239,2),""),"gg/mm/aa"))</f>
        <v/>
      </c>
      <c r="DC239" s="259" t="str">
        <f t="shared" ref="DC239:DC253" ca="1" si="649">IF(IFERROR(INDEX(LIBRO_GIORNALE,CZ239,4),"")=0,"manca la descrizione dell'operazione",IFERROR(INDEX(LIBRO_GIORNALE,CZ239,4),""))</f>
        <v/>
      </c>
      <c r="DD239" s="259" t="str">
        <f t="shared" ref="DD239:DD253" ca="1" si="650">IFERROR(IF(INDEX(LIBRO_GIORNALE,CZ239,5)&gt;0,INDEX(LIBRO_GIORNALE,CZ239,5),""),"")</f>
        <v/>
      </c>
      <c r="DE239" s="259" t="str">
        <f t="shared" ref="DE239:DE253" ca="1" si="651">IFERROR(IF(INDEX(LIBRO_GIORNALE,CZ239,6)&gt;0,INDEX(LIBRO_GIORNALE,CZ239,6),""),"")</f>
        <v/>
      </c>
      <c r="DF239" s="259">
        <f ca="1">IF(AND(CX239=$DE$2,$DF$2&lt;&gt;0),0,IF(AND(DB239&lt;&gt;"",OR(DB238&lt;&gt;"",DB240&lt;&gt;"")),MAX($DF$2:DF238)+1,0))</f>
        <v>0</v>
      </c>
      <c r="DG239" s="259" t="str">
        <f>IF(IF(LIBRO_GIORNALE!E147="","",IFERROR(INDEX(PIANO_DEI_CONTI,MATCH(BB239,DENOMINAZIONE,0),1),0))=0,"",IF(LIBRO_GIORNALE!E147="","",IFERROR(INDEX(PIANO_DEI_CONTI,MATCH(BB239,DENOMINAZIONE,0),1),0)))</f>
        <v/>
      </c>
      <c r="EC239" s="259">
        <f>IF(IF(DG239&lt;&gt;"",REPLACE(DG239,3,1,""),0)&lt;&gt;0,MAX(EC$2:EC238)+1,0)</f>
        <v>0</v>
      </c>
      <c r="ED239" s="259">
        <f t="shared" ca="1" si="529"/>
        <v>0</v>
      </c>
      <c r="EL239" s="259">
        <f t="shared" si="577"/>
        <v>237</v>
      </c>
      <c r="EM239" s="259">
        <f ca="1">IF(AND(BA239&gt;0,BA239&lt;=$EM$1),MAX($EM$2:EM238)+1,0)</f>
        <v>0</v>
      </c>
      <c r="EN239" s="259">
        <f t="shared" ca="1" si="578"/>
        <v>239</v>
      </c>
      <c r="EP239" s="259" t="str">
        <f t="shared" ca="1" si="530"/>
        <v/>
      </c>
      <c r="EQ239" s="259">
        <f t="shared" ca="1" si="531"/>
        <v>0</v>
      </c>
      <c r="ER239" s="259">
        <f ca="1">IF(ISNA(EQ239),MAX(ER$2:ER238)+1,0)</f>
        <v>0</v>
      </c>
      <c r="ES239" s="259" t="str">
        <f t="shared" ca="1" si="579"/>
        <v/>
      </c>
      <c r="ET239" s="259" t="str">
        <f ca="1">IFERROR(UPPER(INDEX($ER$3:$ES$500,MATCH(ROWS(ET$3:ET239),$ER$3:$ER$500,0),2)),"")</f>
        <v/>
      </c>
      <c r="EW239" s="259">
        <f t="shared" ca="1" si="633"/>
        <v>1</v>
      </c>
      <c r="EX239" s="259">
        <v>137</v>
      </c>
      <c r="EY239" s="259">
        <f t="shared" ca="1" si="634"/>
        <v>0</v>
      </c>
      <c r="EZ239" s="259">
        <f t="shared" ca="1" si="635"/>
        <v>0</v>
      </c>
      <c r="FA239" s="259">
        <f t="shared" ca="1" si="636"/>
        <v>0</v>
      </c>
      <c r="FB239" s="259">
        <f t="shared" ca="1" si="637"/>
        <v>0</v>
      </c>
      <c r="FC239" s="259">
        <f t="shared" ca="1" si="638"/>
        <v>0</v>
      </c>
      <c r="FD239" s="259">
        <f t="shared" ca="1" si="532"/>
        <v>0</v>
      </c>
      <c r="FE239" s="259" t="str">
        <f t="shared" ca="1" si="533"/>
        <v/>
      </c>
      <c r="FF239" s="259" t="str">
        <f t="shared" ca="1" si="639"/>
        <v/>
      </c>
      <c r="FM239" s="259">
        <f t="shared" si="534"/>
        <v>0</v>
      </c>
      <c r="FN239" s="259">
        <f>IF(FM239&lt;0,MAX($FN$2:FN238)+1,0)</f>
        <v>0</v>
      </c>
      <c r="FO239" s="259" t="str">
        <f t="shared" si="580"/>
        <v/>
      </c>
      <c r="FP239" s="259" t="str">
        <f ca="1">IFERROR(INDEX($FN$3:$FO$400,MATCH(ROWS($FP$3:FP239),$FN$3:$FN$400,0),2),"")</f>
        <v/>
      </c>
      <c r="FQ239" s="259" t="str">
        <f>IF(AE239="SE AVERE",MAX($FQ$2:FQ238)+1,"")</f>
        <v/>
      </c>
      <c r="FR239" s="259" t="str">
        <f>IF(AE239="SE DARE",MAX($FR$2:FR238)+1,"")</f>
        <v/>
      </c>
      <c r="FS239" s="259" t="str">
        <f ca="1">IF(AND(AE239="SP DARE",AA239&lt;&gt;$FS$1,AA239&lt;&gt;$FT$1),MAX($FS$2:FS238)+1,IF(AND(GQ239="SP DARE",AA239&lt;&gt;$FS$1,AA239&lt;&gt;$FT$1),MAX($FS$2:FS238)+1,""))</f>
        <v/>
      </c>
      <c r="FT239" s="259" t="str">
        <f ca="1">IF(AND(AE239="SP AVERE",AA239&lt;&gt;$FU$1),MAX($FT$2:FT238)+1,IF(AND(GQ239="SP AVERE",AA239&lt;&gt;$FU$1),MAX($FT$2:FT238)+1,""))</f>
        <v/>
      </c>
      <c r="FU239" s="259">
        <f t="shared" ca="1" si="581"/>
        <v>0</v>
      </c>
      <c r="FV239" s="259">
        <f t="shared" si="582"/>
        <v>0</v>
      </c>
      <c r="FW239" s="259">
        <f ca="1">IFERROR(INDEX($FU$3:$FV$500,MATCH(ROWS($FW$3:FW239),$FU$3:$FU$500,0),2),0)</f>
        <v>0</v>
      </c>
      <c r="FX239" s="259">
        <f t="shared" ca="1" si="583"/>
        <v>0</v>
      </c>
      <c r="FY239" s="259">
        <f t="shared" ca="1" si="584"/>
        <v>0</v>
      </c>
      <c r="FZ239" s="259">
        <f ca="1">IF(FY239&gt;0,MAX($FZ$2:FZ238)+1,0)</f>
        <v>0</v>
      </c>
      <c r="GA239" s="259">
        <f ca="1">IFERROR(INDEX($FY$3:$FZ$500,MATCH(ROWS($GA$3:GA239),$FZ$3:$FZ$500,0),1),0)</f>
        <v>0</v>
      </c>
      <c r="GC239" s="259">
        <f t="shared" ca="1" si="585"/>
        <v>0</v>
      </c>
      <c r="GD239" s="259">
        <f t="shared" ca="1" si="586"/>
        <v>0</v>
      </c>
      <c r="GG239" s="259">
        <f t="shared" ca="1" si="587"/>
        <v>0</v>
      </c>
      <c r="GH239" s="259">
        <f t="shared" ca="1" si="588"/>
        <v>0</v>
      </c>
      <c r="GI239" s="259">
        <f t="shared" ca="1" si="589"/>
        <v>0</v>
      </c>
      <c r="GJ239" s="259">
        <f t="shared" ca="1" si="590"/>
        <v>0</v>
      </c>
      <c r="GK239" s="259">
        <f t="shared" ca="1" si="591"/>
        <v>0</v>
      </c>
      <c r="GL239" s="259">
        <f t="shared" ca="1" si="591"/>
        <v>0</v>
      </c>
      <c r="GM239" s="259">
        <f ca="1">IF(OR(GK239&gt;0,GL239&gt;0),MAX($GM$2:GM238)+1,0)</f>
        <v>0</v>
      </c>
      <c r="GN239" s="259" t="str">
        <f ca="1">IFERROR(INDEX($GD$3:$GM$400,MATCH(ROWS($GN$3:GN239),$GM$3:$GM$400,0),1),"")</f>
        <v/>
      </c>
      <c r="GO239" s="259" t="str">
        <f ca="1">IFERROR(INDEX($GD$3:$GM$400,MATCH(ROWS($GO$3:GO239),$GM$3:$GM$400,0),8),"")</f>
        <v/>
      </c>
      <c r="GP239" s="259" t="str">
        <f ca="1">IFERROR(INDEX($GD$3:$GM$400,MATCH(ROWS($GP$3:GP239),$GM$3:$GM$400,0),9),"")</f>
        <v/>
      </c>
      <c r="GQ239" s="259">
        <f t="shared" ca="1" si="535"/>
        <v>0</v>
      </c>
      <c r="GR239" s="259">
        <f t="shared" ca="1" si="592"/>
        <v>0</v>
      </c>
      <c r="GS239" s="259" t="str">
        <f t="shared" ca="1" si="593"/>
        <v/>
      </c>
      <c r="GT239" s="259" t="str">
        <f ca="1">IFERROR(INDEX($GD$3:$GS$400,MATCH(ROWS($GT$3:GT239),$GM$3:$GM$400,0),16),"")</f>
        <v/>
      </c>
      <c r="GU239" s="259">
        <f ca="1">IF(GQ239&lt;&gt;0,MAX($GU$2:$GU238)+1,0)</f>
        <v>0</v>
      </c>
      <c r="GV239" s="259">
        <f t="shared" ca="1" si="594"/>
        <v>0</v>
      </c>
      <c r="GW239" s="259" t="str">
        <f ca="1">IF(AND(IFERROR(INDEX($GU$3:$GV$400,MATCH(ROWS($GW$3:GW239),$GU$3:$GU$400,0),2),"")&lt;&gt;"",GW240&lt;&gt;""),CONCATENATE(IFERROR(INDEX($GU$3:$GV$400,MATCH(ROWS($GW$3:GW239),$GU$3:$GU$400,0),2),"")," - "),IFERROR(INDEX($GU$3:$GV$400,MATCH(ROWS($GW$3:GW239),$GU$3:$GU$400,0),2),""))</f>
        <v/>
      </c>
      <c r="GX239" s="259">
        <f ca="1">IF(OR(GN239="IVA NS/CREDITO",GN239="IVA NS/DEBITO",GN239="IVA C/ACCONTO",GN239="IMPOSTE C/ACCONTO"),MAX($GX$2:GX238)+1,0)</f>
        <v>0</v>
      </c>
      <c r="GY239" s="259" t="str">
        <f ca="1">IF(AND(IFERROR(INDEX($GN$3:$GX$200,MATCH(ROWS($GY$3:GY239),$GX$3:$GX$200,0),1),"")&lt;&gt;"",GY240&lt;&gt;""),CONCATENATE(IFERROR(INDEX($GN$3:$GX$200,MATCH(ROWS($GY$3:GY239),$GX$3:$GX$200,0),1),"")," - "),IFERROR(INDEX($GN$3:$GX$200,MATCH(ROWS($GY$3:GY239),$GX$3:$GX$200,0),1),""))</f>
        <v/>
      </c>
      <c r="JA239" s="259" t="str">
        <f t="shared" ca="1" si="601"/>
        <v/>
      </c>
      <c r="JB239" s="259">
        <f t="shared" ca="1" si="536"/>
        <v>0</v>
      </c>
      <c r="JC239" s="259">
        <f t="shared" ca="1" si="640"/>
        <v>0</v>
      </c>
      <c r="JD239" s="259">
        <f t="shared" ca="1" si="641"/>
        <v>0</v>
      </c>
      <c r="JM239" s="259">
        <f t="shared" ca="1" si="642"/>
        <v>0</v>
      </c>
    </row>
    <row r="240" spans="52:273">
      <c r="AZ240" s="259" t="str">
        <f t="shared" ca="1" si="616"/>
        <v/>
      </c>
      <c r="BA240" s="259">
        <f t="shared" ca="1" si="632"/>
        <v>0</v>
      </c>
      <c r="BB240" s="259">
        <f t="shared" ca="1" si="617"/>
        <v>0</v>
      </c>
      <c r="BC240" s="259">
        <f t="shared" ca="1" si="618"/>
        <v>0</v>
      </c>
      <c r="BD240" s="259">
        <f t="shared" ca="1" si="619"/>
        <v>0</v>
      </c>
      <c r="BE240" s="259">
        <f t="shared" ca="1" si="620"/>
        <v>0</v>
      </c>
      <c r="BQ240" s="259" t="str">
        <f ca="1">IFERROR(INDEX($BN$3:$BO$200,MATCH(ROWS(BQ$3:BQ240),$BP$3:$BP$220,0),1),"")</f>
        <v/>
      </c>
      <c r="CX240" s="259">
        <f t="shared" ca="1" si="645"/>
        <v>14</v>
      </c>
      <c r="CY240" s="259" t="str">
        <f t="shared" ca="1" si="643"/>
        <v>MASTRO</v>
      </c>
      <c r="CZ240" s="259" t="e">
        <f t="shared" ca="1" si="647"/>
        <v>#N/A</v>
      </c>
      <c r="DA240" s="259" t="str">
        <f t="shared" ref="DA240:DA253" ca="1" si="652">IFERROR(INDEX(LIBRO_GIORNALE,CZ240,1),"")</f>
        <v/>
      </c>
      <c r="DB240" s="259" t="str">
        <f t="shared" ca="1" si="648"/>
        <v/>
      </c>
      <c r="DC240" s="259" t="str">
        <f t="shared" ca="1" si="649"/>
        <v/>
      </c>
      <c r="DD240" s="259" t="str">
        <f t="shared" ca="1" si="650"/>
        <v/>
      </c>
      <c r="DE240" s="259" t="str">
        <f t="shared" ca="1" si="651"/>
        <v/>
      </c>
      <c r="DF240" s="259">
        <f ca="1">IF(AND(CX240=$DE$2,$DF$2&lt;&gt;0),0,IF(AND(DB240&lt;&gt;"",OR(DB239&lt;&gt;"",DB241&lt;&gt;"")),MAX($DF$2:DF239)+1,0))</f>
        <v>0</v>
      </c>
      <c r="DG240" s="259" t="str">
        <f>IF(IF(LIBRO_GIORNALE!E148="","",IFERROR(INDEX(PIANO_DEI_CONTI,MATCH(BB240,DENOMINAZIONE,0),1),0))=0,"",IF(LIBRO_GIORNALE!E148="","",IFERROR(INDEX(PIANO_DEI_CONTI,MATCH(BB240,DENOMINAZIONE,0),1),0)))</f>
        <v/>
      </c>
      <c r="EC240" s="259">
        <f>IF(IF(DG240&lt;&gt;"",REPLACE(DG240,3,1,""),0)&lt;&gt;0,MAX(EC$2:EC239)+1,0)</f>
        <v>0</v>
      </c>
      <c r="ED240" s="259">
        <f t="shared" ca="1" si="529"/>
        <v>0</v>
      </c>
      <c r="EL240" s="259">
        <f t="shared" si="577"/>
        <v>238</v>
      </c>
      <c r="EM240" s="259">
        <f ca="1">IF(AND(BA240&gt;0,BA240&lt;=$EM$1),MAX($EM$2:EM239)+1,0)</f>
        <v>0</v>
      </c>
      <c r="EN240" s="259">
        <f t="shared" ca="1" si="578"/>
        <v>240</v>
      </c>
      <c r="EP240" s="259" t="str">
        <f t="shared" ca="1" si="530"/>
        <v/>
      </c>
      <c r="EQ240" s="259">
        <f t="shared" ca="1" si="531"/>
        <v>0</v>
      </c>
      <c r="ER240" s="259">
        <f ca="1">IF(ISNA(EQ240),MAX(ER$2:ER239)+1,0)</f>
        <v>0</v>
      </c>
      <c r="ES240" s="259" t="str">
        <f t="shared" ca="1" si="579"/>
        <v/>
      </c>
      <c r="ET240" s="259" t="str">
        <f ca="1">IFERROR(UPPER(INDEX($ER$3:$ES$500,MATCH(ROWS(ET$3:ET240),$ER$3:$ER$500,0),2)),"")</f>
        <v/>
      </c>
      <c r="EW240" s="259">
        <f t="shared" ca="1" si="633"/>
        <v>1</v>
      </c>
      <c r="EX240" s="259">
        <v>138</v>
      </c>
      <c r="EY240" s="259">
        <f t="shared" ca="1" si="634"/>
        <v>0</v>
      </c>
      <c r="EZ240" s="259">
        <f t="shared" ca="1" si="635"/>
        <v>0</v>
      </c>
      <c r="FA240" s="259">
        <f t="shared" ca="1" si="636"/>
        <v>0</v>
      </c>
      <c r="FB240" s="259">
        <f t="shared" ca="1" si="637"/>
        <v>0</v>
      </c>
      <c r="FC240" s="259">
        <f t="shared" ca="1" si="638"/>
        <v>0</v>
      </c>
      <c r="FD240" s="259">
        <f t="shared" ca="1" si="532"/>
        <v>0</v>
      </c>
      <c r="FE240" s="259" t="str">
        <f t="shared" ca="1" si="533"/>
        <v/>
      </c>
      <c r="FF240" s="259" t="str">
        <f t="shared" ca="1" si="639"/>
        <v/>
      </c>
      <c r="FM240" s="259">
        <f t="shared" si="534"/>
        <v>0</v>
      </c>
      <c r="FN240" s="259">
        <f>IF(FM240&lt;0,MAX($FN$2:FN239)+1,0)</f>
        <v>0</v>
      </c>
      <c r="FO240" s="259" t="str">
        <f t="shared" si="580"/>
        <v/>
      </c>
      <c r="FP240" s="259" t="str">
        <f ca="1">IFERROR(INDEX($FN$3:$FO$400,MATCH(ROWS($FP$3:FP240),$FN$3:$FN$400,0),2),"")</f>
        <v/>
      </c>
      <c r="FQ240" s="259" t="str">
        <f>IF(AE240="SE AVERE",MAX($FQ$2:FQ239)+1,"")</f>
        <v/>
      </c>
      <c r="FR240" s="259" t="str">
        <f>IF(AE240="SE DARE",MAX($FR$2:FR239)+1,"")</f>
        <v/>
      </c>
      <c r="FS240" s="259" t="str">
        <f ca="1">IF(AND(AE240="SP DARE",AA240&lt;&gt;$FS$1,AA240&lt;&gt;$FT$1),MAX($FS$2:FS239)+1,IF(AND(GQ240="SP DARE",AA240&lt;&gt;$FS$1,AA240&lt;&gt;$FT$1),MAX($FS$2:FS239)+1,""))</f>
        <v/>
      </c>
      <c r="FT240" s="259" t="str">
        <f ca="1">IF(AND(AE240="SP AVERE",AA240&lt;&gt;$FU$1),MAX($FT$2:FT239)+1,IF(AND(GQ240="SP AVERE",AA240&lt;&gt;$FU$1),MAX($FT$2:FT239)+1,""))</f>
        <v/>
      </c>
      <c r="FU240" s="259">
        <f t="shared" ca="1" si="581"/>
        <v>0</v>
      </c>
      <c r="FV240" s="259">
        <f t="shared" si="582"/>
        <v>0</v>
      </c>
      <c r="FW240" s="259">
        <f ca="1">IFERROR(INDEX($FU$3:$FV$500,MATCH(ROWS($FW$3:FW240),$FU$3:$FU$500,0),2),0)</f>
        <v>0</v>
      </c>
      <c r="FX240" s="259">
        <f t="shared" ca="1" si="583"/>
        <v>0</v>
      </c>
      <c r="FY240" s="259">
        <f t="shared" ca="1" si="584"/>
        <v>0</v>
      </c>
      <c r="FZ240" s="259">
        <f ca="1">IF(FY240&gt;0,MAX($FZ$2:FZ239)+1,0)</f>
        <v>0</v>
      </c>
      <c r="GA240" s="259">
        <f ca="1">IFERROR(INDEX($FY$3:$FZ$500,MATCH(ROWS($GA$3:GA240),$FZ$3:$FZ$500,0),1),0)</f>
        <v>0</v>
      </c>
      <c r="GC240" s="259">
        <f t="shared" ca="1" si="585"/>
        <v>0</v>
      </c>
      <c r="GD240" s="259">
        <f t="shared" ca="1" si="586"/>
        <v>0</v>
      </c>
      <c r="GG240" s="259">
        <f t="shared" ca="1" si="587"/>
        <v>0</v>
      </c>
      <c r="GH240" s="259">
        <f t="shared" ca="1" si="588"/>
        <v>0</v>
      </c>
      <c r="GI240" s="259">
        <f t="shared" ca="1" si="589"/>
        <v>0</v>
      </c>
      <c r="GJ240" s="259">
        <f t="shared" ca="1" si="590"/>
        <v>0</v>
      </c>
      <c r="GK240" s="259">
        <f t="shared" ca="1" si="591"/>
        <v>0</v>
      </c>
      <c r="GL240" s="259">
        <f t="shared" ca="1" si="591"/>
        <v>0</v>
      </c>
      <c r="GM240" s="259">
        <f ca="1">IF(OR(GK240&gt;0,GL240&gt;0),MAX($GM$2:GM239)+1,0)</f>
        <v>0</v>
      </c>
      <c r="GN240" s="259" t="str">
        <f ca="1">IFERROR(INDEX($GD$3:$GM$400,MATCH(ROWS($GN$3:GN240),$GM$3:$GM$400,0),1),"")</f>
        <v/>
      </c>
      <c r="GO240" s="259" t="str">
        <f ca="1">IFERROR(INDEX($GD$3:$GM$400,MATCH(ROWS($GO$3:GO240),$GM$3:$GM$400,0),8),"")</f>
        <v/>
      </c>
      <c r="GP240" s="259" t="str">
        <f ca="1">IFERROR(INDEX($GD$3:$GM$400,MATCH(ROWS($GP$3:GP240),$GM$3:$GM$400,0),9),"")</f>
        <v/>
      </c>
      <c r="GQ240" s="259">
        <f t="shared" ca="1" si="535"/>
        <v>0</v>
      </c>
      <c r="GR240" s="259">
        <f t="shared" ca="1" si="592"/>
        <v>0</v>
      </c>
      <c r="GS240" s="259" t="str">
        <f t="shared" ca="1" si="593"/>
        <v/>
      </c>
      <c r="GT240" s="259" t="str">
        <f ca="1">IFERROR(INDEX($GD$3:$GS$400,MATCH(ROWS($GT$3:GT240),$GM$3:$GM$400,0),16),"")</f>
        <v/>
      </c>
      <c r="GU240" s="259">
        <f ca="1">IF(GQ240&lt;&gt;0,MAX($GU$2:$GU239)+1,0)</f>
        <v>0</v>
      </c>
      <c r="GV240" s="259">
        <f t="shared" ca="1" si="594"/>
        <v>0</v>
      </c>
      <c r="GW240" s="259" t="str">
        <f ca="1">IF(AND(IFERROR(INDEX($GU$3:$GV$400,MATCH(ROWS($GW$3:GW240),$GU$3:$GU$400,0),2),"")&lt;&gt;"",GW241&lt;&gt;""),CONCATENATE(IFERROR(INDEX($GU$3:$GV$400,MATCH(ROWS($GW$3:GW240),$GU$3:$GU$400,0),2),"")," - "),IFERROR(INDEX($GU$3:$GV$400,MATCH(ROWS($GW$3:GW240),$GU$3:$GU$400,0),2),""))</f>
        <v/>
      </c>
      <c r="GX240" s="259">
        <f ca="1">IF(OR(GN240="IVA NS/CREDITO",GN240="IVA NS/DEBITO",GN240="IVA C/ACCONTO",GN240="IMPOSTE C/ACCONTO"),MAX($GX$2:GX239)+1,0)</f>
        <v>0</v>
      </c>
      <c r="GY240" s="259" t="str">
        <f ca="1">IF(AND(IFERROR(INDEX($GN$3:$GX$200,MATCH(ROWS($GY$3:GY240),$GX$3:$GX$200,0),1),"")&lt;&gt;"",GY241&lt;&gt;""),CONCATENATE(IFERROR(INDEX($GN$3:$GX$200,MATCH(ROWS($GY$3:GY240),$GX$3:$GX$200,0),1),"")," - "),IFERROR(INDEX($GN$3:$GX$200,MATCH(ROWS($GY$3:GY240),$GX$3:$GX$200,0),1),""))</f>
        <v/>
      </c>
      <c r="JA240" s="259" t="str">
        <f t="shared" ca="1" si="601"/>
        <v/>
      </c>
      <c r="JB240" s="259">
        <f t="shared" ca="1" si="536"/>
        <v>0</v>
      </c>
      <c r="JC240" s="259">
        <f t="shared" ca="1" si="640"/>
        <v>0</v>
      </c>
      <c r="JD240" s="259">
        <f t="shared" ca="1" si="641"/>
        <v>0</v>
      </c>
      <c r="JM240" s="259">
        <f t="shared" ca="1" si="642"/>
        <v>0</v>
      </c>
    </row>
    <row r="241" spans="52:273">
      <c r="AZ241" s="259" t="str">
        <f t="shared" ca="1" si="616"/>
        <v/>
      </c>
      <c r="BA241" s="259">
        <f t="shared" ca="1" si="632"/>
        <v>0</v>
      </c>
      <c r="BB241" s="259">
        <f t="shared" ca="1" si="617"/>
        <v>0</v>
      </c>
      <c r="BC241" s="259">
        <f t="shared" ca="1" si="618"/>
        <v>0</v>
      </c>
      <c r="BD241" s="259">
        <f t="shared" ca="1" si="619"/>
        <v>0</v>
      </c>
      <c r="BE241" s="259">
        <f t="shared" ca="1" si="620"/>
        <v>0</v>
      </c>
      <c r="BQ241" s="259" t="str">
        <f ca="1">IFERROR(INDEX($BN$3:$BO$200,MATCH(ROWS(BQ$3:BQ241),$BP$3:$BP$220,0),1),"")</f>
        <v/>
      </c>
      <c r="CX241" s="259">
        <f t="shared" ca="1" si="645"/>
        <v>14</v>
      </c>
      <c r="CY241" s="259" t="str">
        <f t="shared" ca="1" si="643"/>
        <v>MASTRO</v>
      </c>
      <c r="CZ241" s="259" t="e">
        <f t="shared" ca="1" si="647"/>
        <v>#N/A</v>
      </c>
      <c r="DA241" s="259" t="str">
        <f t="shared" ca="1" si="652"/>
        <v/>
      </c>
      <c r="DB241" s="259" t="str">
        <f t="shared" ca="1" si="648"/>
        <v/>
      </c>
      <c r="DC241" s="259" t="str">
        <f t="shared" ca="1" si="649"/>
        <v/>
      </c>
      <c r="DD241" s="259" t="str">
        <f t="shared" ca="1" si="650"/>
        <v/>
      </c>
      <c r="DE241" s="259" t="str">
        <f t="shared" ca="1" si="651"/>
        <v/>
      </c>
      <c r="DF241" s="259">
        <f ca="1">IF(AND(CX241=$DE$2,$DF$2&lt;&gt;0),0,IF(AND(DB241&lt;&gt;"",OR(DB240&lt;&gt;"",DB242&lt;&gt;"")),MAX($DF$2:DF240)+1,0))</f>
        <v>0</v>
      </c>
      <c r="DG241" s="259" t="str">
        <f>IF(IF(LIBRO_GIORNALE!E149="","",IFERROR(INDEX(PIANO_DEI_CONTI,MATCH(BB241,DENOMINAZIONE,0),1),0))=0,"",IF(LIBRO_GIORNALE!E149="","",IFERROR(INDEX(PIANO_DEI_CONTI,MATCH(BB241,DENOMINAZIONE,0),1),0)))</f>
        <v/>
      </c>
      <c r="EC241" s="259">
        <f>IF(IF(DG241&lt;&gt;"",REPLACE(DG241,3,1,""),0)&lt;&gt;0,MAX(EC$2:EC240)+1,0)</f>
        <v>0</v>
      </c>
      <c r="ED241" s="259">
        <f t="shared" ca="1" si="529"/>
        <v>0</v>
      </c>
      <c r="EL241" s="259">
        <f t="shared" si="577"/>
        <v>239</v>
      </c>
      <c r="EM241" s="259">
        <f ca="1">IF(AND(BA241&gt;0,BA241&lt;=$EM$1),MAX($EM$2:EM240)+1,0)</f>
        <v>0</v>
      </c>
      <c r="EN241" s="259">
        <f t="shared" ca="1" si="578"/>
        <v>241</v>
      </c>
      <c r="EP241" s="259" t="str">
        <f t="shared" ca="1" si="530"/>
        <v/>
      </c>
      <c r="EQ241" s="259">
        <f t="shared" ca="1" si="531"/>
        <v>0</v>
      </c>
      <c r="ER241" s="259">
        <f ca="1">IF(ISNA(EQ241),MAX(ER$2:ER240)+1,0)</f>
        <v>0</v>
      </c>
      <c r="ES241" s="259" t="str">
        <f t="shared" ca="1" si="579"/>
        <v/>
      </c>
      <c r="ET241" s="259" t="str">
        <f ca="1">IFERROR(UPPER(INDEX($ER$3:$ES$500,MATCH(ROWS(ET$3:ET241),$ER$3:$ER$500,0),2)),"")</f>
        <v/>
      </c>
      <c r="EW241" s="259">
        <f t="shared" ca="1" si="633"/>
        <v>1</v>
      </c>
      <c r="EX241" s="259">
        <v>139</v>
      </c>
      <c r="EY241" s="259">
        <f t="shared" ca="1" si="634"/>
        <v>0</v>
      </c>
      <c r="EZ241" s="259">
        <f t="shared" ca="1" si="635"/>
        <v>0</v>
      </c>
      <c r="FA241" s="259">
        <f t="shared" ca="1" si="636"/>
        <v>0</v>
      </c>
      <c r="FB241" s="259">
        <f t="shared" ca="1" si="637"/>
        <v>0</v>
      </c>
      <c r="FC241" s="259">
        <f t="shared" ca="1" si="638"/>
        <v>0</v>
      </c>
      <c r="FD241" s="259">
        <f t="shared" ca="1" si="532"/>
        <v>0</v>
      </c>
      <c r="FE241" s="259" t="str">
        <f t="shared" ca="1" si="533"/>
        <v/>
      </c>
      <c r="FF241" s="259" t="str">
        <f t="shared" ca="1" si="639"/>
        <v/>
      </c>
      <c r="FM241" s="259">
        <f t="shared" si="534"/>
        <v>0</v>
      </c>
      <c r="FN241" s="259">
        <f>IF(FM241&lt;0,MAX($FN$2:FN240)+1,0)</f>
        <v>0</v>
      </c>
      <c r="FO241" s="259" t="str">
        <f t="shared" si="580"/>
        <v/>
      </c>
      <c r="FP241" s="259" t="str">
        <f ca="1">IFERROR(INDEX($FN$3:$FO$400,MATCH(ROWS($FP$3:FP241),$FN$3:$FN$400,0),2),"")</f>
        <v/>
      </c>
      <c r="FQ241" s="259" t="str">
        <f>IF(AE241="SE AVERE",MAX($FQ$2:FQ240)+1,"")</f>
        <v/>
      </c>
      <c r="FR241" s="259" t="str">
        <f>IF(AE241="SE DARE",MAX($FR$2:FR240)+1,"")</f>
        <v/>
      </c>
      <c r="FS241" s="259" t="str">
        <f ca="1">IF(AND(AE241="SP DARE",AA241&lt;&gt;$FS$1,AA241&lt;&gt;$FT$1),MAX($FS$2:FS240)+1,IF(AND(GQ241="SP DARE",AA241&lt;&gt;$FS$1,AA241&lt;&gt;$FT$1),MAX($FS$2:FS240)+1,""))</f>
        <v/>
      </c>
      <c r="FT241" s="259" t="str">
        <f ca="1">IF(AND(AE241="SP AVERE",AA241&lt;&gt;$FU$1),MAX($FT$2:FT240)+1,IF(AND(GQ241="SP AVERE",AA241&lt;&gt;$FU$1),MAX($FT$2:FT240)+1,""))</f>
        <v/>
      </c>
      <c r="FU241" s="259">
        <f t="shared" ca="1" si="581"/>
        <v>0</v>
      </c>
      <c r="FV241" s="259">
        <f t="shared" si="582"/>
        <v>0</v>
      </c>
      <c r="FW241" s="259">
        <f ca="1">IFERROR(INDEX($FU$3:$FV$500,MATCH(ROWS($FW$3:FW241),$FU$3:$FU$500,0),2),0)</f>
        <v>0</v>
      </c>
      <c r="FX241" s="259">
        <f t="shared" ca="1" si="583"/>
        <v>0</v>
      </c>
      <c r="FY241" s="259">
        <f t="shared" ca="1" si="584"/>
        <v>0</v>
      </c>
      <c r="FZ241" s="259">
        <f ca="1">IF(FY241&gt;0,MAX($FZ$2:FZ240)+1,0)</f>
        <v>0</v>
      </c>
      <c r="GA241" s="259">
        <f ca="1">IFERROR(INDEX($FY$3:$FZ$500,MATCH(ROWS($GA$3:GA241),$FZ$3:$FZ$500,0),1),0)</f>
        <v>0</v>
      </c>
      <c r="GC241" s="259">
        <f t="shared" ca="1" si="585"/>
        <v>0</v>
      </c>
      <c r="GD241" s="259">
        <f t="shared" ca="1" si="586"/>
        <v>0</v>
      </c>
      <c r="GG241" s="259">
        <f t="shared" ca="1" si="587"/>
        <v>0</v>
      </c>
      <c r="GH241" s="259">
        <f t="shared" ca="1" si="588"/>
        <v>0</v>
      </c>
      <c r="GI241" s="259">
        <f t="shared" ca="1" si="589"/>
        <v>0</v>
      </c>
      <c r="GJ241" s="259">
        <f t="shared" ca="1" si="590"/>
        <v>0</v>
      </c>
      <c r="GK241" s="259">
        <f t="shared" ca="1" si="591"/>
        <v>0</v>
      </c>
      <c r="GL241" s="259">
        <f t="shared" ca="1" si="591"/>
        <v>0</v>
      </c>
      <c r="GM241" s="259">
        <f ca="1">IF(OR(GK241&gt;0,GL241&gt;0),MAX($GM$2:GM240)+1,0)</f>
        <v>0</v>
      </c>
      <c r="GN241" s="259" t="str">
        <f ca="1">IFERROR(INDEX($GD$3:$GM$400,MATCH(ROWS($GN$3:GN241),$GM$3:$GM$400,0),1),"")</f>
        <v/>
      </c>
      <c r="GO241" s="259" t="str">
        <f ca="1">IFERROR(INDEX($GD$3:$GM$400,MATCH(ROWS($GO$3:GO241),$GM$3:$GM$400,0),8),"")</f>
        <v/>
      </c>
      <c r="GP241" s="259" t="str">
        <f ca="1">IFERROR(INDEX($GD$3:$GM$400,MATCH(ROWS($GP$3:GP241),$GM$3:$GM$400,0),9),"")</f>
        <v/>
      </c>
      <c r="GQ241" s="259">
        <f t="shared" ca="1" si="535"/>
        <v>0</v>
      </c>
      <c r="GR241" s="259">
        <f t="shared" ca="1" si="592"/>
        <v>0</v>
      </c>
      <c r="GS241" s="259" t="str">
        <f t="shared" ca="1" si="593"/>
        <v/>
      </c>
      <c r="GT241" s="259" t="str">
        <f ca="1">IFERROR(INDEX($GD$3:$GS$400,MATCH(ROWS($GT$3:GT241),$GM$3:$GM$400,0),16),"")</f>
        <v/>
      </c>
      <c r="GU241" s="259">
        <f ca="1">IF(GQ241&lt;&gt;0,MAX($GU$2:$GU240)+1,0)</f>
        <v>0</v>
      </c>
      <c r="GV241" s="259">
        <f t="shared" ca="1" si="594"/>
        <v>0</v>
      </c>
      <c r="GW241" s="259" t="str">
        <f ca="1">IF(AND(IFERROR(INDEX($GU$3:$GV$400,MATCH(ROWS($GW$3:GW241),$GU$3:$GU$400,0),2),"")&lt;&gt;"",GW242&lt;&gt;""),CONCATENATE(IFERROR(INDEX($GU$3:$GV$400,MATCH(ROWS($GW$3:GW241),$GU$3:$GU$400,0),2),"")," - "),IFERROR(INDEX($GU$3:$GV$400,MATCH(ROWS($GW$3:GW241),$GU$3:$GU$400,0),2),""))</f>
        <v/>
      </c>
      <c r="GX241" s="259">
        <f ca="1">IF(OR(GN241="IVA NS/CREDITO",GN241="IVA NS/DEBITO",GN241="IVA C/ACCONTO",GN241="IMPOSTE C/ACCONTO"),MAX($GX$2:GX240)+1,0)</f>
        <v>0</v>
      </c>
      <c r="GY241" s="259" t="str">
        <f ca="1">IF(AND(IFERROR(INDEX($GN$3:$GX$200,MATCH(ROWS($GY$3:GY241),$GX$3:$GX$200,0),1),"")&lt;&gt;"",GY242&lt;&gt;""),CONCATENATE(IFERROR(INDEX($GN$3:$GX$200,MATCH(ROWS($GY$3:GY241),$GX$3:$GX$200,0),1),"")," - "),IFERROR(INDEX($GN$3:$GX$200,MATCH(ROWS($GY$3:GY241),$GX$3:$GX$200,0),1),""))</f>
        <v/>
      </c>
      <c r="JA241" s="259" t="str">
        <f t="shared" ca="1" si="601"/>
        <v/>
      </c>
      <c r="JB241" s="259">
        <f t="shared" ca="1" si="536"/>
        <v>0</v>
      </c>
      <c r="JC241" s="259">
        <f t="shared" ca="1" si="640"/>
        <v>0</v>
      </c>
      <c r="JD241" s="259">
        <f t="shared" ca="1" si="641"/>
        <v>0</v>
      </c>
      <c r="JM241" s="259">
        <f t="shared" ca="1" si="642"/>
        <v>0</v>
      </c>
    </row>
    <row r="242" spans="52:273">
      <c r="AZ242" s="259" t="str">
        <f t="shared" ca="1" si="616"/>
        <v/>
      </c>
      <c r="BA242" s="259">
        <f t="shared" ca="1" si="632"/>
        <v>0</v>
      </c>
      <c r="BB242" s="259">
        <f t="shared" ca="1" si="617"/>
        <v>0</v>
      </c>
      <c r="BC242" s="259">
        <f t="shared" ca="1" si="618"/>
        <v>0</v>
      </c>
      <c r="BD242" s="259">
        <f t="shared" ca="1" si="619"/>
        <v>0</v>
      </c>
      <c r="BE242" s="259">
        <f t="shared" ca="1" si="620"/>
        <v>0</v>
      </c>
      <c r="BQ242" s="259" t="str">
        <f ca="1">IFERROR(INDEX($BN$3:$BO$200,MATCH(ROWS(BQ$3:BQ242),$BP$3:$BP$220,0),1),"")</f>
        <v/>
      </c>
      <c r="CX242" s="259">
        <f t="shared" ca="1" si="645"/>
        <v>14</v>
      </c>
      <c r="CY242" s="259" t="str">
        <f t="shared" ca="1" si="643"/>
        <v>MASTRO</v>
      </c>
      <c r="CZ242" s="259" t="e">
        <f t="shared" ca="1" si="647"/>
        <v>#N/A</v>
      </c>
      <c r="DA242" s="259" t="str">
        <f t="shared" ca="1" si="652"/>
        <v/>
      </c>
      <c r="DB242" s="259" t="str">
        <f t="shared" ca="1" si="648"/>
        <v/>
      </c>
      <c r="DC242" s="259" t="str">
        <f t="shared" ca="1" si="649"/>
        <v/>
      </c>
      <c r="DD242" s="259" t="str">
        <f t="shared" ca="1" si="650"/>
        <v/>
      </c>
      <c r="DE242" s="259" t="str">
        <f t="shared" ca="1" si="651"/>
        <v/>
      </c>
      <c r="DF242" s="259">
        <f ca="1">IF(AND(CX242=$DE$2,$DF$2&lt;&gt;0),0,IF(AND(DB242&lt;&gt;"",OR(DB241&lt;&gt;"",DB243&lt;&gt;"")),MAX($DF$2:DF241)+1,0))</f>
        <v>0</v>
      </c>
      <c r="DG242" s="259" t="str">
        <f>IF(IF(LIBRO_GIORNALE!E150="","",IFERROR(INDEX(PIANO_DEI_CONTI,MATCH(BB242,DENOMINAZIONE,0),1),0))=0,"",IF(LIBRO_GIORNALE!E150="","",IFERROR(INDEX(PIANO_DEI_CONTI,MATCH(BB242,DENOMINAZIONE,0),1),0)))</f>
        <v/>
      </c>
      <c r="EC242" s="259">
        <f>IF(IF(DG242&lt;&gt;"",REPLACE(DG242,3,1,""),0)&lt;&gt;0,MAX(EC$2:EC241)+1,0)</f>
        <v>0</v>
      </c>
      <c r="ED242" s="259">
        <f t="shared" ca="1" si="529"/>
        <v>0</v>
      </c>
      <c r="EL242" s="259">
        <f t="shared" si="577"/>
        <v>240</v>
      </c>
      <c r="EM242" s="259">
        <f ca="1">IF(AND(BA242&gt;0,BA242&lt;=$EM$1),MAX($EM$2:EM241)+1,0)</f>
        <v>0</v>
      </c>
      <c r="EN242" s="259">
        <f t="shared" ca="1" si="578"/>
        <v>242</v>
      </c>
      <c r="EP242" s="259" t="str">
        <f t="shared" ca="1" si="530"/>
        <v/>
      </c>
      <c r="EQ242" s="259">
        <f t="shared" ca="1" si="531"/>
        <v>0</v>
      </c>
      <c r="ER242" s="259">
        <f ca="1">IF(ISNA(EQ242),MAX(ER$2:ER241)+1,0)</f>
        <v>0</v>
      </c>
      <c r="ES242" s="259" t="str">
        <f t="shared" ca="1" si="579"/>
        <v/>
      </c>
      <c r="ET242" s="259" t="str">
        <f ca="1">IFERROR(UPPER(INDEX($ER$3:$ES$500,MATCH(ROWS(ET$3:ET242),$ER$3:$ER$500,0),2)),"")</f>
        <v/>
      </c>
      <c r="EW242" s="259">
        <f t="shared" ca="1" si="633"/>
        <v>1</v>
      </c>
      <c r="EX242" s="259">
        <v>140</v>
      </c>
      <c r="EY242" s="259">
        <f t="shared" ca="1" si="634"/>
        <v>0</v>
      </c>
      <c r="EZ242" s="259">
        <f t="shared" ca="1" si="635"/>
        <v>0</v>
      </c>
      <c r="FA242" s="259">
        <f t="shared" ca="1" si="636"/>
        <v>0</v>
      </c>
      <c r="FB242" s="259">
        <f t="shared" ca="1" si="637"/>
        <v>0</v>
      </c>
      <c r="FC242" s="259">
        <f t="shared" ca="1" si="638"/>
        <v>0</v>
      </c>
      <c r="FD242" s="259">
        <f t="shared" ca="1" si="532"/>
        <v>0</v>
      </c>
      <c r="FE242" s="259" t="str">
        <f t="shared" ca="1" si="533"/>
        <v/>
      </c>
      <c r="FF242" s="259" t="str">
        <f t="shared" ca="1" si="639"/>
        <v/>
      </c>
      <c r="FM242" s="259">
        <f t="shared" si="534"/>
        <v>0</v>
      </c>
      <c r="FN242" s="259">
        <f>IF(FM242&lt;0,MAX($FN$2:FN241)+1,0)</f>
        <v>0</v>
      </c>
      <c r="FO242" s="259" t="str">
        <f t="shared" si="580"/>
        <v/>
      </c>
      <c r="FP242" s="259" t="str">
        <f ca="1">IFERROR(INDEX($FN$3:$FO$400,MATCH(ROWS($FP$3:FP242),$FN$3:$FN$400,0),2),"")</f>
        <v/>
      </c>
      <c r="FQ242" s="259" t="str">
        <f>IF(AE242="SE AVERE",MAX($FQ$2:FQ241)+1,"")</f>
        <v/>
      </c>
      <c r="FR242" s="259" t="str">
        <f>IF(AE242="SE DARE",MAX($FR$2:FR241)+1,"")</f>
        <v/>
      </c>
      <c r="FS242" s="259" t="str">
        <f ca="1">IF(AND(AE242="SP DARE",AA242&lt;&gt;$FS$1,AA242&lt;&gt;$FT$1),MAX($FS$2:FS241)+1,IF(AND(GQ242="SP DARE",AA242&lt;&gt;$FS$1,AA242&lt;&gt;$FT$1),MAX($FS$2:FS241)+1,""))</f>
        <v/>
      </c>
      <c r="FT242" s="259" t="str">
        <f ca="1">IF(AND(AE242="SP AVERE",AA242&lt;&gt;$FU$1),MAX($FT$2:FT241)+1,IF(AND(GQ242="SP AVERE",AA242&lt;&gt;$FU$1),MAX($FT$2:FT241)+1,""))</f>
        <v/>
      </c>
      <c r="FU242" s="259">
        <f t="shared" ca="1" si="581"/>
        <v>0</v>
      </c>
      <c r="FV242" s="259">
        <f t="shared" si="582"/>
        <v>0</v>
      </c>
      <c r="FW242" s="259">
        <f ca="1">IFERROR(INDEX($FU$3:$FV$500,MATCH(ROWS($FW$3:FW242),$FU$3:$FU$500,0),2),0)</f>
        <v>0</v>
      </c>
      <c r="FX242" s="259">
        <f t="shared" ca="1" si="583"/>
        <v>0</v>
      </c>
      <c r="FY242" s="259">
        <f t="shared" ca="1" si="584"/>
        <v>0</v>
      </c>
      <c r="FZ242" s="259">
        <f ca="1">IF(FY242&gt;0,MAX($FZ$2:FZ241)+1,0)</f>
        <v>0</v>
      </c>
      <c r="GA242" s="259">
        <f ca="1">IFERROR(INDEX($FY$3:$FZ$500,MATCH(ROWS($GA$3:GA242),$FZ$3:$FZ$500,0),1),0)</f>
        <v>0</v>
      </c>
      <c r="GC242" s="259">
        <f t="shared" ca="1" si="585"/>
        <v>0</v>
      </c>
      <c r="GD242" s="259">
        <f t="shared" ca="1" si="586"/>
        <v>0</v>
      </c>
      <c r="GG242" s="259">
        <f t="shared" ca="1" si="587"/>
        <v>0</v>
      </c>
      <c r="GH242" s="259">
        <f t="shared" ca="1" si="588"/>
        <v>0</v>
      </c>
      <c r="GI242" s="259">
        <f t="shared" ca="1" si="589"/>
        <v>0</v>
      </c>
      <c r="GJ242" s="259">
        <f t="shared" ca="1" si="590"/>
        <v>0</v>
      </c>
      <c r="GK242" s="259">
        <f t="shared" ca="1" si="591"/>
        <v>0</v>
      </c>
      <c r="GL242" s="259">
        <f t="shared" ca="1" si="591"/>
        <v>0</v>
      </c>
      <c r="GM242" s="259">
        <f ca="1">IF(OR(GK242&gt;0,GL242&gt;0),MAX($GM$2:GM241)+1,0)</f>
        <v>0</v>
      </c>
      <c r="GN242" s="259" t="str">
        <f ca="1">IFERROR(INDEX($GD$3:$GM$400,MATCH(ROWS($GN$3:GN242),$GM$3:$GM$400,0),1),"")</f>
        <v/>
      </c>
      <c r="GO242" s="259" t="str">
        <f ca="1">IFERROR(INDEX($GD$3:$GM$400,MATCH(ROWS($GO$3:GO242),$GM$3:$GM$400,0),8),"")</f>
        <v/>
      </c>
      <c r="GP242" s="259" t="str">
        <f ca="1">IFERROR(INDEX($GD$3:$GM$400,MATCH(ROWS($GP$3:GP242),$GM$3:$GM$400,0),9),"")</f>
        <v/>
      </c>
      <c r="GQ242" s="259">
        <f t="shared" ca="1" si="535"/>
        <v>0</v>
      </c>
      <c r="GR242" s="259">
        <f t="shared" ca="1" si="592"/>
        <v>0</v>
      </c>
      <c r="GS242" s="259" t="str">
        <f t="shared" ca="1" si="593"/>
        <v/>
      </c>
      <c r="GT242" s="259" t="str">
        <f ca="1">IFERROR(INDEX($GD$3:$GS$400,MATCH(ROWS($GT$3:GT242),$GM$3:$GM$400,0),16),"")</f>
        <v/>
      </c>
      <c r="GU242" s="259">
        <f ca="1">IF(GQ242&lt;&gt;0,MAX($GU$2:$GU241)+1,0)</f>
        <v>0</v>
      </c>
      <c r="GV242" s="259">
        <f t="shared" ca="1" si="594"/>
        <v>0</v>
      </c>
      <c r="GW242" s="259" t="str">
        <f ca="1">IF(AND(IFERROR(INDEX($GU$3:$GV$400,MATCH(ROWS($GW$3:GW242),$GU$3:$GU$400,0),2),"")&lt;&gt;"",GW243&lt;&gt;""),CONCATENATE(IFERROR(INDEX($GU$3:$GV$400,MATCH(ROWS($GW$3:GW242),$GU$3:$GU$400,0),2),"")," - "),IFERROR(INDEX($GU$3:$GV$400,MATCH(ROWS($GW$3:GW242),$GU$3:$GU$400,0),2),""))</f>
        <v/>
      </c>
      <c r="GX242" s="259">
        <f ca="1">IF(OR(GN242="IVA NS/CREDITO",GN242="IVA NS/DEBITO",GN242="IVA C/ACCONTO",GN242="IMPOSTE C/ACCONTO"),MAX($GX$2:GX241)+1,0)</f>
        <v>0</v>
      </c>
      <c r="GY242" s="259" t="str">
        <f ca="1">IF(AND(IFERROR(INDEX($GN$3:$GX$200,MATCH(ROWS($GY$3:GY242),$GX$3:$GX$200,0),1),"")&lt;&gt;"",GY243&lt;&gt;""),CONCATENATE(IFERROR(INDEX($GN$3:$GX$200,MATCH(ROWS($GY$3:GY242),$GX$3:$GX$200,0),1),"")," - "),IFERROR(INDEX($GN$3:$GX$200,MATCH(ROWS($GY$3:GY242),$GX$3:$GX$200,0),1),""))</f>
        <v/>
      </c>
      <c r="JA242" s="259" t="str">
        <f t="shared" ca="1" si="601"/>
        <v/>
      </c>
      <c r="JB242" s="259">
        <f t="shared" ca="1" si="536"/>
        <v>0</v>
      </c>
      <c r="JC242" s="259">
        <f t="shared" ca="1" si="640"/>
        <v>0</v>
      </c>
      <c r="JD242" s="259">
        <f t="shared" ca="1" si="641"/>
        <v>0</v>
      </c>
      <c r="JM242" s="259">
        <f t="shared" ca="1" si="642"/>
        <v>0</v>
      </c>
    </row>
    <row r="243" spans="52:273">
      <c r="AZ243" s="259" t="str">
        <f t="shared" ca="1" si="616"/>
        <v/>
      </c>
      <c r="BA243" s="259">
        <f t="shared" ca="1" si="632"/>
        <v>0</v>
      </c>
      <c r="BB243" s="259">
        <f t="shared" ca="1" si="617"/>
        <v>0</v>
      </c>
      <c r="BC243" s="259">
        <f t="shared" ca="1" si="618"/>
        <v>0</v>
      </c>
      <c r="BD243" s="259">
        <f t="shared" ca="1" si="619"/>
        <v>0</v>
      </c>
      <c r="BE243" s="259">
        <f t="shared" ca="1" si="620"/>
        <v>0</v>
      </c>
      <c r="BQ243" s="259" t="str">
        <f ca="1">IFERROR(INDEX($BN$3:$BO$200,MATCH(ROWS(BQ$3:BQ243),$BP$3:$BP$220,0),1),"")</f>
        <v/>
      </c>
      <c r="CX243" s="259">
        <f t="shared" ca="1" si="645"/>
        <v>14</v>
      </c>
      <c r="CY243" s="259" t="str">
        <f t="shared" ca="1" si="643"/>
        <v>MASTRO</v>
      </c>
      <c r="CZ243" s="259" t="e">
        <f t="shared" ca="1" si="647"/>
        <v>#N/A</v>
      </c>
      <c r="DA243" s="259" t="str">
        <f t="shared" ca="1" si="652"/>
        <v/>
      </c>
      <c r="DB243" s="259" t="str">
        <f t="shared" ca="1" si="648"/>
        <v/>
      </c>
      <c r="DC243" s="259" t="str">
        <f t="shared" ca="1" si="649"/>
        <v/>
      </c>
      <c r="DD243" s="259" t="str">
        <f t="shared" ca="1" si="650"/>
        <v/>
      </c>
      <c r="DE243" s="259" t="str">
        <f t="shared" ca="1" si="651"/>
        <v/>
      </c>
      <c r="DF243" s="259">
        <f ca="1">IF(AND(CX243=$DE$2,$DF$2&lt;&gt;0),0,IF(AND(DB243&lt;&gt;"",OR(DB242&lt;&gt;"",DB244&lt;&gt;"")),MAX($DF$2:DF242)+1,0))</f>
        <v>0</v>
      </c>
      <c r="DG243" s="259" t="str">
        <f>IF(IF(LIBRO_GIORNALE!E151="","",IFERROR(INDEX(PIANO_DEI_CONTI,MATCH(BB243,DENOMINAZIONE,0),1),0))=0,"",IF(LIBRO_GIORNALE!E151="","",IFERROR(INDEX(PIANO_DEI_CONTI,MATCH(BB243,DENOMINAZIONE,0),1),0)))</f>
        <v/>
      </c>
      <c r="EC243" s="259">
        <f>IF(IF(DG243&lt;&gt;"",REPLACE(DG243,3,1,""),0)&lt;&gt;0,MAX(EC$2:EC242)+1,0)</f>
        <v>0</v>
      </c>
      <c r="ED243" s="259">
        <f t="shared" ca="1" si="529"/>
        <v>0</v>
      </c>
      <c r="EL243" s="259">
        <f t="shared" si="577"/>
        <v>241</v>
      </c>
      <c r="EM243" s="259">
        <f ca="1">IF(AND(BA243&gt;0,BA243&lt;=$EM$1),MAX($EM$2:EM242)+1,0)</f>
        <v>0</v>
      </c>
      <c r="EN243" s="259">
        <f t="shared" ca="1" si="578"/>
        <v>243</v>
      </c>
      <c r="EP243" s="259" t="str">
        <f t="shared" ca="1" si="530"/>
        <v/>
      </c>
      <c r="EQ243" s="259">
        <f t="shared" ca="1" si="531"/>
        <v>0</v>
      </c>
      <c r="ER243" s="259">
        <f ca="1">IF(ISNA(EQ243),MAX(ER$2:ER242)+1,0)</f>
        <v>0</v>
      </c>
      <c r="ES243" s="259" t="str">
        <f t="shared" ca="1" si="579"/>
        <v/>
      </c>
      <c r="ET243" s="259" t="str">
        <f ca="1">IFERROR(UPPER(INDEX($ER$3:$ES$500,MATCH(ROWS(ET$3:ET243),$ER$3:$ER$500,0),2)),"")</f>
        <v/>
      </c>
      <c r="EW243" s="259">
        <f t="shared" ca="1" si="633"/>
        <v>1</v>
      </c>
      <c r="EX243" s="259">
        <v>141</v>
      </c>
      <c r="EY243" s="259">
        <f t="shared" ca="1" si="634"/>
        <v>0</v>
      </c>
      <c r="EZ243" s="259">
        <f t="shared" ca="1" si="635"/>
        <v>0</v>
      </c>
      <c r="FA243" s="259">
        <f t="shared" ca="1" si="636"/>
        <v>0</v>
      </c>
      <c r="FB243" s="259">
        <f t="shared" ca="1" si="637"/>
        <v>0</v>
      </c>
      <c r="FC243" s="259">
        <f t="shared" ca="1" si="638"/>
        <v>0</v>
      </c>
      <c r="FD243" s="259">
        <f t="shared" ca="1" si="532"/>
        <v>0</v>
      </c>
      <c r="FE243" s="259" t="str">
        <f t="shared" ca="1" si="533"/>
        <v/>
      </c>
      <c r="FF243" s="259" t="str">
        <f t="shared" ca="1" si="639"/>
        <v/>
      </c>
      <c r="FM243" s="259">
        <f t="shared" si="534"/>
        <v>0</v>
      </c>
      <c r="FN243" s="259">
        <f>IF(FM243&lt;0,MAX($FN$2:FN242)+1,0)</f>
        <v>0</v>
      </c>
      <c r="FO243" s="259" t="str">
        <f t="shared" si="580"/>
        <v/>
      </c>
      <c r="FP243" s="259" t="str">
        <f ca="1">IFERROR(INDEX($FN$3:$FO$400,MATCH(ROWS($FP$3:FP243),$FN$3:$FN$400,0),2),"")</f>
        <v/>
      </c>
      <c r="FQ243" s="259" t="str">
        <f>IF(AE243="SE AVERE",MAX($FQ$2:FQ242)+1,"")</f>
        <v/>
      </c>
      <c r="FR243" s="259" t="str">
        <f>IF(AE243="SE DARE",MAX($FR$2:FR242)+1,"")</f>
        <v/>
      </c>
      <c r="FS243" s="259" t="str">
        <f ca="1">IF(AND(AE243="SP DARE",AA243&lt;&gt;$FS$1,AA243&lt;&gt;$FT$1),MAX($FS$2:FS242)+1,IF(AND(GQ243="SP DARE",AA243&lt;&gt;$FS$1,AA243&lt;&gt;$FT$1),MAX($FS$2:FS242)+1,""))</f>
        <v/>
      </c>
      <c r="FT243" s="259" t="str">
        <f ca="1">IF(AND(AE243="SP AVERE",AA243&lt;&gt;$FU$1),MAX($FT$2:FT242)+1,IF(AND(GQ243="SP AVERE",AA243&lt;&gt;$FU$1),MAX($FT$2:FT242)+1,""))</f>
        <v/>
      </c>
      <c r="FU243" s="259">
        <f t="shared" ca="1" si="581"/>
        <v>0</v>
      </c>
      <c r="FV243" s="259">
        <f t="shared" si="582"/>
        <v>0</v>
      </c>
      <c r="FW243" s="259">
        <f ca="1">IFERROR(INDEX($FU$3:$FV$500,MATCH(ROWS($FW$3:FW243),$FU$3:$FU$500,0),2),0)</f>
        <v>0</v>
      </c>
      <c r="FX243" s="259">
        <f t="shared" ca="1" si="583"/>
        <v>0</v>
      </c>
      <c r="FY243" s="259">
        <f t="shared" ca="1" si="584"/>
        <v>0</v>
      </c>
      <c r="FZ243" s="259">
        <f ca="1">IF(FY243&gt;0,MAX($FZ$2:FZ242)+1,0)</f>
        <v>0</v>
      </c>
      <c r="GA243" s="259">
        <f ca="1">IFERROR(INDEX($FY$3:$FZ$500,MATCH(ROWS($GA$3:GA243),$FZ$3:$FZ$500,0),1),0)</f>
        <v>0</v>
      </c>
      <c r="GC243" s="259">
        <f t="shared" ca="1" si="585"/>
        <v>0</v>
      </c>
      <c r="GD243" s="259">
        <f t="shared" ca="1" si="586"/>
        <v>0</v>
      </c>
      <c r="GG243" s="259">
        <f t="shared" ca="1" si="587"/>
        <v>0</v>
      </c>
      <c r="GH243" s="259">
        <f t="shared" ca="1" si="588"/>
        <v>0</v>
      </c>
      <c r="GI243" s="259">
        <f t="shared" ca="1" si="589"/>
        <v>0</v>
      </c>
      <c r="GJ243" s="259">
        <f t="shared" ca="1" si="590"/>
        <v>0</v>
      </c>
      <c r="GK243" s="259">
        <f t="shared" ca="1" si="591"/>
        <v>0</v>
      </c>
      <c r="GL243" s="259">
        <f t="shared" ca="1" si="591"/>
        <v>0</v>
      </c>
      <c r="GM243" s="259">
        <f ca="1">IF(OR(GK243&gt;0,GL243&gt;0),MAX($GM$2:GM242)+1,0)</f>
        <v>0</v>
      </c>
      <c r="GN243" s="259" t="str">
        <f ca="1">IFERROR(INDEX($GD$3:$GM$400,MATCH(ROWS($GN$3:GN243),$GM$3:$GM$400,0),1),"")</f>
        <v/>
      </c>
      <c r="GO243" s="259" t="str">
        <f ca="1">IFERROR(INDEX($GD$3:$GM$400,MATCH(ROWS($GO$3:GO243),$GM$3:$GM$400,0),8),"")</f>
        <v/>
      </c>
      <c r="GP243" s="259" t="str">
        <f ca="1">IFERROR(INDEX($GD$3:$GM$400,MATCH(ROWS($GP$3:GP243),$GM$3:$GM$400,0),9),"")</f>
        <v/>
      </c>
      <c r="GQ243" s="259">
        <f t="shared" ca="1" si="535"/>
        <v>0</v>
      </c>
      <c r="GR243" s="259">
        <f t="shared" ca="1" si="592"/>
        <v>0</v>
      </c>
      <c r="GS243" s="259" t="str">
        <f t="shared" ca="1" si="593"/>
        <v/>
      </c>
      <c r="GT243" s="259" t="str">
        <f ca="1">IFERROR(INDEX($GD$3:$GS$400,MATCH(ROWS($GT$3:GT243),$GM$3:$GM$400,0),16),"")</f>
        <v/>
      </c>
      <c r="GU243" s="259">
        <f ca="1">IF(GQ243&lt;&gt;0,MAX($GU$2:$GU242)+1,0)</f>
        <v>0</v>
      </c>
      <c r="GV243" s="259">
        <f t="shared" ca="1" si="594"/>
        <v>0</v>
      </c>
      <c r="GW243" s="259" t="str">
        <f ca="1">IF(AND(IFERROR(INDEX($GU$3:$GV$400,MATCH(ROWS($GW$3:GW243),$GU$3:$GU$400,0),2),"")&lt;&gt;"",GW244&lt;&gt;""),CONCATENATE(IFERROR(INDEX($GU$3:$GV$400,MATCH(ROWS($GW$3:GW243),$GU$3:$GU$400,0),2),"")," - "),IFERROR(INDEX($GU$3:$GV$400,MATCH(ROWS($GW$3:GW243),$GU$3:$GU$400,0),2),""))</f>
        <v/>
      </c>
      <c r="GX243" s="259">
        <f ca="1">IF(OR(GN243="IVA NS/CREDITO",GN243="IVA NS/DEBITO",GN243="IVA C/ACCONTO",GN243="IMPOSTE C/ACCONTO"),MAX($GX$2:GX242)+1,0)</f>
        <v>0</v>
      </c>
      <c r="GY243" s="259" t="str">
        <f ca="1">IF(AND(IFERROR(INDEX($GN$3:$GX$200,MATCH(ROWS($GY$3:GY243),$GX$3:$GX$200,0),1),"")&lt;&gt;"",GY244&lt;&gt;""),CONCATENATE(IFERROR(INDEX($GN$3:$GX$200,MATCH(ROWS($GY$3:GY243),$GX$3:$GX$200,0),1),"")," - "),IFERROR(INDEX($GN$3:$GX$200,MATCH(ROWS($GY$3:GY243),$GX$3:$GX$200,0),1),""))</f>
        <v/>
      </c>
      <c r="JA243" s="259" t="str">
        <f t="shared" ca="1" si="601"/>
        <v/>
      </c>
      <c r="JB243" s="259">
        <f t="shared" ca="1" si="536"/>
        <v>0</v>
      </c>
      <c r="JC243" s="259">
        <f t="shared" ca="1" si="640"/>
        <v>0</v>
      </c>
      <c r="JD243" s="259">
        <f t="shared" ca="1" si="641"/>
        <v>0</v>
      </c>
      <c r="JM243" s="259">
        <f t="shared" ca="1" si="642"/>
        <v>0</v>
      </c>
    </row>
    <row r="244" spans="52:273">
      <c r="AZ244" s="259" t="str">
        <f t="shared" ca="1" si="616"/>
        <v/>
      </c>
      <c r="BA244" s="259">
        <f t="shared" ca="1" si="632"/>
        <v>0</v>
      </c>
      <c r="BB244" s="259">
        <f t="shared" ca="1" si="617"/>
        <v>0</v>
      </c>
      <c r="BC244" s="259">
        <f t="shared" ca="1" si="618"/>
        <v>0</v>
      </c>
      <c r="BD244" s="259">
        <f t="shared" ca="1" si="619"/>
        <v>0</v>
      </c>
      <c r="BE244" s="259">
        <f t="shared" ca="1" si="620"/>
        <v>0</v>
      </c>
      <c r="BQ244" s="259" t="str">
        <f ca="1">IFERROR(INDEX($BN$3:$BO$200,MATCH(ROWS(BQ$3:BQ244),$BP$3:$BP$220,0),1),"")</f>
        <v/>
      </c>
      <c r="CX244" s="259">
        <f t="shared" ca="1" si="645"/>
        <v>14</v>
      </c>
      <c r="CY244" s="259" t="str">
        <f t="shared" ca="1" si="643"/>
        <v>MASTRO</v>
      </c>
      <c r="CZ244" s="259" t="e">
        <f t="shared" ca="1" si="647"/>
        <v>#N/A</v>
      </c>
      <c r="DA244" s="259" t="str">
        <f t="shared" ca="1" si="652"/>
        <v/>
      </c>
      <c r="DB244" s="259" t="str">
        <f t="shared" ca="1" si="648"/>
        <v/>
      </c>
      <c r="DC244" s="259" t="str">
        <f t="shared" ca="1" si="649"/>
        <v/>
      </c>
      <c r="DD244" s="259" t="str">
        <f t="shared" ca="1" si="650"/>
        <v/>
      </c>
      <c r="DE244" s="259" t="str">
        <f t="shared" ca="1" si="651"/>
        <v/>
      </c>
      <c r="DF244" s="259">
        <f ca="1">IF(AND(CX244=$DE$2,$DF$2&lt;&gt;0),0,IF(AND(DB244&lt;&gt;"",OR(DB243&lt;&gt;"",DB245&lt;&gt;"")),MAX($DF$2:DF243)+1,0))</f>
        <v>0</v>
      </c>
      <c r="DG244" s="259" t="str">
        <f>IF(IF(LIBRO_GIORNALE!E152="","",IFERROR(INDEX(PIANO_DEI_CONTI,MATCH(BB244,DENOMINAZIONE,0),1),0))=0,"",IF(LIBRO_GIORNALE!E152="","",IFERROR(INDEX(PIANO_DEI_CONTI,MATCH(BB244,DENOMINAZIONE,0),1),0)))</f>
        <v/>
      </c>
      <c r="EC244" s="259">
        <f>IF(IF(DG244&lt;&gt;"",REPLACE(DG244,3,1,""),0)&lt;&gt;0,MAX(EC$2:EC243)+1,0)</f>
        <v>0</v>
      </c>
      <c r="ED244" s="259">
        <f t="shared" ca="1" si="529"/>
        <v>0</v>
      </c>
      <c r="EL244" s="259">
        <f t="shared" si="577"/>
        <v>242</v>
      </c>
      <c r="EM244" s="259">
        <f ca="1">IF(AND(BA244&gt;0,BA244&lt;=$EM$1),MAX($EM$2:EM243)+1,0)</f>
        <v>0</v>
      </c>
      <c r="EN244" s="259">
        <f t="shared" ca="1" si="578"/>
        <v>244</v>
      </c>
      <c r="EP244" s="259" t="str">
        <f t="shared" ca="1" si="530"/>
        <v/>
      </c>
      <c r="EQ244" s="259">
        <f t="shared" ca="1" si="531"/>
        <v>0</v>
      </c>
      <c r="ER244" s="259">
        <f ca="1">IF(ISNA(EQ244),MAX(ER$2:ER243)+1,0)</f>
        <v>0</v>
      </c>
      <c r="ES244" s="259" t="str">
        <f t="shared" ca="1" si="579"/>
        <v/>
      </c>
      <c r="ET244" s="259" t="str">
        <f ca="1">IFERROR(UPPER(INDEX($ER$3:$ES$500,MATCH(ROWS(ET$3:ET244),$ER$3:$ER$500,0),2)),"")</f>
        <v/>
      </c>
      <c r="EW244" s="259">
        <f t="shared" ca="1" si="633"/>
        <v>1</v>
      </c>
      <c r="EX244" s="259">
        <v>142</v>
      </c>
      <c r="EY244" s="259">
        <f t="shared" ca="1" si="634"/>
        <v>0</v>
      </c>
      <c r="EZ244" s="259">
        <f t="shared" ca="1" si="635"/>
        <v>0</v>
      </c>
      <c r="FA244" s="259">
        <f t="shared" ca="1" si="636"/>
        <v>0</v>
      </c>
      <c r="FB244" s="259">
        <f t="shared" ca="1" si="637"/>
        <v>0</v>
      </c>
      <c r="FC244" s="259">
        <f t="shared" ca="1" si="638"/>
        <v>0</v>
      </c>
      <c r="FD244" s="259">
        <f t="shared" ca="1" si="532"/>
        <v>0</v>
      </c>
      <c r="FE244" s="259" t="str">
        <f t="shared" ca="1" si="533"/>
        <v/>
      </c>
      <c r="FF244" s="259" t="str">
        <f t="shared" ca="1" si="639"/>
        <v/>
      </c>
      <c r="FM244" s="259">
        <f t="shared" si="534"/>
        <v>0</v>
      </c>
      <c r="FN244" s="259">
        <f>IF(FM244&lt;0,MAX($FN$2:FN243)+1,0)</f>
        <v>0</v>
      </c>
      <c r="FO244" s="259" t="str">
        <f t="shared" si="580"/>
        <v/>
      </c>
      <c r="FP244" s="259" t="str">
        <f ca="1">IFERROR(INDEX($FN$3:$FO$400,MATCH(ROWS($FP$3:FP244),$FN$3:$FN$400,0),2),"")</f>
        <v/>
      </c>
      <c r="FQ244" s="259" t="str">
        <f>IF(AE244="SE AVERE",MAX($FQ$2:FQ243)+1,"")</f>
        <v/>
      </c>
      <c r="FR244" s="259" t="str">
        <f>IF(AE244="SE DARE",MAX($FR$2:FR243)+1,"")</f>
        <v/>
      </c>
      <c r="FS244" s="259" t="str">
        <f ca="1">IF(AND(AE244="SP DARE",AA244&lt;&gt;$FS$1,AA244&lt;&gt;$FT$1),MAX($FS$2:FS243)+1,IF(AND(GQ244="SP DARE",AA244&lt;&gt;$FS$1,AA244&lt;&gt;$FT$1),MAX($FS$2:FS243)+1,""))</f>
        <v/>
      </c>
      <c r="FT244" s="259" t="str">
        <f ca="1">IF(AND(AE244="SP AVERE",AA244&lt;&gt;$FU$1),MAX($FT$2:FT243)+1,IF(AND(GQ244="SP AVERE",AA244&lt;&gt;$FU$1),MAX($FT$2:FT243)+1,""))</f>
        <v/>
      </c>
      <c r="FU244" s="259">
        <f t="shared" ca="1" si="581"/>
        <v>0</v>
      </c>
      <c r="FV244" s="259">
        <f t="shared" si="582"/>
        <v>0</v>
      </c>
      <c r="FW244" s="259">
        <f ca="1">IFERROR(INDEX($FU$3:$FV$500,MATCH(ROWS($FW$3:FW244),$FU$3:$FU$500,0),2),0)</f>
        <v>0</v>
      </c>
      <c r="FX244" s="259">
        <f t="shared" ca="1" si="583"/>
        <v>0</v>
      </c>
      <c r="FY244" s="259">
        <f t="shared" ca="1" si="584"/>
        <v>0</v>
      </c>
      <c r="FZ244" s="259">
        <f ca="1">IF(FY244&gt;0,MAX($FZ$2:FZ243)+1,0)</f>
        <v>0</v>
      </c>
      <c r="GA244" s="259">
        <f ca="1">IFERROR(INDEX($FY$3:$FZ$500,MATCH(ROWS($GA$3:GA244),$FZ$3:$FZ$500,0),1),0)</f>
        <v>0</v>
      </c>
      <c r="GC244" s="259">
        <f t="shared" ca="1" si="585"/>
        <v>0</v>
      </c>
      <c r="GD244" s="259">
        <f t="shared" ca="1" si="586"/>
        <v>0</v>
      </c>
      <c r="GG244" s="259">
        <f t="shared" ca="1" si="587"/>
        <v>0</v>
      </c>
      <c r="GH244" s="259">
        <f t="shared" ca="1" si="588"/>
        <v>0</v>
      </c>
      <c r="GI244" s="259">
        <f t="shared" ca="1" si="589"/>
        <v>0</v>
      </c>
      <c r="GJ244" s="259">
        <f t="shared" ca="1" si="590"/>
        <v>0</v>
      </c>
      <c r="GK244" s="259">
        <f t="shared" ca="1" si="591"/>
        <v>0</v>
      </c>
      <c r="GL244" s="259">
        <f t="shared" ca="1" si="591"/>
        <v>0</v>
      </c>
      <c r="GM244" s="259">
        <f ca="1">IF(OR(GK244&gt;0,GL244&gt;0),MAX($GM$2:GM243)+1,0)</f>
        <v>0</v>
      </c>
      <c r="GN244" s="259" t="str">
        <f ca="1">IFERROR(INDEX($GD$3:$GM$400,MATCH(ROWS($GN$3:GN244),$GM$3:$GM$400,0),1),"")</f>
        <v/>
      </c>
      <c r="GO244" s="259" t="str">
        <f ca="1">IFERROR(INDEX($GD$3:$GM$400,MATCH(ROWS($GO$3:GO244),$GM$3:$GM$400,0),8),"")</f>
        <v/>
      </c>
      <c r="GP244" s="259" t="str">
        <f ca="1">IFERROR(INDEX($GD$3:$GM$400,MATCH(ROWS($GP$3:GP244),$GM$3:$GM$400,0),9),"")</f>
        <v/>
      </c>
      <c r="GQ244" s="259">
        <f t="shared" ca="1" si="535"/>
        <v>0</v>
      </c>
      <c r="GR244" s="259">
        <f t="shared" ca="1" si="592"/>
        <v>0</v>
      </c>
      <c r="GS244" s="259" t="str">
        <f t="shared" ca="1" si="593"/>
        <v/>
      </c>
      <c r="GT244" s="259" t="str">
        <f ca="1">IFERROR(INDEX($GD$3:$GS$400,MATCH(ROWS($GT$3:GT244),$GM$3:$GM$400,0),16),"")</f>
        <v/>
      </c>
      <c r="GU244" s="259">
        <f ca="1">IF(GQ244&lt;&gt;0,MAX($GU$2:$GU243)+1,0)</f>
        <v>0</v>
      </c>
      <c r="GV244" s="259">
        <f t="shared" ca="1" si="594"/>
        <v>0</v>
      </c>
      <c r="GW244" s="259" t="str">
        <f ca="1">IF(AND(IFERROR(INDEX($GU$3:$GV$400,MATCH(ROWS($GW$3:GW244),$GU$3:$GU$400,0),2),"")&lt;&gt;"",GW245&lt;&gt;""),CONCATENATE(IFERROR(INDEX($GU$3:$GV$400,MATCH(ROWS($GW$3:GW244),$GU$3:$GU$400,0),2),"")," - "),IFERROR(INDEX($GU$3:$GV$400,MATCH(ROWS($GW$3:GW244),$GU$3:$GU$400,0),2),""))</f>
        <v/>
      </c>
      <c r="GX244" s="259">
        <f ca="1">IF(OR(GN244="IVA NS/CREDITO",GN244="IVA NS/DEBITO",GN244="IVA C/ACCONTO",GN244="IMPOSTE C/ACCONTO"),MAX($GX$2:GX243)+1,0)</f>
        <v>0</v>
      </c>
      <c r="GY244" s="259" t="str">
        <f ca="1">IF(AND(IFERROR(INDEX($GN$3:$GX$200,MATCH(ROWS($GY$3:GY244),$GX$3:$GX$200,0),1),"")&lt;&gt;"",GY245&lt;&gt;""),CONCATENATE(IFERROR(INDEX($GN$3:$GX$200,MATCH(ROWS($GY$3:GY244),$GX$3:$GX$200,0),1),"")," - "),IFERROR(INDEX($GN$3:$GX$200,MATCH(ROWS($GY$3:GY244),$GX$3:$GX$200,0),1),""))</f>
        <v/>
      </c>
      <c r="JA244" s="259" t="str">
        <f t="shared" ca="1" si="601"/>
        <v/>
      </c>
      <c r="JB244" s="259">
        <f t="shared" ca="1" si="536"/>
        <v>0</v>
      </c>
      <c r="JC244" s="259">
        <f t="shared" ca="1" si="640"/>
        <v>0</v>
      </c>
      <c r="JD244" s="259">
        <f t="shared" ca="1" si="641"/>
        <v>0</v>
      </c>
      <c r="JM244" s="259">
        <f t="shared" ca="1" si="642"/>
        <v>0</v>
      </c>
    </row>
    <row r="245" spans="52:273">
      <c r="AZ245" s="259" t="str">
        <f t="shared" ca="1" si="616"/>
        <v/>
      </c>
      <c r="BA245" s="259">
        <f t="shared" ca="1" si="632"/>
        <v>0</v>
      </c>
      <c r="BB245" s="259">
        <f t="shared" ca="1" si="617"/>
        <v>0</v>
      </c>
      <c r="BC245" s="259">
        <f t="shared" ca="1" si="618"/>
        <v>0</v>
      </c>
      <c r="BD245" s="259">
        <f t="shared" ca="1" si="619"/>
        <v>0</v>
      </c>
      <c r="BE245" s="259">
        <f t="shared" ca="1" si="620"/>
        <v>0</v>
      </c>
      <c r="BQ245" s="259" t="str">
        <f ca="1">IFERROR(INDEX($BN$3:$BO$200,MATCH(ROWS(BQ$3:BQ245),$BP$3:$BP$220,0),1),"")</f>
        <v/>
      </c>
      <c r="CX245" s="259">
        <f t="shared" ca="1" si="645"/>
        <v>14</v>
      </c>
      <c r="CY245" s="259" t="str">
        <f t="shared" ca="1" si="643"/>
        <v>MASTRO</v>
      </c>
      <c r="CZ245" s="259" t="e">
        <f t="shared" ca="1" si="647"/>
        <v>#N/A</v>
      </c>
      <c r="DA245" s="259" t="str">
        <f t="shared" ca="1" si="652"/>
        <v/>
      </c>
      <c r="DB245" s="259" t="str">
        <f t="shared" ca="1" si="648"/>
        <v/>
      </c>
      <c r="DC245" s="259" t="str">
        <f t="shared" ca="1" si="649"/>
        <v/>
      </c>
      <c r="DD245" s="259" t="str">
        <f t="shared" ca="1" si="650"/>
        <v/>
      </c>
      <c r="DE245" s="259" t="str">
        <f t="shared" ca="1" si="651"/>
        <v/>
      </c>
      <c r="DF245" s="259">
        <f ca="1">IF(AND(CX245=$DE$2,$DF$2&lt;&gt;0),0,IF(AND(DB245&lt;&gt;"",OR(DB244&lt;&gt;"",DB246&lt;&gt;"")),MAX($DF$2:DF244)+1,0))</f>
        <v>0</v>
      </c>
      <c r="DG245" s="259" t="str">
        <f>IF(IF(LIBRO_GIORNALE!E153="","",IFERROR(INDEX(PIANO_DEI_CONTI,MATCH(BB245,DENOMINAZIONE,0),1),0))=0,"",IF(LIBRO_GIORNALE!E153="","",IFERROR(INDEX(PIANO_DEI_CONTI,MATCH(BB245,DENOMINAZIONE,0),1),0)))</f>
        <v/>
      </c>
      <c r="EC245" s="259">
        <f>IF(IF(DG245&lt;&gt;"",REPLACE(DG245,3,1,""),0)&lt;&gt;0,MAX(EC$2:EC244)+1,0)</f>
        <v>0</v>
      </c>
      <c r="ED245" s="259">
        <f t="shared" ca="1" si="529"/>
        <v>0</v>
      </c>
      <c r="EL245" s="259">
        <f t="shared" si="577"/>
        <v>243</v>
      </c>
      <c r="EM245" s="259">
        <f ca="1">IF(AND(BA245&gt;0,BA245&lt;=$EM$1),MAX($EM$2:EM244)+1,0)</f>
        <v>0</v>
      </c>
      <c r="EN245" s="259">
        <f t="shared" ca="1" si="578"/>
        <v>245</v>
      </c>
      <c r="EP245" s="259" t="str">
        <f t="shared" ca="1" si="530"/>
        <v/>
      </c>
      <c r="EQ245" s="259">
        <f t="shared" ca="1" si="531"/>
        <v>0</v>
      </c>
      <c r="ER245" s="259">
        <f ca="1">IF(ISNA(EQ245),MAX(ER$2:ER244)+1,0)</f>
        <v>0</v>
      </c>
      <c r="ES245" s="259" t="str">
        <f t="shared" ca="1" si="579"/>
        <v/>
      </c>
      <c r="ET245" s="259" t="str">
        <f ca="1">IFERROR(UPPER(INDEX($ER$3:$ES$500,MATCH(ROWS(ET$3:ET245),$ER$3:$ER$500,0),2)),"")</f>
        <v/>
      </c>
      <c r="EW245" s="259">
        <f t="shared" ca="1" si="633"/>
        <v>1</v>
      </c>
      <c r="EX245" s="259">
        <v>143</v>
      </c>
      <c r="EY245" s="259">
        <f t="shared" ca="1" si="634"/>
        <v>0</v>
      </c>
      <c r="EZ245" s="259">
        <f t="shared" ca="1" si="635"/>
        <v>0</v>
      </c>
      <c r="FA245" s="259">
        <f t="shared" ca="1" si="636"/>
        <v>0</v>
      </c>
      <c r="FB245" s="259">
        <f t="shared" ca="1" si="637"/>
        <v>0</v>
      </c>
      <c r="FC245" s="259">
        <f t="shared" ca="1" si="638"/>
        <v>0</v>
      </c>
      <c r="FD245" s="259">
        <f t="shared" ca="1" si="532"/>
        <v>0</v>
      </c>
      <c r="FE245" s="259" t="str">
        <f t="shared" ca="1" si="533"/>
        <v/>
      </c>
      <c r="FF245" s="259" t="str">
        <f t="shared" ca="1" si="639"/>
        <v/>
      </c>
      <c r="FM245" s="259">
        <f t="shared" si="534"/>
        <v>0</v>
      </c>
      <c r="FN245" s="259">
        <f>IF(FM245&lt;0,MAX($FN$2:FN244)+1,0)</f>
        <v>0</v>
      </c>
      <c r="FO245" s="259" t="str">
        <f t="shared" si="580"/>
        <v/>
      </c>
      <c r="FP245" s="259" t="str">
        <f ca="1">IFERROR(INDEX($FN$3:$FO$400,MATCH(ROWS($FP$3:FP245),$FN$3:$FN$400,0),2),"")</f>
        <v/>
      </c>
      <c r="FQ245" s="259" t="str">
        <f>IF(AE245="SE AVERE",MAX($FQ$2:FQ244)+1,"")</f>
        <v/>
      </c>
      <c r="FR245" s="259" t="str">
        <f>IF(AE245="SE DARE",MAX($FR$2:FR244)+1,"")</f>
        <v/>
      </c>
      <c r="FS245" s="259" t="str">
        <f ca="1">IF(AND(AE245="SP DARE",AA245&lt;&gt;$FS$1,AA245&lt;&gt;$FT$1),MAX($FS$2:FS244)+1,IF(AND(GQ245="SP DARE",AA245&lt;&gt;$FS$1,AA245&lt;&gt;$FT$1),MAX($FS$2:FS244)+1,""))</f>
        <v/>
      </c>
      <c r="FT245" s="259" t="str">
        <f ca="1">IF(AND(AE245="SP AVERE",AA245&lt;&gt;$FU$1),MAX($FT$2:FT244)+1,IF(AND(GQ245="SP AVERE",AA245&lt;&gt;$FU$1),MAX($FT$2:FT244)+1,""))</f>
        <v/>
      </c>
      <c r="FU245" s="259">
        <f t="shared" ca="1" si="581"/>
        <v>0</v>
      </c>
      <c r="FV245" s="259">
        <f t="shared" si="582"/>
        <v>0</v>
      </c>
      <c r="FW245" s="259">
        <f ca="1">IFERROR(INDEX($FU$3:$FV$500,MATCH(ROWS($FW$3:FW245),$FU$3:$FU$500,0),2),0)</f>
        <v>0</v>
      </c>
      <c r="FX245" s="259">
        <f t="shared" ca="1" si="583"/>
        <v>0</v>
      </c>
      <c r="FY245" s="259">
        <f t="shared" ca="1" si="584"/>
        <v>0</v>
      </c>
      <c r="FZ245" s="259">
        <f ca="1">IF(FY245&gt;0,MAX($FZ$2:FZ244)+1,0)</f>
        <v>0</v>
      </c>
      <c r="GA245" s="259">
        <f ca="1">IFERROR(INDEX($FY$3:$FZ$500,MATCH(ROWS($GA$3:GA245),$FZ$3:$FZ$500,0),1),0)</f>
        <v>0</v>
      </c>
      <c r="GC245" s="259">
        <f t="shared" ca="1" si="585"/>
        <v>0</v>
      </c>
      <c r="GD245" s="259">
        <f t="shared" ca="1" si="586"/>
        <v>0</v>
      </c>
      <c r="GG245" s="259">
        <f t="shared" ca="1" si="587"/>
        <v>0</v>
      </c>
      <c r="GH245" s="259">
        <f t="shared" ca="1" si="588"/>
        <v>0</v>
      </c>
      <c r="GI245" s="259">
        <f t="shared" ca="1" si="589"/>
        <v>0</v>
      </c>
      <c r="GJ245" s="259">
        <f t="shared" ca="1" si="590"/>
        <v>0</v>
      </c>
      <c r="GK245" s="259">
        <f t="shared" ca="1" si="591"/>
        <v>0</v>
      </c>
      <c r="GL245" s="259">
        <f t="shared" ca="1" si="591"/>
        <v>0</v>
      </c>
      <c r="GM245" s="259">
        <f ca="1">IF(OR(GK245&gt;0,GL245&gt;0),MAX($GM$2:GM244)+1,0)</f>
        <v>0</v>
      </c>
      <c r="GN245" s="259" t="str">
        <f ca="1">IFERROR(INDEX($GD$3:$GM$400,MATCH(ROWS($GN$3:GN245),$GM$3:$GM$400,0),1),"")</f>
        <v/>
      </c>
      <c r="GO245" s="259" t="str">
        <f ca="1">IFERROR(INDEX($GD$3:$GM$400,MATCH(ROWS($GO$3:GO245),$GM$3:$GM$400,0),8),"")</f>
        <v/>
      </c>
      <c r="GP245" s="259" t="str">
        <f ca="1">IFERROR(INDEX($GD$3:$GM$400,MATCH(ROWS($GP$3:GP245),$GM$3:$GM$400,0),9),"")</f>
        <v/>
      </c>
      <c r="GQ245" s="259">
        <f t="shared" ca="1" si="535"/>
        <v>0</v>
      </c>
      <c r="GR245" s="259">
        <f t="shared" ca="1" si="592"/>
        <v>0</v>
      </c>
      <c r="GS245" s="259" t="str">
        <f t="shared" ca="1" si="593"/>
        <v/>
      </c>
      <c r="GT245" s="259" t="str">
        <f ca="1">IFERROR(INDEX($GD$3:$GS$400,MATCH(ROWS($GT$3:GT245),$GM$3:$GM$400,0),16),"")</f>
        <v/>
      </c>
      <c r="GU245" s="259">
        <f ca="1">IF(GQ245&lt;&gt;0,MAX($GU$2:$GU244)+1,0)</f>
        <v>0</v>
      </c>
      <c r="GV245" s="259">
        <f t="shared" ca="1" si="594"/>
        <v>0</v>
      </c>
      <c r="GW245" s="259" t="str">
        <f ca="1">IF(AND(IFERROR(INDEX($GU$3:$GV$400,MATCH(ROWS($GW$3:GW245),$GU$3:$GU$400,0),2),"")&lt;&gt;"",GW246&lt;&gt;""),CONCATENATE(IFERROR(INDEX($GU$3:$GV$400,MATCH(ROWS($GW$3:GW245),$GU$3:$GU$400,0),2),"")," - "),IFERROR(INDEX($GU$3:$GV$400,MATCH(ROWS($GW$3:GW245),$GU$3:$GU$400,0),2),""))</f>
        <v/>
      </c>
      <c r="GX245" s="259">
        <f ca="1">IF(OR(GN245="IVA NS/CREDITO",GN245="IVA NS/DEBITO",GN245="IVA C/ACCONTO",GN245="IMPOSTE C/ACCONTO"),MAX($GX$2:GX244)+1,0)</f>
        <v>0</v>
      </c>
      <c r="GY245" s="259" t="str">
        <f ca="1">IF(AND(IFERROR(INDEX($GN$3:$GX$200,MATCH(ROWS($GY$3:GY245),$GX$3:$GX$200,0),1),"")&lt;&gt;"",GY246&lt;&gt;""),CONCATENATE(IFERROR(INDEX($GN$3:$GX$200,MATCH(ROWS($GY$3:GY245),$GX$3:$GX$200,0),1),"")," - "),IFERROR(INDEX($GN$3:$GX$200,MATCH(ROWS($GY$3:GY245),$GX$3:$GX$200,0),1),""))</f>
        <v/>
      </c>
      <c r="JA245" s="259" t="str">
        <f t="shared" ca="1" si="601"/>
        <v/>
      </c>
      <c r="JB245" s="259">
        <f t="shared" ca="1" si="536"/>
        <v>0</v>
      </c>
      <c r="JC245" s="259">
        <f t="shared" ca="1" si="640"/>
        <v>0</v>
      </c>
      <c r="JD245" s="259">
        <f t="shared" ca="1" si="641"/>
        <v>0</v>
      </c>
      <c r="JM245" s="259">
        <f t="shared" ca="1" si="642"/>
        <v>0</v>
      </c>
    </row>
    <row r="246" spans="52:273">
      <c r="AZ246" s="259" t="str">
        <f t="shared" ca="1" si="616"/>
        <v/>
      </c>
      <c r="BA246" s="259">
        <f t="shared" ca="1" si="632"/>
        <v>0</v>
      </c>
      <c r="BB246" s="259">
        <f t="shared" ca="1" si="617"/>
        <v>0</v>
      </c>
      <c r="BC246" s="259">
        <f t="shared" ca="1" si="618"/>
        <v>0</v>
      </c>
      <c r="BD246" s="259">
        <f t="shared" ca="1" si="619"/>
        <v>0</v>
      </c>
      <c r="BE246" s="259">
        <f t="shared" ca="1" si="620"/>
        <v>0</v>
      </c>
      <c r="BQ246" s="259" t="str">
        <f ca="1">IFERROR(INDEX($BN$3:$BO$200,MATCH(ROWS(BQ$3:BQ246),$BP$3:$BP$220,0),1),"")</f>
        <v/>
      </c>
      <c r="CX246" s="259">
        <f t="shared" ca="1" si="645"/>
        <v>14</v>
      </c>
      <c r="CY246" s="259" t="str">
        <f t="shared" ca="1" si="643"/>
        <v>MASTRO</v>
      </c>
      <c r="CZ246" s="259" t="e">
        <f t="shared" ca="1" si="647"/>
        <v>#N/A</v>
      </c>
      <c r="DA246" s="259" t="str">
        <f t="shared" ca="1" si="652"/>
        <v/>
      </c>
      <c r="DB246" s="259" t="str">
        <f t="shared" ca="1" si="648"/>
        <v/>
      </c>
      <c r="DC246" s="259" t="str">
        <f t="shared" ca="1" si="649"/>
        <v/>
      </c>
      <c r="DD246" s="259" t="str">
        <f t="shared" ca="1" si="650"/>
        <v/>
      </c>
      <c r="DE246" s="259" t="str">
        <f t="shared" ca="1" si="651"/>
        <v/>
      </c>
      <c r="DF246" s="259">
        <f ca="1">IF(AND(CX246=$DE$2,$DF$2&lt;&gt;0),0,IF(AND(DB246&lt;&gt;"",OR(DB245&lt;&gt;"",DB247&lt;&gt;"")),MAX($DF$2:DF245)+1,0))</f>
        <v>0</v>
      </c>
      <c r="DG246" s="259" t="str">
        <f>IF(IF(LIBRO_GIORNALE!E154="","",IFERROR(INDEX(PIANO_DEI_CONTI,MATCH(BB246,DENOMINAZIONE,0),1),0))=0,"",IF(LIBRO_GIORNALE!E154="","",IFERROR(INDEX(PIANO_DEI_CONTI,MATCH(BB246,DENOMINAZIONE,0),1),0)))</f>
        <v/>
      </c>
      <c r="EC246" s="259">
        <f>IF(IF(DG246&lt;&gt;"",REPLACE(DG246,3,1,""),0)&lt;&gt;0,MAX(EC$2:EC245)+1,0)</f>
        <v>0</v>
      </c>
      <c r="ED246" s="259">
        <f t="shared" ca="1" si="529"/>
        <v>0</v>
      </c>
      <c r="EL246" s="259">
        <f t="shared" si="577"/>
        <v>244</v>
      </c>
      <c r="EM246" s="259">
        <f ca="1">IF(AND(BA246&gt;0,BA246&lt;=$EM$1),MAX($EM$2:EM245)+1,0)</f>
        <v>0</v>
      </c>
      <c r="EN246" s="259">
        <f t="shared" ca="1" si="578"/>
        <v>246</v>
      </c>
      <c r="EP246" s="259" t="str">
        <f t="shared" ca="1" si="530"/>
        <v/>
      </c>
      <c r="EQ246" s="259">
        <f t="shared" ca="1" si="531"/>
        <v>0</v>
      </c>
      <c r="ER246" s="259">
        <f ca="1">IF(ISNA(EQ246),MAX(ER$2:ER245)+1,0)</f>
        <v>0</v>
      </c>
      <c r="ES246" s="259" t="str">
        <f t="shared" ca="1" si="579"/>
        <v/>
      </c>
      <c r="ET246" s="259" t="str">
        <f ca="1">IFERROR(UPPER(INDEX($ER$3:$ES$500,MATCH(ROWS(ET$3:ET246),$ER$3:$ER$500,0),2)),"")</f>
        <v/>
      </c>
      <c r="EW246" s="259">
        <f t="shared" ca="1" si="633"/>
        <v>1</v>
      </c>
      <c r="EX246" s="259">
        <v>144</v>
      </c>
      <c r="EY246" s="259">
        <f t="shared" ca="1" si="634"/>
        <v>0</v>
      </c>
      <c r="EZ246" s="259">
        <f t="shared" ca="1" si="635"/>
        <v>0</v>
      </c>
      <c r="FA246" s="259">
        <f t="shared" ca="1" si="636"/>
        <v>0</v>
      </c>
      <c r="FB246" s="259">
        <f t="shared" ca="1" si="637"/>
        <v>0</v>
      </c>
      <c r="FC246" s="259">
        <f t="shared" ca="1" si="638"/>
        <v>0</v>
      </c>
      <c r="FD246" s="259">
        <f t="shared" ca="1" si="532"/>
        <v>0</v>
      </c>
      <c r="FE246" s="259" t="str">
        <f t="shared" ca="1" si="533"/>
        <v/>
      </c>
      <c r="FF246" s="259" t="str">
        <f t="shared" ca="1" si="639"/>
        <v/>
      </c>
      <c r="FM246" s="259">
        <f t="shared" si="534"/>
        <v>0</v>
      </c>
      <c r="FN246" s="259">
        <f>IF(FM246&lt;0,MAX($FN$2:FN245)+1,0)</f>
        <v>0</v>
      </c>
      <c r="FO246" s="259" t="str">
        <f t="shared" si="580"/>
        <v/>
      </c>
      <c r="FP246" s="259" t="str">
        <f ca="1">IFERROR(INDEX($FN$3:$FO$400,MATCH(ROWS($FP$3:FP246),$FN$3:$FN$400,0),2),"")</f>
        <v/>
      </c>
      <c r="FQ246" s="259" t="str">
        <f>IF(AE246="SE AVERE",MAX($FQ$2:FQ245)+1,"")</f>
        <v/>
      </c>
      <c r="FR246" s="259" t="str">
        <f>IF(AE246="SE DARE",MAX($FR$2:FR245)+1,"")</f>
        <v/>
      </c>
      <c r="FS246" s="259" t="str">
        <f ca="1">IF(AND(AE246="SP DARE",AA246&lt;&gt;$FS$1,AA246&lt;&gt;$FT$1),MAX($FS$2:FS245)+1,IF(AND(GQ246="SP DARE",AA246&lt;&gt;$FS$1,AA246&lt;&gt;$FT$1),MAX($FS$2:FS245)+1,""))</f>
        <v/>
      </c>
      <c r="FT246" s="259" t="str">
        <f ca="1">IF(AND(AE246="SP AVERE",AA246&lt;&gt;$FU$1),MAX($FT$2:FT245)+1,IF(AND(GQ246="SP AVERE",AA246&lt;&gt;$FU$1),MAX($FT$2:FT245)+1,""))</f>
        <v/>
      </c>
      <c r="FU246" s="259">
        <f t="shared" ca="1" si="581"/>
        <v>0</v>
      </c>
      <c r="FV246" s="259">
        <f t="shared" si="582"/>
        <v>0</v>
      </c>
      <c r="FW246" s="259">
        <f ca="1">IFERROR(INDEX($FU$3:$FV$500,MATCH(ROWS($FW$3:FW246),$FU$3:$FU$500,0),2),0)</f>
        <v>0</v>
      </c>
      <c r="FX246" s="259">
        <f t="shared" ca="1" si="583"/>
        <v>0</v>
      </c>
      <c r="FY246" s="259">
        <f t="shared" ca="1" si="584"/>
        <v>0</v>
      </c>
      <c r="FZ246" s="259">
        <f ca="1">IF(FY246&gt;0,MAX($FZ$2:FZ245)+1,0)</f>
        <v>0</v>
      </c>
      <c r="GA246" s="259">
        <f ca="1">IFERROR(INDEX($FY$3:$FZ$500,MATCH(ROWS($GA$3:GA246),$FZ$3:$FZ$500,0),1),0)</f>
        <v>0</v>
      </c>
      <c r="GC246" s="259">
        <f t="shared" ca="1" si="585"/>
        <v>0</v>
      </c>
      <c r="GD246" s="259">
        <f t="shared" ca="1" si="586"/>
        <v>0</v>
      </c>
      <c r="GG246" s="259">
        <f t="shared" ca="1" si="587"/>
        <v>0</v>
      </c>
      <c r="GH246" s="259">
        <f t="shared" ca="1" si="588"/>
        <v>0</v>
      </c>
      <c r="GI246" s="259">
        <f t="shared" ca="1" si="589"/>
        <v>0</v>
      </c>
      <c r="GJ246" s="259">
        <f t="shared" ca="1" si="590"/>
        <v>0</v>
      </c>
      <c r="GK246" s="259">
        <f t="shared" ca="1" si="591"/>
        <v>0</v>
      </c>
      <c r="GL246" s="259">
        <f t="shared" ca="1" si="591"/>
        <v>0</v>
      </c>
      <c r="GM246" s="259">
        <f ca="1">IF(OR(GK246&gt;0,GL246&gt;0),MAX($GM$2:GM245)+1,0)</f>
        <v>0</v>
      </c>
      <c r="GN246" s="259" t="str">
        <f ca="1">IFERROR(INDEX($GD$3:$GM$400,MATCH(ROWS($GN$3:GN246),$GM$3:$GM$400,0),1),"")</f>
        <v/>
      </c>
      <c r="GO246" s="259" t="str">
        <f ca="1">IFERROR(INDEX($GD$3:$GM$400,MATCH(ROWS($GO$3:GO246),$GM$3:$GM$400,0),8),"")</f>
        <v/>
      </c>
      <c r="GP246" s="259" t="str">
        <f ca="1">IFERROR(INDEX($GD$3:$GM$400,MATCH(ROWS($GP$3:GP246),$GM$3:$GM$400,0),9),"")</f>
        <v/>
      </c>
      <c r="GQ246" s="259">
        <f t="shared" ca="1" si="535"/>
        <v>0</v>
      </c>
      <c r="GR246" s="259">
        <f t="shared" ca="1" si="592"/>
        <v>0</v>
      </c>
      <c r="GS246" s="259" t="str">
        <f t="shared" ca="1" si="593"/>
        <v/>
      </c>
      <c r="GT246" s="259" t="str">
        <f ca="1">IFERROR(INDEX($GD$3:$GS$400,MATCH(ROWS($GT$3:GT246),$GM$3:$GM$400,0),16),"")</f>
        <v/>
      </c>
      <c r="GU246" s="259">
        <f ca="1">IF(GQ246&lt;&gt;0,MAX($GU$2:$GU245)+1,0)</f>
        <v>0</v>
      </c>
      <c r="GV246" s="259">
        <f t="shared" ca="1" si="594"/>
        <v>0</v>
      </c>
      <c r="GW246" s="259" t="str">
        <f ca="1">IF(AND(IFERROR(INDEX($GU$3:$GV$400,MATCH(ROWS($GW$3:GW246),$GU$3:$GU$400,0),2),"")&lt;&gt;"",GW247&lt;&gt;""),CONCATENATE(IFERROR(INDEX($GU$3:$GV$400,MATCH(ROWS($GW$3:GW246),$GU$3:$GU$400,0),2),"")," - "),IFERROR(INDEX($GU$3:$GV$400,MATCH(ROWS($GW$3:GW246),$GU$3:$GU$400,0),2),""))</f>
        <v/>
      </c>
      <c r="GX246" s="259">
        <f ca="1">IF(OR(GN246="IVA NS/CREDITO",GN246="IVA NS/DEBITO",GN246="IVA C/ACCONTO",GN246="IMPOSTE C/ACCONTO"),MAX($GX$2:GX245)+1,0)</f>
        <v>0</v>
      </c>
      <c r="GY246" s="259" t="str">
        <f ca="1">IF(AND(IFERROR(INDEX($GN$3:$GX$200,MATCH(ROWS($GY$3:GY246),$GX$3:$GX$200,0),1),"")&lt;&gt;"",GY247&lt;&gt;""),CONCATENATE(IFERROR(INDEX($GN$3:$GX$200,MATCH(ROWS($GY$3:GY246),$GX$3:$GX$200,0),1),"")," - "),IFERROR(INDEX($GN$3:$GX$200,MATCH(ROWS($GY$3:GY246),$GX$3:$GX$200,0),1),""))</f>
        <v/>
      </c>
      <c r="JA246" s="259" t="str">
        <f t="shared" ca="1" si="601"/>
        <v/>
      </c>
      <c r="JB246" s="259">
        <f t="shared" ca="1" si="536"/>
        <v>0</v>
      </c>
      <c r="JC246" s="259">
        <f t="shared" ca="1" si="640"/>
        <v>0</v>
      </c>
      <c r="JD246" s="259">
        <f t="shared" ca="1" si="641"/>
        <v>0</v>
      </c>
      <c r="JM246" s="259">
        <f t="shared" ca="1" si="642"/>
        <v>0</v>
      </c>
    </row>
    <row r="247" spans="52:273">
      <c r="AZ247" s="259" t="str">
        <f t="shared" ca="1" si="616"/>
        <v/>
      </c>
      <c r="BA247" s="259">
        <f t="shared" ca="1" si="632"/>
        <v>0</v>
      </c>
      <c r="BB247" s="259">
        <f t="shared" ca="1" si="617"/>
        <v>0</v>
      </c>
      <c r="BC247" s="259">
        <f t="shared" ca="1" si="618"/>
        <v>0</v>
      </c>
      <c r="BD247" s="259">
        <f t="shared" ca="1" si="619"/>
        <v>0</v>
      </c>
      <c r="BE247" s="259">
        <f t="shared" ca="1" si="620"/>
        <v>0</v>
      </c>
      <c r="BQ247" s="259" t="str">
        <f ca="1">IFERROR(INDEX($BN$3:$BO$200,MATCH(ROWS(BQ$3:BQ247),$BP$3:$BP$220,0),1),"")</f>
        <v/>
      </c>
      <c r="CX247" s="259">
        <f t="shared" ca="1" si="645"/>
        <v>14</v>
      </c>
      <c r="CY247" s="259" t="str">
        <f t="shared" ca="1" si="643"/>
        <v>MASTRO</v>
      </c>
      <c r="CZ247" s="259" t="e">
        <f t="shared" ca="1" si="647"/>
        <v>#N/A</v>
      </c>
      <c r="DA247" s="259" t="str">
        <f t="shared" ca="1" si="652"/>
        <v/>
      </c>
      <c r="DB247" s="259" t="str">
        <f t="shared" ca="1" si="648"/>
        <v/>
      </c>
      <c r="DC247" s="259" t="str">
        <f t="shared" ca="1" si="649"/>
        <v/>
      </c>
      <c r="DD247" s="259" t="str">
        <f t="shared" ca="1" si="650"/>
        <v/>
      </c>
      <c r="DE247" s="259" t="str">
        <f t="shared" ca="1" si="651"/>
        <v/>
      </c>
      <c r="DF247" s="259">
        <f ca="1">IF(AND(CX247=$DE$2,$DF$2&lt;&gt;0),0,IF(AND(DB247&lt;&gt;"",OR(DB246&lt;&gt;"",DB248&lt;&gt;"")),MAX($DF$2:DF246)+1,0))</f>
        <v>0</v>
      </c>
      <c r="DG247" s="259" t="str">
        <f>IF(IF(LIBRO_GIORNALE!E155="","",IFERROR(INDEX(PIANO_DEI_CONTI,MATCH(BB247,DENOMINAZIONE,0),1),0))=0,"",IF(LIBRO_GIORNALE!E155="","",IFERROR(INDEX(PIANO_DEI_CONTI,MATCH(BB247,DENOMINAZIONE,0),1),0)))</f>
        <v/>
      </c>
      <c r="EC247" s="259">
        <f>IF(IF(DG247&lt;&gt;"",REPLACE(DG247,3,1,""),0)&lt;&gt;0,MAX(EC$2:EC246)+1,0)</f>
        <v>0</v>
      </c>
      <c r="ED247" s="259">
        <f t="shared" ca="1" si="529"/>
        <v>0</v>
      </c>
      <c r="EL247" s="259">
        <f t="shared" si="577"/>
        <v>245</v>
      </c>
      <c r="EM247" s="259">
        <f ca="1">IF(AND(BA247&gt;0,BA247&lt;=$EM$1),MAX($EM$2:EM246)+1,0)</f>
        <v>0</v>
      </c>
      <c r="EN247" s="259">
        <f t="shared" ca="1" si="578"/>
        <v>247</v>
      </c>
      <c r="EP247" s="259" t="str">
        <f t="shared" ca="1" si="530"/>
        <v/>
      </c>
      <c r="EQ247" s="259">
        <f t="shared" ca="1" si="531"/>
        <v>0</v>
      </c>
      <c r="ER247" s="259">
        <f ca="1">IF(ISNA(EQ247),MAX(ER$2:ER246)+1,0)</f>
        <v>0</v>
      </c>
      <c r="ES247" s="259" t="str">
        <f t="shared" ca="1" si="579"/>
        <v/>
      </c>
      <c r="ET247" s="259" t="str">
        <f ca="1">IFERROR(UPPER(INDEX($ER$3:$ES$500,MATCH(ROWS(ET$3:ET247),$ER$3:$ER$500,0),2)),"")</f>
        <v/>
      </c>
      <c r="EW247" s="259">
        <f t="shared" ca="1" si="633"/>
        <v>1</v>
      </c>
      <c r="EX247" s="259">
        <v>145</v>
      </c>
      <c r="EY247" s="259">
        <f t="shared" ca="1" si="634"/>
        <v>0</v>
      </c>
      <c r="EZ247" s="259">
        <f t="shared" ca="1" si="635"/>
        <v>0</v>
      </c>
      <c r="FA247" s="259">
        <f t="shared" ca="1" si="636"/>
        <v>0</v>
      </c>
      <c r="FB247" s="259">
        <f t="shared" ca="1" si="637"/>
        <v>0</v>
      </c>
      <c r="FC247" s="259">
        <f t="shared" ca="1" si="638"/>
        <v>0</v>
      </c>
      <c r="FD247" s="259">
        <f t="shared" ca="1" si="532"/>
        <v>0</v>
      </c>
      <c r="FE247" s="259" t="str">
        <f t="shared" ca="1" si="533"/>
        <v/>
      </c>
      <c r="FF247" s="259" t="str">
        <f t="shared" ca="1" si="639"/>
        <v/>
      </c>
      <c r="FM247" s="259">
        <f t="shared" si="534"/>
        <v>0</v>
      </c>
      <c r="FN247" s="259">
        <f>IF(FM247&lt;0,MAX($FN$2:FN246)+1,0)</f>
        <v>0</v>
      </c>
      <c r="FO247" s="259" t="str">
        <f t="shared" si="580"/>
        <v/>
      </c>
      <c r="FP247" s="259" t="str">
        <f ca="1">IFERROR(INDEX($FN$3:$FO$400,MATCH(ROWS($FP$3:FP247),$FN$3:$FN$400,0),2),"")</f>
        <v/>
      </c>
      <c r="FQ247" s="259" t="str">
        <f>IF(AE247="SE AVERE",MAX($FQ$2:FQ246)+1,"")</f>
        <v/>
      </c>
      <c r="FR247" s="259" t="str">
        <f>IF(AE247="SE DARE",MAX($FR$2:FR246)+1,"")</f>
        <v/>
      </c>
      <c r="FS247" s="259" t="str">
        <f ca="1">IF(AND(AE247="SP DARE",AA247&lt;&gt;$FS$1,AA247&lt;&gt;$FT$1),MAX($FS$2:FS246)+1,IF(AND(GQ247="SP DARE",AA247&lt;&gt;$FS$1,AA247&lt;&gt;$FT$1),MAX($FS$2:FS246)+1,""))</f>
        <v/>
      </c>
      <c r="FT247" s="259" t="str">
        <f ca="1">IF(AND(AE247="SP AVERE",AA247&lt;&gt;$FU$1),MAX($FT$2:FT246)+1,IF(AND(GQ247="SP AVERE",AA247&lt;&gt;$FU$1),MAX($FT$2:FT246)+1,""))</f>
        <v/>
      </c>
      <c r="FU247" s="259">
        <f t="shared" ca="1" si="581"/>
        <v>0</v>
      </c>
      <c r="FV247" s="259">
        <f t="shared" si="582"/>
        <v>0</v>
      </c>
      <c r="FW247" s="259">
        <f ca="1">IFERROR(INDEX($FU$3:$FV$500,MATCH(ROWS($FW$3:FW247),$FU$3:$FU$500,0),2),0)</f>
        <v>0</v>
      </c>
      <c r="FX247" s="259">
        <f t="shared" ca="1" si="583"/>
        <v>0</v>
      </c>
      <c r="FY247" s="259">
        <f t="shared" ca="1" si="584"/>
        <v>0</v>
      </c>
      <c r="FZ247" s="259">
        <f ca="1">IF(FY247&gt;0,MAX($FZ$2:FZ246)+1,0)</f>
        <v>0</v>
      </c>
      <c r="GA247" s="259">
        <f ca="1">IFERROR(INDEX($FY$3:$FZ$500,MATCH(ROWS($GA$3:GA247),$FZ$3:$FZ$500,0),1),0)</f>
        <v>0</v>
      </c>
      <c r="GC247" s="259">
        <f t="shared" ca="1" si="585"/>
        <v>0</v>
      </c>
      <c r="GD247" s="259">
        <f t="shared" ca="1" si="586"/>
        <v>0</v>
      </c>
      <c r="GG247" s="259">
        <f t="shared" ca="1" si="587"/>
        <v>0</v>
      </c>
      <c r="GH247" s="259">
        <f t="shared" ca="1" si="588"/>
        <v>0</v>
      </c>
      <c r="GI247" s="259">
        <f t="shared" ca="1" si="589"/>
        <v>0</v>
      </c>
      <c r="GJ247" s="259">
        <f t="shared" ca="1" si="590"/>
        <v>0</v>
      </c>
      <c r="GK247" s="259">
        <f t="shared" ca="1" si="591"/>
        <v>0</v>
      </c>
      <c r="GL247" s="259">
        <f t="shared" ca="1" si="591"/>
        <v>0</v>
      </c>
      <c r="GM247" s="259">
        <f ca="1">IF(OR(GK247&gt;0,GL247&gt;0),MAX($GM$2:GM246)+1,0)</f>
        <v>0</v>
      </c>
      <c r="GN247" s="259" t="str">
        <f ca="1">IFERROR(INDEX($GD$3:$GM$400,MATCH(ROWS($GN$3:GN247),$GM$3:$GM$400,0),1),"")</f>
        <v/>
      </c>
      <c r="GO247" s="259" t="str">
        <f ca="1">IFERROR(INDEX($GD$3:$GM$400,MATCH(ROWS($GO$3:GO247),$GM$3:$GM$400,0),8),"")</f>
        <v/>
      </c>
      <c r="GP247" s="259" t="str">
        <f ca="1">IFERROR(INDEX($GD$3:$GM$400,MATCH(ROWS($GP$3:GP247),$GM$3:$GM$400,0),9),"")</f>
        <v/>
      </c>
      <c r="GQ247" s="259">
        <f t="shared" ca="1" si="535"/>
        <v>0</v>
      </c>
      <c r="GR247" s="259">
        <f t="shared" ca="1" si="592"/>
        <v>0</v>
      </c>
      <c r="GS247" s="259" t="str">
        <f t="shared" ca="1" si="593"/>
        <v/>
      </c>
      <c r="GT247" s="259" t="str">
        <f ca="1">IFERROR(INDEX($GD$3:$GS$400,MATCH(ROWS($GT$3:GT247),$GM$3:$GM$400,0),16),"")</f>
        <v/>
      </c>
      <c r="GU247" s="259">
        <f ca="1">IF(GQ247&lt;&gt;0,MAX($GU$2:$GU246)+1,0)</f>
        <v>0</v>
      </c>
      <c r="GV247" s="259">
        <f t="shared" ca="1" si="594"/>
        <v>0</v>
      </c>
      <c r="GW247" s="259" t="str">
        <f ca="1">IF(AND(IFERROR(INDEX($GU$3:$GV$400,MATCH(ROWS($GW$3:GW247),$GU$3:$GU$400,0),2),"")&lt;&gt;"",GW248&lt;&gt;""),CONCATENATE(IFERROR(INDEX($GU$3:$GV$400,MATCH(ROWS($GW$3:GW247),$GU$3:$GU$400,0),2),"")," - "),IFERROR(INDEX($GU$3:$GV$400,MATCH(ROWS($GW$3:GW247),$GU$3:$GU$400,0),2),""))</f>
        <v/>
      </c>
      <c r="GX247" s="259">
        <f ca="1">IF(OR(GN247="IVA NS/CREDITO",GN247="IVA NS/DEBITO",GN247="IVA C/ACCONTO",GN247="IMPOSTE C/ACCONTO"),MAX($GX$2:GX246)+1,0)</f>
        <v>0</v>
      </c>
      <c r="GY247" s="259" t="str">
        <f ca="1">IF(AND(IFERROR(INDEX($GN$3:$GX$200,MATCH(ROWS($GY$3:GY247),$GX$3:$GX$200,0),1),"")&lt;&gt;"",GY248&lt;&gt;""),CONCATENATE(IFERROR(INDEX($GN$3:$GX$200,MATCH(ROWS($GY$3:GY247),$GX$3:$GX$200,0),1),"")," - "),IFERROR(INDEX($GN$3:$GX$200,MATCH(ROWS($GY$3:GY247),$GX$3:$GX$200,0),1),""))</f>
        <v/>
      </c>
      <c r="JA247" s="259" t="str">
        <f t="shared" ca="1" si="601"/>
        <v/>
      </c>
      <c r="JB247" s="259">
        <f t="shared" ca="1" si="536"/>
        <v>0</v>
      </c>
      <c r="JC247" s="259">
        <f t="shared" ca="1" si="640"/>
        <v>0</v>
      </c>
      <c r="JD247" s="259">
        <f t="shared" ca="1" si="641"/>
        <v>0</v>
      </c>
      <c r="JM247" s="259">
        <f t="shared" ca="1" si="642"/>
        <v>0</v>
      </c>
    </row>
    <row r="248" spans="52:273">
      <c r="AZ248" s="259" t="str">
        <f t="shared" ca="1" si="616"/>
        <v/>
      </c>
      <c r="BA248" s="259">
        <f t="shared" ca="1" si="632"/>
        <v>0</v>
      </c>
      <c r="BB248" s="259">
        <f t="shared" ca="1" si="617"/>
        <v>0</v>
      </c>
      <c r="BC248" s="259">
        <f t="shared" ca="1" si="618"/>
        <v>0</v>
      </c>
      <c r="BD248" s="259">
        <f t="shared" ca="1" si="619"/>
        <v>0</v>
      </c>
      <c r="BE248" s="259">
        <f t="shared" ca="1" si="620"/>
        <v>0</v>
      </c>
      <c r="BQ248" s="259" t="str">
        <f ca="1">IFERROR(INDEX($BN$3:$BO$200,MATCH(ROWS(BQ$3:BQ248),$BP$3:$BP$220,0),1),"")</f>
        <v/>
      </c>
      <c r="CX248" s="259">
        <f t="shared" ca="1" si="645"/>
        <v>14</v>
      </c>
      <c r="CY248" s="259" t="str">
        <f t="shared" ca="1" si="643"/>
        <v>MASTRO</v>
      </c>
      <c r="CZ248" s="259" t="e">
        <f t="shared" ca="1" si="647"/>
        <v>#N/A</v>
      </c>
      <c r="DA248" s="259" t="str">
        <f t="shared" ca="1" si="652"/>
        <v/>
      </c>
      <c r="DB248" s="259" t="str">
        <f t="shared" ca="1" si="648"/>
        <v/>
      </c>
      <c r="DC248" s="259" t="str">
        <f t="shared" ca="1" si="649"/>
        <v/>
      </c>
      <c r="DD248" s="259" t="str">
        <f t="shared" ca="1" si="650"/>
        <v/>
      </c>
      <c r="DE248" s="259" t="str">
        <f t="shared" ca="1" si="651"/>
        <v/>
      </c>
      <c r="DF248" s="259">
        <f ca="1">IF(AND(CX248=$DE$2,$DF$2&lt;&gt;0),0,IF(AND(DB248&lt;&gt;"",OR(DB247&lt;&gt;"",DB249&lt;&gt;"")),MAX($DF$2:DF247)+1,0))</f>
        <v>0</v>
      </c>
      <c r="DG248" s="259" t="str">
        <f>IF(IF(LIBRO_GIORNALE!E156="","",IFERROR(INDEX(PIANO_DEI_CONTI,MATCH(BB248,DENOMINAZIONE,0),1),0))=0,"",IF(LIBRO_GIORNALE!E156="","",IFERROR(INDEX(PIANO_DEI_CONTI,MATCH(BB248,DENOMINAZIONE,0),1),0)))</f>
        <v/>
      </c>
      <c r="EC248" s="259">
        <f>IF(IF(DG248&lt;&gt;"",REPLACE(DG248,3,1,""),0)&lt;&gt;0,MAX(EC$2:EC247)+1,0)</f>
        <v>0</v>
      </c>
      <c r="ED248" s="259">
        <f t="shared" ca="1" si="529"/>
        <v>0</v>
      </c>
      <c r="EL248" s="259">
        <f t="shared" si="577"/>
        <v>246</v>
      </c>
      <c r="EM248" s="259">
        <f ca="1">IF(AND(BA248&gt;0,BA248&lt;=$EM$1),MAX($EM$2:EM247)+1,0)</f>
        <v>0</v>
      </c>
      <c r="EN248" s="259">
        <f t="shared" ca="1" si="578"/>
        <v>248</v>
      </c>
      <c r="EP248" s="259" t="str">
        <f t="shared" ca="1" si="530"/>
        <v/>
      </c>
      <c r="EQ248" s="259">
        <f t="shared" ca="1" si="531"/>
        <v>0</v>
      </c>
      <c r="ER248" s="259">
        <f ca="1">IF(ISNA(EQ248),MAX(ER$2:ER247)+1,0)</f>
        <v>0</v>
      </c>
      <c r="ES248" s="259" t="str">
        <f t="shared" ca="1" si="579"/>
        <v/>
      </c>
      <c r="ET248" s="259" t="str">
        <f ca="1">IFERROR(UPPER(INDEX($ER$3:$ES$500,MATCH(ROWS(ET$3:ET248),$ER$3:$ER$500,0),2)),"")</f>
        <v/>
      </c>
      <c r="EW248" s="259">
        <f t="shared" ca="1" si="633"/>
        <v>1</v>
      </c>
      <c r="EX248" s="259">
        <v>146</v>
      </c>
      <c r="EY248" s="259">
        <f t="shared" ca="1" si="634"/>
        <v>0</v>
      </c>
      <c r="EZ248" s="259">
        <f t="shared" ca="1" si="635"/>
        <v>0</v>
      </c>
      <c r="FA248" s="259">
        <f t="shared" ca="1" si="636"/>
        <v>0</v>
      </c>
      <c r="FB248" s="259">
        <f t="shared" ca="1" si="637"/>
        <v>0</v>
      </c>
      <c r="FC248" s="259">
        <f t="shared" ca="1" si="638"/>
        <v>0</v>
      </c>
      <c r="FD248" s="259">
        <f t="shared" ca="1" si="532"/>
        <v>0</v>
      </c>
      <c r="FE248" s="259" t="str">
        <f t="shared" ca="1" si="533"/>
        <v/>
      </c>
      <c r="FF248" s="259" t="str">
        <f t="shared" ca="1" si="639"/>
        <v/>
      </c>
      <c r="FM248" s="259">
        <f t="shared" si="534"/>
        <v>0</v>
      </c>
      <c r="FN248" s="259">
        <f>IF(FM248&lt;0,MAX($FN$2:FN247)+1,0)</f>
        <v>0</v>
      </c>
      <c r="FO248" s="259" t="str">
        <f t="shared" si="580"/>
        <v/>
      </c>
      <c r="FP248" s="259" t="str">
        <f ca="1">IFERROR(INDEX($FN$3:$FO$400,MATCH(ROWS($FP$3:FP248),$FN$3:$FN$400,0),2),"")</f>
        <v/>
      </c>
      <c r="FQ248" s="259" t="str">
        <f>IF(AE248="SE AVERE",MAX($FQ$2:FQ247)+1,"")</f>
        <v/>
      </c>
      <c r="FR248" s="259" t="str">
        <f>IF(AE248="SE DARE",MAX($FR$2:FR247)+1,"")</f>
        <v/>
      </c>
      <c r="FS248" s="259" t="str">
        <f ca="1">IF(AND(AE248="SP DARE",AA248&lt;&gt;$FS$1,AA248&lt;&gt;$FT$1),MAX($FS$2:FS247)+1,IF(AND(GQ248="SP DARE",AA248&lt;&gt;$FS$1,AA248&lt;&gt;$FT$1),MAX($FS$2:FS247)+1,""))</f>
        <v/>
      </c>
      <c r="FT248" s="259" t="str">
        <f ca="1">IF(AND(AE248="SP AVERE",AA248&lt;&gt;$FU$1),MAX($FT$2:FT247)+1,IF(AND(GQ248="SP AVERE",AA248&lt;&gt;$FU$1),MAX($FT$2:FT247)+1,""))</f>
        <v/>
      </c>
      <c r="FU248" s="259">
        <f t="shared" ca="1" si="581"/>
        <v>0</v>
      </c>
      <c r="FV248" s="259">
        <f t="shared" si="582"/>
        <v>0</v>
      </c>
      <c r="FW248" s="259">
        <f ca="1">IFERROR(INDEX($FU$3:$FV$500,MATCH(ROWS($FW$3:FW248),$FU$3:$FU$500,0),2),0)</f>
        <v>0</v>
      </c>
      <c r="FX248" s="259">
        <f t="shared" ca="1" si="583"/>
        <v>0</v>
      </c>
      <c r="FY248" s="259">
        <f t="shared" ca="1" si="584"/>
        <v>0</v>
      </c>
      <c r="FZ248" s="259">
        <f ca="1">IF(FY248&gt;0,MAX($FZ$2:FZ247)+1,0)</f>
        <v>0</v>
      </c>
      <c r="GA248" s="259">
        <f ca="1">IFERROR(INDEX($FY$3:$FZ$500,MATCH(ROWS($GA$3:GA248),$FZ$3:$FZ$500,0),1),0)</f>
        <v>0</v>
      </c>
      <c r="GC248" s="259">
        <f t="shared" ca="1" si="585"/>
        <v>0</v>
      </c>
      <c r="GD248" s="259">
        <f t="shared" ca="1" si="586"/>
        <v>0</v>
      </c>
      <c r="GG248" s="259">
        <f t="shared" ca="1" si="587"/>
        <v>0</v>
      </c>
      <c r="GH248" s="259">
        <f t="shared" ca="1" si="588"/>
        <v>0</v>
      </c>
      <c r="GI248" s="259">
        <f t="shared" ca="1" si="589"/>
        <v>0</v>
      </c>
      <c r="GJ248" s="259">
        <f t="shared" ca="1" si="590"/>
        <v>0</v>
      </c>
      <c r="GK248" s="259">
        <f t="shared" ca="1" si="591"/>
        <v>0</v>
      </c>
      <c r="GL248" s="259">
        <f t="shared" ca="1" si="591"/>
        <v>0</v>
      </c>
      <c r="GM248" s="259">
        <f ca="1">IF(OR(GK248&gt;0,GL248&gt;0),MAX($GM$2:GM247)+1,0)</f>
        <v>0</v>
      </c>
      <c r="GN248" s="259" t="str">
        <f ca="1">IFERROR(INDEX($GD$3:$GM$400,MATCH(ROWS($GN$3:GN248),$GM$3:$GM$400,0),1),"")</f>
        <v/>
      </c>
      <c r="GO248" s="259" t="str">
        <f ca="1">IFERROR(INDEX($GD$3:$GM$400,MATCH(ROWS($GO$3:GO248),$GM$3:$GM$400,0),8),"")</f>
        <v/>
      </c>
      <c r="GP248" s="259" t="str">
        <f ca="1">IFERROR(INDEX($GD$3:$GM$400,MATCH(ROWS($GP$3:GP248),$GM$3:$GM$400,0),9),"")</f>
        <v/>
      </c>
      <c r="GQ248" s="259">
        <f t="shared" ca="1" si="535"/>
        <v>0</v>
      </c>
      <c r="GR248" s="259">
        <f t="shared" ca="1" si="592"/>
        <v>0</v>
      </c>
      <c r="GS248" s="259" t="str">
        <f t="shared" ca="1" si="593"/>
        <v/>
      </c>
      <c r="GT248" s="259" t="str">
        <f ca="1">IFERROR(INDEX($GD$3:$GS$400,MATCH(ROWS($GT$3:GT248),$GM$3:$GM$400,0),16),"")</f>
        <v/>
      </c>
      <c r="GU248" s="259">
        <f ca="1">IF(GQ248&lt;&gt;0,MAX($GU$2:$GU247)+1,0)</f>
        <v>0</v>
      </c>
      <c r="GV248" s="259">
        <f t="shared" ca="1" si="594"/>
        <v>0</v>
      </c>
      <c r="GW248" s="259" t="str">
        <f ca="1">IF(AND(IFERROR(INDEX($GU$3:$GV$400,MATCH(ROWS($GW$3:GW248),$GU$3:$GU$400,0),2),"")&lt;&gt;"",GW249&lt;&gt;""),CONCATENATE(IFERROR(INDEX($GU$3:$GV$400,MATCH(ROWS($GW$3:GW248),$GU$3:$GU$400,0),2),"")," - "),IFERROR(INDEX($GU$3:$GV$400,MATCH(ROWS($GW$3:GW248),$GU$3:$GU$400,0),2),""))</f>
        <v/>
      </c>
      <c r="GX248" s="259">
        <f ca="1">IF(OR(GN248="IVA NS/CREDITO",GN248="IVA NS/DEBITO",GN248="IVA C/ACCONTO",GN248="IMPOSTE C/ACCONTO"),MAX($GX$2:GX247)+1,0)</f>
        <v>0</v>
      </c>
      <c r="GY248" s="259" t="str">
        <f ca="1">IF(AND(IFERROR(INDEX($GN$3:$GX$200,MATCH(ROWS($GY$3:GY248),$GX$3:$GX$200,0),1),"")&lt;&gt;"",GY249&lt;&gt;""),CONCATENATE(IFERROR(INDEX($GN$3:$GX$200,MATCH(ROWS($GY$3:GY248),$GX$3:$GX$200,0),1),"")," - "),IFERROR(INDEX($GN$3:$GX$200,MATCH(ROWS($GY$3:GY248),$GX$3:$GX$200,0),1),""))</f>
        <v/>
      </c>
      <c r="JA248" s="259" t="str">
        <f t="shared" ca="1" si="601"/>
        <v/>
      </c>
      <c r="JB248" s="259">
        <f t="shared" ca="1" si="536"/>
        <v>0</v>
      </c>
      <c r="JC248" s="259">
        <f t="shared" ca="1" si="640"/>
        <v>0</v>
      </c>
      <c r="JD248" s="259">
        <f t="shared" ca="1" si="641"/>
        <v>0</v>
      </c>
      <c r="JM248" s="259">
        <f t="shared" ca="1" si="642"/>
        <v>0</v>
      </c>
    </row>
    <row r="249" spans="52:273">
      <c r="AZ249" s="259" t="str">
        <f t="shared" ca="1" si="616"/>
        <v/>
      </c>
      <c r="BA249" s="259">
        <f t="shared" ca="1" si="632"/>
        <v>0</v>
      </c>
      <c r="BB249" s="259">
        <f t="shared" ca="1" si="617"/>
        <v>0</v>
      </c>
      <c r="BC249" s="259">
        <f t="shared" ca="1" si="618"/>
        <v>0</v>
      </c>
      <c r="BD249" s="259">
        <f t="shared" ca="1" si="619"/>
        <v>0</v>
      </c>
      <c r="BE249" s="259">
        <f t="shared" ca="1" si="620"/>
        <v>0</v>
      </c>
      <c r="BQ249" s="259" t="str">
        <f ca="1">IFERROR(INDEX($BN$3:$BO$200,MATCH(ROWS(BQ$3:BQ249),$BP$3:$BP$220,0),1),"")</f>
        <v/>
      </c>
      <c r="CX249" s="259">
        <f t="shared" ca="1" si="645"/>
        <v>14</v>
      </c>
      <c r="CY249" s="259" t="str">
        <f t="shared" ca="1" si="643"/>
        <v>MASTRO</v>
      </c>
      <c r="CZ249" s="259" t="e">
        <f t="shared" ca="1" si="647"/>
        <v>#N/A</v>
      </c>
      <c r="DA249" s="259" t="str">
        <f t="shared" ca="1" si="652"/>
        <v/>
      </c>
      <c r="DB249" s="259" t="str">
        <f t="shared" ca="1" si="648"/>
        <v/>
      </c>
      <c r="DC249" s="259" t="str">
        <f t="shared" ca="1" si="649"/>
        <v/>
      </c>
      <c r="DD249" s="259" t="str">
        <f t="shared" ca="1" si="650"/>
        <v/>
      </c>
      <c r="DE249" s="259" t="str">
        <f t="shared" ca="1" si="651"/>
        <v/>
      </c>
      <c r="DF249" s="259">
        <f ca="1">IF(AND(CX249=$DE$2,$DF$2&lt;&gt;0),0,IF(AND(DB249&lt;&gt;"",OR(DB248&lt;&gt;"",DB250&lt;&gt;"")),MAX($DF$2:DF248)+1,0))</f>
        <v>0</v>
      </c>
      <c r="DG249" s="259" t="str">
        <f>IF(IF(LIBRO_GIORNALE!E157="","",IFERROR(INDEX(PIANO_DEI_CONTI,MATCH(BB249,DENOMINAZIONE,0),1),0))=0,"",IF(LIBRO_GIORNALE!E157="","",IFERROR(INDEX(PIANO_DEI_CONTI,MATCH(BB249,DENOMINAZIONE,0),1),0)))</f>
        <v/>
      </c>
      <c r="EC249" s="259">
        <f>IF(IF(DG249&lt;&gt;"",REPLACE(DG249,3,1,""),0)&lt;&gt;0,MAX(EC$2:EC248)+1,0)</f>
        <v>0</v>
      </c>
      <c r="ED249" s="259">
        <f t="shared" ca="1" si="529"/>
        <v>0</v>
      </c>
      <c r="EL249" s="259">
        <f t="shared" si="577"/>
        <v>247</v>
      </c>
      <c r="EM249" s="259">
        <f ca="1">IF(AND(BA249&gt;0,BA249&lt;=$EM$1),MAX($EM$2:EM248)+1,0)</f>
        <v>0</v>
      </c>
      <c r="EN249" s="259">
        <f t="shared" ca="1" si="578"/>
        <v>249</v>
      </c>
      <c r="EP249" s="259" t="str">
        <f t="shared" ca="1" si="530"/>
        <v/>
      </c>
      <c r="EQ249" s="259">
        <f t="shared" ca="1" si="531"/>
        <v>0</v>
      </c>
      <c r="ER249" s="259">
        <f ca="1">IF(ISNA(EQ249),MAX(ER$2:ER248)+1,0)</f>
        <v>0</v>
      </c>
      <c r="ES249" s="259" t="str">
        <f t="shared" ca="1" si="579"/>
        <v/>
      </c>
      <c r="ET249" s="259" t="str">
        <f ca="1">IFERROR(UPPER(INDEX($ER$3:$ES$500,MATCH(ROWS(ET$3:ET249),$ER$3:$ER$500,0),2)),"")</f>
        <v/>
      </c>
      <c r="EW249" s="259">
        <f t="shared" ca="1" si="633"/>
        <v>1</v>
      </c>
      <c r="EX249" s="259">
        <v>147</v>
      </c>
      <c r="EY249" s="259">
        <f t="shared" ca="1" si="634"/>
        <v>0</v>
      </c>
      <c r="EZ249" s="259">
        <f t="shared" ca="1" si="635"/>
        <v>0</v>
      </c>
      <c r="FA249" s="259">
        <f t="shared" ca="1" si="636"/>
        <v>0</v>
      </c>
      <c r="FB249" s="259">
        <f t="shared" ca="1" si="637"/>
        <v>0</v>
      </c>
      <c r="FC249" s="259">
        <f t="shared" ca="1" si="638"/>
        <v>0</v>
      </c>
      <c r="FD249" s="259">
        <f t="shared" ca="1" si="532"/>
        <v>0</v>
      </c>
      <c r="FE249" s="259" t="str">
        <f t="shared" ca="1" si="533"/>
        <v/>
      </c>
      <c r="FF249" s="259" t="str">
        <f t="shared" ca="1" si="639"/>
        <v/>
      </c>
      <c r="FM249" s="259">
        <f t="shared" si="534"/>
        <v>0</v>
      </c>
      <c r="FN249" s="259">
        <f>IF(FM249&lt;0,MAX($FN$2:FN248)+1,0)</f>
        <v>0</v>
      </c>
      <c r="FO249" s="259" t="str">
        <f t="shared" si="580"/>
        <v/>
      </c>
      <c r="FP249" s="259" t="str">
        <f ca="1">IFERROR(INDEX($FN$3:$FO$400,MATCH(ROWS($FP$3:FP249),$FN$3:$FN$400,0),2),"")</f>
        <v/>
      </c>
      <c r="FQ249" s="259" t="str">
        <f>IF(AE249="SE AVERE",MAX($FQ$2:FQ248)+1,"")</f>
        <v/>
      </c>
      <c r="FR249" s="259" t="str">
        <f>IF(AE249="SE DARE",MAX($FR$2:FR248)+1,"")</f>
        <v/>
      </c>
      <c r="FS249" s="259" t="str">
        <f ca="1">IF(AND(AE249="SP DARE",AA249&lt;&gt;$FS$1,AA249&lt;&gt;$FT$1),MAX($FS$2:FS248)+1,IF(AND(GQ249="SP DARE",AA249&lt;&gt;$FS$1,AA249&lt;&gt;$FT$1),MAX($FS$2:FS248)+1,""))</f>
        <v/>
      </c>
      <c r="FT249" s="259" t="str">
        <f ca="1">IF(AND(AE249="SP AVERE",AA249&lt;&gt;$FU$1),MAX($FT$2:FT248)+1,IF(AND(GQ249="SP AVERE",AA249&lt;&gt;$FU$1),MAX($FT$2:FT248)+1,""))</f>
        <v/>
      </c>
      <c r="FU249" s="259">
        <f t="shared" ca="1" si="581"/>
        <v>0</v>
      </c>
      <c r="FV249" s="259">
        <f t="shared" si="582"/>
        <v>0</v>
      </c>
      <c r="FW249" s="259">
        <f ca="1">IFERROR(INDEX($FU$3:$FV$500,MATCH(ROWS($FW$3:FW249),$FU$3:$FU$500,0),2),0)</f>
        <v>0</v>
      </c>
      <c r="FX249" s="259">
        <f t="shared" ca="1" si="583"/>
        <v>0</v>
      </c>
      <c r="FY249" s="259">
        <f t="shared" ca="1" si="584"/>
        <v>0</v>
      </c>
      <c r="FZ249" s="259">
        <f ca="1">IF(FY249&gt;0,MAX($FZ$2:FZ248)+1,0)</f>
        <v>0</v>
      </c>
      <c r="GA249" s="259">
        <f ca="1">IFERROR(INDEX($FY$3:$FZ$500,MATCH(ROWS($GA$3:GA249),$FZ$3:$FZ$500,0),1),0)</f>
        <v>0</v>
      </c>
      <c r="GC249" s="259">
        <f t="shared" ca="1" si="585"/>
        <v>0</v>
      </c>
      <c r="GD249" s="259">
        <f t="shared" ca="1" si="586"/>
        <v>0</v>
      </c>
      <c r="GG249" s="259">
        <f t="shared" ca="1" si="587"/>
        <v>0</v>
      </c>
      <c r="GH249" s="259">
        <f t="shared" ca="1" si="588"/>
        <v>0</v>
      </c>
      <c r="GI249" s="259">
        <f t="shared" ca="1" si="589"/>
        <v>0</v>
      </c>
      <c r="GJ249" s="259">
        <f t="shared" ca="1" si="590"/>
        <v>0</v>
      </c>
      <c r="GK249" s="259">
        <f t="shared" ca="1" si="591"/>
        <v>0</v>
      </c>
      <c r="GL249" s="259">
        <f t="shared" ca="1" si="591"/>
        <v>0</v>
      </c>
      <c r="GM249" s="259">
        <f ca="1">IF(OR(GK249&gt;0,GL249&gt;0),MAX($GM$2:GM248)+1,0)</f>
        <v>0</v>
      </c>
      <c r="GN249" s="259" t="str">
        <f ca="1">IFERROR(INDEX($GD$3:$GM$400,MATCH(ROWS($GN$3:GN249),$GM$3:$GM$400,0),1),"")</f>
        <v/>
      </c>
      <c r="GO249" s="259" t="str">
        <f ca="1">IFERROR(INDEX($GD$3:$GM$400,MATCH(ROWS($GO$3:GO249),$GM$3:$GM$400,0),8),"")</f>
        <v/>
      </c>
      <c r="GP249" s="259" t="str">
        <f ca="1">IFERROR(INDEX($GD$3:$GM$400,MATCH(ROWS($GP$3:GP249),$GM$3:$GM$400,0),9),"")</f>
        <v/>
      </c>
      <c r="GQ249" s="259">
        <f t="shared" ca="1" si="535"/>
        <v>0</v>
      </c>
      <c r="GR249" s="259">
        <f t="shared" ca="1" si="592"/>
        <v>0</v>
      </c>
      <c r="GS249" s="259" t="str">
        <f t="shared" ca="1" si="593"/>
        <v/>
      </c>
      <c r="GT249" s="259" t="str">
        <f ca="1">IFERROR(INDEX($GD$3:$GS$400,MATCH(ROWS($GT$3:GT249),$GM$3:$GM$400,0),16),"")</f>
        <v/>
      </c>
      <c r="GU249" s="259">
        <f ca="1">IF(GQ249&lt;&gt;0,MAX($GU$2:$GU248)+1,0)</f>
        <v>0</v>
      </c>
      <c r="GV249" s="259">
        <f t="shared" ca="1" si="594"/>
        <v>0</v>
      </c>
      <c r="GW249" s="259" t="str">
        <f ca="1">IF(AND(IFERROR(INDEX($GU$3:$GV$400,MATCH(ROWS($GW$3:GW249),$GU$3:$GU$400,0),2),"")&lt;&gt;"",GW250&lt;&gt;""),CONCATENATE(IFERROR(INDEX($GU$3:$GV$400,MATCH(ROWS($GW$3:GW249),$GU$3:$GU$400,0),2),"")," - "),IFERROR(INDEX($GU$3:$GV$400,MATCH(ROWS($GW$3:GW249),$GU$3:$GU$400,0),2),""))</f>
        <v/>
      </c>
      <c r="GX249" s="259">
        <f ca="1">IF(OR(GN249="IVA NS/CREDITO",GN249="IVA NS/DEBITO",GN249="IVA C/ACCONTO",GN249="IMPOSTE C/ACCONTO"),MAX($GX$2:GX248)+1,0)</f>
        <v>0</v>
      </c>
      <c r="GY249" s="259" t="str">
        <f ca="1">IF(AND(IFERROR(INDEX($GN$3:$GX$200,MATCH(ROWS($GY$3:GY249),$GX$3:$GX$200,0),1),"")&lt;&gt;"",GY250&lt;&gt;""),CONCATENATE(IFERROR(INDEX($GN$3:$GX$200,MATCH(ROWS($GY$3:GY249),$GX$3:$GX$200,0),1),"")," - "),IFERROR(INDEX($GN$3:$GX$200,MATCH(ROWS($GY$3:GY249),$GX$3:$GX$200,0),1),""))</f>
        <v/>
      </c>
      <c r="JA249" s="259" t="str">
        <f t="shared" ca="1" si="601"/>
        <v/>
      </c>
      <c r="JB249" s="259">
        <f t="shared" ca="1" si="536"/>
        <v>0</v>
      </c>
      <c r="JC249" s="259">
        <f t="shared" ca="1" si="640"/>
        <v>0</v>
      </c>
      <c r="JD249" s="259">
        <f t="shared" ca="1" si="641"/>
        <v>0</v>
      </c>
      <c r="JM249" s="259">
        <f t="shared" ca="1" si="642"/>
        <v>0</v>
      </c>
    </row>
    <row r="250" spans="52:273">
      <c r="AZ250" s="259" t="str">
        <f t="shared" ca="1" si="616"/>
        <v/>
      </c>
      <c r="BA250" s="259">
        <f t="shared" ca="1" si="632"/>
        <v>0</v>
      </c>
      <c r="BB250" s="259">
        <f t="shared" ca="1" si="617"/>
        <v>0</v>
      </c>
      <c r="BC250" s="259">
        <f t="shared" ca="1" si="618"/>
        <v>0</v>
      </c>
      <c r="BD250" s="259">
        <f t="shared" ca="1" si="619"/>
        <v>0</v>
      </c>
      <c r="BE250" s="259">
        <f t="shared" ca="1" si="620"/>
        <v>0</v>
      </c>
      <c r="BQ250" s="259" t="str">
        <f ca="1">IFERROR(INDEX($BN$3:$BO$200,MATCH(ROWS(BQ$3:BQ250),$BP$3:$BP$220,0),1),"")</f>
        <v/>
      </c>
      <c r="CX250" s="259">
        <f t="shared" ca="1" si="645"/>
        <v>14</v>
      </c>
      <c r="CY250" s="259" t="str">
        <f t="shared" ca="1" si="643"/>
        <v>MASTRO</v>
      </c>
      <c r="CZ250" s="259" t="e">
        <f t="shared" ca="1" si="647"/>
        <v>#N/A</v>
      </c>
      <c r="DA250" s="259" t="str">
        <f t="shared" ca="1" si="652"/>
        <v/>
      </c>
      <c r="DB250" s="259" t="str">
        <f t="shared" ca="1" si="648"/>
        <v/>
      </c>
      <c r="DC250" s="259" t="str">
        <f t="shared" ca="1" si="649"/>
        <v/>
      </c>
      <c r="DD250" s="259" t="str">
        <f t="shared" ca="1" si="650"/>
        <v/>
      </c>
      <c r="DE250" s="259" t="str">
        <f t="shared" ca="1" si="651"/>
        <v/>
      </c>
      <c r="DF250" s="259">
        <f ca="1">IF(AND(CX250=$DE$2,$DF$2&lt;&gt;0),0,IF(AND(DB250&lt;&gt;"",OR(DB249&lt;&gt;"",DB251&lt;&gt;"")),MAX($DF$2:DF249)+1,0))</f>
        <v>0</v>
      </c>
      <c r="DG250" s="259" t="str">
        <f>IF(IF(LIBRO_GIORNALE!E158="","",IFERROR(INDEX(PIANO_DEI_CONTI,MATCH(BB250,DENOMINAZIONE,0),1),0))=0,"",IF(LIBRO_GIORNALE!E158="","",IFERROR(INDEX(PIANO_DEI_CONTI,MATCH(BB250,DENOMINAZIONE,0),1),0)))</f>
        <v/>
      </c>
      <c r="EC250" s="259">
        <f>IF(IF(DG250&lt;&gt;"",REPLACE(DG250,3,1,""),0)&lt;&gt;0,MAX(EC$2:EC249)+1,0)</f>
        <v>0</v>
      </c>
      <c r="ED250" s="259">
        <f t="shared" ca="1" si="529"/>
        <v>0</v>
      </c>
      <c r="EL250" s="259">
        <f t="shared" si="577"/>
        <v>248</v>
      </c>
      <c r="EM250" s="259">
        <f ca="1">IF(AND(BA250&gt;0,BA250&lt;=$EM$1),MAX($EM$2:EM249)+1,0)</f>
        <v>0</v>
      </c>
      <c r="EN250" s="259">
        <f t="shared" ca="1" si="578"/>
        <v>250</v>
      </c>
      <c r="EP250" s="259" t="str">
        <f t="shared" ca="1" si="530"/>
        <v/>
      </c>
      <c r="EQ250" s="259">
        <f t="shared" ca="1" si="531"/>
        <v>0</v>
      </c>
      <c r="ER250" s="259">
        <f ca="1">IF(ISNA(EQ250),MAX(ER$2:ER249)+1,0)</f>
        <v>0</v>
      </c>
      <c r="ES250" s="259" t="str">
        <f t="shared" ca="1" si="579"/>
        <v/>
      </c>
      <c r="ET250" s="259" t="str">
        <f ca="1">IFERROR(UPPER(INDEX($ER$3:$ES$500,MATCH(ROWS(ET$3:ET250),$ER$3:$ER$500,0),2)),"")</f>
        <v/>
      </c>
      <c r="EW250" s="259">
        <f t="shared" ca="1" si="633"/>
        <v>1</v>
      </c>
      <c r="EX250" s="259">
        <v>148</v>
      </c>
      <c r="EY250" s="259">
        <f t="shared" ca="1" si="634"/>
        <v>0</v>
      </c>
      <c r="EZ250" s="259">
        <f t="shared" ca="1" si="635"/>
        <v>0</v>
      </c>
      <c r="FA250" s="259">
        <f t="shared" ca="1" si="636"/>
        <v>0</v>
      </c>
      <c r="FB250" s="259">
        <f t="shared" ca="1" si="637"/>
        <v>0</v>
      </c>
      <c r="FC250" s="259">
        <f t="shared" ca="1" si="638"/>
        <v>0</v>
      </c>
      <c r="FD250" s="259">
        <f t="shared" ca="1" si="532"/>
        <v>0</v>
      </c>
      <c r="FE250" s="259" t="str">
        <f t="shared" ca="1" si="533"/>
        <v/>
      </c>
      <c r="FF250" s="259" t="str">
        <f t="shared" ca="1" si="639"/>
        <v/>
      </c>
      <c r="FM250" s="259">
        <f t="shared" si="534"/>
        <v>0</v>
      </c>
      <c r="FN250" s="259">
        <f>IF(FM250&lt;0,MAX($FN$2:FN249)+1,0)</f>
        <v>0</v>
      </c>
      <c r="FO250" s="259" t="str">
        <f t="shared" si="580"/>
        <v/>
      </c>
      <c r="FP250" s="259" t="str">
        <f ca="1">IFERROR(INDEX($FN$3:$FO$400,MATCH(ROWS($FP$3:FP250),$FN$3:$FN$400,0),2),"")</f>
        <v/>
      </c>
      <c r="FQ250" s="259" t="str">
        <f>IF(AE250="SE AVERE",MAX($FQ$2:FQ249)+1,"")</f>
        <v/>
      </c>
      <c r="FR250" s="259" t="str">
        <f>IF(AE250="SE DARE",MAX($FR$2:FR249)+1,"")</f>
        <v/>
      </c>
      <c r="FS250" s="259" t="str">
        <f ca="1">IF(AND(AE250="SP DARE",AA250&lt;&gt;$FS$1,AA250&lt;&gt;$FT$1),MAX($FS$2:FS249)+1,IF(AND(GQ250="SP DARE",AA250&lt;&gt;$FS$1,AA250&lt;&gt;$FT$1),MAX($FS$2:FS249)+1,""))</f>
        <v/>
      </c>
      <c r="FT250" s="259" t="str">
        <f ca="1">IF(AND(AE250="SP AVERE",AA250&lt;&gt;$FU$1),MAX($FT$2:FT249)+1,IF(AND(GQ250="SP AVERE",AA250&lt;&gt;$FU$1),MAX($FT$2:FT249)+1,""))</f>
        <v/>
      </c>
      <c r="FU250" s="259">
        <f t="shared" ca="1" si="581"/>
        <v>0</v>
      </c>
      <c r="FV250" s="259">
        <f t="shared" si="582"/>
        <v>0</v>
      </c>
      <c r="FW250" s="259">
        <f ca="1">IFERROR(INDEX($FU$3:$FV$500,MATCH(ROWS($FW$3:FW250),$FU$3:$FU$500,0),2),0)</f>
        <v>0</v>
      </c>
      <c r="FX250" s="259">
        <f t="shared" ca="1" si="583"/>
        <v>0</v>
      </c>
      <c r="FY250" s="259">
        <f t="shared" ca="1" si="584"/>
        <v>0</v>
      </c>
      <c r="FZ250" s="259">
        <f ca="1">IF(FY250&gt;0,MAX($FZ$2:FZ249)+1,0)</f>
        <v>0</v>
      </c>
      <c r="GA250" s="259">
        <f ca="1">IFERROR(INDEX($FY$3:$FZ$500,MATCH(ROWS($GA$3:GA250),$FZ$3:$FZ$500,0),1),0)</f>
        <v>0</v>
      </c>
      <c r="GC250" s="259">
        <f t="shared" ca="1" si="585"/>
        <v>0</v>
      </c>
      <c r="GD250" s="259">
        <f t="shared" ca="1" si="586"/>
        <v>0</v>
      </c>
      <c r="GG250" s="259">
        <f t="shared" ca="1" si="587"/>
        <v>0</v>
      </c>
      <c r="GH250" s="259">
        <f t="shared" ca="1" si="588"/>
        <v>0</v>
      </c>
      <c r="GI250" s="259">
        <f t="shared" ca="1" si="589"/>
        <v>0</v>
      </c>
      <c r="GJ250" s="259">
        <f t="shared" ca="1" si="590"/>
        <v>0</v>
      </c>
      <c r="GK250" s="259">
        <f t="shared" ca="1" si="591"/>
        <v>0</v>
      </c>
      <c r="GL250" s="259">
        <f t="shared" ca="1" si="591"/>
        <v>0</v>
      </c>
      <c r="GM250" s="259">
        <f ca="1">IF(OR(GK250&gt;0,GL250&gt;0),MAX($GM$2:GM249)+1,0)</f>
        <v>0</v>
      </c>
      <c r="GN250" s="259" t="str">
        <f ca="1">IFERROR(INDEX($GD$3:$GM$400,MATCH(ROWS($GN$3:GN250),$GM$3:$GM$400,0),1),"")</f>
        <v/>
      </c>
      <c r="GO250" s="259" t="str">
        <f ca="1">IFERROR(INDEX($GD$3:$GM$400,MATCH(ROWS($GO$3:GO250),$GM$3:$GM$400,0),8),"")</f>
        <v/>
      </c>
      <c r="GP250" s="259" t="str">
        <f ca="1">IFERROR(INDEX($GD$3:$GM$400,MATCH(ROWS($GP$3:GP250),$GM$3:$GM$400,0),9),"")</f>
        <v/>
      </c>
      <c r="GQ250" s="259">
        <f t="shared" ca="1" si="535"/>
        <v>0</v>
      </c>
      <c r="GR250" s="259">
        <f t="shared" ca="1" si="592"/>
        <v>0</v>
      </c>
      <c r="GS250" s="259" t="str">
        <f t="shared" ca="1" si="593"/>
        <v/>
      </c>
      <c r="GT250" s="259" t="str">
        <f ca="1">IFERROR(INDEX($GD$3:$GS$400,MATCH(ROWS($GT$3:GT250),$GM$3:$GM$400,0),16),"")</f>
        <v/>
      </c>
      <c r="GU250" s="259">
        <f ca="1">IF(GQ250&lt;&gt;0,MAX($GU$2:$GU249)+1,0)</f>
        <v>0</v>
      </c>
      <c r="GV250" s="259">
        <f t="shared" ca="1" si="594"/>
        <v>0</v>
      </c>
      <c r="GW250" s="259" t="str">
        <f ca="1">IF(AND(IFERROR(INDEX($GU$3:$GV$400,MATCH(ROWS($GW$3:GW250),$GU$3:$GU$400,0),2),"")&lt;&gt;"",GW251&lt;&gt;""),CONCATENATE(IFERROR(INDEX($GU$3:$GV$400,MATCH(ROWS($GW$3:GW250),$GU$3:$GU$400,0),2),"")," - "),IFERROR(INDEX($GU$3:$GV$400,MATCH(ROWS($GW$3:GW250),$GU$3:$GU$400,0),2),""))</f>
        <v/>
      </c>
      <c r="GX250" s="259">
        <f ca="1">IF(OR(GN250="IVA NS/CREDITO",GN250="IVA NS/DEBITO",GN250="IVA C/ACCONTO",GN250="IMPOSTE C/ACCONTO"),MAX($GX$2:GX249)+1,0)</f>
        <v>0</v>
      </c>
      <c r="GY250" s="259" t="str">
        <f ca="1">IF(AND(IFERROR(INDEX($GN$3:$GX$200,MATCH(ROWS($GY$3:GY250),$GX$3:$GX$200,0),1),"")&lt;&gt;"",GY251&lt;&gt;""),CONCATENATE(IFERROR(INDEX($GN$3:$GX$200,MATCH(ROWS($GY$3:GY250),$GX$3:$GX$200,0),1),"")," - "),IFERROR(INDEX($GN$3:$GX$200,MATCH(ROWS($GY$3:GY250),$GX$3:$GX$200,0),1),""))</f>
        <v/>
      </c>
      <c r="JA250" s="259" t="str">
        <f t="shared" ca="1" si="601"/>
        <v/>
      </c>
      <c r="JB250" s="259">
        <f t="shared" ca="1" si="536"/>
        <v>0</v>
      </c>
      <c r="JC250" s="259">
        <f t="shared" ca="1" si="640"/>
        <v>0</v>
      </c>
      <c r="JD250" s="259">
        <f t="shared" ca="1" si="641"/>
        <v>0</v>
      </c>
      <c r="JM250" s="259">
        <f t="shared" ca="1" si="642"/>
        <v>0</v>
      </c>
    </row>
    <row r="251" spans="52:273">
      <c r="AZ251" s="259" t="str">
        <f t="shared" ca="1" si="616"/>
        <v/>
      </c>
      <c r="BA251" s="259">
        <f t="shared" ca="1" si="632"/>
        <v>0</v>
      </c>
      <c r="BB251" s="259">
        <f t="shared" ca="1" si="617"/>
        <v>0</v>
      </c>
      <c r="BC251" s="259">
        <f t="shared" ca="1" si="618"/>
        <v>0</v>
      </c>
      <c r="BD251" s="259">
        <f t="shared" ca="1" si="619"/>
        <v>0</v>
      </c>
      <c r="BE251" s="259">
        <f t="shared" ca="1" si="620"/>
        <v>0</v>
      </c>
      <c r="BQ251" s="259" t="str">
        <f ca="1">IFERROR(INDEX($BN$3:$BO$200,MATCH(ROWS(BQ$3:BQ251),$BP$3:$BP$220,0),1),"")</f>
        <v/>
      </c>
      <c r="CX251" s="259">
        <f t="shared" ca="1" si="645"/>
        <v>14</v>
      </c>
      <c r="CY251" s="259" t="str">
        <f t="shared" ca="1" si="643"/>
        <v>MASTRO</v>
      </c>
      <c r="CZ251" s="259" t="e">
        <f t="shared" ca="1" si="647"/>
        <v>#N/A</v>
      </c>
      <c r="DA251" s="259" t="str">
        <f t="shared" ca="1" si="652"/>
        <v/>
      </c>
      <c r="DB251" s="259" t="str">
        <f t="shared" ca="1" si="648"/>
        <v/>
      </c>
      <c r="DC251" s="259" t="str">
        <f t="shared" ca="1" si="649"/>
        <v/>
      </c>
      <c r="DD251" s="259" t="str">
        <f t="shared" ca="1" si="650"/>
        <v/>
      </c>
      <c r="DE251" s="259" t="str">
        <f t="shared" ca="1" si="651"/>
        <v/>
      </c>
      <c r="DF251" s="259">
        <f ca="1">IF(AND(CX251=$DE$2,$DF$2&lt;&gt;0),0,IF(AND(DB251&lt;&gt;"",OR(DB250&lt;&gt;"",DB252&lt;&gt;"")),MAX($DF$2:DF250)+1,0))</f>
        <v>0</v>
      </c>
      <c r="DG251" s="259" t="str">
        <f>IF(IF(LIBRO_GIORNALE!E159="","",IFERROR(INDEX(PIANO_DEI_CONTI,MATCH(BB251,DENOMINAZIONE,0),1),0))=0,"",IF(LIBRO_GIORNALE!E159="","",IFERROR(INDEX(PIANO_DEI_CONTI,MATCH(BB251,DENOMINAZIONE,0),1),0)))</f>
        <v/>
      </c>
      <c r="EC251" s="259">
        <f>IF(IF(DG251&lt;&gt;"",REPLACE(DG251,3,1,""),0)&lt;&gt;0,MAX(EC$2:EC250)+1,0)</f>
        <v>0</v>
      </c>
      <c r="ED251" s="259">
        <f t="shared" ca="1" si="529"/>
        <v>0</v>
      </c>
      <c r="EL251" s="259">
        <f t="shared" si="577"/>
        <v>249</v>
      </c>
      <c r="EM251" s="259">
        <f ca="1">IF(AND(BA251&gt;0,BA251&lt;=$EM$1),MAX($EM$2:EM250)+1,0)</f>
        <v>0</v>
      </c>
      <c r="EN251" s="259">
        <f t="shared" ca="1" si="578"/>
        <v>251</v>
      </c>
      <c r="EP251" s="259" t="str">
        <f t="shared" ca="1" si="530"/>
        <v/>
      </c>
      <c r="EQ251" s="259">
        <f t="shared" ca="1" si="531"/>
        <v>0</v>
      </c>
      <c r="ER251" s="259">
        <f ca="1">IF(ISNA(EQ251),MAX(ER$2:ER250)+1,0)</f>
        <v>0</v>
      </c>
      <c r="ES251" s="259" t="str">
        <f t="shared" ca="1" si="579"/>
        <v/>
      </c>
      <c r="ET251" s="259" t="str">
        <f ca="1">IFERROR(UPPER(INDEX($ER$3:$ES$500,MATCH(ROWS(ET$3:ET251),$ER$3:$ER$500,0),2)),"")</f>
        <v/>
      </c>
      <c r="EW251" s="259">
        <f t="shared" ca="1" si="633"/>
        <v>1</v>
      </c>
      <c r="EX251" s="259">
        <v>149</v>
      </c>
      <c r="EY251" s="259">
        <f t="shared" ca="1" si="634"/>
        <v>0</v>
      </c>
      <c r="EZ251" s="259">
        <f t="shared" ca="1" si="635"/>
        <v>0</v>
      </c>
      <c r="FA251" s="259">
        <f t="shared" ca="1" si="636"/>
        <v>0</v>
      </c>
      <c r="FB251" s="259">
        <f t="shared" ca="1" si="637"/>
        <v>0</v>
      </c>
      <c r="FC251" s="259">
        <f t="shared" ca="1" si="638"/>
        <v>0</v>
      </c>
      <c r="FD251" s="259">
        <f t="shared" ca="1" si="532"/>
        <v>0</v>
      </c>
      <c r="FE251" s="259" t="str">
        <f t="shared" ca="1" si="533"/>
        <v/>
      </c>
      <c r="FF251" s="259" t="str">
        <f t="shared" ca="1" si="639"/>
        <v/>
      </c>
      <c r="FM251" s="259">
        <f t="shared" si="534"/>
        <v>0</v>
      </c>
      <c r="FN251" s="259">
        <f>IF(FM251&lt;0,MAX($FN$2:FN250)+1,0)</f>
        <v>0</v>
      </c>
      <c r="FO251" s="259" t="str">
        <f t="shared" si="580"/>
        <v/>
      </c>
      <c r="FP251" s="259" t="str">
        <f ca="1">IFERROR(INDEX($FN$3:$FO$400,MATCH(ROWS($FP$3:FP251),$FN$3:$FN$400,0),2),"")</f>
        <v/>
      </c>
      <c r="FQ251" s="259" t="str">
        <f>IF(AE251="SE AVERE",MAX($FQ$2:FQ250)+1,"")</f>
        <v/>
      </c>
      <c r="FR251" s="259" t="str">
        <f>IF(AE251="SE DARE",MAX($FR$2:FR250)+1,"")</f>
        <v/>
      </c>
      <c r="FS251" s="259" t="str">
        <f ca="1">IF(AND(AE251="SP DARE",AA251&lt;&gt;$FS$1,AA251&lt;&gt;$FT$1),MAX($FS$2:FS250)+1,IF(AND(GQ251="SP DARE",AA251&lt;&gt;$FS$1,AA251&lt;&gt;$FT$1),MAX($FS$2:FS250)+1,""))</f>
        <v/>
      </c>
      <c r="FT251" s="259" t="str">
        <f ca="1">IF(AND(AE251="SP AVERE",AA251&lt;&gt;$FU$1),MAX($FT$2:FT250)+1,IF(AND(GQ251="SP AVERE",AA251&lt;&gt;$FU$1),MAX($FT$2:FT250)+1,""))</f>
        <v/>
      </c>
      <c r="FU251" s="259">
        <f t="shared" ca="1" si="581"/>
        <v>0</v>
      </c>
      <c r="FV251" s="259">
        <f t="shared" si="582"/>
        <v>0</v>
      </c>
      <c r="FW251" s="259">
        <f ca="1">IFERROR(INDEX($FU$3:$FV$500,MATCH(ROWS($FW$3:FW251),$FU$3:$FU$500,0),2),0)</f>
        <v>0</v>
      </c>
      <c r="FX251" s="259">
        <f t="shared" ca="1" si="583"/>
        <v>0</v>
      </c>
      <c r="FY251" s="259">
        <f t="shared" ca="1" si="584"/>
        <v>0</v>
      </c>
      <c r="FZ251" s="259">
        <f ca="1">IF(FY251&gt;0,MAX($FZ$2:FZ250)+1,0)</f>
        <v>0</v>
      </c>
      <c r="GA251" s="259">
        <f ca="1">IFERROR(INDEX($FY$3:$FZ$500,MATCH(ROWS($GA$3:GA251),$FZ$3:$FZ$500,0),1),0)</f>
        <v>0</v>
      </c>
      <c r="GC251" s="259">
        <f t="shared" ca="1" si="585"/>
        <v>0</v>
      </c>
      <c r="GD251" s="259">
        <f t="shared" ca="1" si="586"/>
        <v>0</v>
      </c>
      <c r="GG251" s="259">
        <f t="shared" ca="1" si="587"/>
        <v>0</v>
      </c>
      <c r="GH251" s="259">
        <f t="shared" ca="1" si="588"/>
        <v>0</v>
      </c>
      <c r="GI251" s="259">
        <f t="shared" ca="1" si="589"/>
        <v>0</v>
      </c>
      <c r="GJ251" s="259">
        <f t="shared" ca="1" si="590"/>
        <v>0</v>
      </c>
      <c r="GK251" s="259">
        <f t="shared" ca="1" si="591"/>
        <v>0</v>
      </c>
      <c r="GL251" s="259">
        <f t="shared" ca="1" si="591"/>
        <v>0</v>
      </c>
      <c r="GM251" s="259">
        <f ca="1">IF(OR(GK251&gt;0,GL251&gt;0),MAX($GM$2:GM250)+1,0)</f>
        <v>0</v>
      </c>
      <c r="GN251" s="259" t="str">
        <f ca="1">IFERROR(INDEX($GD$3:$GM$400,MATCH(ROWS($GN$3:GN251),$GM$3:$GM$400,0),1),"")</f>
        <v/>
      </c>
      <c r="GO251" s="259" t="str">
        <f ca="1">IFERROR(INDEX($GD$3:$GM$400,MATCH(ROWS($GO$3:GO251),$GM$3:$GM$400,0),8),"")</f>
        <v/>
      </c>
      <c r="GP251" s="259" t="str">
        <f ca="1">IFERROR(INDEX($GD$3:$GM$400,MATCH(ROWS($GP$3:GP251),$GM$3:$GM$400,0),9),"")</f>
        <v/>
      </c>
      <c r="GQ251" s="259">
        <f t="shared" ca="1" si="535"/>
        <v>0</v>
      </c>
      <c r="GR251" s="259">
        <f t="shared" ca="1" si="592"/>
        <v>0</v>
      </c>
      <c r="GS251" s="259" t="str">
        <f t="shared" ca="1" si="593"/>
        <v/>
      </c>
      <c r="GT251" s="259" t="str">
        <f ca="1">IFERROR(INDEX($GD$3:$GS$400,MATCH(ROWS($GT$3:GT251),$GM$3:$GM$400,0),16),"")</f>
        <v/>
      </c>
      <c r="GU251" s="259">
        <f ca="1">IF(GQ251&lt;&gt;0,MAX($GU$2:$GU250)+1,0)</f>
        <v>0</v>
      </c>
      <c r="GV251" s="259">
        <f t="shared" ca="1" si="594"/>
        <v>0</v>
      </c>
      <c r="GW251" s="259" t="str">
        <f ca="1">IF(AND(IFERROR(INDEX($GU$3:$GV$400,MATCH(ROWS($GW$3:GW251),$GU$3:$GU$400,0),2),"")&lt;&gt;"",GW252&lt;&gt;""),CONCATENATE(IFERROR(INDEX($GU$3:$GV$400,MATCH(ROWS($GW$3:GW251),$GU$3:$GU$400,0),2),"")," - "),IFERROR(INDEX($GU$3:$GV$400,MATCH(ROWS($GW$3:GW251),$GU$3:$GU$400,0),2),""))</f>
        <v/>
      </c>
      <c r="GX251" s="259">
        <f ca="1">IF(OR(GN251="IVA NS/CREDITO",GN251="IVA NS/DEBITO",GN251="IVA C/ACCONTO",GN251="IMPOSTE C/ACCONTO"),MAX($GX$2:GX250)+1,0)</f>
        <v>0</v>
      </c>
      <c r="GY251" s="259" t="str">
        <f ca="1">IF(AND(IFERROR(INDEX($GN$3:$GX$200,MATCH(ROWS($GY$3:GY251),$GX$3:$GX$200,0),1),"")&lt;&gt;"",GY252&lt;&gt;""),CONCATENATE(IFERROR(INDEX($GN$3:$GX$200,MATCH(ROWS($GY$3:GY251),$GX$3:$GX$200,0),1),"")," - "),IFERROR(INDEX($GN$3:$GX$200,MATCH(ROWS($GY$3:GY251),$GX$3:$GX$200,0),1),""))</f>
        <v/>
      </c>
      <c r="JA251" s="259" t="str">
        <f t="shared" ca="1" si="601"/>
        <v/>
      </c>
      <c r="JB251" s="259">
        <f t="shared" ca="1" si="536"/>
        <v>0</v>
      </c>
      <c r="JC251" s="259">
        <f t="shared" ca="1" si="640"/>
        <v>0</v>
      </c>
      <c r="JD251" s="259">
        <f t="shared" ca="1" si="641"/>
        <v>0</v>
      </c>
      <c r="JM251" s="259">
        <f t="shared" ca="1" si="642"/>
        <v>0</v>
      </c>
    </row>
    <row r="252" spans="52:273">
      <c r="AZ252" s="259" t="str">
        <f t="shared" ca="1" si="616"/>
        <v/>
      </c>
      <c r="BA252" s="259">
        <f t="shared" ca="1" si="632"/>
        <v>0</v>
      </c>
      <c r="BB252" s="259">
        <f t="shared" ca="1" si="617"/>
        <v>0</v>
      </c>
      <c r="BC252" s="259">
        <f t="shared" ca="1" si="618"/>
        <v>0</v>
      </c>
      <c r="BD252" s="259">
        <f t="shared" ca="1" si="619"/>
        <v>0</v>
      </c>
      <c r="BE252" s="259">
        <f t="shared" ca="1" si="620"/>
        <v>0</v>
      </c>
      <c r="BQ252" s="259" t="str">
        <f ca="1">IFERROR(INDEX($BN$3:$BO$200,MATCH(ROWS(BQ$3:BQ252),$BP$3:$BP$220,0),1),"")</f>
        <v/>
      </c>
      <c r="CX252" s="259">
        <f t="shared" ca="1" si="645"/>
        <v>14</v>
      </c>
      <c r="CY252" s="259" t="str">
        <f t="shared" ca="1" si="643"/>
        <v>MASTRO</v>
      </c>
      <c r="CZ252" s="259" t="e">
        <f t="shared" ca="1" si="647"/>
        <v>#N/A</v>
      </c>
      <c r="DA252" s="259" t="str">
        <f t="shared" ca="1" si="652"/>
        <v/>
      </c>
      <c r="DB252" s="259" t="str">
        <f t="shared" ca="1" si="648"/>
        <v/>
      </c>
      <c r="DC252" s="259" t="str">
        <f t="shared" ca="1" si="649"/>
        <v/>
      </c>
      <c r="DD252" s="259" t="str">
        <f t="shared" ca="1" si="650"/>
        <v/>
      </c>
      <c r="DE252" s="259" t="str">
        <f t="shared" ca="1" si="651"/>
        <v/>
      </c>
      <c r="DF252" s="259">
        <f ca="1">IF(AND(CX252=$DE$2,$DF$2&lt;&gt;0),0,IF(AND(DB252&lt;&gt;"",OR(DB251&lt;&gt;"",DB253&lt;&gt;"")),MAX($DF$2:DF251)+1,0))</f>
        <v>0</v>
      </c>
      <c r="DG252" s="259" t="str">
        <f>IF(IF(LIBRO_GIORNALE!E160="","",IFERROR(INDEX(PIANO_DEI_CONTI,MATCH(BB252,DENOMINAZIONE,0),1),0))=0,"",IF(LIBRO_GIORNALE!E160="","",IFERROR(INDEX(PIANO_DEI_CONTI,MATCH(BB252,DENOMINAZIONE,0),1),0)))</f>
        <v/>
      </c>
      <c r="EC252" s="259">
        <f>IF(IF(DG252&lt;&gt;"",REPLACE(DG252,3,1,""),0)&lt;&gt;0,MAX(EC$2:EC251)+1,0)</f>
        <v>0</v>
      </c>
      <c r="ED252" s="259">
        <f t="shared" ca="1" si="529"/>
        <v>0</v>
      </c>
      <c r="EL252" s="259">
        <f t="shared" si="577"/>
        <v>250</v>
      </c>
      <c r="EM252" s="259">
        <f ca="1">IF(AND(BA252&gt;0,BA252&lt;=$EM$1),MAX($EM$2:EM251)+1,0)</f>
        <v>0</v>
      </c>
      <c r="EN252" s="259">
        <f t="shared" ca="1" si="578"/>
        <v>252</v>
      </c>
      <c r="EP252" s="259" t="str">
        <f t="shared" ca="1" si="530"/>
        <v/>
      </c>
      <c r="EQ252" s="259">
        <f t="shared" ca="1" si="531"/>
        <v>0</v>
      </c>
      <c r="ER252" s="259">
        <f ca="1">IF(ISNA(EQ252),MAX(ER$2:ER251)+1,0)</f>
        <v>0</v>
      </c>
      <c r="ES252" s="259" t="str">
        <f t="shared" ca="1" si="579"/>
        <v/>
      </c>
      <c r="ET252" s="259" t="str">
        <f ca="1">IFERROR(UPPER(INDEX($ER$3:$ES$500,MATCH(ROWS(ET$3:ET252),$ER$3:$ER$500,0),2)),"")</f>
        <v/>
      </c>
      <c r="EW252" s="259">
        <f t="shared" ca="1" si="633"/>
        <v>1</v>
      </c>
      <c r="EX252" s="259">
        <v>150</v>
      </c>
      <c r="EY252" s="259">
        <f t="shared" ca="1" si="634"/>
        <v>0</v>
      </c>
      <c r="EZ252" s="259">
        <f t="shared" ca="1" si="635"/>
        <v>0</v>
      </c>
      <c r="FA252" s="259">
        <f t="shared" ca="1" si="636"/>
        <v>0</v>
      </c>
      <c r="FB252" s="259">
        <f t="shared" ca="1" si="637"/>
        <v>0</v>
      </c>
      <c r="FC252" s="259">
        <f t="shared" ca="1" si="638"/>
        <v>0</v>
      </c>
      <c r="FD252" s="259">
        <f t="shared" ca="1" si="532"/>
        <v>0</v>
      </c>
      <c r="FE252" s="259" t="str">
        <f t="shared" ca="1" si="533"/>
        <v/>
      </c>
      <c r="FF252" s="259" t="str">
        <f t="shared" ca="1" si="639"/>
        <v/>
      </c>
      <c r="FM252" s="259">
        <f t="shared" si="534"/>
        <v>0</v>
      </c>
      <c r="FN252" s="259">
        <f>IF(FM252&lt;0,MAX($FN$2:FN251)+1,0)</f>
        <v>0</v>
      </c>
      <c r="FO252" s="259" t="str">
        <f t="shared" si="580"/>
        <v/>
      </c>
      <c r="FP252" s="259" t="str">
        <f ca="1">IFERROR(INDEX($FN$3:$FO$400,MATCH(ROWS($FP$3:FP252),$FN$3:$FN$400,0),2),"")</f>
        <v/>
      </c>
      <c r="FQ252" s="259" t="str">
        <f>IF(AE252="SE AVERE",MAX($FQ$2:FQ251)+1,"")</f>
        <v/>
      </c>
      <c r="FR252" s="259" t="str">
        <f>IF(AE252="SE DARE",MAX($FR$2:FR251)+1,"")</f>
        <v/>
      </c>
      <c r="FS252" s="259" t="str">
        <f ca="1">IF(AND(AE252="SP DARE",AA252&lt;&gt;$FS$1,AA252&lt;&gt;$FT$1),MAX($FS$2:FS251)+1,IF(AND(GQ252="SP DARE",AA252&lt;&gt;$FS$1,AA252&lt;&gt;$FT$1),MAX($FS$2:FS251)+1,""))</f>
        <v/>
      </c>
      <c r="FT252" s="259" t="str">
        <f ca="1">IF(AND(AE252="SP AVERE",AA252&lt;&gt;$FU$1),MAX($FT$2:FT251)+1,IF(AND(GQ252="SP AVERE",AA252&lt;&gt;$FU$1),MAX($FT$2:FT251)+1,""))</f>
        <v/>
      </c>
      <c r="FU252" s="259">
        <f t="shared" ca="1" si="581"/>
        <v>0</v>
      </c>
      <c r="FV252" s="259">
        <f t="shared" si="582"/>
        <v>0</v>
      </c>
      <c r="FW252" s="259">
        <f ca="1">IFERROR(INDEX($FU$3:$FV$500,MATCH(ROWS($FW$3:FW252),$FU$3:$FU$500,0),2),0)</f>
        <v>0</v>
      </c>
      <c r="FX252" s="259">
        <f t="shared" ca="1" si="583"/>
        <v>0</v>
      </c>
      <c r="FY252" s="259">
        <f t="shared" ca="1" si="584"/>
        <v>0</v>
      </c>
      <c r="FZ252" s="259">
        <f ca="1">IF(FY252&gt;0,MAX($FZ$2:FZ251)+1,0)</f>
        <v>0</v>
      </c>
      <c r="GA252" s="259">
        <f ca="1">IFERROR(INDEX($FY$3:$FZ$500,MATCH(ROWS($GA$3:GA252),$FZ$3:$FZ$500,0),1),0)</f>
        <v>0</v>
      </c>
      <c r="GC252" s="259">
        <f t="shared" ca="1" si="585"/>
        <v>0</v>
      </c>
      <c r="GD252" s="259">
        <f t="shared" ca="1" si="586"/>
        <v>0</v>
      </c>
      <c r="GG252" s="259">
        <f t="shared" ca="1" si="587"/>
        <v>0</v>
      </c>
      <c r="GH252" s="259">
        <f t="shared" ca="1" si="588"/>
        <v>0</v>
      </c>
      <c r="GI252" s="259">
        <f t="shared" ca="1" si="589"/>
        <v>0</v>
      </c>
      <c r="GJ252" s="259">
        <f t="shared" ca="1" si="590"/>
        <v>0</v>
      </c>
      <c r="GK252" s="259">
        <f t="shared" ca="1" si="591"/>
        <v>0</v>
      </c>
      <c r="GL252" s="259">
        <f t="shared" ca="1" si="591"/>
        <v>0</v>
      </c>
      <c r="GM252" s="259">
        <f ca="1">IF(OR(GK252&gt;0,GL252&gt;0),MAX($GM$2:GM251)+1,0)</f>
        <v>0</v>
      </c>
      <c r="GN252" s="259" t="str">
        <f ca="1">IFERROR(INDEX($GD$3:$GM$400,MATCH(ROWS($GN$3:GN252),$GM$3:$GM$400,0),1),"")</f>
        <v/>
      </c>
      <c r="GO252" s="259" t="str">
        <f ca="1">IFERROR(INDEX($GD$3:$GM$400,MATCH(ROWS($GO$3:GO252),$GM$3:$GM$400,0),8),"")</f>
        <v/>
      </c>
      <c r="GP252" s="259" t="str">
        <f ca="1">IFERROR(INDEX($GD$3:$GM$400,MATCH(ROWS($GP$3:GP252),$GM$3:$GM$400,0),9),"")</f>
        <v/>
      </c>
      <c r="GQ252" s="259">
        <f t="shared" ca="1" si="535"/>
        <v>0</v>
      </c>
      <c r="GR252" s="259">
        <f t="shared" ca="1" si="592"/>
        <v>0</v>
      </c>
      <c r="GS252" s="259" t="str">
        <f t="shared" ca="1" si="593"/>
        <v/>
      </c>
      <c r="GT252" s="259" t="str">
        <f ca="1">IFERROR(INDEX($GD$3:$GS$400,MATCH(ROWS($GT$3:GT252),$GM$3:$GM$400,0),16),"")</f>
        <v/>
      </c>
      <c r="GU252" s="259">
        <f ca="1">IF(GQ252&lt;&gt;0,MAX($GU$2:$GU251)+1,0)</f>
        <v>0</v>
      </c>
      <c r="GV252" s="259">
        <f t="shared" ca="1" si="594"/>
        <v>0</v>
      </c>
      <c r="GW252" s="259" t="str">
        <f ca="1">IF(AND(IFERROR(INDEX($GU$3:$GV$400,MATCH(ROWS($GW$3:GW252),$GU$3:$GU$400,0),2),"")&lt;&gt;"",GW253&lt;&gt;""),CONCATENATE(IFERROR(INDEX($GU$3:$GV$400,MATCH(ROWS($GW$3:GW252),$GU$3:$GU$400,0),2),"")," - "),IFERROR(INDEX($GU$3:$GV$400,MATCH(ROWS($GW$3:GW252),$GU$3:$GU$400,0),2),""))</f>
        <v/>
      </c>
      <c r="GX252" s="259">
        <f ca="1">IF(OR(GN252="IVA NS/CREDITO",GN252="IVA NS/DEBITO",GN252="IVA C/ACCONTO",GN252="IMPOSTE C/ACCONTO"),MAX($GX$2:GX251)+1,0)</f>
        <v>0</v>
      </c>
      <c r="GY252" s="259" t="str">
        <f ca="1">IF(AND(IFERROR(INDEX($GN$3:$GX$200,MATCH(ROWS($GY$3:GY252),$GX$3:$GX$200,0),1),"")&lt;&gt;"",GY253&lt;&gt;""),CONCATENATE(IFERROR(INDEX($GN$3:$GX$200,MATCH(ROWS($GY$3:GY252),$GX$3:$GX$200,0),1),"")," - "),IFERROR(INDEX($GN$3:$GX$200,MATCH(ROWS($GY$3:GY252),$GX$3:$GX$200,0),1),""))</f>
        <v/>
      </c>
      <c r="JA252" s="259" t="str">
        <f t="shared" ca="1" si="601"/>
        <v/>
      </c>
      <c r="JB252" s="259">
        <f t="shared" ca="1" si="536"/>
        <v>0</v>
      </c>
      <c r="JC252" s="259">
        <f t="shared" ca="1" si="640"/>
        <v>0</v>
      </c>
      <c r="JD252" s="259">
        <f t="shared" ca="1" si="641"/>
        <v>0</v>
      </c>
      <c r="JM252" s="259">
        <f t="shared" ca="1" si="642"/>
        <v>0</v>
      </c>
    </row>
    <row r="253" spans="52:273">
      <c r="AZ253" s="259" t="str">
        <f t="shared" ca="1" si="616"/>
        <v/>
      </c>
      <c r="BA253" s="259">
        <f t="shared" ca="1" si="632"/>
        <v>0</v>
      </c>
      <c r="BB253" s="259">
        <f t="shared" ca="1" si="617"/>
        <v>0</v>
      </c>
      <c r="BC253" s="259">
        <f t="shared" ca="1" si="618"/>
        <v>0</v>
      </c>
      <c r="BD253" s="259">
        <f t="shared" ca="1" si="619"/>
        <v>0</v>
      </c>
      <c r="BE253" s="259">
        <f t="shared" ca="1" si="620"/>
        <v>0</v>
      </c>
      <c r="BQ253" s="259" t="str">
        <f ca="1">IFERROR(INDEX($BN$3:$BO$200,MATCH(ROWS(BQ$3:BQ253),$BP$3:$BP$220,0),1),"")</f>
        <v/>
      </c>
      <c r="CX253" s="259">
        <f t="shared" ca="1" si="645"/>
        <v>14</v>
      </c>
      <c r="CY253" s="259" t="str">
        <f t="shared" ca="1" si="643"/>
        <v>MASTRO</v>
      </c>
      <c r="CZ253" s="259" t="e">
        <f t="shared" ca="1" si="647"/>
        <v>#N/A</v>
      </c>
      <c r="DA253" s="259" t="str">
        <f t="shared" ca="1" si="652"/>
        <v/>
      </c>
      <c r="DB253" s="259" t="str">
        <f t="shared" ca="1" si="648"/>
        <v/>
      </c>
      <c r="DC253" s="259" t="str">
        <f t="shared" ca="1" si="649"/>
        <v/>
      </c>
      <c r="DD253" s="259" t="str">
        <f t="shared" ca="1" si="650"/>
        <v/>
      </c>
      <c r="DE253" s="259" t="str">
        <f t="shared" ca="1" si="651"/>
        <v/>
      </c>
      <c r="DF253" s="259">
        <f ca="1">IF(AND(CX253=$DE$2,$DF$2&lt;&gt;0),0,IF(AND(DB253&lt;&gt;"",OR(DB252&lt;&gt;"",DB254&lt;&gt;"")),MAX($DF$2:DF252)+1,0))</f>
        <v>0</v>
      </c>
      <c r="DG253" s="259" t="str">
        <f>IF(IF(LIBRO_GIORNALE!E161="","",IFERROR(INDEX(PIANO_DEI_CONTI,MATCH(BB253,DENOMINAZIONE,0),1),0))=0,"",IF(LIBRO_GIORNALE!E161="","",IFERROR(INDEX(PIANO_DEI_CONTI,MATCH(BB253,DENOMINAZIONE,0),1),0)))</f>
        <v/>
      </c>
      <c r="EC253" s="259">
        <f>IF(IF(DG253&lt;&gt;"",REPLACE(DG253,3,1,""),0)&lt;&gt;0,MAX(EC$2:EC252)+1,0)</f>
        <v>0</v>
      </c>
      <c r="ED253" s="259">
        <f t="shared" ca="1" si="529"/>
        <v>0</v>
      </c>
      <c r="EL253" s="259">
        <f t="shared" si="577"/>
        <v>251</v>
      </c>
      <c r="EM253" s="259">
        <f ca="1">IF(AND(BA253&gt;0,BA253&lt;=$EM$1),MAX($EM$2:EM252)+1,0)</f>
        <v>0</v>
      </c>
      <c r="EN253" s="259">
        <f t="shared" ca="1" si="578"/>
        <v>253</v>
      </c>
      <c r="EP253" s="259" t="str">
        <f t="shared" ca="1" si="530"/>
        <v/>
      </c>
      <c r="EQ253" s="259">
        <f t="shared" ca="1" si="531"/>
        <v>0</v>
      </c>
      <c r="ER253" s="259">
        <f ca="1">IF(ISNA(EQ253),MAX(ER$2:ER252)+1,0)</f>
        <v>0</v>
      </c>
      <c r="ES253" s="259" t="str">
        <f t="shared" ca="1" si="579"/>
        <v/>
      </c>
      <c r="ET253" s="259" t="str">
        <f ca="1">IFERROR(UPPER(INDEX($ER$3:$ES$500,MATCH(ROWS(ET$3:ET253),$ER$3:$ER$500,0),2)),"")</f>
        <v/>
      </c>
      <c r="EW253" s="259">
        <f t="shared" ca="1" si="633"/>
        <v>1</v>
      </c>
      <c r="EX253" s="259">
        <v>151</v>
      </c>
      <c r="EY253" s="259">
        <f t="shared" ca="1" si="634"/>
        <v>0</v>
      </c>
      <c r="EZ253" s="259">
        <f t="shared" ca="1" si="635"/>
        <v>0</v>
      </c>
      <c r="FA253" s="259">
        <f t="shared" ca="1" si="636"/>
        <v>0</v>
      </c>
      <c r="FB253" s="259">
        <f t="shared" ca="1" si="637"/>
        <v>0</v>
      </c>
      <c r="FC253" s="259">
        <f t="shared" ca="1" si="638"/>
        <v>0</v>
      </c>
      <c r="FD253" s="259">
        <f t="shared" ca="1" si="532"/>
        <v>0</v>
      </c>
      <c r="FE253" s="259" t="str">
        <f t="shared" ca="1" si="533"/>
        <v/>
      </c>
      <c r="FF253" s="259" t="str">
        <f t="shared" ca="1" si="639"/>
        <v/>
      </c>
      <c r="FM253" s="259">
        <f t="shared" si="534"/>
        <v>0</v>
      </c>
      <c r="FN253" s="259">
        <f>IF(FM253&lt;0,MAX($FN$2:FN252)+1,0)</f>
        <v>0</v>
      </c>
      <c r="FO253" s="259" t="str">
        <f t="shared" si="580"/>
        <v/>
      </c>
      <c r="FP253" s="259" t="str">
        <f ca="1">IFERROR(INDEX($FN$3:$FO$400,MATCH(ROWS($FP$3:FP253),$FN$3:$FN$400,0),2),"")</f>
        <v/>
      </c>
      <c r="FQ253" s="259" t="str">
        <f>IF(AE253="SE AVERE",MAX($FQ$2:FQ252)+1,"")</f>
        <v/>
      </c>
      <c r="FR253" s="259" t="str">
        <f>IF(AE253="SE DARE",MAX($FR$2:FR252)+1,"")</f>
        <v/>
      </c>
      <c r="FS253" s="259" t="str">
        <f ca="1">IF(AND(AE253="SP DARE",AA253&lt;&gt;$FS$1,AA253&lt;&gt;$FT$1),MAX($FS$2:FS252)+1,IF(AND(GQ253="SP DARE",AA253&lt;&gt;$FS$1,AA253&lt;&gt;$FT$1),MAX($FS$2:FS252)+1,""))</f>
        <v/>
      </c>
      <c r="FT253" s="259" t="str">
        <f ca="1">IF(AND(AE253="SP AVERE",AA253&lt;&gt;$FU$1),MAX($FT$2:FT252)+1,IF(AND(GQ253="SP AVERE",AA253&lt;&gt;$FU$1),MAX($FT$2:FT252)+1,""))</f>
        <v/>
      </c>
      <c r="FU253" s="259">
        <f t="shared" ca="1" si="581"/>
        <v>0</v>
      </c>
      <c r="FV253" s="259">
        <f t="shared" si="582"/>
        <v>0</v>
      </c>
      <c r="FW253" s="259">
        <f ca="1">IFERROR(INDEX($FU$3:$FV$500,MATCH(ROWS($FW$3:FW253),$FU$3:$FU$500,0),2),0)</f>
        <v>0</v>
      </c>
      <c r="FX253" s="259">
        <f t="shared" ca="1" si="583"/>
        <v>0</v>
      </c>
      <c r="FY253" s="259">
        <f t="shared" ca="1" si="584"/>
        <v>0</v>
      </c>
      <c r="FZ253" s="259">
        <f ca="1">IF(FY253&gt;0,MAX($FZ$2:FZ252)+1,0)</f>
        <v>0</v>
      </c>
      <c r="GA253" s="259">
        <f ca="1">IFERROR(INDEX($FY$3:$FZ$500,MATCH(ROWS($GA$3:GA253),$FZ$3:$FZ$500,0),1),0)</f>
        <v>0</v>
      </c>
      <c r="GC253" s="259">
        <f t="shared" ca="1" si="585"/>
        <v>0</v>
      </c>
      <c r="GD253" s="259">
        <f t="shared" ca="1" si="586"/>
        <v>0</v>
      </c>
      <c r="GG253" s="259">
        <f t="shared" ca="1" si="587"/>
        <v>0</v>
      </c>
      <c r="GH253" s="259">
        <f t="shared" ca="1" si="588"/>
        <v>0</v>
      </c>
      <c r="GI253" s="259">
        <f t="shared" ca="1" si="589"/>
        <v>0</v>
      </c>
      <c r="GJ253" s="259">
        <f t="shared" ca="1" si="590"/>
        <v>0</v>
      </c>
      <c r="GK253" s="259">
        <f t="shared" ca="1" si="591"/>
        <v>0</v>
      </c>
      <c r="GL253" s="259">
        <f t="shared" ca="1" si="591"/>
        <v>0</v>
      </c>
      <c r="GM253" s="259">
        <f ca="1">IF(OR(GK253&gt;0,GL253&gt;0),MAX($GM$2:GM252)+1,0)</f>
        <v>0</v>
      </c>
      <c r="GN253" s="259" t="str">
        <f ca="1">IFERROR(INDEX($GD$3:$GM$400,MATCH(ROWS($GN$3:GN253),$GM$3:$GM$400,0),1),"")</f>
        <v/>
      </c>
      <c r="GO253" s="259" t="str">
        <f ca="1">IFERROR(INDEX($GD$3:$GM$400,MATCH(ROWS($GO$3:GO253),$GM$3:$GM$400,0),8),"")</f>
        <v/>
      </c>
      <c r="GP253" s="259" t="str">
        <f ca="1">IFERROR(INDEX($GD$3:$GM$400,MATCH(ROWS($GP$3:GP253),$GM$3:$GM$400,0),9),"")</f>
        <v/>
      </c>
      <c r="GQ253" s="259">
        <f t="shared" ca="1" si="535"/>
        <v>0</v>
      </c>
      <c r="GR253" s="259">
        <f t="shared" ca="1" si="592"/>
        <v>0</v>
      </c>
      <c r="GS253" s="259" t="str">
        <f t="shared" ca="1" si="593"/>
        <v/>
      </c>
      <c r="GT253" s="259" t="str">
        <f ca="1">IFERROR(INDEX($GD$3:$GS$400,MATCH(ROWS($GT$3:GT253),$GM$3:$GM$400,0),16),"")</f>
        <v/>
      </c>
      <c r="GU253" s="259">
        <f ca="1">IF(GQ253&lt;&gt;0,MAX($GU$2:$GU252)+1,0)</f>
        <v>0</v>
      </c>
      <c r="GV253" s="259">
        <f t="shared" ca="1" si="594"/>
        <v>0</v>
      </c>
      <c r="GW253" s="259" t="str">
        <f ca="1">IF(AND(IFERROR(INDEX($GU$3:$GV$400,MATCH(ROWS($GW$3:GW253),$GU$3:$GU$400,0),2),"")&lt;&gt;"",GW254&lt;&gt;""),CONCATENATE(IFERROR(INDEX($GU$3:$GV$400,MATCH(ROWS($GW$3:GW253),$GU$3:$GU$400,0),2),"")," - "),IFERROR(INDEX($GU$3:$GV$400,MATCH(ROWS($GW$3:GW253),$GU$3:$GU$400,0),2),""))</f>
        <v/>
      </c>
      <c r="GX253" s="259">
        <f ca="1">IF(OR(GN253="IVA NS/CREDITO",GN253="IVA NS/DEBITO",GN253="IVA C/ACCONTO",GN253="IMPOSTE C/ACCONTO"),MAX($GX$2:GX252)+1,0)</f>
        <v>0</v>
      </c>
      <c r="GY253" s="259" t="str">
        <f ca="1">IF(AND(IFERROR(INDEX($GN$3:$GX$200,MATCH(ROWS($GY$3:GY253),$GX$3:$GX$200,0),1),"")&lt;&gt;"",GY254&lt;&gt;""),CONCATENATE(IFERROR(INDEX($GN$3:$GX$200,MATCH(ROWS($GY$3:GY253),$GX$3:$GX$200,0),1),"")," - "),IFERROR(INDEX($GN$3:$GX$200,MATCH(ROWS($GY$3:GY253),$GX$3:$GX$200,0),1),""))</f>
        <v/>
      </c>
      <c r="JA253" s="259" t="str">
        <f t="shared" ca="1" si="601"/>
        <v/>
      </c>
      <c r="JB253" s="259">
        <f t="shared" ca="1" si="536"/>
        <v>0</v>
      </c>
      <c r="JC253" s="259">
        <f t="shared" ca="1" si="640"/>
        <v>0</v>
      </c>
      <c r="JD253" s="259">
        <f t="shared" ca="1" si="641"/>
        <v>0</v>
      </c>
      <c r="JM253" s="259">
        <f t="shared" ca="1" si="642"/>
        <v>0</v>
      </c>
    </row>
    <row r="254" spans="52:273">
      <c r="AZ254" s="259" t="str">
        <f t="shared" ca="1" si="616"/>
        <v/>
      </c>
      <c r="BA254" s="259">
        <f t="shared" ca="1" si="632"/>
        <v>0</v>
      </c>
      <c r="BB254" s="259">
        <f t="shared" ca="1" si="617"/>
        <v>0</v>
      </c>
      <c r="BC254" s="259">
        <f t="shared" ca="1" si="618"/>
        <v>0</v>
      </c>
      <c r="BD254" s="259">
        <f t="shared" ca="1" si="619"/>
        <v>0</v>
      </c>
      <c r="BE254" s="259">
        <f t="shared" ca="1" si="620"/>
        <v>0</v>
      </c>
      <c r="BQ254" s="259" t="str">
        <f ca="1">IFERROR(INDEX($BN$3:$BO$200,MATCH(ROWS(BQ$3:BQ254),$BP$3:$BP$220,0),1),"")</f>
        <v/>
      </c>
      <c r="CX254" s="259" t="str">
        <f>IFERROR(IF(CX236+1=1,"",(CX236+1)),"")</f>
        <v/>
      </c>
      <c r="CY254" s="259" t="str">
        <f t="shared" ca="1" si="643"/>
        <v>MASTRO</v>
      </c>
      <c r="DB254" s="259" t="str">
        <f t="shared" ref="DB254" ca="1" si="653">CY254</f>
        <v>MASTRO</v>
      </c>
      <c r="DF254" s="259">
        <f ca="1">IF(AND(CX254=$DE$2,$DF$2&lt;&gt;0),0,IF(AND(DB254&lt;&gt;"",OR(DB253&lt;&gt;"",DB255&lt;&gt;"")),MAX($DF$2:DF253)+1,0))</f>
        <v>0</v>
      </c>
      <c r="DG254" s="259" t="str">
        <f>IF(IF(LIBRO_GIORNALE!E162="","",IFERROR(INDEX(PIANO_DEI_CONTI,MATCH(BB254,DENOMINAZIONE,0),1),0))=0,"",IF(LIBRO_GIORNALE!E162="","",IFERROR(INDEX(PIANO_DEI_CONTI,MATCH(BB254,DENOMINAZIONE,0),1),0)))</f>
        <v/>
      </c>
      <c r="EC254" s="259">
        <f>IF(IF(DG254&lt;&gt;"",REPLACE(DG254,3,1,""),0)&lt;&gt;0,MAX(EC$2:EC253)+1,0)</f>
        <v>0</v>
      </c>
      <c r="ED254" s="259">
        <f t="shared" ca="1" si="529"/>
        <v>0</v>
      </c>
      <c r="EL254" s="259">
        <f t="shared" si="577"/>
        <v>252</v>
      </c>
      <c r="EM254" s="259">
        <f ca="1">IF(AND(BA254&gt;0,BA254&lt;=$EM$1),MAX($EM$2:EM253)+1,0)</f>
        <v>0</v>
      </c>
      <c r="EN254" s="259">
        <f t="shared" ca="1" si="578"/>
        <v>254</v>
      </c>
      <c r="EP254" s="259" t="str">
        <f t="shared" ca="1" si="530"/>
        <v/>
      </c>
      <c r="EQ254" s="259">
        <f t="shared" ca="1" si="531"/>
        <v>0</v>
      </c>
      <c r="ER254" s="259">
        <f ca="1">IF(ISNA(EQ254),MAX(ER$2:ER253)+1,0)</f>
        <v>0</v>
      </c>
      <c r="ES254" s="259" t="str">
        <f t="shared" ca="1" si="579"/>
        <v/>
      </c>
      <c r="ET254" s="259" t="str">
        <f ca="1">IFERROR(UPPER(INDEX($ER$3:$ES$500,MATCH(ROWS(ET$3:ET254),$ER$3:$ER$500,0),2)),"")</f>
        <v/>
      </c>
      <c r="EW254" s="259">
        <f t="shared" ca="1" si="633"/>
        <v>1</v>
      </c>
      <c r="EX254" s="259">
        <v>152</v>
      </c>
      <c r="EY254" s="259">
        <f t="shared" ca="1" si="634"/>
        <v>0</v>
      </c>
      <c r="EZ254" s="259">
        <f t="shared" ca="1" si="635"/>
        <v>0</v>
      </c>
      <c r="FA254" s="259">
        <f t="shared" ca="1" si="636"/>
        <v>0</v>
      </c>
      <c r="FB254" s="259">
        <f t="shared" ca="1" si="637"/>
        <v>0</v>
      </c>
      <c r="FC254" s="259">
        <f t="shared" ca="1" si="638"/>
        <v>0</v>
      </c>
      <c r="FD254" s="259">
        <f t="shared" ca="1" si="532"/>
        <v>0</v>
      </c>
      <c r="FE254" s="259" t="str">
        <f t="shared" ca="1" si="533"/>
        <v/>
      </c>
      <c r="FF254" s="259" t="str">
        <f t="shared" ca="1" si="639"/>
        <v/>
      </c>
      <c r="FM254" s="259">
        <f t="shared" si="534"/>
        <v>0</v>
      </c>
      <c r="FN254" s="259">
        <f>IF(FM254&lt;0,MAX($FN$2:FN253)+1,0)</f>
        <v>0</v>
      </c>
      <c r="FO254" s="259" t="str">
        <f t="shared" si="580"/>
        <v/>
      </c>
      <c r="FP254" s="259" t="str">
        <f ca="1">IFERROR(INDEX($FN$3:$FO$400,MATCH(ROWS($FP$3:FP254),$FN$3:$FN$400,0),2),"")</f>
        <v/>
      </c>
      <c r="FQ254" s="259" t="str">
        <f>IF(AE254="SE AVERE",MAX($FQ$2:FQ253)+1,"")</f>
        <v/>
      </c>
      <c r="FR254" s="259" t="str">
        <f>IF(AE254="SE DARE",MAX($FR$2:FR253)+1,"")</f>
        <v/>
      </c>
      <c r="FS254" s="259" t="str">
        <f ca="1">IF(AND(AE254="SP DARE",AA254&lt;&gt;$FS$1,AA254&lt;&gt;$FT$1),MAX($FS$2:FS253)+1,IF(AND(GQ254="SP DARE",AA254&lt;&gt;$FS$1,AA254&lt;&gt;$FT$1),MAX($FS$2:FS253)+1,""))</f>
        <v/>
      </c>
      <c r="FT254" s="259" t="str">
        <f ca="1">IF(AND(AE254="SP AVERE",AA254&lt;&gt;$FU$1),MAX($FT$2:FT253)+1,IF(AND(GQ254="SP AVERE",AA254&lt;&gt;$FU$1),MAX($FT$2:FT253)+1,""))</f>
        <v/>
      </c>
      <c r="FU254" s="259">
        <f t="shared" ca="1" si="581"/>
        <v>0</v>
      </c>
      <c r="FV254" s="259">
        <f t="shared" si="582"/>
        <v>0</v>
      </c>
      <c r="FW254" s="259">
        <f ca="1">IFERROR(INDEX($FU$3:$FV$500,MATCH(ROWS($FW$3:FW254),$FU$3:$FU$500,0),2),0)</f>
        <v>0</v>
      </c>
      <c r="FX254" s="259">
        <f t="shared" ca="1" si="583"/>
        <v>0</v>
      </c>
      <c r="FY254" s="259">
        <f t="shared" ca="1" si="584"/>
        <v>0</v>
      </c>
      <c r="FZ254" s="259">
        <f ca="1">IF(FY254&gt;0,MAX($FZ$2:FZ253)+1,0)</f>
        <v>0</v>
      </c>
      <c r="GA254" s="259">
        <f ca="1">IFERROR(INDEX($FY$3:$FZ$500,MATCH(ROWS($GA$3:GA254),$FZ$3:$FZ$500,0),1),0)</f>
        <v>0</v>
      </c>
      <c r="GC254" s="259">
        <f t="shared" ca="1" si="585"/>
        <v>0</v>
      </c>
      <c r="GD254" s="259">
        <f t="shared" ca="1" si="586"/>
        <v>0</v>
      </c>
      <c r="GG254" s="259">
        <f t="shared" ca="1" si="587"/>
        <v>0</v>
      </c>
      <c r="GH254" s="259">
        <f t="shared" ca="1" si="588"/>
        <v>0</v>
      </c>
      <c r="GI254" s="259">
        <f t="shared" ca="1" si="589"/>
        <v>0</v>
      </c>
      <c r="GJ254" s="259">
        <f t="shared" ca="1" si="590"/>
        <v>0</v>
      </c>
      <c r="GK254" s="259">
        <f t="shared" ca="1" si="591"/>
        <v>0</v>
      </c>
      <c r="GL254" s="259">
        <f t="shared" ca="1" si="591"/>
        <v>0</v>
      </c>
      <c r="GM254" s="259">
        <f ca="1">IF(OR(GK254&gt;0,GL254&gt;0),MAX($GM$2:GM253)+1,0)</f>
        <v>0</v>
      </c>
      <c r="GN254" s="259" t="str">
        <f ca="1">IFERROR(INDEX($GD$3:$GM$400,MATCH(ROWS($GN$3:GN254),$GM$3:$GM$400,0),1),"")</f>
        <v/>
      </c>
      <c r="GO254" s="259" t="str">
        <f ca="1">IFERROR(INDEX($GD$3:$GM$400,MATCH(ROWS($GO$3:GO254),$GM$3:$GM$400,0),8),"")</f>
        <v/>
      </c>
      <c r="GP254" s="259" t="str">
        <f ca="1">IFERROR(INDEX($GD$3:$GM$400,MATCH(ROWS($GP$3:GP254),$GM$3:$GM$400,0),9),"")</f>
        <v/>
      </c>
      <c r="GQ254" s="259">
        <f t="shared" ca="1" si="535"/>
        <v>0</v>
      </c>
      <c r="GR254" s="259">
        <f t="shared" ca="1" si="592"/>
        <v>0</v>
      </c>
      <c r="GS254" s="259" t="str">
        <f t="shared" ca="1" si="593"/>
        <v/>
      </c>
      <c r="GT254" s="259" t="str">
        <f ca="1">IFERROR(INDEX($GD$3:$GS$400,MATCH(ROWS($GT$3:GT254),$GM$3:$GM$400,0),16),"")</f>
        <v/>
      </c>
      <c r="GU254" s="259">
        <f ca="1">IF(GQ254&lt;&gt;0,MAX($GU$2:$GU253)+1,0)</f>
        <v>0</v>
      </c>
      <c r="GV254" s="259">
        <f t="shared" ca="1" si="594"/>
        <v>0</v>
      </c>
      <c r="GW254" s="259" t="str">
        <f ca="1">IF(AND(IFERROR(INDEX($GU$3:$GV$400,MATCH(ROWS($GW$3:GW254),$GU$3:$GU$400,0),2),"")&lt;&gt;"",GW255&lt;&gt;""),CONCATENATE(IFERROR(INDEX($GU$3:$GV$400,MATCH(ROWS($GW$3:GW254),$GU$3:$GU$400,0),2),"")," - "),IFERROR(INDEX($GU$3:$GV$400,MATCH(ROWS($GW$3:GW254),$GU$3:$GU$400,0),2),""))</f>
        <v/>
      </c>
      <c r="GX254" s="259">
        <f ca="1">IF(OR(GN254="IVA NS/CREDITO",GN254="IVA NS/DEBITO",GN254="IVA C/ACCONTO",GN254="IMPOSTE C/ACCONTO"),MAX($GX$2:GX253)+1,0)</f>
        <v>0</v>
      </c>
      <c r="GY254" s="259" t="str">
        <f ca="1">IF(AND(IFERROR(INDEX($GN$3:$GX$200,MATCH(ROWS($GY$3:GY254),$GX$3:$GX$200,0),1),"")&lt;&gt;"",GY255&lt;&gt;""),CONCATENATE(IFERROR(INDEX($GN$3:$GX$200,MATCH(ROWS($GY$3:GY254),$GX$3:$GX$200,0),1),"")," - "),IFERROR(INDEX($GN$3:$GX$200,MATCH(ROWS($GY$3:GY254),$GX$3:$GX$200,0),1),""))</f>
        <v/>
      </c>
      <c r="JA254" s="259" t="str">
        <f t="shared" ca="1" si="601"/>
        <v/>
      </c>
      <c r="JB254" s="259">
        <f t="shared" ca="1" si="536"/>
        <v>0</v>
      </c>
      <c r="JC254" s="259">
        <f t="shared" ca="1" si="640"/>
        <v>0</v>
      </c>
      <c r="JD254" s="259">
        <f t="shared" ca="1" si="641"/>
        <v>0</v>
      </c>
      <c r="JM254" s="259">
        <f t="shared" ca="1" si="642"/>
        <v>0</v>
      </c>
    </row>
    <row r="255" spans="52:273">
      <c r="AZ255" s="259" t="str">
        <f t="shared" ca="1" si="616"/>
        <v/>
      </c>
      <c r="BA255" s="259">
        <f t="shared" ca="1" si="632"/>
        <v>0</v>
      </c>
      <c r="BB255" s="259">
        <f t="shared" ca="1" si="617"/>
        <v>0</v>
      </c>
      <c r="BC255" s="259">
        <f t="shared" ca="1" si="618"/>
        <v>0</v>
      </c>
      <c r="BD255" s="259">
        <f t="shared" ca="1" si="619"/>
        <v>0</v>
      </c>
      <c r="BE255" s="259">
        <f t="shared" ca="1" si="620"/>
        <v>0</v>
      </c>
      <c r="BQ255" s="259" t="str">
        <f ca="1">IFERROR(INDEX($BN$3:$BO$200,MATCH(ROWS(BQ$3:BQ255),$BP$3:$BP$220,0),1),"")</f>
        <v/>
      </c>
      <c r="CX255" s="259">
        <f ca="1">$EA$17</f>
        <v>15</v>
      </c>
      <c r="CY255" s="259" t="str">
        <f t="shared" ca="1" si="643"/>
        <v>MASTRO</v>
      </c>
      <c r="DA255" s="259" t="str">
        <f ca="1">IF(CY254="MASTRO","Conto n.","")</f>
        <v>Conto n.</v>
      </c>
      <c r="DB255" s="259" t="str">
        <f ca="1">IF(CY255=0,"",INDEX(PIANO_DEI_CONTI,MATCH(DC255,DENOMINAZIONE,0),1))</f>
        <v/>
      </c>
      <c r="DC255" s="259" t="str">
        <f ca="1">IF(OR(CY255=0,CY255="mastro"),"",CY255)</f>
        <v/>
      </c>
      <c r="DD255" s="259" t="str">
        <f ca="1">IF(AND($DA$2=TRUE,OR(INDEX(PIANO_DEI_CONTI,MATCH($DC255,DENOMINAZIONE,0),4)="A",INDEX(PIANO_DEI_CONTI,MATCH($DC255,DENOMINAZIONE,0),4)="D/A"),SUMIFS(AVERE,DENOMINAZIONE_GIORNALE,"="&amp;$DC255)&gt;SUMIFS(DARE,DENOMINAZIONE_GIORNALE,"="&amp;$DC255)),CONCATENATE("s ",FIXED(ABS(SUMIFS(AVERE,DENOMINAZIONE_GIORNALE,"="&amp;$DC255)-SUMIFS(DARE,DENOMINAZIONE_GIORNALE,"="&amp;$DC255)),2)),"")</f>
        <v/>
      </c>
      <c r="DE255" s="259" t="str">
        <f ca="1">IF(AND($DA$2=TRUE,OR(INDEX(PIANO_DEI_CONTI,MATCH($DC255,DENOMINAZIONE,0),4)="D",INDEX(PIANO_DEI_CONTI,MATCH($DC255,DENOMINAZIONE,0),4)="D/A"),SUMIFS(DARE,DENOMINAZIONE_GIORNALE,"="&amp;$DC255)&gt;SUMIFS(AVERE,DENOMINAZIONE_GIORNALE,"="&amp;$DC255)),CONCATENATE("s ",FIXED(ABS(SUMIFS(DARE,DENOMINAZIONE_GIORNALE,"="&amp;$DC255)-SUMIFS(AVERE,DENOMINAZIONE_GIORNALE,"="&amp;$DC255)),2)),"")</f>
        <v/>
      </c>
      <c r="DF255" s="259">
        <f ca="1">IF(AND(CX255=$DE$2,$DF$2&lt;&gt;0),0,IF(AND(DB255&lt;&gt;"",OR(DB254&lt;&gt;"",DB256&lt;&gt;"")),MAX($DF$2:DF254)+1,0))</f>
        <v>0</v>
      </c>
      <c r="DG255" s="259" t="str">
        <f>IF(IF(LIBRO_GIORNALE!E163="","",IFERROR(INDEX(PIANO_DEI_CONTI,MATCH(BB255,DENOMINAZIONE,0),1),0))=0,"",IF(LIBRO_GIORNALE!E163="","",IFERROR(INDEX(PIANO_DEI_CONTI,MATCH(BB255,DENOMINAZIONE,0),1),0)))</f>
        <v/>
      </c>
      <c r="EC255" s="259">
        <f>IF(IF(DG255&lt;&gt;"",REPLACE(DG255,3,1,""),0)&lt;&gt;0,MAX(EC$2:EC254)+1,0)</f>
        <v>0</v>
      </c>
      <c r="ED255" s="259">
        <f t="shared" ca="1" si="529"/>
        <v>0</v>
      </c>
      <c r="EL255" s="259">
        <f t="shared" si="577"/>
        <v>253</v>
      </c>
      <c r="EM255" s="259">
        <f ca="1">IF(AND(BA255&gt;0,BA255&lt;=$EM$1),MAX($EM$2:EM254)+1,0)</f>
        <v>0</v>
      </c>
      <c r="EN255" s="259">
        <f t="shared" ca="1" si="578"/>
        <v>255</v>
      </c>
      <c r="EP255" s="259" t="str">
        <f t="shared" ca="1" si="530"/>
        <v/>
      </c>
      <c r="EQ255" s="259">
        <f t="shared" ca="1" si="531"/>
        <v>0</v>
      </c>
      <c r="ER255" s="259">
        <f ca="1">IF(ISNA(EQ255),MAX(ER$2:ER254)+1,0)</f>
        <v>0</v>
      </c>
      <c r="ES255" s="259" t="str">
        <f t="shared" ca="1" si="579"/>
        <v/>
      </c>
      <c r="ET255" s="259" t="str">
        <f ca="1">IFERROR(UPPER(INDEX($ER$3:$ES$500,MATCH(ROWS(ET$3:ET255),$ER$3:$ER$500,0),2)),"")</f>
        <v/>
      </c>
      <c r="EW255" s="259">
        <f t="shared" ca="1" si="633"/>
        <v>1</v>
      </c>
      <c r="EX255" s="259">
        <v>153</v>
      </c>
      <c r="EY255" s="259">
        <f t="shared" ca="1" si="634"/>
        <v>0</v>
      </c>
      <c r="EZ255" s="259">
        <f t="shared" ca="1" si="635"/>
        <v>0</v>
      </c>
      <c r="FA255" s="259">
        <f t="shared" ca="1" si="636"/>
        <v>0</v>
      </c>
      <c r="FB255" s="259">
        <f t="shared" ca="1" si="637"/>
        <v>0</v>
      </c>
      <c r="FC255" s="259">
        <f t="shared" ca="1" si="638"/>
        <v>0</v>
      </c>
      <c r="FD255" s="259">
        <f t="shared" ca="1" si="532"/>
        <v>0</v>
      </c>
      <c r="FE255" s="259" t="str">
        <f t="shared" ca="1" si="533"/>
        <v/>
      </c>
      <c r="FF255" s="259" t="str">
        <f t="shared" ca="1" si="639"/>
        <v/>
      </c>
      <c r="FM255" s="259">
        <f t="shared" si="534"/>
        <v>0</v>
      </c>
      <c r="FN255" s="259">
        <f>IF(FM255&lt;0,MAX($FN$2:FN254)+1,0)</f>
        <v>0</v>
      </c>
      <c r="FO255" s="259" t="str">
        <f t="shared" si="580"/>
        <v/>
      </c>
      <c r="FP255" s="259" t="str">
        <f ca="1">IFERROR(INDEX($FN$3:$FO$400,MATCH(ROWS($FP$3:FP255),$FN$3:$FN$400,0),2),"")</f>
        <v/>
      </c>
      <c r="FQ255" s="259" t="str">
        <f>IF(AE255="SE AVERE",MAX($FQ$2:FQ254)+1,"")</f>
        <v/>
      </c>
      <c r="FR255" s="259" t="str">
        <f>IF(AE255="SE DARE",MAX($FR$2:FR254)+1,"")</f>
        <v/>
      </c>
      <c r="FS255" s="259" t="str">
        <f ca="1">IF(AND(AE255="SP DARE",AA255&lt;&gt;$FS$1,AA255&lt;&gt;$FT$1),MAX($FS$2:FS254)+1,IF(AND(GQ255="SP DARE",AA255&lt;&gt;$FS$1,AA255&lt;&gt;$FT$1),MAX($FS$2:FS254)+1,""))</f>
        <v/>
      </c>
      <c r="FT255" s="259" t="str">
        <f ca="1">IF(AND(AE255="SP AVERE",AA255&lt;&gt;$FU$1),MAX($FT$2:FT254)+1,IF(AND(GQ255="SP AVERE",AA255&lt;&gt;$FU$1),MAX($FT$2:FT254)+1,""))</f>
        <v/>
      </c>
      <c r="FU255" s="259">
        <f t="shared" ca="1" si="581"/>
        <v>0</v>
      </c>
      <c r="FV255" s="259">
        <f t="shared" si="582"/>
        <v>0</v>
      </c>
      <c r="FW255" s="259">
        <f ca="1">IFERROR(INDEX($FU$3:$FV$500,MATCH(ROWS($FW$3:FW255),$FU$3:$FU$500,0),2),0)</f>
        <v>0</v>
      </c>
      <c r="FX255" s="259">
        <f t="shared" ca="1" si="583"/>
        <v>0</v>
      </c>
      <c r="FY255" s="259">
        <f t="shared" ca="1" si="584"/>
        <v>0</v>
      </c>
      <c r="FZ255" s="259">
        <f ca="1">IF(FY255&gt;0,MAX($FZ$2:FZ254)+1,0)</f>
        <v>0</v>
      </c>
      <c r="GA255" s="259">
        <f ca="1">IFERROR(INDEX($FY$3:$FZ$500,MATCH(ROWS($GA$3:GA255),$FZ$3:$FZ$500,0),1),0)</f>
        <v>0</v>
      </c>
      <c r="GC255" s="259">
        <f t="shared" ca="1" si="585"/>
        <v>0</v>
      </c>
      <c r="GD255" s="259">
        <f t="shared" ca="1" si="586"/>
        <v>0</v>
      </c>
      <c r="GG255" s="259">
        <f t="shared" ca="1" si="587"/>
        <v>0</v>
      </c>
      <c r="GH255" s="259">
        <f t="shared" ca="1" si="588"/>
        <v>0</v>
      </c>
      <c r="GI255" s="259">
        <f t="shared" ca="1" si="589"/>
        <v>0</v>
      </c>
      <c r="GJ255" s="259">
        <f t="shared" ca="1" si="590"/>
        <v>0</v>
      </c>
      <c r="GK255" s="259">
        <f t="shared" ca="1" si="591"/>
        <v>0</v>
      </c>
      <c r="GL255" s="259">
        <f t="shared" ca="1" si="591"/>
        <v>0</v>
      </c>
      <c r="GM255" s="259">
        <f ca="1">IF(OR(GK255&gt;0,GL255&gt;0),MAX($GM$2:GM254)+1,0)</f>
        <v>0</v>
      </c>
      <c r="GN255" s="259" t="str">
        <f ca="1">IFERROR(INDEX($GD$3:$GM$400,MATCH(ROWS($GN$3:GN255),$GM$3:$GM$400,0),1),"")</f>
        <v/>
      </c>
      <c r="GO255" s="259" t="str">
        <f ca="1">IFERROR(INDEX($GD$3:$GM$400,MATCH(ROWS($GO$3:GO255),$GM$3:$GM$400,0),8),"")</f>
        <v/>
      </c>
      <c r="GP255" s="259" t="str">
        <f ca="1">IFERROR(INDEX($GD$3:$GM$400,MATCH(ROWS($GP$3:GP255),$GM$3:$GM$400,0),9),"")</f>
        <v/>
      </c>
      <c r="GQ255" s="259">
        <f t="shared" ca="1" si="535"/>
        <v>0</v>
      </c>
      <c r="GR255" s="259">
        <f t="shared" ca="1" si="592"/>
        <v>0</v>
      </c>
      <c r="GS255" s="259" t="str">
        <f t="shared" ca="1" si="593"/>
        <v/>
      </c>
      <c r="GT255" s="259" t="str">
        <f ca="1">IFERROR(INDEX($GD$3:$GS$400,MATCH(ROWS($GT$3:GT255),$GM$3:$GM$400,0),16),"")</f>
        <v/>
      </c>
      <c r="GU255" s="259">
        <f ca="1">IF(GQ255&lt;&gt;0,MAX($GU$2:$GU254)+1,0)</f>
        <v>0</v>
      </c>
      <c r="GV255" s="259">
        <f t="shared" ca="1" si="594"/>
        <v>0</v>
      </c>
      <c r="GW255" s="259" t="str">
        <f ca="1">IF(AND(IFERROR(INDEX($GU$3:$GV$400,MATCH(ROWS($GW$3:GW255),$GU$3:$GU$400,0),2),"")&lt;&gt;"",GW256&lt;&gt;""),CONCATENATE(IFERROR(INDEX($GU$3:$GV$400,MATCH(ROWS($GW$3:GW255),$GU$3:$GU$400,0),2),"")," - "),IFERROR(INDEX($GU$3:$GV$400,MATCH(ROWS($GW$3:GW255),$GU$3:$GU$400,0),2),""))</f>
        <v/>
      </c>
      <c r="GX255" s="259">
        <f ca="1">IF(OR(GN255="IVA NS/CREDITO",GN255="IVA NS/DEBITO",GN255="IVA C/ACCONTO",GN255="IMPOSTE C/ACCONTO"),MAX($GX$2:GX254)+1,0)</f>
        <v>0</v>
      </c>
      <c r="GY255" s="259" t="str">
        <f ca="1">IF(AND(IFERROR(INDEX($GN$3:$GX$200,MATCH(ROWS($GY$3:GY255),$GX$3:$GX$200,0),1),"")&lt;&gt;"",GY256&lt;&gt;""),CONCATENATE(IFERROR(INDEX($GN$3:$GX$200,MATCH(ROWS($GY$3:GY255),$GX$3:$GX$200,0),1),"")," - "),IFERROR(INDEX($GN$3:$GX$200,MATCH(ROWS($GY$3:GY255),$GX$3:$GX$200,0),1),""))</f>
        <v/>
      </c>
      <c r="JA255" s="259" t="str">
        <f t="shared" ca="1" si="601"/>
        <v/>
      </c>
      <c r="JB255" s="259">
        <f t="shared" ca="1" si="536"/>
        <v>0</v>
      </c>
      <c r="JC255" s="259">
        <f t="shared" ca="1" si="640"/>
        <v>0</v>
      </c>
      <c r="JD255" s="259">
        <f t="shared" ca="1" si="641"/>
        <v>0</v>
      </c>
      <c r="JM255" s="259">
        <f t="shared" ca="1" si="642"/>
        <v>0</v>
      </c>
    </row>
    <row r="256" spans="52:273">
      <c r="AZ256" s="259" t="str">
        <f t="shared" ca="1" si="616"/>
        <v/>
      </c>
      <c r="BA256" s="259">
        <f t="shared" ca="1" si="632"/>
        <v>0</v>
      </c>
      <c r="BB256" s="259">
        <f t="shared" ca="1" si="617"/>
        <v>0</v>
      </c>
      <c r="BC256" s="259">
        <f t="shared" ca="1" si="618"/>
        <v>0</v>
      </c>
      <c r="BD256" s="259">
        <f t="shared" ca="1" si="619"/>
        <v>0</v>
      </c>
      <c r="BE256" s="259">
        <f t="shared" ca="1" si="620"/>
        <v>0</v>
      </c>
      <c r="BQ256" s="259" t="str">
        <f ca="1">IFERROR(INDEX($BN$3:$BO$200,MATCH(ROWS(BQ$3:BQ256),$BP$3:$BP$220,0),1),"")</f>
        <v/>
      </c>
      <c r="CX256" s="259">
        <f t="shared" ref="CX256:CX271" ca="1" si="654">$EA$17</f>
        <v>15</v>
      </c>
      <c r="CY256" s="259" t="str">
        <f t="shared" ca="1" si="643"/>
        <v>MASTRO</v>
      </c>
      <c r="DA256" s="259" t="str">
        <f ca="1">IF(DB255="","","Num. riga")</f>
        <v/>
      </c>
      <c r="DB256" s="259" t="str">
        <f t="shared" ref="DB256" ca="1" si="655">IF(DB255="","","Data")</f>
        <v/>
      </c>
      <c r="DC256" s="259" t="str">
        <f ca="1">IF(DB255="","","Operazioni")</f>
        <v/>
      </c>
      <c r="DD256" s="259" t="str">
        <f ca="1">IF(DB255="","","Dare        ")</f>
        <v/>
      </c>
      <c r="DE256" s="259" t="str">
        <f ca="1">IF(DB255="","","Avere        ")</f>
        <v/>
      </c>
      <c r="DF256" s="259">
        <f ca="1">IF(AND(CX256=$DE$2,$DF$2&lt;&gt;0),0,IF(AND(DB256&lt;&gt;"",OR(DB255&lt;&gt;"",DB257&lt;&gt;"")),MAX($DF$2:DF255)+1,0))</f>
        <v>0</v>
      </c>
      <c r="DG256" s="259" t="str">
        <f>IF(IF(LIBRO_GIORNALE!E164="","",IFERROR(INDEX(PIANO_DEI_CONTI,MATCH(BB256,DENOMINAZIONE,0),1),0))=0,"",IF(LIBRO_GIORNALE!E164="","",IFERROR(INDEX(PIANO_DEI_CONTI,MATCH(BB256,DENOMINAZIONE,0),1),0)))</f>
        <v/>
      </c>
      <c r="EC256" s="259">
        <f>IF(IF(DG256&lt;&gt;"",REPLACE(DG256,3,1,""),0)&lt;&gt;0,MAX(EC$2:EC255)+1,0)</f>
        <v>0</v>
      </c>
      <c r="ED256" s="259">
        <f t="shared" ca="1" si="529"/>
        <v>0</v>
      </c>
      <c r="EL256" s="259">
        <f t="shared" si="577"/>
        <v>254</v>
      </c>
      <c r="EM256" s="259">
        <f ca="1">IF(AND(BA256&gt;0,BA256&lt;=$EM$1),MAX($EM$2:EM255)+1,0)</f>
        <v>0</v>
      </c>
      <c r="EN256" s="259">
        <f t="shared" ca="1" si="578"/>
        <v>256</v>
      </c>
      <c r="EP256" s="259" t="str">
        <f t="shared" ca="1" si="530"/>
        <v/>
      </c>
      <c r="EQ256" s="259">
        <f t="shared" ca="1" si="531"/>
        <v>0</v>
      </c>
      <c r="ER256" s="259">
        <f ca="1">IF(ISNA(EQ256),MAX(ER$2:ER255)+1,0)</f>
        <v>0</v>
      </c>
      <c r="ES256" s="259" t="str">
        <f t="shared" ca="1" si="579"/>
        <v/>
      </c>
      <c r="ET256" s="259" t="str">
        <f ca="1">IFERROR(UPPER(INDEX($ER$3:$ES$500,MATCH(ROWS(ET$3:ET256),$ER$3:$ER$500,0),2)),"")</f>
        <v/>
      </c>
      <c r="EW256" s="259">
        <f t="shared" ca="1" si="633"/>
        <v>1</v>
      </c>
      <c r="EX256" s="259">
        <v>154</v>
      </c>
      <c r="EY256" s="259">
        <f t="shared" ca="1" si="634"/>
        <v>0</v>
      </c>
      <c r="EZ256" s="259">
        <f t="shared" ca="1" si="635"/>
        <v>0</v>
      </c>
      <c r="FA256" s="259">
        <f t="shared" ca="1" si="636"/>
        <v>0</v>
      </c>
      <c r="FB256" s="259">
        <f t="shared" ca="1" si="637"/>
        <v>0</v>
      </c>
      <c r="FC256" s="259">
        <f t="shared" ca="1" si="638"/>
        <v>0</v>
      </c>
      <c r="FD256" s="259">
        <f t="shared" ca="1" si="532"/>
        <v>0</v>
      </c>
      <c r="FE256" s="259" t="str">
        <f t="shared" ca="1" si="533"/>
        <v/>
      </c>
      <c r="FF256" s="259" t="str">
        <f t="shared" ca="1" si="639"/>
        <v/>
      </c>
      <c r="FM256" s="259">
        <f t="shared" si="534"/>
        <v>0</v>
      </c>
      <c r="FN256" s="259">
        <f>IF(FM256&lt;0,MAX($FN$2:FN255)+1,0)</f>
        <v>0</v>
      </c>
      <c r="FO256" s="259" t="str">
        <f t="shared" si="580"/>
        <v/>
      </c>
      <c r="FP256" s="259" t="str">
        <f ca="1">IFERROR(INDEX($FN$3:$FO$400,MATCH(ROWS($FP$3:FP256),$FN$3:$FN$400,0),2),"")</f>
        <v/>
      </c>
      <c r="FQ256" s="259" t="str">
        <f>IF(AE256="SE AVERE",MAX($FQ$2:FQ255)+1,"")</f>
        <v/>
      </c>
      <c r="FR256" s="259" t="str">
        <f>IF(AE256="SE DARE",MAX($FR$2:FR255)+1,"")</f>
        <v/>
      </c>
      <c r="FS256" s="259" t="str">
        <f ca="1">IF(AND(AE256="SP DARE",AA256&lt;&gt;$FS$1,AA256&lt;&gt;$FT$1),MAX($FS$2:FS255)+1,IF(AND(GQ256="SP DARE",AA256&lt;&gt;$FS$1,AA256&lt;&gt;$FT$1),MAX($FS$2:FS255)+1,""))</f>
        <v/>
      </c>
      <c r="FT256" s="259" t="str">
        <f ca="1">IF(AND(AE256="SP AVERE",AA256&lt;&gt;$FU$1),MAX($FT$2:FT255)+1,IF(AND(GQ256="SP AVERE",AA256&lt;&gt;$FU$1),MAX($FT$2:FT255)+1,""))</f>
        <v/>
      </c>
      <c r="FU256" s="259">
        <f t="shared" ca="1" si="581"/>
        <v>0</v>
      </c>
      <c r="FV256" s="259">
        <f t="shared" si="582"/>
        <v>0</v>
      </c>
      <c r="FW256" s="259">
        <f ca="1">IFERROR(INDEX($FU$3:$FV$500,MATCH(ROWS($FW$3:FW256),$FU$3:$FU$500,0),2),0)</f>
        <v>0</v>
      </c>
      <c r="FX256" s="259">
        <f t="shared" ca="1" si="583"/>
        <v>0</v>
      </c>
      <c r="FY256" s="259">
        <f t="shared" ca="1" si="584"/>
        <v>0</v>
      </c>
      <c r="FZ256" s="259">
        <f ca="1">IF(FY256&gt;0,MAX($FZ$2:FZ255)+1,0)</f>
        <v>0</v>
      </c>
      <c r="GA256" s="259">
        <f ca="1">IFERROR(INDEX($FY$3:$FZ$500,MATCH(ROWS($GA$3:GA256),$FZ$3:$FZ$500,0),1),0)</f>
        <v>0</v>
      </c>
      <c r="GC256" s="259">
        <f t="shared" ca="1" si="585"/>
        <v>0</v>
      </c>
      <c r="GD256" s="259">
        <f t="shared" ca="1" si="586"/>
        <v>0</v>
      </c>
      <c r="GG256" s="259">
        <f t="shared" ca="1" si="587"/>
        <v>0</v>
      </c>
      <c r="GH256" s="259">
        <f t="shared" ca="1" si="588"/>
        <v>0</v>
      </c>
      <c r="GI256" s="259">
        <f t="shared" ca="1" si="589"/>
        <v>0</v>
      </c>
      <c r="GJ256" s="259">
        <f t="shared" ca="1" si="590"/>
        <v>0</v>
      </c>
      <c r="GK256" s="259">
        <f t="shared" ca="1" si="591"/>
        <v>0</v>
      </c>
      <c r="GL256" s="259">
        <f t="shared" ca="1" si="591"/>
        <v>0</v>
      </c>
      <c r="GM256" s="259">
        <f ca="1">IF(OR(GK256&gt;0,GL256&gt;0),MAX($GM$2:GM255)+1,0)</f>
        <v>0</v>
      </c>
      <c r="GN256" s="259" t="str">
        <f ca="1">IFERROR(INDEX($GD$3:$GM$400,MATCH(ROWS($GN$3:GN256),$GM$3:$GM$400,0),1),"")</f>
        <v/>
      </c>
      <c r="GO256" s="259" t="str">
        <f ca="1">IFERROR(INDEX($GD$3:$GM$400,MATCH(ROWS($GO$3:GO256),$GM$3:$GM$400,0),8),"")</f>
        <v/>
      </c>
      <c r="GP256" s="259" t="str">
        <f ca="1">IFERROR(INDEX($GD$3:$GM$400,MATCH(ROWS($GP$3:GP256),$GM$3:$GM$400,0),9),"")</f>
        <v/>
      </c>
      <c r="GQ256" s="259">
        <f t="shared" ca="1" si="535"/>
        <v>0</v>
      </c>
      <c r="GR256" s="259">
        <f t="shared" ca="1" si="592"/>
        <v>0</v>
      </c>
      <c r="GS256" s="259" t="str">
        <f t="shared" ca="1" si="593"/>
        <v/>
      </c>
      <c r="GT256" s="259" t="str">
        <f ca="1">IFERROR(INDEX($GD$3:$GS$400,MATCH(ROWS($GT$3:GT256),$GM$3:$GM$400,0),16),"")</f>
        <v/>
      </c>
      <c r="GU256" s="259">
        <f ca="1">IF(GQ256&lt;&gt;0,MAX($GU$2:$GU255)+1,0)</f>
        <v>0</v>
      </c>
      <c r="GV256" s="259">
        <f t="shared" ca="1" si="594"/>
        <v>0</v>
      </c>
      <c r="GW256" s="259" t="str">
        <f ca="1">IF(AND(IFERROR(INDEX($GU$3:$GV$400,MATCH(ROWS($GW$3:GW256),$GU$3:$GU$400,0),2),"")&lt;&gt;"",GW257&lt;&gt;""),CONCATENATE(IFERROR(INDEX($GU$3:$GV$400,MATCH(ROWS($GW$3:GW256),$GU$3:$GU$400,0),2),"")," - "),IFERROR(INDEX($GU$3:$GV$400,MATCH(ROWS($GW$3:GW256),$GU$3:$GU$400,0),2),""))</f>
        <v/>
      </c>
      <c r="GX256" s="259">
        <f ca="1">IF(OR(GN256="IVA NS/CREDITO",GN256="IVA NS/DEBITO",GN256="IVA C/ACCONTO",GN256="IMPOSTE C/ACCONTO"),MAX($GX$2:GX255)+1,0)</f>
        <v>0</v>
      </c>
      <c r="GY256" s="259" t="str">
        <f ca="1">IF(AND(IFERROR(INDEX($GN$3:$GX$200,MATCH(ROWS($GY$3:GY256),$GX$3:$GX$200,0),1),"")&lt;&gt;"",GY257&lt;&gt;""),CONCATENATE(IFERROR(INDEX($GN$3:$GX$200,MATCH(ROWS($GY$3:GY256),$GX$3:$GX$200,0),1),"")," - "),IFERROR(INDEX($GN$3:$GX$200,MATCH(ROWS($GY$3:GY256),$GX$3:$GX$200,0),1),""))</f>
        <v/>
      </c>
      <c r="JA256" s="259" t="str">
        <f t="shared" ca="1" si="601"/>
        <v/>
      </c>
      <c r="JB256" s="259">
        <f t="shared" ca="1" si="536"/>
        <v>0</v>
      </c>
      <c r="JC256" s="259">
        <f t="shared" ca="1" si="640"/>
        <v>0</v>
      </c>
      <c r="JD256" s="259">
        <f t="shared" ca="1" si="641"/>
        <v>0</v>
      </c>
      <c r="JM256" s="259">
        <f t="shared" ca="1" si="642"/>
        <v>0</v>
      </c>
    </row>
    <row r="257" spans="52:273">
      <c r="AZ257" s="259" t="str">
        <f t="shared" ca="1" si="616"/>
        <v/>
      </c>
      <c r="BA257" s="259">
        <f t="shared" ca="1" si="632"/>
        <v>0</v>
      </c>
      <c r="BB257" s="259">
        <f t="shared" ca="1" si="617"/>
        <v>0</v>
      </c>
      <c r="BC257" s="259">
        <f t="shared" ca="1" si="618"/>
        <v>0</v>
      </c>
      <c r="BD257" s="259">
        <f t="shared" ca="1" si="619"/>
        <v>0</v>
      </c>
      <c r="BE257" s="259">
        <f t="shared" ca="1" si="620"/>
        <v>0</v>
      </c>
      <c r="BQ257" s="259" t="str">
        <f ca="1">IFERROR(INDEX($BN$3:$BO$200,MATCH(ROWS(BQ$3:BQ257),$BP$3:$BP$220,0),1),"")</f>
        <v/>
      </c>
      <c r="CX257" s="259">
        <f t="shared" ca="1" si="654"/>
        <v>15</v>
      </c>
      <c r="CY257" s="259" t="str">
        <f t="shared" ca="1" si="643"/>
        <v>MASTRO</v>
      </c>
      <c r="CZ257" s="259" t="e">
        <f t="shared" ref="CZ257:CZ271" ca="1" si="656">SUM(MATCH($CY257,INDIRECT(ADDRESS(SUM(CZ256)+3,54)&amp;":"&amp;ADDRESS(400,54)),0),CZ256)</f>
        <v>#N/A</v>
      </c>
      <c r="DA257" s="259" t="str">
        <f ca="1">IFERROR(INDEX(LIBRO_GIORNALE,CZ257,1),"")</f>
        <v/>
      </c>
      <c r="DB257" s="259" t="str">
        <f t="shared" ref="DB257:DB271" ca="1" si="657">IF(RIGHT(TEXT(IFERROR(INDEX(LIBRO_GIORNALE,CZ257,2),""),"gg/mm/aa"),1)="a",TEXT(IFERROR(INDEX(LIBRO_GIORNALE,CZ257,2),""),"dd/mm/yy"),TEXT(IFERROR(INDEX(LIBRO_GIORNALE,CZ257,2),""),"gg/mm/aa"))</f>
        <v/>
      </c>
      <c r="DC257" s="259" t="str">
        <f t="shared" ref="DC257:DC271" ca="1" si="658">IF(IFERROR(INDEX(LIBRO_GIORNALE,CZ257,4),"")=0,"manca la descrizione dell'operazione",IFERROR(INDEX(LIBRO_GIORNALE,CZ257,4),""))</f>
        <v/>
      </c>
      <c r="DD257" s="259" t="str">
        <f t="shared" ref="DD257:DD271" ca="1" si="659">IFERROR(IF(INDEX(LIBRO_GIORNALE,CZ257,5)&gt;0,INDEX(LIBRO_GIORNALE,CZ257,5),""),"")</f>
        <v/>
      </c>
      <c r="DE257" s="259" t="str">
        <f t="shared" ref="DE257:DE271" ca="1" si="660">IFERROR(IF(INDEX(LIBRO_GIORNALE,CZ257,6)&gt;0,INDEX(LIBRO_GIORNALE,CZ257,6),""),"")</f>
        <v/>
      </c>
      <c r="DF257" s="259">
        <f ca="1">IF(AND(CX257=$DE$2,$DF$2&lt;&gt;0),0,IF(AND(DB257&lt;&gt;"",OR(DB256&lt;&gt;"",DB258&lt;&gt;"")),MAX($DF$2:DF256)+1,0))</f>
        <v>0</v>
      </c>
      <c r="DG257" s="259" t="str">
        <f>IF(IF(LIBRO_GIORNALE!E165="","",IFERROR(INDEX(PIANO_DEI_CONTI,MATCH(BB257,DENOMINAZIONE,0),1),0))=0,"",IF(LIBRO_GIORNALE!E165="","",IFERROR(INDEX(PIANO_DEI_CONTI,MATCH(BB257,DENOMINAZIONE,0),1),0)))</f>
        <v/>
      </c>
      <c r="EC257" s="259">
        <f>IF(IF(DG257&lt;&gt;"",REPLACE(DG257,3,1,""),0)&lt;&gt;0,MAX(EC$2:EC256)+1,0)</f>
        <v>0</v>
      </c>
      <c r="ED257" s="259">
        <f t="shared" ca="1" si="529"/>
        <v>0</v>
      </c>
      <c r="EL257" s="259">
        <f t="shared" si="577"/>
        <v>255</v>
      </c>
      <c r="EM257" s="259">
        <f ca="1">IF(AND(BA257&gt;0,BA257&lt;=$EM$1),MAX($EM$2:EM256)+1,0)</f>
        <v>0</v>
      </c>
      <c r="EN257" s="259">
        <f t="shared" ca="1" si="578"/>
        <v>257</v>
      </c>
      <c r="EP257" s="259" t="str">
        <f t="shared" ca="1" si="530"/>
        <v/>
      </c>
      <c r="EQ257" s="259">
        <f t="shared" ca="1" si="531"/>
        <v>0</v>
      </c>
      <c r="ER257" s="259">
        <f ca="1">IF(ISNA(EQ257),MAX(ER$2:ER256)+1,0)</f>
        <v>0</v>
      </c>
      <c r="ES257" s="259" t="str">
        <f t="shared" ca="1" si="579"/>
        <v/>
      </c>
      <c r="ET257" s="259" t="str">
        <f ca="1">IFERROR(UPPER(INDEX($ER$3:$ES$500,MATCH(ROWS(ET$3:ET257),$ER$3:$ER$500,0),2)),"")</f>
        <v/>
      </c>
      <c r="EW257" s="259">
        <f t="shared" ca="1" si="633"/>
        <v>1</v>
      </c>
      <c r="EX257" s="259">
        <v>155</v>
      </c>
      <c r="EY257" s="259">
        <f t="shared" ca="1" si="634"/>
        <v>0</v>
      </c>
      <c r="EZ257" s="259">
        <f t="shared" ca="1" si="635"/>
        <v>0</v>
      </c>
      <c r="FA257" s="259">
        <f t="shared" ca="1" si="636"/>
        <v>0</v>
      </c>
      <c r="FB257" s="259">
        <f t="shared" ca="1" si="637"/>
        <v>0</v>
      </c>
      <c r="FC257" s="259">
        <f t="shared" ca="1" si="638"/>
        <v>0</v>
      </c>
      <c r="FD257" s="259">
        <f t="shared" ca="1" si="532"/>
        <v>0</v>
      </c>
      <c r="FE257" s="259" t="str">
        <f t="shared" ca="1" si="533"/>
        <v/>
      </c>
      <c r="FF257" s="259" t="str">
        <f t="shared" ca="1" si="639"/>
        <v/>
      </c>
      <c r="FM257" s="259">
        <f t="shared" si="534"/>
        <v>0</v>
      </c>
      <c r="FN257" s="259">
        <f>IF(FM257&lt;0,MAX($FN$2:FN256)+1,0)</f>
        <v>0</v>
      </c>
      <c r="FO257" s="259" t="str">
        <f t="shared" si="580"/>
        <v/>
      </c>
      <c r="FP257" s="259" t="str">
        <f ca="1">IFERROR(INDEX($FN$3:$FO$400,MATCH(ROWS($FP$3:FP257),$FN$3:$FN$400,0),2),"")</f>
        <v/>
      </c>
      <c r="FQ257" s="259" t="str">
        <f>IF(AE257="SE AVERE",MAX($FQ$2:FQ256)+1,"")</f>
        <v/>
      </c>
      <c r="FR257" s="259" t="str">
        <f>IF(AE257="SE DARE",MAX($FR$2:FR256)+1,"")</f>
        <v/>
      </c>
      <c r="FS257" s="259" t="str">
        <f ca="1">IF(AND(AE257="SP DARE",AA257&lt;&gt;$FS$1,AA257&lt;&gt;$FT$1),MAX($FS$2:FS256)+1,IF(AND(GQ257="SP DARE",AA257&lt;&gt;$FS$1,AA257&lt;&gt;$FT$1),MAX($FS$2:FS256)+1,""))</f>
        <v/>
      </c>
      <c r="FT257" s="259" t="str">
        <f ca="1">IF(AND(AE257="SP AVERE",AA257&lt;&gt;$FU$1),MAX($FT$2:FT256)+1,IF(AND(GQ257="SP AVERE",AA257&lt;&gt;$FU$1),MAX($FT$2:FT256)+1,""))</f>
        <v/>
      </c>
      <c r="FU257" s="259">
        <f t="shared" ca="1" si="581"/>
        <v>0</v>
      </c>
      <c r="FV257" s="259">
        <f t="shared" si="582"/>
        <v>0</v>
      </c>
      <c r="FW257" s="259">
        <f ca="1">IFERROR(INDEX($FU$3:$FV$500,MATCH(ROWS($FW$3:FW257),$FU$3:$FU$500,0),2),0)</f>
        <v>0</v>
      </c>
      <c r="FX257" s="259">
        <f t="shared" ca="1" si="583"/>
        <v>0</v>
      </c>
      <c r="FY257" s="259">
        <f t="shared" ca="1" si="584"/>
        <v>0</v>
      </c>
      <c r="FZ257" s="259">
        <f ca="1">IF(FY257&gt;0,MAX($FZ$2:FZ256)+1,0)</f>
        <v>0</v>
      </c>
      <c r="GA257" s="259">
        <f ca="1">IFERROR(INDEX($FY$3:$FZ$500,MATCH(ROWS($GA$3:GA257),$FZ$3:$FZ$500,0),1),0)</f>
        <v>0</v>
      </c>
      <c r="GC257" s="259">
        <f t="shared" ca="1" si="585"/>
        <v>0</v>
      </c>
      <c r="GD257" s="259">
        <f t="shared" ca="1" si="586"/>
        <v>0</v>
      </c>
      <c r="GG257" s="259">
        <f t="shared" ca="1" si="587"/>
        <v>0</v>
      </c>
      <c r="GH257" s="259">
        <f t="shared" ca="1" si="588"/>
        <v>0</v>
      </c>
      <c r="GI257" s="259">
        <f t="shared" ca="1" si="589"/>
        <v>0</v>
      </c>
      <c r="GJ257" s="259">
        <f t="shared" ca="1" si="590"/>
        <v>0</v>
      </c>
      <c r="GK257" s="259">
        <f t="shared" ca="1" si="591"/>
        <v>0</v>
      </c>
      <c r="GL257" s="259">
        <f t="shared" ca="1" si="591"/>
        <v>0</v>
      </c>
      <c r="GM257" s="259">
        <f ca="1">IF(OR(GK257&gt;0,GL257&gt;0),MAX($GM$2:GM256)+1,0)</f>
        <v>0</v>
      </c>
      <c r="GN257" s="259" t="str">
        <f ca="1">IFERROR(INDEX($GD$3:$GM$400,MATCH(ROWS($GN$3:GN257),$GM$3:$GM$400,0),1),"")</f>
        <v/>
      </c>
      <c r="GO257" s="259" t="str">
        <f ca="1">IFERROR(INDEX($GD$3:$GM$400,MATCH(ROWS($GO$3:GO257),$GM$3:$GM$400,0),8),"")</f>
        <v/>
      </c>
      <c r="GP257" s="259" t="str">
        <f ca="1">IFERROR(INDEX($GD$3:$GM$400,MATCH(ROWS($GP$3:GP257),$GM$3:$GM$400,0),9),"")</f>
        <v/>
      </c>
      <c r="GQ257" s="259">
        <f t="shared" ca="1" si="535"/>
        <v>0</v>
      </c>
      <c r="GR257" s="259">
        <f t="shared" ca="1" si="592"/>
        <v>0</v>
      </c>
      <c r="GS257" s="259" t="str">
        <f t="shared" ca="1" si="593"/>
        <v/>
      </c>
      <c r="GT257" s="259" t="str">
        <f ca="1">IFERROR(INDEX($GD$3:$GS$400,MATCH(ROWS($GT$3:GT257),$GM$3:$GM$400,0),16),"")</f>
        <v/>
      </c>
      <c r="GU257" s="259">
        <f ca="1">IF(GQ257&lt;&gt;0,MAX($GU$2:$GU256)+1,0)</f>
        <v>0</v>
      </c>
      <c r="GV257" s="259">
        <f t="shared" ca="1" si="594"/>
        <v>0</v>
      </c>
      <c r="GW257" s="259" t="str">
        <f ca="1">IF(AND(IFERROR(INDEX($GU$3:$GV$400,MATCH(ROWS($GW$3:GW257),$GU$3:$GU$400,0),2),"")&lt;&gt;"",GW258&lt;&gt;""),CONCATENATE(IFERROR(INDEX($GU$3:$GV$400,MATCH(ROWS($GW$3:GW257),$GU$3:$GU$400,0),2),"")," - "),IFERROR(INDEX($GU$3:$GV$400,MATCH(ROWS($GW$3:GW257),$GU$3:$GU$400,0),2),""))</f>
        <v/>
      </c>
      <c r="GX257" s="259">
        <f ca="1">IF(OR(GN257="IVA NS/CREDITO",GN257="IVA NS/DEBITO",GN257="IVA C/ACCONTO",GN257="IMPOSTE C/ACCONTO"),MAX($GX$2:GX256)+1,0)</f>
        <v>0</v>
      </c>
      <c r="GY257" s="259" t="str">
        <f ca="1">IF(AND(IFERROR(INDEX($GN$3:$GX$200,MATCH(ROWS($GY$3:GY257),$GX$3:$GX$200,0),1),"")&lt;&gt;"",GY258&lt;&gt;""),CONCATENATE(IFERROR(INDEX($GN$3:$GX$200,MATCH(ROWS($GY$3:GY257),$GX$3:$GX$200,0),1),"")," - "),IFERROR(INDEX($GN$3:$GX$200,MATCH(ROWS($GY$3:GY257),$GX$3:$GX$200,0),1),""))</f>
        <v/>
      </c>
      <c r="JA257" s="259" t="str">
        <f t="shared" ca="1" si="601"/>
        <v/>
      </c>
      <c r="JB257" s="259">
        <f t="shared" ca="1" si="536"/>
        <v>0</v>
      </c>
      <c r="JC257" s="259">
        <f t="shared" ca="1" si="640"/>
        <v>0</v>
      </c>
      <c r="JD257" s="259">
        <f t="shared" ca="1" si="641"/>
        <v>0</v>
      </c>
      <c r="JM257" s="259">
        <f t="shared" ca="1" si="642"/>
        <v>0</v>
      </c>
    </row>
    <row r="258" spans="52:273">
      <c r="AZ258" s="259" t="str">
        <f t="shared" ca="1" si="616"/>
        <v/>
      </c>
      <c r="BA258" s="259">
        <f t="shared" ca="1" si="632"/>
        <v>0</v>
      </c>
      <c r="BB258" s="259">
        <f t="shared" ca="1" si="617"/>
        <v>0</v>
      </c>
      <c r="BC258" s="259">
        <f t="shared" ca="1" si="618"/>
        <v>0</v>
      </c>
      <c r="BD258" s="259">
        <f t="shared" ca="1" si="619"/>
        <v>0</v>
      </c>
      <c r="BE258" s="259">
        <f t="shared" ca="1" si="620"/>
        <v>0</v>
      </c>
      <c r="BQ258" s="259" t="str">
        <f ca="1">IFERROR(INDEX($BN$3:$BO$200,MATCH(ROWS(BQ$3:BQ258),$BP$3:$BP$220,0),1),"")</f>
        <v/>
      </c>
      <c r="CX258" s="259">
        <f t="shared" ca="1" si="654"/>
        <v>15</v>
      </c>
      <c r="CY258" s="259" t="str">
        <f t="shared" ca="1" si="643"/>
        <v>MASTRO</v>
      </c>
      <c r="CZ258" s="259" t="e">
        <f t="shared" ca="1" si="656"/>
        <v>#N/A</v>
      </c>
      <c r="DA258" s="259" t="str">
        <f t="shared" ref="DA258:DA271" ca="1" si="661">IFERROR(INDEX(LIBRO_GIORNALE,CZ258,1),"")</f>
        <v/>
      </c>
      <c r="DB258" s="259" t="str">
        <f t="shared" ca="1" si="657"/>
        <v/>
      </c>
      <c r="DC258" s="259" t="str">
        <f t="shared" ca="1" si="658"/>
        <v/>
      </c>
      <c r="DD258" s="259" t="str">
        <f t="shared" ca="1" si="659"/>
        <v/>
      </c>
      <c r="DE258" s="259" t="str">
        <f t="shared" ca="1" si="660"/>
        <v/>
      </c>
      <c r="DF258" s="259">
        <f ca="1">IF(AND(CX258=$DE$2,$DF$2&lt;&gt;0),0,IF(AND(DB258&lt;&gt;"",OR(DB257&lt;&gt;"",DB259&lt;&gt;"")),MAX($DF$2:DF257)+1,0))</f>
        <v>0</v>
      </c>
      <c r="DG258" s="259" t="str">
        <f>IF(IF(LIBRO_GIORNALE!E166="","",IFERROR(INDEX(PIANO_DEI_CONTI,MATCH(BB258,DENOMINAZIONE,0),1),0))=0,"",IF(LIBRO_GIORNALE!E166="","",IFERROR(INDEX(PIANO_DEI_CONTI,MATCH(BB258,DENOMINAZIONE,0),1),0)))</f>
        <v/>
      </c>
      <c r="EC258" s="259">
        <f>IF(IF(DG258&lt;&gt;"",REPLACE(DG258,3,1,""),0)&lt;&gt;0,MAX(EC$2:EC257)+1,0)</f>
        <v>0</v>
      </c>
      <c r="ED258" s="259">
        <f t="shared" ca="1" si="529"/>
        <v>0</v>
      </c>
      <c r="EL258" s="259">
        <f t="shared" si="577"/>
        <v>256</v>
      </c>
      <c r="EM258" s="259">
        <f ca="1">IF(AND(BA258&gt;0,BA258&lt;=$EM$1),MAX($EM$2:EM257)+1,0)</f>
        <v>0</v>
      </c>
      <c r="EN258" s="259">
        <f t="shared" ca="1" si="578"/>
        <v>258</v>
      </c>
      <c r="EP258" s="259" t="str">
        <f t="shared" ca="1" si="530"/>
        <v/>
      </c>
      <c r="EQ258" s="259">
        <f t="shared" ca="1" si="531"/>
        <v>0</v>
      </c>
      <c r="ER258" s="259">
        <f ca="1">IF(ISNA(EQ258),MAX(ER$2:ER257)+1,0)</f>
        <v>0</v>
      </c>
      <c r="ES258" s="259" t="str">
        <f t="shared" ca="1" si="579"/>
        <v/>
      </c>
      <c r="ET258" s="259" t="str">
        <f ca="1">IFERROR(UPPER(INDEX($ER$3:$ES$500,MATCH(ROWS(ET$3:ET258),$ER$3:$ER$500,0),2)),"")</f>
        <v/>
      </c>
      <c r="EW258" s="259">
        <f t="shared" ca="1" si="633"/>
        <v>1</v>
      </c>
      <c r="EX258" s="259">
        <v>156</v>
      </c>
      <c r="EY258" s="259">
        <f t="shared" ca="1" si="634"/>
        <v>0</v>
      </c>
      <c r="EZ258" s="259">
        <f t="shared" ca="1" si="635"/>
        <v>0</v>
      </c>
      <c r="FA258" s="259">
        <f t="shared" ca="1" si="636"/>
        <v>0</v>
      </c>
      <c r="FB258" s="259">
        <f t="shared" ca="1" si="637"/>
        <v>0</v>
      </c>
      <c r="FC258" s="259">
        <f t="shared" ca="1" si="638"/>
        <v>0</v>
      </c>
      <c r="FD258" s="259">
        <f t="shared" ca="1" si="532"/>
        <v>0</v>
      </c>
      <c r="FE258" s="259" t="str">
        <f t="shared" ca="1" si="533"/>
        <v/>
      </c>
      <c r="FF258" s="259" t="str">
        <f t="shared" ca="1" si="639"/>
        <v/>
      </c>
      <c r="FM258" s="259">
        <f t="shared" si="534"/>
        <v>0</v>
      </c>
      <c r="FN258" s="259">
        <f>IF(FM258&lt;0,MAX($FN$2:FN257)+1,0)</f>
        <v>0</v>
      </c>
      <c r="FO258" s="259" t="str">
        <f t="shared" si="580"/>
        <v/>
      </c>
      <c r="FP258" s="259" t="str">
        <f ca="1">IFERROR(INDEX($FN$3:$FO$400,MATCH(ROWS($FP$3:FP258),$FN$3:$FN$400,0),2),"")</f>
        <v/>
      </c>
      <c r="FQ258" s="259" t="str">
        <f>IF(AE258="SE AVERE",MAX($FQ$2:FQ257)+1,"")</f>
        <v/>
      </c>
      <c r="FR258" s="259" t="str">
        <f>IF(AE258="SE DARE",MAX($FR$2:FR257)+1,"")</f>
        <v/>
      </c>
      <c r="FS258" s="259" t="str">
        <f ca="1">IF(AND(AE258="SP DARE",AA258&lt;&gt;$FS$1,AA258&lt;&gt;$FT$1),MAX($FS$2:FS257)+1,IF(AND(GQ258="SP DARE",AA258&lt;&gt;$FS$1,AA258&lt;&gt;$FT$1),MAX($FS$2:FS257)+1,""))</f>
        <v/>
      </c>
      <c r="FT258" s="259" t="str">
        <f ca="1">IF(AND(AE258="SP AVERE",AA258&lt;&gt;$FU$1),MAX($FT$2:FT257)+1,IF(AND(GQ258="SP AVERE",AA258&lt;&gt;$FU$1),MAX($FT$2:FT257)+1,""))</f>
        <v/>
      </c>
      <c r="FU258" s="259">
        <f t="shared" ca="1" si="581"/>
        <v>0</v>
      </c>
      <c r="FV258" s="259">
        <f t="shared" si="582"/>
        <v>0</v>
      </c>
      <c r="FW258" s="259">
        <f ca="1">IFERROR(INDEX($FU$3:$FV$500,MATCH(ROWS($FW$3:FW258),$FU$3:$FU$500,0),2),0)</f>
        <v>0</v>
      </c>
      <c r="FX258" s="259">
        <f t="shared" ca="1" si="583"/>
        <v>0</v>
      </c>
      <c r="FY258" s="259">
        <f t="shared" ca="1" si="584"/>
        <v>0</v>
      </c>
      <c r="FZ258" s="259">
        <f ca="1">IF(FY258&gt;0,MAX($FZ$2:FZ257)+1,0)</f>
        <v>0</v>
      </c>
      <c r="GA258" s="259">
        <f ca="1">IFERROR(INDEX($FY$3:$FZ$500,MATCH(ROWS($GA$3:GA258),$FZ$3:$FZ$500,0),1),0)</f>
        <v>0</v>
      </c>
      <c r="GC258" s="259">
        <f t="shared" ca="1" si="585"/>
        <v>0</v>
      </c>
      <c r="GD258" s="259">
        <f t="shared" ca="1" si="586"/>
        <v>0</v>
      </c>
      <c r="GG258" s="259">
        <f t="shared" ca="1" si="587"/>
        <v>0</v>
      </c>
      <c r="GH258" s="259">
        <f t="shared" ca="1" si="588"/>
        <v>0</v>
      </c>
      <c r="GI258" s="259">
        <f t="shared" ca="1" si="589"/>
        <v>0</v>
      </c>
      <c r="GJ258" s="259">
        <f t="shared" ca="1" si="590"/>
        <v>0</v>
      </c>
      <c r="GK258" s="259">
        <f t="shared" ca="1" si="591"/>
        <v>0</v>
      </c>
      <c r="GL258" s="259">
        <f t="shared" ca="1" si="591"/>
        <v>0</v>
      </c>
      <c r="GM258" s="259">
        <f ca="1">IF(OR(GK258&gt;0,GL258&gt;0),MAX($GM$2:GM257)+1,0)</f>
        <v>0</v>
      </c>
      <c r="GN258" s="259" t="str">
        <f ca="1">IFERROR(INDEX($GD$3:$GM$400,MATCH(ROWS($GN$3:GN258),$GM$3:$GM$400,0),1),"")</f>
        <v/>
      </c>
      <c r="GO258" s="259" t="str">
        <f ca="1">IFERROR(INDEX($GD$3:$GM$400,MATCH(ROWS($GO$3:GO258),$GM$3:$GM$400,0),8),"")</f>
        <v/>
      </c>
      <c r="GP258" s="259" t="str">
        <f ca="1">IFERROR(INDEX($GD$3:$GM$400,MATCH(ROWS($GP$3:GP258),$GM$3:$GM$400,0),9),"")</f>
        <v/>
      </c>
      <c r="GQ258" s="259">
        <f t="shared" ca="1" si="535"/>
        <v>0</v>
      </c>
      <c r="GR258" s="259">
        <f t="shared" ca="1" si="592"/>
        <v>0</v>
      </c>
      <c r="GS258" s="259" t="str">
        <f t="shared" ca="1" si="593"/>
        <v/>
      </c>
      <c r="GT258" s="259" t="str">
        <f ca="1">IFERROR(INDEX($GD$3:$GS$400,MATCH(ROWS($GT$3:GT258),$GM$3:$GM$400,0),16),"")</f>
        <v/>
      </c>
      <c r="GU258" s="259">
        <f ca="1">IF(GQ258&lt;&gt;0,MAX($GU$2:$GU257)+1,0)</f>
        <v>0</v>
      </c>
      <c r="GV258" s="259">
        <f t="shared" ca="1" si="594"/>
        <v>0</v>
      </c>
      <c r="GW258" s="259" t="str">
        <f ca="1">IF(AND(IFERROR(INDEX($GU$3:$GV$400,MATCH(ROWS($GW$3:GW258),$GU$3:$GU$400,0),2),"")&lt;&gt;"",GW259&lt;&gt;""),CONCATENATE(IFERROR(INDEX($GU$3:$GV$400,MATCH(ROWS($GW$3:GW258),$GU$3:$GU$400,0),2),"")," - "),IFERROR(INDEX($GU$3:$GV$400,MATCH(ROWS($GW$3:GW258),$GU$3:$GU$400,0),2),""))</f>
        <v/>
      </c>
      <c r="GX258" s="259">
        <f ca="1">IF(OR(GN258="IVA NS/CREDITO",GN258="IVA NS/DEBITO",GN258="IVA C/ACCONTO",GN258="IMPOSTE C/ACCONTO"),MAX($GX$2:GX257)+1,0)</f>
        <v>0</v>
      </c>
      <c r="GY258" s="259" t="str">
        <f ca="1">IF(AND(IFERROR(INDEX($GN$3:$GX$200,MATCH(ROWS($GY$3:GY258),$GX$3:$GX$200,0),1),"")&lt;&gt;"",GY259&lt;&gt;""),CONCATENATE(IFERROR(INDEX($GN$3:$GX$200,MATCH(ROWS($GY$3:GY258),$GX$3:$GX$200,0),1),"")," - "),IFERROR(INDEX($GN$3:$GX$200,MATCH(ROWS($GY$3:GY258),$GX$3:$GX$200,0),1),""))</f>
        <v/>
      </c>
      <c r="JA258" s="259" t="str">
        <f t="shared" ca="1" si="601"/>
        <v/>
      </c>
      <c r="JB258" s="259">
        <f t="shared" ca="1" si="536"/>
        <v>0</v>
      </c>
      <c r="JC258" s="259">
        <f t="shared" ca="1" si="640"/>
        <v>0</v>
      </c>
      <c r="JD258" s="259">
        <f t="shared" ca="1" si="641"/>
        <v>0</v>
      </c>
      <c r="JM258" s="259">
        <f t="shared" ca="1" si="642"/>
        <v>0</v>
      </c>
    </row>
    <row r="259" spans="52:273">
      <c r="AZ259" s="259" t="str">
        <f t="shared" ca="1" si="616"/>
        <v/>
      </c>
      <c r="BA259" s="259">
        <f t="shared" ca="1" si="632"/>
        <v>0</v>
      </c>
      <c r="BB259" s="259">
        <f t="shared" ca="1" si="617"/>
        <v>0</v>
      </c>
      <c r="BC259" s="259">
        <f t="shared" ca="1" si="618"/>
        <v>0</v>
      </c>
      <c r="BD259" s="259">
        <f t="shared" ca="1" si="619"/>
        <v>0</v>
      </c>
      <c r="BE259" s="259">
        <f t="shared" ca="1" si="620"/>
        <v>0</v>
      </c>
      <c r="BQ259" s="259" t="str">
        <f ca="1">IFERROR(INDEX($BN$3:$BO$200,MATCH(ROWS(BQ$3:BQ259),$BP$3:$BP$220,0),1),"")</f>
        <v/>
      </c>
      <c r="CX259" s="259">
        <f t="shared" ca="1" si="654"/>
        <v>15</v>
      </c>
      <c r="CY259" s="259" t="str">
        <f t="shared" ca="1" si="643"/>
        <v>MASTRO</v>
      </c>
      <c r="CZ259" s="259" t="e">
        <f t="shared" ca="1" si="656"/>
        <v>#N/A</v>
      </c>
      <c r="DA259" s="259" t="str">
        <f t="shared" ca="1" si="661"/>
        <v/>
      </c>
      <c r="DB259" s="259" t="str">
        <f t="shared" ca="1" si="657"/>
        <v/>
      </c>
      <c r="DC259" s="259" t="str">
        <f t="shared" ca="1" si="658"/>
        <v/>
      </c>
      <c r="DD259" s="259" t="str">
        <f t="shared" ca="1" si="659"/>
        <v/>
      </c>
      <c r="DE259" s="259" t="str">
        <f t="shared" ca="1" si="660"/>
        <v/>
      </c>
      <c r="DF259" s="259">
        <f ca="1">IF(AND(CX259=$DE$2,$DF$2&lt;&gt;0),0,IF(AND(DB259&lt;&gt;"",OR(DB258&lt;&gt;"",DB260&lt;&gt;"")),MAX($DF$2:DF258)+1,0))</f>
        <v>0</v>
      </c>
      <c r="DG259" s="259" t="str">
        <f>IF(IF(LIBRO_GIORNALE!E167="","",IFERROR(INDEX(PIANO_DEI_CONTI,MATCH(BB259,DENOMINAZIONE,0),1),0))=0,"",IF(LIBRO_GIORNALE!E167="","",IFERROR(INDEX(PIANO_DEI_CONTI,MATCH(BB259,DENOMINAZIONE,0),1),0)))</f>
        <v/>
      </c>
      <c r="EC259" s="259">
        <f>IF(IF(DG259&lt;&gt;"",REPLACE(DG259,3,1,""),0)&lt;&gt;0,MAX(EC$2:EC258)+1,0)</f>
        <v>0</v>
      </c>
      <c r="ED259" s="259">
        <f t="shared" ref="ED259:ED322" ca="1" si="662">IFERROR(INDEX(PIANO_DEI_CONTI,MATCH(BB259,DENOMINAZIONE,0),5),"")</f>
        <v>0</v>
      </c>
      <c r="EL259" s="259">
        <f t="shared" si="577"/>
        <v>257</v>
      </c>
      <c r="EM259" s="259">
        <f ca="1">IF(AND(BA259&gt;0,BA259&lt;=$EM$1),MAX($EM$2:EM258)+1,0)</f>
        <v>0</v>
      </c>
      <c r="EN259" s="259">
        <f t="shared" ca="1" si="578"/>
        <v>259</v>
      </c>
      <c r="EP259" s="259" t="str">
        <f t="shared" ref="EP259:EP322" ca="1" si="663">IFERROR(INDEX(PIANO_DEI_CONTI,MATCH(EZ259,DENOMINAZIONE,0),7),"")</f>
        <v/>
      </c>
      <c r="EQ259" s="259">
        <f t="shared" ref="EQ259:EQ322" ca="1" si="664">IF(AND(EZ259&lt;&gt;0,EY259&lt;=FINE_AC),INDEX(PIANO_DEI_CONTI,MATCH(EZ259,DENOMINAZIONE,0),1),0)</f>
        <v>0</v>
      </c>
      <c r="ER259" s="259">
        <f ca="1">IF(ISNA(EQ259),MAX(ER$2:ER258)+1,0)</f>
        <v>0</v>
      </c>
      <c r="ES259" s="259" t="str">
        <f t="shared" ca="1" si="579"/>
        <v/>
      </c>
      <c r="ET259" s="259" t="str">
        <f ca="1">IFERROR(UPPER(INDEX($ER$3:$ES$500,MATCH(ROWS(ET$3:ET259),$ER$3:$ER$500,0),2)),"")</f>
        <v/>
      </c>
      <c r="EW259" s="259">
        <f t="shared" ca="1" si="633"/>
        <v>1</v>
      </c>
      <c r="EX259" s="259">
        <v>157</v>
      </c>
      <c r="EY259" s="259">
        <f t="shared" ca="1" si="634"/>
        <v>0</v>
      </c>
      <c r="EZ259" s="259">
        <f t="shared" ca="1" si="635"/>
        <v>0</v>
      </c>
      <c r="FA259" s="259">
        <f t="shared" ca="1" si="636"/>
        <v>0</v>
      </c>
      <c r="FB259" s="259">
        <f t="shared" ca="1" si="637"/>
        <v>0</v>
      </c>
      <c r="FC259" s="259">
        <f t="shared" ca="1" si="638"/>
        <v>0</v>
      </c>
      <c r="FD259" s="259">
        <f t="shared" ref="FD259:FD322" ca="1" si="665">IFERROR(INDEX(PIANO_DEI_CONTI,MATCH(EZ259,DENOMINAZIONE,0),6),"")</f>
        <v>0</v>
      </c>
      <c r="FE259" s="259" t="str">
        <f t="shared" ref="FE259:FE322" ca="1" si="666">IFERROR(IF(EZ259&lt;&gt;0,INDEX(PIANO_DEI_CONTI,MATCH(EZ259,DENOMINAZIONE,0),1),""),"")</f>
        <v/>
      </c>
      <c r="FF259" s="259" t="str">
        <f t="shared" ca="1" si="639"/>
        <v/>
      </c>
      <c r="FM259" s="259">
        <f t="shared" ref="FM259:FM322" si="667">IF(AND(AC259="d",AE259="SP DARE"),SUMIFS(dare_grezzo,den_grezzo,AA259,data_grezzo,"&lt;="&amp;FINE_AC,data_grezzo,"&gt;="&amp;INIZIO_A_PC)-SUMIFS(avere_grezzo,den_grezzo,AA259,data_grezzo,"&lt;="&amp;FINE_AC,data_grezzo,"&gt;="&amp;INIZIO_A_PC),IF(AND(AC259="a",AE259="SP AVERE"),SUMIFS(avere_grezzo,den_grezzo,AA259,data_grezzo,"&lt;="&amp;FINE_AC,data_grezzo,"&gt;="&amp;INIZIO_A_PC)-SUMIFS(dare_grezzo,den_grezzo,AA259,data_grezzo,"&lt;="&amp;FINE_AC,data_grezzo,"&gt;="&amp;INIZIO_A_PC),IF(AND(AC259="d",AE259="SE DARE"),SUMIFS(dare_grezzo,den_grezzo,AA259,data_grezzo,"&lt;="&amp;FINE_AC,data_grezzo,"&gt;="&amp;INIZIO_A_PC)-SUMIFS(avere_grezzo,den_grezzo,AA259,data_grezzo,"&lt;="&amp;FINE_AC,data_grezzo,"&gt;="&amp;INIZIO_A_PC),IF(AND(AC259="a",AE259="SE AVERE"),SUMIFS(avere_grezzo,den_grezzo,AA259,data_grezzo,"&lt;="&amp;FINE_AC,data_grezzo,"&gt;="&amp;INIZIO_A_PC)-SUMIFS(dare_grezzo,den_grezzo,AA259,data_grezzo,"&lt;="&amp;FINE_AC,data_grezzo,"&gt;="&amp;INIZIO_A_PC),0))))</f>
        <v>0</v>
      </c>
      <c r="FN259" s="259">
        <f>IF(FM259&lt;0,MAX($FN$2:FN258)+1,0)</f>
        <v>0</v>
      </c>
      <c r="FO259" s="259" t="str">
        <f t="shared" si="580"/>
        <v/>
      </c>
      <c r="FP259" s="259" t="str">
        <f ca="1">IFERROR(INDEX($FN$3:$FO$400,MATCH(ROWS($FP$3:FP259),$FN$3:$FN$400,0),2),"")</f>
        <v/>
      </c>
      <c r="FQ259" s="259" t="str">
        <f>IF(AE259="SE AVERE",MAX($FQ$2:FQ258)+1,"")</f>
        <v/>
      </c>
      <c r="FR259" s="259" t="str">
        <f>IF(AE259="SE DARE",MAX($FR$2:FR258)+1,"")</f>
        <v/>
      </c>
      <c r="FS259" s="259" t="str">
        <f ca="1">IF(AND(AE259="SP DARE",AA259&lt;&gt;$FS$1,AA259&lt;&gt;$FT$1),MAX($FS$2:FS258)+1,IF(AND(GQ259="SP DARE",AA259&lt;&gt;$FS$1,AA259&lt;&gt;$FT$1),MAX($FS$2:FS258)+1,""))</f>
        <v/>
      </c>
      <c r="FT259" s="259" t="str">
        <f ca="1">IF(AND(AE259="SP AVERE",AA259&lt;&gt;$FU$1),MAX($FT$2:FT258)+1,IF(AND(GQ259="SP AVERE",AA259&lt;&gt;$FU$1),MAX($FT$2:FT258)+1,""))</f>
        <v/>
      </c>
      <c r="FU259" s="259">
        <f t="shared" ca="1" si="581"/>
        <v>0</v>
      </c>
      <c r="FV259" s="259">
        <f t="shared" si="582"/>
        <v>0</v>
      </c>
      <c r="FW259" s="259">
        <f ca="1">IFERROR(INDEX($FU$3:$FV$500,MATCH(ROWS($FW$3:FW259),$FU$3:$FU$500,0),2),0)</f>
        <v>0</v>
      </c>
      <c r="FX259" s="259">
        <f t="shared" ca="1" si="583"/>
        <v>0</v>
      </c>
      <c r="FY259" s="259">
        <f t="shared" ca="1" si="584"/>
        <v>0</v>
      </c>
      <c r="FZ259" s="259">
        <f ca="1">IF(FY259&gt;0,MAX($FZ$2:FZ258)+1,0)</f>
        <v>0</v>
      </c>
      <c r="GA259" s="259">
        <f ca="1">IFERROR(INDEX($FY$3:$FZ$500,MATCH(ROWS($GA$3:GA259),$FZ$3:$FZ$500,0),1),0)</f>
        <v>0</v>
      </c>
      <c r="GC259" s="259">
        <f t="shared" ca="1" si="585"/>
        <v>0</v>
      </c>
      <c r="GD259" s="259">
        <f t="shared" ca="1" si="586"/>
        <v>0</v>
      </c>
      <c r="GG259" s="259">
        <f t="shared" ca="1" si="587"/>
        <v>0</v>
      </c>
      <c r="GH259" s="259">
        <f t="shared" ca="1" si="588"/>
        <v>0</v>
      </c>
      <c r="GI259" s="259">
        <f t="shared" ca="1" si="589"/>
        <v>0</v>
      </c>
      <c r="GJ259" s="259">
        <f t="shared" ca="1" si="590"/>
        <v>0</v>
      </c>
      <c r="GK259" s="259">
        <f t="shared" ca="1" si="591"/>
        <v>0</v>
      </c>
      <c r="GL259" s="259">
        <f t="shared" ca="1" si="591"/>
        <v>0</v>
      </c>
      <c r="GM259" s="259">
        <f ca="1">IF(OR(GK259&gt;0,GL259&gt;0),MAX($GM$2:GM258)+1,0)</f>
        <v>0</v>
      </c>
      <c r="GN259" s="259" t="str">
        <f ca="1">IFERROR(INDEX($GD$3:$GM$400,MATCH(ROWS($GN$3:GN259),$GM$3:$GM$400,0),1),"")</f>
        <v/>
      </c>
      <c r="GO259" s="259" t="str">
        <f ca="1">IFERROR(INDEX($GD$3:$GM$400,MATCH(ROWS($GO$3:GO259),$GM$3:$GM$400,0),8),"")</f>
        <v/>
      </c>
      <c r="GP259" s="259" t="str">
        <f ca="1">IFERROR(INDEX($GD$3:$GM$400,MATCH(ROWS($GP$3:GP259),$GM$3:$GM$400,0),9),"")</f>
        <v/>
      </c>
      <c r="GQ259" s="259">
        <f t="shared" ref="GQ259:GQ322" ca="1" si="668">IF(AND(AE259="sp dare/avere",SUMIFS(dare_grezzo,den_grezzo,"="&amp;AA259,data_grezzo,"&gt;="&amp;INIZIO_A_PC,data_grezzo,"&lt;="&amp;FINE_AC)&gt;SUMIFS(avere_grezzo,den_grezzo,"="&amp;AA259,data_grezzo,"&gt;="&amp;INIZIO_A_PC,data_grezzo,"&lt;="&amp;FINE_AC)),"SP DARE",IF(AND(AE259="sp dare/avere",SUMIFS(dare_grezzo,den_grezzo,"="&amp;AA259,data_grezzo,"&gt;="&amp;INIZIO_A_PC,data_grezzo,"&lt;="&amp;FINE_AC)&lt;SUMIFS(avere_grezzo,den_grezzo,"="&amp;AA259,data_grezzo,"&gt;="&amp;INIZIO_A_PC,data_grezzo,"&lt;="&amp;FINE_AC)),"SP AVERE",0))</f>
        <v>0</v>
      </c>
      <c r="GR259" s="259">
        <f t="shared" ca="1" si="592"/>
        <v>0</v>
      </c>
      <c r="GS259" s="259" t="str">
        <f t="shared" ca="1" si="593"/>
        <v/>
      </c>
      <c r="GT259" s="259" t="str">
        <f ca="1">IFERROR(INDEX($GD$3:$GS$400,MATCH(ROWS($GT$3:GT259),$GM$3:$GM$400,0),16),"")</f>
        <v/>
      </c>
      <c r="GU259" s="259">
        <f ca="1">IF(GQ259&lt;&gt;0,MAX($GU$2:$GU258)+1,0)</f>
        <v>0</v>
      </c>
      <c r="GV259" s="259">
        <f t="shared" ca="1" si="594"/>
        <v>0</v>
      </c>
      <c r="GW259" s="259" t="str">
        <f ca="1">IF(AND(IFERROR(INDEX($GU$3:$GV$400,MATCH(ROWS($GW$3:GW259),$GU$3:$GU$400,0),2),"")&lt;&gt;"",GW260&lt;&gt;""),CONCATENATE(IFERROR(INDEX($GU$3:$GV$400,MATCH(ROWS($GW$3:GW259),$GU$3:$GU$400,0),2),"")," - "),IFERROR(INDEX($GU$3:$GV$400,MATCH(ROWS($GW$3:GW259),$GU$3:$GU$400,0),2),""))</f>
        <v/>
      </c>
      <c r="GX259" s="259">
        <f ca="1">IF(OR(GN259="IVA NS/CREDITO",GN259="IVA NS/DEBITO",GN259="IVA C/ACCONTO",GN259="IMPOSTE C/ACCONTO"),MAX($GX$2:GX258)+1,0)</f>
        <v>0</v>
      </c>
      <c r="GY259" s="259" t="str">
        <f ca="1">IF(AND(IFERROR(INDEX($GN$3:$GX$200,MATCH(ROWS($GY$3:GY259),$GX$3:$GX$200,0),1),"")&lt;&gt;"",GY260&lt;&gt;""),CONCATENATE(IFERROR(INDEX($GN$3:$GX$200,MATCH(ROWS($GY$3:GY259),$GX$3:$GX$200,0),1),"")," - "),IFERROR(INDEX($GN$3:$GX$200,MATCH(ROWS($GY$3:GY259),$GX$3:$GX$200,0),1),""))</f>
        <v/>
      </c>
      <c r="JA259" s="259" t="str">
        <f t="shared" ca="1" si="601"/>
        <v/>
      </c>
      <c r="JB259" s="259">
        <f t="shared" ref="JB259:JB322" ca="1" si="669">IFERROR(INDEX(PIANO_DEI_CONTI,MATCH(EZ259,DENOMINAZIONE,0),5),"")</f>
        <v>0</v>
      </c>
      <c r="JC259" s="259">
        <f t="shared" ca="1" si="640"/>
        <v>0</v>
      </c>
      <c r="JD259" s="259">
        <f t="shared" ca="1" si="641"/>
        <v>0</v>
      </c>
      <c r="JM259" s="259">
        <f t="shared" ca="1" si="642"/>
        <v>0</v>
      </c>
    </row>
    <row r="260" spans="52:273">
      <c r="AZ260" s="259" t="str">
        <f t="shared" ca="1" si="616"/>
        <v/>
      </c>
      <c r="BA260" s="259">
        <f t="shared" ca="1" si="632"/>
        <v>0</v>
      </c>
      <c r="BB260" s="259">
        <f t="shared" ca="1" si="617"/>
        <v>0</v>
      </c>
      <c r="BC260" s="259">
        <f t="shared" ca="1" si="618"/>
        <v>0</v>
      </c>
      <c r="BD260" s="259">
        <f t="shared" ca="1" si="619"/>
        <v>0</v>
      </c>
      <c r="BE260" s="259">
        <f t="shared" ca="1" si="620"/>
        <v>0</v>
      </c>
      <c r="BQ260" s="259" t="str">
        <f ca="1">IFERROR(INDEX($BN$3:$BO$200,MATCH(ROWS(BQ$3:BQ260),$BP$3:$BP$220,0),1),"")</f>
        <v/>
      </c>
      <c r="CX260" s="259">
        <f t="shared" ca="1" si="654"/>
        <v>15</v>
      </c>
      <c r="CY260" s="259" t="str">
        <f t="shared" ca="1" si="643"/>
        <v>MASTRO</v>
      </c>
      <c r="CZ260" s="259" t="e">
        <f t="shared" ca="1" si="656"/>
        <v>#N/A</v>
      </c>
      <c r="DA260" s="259" t="str">
        <f t="shared" ca="1" si="661"/>
        <v/>
      </c>
      <c r="DB260" s="259" t="str">
        <f t="shared" ca="1" si="657"/>
        <v/>
      </c>
      <c r="DC260" s="259" t="str">
        <f t="shared" ca="1" si="658"/>
        <v/>
      </c>
      <c r="DD260" s="259" t="str">
        <f t="shared" ca="1" si="659"/>
        <v/>
      </c>
      <c r="DE260" s="259" t="str">
        <f t="shared" ca="1" si="660"/>
        <v/>
      </c>
      <c r="DF260" s="259">
        <f ca="1">IF(AND(CX260=$DE$2,$DF$2&lt;&gt;0),0,IF(AND(DB260&lt;&gt;"",OR(DB259&lt;&gt;"",DB261&lt;&gt;"")),MAX($DF$2:DF259)+1,0))</f>
        <v>0</v>
      </c>
      <c r="DG260" s="259" t="str">
        <f>IF(IF(LIBRO_GIORNALE!E168="","",IFERROR(INDEX(PIANO_DEI_CONTI,MATCH(BB260,DENOMINAZIONE,0),1),0))=0,"",IF(LIBRO_GIORNALE!E168="","",IFERROR(INDEX(PIANO_DEI_CONTI,MATCH(BB260,DENOMINAZIONE,0),1),0)))</f>
        <v/>
      </c>
      <c r="EC260" s="259">
        <f>IF(IF(DG260&lt;&gt;"",REPLACE(DG260,3,1,""),0)&lt;&gt;0,MAX(EC$2:EC259)+1,0)</f>
        <v>0</v>
      </c>
      <c r="ED260" s="259">
        <f t="shared" ca="1" si="662"/>
        <v>0</v>
      </c>
      <c r="EL260" s="259">
        <f t="shared" ref="EL260:EL323" si="670">ROW()-2</f>
        <v>258</v>
      </c>
      <c r="EM260" s="259">
        <f ca="1">IF(AND(BA260&gt;0,BA260&lt;=$EM$1),MAX($EM$2:EM259)+1,0)</f>
        <v>0</v>
      </c>
      <c r="EN260" s="259">
        <f t="shared" ref="EN260:EN323" ca="1" si="671">IF(EM260=$EL$1,ROW(),0)</f>
        <v>260</v>
      </c>
      <c r="EP260" s="259" t="str">
        <f t="shared" ca="1" si="663"/>
        <v/>
      </c>
      <c r="EQ260" s="259">
        <f t="shared" ca="1" si="664"/>
        <v>0</v>
      </c>
      <c r="ER260" s="259">
        <f ca="1">IF(ISNA(EQ260),MAX(ER$2:ER259)+1,0)</f>
        <v>0</v>
      </c>
      <c r="ES260" s="259" t="str">
        <f t="shared" ref="ES260:ES323" ca="1" si="672">IF(ER260&gt;=1,EZ260,"")</f>
        <v/>
      </c>
      <c r="ET260" s="259" t="str">
        <f ca="1">IFERROR(UPPER(INDEX($ER$3:$ES$500,MATCH(ROWS(ET$3:ET260),$ER$3:$ER$500,0),2)),"")</f>
        <v/>
      </c>
      <c r="EW260" s="259">
        <f t="shared" ca="1" si="633"/>
        <v>1</v>
      </c>
      <c r="EX260" s="259">
        <v>158</v>
      </c>
      <c r="EY260" s="259">
        <f t="shared" ca="1" si="634"/>
        <v>0</v>
      </c>
      <c r="EZ260" s="259">
        <f t="shared" ca="1" si="635"/>
        <v>0</v>
      </c>
      <c r="FA260" s="259">
        <f t="shared" ca="1" si="636"/>
        <v>0</v>
      </c>
      <c r="FB260" s="259">
        <f t="shared" ca="1" si="637"/>
        <v>0</v>
      </c>
      <c r="FC260" s="259">
        <f t="shared" ca="1" si="638"/>
        <v>0</v>
      </c>
      <c r="FD260" s="259">
        <f t="shared" ca="1" si="665"/>
        <v>0</v>
      </c>
      <c r="FE260" s="259" t="str">
        <f t="shared" ca="1" si="666"/>
        <v/>
      </c>
      <c r="FF260" s="259" t="str">
        <f t="shared" ca="1" si="639"/>
        <v/>
      </c>
      <c r="FM260" s="259">
        <f t="shared" si="667"/>
        <v>0</v>
      </c>
      <c r="FN260" s="259">
        <f>IF(FM260&lt;0,MAX($FN$2:FN259)+1,0)</f>
        <v>0</v>
      </c>
      <c r="FO260" s="259" t="str">
        <f t="shared" ref="FO260:FO323" si="673">IF(FM260&lt;0,AA260,"")</f>
        <v/>
      </c>
      <c r="FP260" s="259" t="str">
        <f ca="1">IFERROR(INDEX($FN$3:$FO$400,MATCH(ROWS($FP$3:FP260),$FN$3:$FN$400,0),2),"")</f>
        <v/>
      </c>
      <c r="FQ260" s="259" t="str">
        <f>IF(AE260="SE AVERE",MAX($FQ$2:FQ259)+1,"")</f>
        <v/>
      </c>
      <c r="FR260" s="259" t="str">
        <f>IF(AE260="SE DARE",MAX($FR$2:FR259)+1,"")</f>
        <v/>
      </c>
      <c r="FS260" s="259" t="str">
        <f ca="1">IF(AND(AE260="SP DARE",AA260&lt;&gt;$FS$1,AA260&lt;&gt;$FT$1),MAX($FS$2:FS259)+1,IF(AND(GQ260="SP DARE",AA260&lt;&gt;$FS$1,AA260&lt;&gt;$FT$1),MAX($FS$2:FS259)+1,""))</f>
        <v/>
      </c>
      <c r="FT260" s="259" t="str">
        <f ca="1">IF(AND(AE260="SP AVERE",AA260&lt;&gt;$FU$1),MAX($FT$2:FT259)+1,IF(AND(GQ260="SP AVERE",AA260&lt;&gt;$FU$1),MAX($FT$2:FT259)+1,""))</f>
        <v/>
      </c>
      <c r="FU260" s="259">
        <f t="shared" ref="FU260:FU323" ca="1" si="674">SUM(FQ260:FT260)</f>
        <v>0</v>
      </c>
      <c r="FV260" s="259">
        <f t="shared" ref="FV260:FV323" si="675">AA260</f>
        <v>0</v>
      </c>
      <c r="FW260" s="259">
        <f ca="1">IFERROR(INDEX($FU$3:$FV$500,MATCH(ROWS($FW$3:FW260),$FU$3:$FU$500,0),2),0)</f>
        <v>0</v>
      </c>
      <c r="FX260" s="259">
        <f t="shared" ref="FX260:FX323" ca="1" si="676">IF(FW260&lt;&gt;0,ROW()-2,0)</f>
        <v>0</v>
      </c>
      <c r="FY260" s="259">
        <f t="shared" ref="FY260:FY323" ca="1" si="677">IF(AND(ROW()&lt;=$FX$1,FX260=0),ROW()-2,0)</f>
        <v>0</v>
      </c>
      <c r="FZ260" s="259">
        <f ca="1">IF(FY260&gt;0,MAX($FZ$2:FZ259)+1,0)</f>
        <v>0</v>
      </c>
      <c r="GA260" s="259">
        <f ca="1">IFERROR(INDEX($FY$3:$FZ$500,MATCH(ROWS($GA$3:GA260),$FZ$3:$FZ$500,0),1),0)</f>
        <v>0</v>
      </c>
      <c r="GC260" s="259">
        <f t="shared" ref="GC260:GC323" ca="1" si="678">FX260+FY260</f>
        <v>0</v>
      </c>
      <c r="GD260" s="259">
        <f t="shared" ref="GD260:GD323" ca="1" si="679">IFERROR(IF(FX260&gt;0,FW260,INDEX($GA$3:$GB$400,MATCH(ROW()-2,$GA$3:$GA$400,0),2)),0)</f>
        <v>0</v>
      </c>
      <c r="GG260" s="259">
        <f t="shared" ref="GG260:GG323" ca="1" si="680">IFERROR(INDEX($GA$3:$GF$400,MATCH(ROW()-2,$GA$3:$GA$400,0),5),0)</f>
        <v>0</v>
      </c>
      <c r="GH260" s="259">
        <f t="shared" ref="GH260:GH323" ca="1" si="681">IFERROR(INDEX($GA$3:$GF$400,MATCH(ROW()-2,$GA$3:$GA$400,0),6),0)</f>
        <v>0</v>
      </c>
      <c r="GI260" s="259">
        <f t="shared" ref="GI260:GI323" ca="1" si="682">IFERROR(INDEX($DL$3:$DP$400,MATCH($FW260,$DL$3:$DL$400,0),5),0)</f>
        <v>0</v>
      </c>
      <c r="GJ260" s="259">
        <f t="shared" ref="GJ260:GJ323" ca="1" si="683">IFERROR(INDEX($DL$3:$DP$400,MATCH($FW260,$DL$3:$DL$400,0),4),0)</f>
        <v>0</v>
      </c>
      <c r="GK260" s="259">
        <f t="shared" ref="GK260:GL323" ca="1" si="684">GG260+GI260</f>
        <v>0</v>
      </c>
      <c r="GL260" s="259">
        <f t="shared" ca="1" si="684"/>
        <v>0</v>
      </c>
      <c r="GM260" s="259">
        <f ca="1">IF(OR(GK260&gt;0,GL260&gt;0),MAX($GM$2:GM259)+1,0)</f>
        <v>0</v>
      </c>
      <c r="GN260" s="259" t="str">
        <f ca="1">IFERROR(INDEX($GD$3:$GM$400,MATCH(ROWS($GN$3:GN260),$GM$3:$GM$400,0),1),"")</f>
        <v/>
      </c>
      <c r="GO260" s="259" t="str">
        <f ca="1">IFERROR(INDEX($GD$3:$GM$400,MATCH(ROWS($GO$3:GO260),$GM$3:$GM$400,0),8),"")</f>
        <v/>
      </c>
      <c r="GP260" s="259" t="str">
        <f ca="1">IFERROR(INDEX($GD$3:$GM$400,MATCH(ROWS($GP$3:GP260),$GM$3:$GM$400,0),9),"")</f>
        <v/>
      </c>
      <c r="GQ260" s="259">
        <f t="shared" ca="1" si="668"/>
        <v>0</v>
      </c>
      <c r="GR260" s="259">
        <f t="shared" ref="GR260:GR323" ca="1" si="685">IF(AND(FQ260&gt;0,ROW()=FU260),"epilogo a Conto economico",0)</f>
        <v>0</v>
      </c>
      <c r="GS260" s="259" t="str">
        <f t="shared" ref="GS260:GS323" ca="1" si="686">IF(AND(ROW()-2&gt;=$GC$1,ROW()-2&lt;=$GK$1),"epilogo a Conto economico",IF(AND(ROW()-2&gt;=$GD$1,ROW()-2&lt;=$GL$1),"epilogo a Conto economico",IF(AND(ROW()-2&gt;=$GE$1,ROW()-2&lt;=$GN$1),"chiusura del conto",IF(AND(ROW()-2&gt;=$GF$1,ROW()-2&lt;=$GL$1),"epilogo a Conto economico",IF(ROW()-2=$GA$3,"epilogo componenti positivi",IF(ROW()-2=$GA$4,"epilogo componenti negativi",IF(AND(ROW()-2&gt;=$GA$7,ROW()-2&lt;=$GA$8),"rilevato utile d'esercizio",IF(AND(ROW()-2&gt;=$GA$5,ROW()-2&lt;=$GA$6),"rilevata perdita d'esercizio",IF(AND(ROW()-2&gt;=$GA$9,ROW()-2&lt;=$GA$10),"capitalizzato l'utile conseguito",IF(AND(ROW()-2&gt;=$GA$11,ROW()-2&lt;=$GA$12),"coperta perdita d'esercizio",IF(ROW()-2=$GA$13,"prelevamenti extragestione",IF(ROW()-2=$GA$15,"giro ritenute subite",IF(OR(ROW()-2=$GA$14,ROW()-2=$GA$16),"giro a patrimonio netto",IF(ROW()-2=$GA$17,"totale attività",IF(ROW()-2=$GA$18,"totale passività",IF(ROW()-2=$GA$19,"chiusura del conto",IF(ROW()-2=$GA$20,"patrimonio netto finale","")))))))))))))))))</f>
        <v/>
      </c>
      <c r="GT260" s="259" t="str">
        <f ca="1">IFERROR(INDEX($GD$3:$GS$400,MATCH(ROWS($GT$3:GT260),$GM$3:$GM$400,0),16),"")</f>
        <v/>
      </c>
      <c r="GU260" s="259">
        <f ca="1">IF(GQ260&lt;&gt;0,MAX($GU$2:$GU259)+1,0)</f>
        <v>0</v>
      </c>
      <c r="GV260" s="259">
        <f t="shared" ref="GV260:GV323" ca="1" si="687">IF(GU260&lt;&gt;0,AA260,0)</f>
        <v>0</v>
      </c>
      <c r="GW260" s="259" t="str">
        <f ca="1">IF(AND(IFERROR(INDEX($GU$3:$GV$400,MATCH(ROWS($GW$3:GW260),$GU$3:$GU$400,0),2),"")&lt;&gt;"",GW261&lt;&gt;""),CONCATENATE(IFERROR(INDEX($GU$3:$GV$400,MATCH(ROWS($GW$3:GW260),$GU$3:$GU$400,0),2),"")," - "),IFERROR(INDEX($GU$3:$GV$400,MATCH(ROWS($GW$3:GW260),$GU$3:$GU$400,0),2),""))</f>
        <v/>
      </c>
      <c r="GX260" s="259">
        <f ca="1">IF(OR(GN260="IVA NS/CREDITO",GN260="IVA NS/DEBITO",GN260="IVA C/ACCONTO",GN260="IMPOSTE C/ACCONTO"),MAX($GX$2:GX259)+1,0)</f>
        <v>0</v>
      </c>
      <c r="GY260" s="259" t="str">
        <f ca="1">IF(AND(IFERROR(INDEX($GN$3:$GX$200,MATCH(ROWS($GY$3:GY260),$GX$3:$GX$200,0),1),"")&lt;&gt;"",GY261&lt;&gt;""),CONCATENATE(IFERROR(INDEX($GN$3:$GX$200,MATCH(ROWS($GY$3:GY260),$GX$3:$GX$200,0),1),"")," - "),IFERROR(INDEX($GN$3:$GX$200,MATCH(ROWS($GY$3:GY260),$GX$3:$GX$200,0),1),""))</f>
        <v/>
      </c>
      <c r="JA260" s="259" t="str">
        <f t="shared" ref="JA260:JA323" ca="1" si="688">IF(EY260&gt;0,YEAR(EY260),"")</f>
        <v/>
      </c>
      <c r="JB260" s="259">
        <f t="shared" ca="1" si="669"/>
        <v>0</v>
      </c>
      <c r="JC260" s="259">
        <f t="shared" ca="1" si="640"/>
        <v>0</v>
      </c>
      <c r="JD260" s="259">
        <f t="shared" ca="1" si="641"/>
        <v>0</v>
      </c>
      <c r="JM260" s="259">
        <f t="shared" ca="1" si="642"/>
        <v>0</v>
      </c>
    </row>
    <row r="261" spans="52:273">
      <c r="AZ261" s="259" t="str">
        <f t="shared" ca="1" si="616"/>
        <v/>
      </c>
      <c r="BA261" s="259">
        <f t="shared" ca="1" si="632"/>
        <v>0</v>
      </c>
      <c r="BB261" s="259">
        <f t="shared" ca="1" si="617"/>
        <v>0</v>
      </c>
      <c r="BC261" s="259">
        <f t="shared" ca="1" si="618"/>
        <v>0</v>
      </c>
      <c r="BD261" s="259">
        <f t="shared" ca="1" si="619"/>
        <v>0</v>
      </c>
      <c r="BE261" s="259">
        <f t="shared" ca="1" si="620"/>
        <v>0</v>
      </c>
      <c r="BQ261" s="259" t="str">
        <f ca="1">IFERROR(INDEX($BN$3:$BO$200,MATCH(ROWS(BQ$3:BQ261),$BP$3:$BP$220,0),1),"")</f>
        <v/>
      </c>
      <c r="CX261" s="259">
        <f t="shared" ca="1" si="654"/>
        <v>15</v>
      </c>
      <c r="CY261" s="259" t="str">
        <f t="shared" ca="1" si="643"/>
        <v>MASTRO</v>
      </c>
      <c r="CZ261" s="259" t="e">
        <f t="shared" ca="1" si="656"/>
        <v>#N/A</v>
      </c>
      <c r="DA261" s="259" t="str">
        <f t="shared" ca="1" si="661"/>
        <v/>
      </c>
      <c r="DB261" s="259" t="str">
        <f t="shared" ca="1" si="657"/>
        <v/>
      </c>
      <c r="DC261" s="259" t="str">
        <f t="shared" ca="1" si="658"/>
        <v/>
      </c>
      <c r="DD261" s="259" t="str">
        <f t="shared" ca="1" si="659"/>
        <v/>
      </c>
      <c r="DE261" s="259" t="str">
        <f t="shared" ca="1" si="660"/>
        <v/>
      </c>
      <c r="DF261" s="259">
        <f ca="1">IF(AND(CX261=$DE$2,$DF$2&lt;&gt;0),0,IF(AND(DB261&lt;&gt;"",OR(DB260&lt;&gt;"",DB262&lt;&gt;"")),MAX($DF$2:DF260)+1,0))</f>
        <v>0</v>
      </c>
      <c r="DG261" s="259" t="str">
        <f>IF(IF(LIBRO_GIORNALE!E169="","",IFERROR(INDEX(PIANO_DEI_CONTI,MATCH(BB261,DENOMINAZIONE,0),1),0))=0,"",IF(LIBRO_GIORNALE!E169="","",IFERROR(INDEX(PIANO_DEI_CONTI,MATCH(BB261,DENOMINAZIONE,0),1),0)))</f>
        <v/>
      </c>
      <c r="EC261" s="259">
        <f>IF(IF(DG261&lt;&gt;"",REPLACE(DG261,3,1,""),0)&lt;&gt;0,MAX(EC$2:EC260)+1,0)</f>
        <v>0</v>
      </c>
      <c r="ED261" s="259">
        <f t="shared" ca="1" si="662"/>
        <v>0</v>
      </c>
      <c r="EL261" s="259">
        <f t="shared" si="670"/>
        <v>259</v>
      </c>
      <c r="EM261" s="259">
        <f ca="1">IF(AND(BA261&gt;0,BA261&lt;=$EM$1),MAX($EM$2:EM260)+1,0)</f>
        <v>0</v>
      </c>
      <c r="EN261" s="259">
        <f t="shared" ca="1" si="671"/>
        <v>261</v>
      </c>
      <c r="EP261" s="259" t="str">
        <f t="shared" ca="1" si="663"/>
        <v/>
      </c>
      <c r="EQ261" s="259">
        <f t="shared" ca="1" si="664"/>
        <v>0</v>
      </c>
      <c r="ER261" s="259">
        <f ca="1">IF(ISNA(EQ261),MAX(ER$2:ER260)+1,0)</f>
        <v>0</v>
      </c>
      <c r="ES261" s="259" t="str">
        <f t="shared" ca="1" si="672"/>
        <v/>
      </c>
      <c r="ET261" s="259" t="str">
        <f ca="1">IFERROR(UPPER(INDEX($ER$3:$ES$500,MATCH(ROWS(ET$3:ET261),$ER$3:$ER$500,0),2)),"")</f>
        <v/>
      </c>
      <c r="EW261" s="259">
        <f t="shared" ca="1" si="633"/>
        <v>1</v>
      </c>
      <c r="EX261" s="259">
        <v>159</v>
      </c>
      <c r="EY261" s="259">
        <f t="shared" ca="1" si="634"/>
        <v>0</v>
      </c>
      <c r="EZ261" s="259">
        <f t="shared" ca="1" si="635"/>
        <v>0</v>
      </c>
      <c r="FA261" s="259">
        <f t="shared" ca="1" si="636"/>
        <v>0</v>
      </c>
      <c r="FB261" s="259">
        <f t="shared" ca="1" si="637"/>
        <v>0</v>
      </c>
      <c r="FC261" s="259">
        <f t="shared" ca="1" si="638"/>
        <v>0</v>
      </c>
      <c r="FD261" s="259">
        <f t="shared" ca="1" si="665"/>
        <v>0</v>
      </c>
      <c r="FE261" s="259" t="str">
        <f t="shared" ca="1" si="666"/>
        <v/>
      </c>
      <c r="FF261" s="259" t="str">
        <f t="shared" ca="1" si="639"/>
        <v/>
      </c>
      <c r="FM261" s="259">
        <f t="shared" si="667"/>
        <v>0</v>
      </c>
      <c r="FN261" s="259">
        <f>IF(FM261&lt;0,MAX($FN$2:FN260)+1,0)</f>
        <v>0</v>
      </c>
      <c r="FO261" s="259" t="str">
        <f t="shared" si="673"/>
        <v/>
      </c>
      <c r="FP261" s="259" t="str">
        <f ca="1">IFERROR(INDEX($FN$3:$FO$400,MATCH(ROWS($FP$3:FP261),$FN$3:$FN$400,0),2),"")</f>
        <v/>
      </c>
      <c r="FQ261" s="259" t="str">
        <f>IF(AE261="SE AVERE",MAX($FQ$2:FQ260)+1,"")</f>
        <v/>
      </c>
      <c r="FR261" s="259" t="str">
        <f>IF(AE261="SE DARE",MAX($FR$2:FR260)+1,"")</f>
        <v/>
      </c>
      <c r="FS261" s="259" t="str">
        <f ca="1">IF(AND(AE261="SP DARE",AA261&lt;&gt;$FS$1,AA261&lt;&gt;$FT$1),MAX($FS$2:FS260)+1,IF(AND(GQ261="SP DARE",AA261&lt;&gt;$FS$1,AA261&lt;&gt;$FT$1),MAX($FS$2:FS260)+1,""))</f>
        <v/>
      </c>
      <c r="FT261" s="259" t="str">
        <f ca="1">IF(AND(AE261="SP AVERE",AA261&lt;&gt;$FU$1),MAX($FT$2:FT260)+1,IF(AND(GQ261="SP AVERE",AA261&lt;&gt;$FU$1),MAX($FT$2:FT260)+1,""))</f>
        <v/>
      </c>
      <c r="FU261" s="259">
        <f t="shared" ca="1" si="674"/>
        <v>0</v>
      </c>
      <c r="FV261" s="259">
        <f t="shared" si="675"/>
        <v>0</v>
      </c>
      <c r="FW261" s="259">
        <f ca="1">IFERROR(INDEX($FU$3:$FV$500,MATCH(ROWS($FW$3:FW261),$FU$3:$FU$500,0),2),0)</f>
        <v>0</v>
      </c>
      <c r="FX261" s="259">
        <f t="shared" ca="1" si="676"/>
        <v>0</v>
      </c>
      <c r="FY261" s="259">
        <f t="shared" ca="1" si="677"/>
        <v>0</v>
      </c>
      <c r="FZ261" s="259">
        <f ca="1">IF(FY261&gt;0,MAX($FZ$2:FZ260)+1,0)</f>
        <v>0</v>
      </c>
      <c r="GA261" s="259">
        <f ca="1">IFERROR(INDEX($FY$3:$FZ$500,MATCH(ROWS($GA$3:GA261),$FZ$3:$FZ$500,0),1),0)</f>
        <v>0</v>
      </c>
      <c r="GC261" s="259">
        <f t="shared" ca="1" si="678"/>
        <v>0</v>
      </c>
      <c r="GD261" s="259">
        <f t="shared" ca="1" si="679"/>
        <v>0</v>
      </c>
      <c r="GG261" s="259">
        <f t="shared" ca="1" si="680"/>
        <v>0</v>
      </c>
      <c r="GH261" s="259">
        <f t="shared" ca="1" si="681"/>
        <v>0</v>
      </c>
      <c r="GI261" s="259">
        <f t="shared" ca="1" si="682"/>
        <v>0</v>
      </c>
      <c r="GJ261" s="259">
        <f t="shared" ca="1" si="683"/>
        <v>0</v>
      </c>
      <c r="GK261" s="259">
        <f t="shared" ca="1" si="684"/>
        <v>0</v>
      </c>
      <c r="GL261" s="259">
        <f t="shared" ca="1" si="684"/>
        <v>0</v>
      </c>
      <c r="GM261" s="259">
        <f ca="1">IF(OR(GK261&gt;0,GL261&gt;0),MAX($GM$2:GM260)+1,0)</f>
        <v>0</v>
      </c>
      <c r="GN261" s="259" t="str">
        <f ca="1">IFERROR(INDEX($GD$3:$GM$400,MATCH(ROWS($GN$3:GN261),$GM$3:$GM$400,0),1),"")</f>
        <v/>
      </c>
      <c r="GO261" s="259" t="str">
        <f ca="1">IFERROR(INDEX($GD$3:$GM$400,MATCH(ROWS($GO$3:GO261),$GM$3:$GM$400,0),8),"")</f>
        <v/>
      </c>
      <c r="GP261" s="259" t="str">
        <f ca="1">IFERROR(INDEX($GD$3:$GM$400,MATCH(ROWS($GP$3:GP261),$GM$3:$GM$400,0),9),"")</f>
        <v/>
      </c>
      <c r="GQ261" s="259">
        <f t="shared" ca="1" si="668"/>
        <v>0</v>
      </c>
      <c r="GR261" s="259">
        <f t="shared" ca="1" si="685"/>
        <v>0</v>
      </c>
      <c r="GS261" s="259" t="str">
        <f t="shared" ca="1" si="686"/>
        <v/>
      </c>
      <c r="GT261" s="259" t="str">
        <f ca="1">IFERROR(INDEX($GD$3:$GS$400,MATCH(ROWS($GT$3:GT261),$GM$3:$GM$400,0),16),"")</f>
        <v/>
      </c>
      <c r="GU261" s="259">
        <f ca="1">IF(GQ261&lt;&gt;0,MAX($GU$2:$GU260)+1,0)</f>
        <v>0</v>
      </c>
      <c r="GV261" s="259">
        <f t="shared" ca="1" si="687"/>
        <v>0</v>
      </c>
      <c r="GW261" s="259" t="str">
        <f ca="1">IF(AND(IFERROR(INDEX($GU$3:$GV$400,MATCH(ROWS($GW$3:GW261),$GU$3:$GU$400,0),2),"")&lt;&gt;"",GW262&lt;&gt;""),CONCATENATE(IFERROR(INDEX($GU$3:$GV$400,MATCH(ROWS($GW$3:GW261),$GU$3:$GU$400,0),2),"")," - "),IFERROR(INDEX($GU$3:$GV$400,MATCH(ROWS($GW$3:GW261),$GU$3:$GU$400,0),2),""))</f>
        <v/>
      </c>
      <c r="GX261" s="259">
        <f ca="1">IF(OR(GN261="IVA NS/CREDITO",GN261="IVA NS/DEBITO",GN261="IVA C/ACCONTO",GN261="IMPOSTE C/ACCONTO"),MAX($GX$2:GX260)+1,0)</f>
        <v>0</v>
      </c>
      <c r="GY261" s="259" t="str">
        <f ca="1">IF(AND(IFERROR(INDEX($GN$3:$GX$200,MATCH(ROWS($GY$3:GY261),$GX$3:$GX$200,0),1),"")&lt;&gt;"",GY262&lt;&gt;""),CONCATENATE(IFERROR(INDEX($GN$3:$GX$200,MATCH(ROWS($GY$3:GY261),$GX$3:$GX$200,0),1),"")," - "),IFERROR(INDEX($GN$3:$GX$200,MATCH(ROWS($GY$3:GY261),$GX$3:$GX$200,0),1),""))</f>
        <v/>
      </c>
      <c r="JA261" s="259" t="str">
        <f t="shared" ca="1" si="688"/>
        <v/>
      </c>
      <c r="JB261" s="259">
        <f t="shared" ca="1" si="669"/>
        <v>0</v>
      </c>
      <c r="JC261" s="259">
        <f t="shared" ca="1" si="640"/>
        <v>0</v>
      </c>
      <c r="JD261" s="259">
        <f t="shared" ca="1" si="641"/>
        <v>0</v>
      </c>
      <c r="JM261" s="259">
        <f t="shared" ca="1" si="642"/>
        <v>0</v>
      </c>
    </row>
    <row r="262" spans="52:273">
      <c r="AZ262" s="259" t="str">
        <f t="shared" ca="1" si="616"/>
        <v/>
      </c>
      <c r="BA262" s="259">
        <f t="shared" ca="1" si="632"/>
        <v>0</v>
      </c>
      <c r="BB262" s="259">
        <f t="shared" ca="1" si="617"/>
        <v>0</v>
      </c>
      <c r="BC262" s="259">
        <f t="shared" ca="1" si="618"/>
        <v>0</v>
      </c>
      <c r="BD262" s="259">
        <f t="shared" ca="1" si="619"/>
        <v>0</v>
      </c>
      <c r="BE262" s="259">
        <f t="shared" ca="1" si="620"/>
        <v>0</v>
      </c>
      <c r="BQ262" s="259" t="str">
        <f ca="1">IFERROR(INDEX($BN$3:$BO$200,MATCH(ROWS(BQ$3:BQ262),$BP$3:$BP$220,0),1),"")</f>
        <v/>
      </c>
      <c r="CX262" s="259">
        <f t="shared" ca="1" si="654"/>
        <v>15</v>
      </c>
      <c r="CY262" s="259" t="str">
        <f t="shared" ca="1" si="643"/>
        <v>MASTRO</v>
      </c>
      <c r="CZ262" s="259" t="e">
        <f t="shared" ca="1" si="656"/>
        <v>#N/A</v>
      </c>
      <c r="DA262" s="259" t="str">
        <f t="shared" ca="1" si="661"/>
        <v/>
      </c>
      <c r="DB262" s="259" t="str">
        <f t="shared" ca="1" si="657"/>
        <v/>
      </c>
      <c r="DC262" s="259" t="str">
        <f t="shared" ca="1" si="658"/>
        <v/>
      </c>
      <c r="DD262" s="259" t="str">
        <f t="shared" ca="1" si="659"/>
        <v/>
      </c>
      <c r="DE262" s="259" t="str">
        <f t="shared" ca="1" si="660"/>
        <v/>
      </c>
      <c r="DF262" s="259">
        <f ca="1">IF(AND(CX262=$DE$2,$DF$2&lt;&gt;0),0,IF(AND(DB262&lt;&gt;"",OR(DB261&lt;&gt;"",DB263&lt;&gt;"")),MAX($DF$2:DF261)+1,0))</f>
        <v>0</v>
      </c>
      <c r="DG262" s="259" t="str">
        <f>IF(IF(LIBRO_GIORNALE!E170="","",IFERROR(INDEX(PIANO_DEI_CONTI,MATCH(BB262,DENOMINAZIONE,0),1),0))=0,"",IF(LIBRO_GIORNALE!E170="","",IFERROR(INDEX(PIANO_DEI_CONTI,MATCH(BB262,DENOMINAZIONE,0),1),0)))</f>
        <v/>
      </c>
      <c r="EC262" s="259">
        <f>IF(IF(DG262&lt;&gt;"",REPLACE(DG262,3,1,""),0)&lt;&gt;0,MAX(EC$2:EC261)+1,0)</f>
        <v>0</v>
      </c>
      <c r="ED262" s="259">
        <f t="shared" ca="1" si="662"/>
        <v>0</v>
      </c>
      <c r="EL262" s="259">
        <f t="shared" si="670"/>
        <v>260</v>
      </c>
      <c r="EM262" s="259">
        <f ca="1">IF(AND(BA262&gt;0,BA262&lt;=$EM$1),MAX($EM$2:EM261)+1,0)</f>
        <v>0</v>
      </c>
      <c r="EN262" s="259">
        <f t="shared" ca="1" si="671"/>
        <v>262</v>
      </c>
      <c r="EP262" s="259" t="str">
        <f t="shared" ca="1" si="663"/>
        <v/>
      </c>
      <c r="EQ262" s="259">
        <f t="shared" ca="1" si="664"/>
        <v>0</v>
      </c>
      <c r="ER262" s="259">
        <f ca="1">IF(ISNA(EQ262),MAX(ER$2:ER261)+1,0)</f>
        <v>0</v>
      </c>
      <c r="ES262" s="259" t="str">
        <f t="shared" ca="1" si="672"/>
        <v/>
      </c>
      <c r="ET262" s="259" t="str">
        <f ca="1">IFERROR(UPPER(INDEX($ER$3:$ES$500,MATCH(ROWS(ET$3:ET262),$ER$3:$ER$500,0),2)),"")</f>
        <v/>
      </c>
      <c r="EW262" s="259">
        <f t="shared" ca="1" si="633"/>
        <v>1</v>
      </c>
      <c r="EX262" s="259">
        <v>160</v>
      </c>
      <c r="EY262" s="259">
        <f t="shared" ca="1" si="634"/>
        <v>0</v>
      </c>
      <c r="EZ262" s="259">
        <f t="shared" ca="1" si="635"/>
        <v>0</v>
      </c>
      <c r="FA262" s="259">
        <f t="shared" ca="1" si="636"/>
        <v>0</v>
      </c>
      <c r="FB262" s="259">
        <f t="shared" ca="1" si="637"/>
        <v>0</v>
      </c>
      <c r="FC262" s="259">
        <f t="shared" ca="1" si="638"/>
        <v>0</v>
      </c>
      <c r="FD262" s="259">
        <f t="shared" ca="1" si="665"/>
        <v>0</v>
      </c>
      <c r="FE262" s="259" t="str">
        <f t="shared" ca="1" si="666"/>
        <v/>
      </c>
      <c r="FF262" s="259" t="str">
        <f t="shared" ca="1" si="639"/>
        <v/>
      </c>
      <c r="FM262" s="259">
        <f t="shared" si="667"/>
        <v>0</v>
      </c>
      <c r="FN262" s="259">
        <f>IF(FM262&lt;0,MAX($FN$2:FN261)+1,0)</f>
        <v>0</v>
      </c>
      <c r="FO262" s="259" t="str">
        <f t="shared" si="673"/>
        <v/>
      </c>
      <c r="FP262" s="259" t="str">
        <f ca="1">IFERROR(INDEX($FN$3:$FO$400,MATCH(ROWS($FP$3:FP262),$FN$3:$FN$400,0),2),"")</f>
        <v/>
      </c>
      <c r="FQ262" s="259" t="str">
        <f>IF(AE262="SE AVERE",MAX($FQ$2:FQ261)+1,"")</f>
        <v/>
      </c>
      <c r="FR262" s="259" t="str">
        <f>IF(AE262="SE DARE",MAX($FR$2:FR261)+1,"")</f>
        <v/>
      </c>
      <c r="FS262" s="259" t="str">
        <f ca="1">IF(AND(AE262="SP DARE",AA262&lt;&gt;$FS$1,AA262&lt;&gt;$FT$1),MAX($FS$2:FS261)+1,IF(AND(GQ262="SP DARE",AA262&lt;&gt;$FS$1,AA262&lt;&gt;$FT$1),MAX($FS$2:FS261)+1,""))</f>
        <v/>
      </c>
      <c r="FT262" s="259" t="str">
        <f ca="1">IF(AND(AE262="SP AVERE",AA262&lt;&gt;$FU$1),MAX($FT$2:FT261)+1,IF(AND(GQ262="SP AVERE",AA262&lt;&gt;$FU$1),MAX($FT$2:FT261)+1,""))</f>
        <v/>
      </c>
      <c r="FU262" s="259">
        <f t="shared" ca="1" si="674"/>
        <v>0</v>
      </c>
      <c r="FV262" s="259">
        <f t="shared" si="675"/>
        <v>0</v>
      </c>
      <c r="FW262" s="259">
        <f ca="1">IFERROR(INDEX($FU$3:$FV$500,MATCH(ROWS($FW$3:FW262),$FU$3:$FU$500,0),2),0)</f>
        <v>0</v>
      </c>
      <c r="FX262" s="259">
        <f t="shared" ca="1" si="676"/>
        <v>0</v>
      </c>
      <c r="FY262" s="259">
        <f t="shared" ca="1" si="677"/>
        <v>0</v>
      </c>
      <c r="FZ262" s="259">
        <f ca="1">IF(FY262&gt;0,MAX($FZ$2:FZ261)+1,0)</f>
        <v>0</v>
      </c>
      <c r="GA262" s="259">
        <f ca="1">IFERROR(INDEX($FY$3:$FZ$500,MATCH(ROWS($GA$3:GA262),$FZ$3:$FZ$500,0),1),0)</f>
        <v>0</v>
      </c>
      <c r="GC262" s="259">
        <f t="shared" ca="1" si="678"/>
        <v>0</v>
      </c>
      <c r="GD262" s="259">
        <f t="shared" ca="1" si="679"/>
        <v>0</v>
      </c>
      <c r="GG262" s="259">
        <f t="shared" ca="1" si="680"/>
        <v>0</v>
      </c>
      <c r="GH262" s="259">
        <f t="shared" ca="1" si="681"/>
        <v>0</v>
      </c>
      <c r="GI262" s="259">
        <f t="shared" ca="1" si="682"/>
        <v>0</v>
      </c>
      <c r="GJ262" s="259">
        <f t="shared" ca="1" si="683"/>
        <v>0</v>
      </c>
      <c r="GK262" s="259">
        <f t="shared" ca="1" si="684"/>
        <v>0</v>
      </c>
      <c r="GL262" s="259">
        <f t="shared" ca="1" si="684"/>
        <v>0</v>
      </c>
      <c r="GM262" s="259">
        <f ca="1">IF(OR(GK262&gt;0,GL262&gt;0),MAX($GM$2:GM261)+1,0)</f>
        <v>0</v>
      </c>
      <c r="GN262" s="259" t="str">
        <f ca="1">IFERROR(INDEX($GD$3:$GM$400,MATCH(ROWS($GN$3:GN262),$GM$3:$GM$400,0),1),"")</f>
        <v/>
      </c>
      <c r="GO262" s="259" t="str">
        <f ca="1">IFERROR(INDEX($GD$3:$GM$400,MATCH(ROWS($GO$3:GO262),$GM$3:$GM$400,0),8),"")</f>
        <v/>
      </c>
      <c r="GP262" s="259" t="str">
        <f ca="1">IFERROR(INDEX($GD$3:$GM$400,MATCH(ROWS($GP$3:GP262),$GM$3:$GM$400,0),9),"")</f>
        <v/>
      </c>
      <c r="GQ262" s="259">
        <f t="shared" ca="1" si="668"/>
        <v>0</v>
      </c>
      <c r="GR262" s="259">
        <f t="shared" ca="1" si="685"/>
        <v>0</v>
      </c>
      <c r="GS262" s="259" t="str">
        <f t="shared" ca="1" si="686"/>
        <v/>
      </c>
      <c r="GT262" s="259" t="str">
        <f ca="1">IFERROR(INDEX($GD$3:$GS$400,MATCH(ROWS($GT$3:GT262),$GM$3:$GM$400,0),16),"")</f>
        <v/>
      </c>
      <c r="GU262" s="259">
        <f ca="1">IF(GQ262&lt;&gt;0,MAX($GU$2:$GU261)+1,0)</f>
        <v>0</v>
      </c>
      <c r="GV262" s="259">
        <f t="shared" ca="1" si="687"/>
        <v>0</v>
      </c>
      <c r="GW262" s="259" t="str">
        <f ca="1">IF(AND(IFERROR(INDEX($GU$3:$GV$400,MATCH(ROWS($GW$3:GW262),$GU$3:$GU$400,0),2),"")&lt;&gt;"",GW263&lt;&gt;""),CONCATENATE(IFERROR(INDEX($GU$3:$GV$400,MATCH(ROWS($GW$3:GW262),$GU$3:$GU$400,0),2),"")," - "),IFERROR(INDEX($GU$3:$GV$400,MATCH(ROWS($GW$3:GW262),$GU$3:$GU$400,0),2),""))</f>
        <v/>
      </c>
      <c r="GX262" s="259">
        <f ca="1">IF(OR(GN262="IVA NS/CREDITO",GN262="IVA NS/DEBITO",GN262="IVA C/ACCONTO",GN262="IMPOSTE C/ACCONTO"),MAX($GX$2:GX261)+1,0)</f>
        <v>0</v>
      </c>
      <c r="GY262" s="259" t="str">
        <f ca="1">IF(AND(IFERROR(INDEX($GN$3:$GX$200,MATCH(ROWS($GY$3:GY262),$GX$3:$GX$200,0),1),"")&lt;&gt;"",GY263&lt;&gt;""),CONCATENATE(IFERROR(INDEX($GN$3:$GX$200,MATCH(ROWS($GY$3:GY262),$GX$3:$GX$200,0),1),"")," - "),IFERROR(INDEX($GN$3:$GX$200,MATCH(ROWS($GY$3:GY262),$GX$3:$GX$200,0),1),""))</f>
        <v/>
      </c>
      <c r="JA262" s="259" t="str">
        <f t="shared" ca="1" si="688"/>
        <v/>
      </c>
      <c r="JB262" s="259">
        <f t="shared" ca="1" si="669"/>
        <v>0</v>
      </c>
      <c r="JC262" s="259">
        <f t="shared" ca="1" si="640"/>
        <v>0</v>
      </c>
      <c r="JD262" s="259">
        <f t="shared" ca="1" si="641"/>
        <v>0</v>
      </c>
      <c r="JM262" s="259">
        <f t="shared" ca="1" si="642"/>
        <v>0</v>
      </c>
    </row>
    <row r="263" spans="52:273">
      <c r="AZ263" s="259" t="str">
        <f t="shared" ca="1" si="616"/>
        <v/>
      </c>
      <c r="BA263" s="259">
        <f t="shared" ca="1" si="632"/>
        <v>0</v>
      </c>
      <c r="BB263" s="259">
        <f t="shared" ca="1" si="617"/>
        <v>0</v>
      </c>
      <c r="BC263" s="259">
        <f t="shared" ca="1" si="618"/>
        <v>0</v>
      </c>
      <c r="BD263" s="259">
        <f t="shared" ca="1" si="619"/>
        <v>0</v>
      </c>
      <c r="BE263" s="259">
        <f t="shared" ca="1" si="620"/>
        <v>0</v>
      </c>
      <c r="BQ263" s="259" t="str">
        <f ca="1">IFERROR(INDEX($BN$3:$BO$200,MATCH(ROWS(BQ$3:BQ263),$BP$3:$BP$220,0),1),"")</f>
        <v/>
      </c>
      <c r="CX263" s="259">
        <f t="shared" ca="1" si="654"/>
        <v>15</v>
      </c>
      <c r="CY263" s="259" t="str">
        <f t="shared" ca="1" si="643"/>
        <v>MASTRO</v>
      </c>
      <c r="CZ263" s="259" t="e">
        <f t="shared" ca="1" si="656"/>
        <v>#N/A</v>
      </c>
      <c r="DA263" s="259" t="str">
        <f t="shared" ca="1" si="661"/>
        <v/>
      </c>
      <c r="DB263" s="259" t="str">
        <f t="shared" ca="1" si="657"/>
        <v/>
      </c>
      <c r="DC263" s="259" t="str">
        <f t="shared" ca="1" si="658"/>
        <v/>
      </c>
      <c r="DD263" s="259" t="str">
        <f t="shared" ca="1" si="659"/>
        <v/>
      </c>
      <c r="DE263" s="259" t="str">
        <f t="shared" ca="1" si="660"/>
        <v/>
      </c>
      <c r="DF263" s="259">
        <f ca="1">IF(AND(CX263=$DE$2,$DF$2&lt;&gt;0),0,IF(AND(DB263&lt;&gt;"",OR(DB262&lt;&gt;"",DB264&lt;&gt;"")),MAX($DF$2:DF262)+1,0))</f>
        <v>0</v>
      </c>
      <c r="DG263" s="259" t="str">
        <f>IF(IF(LIBRO_GIORNALE!E171="","",IFERROR(INDEX(PIANO_DEI_CONTI,MATCH(BB263,DENOMINAZIONE,0),1),0))=0,"",IF(LIBRO_GIORNALE!E171="","",IFERROR(INDEX(PIANO_DEI_CONTI,MATCH(BB263,DENOMINAZIONE,0),1),0)))</f>
        <v/>
      </c>
      <c r="EC263" s="259">
        <f>IF(IF(DG263&lt;&gt;"",REPLACE(DG263,3,1,""),0)&lt;&gt;0,MAX(EC$2:EC262)+1,0)</f>
        <v>0</v>
      </c>
      <c r="ED263" s="259">
        <f t="shared" ca="1" si="662"/>
        <v>0</v>
      </c>
      <c r="EL263" s="259">
        <f t="shared" si="670"/>
        <v>261</v>
      </c>
      <c r="EM263" s="259">
        <f ca="1">IF(AND(BA263&gt;0,BA263&lt;=$EM$1),MAX($EM$2:EM262)+1,0)</f>
        <v>0</v>
      </c>
      <c r="EN263" s="259">
        <f t="shared" ca="1" si="671"/>
        <v>263</v>
      </c>
      <c r="EP263" s="259" t="str">
        <f t="shared" ca="1" si="663"/>
        <v/>
      </c>
      <c r="EQ263" s="259">
        <f t="shared" ca="1" si="664"/>
        <v>0</v>
      </c>
      <c r="ER263" s="259">
        <f ca="1">IF(ISNA(EQ263),MAX(ER$2:ER262)+1,0)</f>
        <v>0</v>
      </c>
      <c r="ES263" s="259" t="str">
        <f t="shared" ca="1" si="672"/>
        <v/>
      </c>
      <c r="ET263" s="259" t="str">
        <f ca="1">IFERROR(UPPER(INDEX($ER$3:$ES$500,MATCH(ROWS(ET$3:ET263),$ER$3:$ER$500,0),2)),"")</f>
        <v/>
      </c>
      <c r="EW263" s="259">
        <f t="shared" ca="1" si="633"/>
        <v>1</v>
      </c>
      <c r="EX263" s="259">
        <v>161</v>
      </c>
      <c r="EY263" s="259">
        <f t="shared" ca="1" si="634"/>
        <v>0</v>
      </c>
      <c r="EZ263" s="259">
        <f t="shared" ca="1" si="635"/>
        <v>0</v>
      </c>
      <c r="FA263" s="259">
        <f t="shared" ca="1" si="636"/>
        <v>0</v>
      </c>
      <c r="FB263" s="259">
        <f t="shared" ca="1" si="637"/>
        <v>0</v>
      </c>
      <c r="FC263" s="259">
        <f t="shared" ca="1" si="638"/>
        <v>0</v>
      </c>
      <c r="FD263" s="259">
        <f t="shared" ca="1" si="665"/>
        <v>0</v>
      </c>
      <c r="FE263" s="259" t="str">
        <f t="shared" ca="1" si="666"/>
        <v/>
      </c>
      <c r="FF263" s="259" t="str">
        <f t="shared" ca="1" si="639"/>
        <v/>
      </c>
      <c r="FM263" s="259">
        <f t="shared" si="667"/>
        <v>0</v>
      </c>
      <c r="FN263" s="259">
        <f>IF(FM263&lt;0,MAX($FN$2:FN262)+1,0)</f>
        <v>0</v>
      </c>
      <c r="FO263" s="259" t="str">
        <f t="shared" si="673"/>
        <v/>
      </c>
      <c r="FP263" s="259" t="str">
        <f ca="1">IFERROR(INDEX($FN$3:$FO$400,MATCH(ROWS($FP$3:FP263),$FN$3:$FN$400,0),2),"")</f>
        <v/>
      </c>
      <c r="FQ263" s="259" t="str">
        <f>IF(AE263="SE AVERE",MAX($FQ$2:FQ262)+1,"")</f>
        <v/>
      </c>
      <c r="FR263" s="259" t="str">
        <f>IF(AE263="SE DARE",MAX($FR$2:FR262)+1,"")</f>
        <v/>
      </c>
      <c r="FS263" s="259" t="str">
        <f ca="1">IF(AND(AE263="SP DARE",AA263&lt;&gt;$FS$1,AA263&lt;&gt;$FT$1),MAX($FS$2:FS262)+1,IF(AND(GQ263="SP DARE",AA263&lt;&gt;$FS$1,AA263&lt;&gt;$FT$1),MAX($FS$2:FS262)+1,""))</f>
        <v/>
      </c>
      <c r="FT263" s="259" t="str">
        <f ca="1">IF(AND(AE263="SP AVERE",AA263&lt;&gt;$FU$1),MAX($FT$2:FT262)+1,IF(AND(GQ263="SP AVERE",AA263&lt;&gt;$FU$1),MAX($FT$2:FT262)+1,""))</f>
        <v/>
      </c>
      <c r="FU263" s="259">
        <f t="shared" ca="1" si="674"/>
        <v>0</v>
      </c>
      <c r="FV263" s="259">
        <f t="shared" si="675"/>
        <v>0</v>
      </c>
      <c r="FW263" s="259">
        <f ca="1">IFERROR(INDEX($FU$3:$FV$500,MATCH(ROWS($FW$3:FW263),$FU$3:$FU$500,0),2),0)</f>
        <v>0</v>
      </c>
      <c r="FX263" s="259">
        <f t="shared" ca="1" si="676"/>
        <v>0</v>
      </c>
      <c r="FY263" s="259">
        <f t="shared" ca="1" si="677"/>
        <v>0</v>
      </c>
      <c r="FZ263" s="259">
        <f ca="1">IF(FY263&gt;0,MAX($FZ$2:FZ262)+1,0)</f>
        <v>0</v>
      </c>
      <c r="GA263" s="259">
        <f ca="1">IFERROR(INDEX($FY$3:$FZ$500,MATCH(ROWS($GA$3:GA263),$FZ$3:$FZ$500,0),1),0)</f>
        <v>0</v>
      </c>
      <c r="GC263" s="259">
        <f t="shared" ca="1" si="678"/>
        <v>0</v>
      </c>
      <c r="GD263" s="259">
        <f t="shared" ca="1" si="679"/>
        <v>0</v>
      </c>
      <c r="GG263" s="259">
        <f t="shared" ca="1" si="680"/>
        <v>0</v>
      </c>
      <c r="GH263" s="259">
        <f t="shared" ca="1" si="681"/>
        <v>0</v>
      </c>
      <c r="GI263" s="259">
        <f t="shared" ca="1" si="682"/>
        <v>0</v>
      </c>
      <c r="GJ263" s="259">
        <f t="shared" ca="1" si="683"/>
        <v>0</v>
      </c>
      <c r="GK263" s="259">
        <f t="shared" ca="1" si="684"/>
        <v>0</v>
      </c>
      <c r="GL263" s="259">
        <f t="shared" ca="1" si="684"/>
        <v>0</v>
      </c>
      <c r="GM263" s="259">
        <f ca="1">IF(OR(GK263&gt;0,GL263&gt;0),MAX($GM$2:GM262)+1,0)</f>
        <v>0</v>
      </c>
      <c r="GN263" s="259" t="str">
        <f ca="1">IFERROR(INDEX($GD$3:$GM$400,MATCH(ROWS($GN$3:GN263),$GM$3:$GM$400,0),1),"")</f>
        <v/>
      </c>
      <c r="GO263" s="259" t="str">
        <f ca="1">IFERROR(INDEX($GD$3:$GM$400,MATCH(ROWS($GO$3:GO263),$GM$3:$GM$400,0),8),"")</f>
        <v/>
      </c>
      <c r="GP263" s="259" t="str">
        <f ca="1">IFERROR(INDEX($GD$3:$GM$400,MATCH(ROWS($GP$3:GP263),$GM$3:$GM$400,0),9),"")</f>
        <v/>
      </c>
      <c r="GQ263" s="259">
        <f t="shared" ca="1" si="668"/>
        <v>0</v>
      </c>
      <c r="GR263" s="259">
        <f t="shared" ca="1" si="685"/>
        <v>0</v>
      </c>
      <c r="GS263" s="259" t="str">
        <f t="shared" ca="1" si="686"/>
        <v/>
      </c>
      <c r="GT263" s="259" t="str">
        <f ca="1">IFERROR(INDEX($GD$3:$GS$400,MATCH(ROWS($GT$3:GT263),$GM$3:$GM$400,0),16),"")</f>
        <v/>
      </c>
      <c r="GU263" s="259">
        <f ca="1">IF(GQ263&lt;&gt;0,MAX($GU$2:$GU262)+1,0)</f>
        <v>0</v>
      </c>
      <c r="GV263" s="259">
        <f t="shared" ca="1" si="687"/>
        <v>0</v>
      </c>
      <c r="GW263" s="259" t="str">
        <f ca="1">IF(AND(IFERROR(INDEX($GU$3:$GV$400,MATCH(ROWS($GW$3:GW263),$GU$3:$GU$400,0),2),"")&lt;&gt;"",GW264&lt;&gt;""),CONCATENATE(IFERROR(INDEX($GU$3:$GV$400,MATCH(ROWS($GW$3:GW263),$GU$3:$GU$400,0),2),"")," - "),IFERROR(INDEX($GU$3:$GV$400,MATCH(ROWS($GW$3:GW263),$GU$3:$GU$400,0),2),""))</f>
        <v/>
      </c>
      <c r="GX263" s="259">
        <f ca="1">IF(OR(GN263="IVA NS/CREDITO",GN263="IVA NS/DEBITO",GN263="IVA C/ACCONTO",GN263="IMPOSTE C/ACCONTO"),MAX($GX$2:GX262)+1,0)</f>
        <v>0</v>
      </c>
      <c r="GY263" s="259" t="str">
        <f ca="1">IF(AND(IFERROR(INDEX($GN$3:$GX$200,MATCH(ROWS($GY$3:GY263),$GX$3:$GX$200,0),1),"")&lt;&gt;"",GY264&lt;&gt;""),CONCATENATE(IFERROR(INDEX($GN$3:$GX$200,MATCH(ROWS($GY$3:GY263),$GX$3:$GX$200,0),1),"")," - "),IFERROR(INDEX($GN$3:$GX$200,MATCH(ROWS($GY$3:GY263),$GX$3:$GX$200,0),1),""))</f>
        <v/>
      </c>
      <c r="JA263" s="259" t="str">
        <f t="shared" ca="1" si="688"/>
        <v/>
      </c>
      <c r="JB263" s="259">
        <f t="shared" ca="1" si="669"/>
        <v>0</v>
      </c>
      <c r="JC263" s="259">
        <f t="shared" ca="1" si="640"/>
        <v>0</v>
      </c>
      <c r="JD263" s="259">
        <f t="shared" ca="1" si="641"/>
        <v>0</v>
      </c>
      <c r="JM263" s="259">
        <f t="shared" ca="1" si="642"/>
        <v>0</v>
      </c>
    </row>
    <row r="264" spans="52:273">
      <c r="AZ264" s="259" t="str">
        <f t="shared" ca="1" si="616"/>
        <v/>
      </c>
      <c r="BA264" s="259">
        <f t="shared" ca="1" si="632"/>
        <v>0</v>
      </c>
      <c r="BB264" s="259">
        <f t="shared" ca="1" si="617"/>
        <v>0</v>
      </c>
      <c r="BC264" s="259">
        <f t="shared" ca="1" si="618"/>
        <v>0</v>
      </c>
      <c r="BD264" s="259">
        <f t="shared" ca="1" si="619"/>
        <v>0</v>
      </c>
      <c r="BE264" s="259">
        <f t="shared" ca="1" si="620"/>
        <v>0</v>
      </c>
      <c r="BQ264" s="259" t="str">
        <f ca="1">IFERROR(INDEX($BN$3:$BO$200,MATCH(ROWS(BQ$3:BQ264),$BP$3:$BP$220,0),1),"")</f>
        <v/>
      </c>
      <c r="CX264" s="259">
        <f t="shared" ca="1" si="654"/>
        <v>15</v>
      </c>
      <c r="CY264" s="259" t="str">
        <f t="shared" ca="1" si="643"/>
        <v>MASTRO</v>
      </c>
      <c r="CZ264" s="259" t="e">
        <f t="shared" ca="1" si="656"/>
        <v>#N/A</v>
      </c>
      <c r="DA264" s="259" t="str">
        <f t="shared" ca="1" si="661"/>
        <v/>
      </c>
      <c r="DB264" s="259" t="str">
        <f t="shared" ca="1" si="657"/>
        <v/>
      </c>
      <c r="DC264" s="259" t="str">
        <f t="shared" ca="1" si="658"/>
        <v/>
      </c>
      <c r="DD264" s="259" t="str">
        <f t="shared" ca="1" si="659"/>
        <v/>
      </c>
      <c r="DE264" s="259" t="str">
        <f t="shared" ca="1" si="660"/>
        <v/>
      </c>
      <c r="DF264" s="259">
        <f ca="1">IF(AND(CX264=$DE$2,$DF$2&lt;&gt;0),0,IF(AND(DB264&lt;&gt;"",OR(DB263&lt;&gt;"",DB265&lt;&gt;"")),MAX($DF$2:DF263)+1,0))</f>
        <v>0</v>
      </c>
      <c r="DG264" s="259" t="str">
        <f>IF(IF(LIBRO_GIORNALE!E172="","",IFERROR(INDEX(PIANO_DEI_CONTI,MATCH(BB264,DENOMINAZIONE,0),1),0))=0,"",IF(LIBRO_GIORNALE!E172="","",IFERROR(INDEX(PIANO_DEI_CONTI,MATCH(BB264,DENOMINAZIONE,0),1),0)))</f>
        <v/>
      </c>
      <c r="EC264" s="259">
        <f>IF(IF(DG264&lt;&gt;"",REPLACE(DG264,3,1,""),0)&lt;&gt;0,MAX(EC$2:EC263)+1,0)</f>
        <v>0</v>
      </c>
      <c r="ED264" s="259">
        <f t="shared" ca="1" si="662"/>
        <v>0</v>
      </c>
      <c r="EL264" s="259">
        <f t="shared" si="670"/>
        <v>262</v>
      </c>
      <c r="EM264" s="259">
        <f ca="1">IF(AND(BA264&gt;0,BA264&lt;=$EM$1),MAX($EM$2:EM263)+1,0)</f>
        <v>0</v>
      </c>
      <c r="EN264" s="259">
        <f t="shared" ca="1" si="671"/>
        <v>264</v>
      </c>
      <c r="EP264" s="259" t="str">
        <f t="shared" ca="1" si="663"/>
        <v/>
      </c>
      <c r="EQ264" s="259">
        <f t="shared" ca="1" si="664"/>
        <v>0</v>
      </c>
      <c r="ER264" s="259">
        <f ca="1">IF(ISNA(EQ264),MAX(ER$2:ER263)+1,0)</f>
        <v>0</v>
      </c>
      <c r="ES264" s="259" t="str">
        <f t="shared" ca="1" si="672"/>
        <v/>
      </c>
      <c r="ET264" s="259" t="str">
        <f ca="1">IFERROR(UPPER(INDEX($ER$3:$ES$500,MATCH(ROWS(ET$3:ET264),$ER$3:$ER$500,0),2)),"")</f>
        <v/>
      </c>
      <c r="EW264" s="259">
        <f t="shared" ca="1" si="633"/>
        <v>1</v>
      </c>
      <c r="EX264" s="259">
        <v>162</v>
      </c>
      <c r="EY264" s="259">
        <f t="shared" ca="1" si="634"/>
        <v>0</v>
      </c>
      <c r="EZ264" s="259">
        <f t="shared" ca="1" si="635"/>
        <v>0</v>
      </c>
      <c r="FA264" s="259">
        <f t="shared" ca="1" si="636"/>
        <v>0</v>
      </c>
      <c r="FB264" s="259">
        <f t="shared" ca="1" si="637"/>
        <v>0</v>
      </c>
      <c r="FC264" s="259">
        <f t="shared" ca="1" si="638"/>
        <v>0</v>
      </c>
      <c r="FD264" s="259">
        <f t="shared" ca="1" si="665"/>
        <v>0</v>
      </c>
      <c r="FE264" s="259" t="str">
        <f t="shared" ca="1" si="666"/>
        <v/>
      </c>
      <c r="FF264" s="259" t="str">
        <f t="shared" ca="1" si="639"/>
        <v/>
      </c>
      <c r="FM264" s="259">
        <f t="shared" si="667"/>
        <v>0</v>
      </c>
      <c r="FN264" s="259">
        <f>IF(FM264&lt;0,MAX($FN$2:FN263)+1,0)</f>
        <v>0</v>
      </c>
      <c r="FO264" s="259" t="str">
        <f t="shared" si="673"/>
        <v/>
      </c>
      <c r="FP264" s="259" t="str">
        <f ca="1">IFERROR(INDEX($FN$3:$FO$400,MATCH(ROWS($FP$3:FP264),$FN$3:$FN$400,0),2),"")</f>
        <v/>
      </c>
      <c r="FQ264" s="259" t="str">
        <f>IF(AE264="SE AVERE",MAX($FQ$2:FQ263)+1,"")</f>
        <v/>
      </c>
      <c r="FR264" s="259" t="str">
        <f>IF(AE264="SE DARE",MAX($FR$2:FR263)+1,"")</f>
        <v/>
      </c>
      <c r="FS264" s="259" t="str">
        <f ca="1">IF(AND(AE264="SP DARE",AA264&lt;&gt;$FS$1,AA264&lt;&gt;$FT$1),MAX($FS$2:FS263)+1,IF(AND(GQ264="SP DARE",AA264&lt;&gt;$FS$1,AA264&lt;&gt;$FT$1),MAX($FS$2:FS263)+1,""))</f>
        <v/>
      </c>
      <c r="FT264" s="259" t="str">
        <f ca="1">IF(AND(AE264="SP AVERE",AA264&lt;&gt;$FU$1),MAX($FT$2:FT263)+1,IF(AND(GQ264="SP AVERE",AA264&lt;&gt;$FU$1),MAX($FT$2:FT263)+1,""))</f>
        <v/>
      </c>
      <c r="FU264" s="259">
        <f t="shared" ca="1" si="674"/>
        <v>0</v>
      </c>
      <c r="FV264" s="259">
        <f t="shared" si="675"/>
        <v>0</v>
      </c>
      <c r="FW264" s="259">
        <f ca="1">IFERROR(INDEX($FU$3:$FV$500,MATCH(ROWS($FW$3:FW264),$FU$3:$FU$500,0),2),0)</f>
        <v>0</v>
      </c>
      <c r="FX264" s="259">
        <f t="shared" ca="1" si="676"/>
        <v>0</v>
      </c>
      <c r="FY264" s="259">
        <f t="shared" ca="1" si="677"/>
        <v>0</v>
      </c>
      <c r="FZ264" s="259">
        <f ca="1">IF(FY264&gt;0,MAX($FZ$2:FZ263)+1,0)</f>
        <v>0</v>
      </c>
      <c r="GA264" s="259">
        <f ca="1">IFERROR(INDEX($FY$3:$FZ$500,MATCH(ROWS($GA$3:GA264),$FZ$3:$FZ$500,0),1),0)</f>
        <v>0</v>
      </c>
      <c r="GC264" s="259">
        <f t="shared" ca="1" si="678"/>
        <v>0</v>
      </c>
      <c r="GD264" s="259">
        <f t="shared" ca="1" si="679"/>
        <v>0</v>
      </c>
      <c r="GG264" s="259">
        <f t="shared" ca="1" si="680"/>
        <v>0</v>
      </c>
      <c r="GH264" s="259">
        <f t="shared" ca="1" si="681"/>
        <v>0</v>
      </c>
      <c r="GI264" s="259">
        <f t="shared" ca="1" si="682"/>
        <v>0</v>
      </c>
      <c r="GJ264" s="259">
        <f t="shared" ca="1" si="683"/>
        <v>0</v>
      </c>
      <c r="GK264" s="259">
        <f t="shared" ca="1" si="684"/>
        <v>0</v>
      </c>
      <c r="GL264" s="259">
        <f t="shared" ca="1" si="684"/>
        <v>0</v>
      </c>
      <c r="GM264" s="259">
        <f ca="1">IF(OR(GK264&gt;0,GL264&gt;0),MAX($GM$2:GM263)+1,0)</f>
        <v>0</v>
      </c>
      <c r="GN264" s="259" t="str">
        <f ca="1">IFERROR(INDEX($GD$3:$GM$400,MATCH(ROWS($GN$3:GN264),$GM$3:$GM$400,0),1),"")</f>
        <v/>
      </c>
      <c r="GO264" s="259" t="str">
        <f ca="1">IFERROR(INDEX($GD$3:$GM$400,MATCH(ROWS($GO$3:GO264),$GM$3:$GM$400,0),8),"")</f>
        <v/>
      </c>
      <c r="GP264" s="259" t="str">
        <f ca="1">IFERROR(INDEX($GD$3:$GM$400,MATCH(ROWS($GP$3:GP264),$GM$3:$GM$400,0),9),"")</f>
        <v/>
      </c>
      <c r="GQ264" s="259">
        <f t="shared" ca="1" si="668"/>
        <v>0</v>
      </c>
      <c r="GR264" s="259">
        <f t="shared" ca="1" si="685"/>
        <v>0</v>
      </c>
      <c r="GS264" s="259" t="str">
        <f t="shared" ca="1" si="686"/>
        <v/>
      </c>
      <c r="GT264" s="259" t="str">
        <f ca="1">IFERROR(INDEX($GD$3:$GS$400,MATCH(ROWS($GT$3:GT264),$GM$3:$GM$400,0),16),"")</f>
        <v/>
      </c>
      <c r="GU264" s="259">
        <f ca="1">IF(GQ264&lt;&gt;0,MAX($GU$2:$GU263)+1,0)</f>
        <v>0</v>
      </c>
      <c r="GV264" s="259">
        <f t="shared" ca="1" si="687"/>
        <v>0</v>
      </c>
      <c r="GW264" s="259" t="str">
        <f ca="1">IF(AND(IFERROR(INDEX($GU$3:$GV$400,MATCH(ROWS($GW$3:GW264),$GU$3:$GU$400,0),2),"")&lt;&gt;"",GW265&lt;&gt;""),CONCATENATE(IFERROR(INDEX($GU$3:$GV$400,MATCH(ROWS($GW$3:GW264),$GU$3:$GU$400,0),2),"")," - "),IFERROR(INDEX($GU$3:$GV$400,MATCH(ROWS($GW$3:GW264),$GU$3:$GU$400,0),2),""))</f>
        <v/>
      </c>
      <c r="GX264" s="259">
        <f ca="1">IF(OR(GN264="IVA NS/CREDITO",GN264="IVA NS/DEBITO",GN264="IVA C/ACCONTO",GN264="IMPOSTE C/ACCONTO"),MAX($GX$2:GX263)+1,0)</f>
        <v>0</v>
      </c>
      <c r="GY264" s="259" t="str">
        <f ca="1">IF(AND(IFERROR(INDEX($GN$3:$GX$200,MATCH(ROWS($GY$3:GY264),$GX$3:$GX$200,0),1),"")&lt;&gt;"",GY265&lt;&gt;""),CONCATENATE(IFERROR(INDEX($GN$3:$GX$200,MATCH(ROWS($GY$3:GY264),$GX$3:$GX$200,0),1),"")," - "),IFERROR(INDEX($GN$3:$GX$200,MATCH(ROWS($GY$3:GY264),$GX$3:$GX$200,0),1),""))</f>
        <v/>
      </c>
      <c r="JA264" s="259" t="str">
        <f t="shared" ca="1" si="688"/>
        <v/>
      </c>
      <c r="JB264" s="259">
        <f t="shared" ca="1" si="669"/>
        <v>0</v>
      </c>
      <c r="JC264" s="259">
        <f t="shared" ca="1" si="640"/>
        <v>0</v>
      </c>
      <c r="JD264" s="259">
        <f t="shared" ca="1" si="641"/>
        <v>0</v>
      </c>
      <c r="JM264" s="259">
        <f t="shared" ca="1" si="642"/>
        <v>0</v>
      </c>
    </row>
    <row r="265" spans="52:273">
      <c r="AZ265" s="259" t="str">
        <f t="shared" ca="1" si="616"/>
        <v/>
      </c>
      <c r="BA265" s="259">
        <f t="shared" ca="1" si="632"/>
        <v>0</v>
      </c>
      <c r="BB265" s="259">
        <f t="shared" ca="1" si="617"/>
        <v>0</v>
      </c>
      <c r="BC265" s="259">
        <f t="shared" ca="1" si="618"/>
        <v>0</v>
      </c>
      <c r="BD265" s="259">
        <f t="shared" ca="1" si="619"/>
        <v>0</v>
      </c>
      <c r="BE265" s="259">
        <f t="shared" ca="1" si="620"/>
        <v>0</v>
      </c>
      <c r="BQ265" s="259" t="str">
        <f ca="1">IFERROR(INDEX($BN$3:$BO$200,MATCH(ROWS(BQ$3:BQ265),$BP$3:$BP$220,0),1),"")</f>
        <v/>
      </c>
      <c r="CX265" s="259">
        <f t="shared" ca="1" si="654"/>
        <v>15</v>
      </c>
      <c r="CY265" s="259" t="str">
        <f t="shared" ca="1" si="643"/>
        <v>MASTRO</v>
      </c>
      <c r="CZ265" s="259" t="e">
        <f t="shared" ca="1" si="656"/>
        <v>#N/A</v>
      </c>
      <c r="DA265" s="259" t="str">
        <f t="shared" ca="1" si="661"/>
        <v/>
      </c>
      <c r="DB265" s="259" t="str">
        <f t="shared" ca="1" si="657"/>
        <v/>
      </c>
      <c r="DC265" s="259" t="str">
        <f t="shared" ca="1" si="658"/>
        <v/>
      </c>
      <c r="DD265" s="259" t="str">
        <f t="shared" ca="1" si="659"/>
        <v/>
      </c>
      <c r="DE265" s="259" t="str">
        <f t="shared" ca="1" si="660"/>
        <v/>
      </c>
      <c r="DF265" s="259">
        <f ca="1">IF(AND(CX265=$DE$2,$DF$2&lt;&gt;0),0,IF(AND(DB265&lt;&gt;"",OR(DB264&lt;&gt;"",DB266&lt;&gt;"")),MAX($DF$2:DF264)+1,0))</f>
        <v>0</v>
      </c>
      <c r="DG265" s="259" t="str">
        <f>IF(IF(LIBRO_GIORNALE!E173="","",IFERROR(INDEX(PIANO_DEI_CONTI,MATCH(BB265,DENOMINAZIONE,0),1),0))=0,"",IF(LIBRO_GIORNALE!E173="","",IFERROR(INDEX(PIANO_DEI_CONTI,MATCH(BB265,DENOMINAZIONE,0),1),0)))</f>
        <v/>
      </c>
      <c r="EC265" s="259">
        <f>IF(IF(DG265&lt;&gt;"",REPLACE(DG265,3,1,""),0)&lt;&gt;0,MAX(EC$2:EC264)+1,0)</f>
        <v>0</v>
      </c>
      <c r="ED265" s="259">
        <f t="shared" ca="1" si="662"/>
        <v>0</v>
      </c>
      <c r="EL265" s="259">
        <f t="shared" si="670"/>
        <v>263</v>
      </c>
      <c r="EM265" s="259">
        <f ca="1">IF(AND(BA265&gt;0,BA265&lt;=$EM$1),MAX($EM$2:EM264)+1,0)</f>
        <v>0</v>
      </c>
      <c r="EN265" s="259">
        <f t="shared" ca="1" si="671"/>
        <v>265</v>
      </c>
      <c r="EP265" s="259" t="str">
        <f t="shared" ca="1" si="663"/>
        <v/>
      </c>
      <c r="EQ265" s="259">
        <f t="shared" ca="1" si="664"/>
        <v>0</v>
      </c>
      <c r="ER265" s="259">
        <f ca="1">IF(ISNA(EQ265),MAX(ER$2:ER264)+1,0)</f>
        <v>0</v>
      </c>
      <c r="ES265" s="259" t="str">
        <f t="shared" ca="1" si="672"/>
        <v/>
      </c>
      <c r="ET265" s="259" t="str">
        <f ca="1">IFERROR(UPPER(INDEX($ER$3:$ES$500,MATCH(ROWS(ET$3:ET265),$ER$3:$ER$500,0),2)),"")</f>
        <v/>
      </c>
      <c r="EW265" s="259">
        <f t="shared" ca="1" si="633"/>
        <v>1</v>
      </c>
      <c r="EX265" s="259">
        <v>163</v>
      </c>
      <c r="EY265" s="259">
        <f t="shared" ca="1" si="634"/>
        <v>0</v>
      </c>
      <c r="EZ265" s="259">
        <f t="shared" ca="1" si="635"/>
        <v>0</v>
      </c>
      <c r="FA265" s="259">
        <f t="shared" ca="1" si="636"/>
        <v>0</v>
      </c>
      <c r="FB265" s="259">
        <f t="shared" ca="1" si="637"/>
        <v>0</v>
      </c>
      <c r="FC265" s="259">
        <f t="shared" ca="1" si="638"/>
        <v>0</v>
      </c>
      <c r="FD265" s="259">
        <f t="shared" ca="1" si="665"/>
        <v>0</v>
      </c>
      <c r="FE265" s="259" t="str">
        <f t="shared" ca="1" si="666"/>
        <v/>
      </c>
      <c r="FF265" s="259" t="str">
        <f t="shared" ca="1" si="639"/>
        <v/>
      </c>
      <c r="FM265" s="259">
        <f t="shared" si="667"/>
        <v>0</v>
      </c>
      <c r="FN265" s="259">
        <f>IF(FM265&lt;0,MAX($FN$2:FN264)+1,0)</f>
        <v>0</v>
      </c>
      <c r="FO265" s="259" t="str">
        <f t="shared" si="673"/>
        <v/>
      </c>
      <c r="FP265" s="259" t="str">
        <f ca="1">IFERROR(INDEX($FN$3:$FO$400,MATCH(ROWS($FP$3:FP265),$FN$3:$FN$400,0),2),"")</f>
        <v/>
      </c>
      <c r="FQ265" s="259" t="str">
        <f>IF(AE265="SE AVERE",MAX($FQ$2:FQ264)+1,"")</f>
        <v/>
      </c>
      <c r="FR265" s="259" t="str">
        <f>IF(AE265="SE DARE",MAX($FR$2:FR264)+1,"")</f>
        <v/>
      </c>
      <c r="FS265" s="259" t="str">
        <f ca="1">IF(AND(AE265="SP DARE",AA265&lt;&gt;$FS$1,AA265&lt;&gt;$FT$1),MAX($FS$2:FS264)+1,IF(AND(GQ265="SP DARE",AA265&lt;&gt;$FS$1,AA265&lt;&gt;$FT$1),MAX($FS$2:FS264)+1,""))</f>
        <v/>
      </c>
      <c r="FT265" s="259" t="str">
        <f ca="1">IF(AND(AE265="SP AVERE",AA265&lt;&gt;$FU$1),MAX($FT$2:FT264)+1,IF(AND(GQ265="SP AVERE",AA265&lt;&gt;$FU$1),MAX($FT$2:FT264)+1,""))</f>
        <v/>
      </c>
      <c r="FU265" s="259">
        <f t="shared" ca="1" si="674"/>
        <v>0</v>
      </c>
      <c r="FV265" s="259">
        <f t="shared" si="675"/>
        <v>0</v>
      </c>
      <c r="FW265" s="259">
        <f ca="1">IFERROR(INDEX($FU$3:$FV$500,MATCH(ROWS($FW$3:FW265),$FU$3:$FU$500,0),2),0)</f>
        <v>0</v>
      </c>
      <c r="FX265" s="259">
        <f t="shared" ca="1" si="676"/>
        <v>0</v>
      </c>
      <c r="FY265" s="259">
        <f t="shared" ca="1" si="677"/>
        <v>0</v>
      </c>
      <c r="FZ265" s="259">
        <f ca="1">IF(FY265&gt;0,MAX($FZ$2:FZ264)+1,0)</f>
        <v>0</v>
      </c>
      <c r="GA265" s="259">
        <f ca="1">IFERROR(INDEX($FY$3:$FZ$500,MATCH(ROWS($GA$3:GA265),$FZ$3:$FZ$500,0),1),0)</f>
        <v>0</v>
      </c>
      <c r="GC265" s="259">
        <f t="shared" ca="1" si="678"/>
        <v>0</v>
      </c>
      <c r="GD265" s="259">
        <f t="shared" ca="1" si="679"/>
        <v>0</v>
      </c>
      <c r="GG265" s="259">
        <f t="shared" ca="1" si="680"/>
        <v>0</v>
      </c>
      <c r="GH265" s="259">
        <f t="shared" ca="1" si="681"/>
        <v>0</v>
      </c>
      <c r="GI265" s="259">
        <f t="shared" ca="1" si="682"/>
        <v>0</v>
      </c>
      <c r="GJ265" s="259">
        <f t="shared" ca="1" si="683"/>
        <v>0</v>
      </c>
      <c r="GK265" s="259">
        <f t="shared" ca="1" si="684"/>
        <v>0</v>
      </c>
      <c r="GL265" s="259">
        <f t="shared" ca="1" si="684"/>
        <v>0</v>
      </c>
      <c r="GM265" s="259">
        <f ca="1">IF(OR(GK265&gt;0,GL265&gt;0),MAX($GM$2:GM264)+1,0)</f>
        <v>0</v>
      </c>
      <c r="GN265" s="259" t="str">
        <f ca="1">IFERROR(INDEX($GD$3:$GM$400,MATCH(ROWS($GN$3:GN265),$GM$3:$GM$400,0),1),"")</f>
        <v/>
      </c>
      <c r="GO265" s="259" t="str">
        <f ca="1">IFERROR(INDEX($GD$3:$GM$400,MATCH(ROWS($GO$3:GO265),$GM$3:$GM$400,0),8),"")</f>
        <v/>
      </c>
      <c r="GP265" s="259" t="str">
        <f ca="1">IFERROR(INDEX($GD$3:$GM$400,MATCH(ROWS($GP$3:GP265),$GM$3:$GM$400,0),9),"")</f>
        <v/>
      </c>
      <c r="GQ265" s="259">
        <f t="shared" ca="1" si="668"/>
        <v>0</v>
      </c>
      <c r="GR265" s="259">
        <f t="shared" ca="1" si="685"/>
        <v>0</v>
      </c>
      <c r="GS265" s="259" t="str">
        <f t="shared" ca="1" si="686"/>
        <v/>
      </c>
      <c r="GT265" s="259" t="str">
        <f ca="1">IFERROR(INDEX($GD$3:$GS$400,MATCH(ROWS($GT$3:GT265),$GM$3:$GM$400,0),16),"")</f>
        <v/>
      </c>
      <c r="GU265" s="259">
        <f ca="1">IF(GQ265&lt;&gt;0,MAX($GU$2:$GU264)+1,0)</f>
        <v>0</v>
      </c>
      <c r="GV265" s="259">
        <f t="shared" ca="1" si="687"/>
        <v>0</v>
      </c>
      <c r="GW265" s="259" t="str">
        <f ca="1">IF(AND(IFERROR(INDEX($GU$3:$GV$400,MATCH(ROWS($GW$3:GW265),$GU$3:$GU$400,0),2),"")&lt;&gt;"",GW266&lt;&gt;""),CONCATENATE(IFERROR(INDEX($GU$3:$GV$400,MATCH(ROWS($GW$3:GW265),$GU$3:$GU$400,0),2),"")," - "),IFERROR(INDEX($GU$3:$GV$400,MATCH(ROWS($GW$3:GW265),$GU$3:$GU$400,0),2),""))</f>
        <v/>
      </c>
      <c r="GX265" s="259">
        <f ca="1">IF(OR(GN265="IVA NS/CREDITO",GN265="IVA NS/DEBITO",GN265="IVA C/ACCONTO",GN265="IMPOSTE C/ACCONTO"),MAX($GX$2:GX264)+1,0)</f>
        <v>0</v>
      </c>
      <c r="GY265" s="259" t="str">
        <f ca="1">IF(AND(IFERROR(INDEX($GN$3:$GX$200,MATCH(ROWS($GY$3:GY265),$GX$3:$GX$200,0),1),"")&lt;&gt;"",GY266&lt;&gt;""),CONCATENATE(IFERROR(INDEX($GN$3:$GX$200,MATCH(ROWS($GY$3:GY265),$GX$3:$GX$200,0),1),"")," - "),IFERROR(INDEX($GN$3:$GX$200,MATCH(ROWS($GY$3:GY265),$GX$3:$GX$200,0),1),""))</f>
        <v/>
      </c>
      <c r="JA265" s="259" t="str">
        <f t="shared" ca="1" si="688"/>
        <v/>
      </c>
      <c r="JB265" s="259">
        <f t="shared" ca="1" si="669"/>
        <v>0</v>
      </c>
      <c r="JC265" s="259">
        <f t="shared" ca="1" si="640"/>
        <v>0</v>
      </c>
      <c r="JD265" s="259">
        <f t="shared" ca="1" si="641"/>
        <v>0</v>
      </c>
      <c r="JM265" s="259">
        <f t="shared" ca="1" si="642"/>
        <v>0</v>
      </c>
    </row>
    <row r="266" spans="52:273">
      <c r="AZ266" s="259" t="str">
        <f t="shared" ca="1" si="616"/>
        <v/>
      </c>
      <c r="BA266" s="259">
        <f t="shared" ca="1" si="632"/>
        <v>0</v>
      </c>
      <c r="BB266" s="259">
        <f t="shared" ca="1" si="617"/>
        <v>0</v>
      </c>
      <c r="BC266" s="259">
        <f t="shared" ca="1" si="618"/>
        <v>0</v>
      </c>
      <c r="BD266" s="259">
        <f t="shared" ca="1" si="619"/>
        <v>0</v>
      </c>
      <c r="BE266" s="259">
        <f t="shared" ca="1" si="620"/>
        <v>0</v>
      </c>
      <c r="BQ266" s="259" t="str">
        <f ca="1">IFERROR(INDEX($BN$3:$BO$200,MATCH(ROWS(BQ$3:BQ266),$BP$3:$BP$220,0),1),"")</f>
        <v/>
      </c>
      <c r="CX266" s="259">
        <f t="shared" ca="1" si="654"/>
        <v>15</v>
      </c>
      <c r="CY266" s="259" t="str">
        <f t="shared" ca="1" si="643"/>
        <v>MASTRO</v>
      </c>
      <c r="CZ266" s="259" t="e">
        <f t="shared" ca="1" si="656"/>
        <v>#N/A</v>
      </c>
      <c r="DA266" s="259" t="str">
        <f t="shared" ca="1" si="661"/>
        <v/>
      </c>
      <c r="DB266" s="259" t="str">
        <f t="shared" ca="1" si="657"/>
        <v/>
      </c>
      <c r="DC266" s="259" t="str">
        <f t="shared" ca="1" si="658"/>
        <v/>
      </c>
      <c r="DD266" s="259" t="str">
        <f t="shared" ca="1" si="659"/>
        <v/>
      </c>
      <c r="DE266" s="259" t="str">
        <f t="shared" ca="1" si="660"/>
        <v/>
      </c>
      <c r="DF266" s="259">
        <f ca="1">IF(AND(CX266=$DE$2,$DF$2&lt;&gt;0),0,IF(AND(DB266&lt;&gt;"",OR(DB265&lt;&gt;"",DB267&lt;&gt;"")),MAX($DF$2:DF265)+1,0))</f>
        <v>0</v>
      </c>
      <c r="DG266" s="259" t="str">
        <f>IF(IF(LIBRO_GIORNALE!E174="","",IFERROR(INDEX(PIANO_DEI_CONTI,MATCH(BB266,DENOMINAZIONE,0),1),0))=0,"",IF(LIBRO_GIORNALE!E174="","",IFERROR(INDEX(PIANO_DEI_CONTI,MATCH(BB266,DENOMINAZIONE,0),1),0)))</f>
        <v/>
      </c>
      <c r="EC266" s="259">
        <f>IF(IF(DG266&lt;&gt;"",REPLACE(DG266,3,1,""),0)&lt;&gt;0,MAX(EC$2:EC265)+1,0)</f>
        <v>0</v>
      </c>
      <c r="ED266" s="259">
        <f t="shared" ca="1" si="662"/>
        <v>0</v>
      </c>
      <c r="EL266" s="259">
        <f t="shared" si="670"/>
        <v>264</v>
      </c>
      <c r="EM266" s="259">
        <f ca="1">IF(AND(BA266&gt;0,BA266&lt;=$EM$1),MAX($EM$2:EM265)+1,0)</f>
        <v>0</v>
      </c>
      <c r="EN266" s="259">
        <f t="shared" ca="1" si="671"/>
        <v>266</v>
      </c>
      <c r="EP266" s="259" t="str">
        <f t="shared" ca="1" si="663"/>
        <v/>
      </c>
      <c r="EQ266" s="259">
        <f t="shared" ca="1" si="664"/>
        <v>0</v>
      </c>
      <c r="ER266" s="259">
        <f ca="1">IF(ISNA(EQ266),MAX(ER$2:ER265)+1,0)</f>
        <v>0</v>
      </c>
      <c r="ES266" s="259" t="str">
        <f t="shared" ca="1" si="672"/>
        <v/>
      </c>
      <c r="ET266" s="259" t="str">
        <f ca="1">IFERROR(UPPER(INDEX($ER$3:$ES$500,MATCH(ROWS(ET$3:ET266),$ER$3:$ER$500,0),2)),"")</f>
        <v/>
      </c>
      <c r="EW266" s="259">
        <f t="shared" ca="1" si="633"/>
        <v>1</v>
      </c>
      <c r="EX266" s="259">
        <v>164</v>
      </c>
      <c r="EY266" s="259">
        <f t="shared" ca="1" si="634"/>
        <v>0</v>
      </c>
      <c r="EZ266" s="259">
        <f t="shared" ca="1" si="635"/>
        <v>0</v>
      </c>
      <c r="FA266" s="259">
        <f t="shared" ca="1" si="636"/>
        <v>0</v>
      </c>
      <c r="FB266" s="259">
        <f t="shared" ca="1" si="637"/>
        <v>0</v>
      </c>
      <c r="FC266" s="259">
        <f t="shared" ca="1" si="638"/>
        <v>0</v>
      </c>
      <c r="FD266" s="259">
        <f t="shared" ca="1" si="665"/>
        <v>0</v>
      </c>
      <c r="FE266" s="259" t="str">
        <f t="shared" ca="1" si="666"/>
        <v/>
      </c>
      <c r="FF266" s="259" t="str">
        <f t="shared" ca="1" si="639"/>
        <v/>
      </c>
      <c r="FM266" s="259">
        <f t="shared" si="667"/>
        <v>0</v>
      </c>
      <c r="FN266" s="259">
        <f>IF(FM266&lt;0,MAX($FN$2:FN265)+1,0)</f>
        <v>0</v>
      </c>
      <c r="FO266" s="259" t="str">
        <f t="shared" si="673"/>
        <v/>
      </c>
      <c r="FP266" s="259" t="str">
        <f ca="1">IFERROR(INDEX($FN$3:$FO$400,MATCH(ROWS($FP$3:FP266),$FN$3:$FN$400,0),2),"")</f>
        <v/>
      </c>
      <c r="FQ266" s="259" t="str">
        <f>IF(AE266="SE AVERE",MAX($FQ$2:FQ265)+1,"")</f>
        <v/>
      </c>
      <c r="FR266" s="259" t="str">
        <f>IF(AE266="SE DARE",MAX($FR$2:FR265)+1,"")</f>
        <v/>
      </c>
      <c r="FS266" s="259" t="str">
        <f ca="1">IF(AND(AE266="SP DARE",AA266&lt;&gt;$FS$1,AA266&lt;&gt;$FT$1),MAX($FS$2:FS265)+1,IF(AND(GQ266="SP DARE",AA266&lt;&gt;$FS$1,AA266&lt;&gt;$FT$1),MAX($FS$2:FS265)+1,""))</f>
        <v/>
      </c>
      <c r="FT266" s="259" t="str">
        <f ca="1">IF(AND(AE266="SP AVERE",AA266&lt;&gt;$FU$1),MAX($FT$2:FT265)+1,IF(AND(GQ266="SP AVERE",AA266&lt;&gt;$FU$1),MAX($FT$2:FT265)+1,""))</f>
        <v/>
      </c>
      <c r="FU266" s="259">
        <f t="shared" ca="1" si="674"/>
        <v>0</v>
      </c>
      <c r="FV266" s="259">
        <f t="shared" si="675"/>
        <v>0</v>
      </c>
      <c r="FW266" s="259">
        <f ca="1">IFERROR(INDEX($FU$3:$FV$500,MATCH(ROWS($FW$3:FW266),$FU$3:$FU$500,0),2),0)</f>
        <v>0</v>
      </c>
      <c r="FX266" s="259">
        <f t="shared" ca="1" si="676"/>
        <v>0</v>
      </c>
      <c r="FY266" s="259">
        <f t="shared" ca="1" si="677"/>
        <v>0</v>
      </c>
      <c r="FZ266" s="259">
        <f ca="1">IF(FY266&gt;0,MAX($FZ$2:FZ265)+1,0)</f>
        <v>0</v>
      </c>
      <c r="GA266" s="259">
        <f ca="1">IFERROR(INDEX($FY$3:$FZ$500,MATCH(ROWS($GA$3:GA266),$FZ$3:$FZ$500,0),1),0)</f>
        <v>0</v>
      </c>
      <c r="GC266" s="259">
        <f t="shared" ca="1" si="678"/>
        <v>0</v>
      </c>
      <c r="GD266" s="259">
        <f t="shared" ca="1" si="679"/>
        <v>0</v>
      </c>
      <c r="GG266" s="259">
        <f t="shared" ca="1" si="680"/>
        <v>0</v>
      </c>
      <c r="GH266" s="259">
        <f t="shared" ca="1" si="681"/>
        <v>0</v>
      </c>
      <c r="GI266" s="259">
        <f t="shared" ca="1" si="682"/>
        <v>0</v>
      </c>
      <c r="GJ266" s="259">
        <f t="shared" ca="1" si="683"/>
        <v>0</v>
      </c>
      <c r="GK266" s="259">
        <f t="shared" ca="1" si="684"/>
        <v>0</v>
      </c>
      <c r="GL266" s="259">
        <f t="shared" ca="1" si="684"/>
        <v>0</v>
      </c>
      <c r="GM266" s="259">
        <f ca="1">IF(OR(GK266&gt;0,GL266&gt;0),MAX($GM$2:GM265)+1,0)</f>
        <v>0</v>
      </c>
      <c r="GN266" s="259" t="str">
        <f ca="1">IFERROR(INDEX($GD$3:$GM$400,MATCH(ROWS($GN$3:GN266),$GM$3:$GM$400,0),1),"")</f>
        <v/>
      </c>
      <c r="GO266" s="259" t="str">
        <f ca="1">IFERROR(INDEX($GD$3:$GM$400,MATCH(ROWS($GO$3:GO266),$GM$3:$GM$400,0),8),"")</f>
        <v/>
      </c>
      <c r="GP266" s="259" t="str">
        <f ca="1">IFERROR(INDEX($GD$3:$GM$400,MATCH(ROWS($GP$3:GP266),$GM$3:$GM$400,0),9),"")</f>
        <v/>
      </c>
      <c r="GQ266" s="259">
        <f t="shared" ca="1" si="668"/>
        <v>0</v>
      </c>
      <c r="GR266" s="259">
        <f t="shared" ca="1" si="685"/>
        <v>0</v>
      </c>
      <c r="GS266" s="259" t="str">
        <f t="shared" ca="1" si="686"/>
        <v/>
      </c>
      <c r="GT266" s="259" t="str">
        <f ca="1">IFERROR(INDEX($GD$3:$GS$400,MATCH(ROWS($GT$3:GT266),$GM$3:$GM$400,0),16),"")</f>
        <v/>
      </c>
      <c r="GU266" s="259">
        <f ca="1">IF(GQ266&lt;&gt;0,MAX($GU$2:$GU265)+1,0)</f>
        <v>0</v>
      </c>
      <c r="GV266" s="259">
        <f t="shared" ca="1" si="687"/>
        <v>0</v>
      </c>
      <c r="GW266" s="259" t="str">
        <f ca="1">IF(AND(IFERROR(INDEX($GU$3:$GV$400,MATCH(ROWS($GW$3:GW266),$GU$3:$GU$400,0),2),"")&lt;&gt;"",GW267&lt;&gt;""),CONCATENATE(IFERROR(INDEX($GU$3:$GV$400,MATCH(ROWS($GW$3:GW266),$GU$3:$GU$400,0),2),"")," - "),IFERROR(INDEX($GU$3:$GV$400,MATCH(ROWS($GW$3:GW266),$GU$3:$GU$400,0),2),""))</f>
        <v/>
      </c>
      <c r="GX266" s="259">
        <f ca="1">IF(OR(GN266="IVA NS/CREDITO",GN266="IVA NS/DEBITO",GN266="IVA C/ACCONTO",GN266="IMPOSTE C/ACCONTO"),MAX($GX$2:GX265)+1,0)</f>
        <v>0</v>
      </c>
      <c r="GY266" s="259" t="str">
        <f ca="1">IF(AND(IFERROR(INDEX($GN$3:$GX$200,MATCH(ROWS($GY$3:GY266),$GX$3:$GX$200,0),1),"")&lt;&gt;"",GY267&lt;&gt;""),CONCATENATE(IFERROR(INDEX($GN$3:$GX$200,MATCH(ROWS($GY$3:GY266),$GX$3:$GX$200,0),1),"")," - "),IFERROR(INDEX($GN$3:$GX$200,MATCH(ROWS($GY$3:GY266),$GX$3:$GX$200,0),1),""))</f>
        <v/>
      </c>
      <c r="JA266" s="259" t="str">
        <f t="shared" ca="1" si="688"/>
        <v/>
      </c>
      <c r="JB266" s="259">
        <f t="shared" ca="1" si="669"/>
        <v>0</v>
      </c>
      <c r="JC266" s="259">
        <f t="shared" ca="1" si="640"/>
        <v>0</v>
      </c>
      <c r="JD266" s="259">
        <f t="shared" ca="1" si="641"/>
        <v>0</v>
      </c>
      <c r="JM266" s="259">
        <f t="shared" ca="1" si="642"/>
        <v>0</v>
      </c>
    </row>
    <row r="267" spans="52:273">
      <c r="AZ267" s="259" t="str">
        <f t="shared" ca="1" si="616"/>
        <v/>
      </c>
      <c r="BA267" s="259">
        <f t="shared" ca="1" si="632"/>
        <v>0</v>
      </c>
      <c r="BB267" s="259">
        <f t="shared" ca="1" si="617"/>
        <v>0</v>
      </c>
      <c r="BC267" s="259">
        <f t="shared" ca="1" si="618"/>
        <v>0</v>
      </c>
      <c r="BD267" s="259">
        <f t="shared" ca="1" si="619"/>
        <v>0</v>
      </c>
      <c r="BE267" s="259">
        <f t="shared" ca="1" si="620"/>
        <v>0</v>
      </c>
      <c r="BQ267" s="259" t="str">
        <f ca="1">IFERROR(INDEX($BN$3:$BO$200,MATCH(ROWS(BQ$3:BQ267),$BP$3:$BP$220,0),1),"")</f>
        <v/>
      </c>
      <c r="CX267" s="259">
        <f t="shared" ca="1" si="654"/>
        <v>15</v>
      </c>
      <c r="CY267" s="259" t="str">
        <f t="shared" ca="1" si="643"/>
        <v>MASTRO</v>
      </c>
      <c r="CZ267" s="259" t="e">
        <f t="shared" ca="1" si="656"/>
        <v>#N/A</v>
      </c>
      <c r="DA267" s="259" t="str">
        <f t="shared" ca="1" si="661"/>
        <v/>
      </c>
      <c r="DB267" s="259" t="str">
        <f t="shared" ca="1" si="657"/>
        <v/>
      </c>
      <c r="DC267" s="259" t="str">
        <f t="shared" ca="1" si="658"/>
        <v/>
      </c>
      <c r="DD267" s="259" t="str">
        <f t="shared" ca="1" si="659"/>
        <v/>
      </c>
      <c r="DE267" s="259" t="str">
        <f t="shared" ca="1" si="660"/>
        <v/>
      </c>
      <c r="DF267" s="259">
        <f ca="1">IF(AND(CX267=$DE$2,$DF$2&lt;&gt;0),0,IF(AND(DB267&lt;&gt;"",OR(DB266&lt;&gt;"",DB268&lt;&gt;"")),MAX($DF$2:DF266)+1,0))</f>
        <v>0</v>
      </c>
      <c r="DG267" s="259" t="str">
        <f>IF(IF(LIBRO_GIORNALE!E175="","",IFERROR(INDEX(PIANO_DEI_CONTI,MATCH(BB267,DENOMINAZIONE,0),1),0))=0,"",IF(LIBRO_GIORNALE!E175="","",IFERROR(INDEX(PIANO_DEI_CONTI,MATCH(BB267,DENOMINAZIONE,0),1),0)))</f>
        <v/>
      </c>
      <c r="EC267" s="259">
        <f>IF(IF(DG267&lt;&gt;"",REPLACE(DG267,3,1,""),0)&lt;&gt;0,MAX(EC$2:EC266)+1,0)</f>
        <v>0</v>
      </c>
      <c r="ED267" s="259">
        <f t="shared" ca="1" si="662"/>
        <v>0</v>
      </c>
      <c r="EL267" s="259">
        <f t="shared" si="670"/>
        <v>265</v>
      </c>
      <c r="EM267" s="259">
        <f ca="1">IF(AND(BA267&gt;0,BA267&lt;=$EM$1),MAX($EM$2:EM266)+1,0)</f>
        <v>0</v>
      </c>
      <c r="EN267" s="259">
        <f t="shared" ca="1" si="671"/>
        <v>267</v>
      </c>
      <c r="EP267" s="259" t="str">
        <f t="shared" ca="1" si="663"/>
        <v/>
      </c>
      <c r="EQ267" s="259">
        <f t="shared" ca="1" si="664"/>
        <v>0</v>
      </c>
      <c r="ER267" s="259">
        <f ca="1">IF(ISNA(EQ267),MAX(ER$2:ER266)+1,0)</f>
        <v>0</v>
      </c>
      <c r="ES267" s="259" t="str">
        <f t="shared" ca="1" si="672"/>
        <v/>
      </c>
      <c r="ET267" s="259" t="str">
        <f ca="1">IFERROR(UPPER(INDEX($ER$3:$ES$500,MATCH(ROWS(ET$3:ET267),$ER$3:$ER$500,0),2)),"")</f>
        <v/>
      </c>
      <c r="EW267" s="259">
        <f t="shared" ca="1" si="633"/>
        <v>1</v>
      </c>
      <c r="EX267" s="259">
        <v>165</v>
      </c>
      <c r="EY267" s="259">
        <f t="shared" ca="1" si="634"/>
        <v>0</v>
      </c>
      <c r="EZ267" s="259">
        <f t="shared" ca="1" si="635"/>
        <v>0</v>
      </c>
      <c r="FA267" s="259">
        <f t="shared" ca="1" si="636"/>
        <v>0</v>
      </c>
      <c r="FB267" s="259">
        <f t="shared" ca="1" si="637"/>
        <v>0</v>
      </c>
      <c r="FC267" s="259">
        <f t="shared" ca="1" si="638"/>
        <v>0</v>
      </c>
      <c r="FD267" s="259">
        <f t="shared" ca="1" si="665"/>
        <v>0</v>
      </c>
      <c r="FE267" s="259" t="str">
        <f t="shared" ca="1" si="666"/>
        <v/>
      </c>
      <c r="FF267" s="259" t="str">
        <f t="shared" ca="1" si="639"/>
        <v/>
      </c>
      <c r="FM267" s="259">
        <f t="shared" si="667"/>
        <v>0</v>
      </c>
      <c r="FN267" s="259">
        <f>IF(FM267&lt;0,MAX($FN$2:FN266)+1,0)</f>
        <v>0</v>
      </c>
      <c r="FO267" s="259" t="str">
        <f t="shared" si="673"/>
        <v/>
      </c>
      <c r="FP267" s="259" t="str">
        <f ca="1">IFERROR(INDEX($FN$3:$FO$400,MATCH(ROWS($FP$3:FP267),$FN$3:$FN$400,0),2),"")</f>
        <v/>
      </c>
      <c r="FQ267" s="259" t="str">
        <f>IF(AE267="SE AVERE",MAX($FQ$2:FQ266)+1,"")</f>
        <v/>
      </c>
      <c r="FR267" s="259" t="str">
        <f>IF(AE267="SE DARE",MAX($FR$2:FR266)+1,"")</f>
        <v/>
      </c>
      <c r="FS267" s="259" t="str">
        <f ca="1">IF(AND(AE267="SP DARE",AA267&lt;&gt;$FS$1,AA267&lt;&gt;$FT$1),MAX($FS$2:FS266)+1,IF(AND(GQ267="SP DARE",AA267&lt;&gt;$FS$1,AA267&lt;&gt;$FT$1),MAX($FS$2:FS266)+1,""))</f>
        <v/>
      </c>
      <c r="FT267" s="259" t="str">
        <f ca="1">IF(AND(AE267="SP AVERE",AA267&lt;&gt;$FU$1),MAX($FT$2:FT266)+1,IF(AND(GQ267="SP AVERE",AA267&lt;&gt;$FU$1),MAX($FT$2:FT266)+1,""))</f>
        <v/>
      </c>
      <c r="FU267" s="259">
        <f t="shared" ca="1" si="674"/>
        <v>0</v>
      </c>
      <c r="FV267" s="259">
        <f t="shared" si="675"/>
        <v>0</v>
      </c>
      <c r="FW267" s="259">
        <f ca="1">IFERROR(INDEX($FU$3:$FV$500,MATCH(ROWS($FW$3:FW267),$FU$3:$FU$500,0),2),0)</f>
        <v>0</v>
      </c>
      <c r="FX267" s="259">
        <f t="shared" ca="1" si="676"/>
        <v>0</v>
      </c>
      <c r="FY267" s="259">
        <f t="shared" ca="1" si="677"/>
        <v>0</v>
      </c>
      <c r="FZ267" s="259">
        <f ca="1">IF(FY267&gt;0,MAX($FZ$2:FZ266)+1,0)</f>
        <v>0</v>
      </c>
      <c r="GA267" s="259">
        <f ca="1">IFERROR(INDEX($FY$3:$FZ$500,MATCH(ROWS($GA$3:GA267),$FZ$3:$FZ$500,0),1),0)</f>
        <v>0</v>
      </c>
      <c r="GC267" s="259">
        <f t="shared" ca="1" si="678"/>
        <v>0</v>
      </c>
      <c r="GD267" s="259">
        <f t="shared" ca="1" si="679"/>
        <v>0</v>
      </c>
      <c r="GG267" s="259">
        <f t="shared" ca="1" si="680"/>
        <v>0</v>
      </c>
      <c r="GH267" s="259">
        <f t="shared" ca="1" si="681"/>
        <v>0</v>
      </c>
      <c r="GI267" s="259">
        <f t="shared" ca="1" si="682"/>
        <v>0</v>
      </c>
      <c r="GJ267" s="259">
        <f t="shared" ca="1" si="683"/>
        <v>0</v>
      </c>
      <c r="GK267" s="259">
        <f t="shared" ca="1" si="684"/>
        <v>0</v>
      </c>
      <c r="GL267" s="259">
        <f t="shared" ca="1" si="684"/>
        <v>0</v>
      </c>
      <c r="GM267" s="259">
        <f ca="1">IF(OR(GK267&gt;0,GL267&gt;0),MAX($GM$2:GM266)+1,0)</f>
        <v>0</v>
      </c>
      <c r="GN267" s="259" t="str">
        <f ca="1">IFERROR(INDEX($GD$3:$GM$400,MATCH(ROWS($GN$3:GN267),$GM$3:$GM$400,0),1),"")</f>
        <v/>
      </c>
      <c r="GO267" s="259" t="str">
        <f ca="1">IFERROR(INDEX($GD$3:$GM$400,MATCH(ROWS($GO$3:GO267),$GM$3:$GM$400,0),8),"")</f>
        <v/>
      </c>
      <c r="GP267" s="259" t="str">
        <f ca="1">IFERROR(INDEX($GD$3:$GM$400,MATCH(ROWS($GP$3:GP267),$GM$3:$GM$400,0),9),"")</f>
        <v/>
      </c>
      <c r="GQ267" s="259">
        <f t="shared" ca="1" si="668"/>
        <v>0</v>
      </c>
      <c r="GR267" s="259">
        <f t="shared" ca="1" si="685"/>
        <v>0</v>
      </c>
      <c r="GS267" s="259" t="str">
        <f t="shared" ca="1" si="686"/>
        <v/>
      </c>
      <c r="GT267" s="259" t="str">
        <f ca="1">IFERROR(INDEX($GD$3:$GS$400,MATCH(ROWS($GT$3:GT267),$GM$3:$GM$400,0),16),"")</f>
        <v/>
      </c>
      <c r="GU267" s="259">
        <f ca="1">IF(GQ267&lt;&gt;0,MAX($GU$2:$GU266)+1,0)</f>
        <v>0</v>
      </c>
      <c r="GV267" s="259">
        <f t="shared" ca="1" si="687"/>
        <v>0</v>
      </c>
      <c r="GW267" s="259" t="str">
        <f ca="1">IF(AND(IFERROR(INDEX($GU$3:$GV$400,MATCH(ROWS($GW$3:GW267),$GU$3:$GU$400,0),2),"")&lt;&gt;"",GW268&lt;&gt;""),CONCATENATE(IFERROR(INDEX($GU$3:$GV$400,MATCH(ROWS($GW$3:GW267),$GU$3:$GU$400,0),2),"")," - "),IFERROR(INDEX($GU$3:$GV$400,MATCH(ROWS($GW$3:GW267),$GU$3:$GU$400,0),2),""))</f>
        <v/>
      </c>
      <c r="GX267" s="259">
        <f ca="1">IF(OR(GN267="IVA NS/CREDITO",GN267="IVA NS/DEBITO",GN267="IVA C/ACCONTO",GN267="IMPOSTE C/ACCONTO"),MAX($GX$2:GX266)+1,0)</f>
        <v>0</v>
      </c>
      <c r="GY267" s="259" t="str">
        <f ca="1">IF(AND(IFERROR(INDEX($GN$3:$GX$200,MATCH(ROWS($GY$3:GY267),$GX$3:$GX$200,0),1),"")&lt;&gt;"",GY268&lt;&gt;""),CONCATENATE(IFERROR(INDEX($GN$3:$GX$200,MATCH(ROWS($GY$3:GY267),$GX$3:$GX$200,0),1),"")," - "),IFERROR(INDEX($GN$3:$GX$200,MATCH(ROWS($GY$3:GY267),$GX$3:$GX$200,0),1),""))</f>
        <v/>
      </c>
      <c r="JA267" s="259" t="str">
        <f t="shared" ca="1" si="688"/>
        <v/>
      </c>
      <c r="JB267" s="259">
        <f t="shared" ca="1" si="669"/>
        <v>0</v>
      </c>
      <c r="JC267" s="259">
        <f t="shared" ca="1" si="640"/>
        <v>0</v>
      </c>
      <c r="JD267" s="259">
        <f t="shared" ca="1" si="641"/>
        <v>0</v>
      </c>
      <c r="JM267" s="259">
        <f t="shared" ca="1" si="642"/>
        <v>0</v>
      </c>
    </row>
    <row r="268" spans="52:273">
      <c r="AZ268" s="259" t="str">
        <f t="shared" ref="AZ268:AZ331" ca="1" si="689">IF(BA268&lt;&gt;0,ROW()-202,"")</f>
        <v/>
      </c>
      <c r="BA268" s="259">
        <f t="shared" ca="1" si="632"/>
        <v>0</v>
      </c>
      <c r="BB268" s="259">
        <f t="shared" ref="BB268:BB331" ca="1" si="690">IF($BA268=0,0,EZ168)</f>
        <v>0</v>
      </c>
      <c r="BC268" s="259">
        <f t="shared" ref="BC268:BC331" ca="1" si="691">IF($BA268=0,0,FA168)</f>
        <v>0</v>
      </c>
      <c r="BD268" s="259">
        <f t="shared" ref="BD268:BD331" ca="1" si="692">IF($BA268=0,0,FB168)</f>
        <v>0</v>
      </c>
      <c r="BE268" s="259">
        <f t="shared" ref="BE268:BE331" ca="1" si="693">IF($BA268=0,0,FC168)</f>
        <v>0</v>
      </c>
      <c r="BQ268" s="259" t="str">
        <f ca="1">IFERROR(INDEX($BN$3:$BO$200,MATCH(ROWS(BQ$3:BQ268),$BP$3:$BP$220,0),1),"")</f>
        <v/>
      </c>
      <c r="CX268" s="259">
        <f t="shared" ca="1" si="654"/>
        <v>15</v>
      </c>
      <c r="CY268" s="259" t="str">
        <f t="shared" ca="1" si="643"/>
        <v>MASTRO</v>
      </c>
      <c r="CZ268" s="259" t="e">
        <f t="shared" ca="1" si="656"/>
        <v>#N/A</v>
      </c>
      <c r="DA268" s="259" t="str">
        <f t="shared" ca="1" si="661"/>
        <v/>
      </c>
      <c r="DB268" s="259" t="str">
        <f t="shared" ca="1" si="657"/>
        <v/>
      </c>
      <c r="DC268" s="259" t="str">
        <f t="shared" ca="1" si="658"/>
        <v/>
      </c>
      <c r="DD268" s="259" t="str">
        <f t="shared" ca="1" si="659"/>
        <v/>
      </c>
      <c r="DE268" s="259" t="str">
        <f t="shared" ca="1" si="660"/>
        <v/>
      </c>
      <c r="DF268" s="259">
        <f ca="1">IF(AND(CX268=$DE$2,$DF$2&lt;&gt;0),0,IF(AND(DB268&lt;&gt;"",OR(DB267&lt;&gt;"",DB269&lt;&gt;"")),MAX($DF$2:DF267)+1,0))</f>
        <v>0</v>
      </c>
      <c r="DG268" s="259" t="str">
        <f>IF(IF(LIBRO_GIORNALE!E176="","",IFERROR(INDEX(PIANO_DEI_CONTI,MATCH(BB268,DENOMINAZIONE,0),1),0))=0,"",IF(LIBRO_GIORNALE!E176="","",IFERROR(INDEX(PIANO_DEI_CONTI,MATCH(BB268,DENOMINAZIONE,0),1),0)))</f>
        <v/>
      </c>
      <c r="EC268" s="259">
        <f>IF(IF(DG268&lt;&gt;"",REPLACE(DG268,3,1,""),0)&lt;&gt;0,MAX(EC$2:EC267)+1,0)</f>
        <v>0</v>
      </c>
      <c r="ED268" s="259">
        <f t="shared" ca="1" si="662"/>
        <v>0</v>
      </c>
      <c r="EL268" s="259">
        <f t="shared" si="670"/>
        <v>266</v>
      </c>
      <c r="EM268" s="259">
        <f ca="1">IF(AND(BA268&gt;0,BA268&lt;=$EM$1),MAX($EM$2:EM267)+1,0)</f>
        <v>0</v>
      </c>
      <c r="EN268" s="259">
        <f t="shared" ca="1" si="671"/>
        <v>268</v>
      </c>
      <c r="EP268" s="259" t="str">
        <f t="shared" ca="1" si="663"/>
        <v/>
      </c>
      <c r="EQ268" s="259">
        <f t="shared" ca="1" si="664"/>
        <v>0</v>
      </c>
      <c r="ER268" s="259">
        <f ca="1">IF(ISNA(EQ268),MAX(ER$2:ER267)+1,0)</f>
        <v>0</v>
      </c>
      <c r="ES268" s="259" t="str">
        <f t="shared" ca="1" si="672"/>
        <v/>
      </c>
      <c r="ET268" s="259" t="str">
        <f ca="1">IFERROR(UPPER(INDEX($ER$3:$ES$500,MATCH(ROWS(ET$3:ET268),$ER$3:$ER$500,0),2)),"")</f>
        <v/>
      </c>
      <c r="EW268" s="259">
        <f t="shared" ca="1" si="633"/>
        <v>1</v>
      </c>
      <c r="EX268" s="259">
        <v>166</v>
      </c>
      <c r="EY268" s="259">
        <f t="shared" ca="1" si="634"/>
        <v>0</v>
      </c>
      <c r="EZ268" s="259">
        <f t="shared" ca="1" si="635"/>
        <v>0</v>
      </c>
      <c r="FA268" s="259">
        <f t="shared" ca="1" si="636"/>
        <v>0</v>
      </c>
      <c r="FB268" s="259">
        <f t="shared" ca="1" si="637"/>
        <v>0</v>
      </c>
      <c r="FC268" s="259">
        <f t="shared" ca="1" si="638"/>
        <v>0</v>
      </c>
      <c r="FD268" s="259">
        <f t="shared" ca="1" si="665"/>
        <v>0</v>
      </c>
      <c r="FE268" s="259" t="str">
        <f t="shared" ca="1" si="666"/>
        <v/>
      </c>
      <c r="FF268" s="259" t="str">
        <f t="shared" ca="1" si="639"/>
        <v/>
      </c>
      <c r="FM268" s="259">
        <f t="shared" si="667"/>
        <v>0</v>
      </c>
      <c r="FN268" s="259">
        <f>IF(FM268&lt;0,MAX($FN$2:FN267)+1,0)</f>
        <v>0</v>
      </c>
      <c r="FO268" s="259" t="str">
        <f t="shared" si="673"/>
        <v/>
      </c>
      <c r="FP268" s="259" t="str">
        <f ca="1">IFERROR(INDEX($FN$3:$FO$400,MATCH(ROWS($FP$3:FP268),$FN$3:$FN$400,0),2),"")</f>
        <v/>
      </c>
      <c r="FQ268" s="259" t="str">
        <f>IF(AE268="SE AVERE",MAX($FQ$2:FQ267)+1,"")</f>
        <v/>
      </c>
      <c r="FR268" s="259" t="str">
        <f>IF(AE268="SE DARE",MAX($FR$2:FR267)+1,"")</f>
        <v/>
      </c>
      <c r="FS268" s="259" t="str">
        <f ca="1">IF(AND(AE268="SP DARE",AA268&lt;&gt;$FS$1,AA268&lt;&gt;$FT$1),MAX($FS$2:FS267)+1,IF(AND(GQ268="SP DARE",AA268&lt;&gt;$FS$1,AA268&lt;&gt;$FT$1),MAX($FS$2:FS267)+1,""))</f>
        <v/>
      </c>
      <c r="FT268" s="259" t="str">
        <f ca="1">IF(AND(AE268="SP AVERE",AA268&lt;&gt;$FU$1),MAX($FT$2:FT267)+1,IF(AND(GQ268="SP AVERE",AA268&lt;&gt;$FU$1),MAX($FT$2:FT267)+1,""))</f>
        <v/>
      </c>
      <c r="FU268" s="259">
        <f t="shared" ca="1" si="674"/>
        <v>0</v>
      </c>
      <c r="FV268" s="259">
        <f t="shared" si="675"/>
        <v>0</v>
      </c>
      <c r="FW268" s="259">
        <f ca="1">IFERROR(INDEX($FU$3:$FV$500,MATCH(ROWS($FW$3:FW268),$FU$3:$FU$500,0),2),0)</f>
        <v>0</v>
      </c>
      <c r="FX268" s="259">
        <f t="shared" ca="1" si="676"/>
        <v>0</v>
      </c>
      <c r="FY268" s="259">
        <f t="shared" ca="1" si="677"/>
        <v>0</v>
      </c>
      <c r="FZ268" s="259">
        <f ca="1">IF(FY268&gt;0,MAX($FZ$2:FZ267)+1,0)</f>
        <v>0</v>
      </c>
      <c r="GA268" s="259">
        <f ca="1">IFERROR(INDEX($FY$3:$FZ$500,MATCH(ROWS($GA$3:GA268),$FZ$3:$FZ$500,0),1),0)</f>
        <v>0</v>
      </c>
      <c r="GC268" s="259">
        <f t="shared" ca="1" si="678"/>
        <v>0</v>
      </c>
      <c r="GD268" s="259">
        <f t="shared" ca="1" si="679"/>
        <v>0</v>
      </c>
      <c r="GG268" s="259">
        <f t="shared" ca="1" si="680"/>
        <v>0</v>
      </c>
      <c r="GH268" s="259">
        <f t="shared" ca="1" si="681"/>
        <v>0</v>
      </c>
      <c r="GI268" s="259">
        <f t="shared" ca="1" si="682"/>
        <v>0</v>
      </c>
      <c r="GJ268" s="259">
        <f t="shared" ca="1" si="683"/>
        <v>0</v>
      </c>
      <c r="GK268" s="259">
        <f t="shared" ca="1" si="684"/>
        <v>0</v>
      </c>
      <c r="GL268" s="259">
        <f t="shared" ca="1" si="684"/>
        <v>0</v>
      </c>
      <c r="GM268" s="259">
        <f ca="1">IF(OR(GK268&gt;0,GL268&gt;0),MAX($GM$2:GM267)+1,0)</f>
        <v>0</v>
      </c>
      <c r="GN268" s="259" t="str">
        <f ca="1">IFERROR(INDEX($GD$3:$GM$400,MATCH(ROWS($GN$3:GN268),$GM$3:$GM$400,0),1),"")</f>
        <v/>
      </c>
      <c r="GO268" s="259" t="str">
        <f ca="1">IFERROR(INDEX($GD$3:$GM$400,MATCH(ROWS($GO$3:GO268),$GM$3:$GM$400,0),8),"")</f>
        <v/>
      </c>
      <c r="GP268" s="259" t="str">
        <f ca="1">IFERROR(INDEX($GD$3:$GM$400,MATCH(ROWS($GP$3:GP268),$GM$3:$GM$400,0),9),"")</f>
        <v/>
      </c>
      <c r="GQ268" s="259">
        <f t="shared" ca="1" si="668"/>
        <v>0</v>
      </c>
      <c r="GR268" s="259">
        <f t="shared" ca="1" si="685"/>
        <v>0</v>
      </c>
      <c r="GS268" s="259" t="str">
        <f t="shared" ca="1" si="686"/>
        <v/>
      </c>
      <c r="GT268" s="259" t="str">
        <f ca="1">IFERROR(INDEX($GD$3:$GS$400,MATCH(ROWS($GT$3:GT268),$GM$3:$GM$400,0),16),"")</f>
        <v/>
      </c>
      <c r="GU268" s="259">
        <f ca="1">IF(GQ268&lt;&gt;0,MAX($GU$2:$GU267)+1,0)</f>
        <v>0</v>
      </c>
      <c r="GV268" s="259">
        <f t="shared" ca="1" si="687"/>
        <v>0</v>
      </c>
      <c r="GW268" s="259" t="str">
        <f ca="1">IF(AND(IFERROR(INDEX($GU$3:$GV$400,MATCH(ROWS($GW$3:GW268),$GU$3:$GU$400,0),2),"")&lt;&gt;"",GW269&lt;&gt;""),CONCATENATE(IFERROR(INDEX($GU$3:$GV$400,MATCH(ROWS($GW$3:GW268),$GU$3:$GU$400,0),2),"")," - "),IFERROR(INDEX($GU$3:$GV$400,MATCH(ROWS($GW$3:GW268),$GU$3:$GU$400,0),2),""))</f>
        <v/>
      </c>
      <c r="GX268" s="259">
        <f ca="1">IF(OR(GN268="IVA NS/CREDITO",GN268="IVA NS/DEBITO",GN268="IVA C/ACCONTO",GN268="IMPOSTE C/ACCONTO"),MAX($GX$2:GX267)+1,0)</f>
        <v>0</v>
      </c>
      <c r="GY268" s="259" t="str">
        <f ca="1">IF(AND(IFERROR(INDEX($GN$3:$GX$200,MATCH(ROWS($GY$3:GY268),$GX$3:$GX$200,0),1),"")&lt;&gt;"",GY269&lt;&gt;""),CONCATENATE(IFERROR(INDEX($GN$3:$GX$200,MATCH(ROWS($GY$3:GY268),$GX$3:$GX$200,0),1),"")," - "),IFERROR(INDEX($GN$3:$GX$200,MATCH(ROWS($GY$3:GY268),$GX$3:$GX$200,0),1),""))</f>
        <v/>
      </c>
      <c r="JA268" s="259" t="str">
        <f t="shared" ca="1" si="688"/>
        <v/>
      </c>
      <c r="JB268" s="259">
        <f t="shared" ca="1" si="669"/>
        <v>0</v>
      </c>
      <c r="JC268" s="259">
        <f t="shared" ca="1" si="640"/>
        <v>0</v>
      </c>
      <c r="JD268" s="259">
        <f t="shared" ca="1" si="641"/>
        <v>0</v>
      </c>
      <c r="JM268" s="259">
        <f t="shared" ca="1" si="642"/>
        <v>0</v>
      </c>
    </row>
    <row r="269" spans="52:273">
      <c r="AZ269" s="259" t="str">
        <f t="shared" ca="1" si="689"/>
        <v/>
      </c>
      <c r="BA269" s="259">
        <f t="shared" ca="1" si="632"/>
        <v>0</v>
      </c>
      <c r="BB269" s="259">
        <f t="shared" ca="1" si="690"/>
        <v>0</v>
      </c>
      <c r="BC269" s="259">
        <f t="shared" ca="1" si="691"/>
        <v>0</v>
      </c>
      <c r="BD269" s="259">
        <f t="shared" ca="1" si="692"/>
        <v>0</v>
      </c>
      <c r="BE269" s="259">
        <f t="shared" ca="1" si="693"/>
        <v>0</v>
      </c>
      <c r="BQ269" s="259" t="str">
        <f ca="1">IFERROR(INDEX($BN$3:$BO$200,MATCH(ROWS(BQ$3:BQ269),$BP$3:$BP$220,0),1),"")</f>
        <v/>
      </c>
      <c r="CX269" s="259">
        <f t="shared" ca="1" si="654"/>
        <v>15</v>
      </c>
      <c r="CY269" s="259" t="str">
        <f t="shared" ca="1" si="643"/>
        <v>MASTRO</v>
      </c>
      <c r="CZ269" s="259" t="e">
        <f t="shared" ca="1" si="656"/>
        <v>#N/A</v>
      </c>
      <c r="DA269" s="259" t="str">
        <f t="shared" ca="1" si="661"/>
        <v/>
      </c>
      <c r="DB269" s="259" t="str">
        <f t="shared" ca="1" si="657"/>
        <v/>
      </c>
      <c r="DC269" s="259" t="str">
        <f t="shared" ca="1" si="658"/>
        <v/>
      </c>
      <c r="DD269" s="259" t="str">
        <f t="shared" ca="1" si="659"/>
        <v/>
      </c>
      <c r="DE269" s="259" t="str">
        <f t="shared" ca="1" si="660"/>
        <v/>
      </c>
      <c r="DF269" s="259">
        <f ca="1">IF(AND(CX269=$DE$2,$DF$2&lt;&gt;0),0,IF(AND(DB269&lt;&gt;"",OR(DB268&lt;&gt;"",DB270&lt;&gt;"")),MAX($DF$2:DF268)+1,0))</f>
        <v>0</v>
      </c>
      <c r="DG269" s="259" t="str">
        <f>IF(IF(LIBRO_GIORNALE!E177="","",IFERROR(INDEX(PIANO_DEI_CONTI,MATCH(BB269,DENOMINAZIONE,0),1),0))=0,"",IF(LIBRO_GIORNALE!E177="","",IFERROR(INDEX(PIANO_DEI_CONTI,MATCH(BB269,DENOMINAZIONE,0),1),0)))</f>
        <v/>
      </c>
      <c r="EC269" s="259">
        <f>IF(IF(DG269&lt;&gt;"",REPLACE(DG269,3,1,""),0)&lt;&gt;0,MAX(EC$2:EC268)+1,0)</f>
        <v>0</v>
      </c>
      <c r="ED269" s="259">
        <f t="shared" ca="1" si="662"/>
        <v>0</v>
      </c>
      <c r="EL269" s="259">
        <f t="shared" si="670"/>
        <v>267</v>
      </c>
      <c r="EM269" s="259">
        <f ca="1">IF(AND(BA269&gt;0,BA269&lt;=$EM$1),MAX($EM$2:EM268)+1,0)</f>
        <v>0</v>
      </c>
      <c r="EN269" s="259">
        <f t="shared" ca="1" si="671"/>
        <v>269</v>
      </c>
      <c r="EP269" s="259" t="str">
        <f t="shared" ca="1" si="663"/>
        <v/>
      </c>
      <c r="EQ269" s="259">
        <f t="shared" ca="1" si="664"/>
        <v>0</v>
      </c>
      <c r="ER269" s="259">
        <f ca="1">IF(ISNA(EQ269),MAX(ER$2:ER268)+1,0)</f>
        <v>0</v>
      </c>
      <c r="ES269" s="259" t="str">
        <f t="shared" ca="1" si="672"/>
        <v/>
      </c>
      <c r="ET269" s="259" t="str">
        <f ca="1">IFERROR(UPPER(INDEX($ER$3:$ES$500,MATCH(ROWS(ET$3:ET269),$ER$3:$ER$500,0),2)),"")</f>
        <v/>
      </c>
      <c r="EW269" s="259">
        <f t="shared" ca="1" si="633"/>
        <v>1</v>
      </c>
      <c r="EX269" s="259">
        <v>167</v>
      </c>
      <c r="EY269" s="259">
        <f t="shared" ca="1" si="634"/>
        <v>0</v>
      </c>
      <c r="EZ269" s="259">
        <f t="shared" ca="1" si="635"/>
        <v>0</v>
      </c>
      <c r="FA269" s="259">
        <f t="shared" ca="1" si="636"/>
        <v>0</v>
      </c>
      <c r="FB269" s="259">
        <f t="shared" ca="1" si="637"/>
        <v>0</v>
      </c>
      <c r="FC269" s="259">
        <f t="shared" ca="1" si="638"/>
        <v>0</v>
      </c>
      <c r="FD269" s="259">
        <f t="shared" ca="1" si="665"/>
        <v>0</v>
      </c>
      <c r="FE269" s="259" t="str">
        <f t="shared" ca="1" si="666"/>
        <v/>
      </c>
      <c r="FF269" s="259" t="str">
        <f t="shared" ca="1" si="639"/>
        <v/>
      </c>
      <c r="FM269" s="259">
        <f t="shared" si="667"/>
        <v>0</v>
      </c>
      <c r="FN269" s="259">
        <f>IF(FM269&lt;0,MAX($FN$2:FN268)+1,0)</f>
        <v>0</v>
      </c>
      <c r="FO269" s="259" t="str">
        <f t="shared" si="673"/>
        <v/>
      </c>
      <c r="FP269" s="259" t="str">
        <f ca="1">IFERROR(INDEX($FN$3:$FO$400,MATCH(ROWS($FP$3:FP269),$FN$3:$FN$400,0),2),"")</f>
        <v/>
      </c>
      <c r="FQ269" s="259" t="str">
        <f>IF(AE269="SE AVERE",MAX($FQ$2:FQ268)+1,"")</f>
        <v/>
      </c>
      <c r="FR269" s="259" t="str">
        <f>IF(AE269="SE DARE",MAX($FR$2:FR268)+1,"")</f>
        <v/>
      </c>
      <c r="FS269" s="259" t="str">
        <f ca="1">IF(AND(AE269="SP DARE",AA269&lt;&gt;$FS$1,AA269&lt;&gt;$FT$1),MAX($FS$2:FS268)+1,IF(AND(GQ269="SP DARE",AA269&lt;&gt;$FS$1,AA269&lt;&gt;$FT$1),MAX($FS$2:FS268)+1,""))</f>
        <v/>
      </c>
      <c r="FT269" s="259" t="str">
        <f ca="1">IF(AND(AE269="SP AVERE",AA269&lt;&gt;$FU$1),MAX($FT$2:FT268)+1,IF(AND(GQ269="SP AVERE",AA269&lt;&gt;$FU$1),MAX($FT$2:FT268)+1,""))</f>
        <v/>
      </c>
      <c r="FU269" s="259">
        <f t="shared" ca="1" si="674"/>
        <v>0</v>
      </c>
      <c r="FV269" s="259">
        <f t="shared" si="675"/>
        <v>0</v>
      </c>
      <c r="FW269" s="259">
        <f ca="1">IFERROR(INDEX($FU$3:$FV$500,MATCH(ROWS($FW$3:FW269),$FU$3:$FU$500,0),2),0)</f>
        <v>0</v>
      </c>
      <c r="FX269" s="259">
        <f t="shared" ca="1" si="676"/>
        <v>0</v>
      </c>
      <c r="FY269" s="259">
        <f t="shared" ca="1" si="677"/>
        <v>0</v>
      </c>
      <c r="FZ269" s="259">
        <f ca="1">IF(FY269&gt;0,MAX($FZ$2:FZ268)+1,0)</f>
        <v>0</v>
      </c>
      <c r="GA269" s="259">
        <f ca="1">IFERROR(INDEX($FY$3:$FZ$500,MATCH(ROWS($GA$3:GA269),$FZ$3:$FZ$500,0),1),0)</f>
        <v>0</v>
      </c>
      <c r="GC269" s="259">
        <f t="shared" ca="1" si="678"/>
        <v>0</v>
      </c>
      <c r="GD269" s="259">
        <f t="shared" ca="1" si="679"/>
        <v>0</v>
      </c>
      <c r="GG269" s="259">
        <f t="shared" ca="1" si="680"/>
        <v>0</v>
      </c>
      <c r="GH269" s="259">
        <f t="shared" ca="1" si="681"/>
        <v>0</v>
      </c>
      <c r="GI269" s="259">
        <f t="shared" ca="1" si="682"/>
        <v>0</v>
      </c>
      <c r="GJ269" s="259">
        <f t="shared" ca="1" si="683"/>
        <v>0</v>
      </c>
      <c r="GK269" s="259">
        <f t="shared" ca="1" si="684"/>
        <v>0</v>
      </c>
      <c r="GL269" s="259">
        <f t="shared" ca="1" si="684"/>
        <v>0</v>
      </c>
      <c r="GM269" s="259">
        <f ca="1">IF(OR(GK269&gt;0,GL269&gt;0),MAX($GM$2:GM268)+1,0)</f>
        <v>0</v>
      </c>
      <c r="GN269" s="259" t="str">
        <f ca="1">IFERROR(INDEX($GD$3:$GM$400,MATCH(ROWS($GN$3:GN269),$GM$3:$GM$400,0),1),"")</f>
        <v/>
      </c>
      <c r="GO269" s="259" t="str">
        <f ca="1">IFERROR(INDEX($GD$3:$GM$400,MATCH(ROWS($GO$3:GO269),$GM$3:$GM$400,0),8),"")</f>
        <v/>
      </c>
      <c r="GP269" s="259" t="str">
        <f ca="1">IFERROR(INDEX($GD$3:$GM$400,MATCH(ROWS($GP$3:GP269),$GM$3:$GM$400,0),9),"")</f>
        <v/>
      </c>
      <c r="GQ269" s="259">
        <f t="shared" ca="1" si="668"/>
        <v>0</v>
      </c>
      <c r="GR269" s="259">
        <f t="shared" ca="1" si="685"/>
        <v>0</v>
      </c>
      <c r="GS269" s="259" t="str">
        <f t="shared" ca="1" si="686"/>
        <v/>
      </c>
      <c r="GT269" s="259" t="str">
        <f ca="1">IFERROR(INDEX($GD$3:$GS$400,MATCH(ROWS($GT$3:GT269),$GM$3:$GM$400,0),16),"")</f>
        <v/>
      </c>
      <c r="GU269" s="259">
        <f ca="1">IF(GQ269&lt;&gt;0,MAX($GU$2:$GU268)+1,0)</f>
        <v>0</v>
      </c>
      <c r="GV269" s="259">
        <f t="shared" ca="1" si="687"/>
        <v>0</v>
      </c>
      <c r="GW269" s="259" t="str">
        <f ca="1">IF(AND(IFERROR(INDEX($GU$3:$GV$400,MATCH(ROWS($GW$3:GW269),$GU$3:$GU$400,0),2),"")&lt;&gt;"",GW270&lt;&gt;""),CONCATENATE(IFERROR(INDEX($GU$3:$GV$400,MATCH(ROWS($GW$3:GW269),$GU$3:$GU$400,0),2),"")," - "),IFERROR(INDEX($GU$3:$GV$400,MATCH(ROWS($GW$3:GW269),$GU$3:$GU$400,0),2),""))</f>
        <v/>
      </c>
      <c r="GX269" s="259">
        <f ca="1">IF(OR(GN269="IVA NS/CREDITO",GN269="IVA NS/DEBITO",GN269="IVA C/ACCONTO",GN269="IMPOSTE C/ACCONTO"),MAX($GX$2:GX268)+1,0)</f>
        <v>0</v>
      </c>
      <c r="GY269" s="259" t="str">
        <f ca="1">IF(AND(IFERROR(INDEX($GN$3:$GX$200,MATCH(ROWS($GY$3:GY269),$GX$3:$GX$200,0),1),"")&lt;&gt;"",GY270&lt;&gt;""),CONCATENATE(IFERROR(INDEX($GN$3:$GX$200,MATCH(ROWS($GY$3:GY269),$GX$3:$GX$200,0),1),"")," - "),IFERROR(INDEX($GN$3:$GX$200,MATCH(ROWS($GY$3:GY269),$GX$3:$GX$200,0),1),""))</f>
        <v/>
      </c>
      <c r="JA269" s="259" t="str">
        <f t="shared" ca="1" si="688"/>
        <v/>
      </c>
      <c r="JB269" s="259">
        <f t="shared" ca="1" si="669"/>
        <v>0</v>
      </c>
      <c r="JC269" s="259">
        <f t="shared" ca="1" si="640"/>
        <v>0</v>
      </c>
      <c r="JD269" s="259">
        <f t="shared" ca="1" si="641"/>
        <v>0</v>
      </c>
      <c r="JM269" s="259">
        <f t="shared" ca="1" si="642"/>
        <v>0</v>
      </c>
    </row>
    <row r="270" spans="52:273">
      <c r="AZ270" s="259" t="str">
        <f t="shared" ca="1" si="689"/>
        <v/>
      </c>
      <c r="BA270" s="259">
        <f t="shared" ca="1" si="632"/>
        <v>0</v>
      </c>
      <c r="BB270" s="259">
        <f t="shared" ca="1" si="690"/>
        <v>0</v>
      </c>
      <c r="BC270" s="259">
        <f t="shared" ca="1" si="691"/>
        <v>0</v>
      </c>
      <c r="BD270" s="259">
        <f t="shared" ca="1" si="692"/>
        <v>0</v>
      </c>
      <c r="BE270" s="259">
        <f t="shared" ca="1" si="693"/>
        <v>0</v>
      </c>
      <c r="BQ270" s="259" t="str">
        <f ca="1">IFERROR(INDEX($BN$3:$BO$200,MATCH(ROWS(BQ$3:BQ270),$BP$3:$BP$220,0),1),"")</f>
        <v/>
      </c>
      <c r="CX270" s="259">
        <f t="shared" ca="1" si="654"/>
        <v>15</v>
      </c>
      <c r="CY270" s="259" t="str">
        <f t="shared" ca="1" si="643"/>
        <v>MASTRO</v>
      </c>
      <c r="CZ270" s="259" t="e">
        <f t="shared" ca="1" si="656"/>
        <v>#N/A</v>
      </c>
      <c r="DA270" s="259" t="str">
        <f t="shared" ca="1" si="661"/>
        <v/>
      </c>
      <c r="DB270" s="259" t="str">
        <f t="shared" ca="1" si="657"/>
        <v/>
      </c>
      <c r="DC270" s="259" t="str">
        <f t="shared" ca="1" si="658"/>
        <v/>
      </c>
      <c r="DD270" s="259" t="str">
        <f t="shared" ca="1" si="659"/>
        <v/>
      </c>
      <c r="DE270" s="259" t="str">
        <f t="shared" ca="1" si="660"/>
        <v/>
      </c>
      <c r="DF270" s="259">
        <f ca="1">IF(AND(CX270=$DE$2,$DF$2&lt;&gt;0),0,IF(AND(DB270&lt;&gt;"",OR(DB269&lt;&gt;"",DB271&lt;&gt;"")),MAX($DF$2:DF269)+1,0))</f>
        <v>0</v>
      </c>
      <c r="DG270" s="259" t="str">
        <f>IF(IF(LIBRO_GIORNALE!E178="","",IFERROR(INDEX(PIANO_DEI_CONTI,MATCH(BB270,DENOMINAZIONE,0),1),0))=0,"",IF(LIBRO_GIORNALE!E178="","",IFERROR(INDEX(PIANO_DEI_CONTI,MATCH(BB270,DENOMINAZIONE,0),1),0)))</f>
        <v/>
      </c>
      <c r="EC270" s="259">
        <f>IF(IF(DG270&lt;&gt;"",REPLACE(DG270,3,1,""),0)&lt;&gt;0,MAX(EC$2:EC269)+1,0)</f>
        <v>0</v>
      </c>
      <c r="ED270" s="259">
        <f t="shared" ca="1" si="662"/>
        <v>0</v>
      </c>
      <c r="EL270" s="259">
        <f t="shared" si="670"/>
        <v>268</v>
      </c>
      <c r="EM270" s="259">
        <f ca="1">IF(AND(BA270&gt;0,BA270&lt;=$EM$1),MAX($EM$2:EM269)+1,0)</f>
        <v>0</v>
      </c>
      <c r="EN270" s="259">
        <f t="shared" ca="1" si="671"/>
        <v>270</v>
      </c>
      <c r="EP270" s="259" t="str">
        <f t="shared" ca="1" si="663"/>
        <v/>
      </c>
      <c r="EQ270" s="259">
        <f t="shared" ca="1" si="664"/>
        <v>0</v>
      </c>
      <c r="ER270" s="259">
        <f ca="1">IF(ISNA(EQ270),MAX(ER$2:ER269)+1,0)</f>
        <v>0</v>
      </c>
      <c r="ES270" s="259" t="str">
        <f t="shared" ca="1" si="672"/>
        <v/>
      </c>
      <c r="ET270" s="259" t="str">
        <f ca="1">IFERROR(UPPER(INDEX($ER$3:$ES$500,MATCH(ROWS(ET$3:ET270),$ER$3:$ER$500,0),2)),"")</f>
        <v/>
      </c>
      <c r="EW270" s="259">
        <f t="shared" ca="1" si="633"/>
        <v>1</v>
      </c>
      <c r="EX270" s="259">
        <v>168</v>
      </c>
      <c r="EY270" s="259">
        <f t="shared" ca="1" si="634"/>
        <v>0</v>
      </c>
      <c r="EZ270" s="259">
        <f t="shared" ca="1" si="635"/>
        <v>0</v>
      </c>
      <c r="FA270" s="259">
        <f t="shared" ca="1" si="636"/>
        <v>0</v>
      </c>
      <c r="FB270" s="259">
        <f t="shared" ca="1" si="637"/>
        <v>0</v>
      </c>
      <c r="FC270" s="259">
        <f t="shared" ca="1" si="638"/>
        <v>0</v>
      </c>
      <c r="FD270" s="259">
        <f t="shared" ca="1" si="665"/>
        <v>0</v>
      </c>
      <c r="FE270" s="259" t="str">
        <f t="shared" ca="1" si="666"/>
        <v/>
      </c>
      <c r="FF270" s="259" t="str">
        <f t="shared" ca="1" si="639"/>
        <v/>
      </c>
      <c r="FM270" s="259">
        <f t="shared" si="667"/>
        <v>0</v>
      </c>
      <c r="FN270" s="259">
        <f>IF(FM270&lt;0,MAX($FN$2:FN269)+1,0)</f>
        <v>0</v>
      </c>
      <c r="FO270" s="259" t="str">
        <f t="shared" si="673"/>
        <v/>
      </c>
      <c r="FP270" s="259" t="str">
        <f ca="1">IFERROR(INDEX($FN$3:$FO$400,MATCH(ROWS($FP$3:FP270),$FN$3:$FN$400,0),2),"")</f>
        <v/>
      </c>
      <c r="FQ270" s="259" t="str">
        <f>IF(AE270="SE AVERE",MAX($FQ$2:FQ269)+1,"")</f>
        <v/>
      </c>
      <c r="FR270" s="259" t="str">
        <f>IF(AE270="SE DARE",MAX($FR$2:FR269)+1,"")</f>
        <v/>
      </c>
      <c r="FS270" s="259" t="str">
        <f ca="1">IF(AND(AE270="SP DARE",AA270&lt;&gt;$FS$1,AA270&lt;&gt;$FT$1),MAX($FS$2:FS269)+1,IF(AND(GQ270="SP DARE",AA270&lt;&gt;$FS$1,AA270&lt;&gt;$FT$1),MAX($FS$2:FS269)+1,""))</f>
        <v/>
      </c>
      <c r="FT270" s="259" t="str">
        <f ca="1">IF(AND(AE270="SP AVERE",AA270&lt;&gt;$FU$1),MAX($FT$2:FT269)+1,IF(AND(GQ270="SP AVERE",AA270&lt;&gt;$FU$1),MAX($FT$2:FT269)+1,""))</f>
        <v/>
      </c>
      <c r="FU270" s="259">
        <f t="shared" ca="1" si="674"/>
        <v>0</v>
      </c>
      <c r="FV270" s="259">
        <f t="shared" si="675"/>
        <v>0</v>
      </c>
      <c r="FW270" s="259">
        <f ca="1">IFERROR(INDEX($FU$3:$FV$500,MATCH(ROWS($FW$3:FW270),$FU$3:$FU$500,0),2),0)</f>
        <v>0</v>
      </c>
      <c r="FX270" s="259">
        <f t="shared" ca="1" si="676"/>
        <v>0</v>
      </c>
      <c r="FY270" s="259">
        <f t="shared" ca="1" si="677"/>
        <v>0</v>
      </c>
      <c r="FZ270" s="259">
        <f ca="1">IF(FY270&gt;0,MAX($FZ$2:FZ269)+1,0)</f>
        <v>0</v>
      </c>
      <c r="GA270" s="259">
        <f ca="1">IFERROR(INDEX($FY$3:$FZ$500,MATCH(ROWS($GA$3:GA270),$FZ$3:$FZ$500,0),1),0)</f>
        <v>0</v>
      </c>
      <c r="GC270" s="259">
        <f t="shared" ca="1" si="678"/>
        <v>0</v>
      </c>
      <c r="GD270" s="259">
        <f t="shared" ca="1" si="679"/>
        <v>0</v>
      </c>
      <c r="GG270" s="259">
        <f t="shared" ca="1" si="680"/>
        <v>0</v>
      </c>
      <c r="GH270" s="259">
        <f t="shared" ca="1" si="681"/>
        <v>0</v>
      </c>
      <c r="GI270" s="259">
        <f t="shared" ca="1" si="682"/>
        <v>0</v>
      </c>
      <c r="GJ270" s="259">
        <f t="shared" ca="1" si="683"/>
        <v>0</v>
      </c>
      <c r="GK270" s="259">
        <f t="shared" ca="1" si="684"/>
        <v>0</v>
      </c>
      <c r="GL270" s="259">
        <f t="shared" ca="1" si="684"/>
        <v>0</v>
      </c>
      <c r="GM270" s="259">
        <f ca="1">IF(OR(GK270&gt;0,GL270&gt;0),MAX($GM$2:GM269)+1,0)</f>
        <v>0</v>
      </c>
      <c r="GN270" s="259" t="str">
        <f ca="1">IFERROR(INDEX($GD$3:$GM$400,MATCH(ROWS($GN$3:GN270),$GM$3:$GM$400,0),1),"")</f>
        <v/>
      </c>
      <c r="GO270" s="259" t="str">
        <f ca="1">IFERROR(INDEX($GD$3:$GM$400,MATCH(ROWS($GO$3:GO270),$GM$3:$GM$400,0),8),"")</f>
        <v/>
      </c>
      <c r="GP270" s="259" t="str">
        <f ca="1">IFERROR(INDEX($GD$3:$GM$400,MATCH(ROWS($GP$3:GP270),$GM$3:$GM$400,0),9),"")</f>
        <v/>
      </c>
      <c r="GQ270" s="259">
        <f t="shared" ca="1" si="668"/>
        <v>0</v>
      </c>
      <c r="GR270" s="259">
        <f t="shared" ca="1" si="685"/>
        <v>0</v>
      </c>
      <c r="GS270" s="259" t="str">
        <f t="shared" ca="1" si="686"/>
        <v/>
      </c>
      <c r="GT270" s="259" t="str">
        <f ca="1">IFERROR(INDEX($GD$3:$GS$400,MATCH(ROWS($GT$3:GT270),$GM$3:$GM$400,0),16),"")</f>
        <v/>
      </c>
      <c r="GU270" s="259">
        <f ca="1">IF(GQ270&lt;&gt;0,MAX($GU$2:$GU269)+1,0)</f>
        <v>0</v>
      </c>
      <c r="GV270" s="259">
        <f t="shared" ca="1" si="687"/>
        <v>0</v>
      </c>
      <c r="GW270" s="259" t="str">
        <f ca="1">IF(AND(IFERROR(INDEX($GU$3:$GV$400,MATCH(ROWS($GW$3:GW270),$GU$3:$GU$400,0),2),"")&lt;&gt;"",GW271&lt;&gt;""),CONCATENATE(IFERROR(INDEX($GU$3:$GV$400,MATCH(ROWS($GW$3:GW270),$GU$3:$GU$400,0),2),"")," - "),IFERROR(INDEX($GU$3:$GV$400,MATCH(ROWS($GW$3:GW270),$GU$3:$GU$400,0),2),""))</f>
        <v/>
      </c>
      <c r="GX270" s="259">
        <f ca="1">IF(OR(GN270="IVA NS/CREDITO",GN270="IVA NS/DEBITO",GN270="IVA C/ACCONTO",GN270="IMPOSTE C/ACCONTO"),MAX($GX$2:GX269)+1,0)</f>
        <v>0</v>
      </c>
      <c r="GY270" s="259" t="str">
        <f ca="1">IF(AND(IFERROR(INDEX($GN$3:$GX$200,MATCH(ROWS($GY$3:GY270),$GX$3:$GX$200,0),1),"")&lt;&gt;"",GY271&lt;&gt;""),CONCATENATE(IFERROR(INDEX($GN$3:$GX$200,MATCH(ROWS($GY$3:GY270),$GX$3:$GX$200,0),1),"")," - "),IFERROR(INDEX($GN$3:$GX$200,MATCH(ROWS($GY$3:GY270),$GX$3:$GX$200,0),1),""))</f>
        <v/>
      </c>
      <c r="JA270" s="259" t="str">
        <f t="shared" ca="1" si="688"/>
        <v/>
      </c>
      <c r="JB270" s="259">
        <f t="shared" ca="1" si="669"/>
        <v>0</v>
      </c>
      <c r="JC270" s="259">
        <f t="shared" ca="1" si="640"/>
        <v>0</v>
      </c>
      <c r="JD270" s="259">
        <f t="shared" ca="1" si="641"/>
        <v>0</v>
      </c>
      <c r="JM270" s="259">
        <f t="shared" ca="1" si="642"/>
        <v>0</v>
      </c>
    </row>
    <row r="271" spans="52:273">
      <c r="AZ271" s="259" t="str">
        <f t="shared" ca="1" si="689"/>
        <v/>
      </c>
      <c r="BA271" s="259">
        <f t="shared" ca="1" si="632"/>
        <v>0</v>
      </c>
      <c r="BB271" s="259">
        <f t="shared" ca="1" si="690"/>
        <v>0</v>
      </c>
      <c r="BC271" s="259">
        <f t="shared" ca="1" si="691"/>
        <v>0</v>
      </c>
      <c r="BD271" s="259">
        <f t="shared" ca="1" si="692"/>
        <v>0</v>
      </c>
      <c r="BE271" s="259">
        <f t="shared" ca="1" si="693"/>
        <v>0</v>
      </c>
      <c r="BQ271" s="259" t="str">
        <f ca="1">IFERROR(INDEX($BN$3:$BO$200,MATCH(ROWS(BQ$3:BQ271),$BP$3:$BP$220,0),1),"")</f>
        <v/>
      </c>
      <c r="CX271" s="259">
        <f t="shared" ca="1" si="654"/>
        <v>15</v>
      </c>
      <c r="CY271" s="259" t="str">
        <f t="shared" ref="CY271:CY301" ca="1" si="694">IF(ISERROR(INDEX($CV$3:$CX$2300,MATCH(CX271,$CW$3:$CW$2300,0),1)),"MASTRO",INDEX($CV$3:$CX$2300,MATCH(CX271,$CW$3:$CW$2300,0),1))</f>
        <v>MASTRO</v>
      </c>
      <c r="CZ271" s="259" t="e">
        <f t="shared" ca="1" si="656"/>
        <v>#N/A</v>
      </c>
      <c r="DA271" s="259" t="str">
        <f t="shared" ca="1" si="661"/>
        <v/>
      </c>
      <c r="DB271" s="259" t="str">
        <f t="shared" ca="1" si="657"/>
        <v/>
      </c>
      <c r="DC271" s="259" t="str">
        <f t="shared" ca="1" si="658"/>
        <v/>
      </c>
      <c r="DD271" s="259" t="str">
        <f t="shared" ca="1" si="659"/>
        <v/>
      </c>
      <c r="DE271" s="259" t="str">
        <f t="shared" ca="1" si="660"/>
        <v/>
      </c>
      <c r="DF271" s="259">
        <f ca="1">IF(AND(CX271=$DE$2,$DF$2&lt;&gt;0),0,IF(AND(DB271&lt;&gt;"",OR(DB270&lt;&gt;"",DB272&lt;&gt;"")),MAX($DF$2:DF270)+1,0))</f>
        <v>0</v>
      </c>
      <c r="DG271" s="259" t="str">
        <f>IF(IF(LIBRO_GIORNALE!E179="","",IFERROR(INDEX(PIANO_DEI_CONTI,MATCH(BB271,DENOMINAZIONE,0),1),0))=0,"",IF(LIBRO_GIORNALE!E179="","",IFERROR(INDEX(PIANO_DEI_CONTI,MATCH(BB271,DENOMINAZIONE,0),1),0)))</f>
        <v/>
      </c>
      <c r="EC271" s="259">
        <f>IF(IF(DG271&lt;&gt;"",REPLACE(DG271,3,1,""),0)&lt;&gt;0,MAX(EC$2:EC270)+1,0)</f>
        <v>0</v>
      </c>
      <c r="ED271" s="259">
        <f t="shared" ca="1" si="662"/>
        <v>0</v>
      </c>
      <c r="EL271" s="259">
        <f t="shared" si="670"/>
        <v>269</v>
      </c>
      <c r="EM271" s="259">
        <f ca="1">IF(AND(BA271&gt;0,BA271&lt;=$EM$1),MAX($EM$2:EM270)+1,0)</f>
        <v>0</v>
      </c>
      <c r="EN271" s="259">
        <f t="shared" ca="1" si="671"/>
        <v>271</v>
      </c>
      <c r="EP271" s="259" t="str">
        <f t="shared" ca="1" si="663"/>
        <v/>
      </c>
      <c r="EQ271" s="259">
        <f t="shared" ca="1" si="664"/>
        <v>0</v>
      </c>
      <c r="ER271" s="259">
        <f ca="1">IF(ISNA(EQ271),MAX(ER$2:ER270)+1,0)</f>
        <v>0</v>
      </c>
      <c r="ES271" s="259" t="str">
        <f t="shared" ca="1" si="672"/>
        <v/>
      </c>
      <c r="ET271" s="259" t="str">
        <f ca="1">IFERROR(UPPER(INDEX($ER$3:$ES$500,MATCH(ROWS(ET$3:ET271),$ER$3:$ER$500,0),2)),"")</f>
        <v/>
      </c>
      <c r="EW271" s="259">
        <f t="shared" ca="1" si="633"/>
        <v>1</v>
      </c>
      <c r="EX271" s="259">
        <v>169</v>
      </c>
      <c r="EY271" s="259">
        <f t="shared" ca="1" si="634"/>
        <v>0</v>
      </c>
      <c r="EZ271" s="259">
        <f t="shared" ca="1" si="635"/>
        <v>0</v>
      </c>
      <c r="FA271" s="259">
        <f t="shared" ca="1" si="636"/>
        <v>0</v>
      </c>
      <c r="FB271" s="259">
        <f t="shared" ca="1" si="637"/>
        <v>0</v>
      </c>
      <c r="FC271" s="259">
        <f t="shared" ca="1" si="638"/>
        <v>0</v>
      </c>
      <c r="FD271" s="259">
        <f t="shared" ca="1" si="665"/>
        <v>0</v>
      </c>
      <c r="FE271" s="259" t="str">
        <f t="shared" ca="1" si="666"/>
        <v/>
      </c>
      <c r="FF271" s="259" t="str">
        <f t="shared" ca="1" si="639"/>
        <v/>
      </c>
      <c r="FM271" s="259">
        <f t="shared" si="667"/>
        <v>0</v>
      </c>
      <c r="FN271" s="259">
        <f>IF(FM271&lt;0,MAX($FN$2:FN270)+1,0)</f>
        <v>0</v>
      </c>
      <c r="FO271" s="259" t="str">
        <f t="shared" si="673"/>
        <v/>
      </c>
      <c r="FP271" s="259" t="str">
        <f ca="1">IFERROR(INDEX($FN$3:$FO$400,MATCH(ROWS($FP$3:FP271),$FN$3:$FN$400,0),2),"")</f>
        <v/>
      </c>
      <c r="FQ271" s="259" t="str">
        <f>IF(AE271="SE AVERE",MAX($FQ$2:FQ270)+1,"")</f>
        <v/>
      </c>
      <c r="FR271" s="259" t="str">
        <f>IF(AE271="SE DARE",MAX($FR$2:FR270)+1,"")</f>
        <v/>
      </c>
      <c r="FS271" s="259" t="str">
        <f ca="1">IF(AND(AE271="SP DARE",AA271&lt;&gt;$FS$1,AA271&lt;&gt;$FT$1),MAX($FS$2:FS270)+1,IF(AND(GQ271="SP DARE",AA271&lt;&gt;$FS$1,AA271&lt;&gt;$FT$1),MAX($FS$2:FS270)+1,""))</f>
        <v/>
      </c>
      <c r="FT271" s="259" t="str">
        <f ca="1">IF(AND(AE271="SP AVERE",AA271&lt;&gt;$FU$1),MAX($FT$2:FT270)+1,IF(AND(GQ271="SP AVERE",AA271&lt;&gt;$FU$1),MAX($FT$2:FT270)+1,""))</f>
        <v/>
      </c>
      <c r="FU271" s="259">
        <f t="shared" ca="1" si="674"/>
        <v>0</v>
      </c>
      <c r="FV271" s="259">
        <f t="shared" si="675"/>
        <v>0</v>
      </c>
      <c r="FW271" s="259">
        <f ca="1">IFERROR(INDEX($FU$3:$FV$500,MATCH(ROWS($FW$3:FW271),$FU$3:$FU$500,0),2),0)</f>
        <v>0</v>
      </c>
      <c r="FX271" s="259">
        <f t="shared" ca="1" si="676"/>
        <v>0</v>
      </c>
      <c r="FY271" s="259">
        <f t="shared" ca="1" si="677"/>
        <v>0</v>
      </c>
      <c r="FZ271" s="259">
        <f ca="1">IF(FY271&gt;0,MAX($FZ$2:FZ270)+1,0)</f>
        <v>0</v>
      </c>
      <c r="GA271" s="259">
        <f ca="1">IFERROR(INDEX($FY$3:$FZ$500,MATCH(ROWS($GA$3:GA271),$FZ$3:$FZ$500,0),1),0)</f>
        <v>0</v>
      </c>
      <c r="GC271" s="259">
        <f t="shared" ca="1" si="678"/>
        <v>0</v>
      </c>
      <c r="GD271" s="259">
        <f t="shared" ca="1" si="679"/>
        <v>0</v>
      </c>
      <c r="GG271" s="259">
        <f t="shared" ca="1" si="680"/>
        <v>0</v>
      </c>
      <c r="GH271" s="259">
        <f t="shared" ca="1" si="681"/>
        <v>0</v>
      </c>
      <c r="GI271" s="259">
        <f t="shared" ca="1" si="682"/>
        <v>0</v>
      </c>
      <c r="GJ271" s="259">
        <f t="shared" ca="1" si="683"/>
        <v>0</v>
      </c>
      <c r="GK271" s="259">
        <f t="shared" ca="1" si="684"/>
        <v>0</v>
      </c>
      <c r="GL271" s="259">
        <f t="shared" ca="1" si="684"/>
        <v>0</v>
      </c>
      <c r="GM271" s="259">
        <f ca="1">IF(OR(GK271&gt;0,GL271&gt;0),MAX($GM$2:GM270)+1,0)</f>
        <v>0</v>
      </c>
      <c r="GN271" s="259" t="str">
        <f ca="1">IFERROR(INDEX($GD$3:$GM$400,MATCH(ROWS($GN$3:GN271),$GM$3:$GM$400,0),1),"")</f>
        <v/>
      </c>
      <c r="GO271" s="259" t="str">
        <f ca="1">IFERROR(INDEX($GD$3:$GM$400,MATCH(ROWS($GO$3:GO271),$GM$3:$GM$400,0),8),"")</f>
        <v/>
      </c>
      <c r="GP271" s="259" t="str">
        <f ca="1">IFERROR(INDEX($GD$3:$GM$400,MATCH(ROWS($GP$3:GP271),$GM$3:$GM$400,0),9),"")</f>
        <v/>
      </c>
      <c r="GQ271" s="259">
        <f t="shared" ca="1" si="668"/>
        <v>0</v>
      </c>
      <c r="GR271" s="259">
        <f t="shared" ca="1" si="685"/>
        <v>0</v>
      </c>
      <c r="GS271" s="259" t="str">
        <f t="shared" ca="1" si="686"/>
        <v/>
      </c>
      <c r="GT271" s="259" t="str">
        <f ca="1">IFERROR(INDEX($GD$3:$GS$400,MATCH(ROWS($GT$3:GT271),$GM$3:$GM$400,0),16),"")</f>
        <v/>
      </c>
      <c r="GU271" s="259">
        <f ca="1">IF(GQ271&lt;&gt;0,MAX($GU$2:$GU270)+1,0)</f>
        <v>0</v>
      </c>
      <c r="GV271" s="259">
        <f t="shared" ca="1" si="687"/>
        <v>0</v>
      </c>
      <c r="GW271" s="259" t="str">
        <f ca="1">IF(AND(IFERROR(INDEX($GU$3:$GV$400,MATCH(ROWS($GW$3:GW271),$GU$3:$GU$400,0),2),"")&lt;&gt;"",GW272&lt;&gt;""),CONCATENATE(IFERROR(INDEX($GU$3:$GV$400,MATCH(ROWS($GW$3:GW271),$GU$3:$GU$400,0),2),"")," - "),IFERROR(INDEX($GU$3:$GV$400,MATCH(ROWS($GW$3:GW271),$GU$3:$GU$400,0),2),""))</f>
        <v/>
      </c>
      <c r="GX271" s="259">
        <f ca="1">IF(OR(GN271="IVA NS/CREDITO",GN271="IVA NS/DEBITO",GN271="IVA C/ACCONTO",GN271="IMPOSTE C/ACCONTO"),MAX($GX$2:GX270)+1,0)</f>
        <v>0</v>
      </c>
      <c r="GY271" s="259" t="str">
        <f ca="1">IF(AND(IFERROR(INDEX($GN$3:$GX$200,MATCH(ROWS($GY$3:GY271),$GX$3:$GX$200,0),1),"")&lt;&gt;"",GY272&lt;&gt;""),CONCATENATE(IFERROR(INDEX($GN$3:$GX$200,MATCH(ROWS($GY$3:GY271),$GX$3:$GX$200,0),1),"")," - "),IFERROR(INDEX($GN$3:$GX$200,MATCH(ROWS($GY$3:GY271),$GX$3:$GX$200,0),1),""))</f>
        <v/>
      </c>
      <c r="JA271" s="259" t="str">
        <f t="shared" ca="1" si="688"/>
        <v/>
      </c>
      <c r="JB271" s="259">
        <f t="shared" ca="1" si="669"/>
        <v>0</v>
      </c>
      <c r="JC271" s="259">
        <f t="shared" ca="1" si="640"/>
        <v>0</v>
      </c>
      <c r="JD271" s="259">
        <f t="shared" ca="1" si="641"/>
        <v>0</v>
      </c>
      <c r="JM271" s="259">
        <f t="shared" ca="1" si="642"/>
        <v>0</v>
      </c>
    </row>
    <row r="272" spans="52:273">
      <c r="AZ272" s="259" t="str">
        <f t="shared" ca="1" si="689"/>
        <v/>
      </c>
      <c r="BA272" s="259">
        <f t="shared" ca="1" si="632"/>
        <v>0</v>
      </c>
      <c r="BB272" s="259">
        <f t="shared" ca="1" si="690"/>
        <v>0</v>
      </c>
      <c r="BC272" s="259">
        <f t="shared" ca="1" si="691"/>
        <v>0</v>
      </c>
      <c r="BD272" s="259">
        <f t="shared" ca="1" si="692"/>
        <v>0</v>
      </c>
      <c r="BE272" s="259">
        <f t="shared" ca="1" si="693"/>
        <v>0</v>
      </c>
      <c r="BQ272" s="259" t="str">
        <f ca="1">IFERROR(INDEX($BN$3:$BO$200,MATCH(ROWS(BQ$3:BQ272),$BP$3:$BP$220,0),1),"")</f>
        <v/>
      </c>
      <c r="CX272" s="259" t="str">
        <f>IFERROR(IF(CX254+1=1,"",(CX254+1)),"")</f>
        <v/>
      </c>
      <c r="CY272" s="259" t="str">
        <f t="shared" ca="1" si="694"/>
        <v>MASTRO</v>
      </c>
      <c r="DB272" s="259" t="str">
        <f t="shared" ref="DB272" ca="1" si="695">CY272</f>
        <v>MASTRO</v>
      </c>
      <c r="DF272" s="259">
        <f ca="1">IF(AND(CX272=$DE$2,$DF$2&lt;&gt;0),0,IF(AND(DB272&lt;&gt;"",OR(DB271&lt;&gt;"",DB273&lt;&gt;"")),MAX($DF$2:DF271)+1,0))</f>
        <v>0</v>
      </c>
      <c r="DG272" s="259" t="str">
        <f>IF(IF(LIBRO_GIORNALE!E180="","",IFERROR(INDEX(PIANO_DEI_CONTI,MATCH(BB272,DENOMINAZIONE,0),1),0))=0,"",IF(LIBRO_GIORNALE!E180="","",IFERROR(INDEX(PIANO_DEI_CONTI,MATCH(BB272,DENOMINAZIONE,0),1),0)))</f>
        <v/>
      </c>
      <c r="EC272" s="259">
        <f>IF(IF(DG272&lt;&gt;"",REPLACE(DG272,3,1,""),0)&lt;&gt;0,MAX(EC$2:EC271)+1,0)</f>
        <v>0</v>
      </c>
      <c r="ED272" s="259">
        <f t="shared" ca="1" si="662"/>
        <v>0</v>
      </c>
      <c r="EL272" s="259">
        <f t="shared" si="670"/>
        <v>270</v>
      </c>
      <c r="EM272" s="259">
        <f ca="1">IF(AND(BA272&gt;0,BA272&lt;=$EM$1),MAX($EM$2:EM271)+1,0)</f>
        <v>0</v>
      </c>
      <c r="EN272" s="259">
        <f t="shared" ca="1" si="671"/>
        <v>272</v>
      </c>
      <c r="EP272" s="259" t="str">
        <f t="shared" ca="1" si="663"/>
        <v/>
      </c>
      <c r="EQ272" s="259">
        <f t="shared" ca="1" si="664"/>
        <v>0</v>
      </c>
      <c r="ER272" s="259">
        <f ca="1">IF(ISNA(EQ272),MAX(ER$2:ER271)+1,0)</f>
        <v>0</v>
      </c>
      <c r="ES272" s="259" t="str">
        <f t="shared" ca="1" si="672"/>
        <v/>
      </c>
      <c r="ET272" s="259" t="str">
        <f ca="1">IFERROR(UPPER(INDEX($ER$3:$ES$500,MATCH(ROWS(ET$3:ET272),$ER$3:$ER$500,0),2)),"")</f>
        <v/>
      </c>
      <c r="EW272" s="259">
        <f t="shared" ca="1" si="633"/>
        <v>1</v>
      </c>
      <c r="EX272" s="259">
        <v>170</v>
      </c>
      <c r="EY272" s="259">
        <f t="shared" ca="1" si="634"/>
        <v>0</v>
      </c>
      <c r="EZ272" s="259">
        <f t="shared" ca="1" si="635"/>
        <v>0</v>
      </c>
      <c r="FA272" s="259">
        <f t="shared" ca="1" si="636"/>
        <v>0</v>
      </c>
      <c r="FB272" s="259">
        <f t="shared" ca="1" si="637"/>
        <v>0</v>
      </c>
      <c r="FC272" s="259">
        <f t="shared" ca="1" si="638"/>
        <v>0</v>
      </c>
      <c r="FD272" s="259">
        <f t="shared" ca="1" si="665"/>
        <v>0</v>
      </c>
      <c r="FE272" s="259" t="str">
        <f t="shared" ca="1" si="666"/>
        <v/>
      </c>
      <c r="FF272" s="259" t="str">
        <f t="shared" ca="1" si="639"/>
        <v/>
      </c>
      <c r="FM272" s="259">
        <f t="shared" si="667"/>
        <v>0</v>
      </c>
      <c r="FN272" s="259">
        <f>IF(FM272&lt;0,MAX($FN$2:FN271)+1,0)</f>
        <v>0</v>
      </c>
      <c r="FO272" s="259" t="str">
        <f t="shared" si="673"/>
        <v/>
      </c>
      <c r="FP272" s="259" t="str">
        <f ca="1">IFERROR(INDEX($FN$3:$FO$400,MATCH(ROWS($FP$3:FP272),$FN$3:$FN$400,0),2),"")</f>
        <v/>
      </c>
      <c r="FQ272" s="259" t="str">
        <f>IF(AE272="SE AVERE",MAX($FQ$2:FQ271)+1,"")</f>
        <v/>
      </c>
      <c r="FR272" s="259" t="str">
        <f>IF(AE272="SE DARE",MAX($FR$2:FR271)+1,"")</f>
        <v/>
      </c>
      <c r="FS272" s="259" t="str">
        <f ca="1">IF(AND(AE272="SP DARE",AA272&lt;&gt;$FS$1,AA272&lt;&gt;$FT$1),MAX($FS$2:FS271)+1,IF(AND(GQ272="SP DARE",AA272&lt;&gt;$FS$1,AA272&lt;&gt;$FT$1),MAX($FS$2:FS271)+1,""))</f>
        <v/>
      </c>
      <c r="FT272" s="259" t="str">
        <f ca="1">IF(AND(AE272="SP AVERE",AA272&lt;&gt;$FU$1),MAX($FT$2:FT271)+1,IF(AND(GQ272="SP AVERE",AA272&lt;&gt;$FU$1),MAX($FT$2:FT271)+1,""))</f>
        <v/>
      </c>
      <c r="FU272" s="259">
        <f t="shared" ca="1" si="674"/>
        <v>0</v>
      </c>
      <c r="FV272" s="259">
        <f t="shared" si="675"/>
        <v>0</v>
      </c>
      <c r="FW272" s="259">
        <f ca="1">IFERROR(INDEX($FU$3:$FV$500,MATCH(ROWS($FW$3:FW272),$FU$3:$FU$500,0),2),0)</f>
        <v>0</v>
      </c>
      <c r="FX272" s="259">
        <f t="shared" ca="1" si="676"/>
        <v>0</v>
      </c>
      <c r="FY272" s="259">
        <f t="shared" ca="1" si="677"/>
        <v>0</v>
      </c>
      <c r="FZ272" s="259">
        <f ca="1">IF(FY272&gt;0,MAX($FZ$2:FZ271)+1,0)</f>
        <v>0</v>
      </c>
      <c r="GA272" s="259">
        <f ca="1">IFERROR(INDEX($FY$3:$FZ$500,MATCH(ROWS($GA$3:GA272),$FZ$3:$FZ$500,0),1),0)</f>
        <v>0</v>
      </c>
      <c r="GC272" s="259">
        <f t="shared" ca="1" si="678"/>
        <v>0</v>
      </c>
      <c r="GD272" s="259">
        <f t="shared" ca="1" si="679"/>
        <v>0</v>
      </c>
      <c r="GG272" s="259">
        <f t="shared" ca="1" si="680"/>
        <v>0</v>
      </c>
      <c r="GH272" s="259">
        <f t="shared" ca="1" si="681"/>
        <v>0</v>
      </c>
      <c r="GI272" s="259">
        <f t="shared" ca="1" si="682"/>
        <v>0</v>
      </c>
      <c r="GJ272" s="259">
        <f t="shared" ca="1" si="683"/>
        <v>0</v>
      </c>
      <c r="GK272" s="259">
        <f t="shared" ca="1" si="684"/>
        <v>0</v>
      </c>
      <c r="GL272" s="259">
        <f t="shared" ca="1" si="684"/>
        <v>0</v>
      </c>
      <c r="GM272" s="259">
        <f ca="1">IF(OR(GK272&gt;0,GL272&gt;0),MAX($GM$2:GM271)+1,0)</f>
        <v>0</v>
      </c>
      <c r="GN272" s="259" t="str">
        <f ca="1">IFERROR(INDEX($GD$3:$GM$400,MATCH(ROWS($GN$3:GN272),$GM$3:$GM$400,0),1),"")</f>
        <v/>
      </c>
      <c r="GO272" s="259" t="str">
        <f ca="1">IFERROR(INDEX($GD$3:$GM$400,MATCH(ROWS($GO$3:GO272),$GM$3:$GM$400,0),8),"")</f>
        <v/>
      </c>
      <c r="GP272" s="259" t="str">
        <f ca="1">IFERROR(INDEX($GD$3:$GM$400,MATCH(ROWS($GP$3:GP272),$GM$3:$GM$400,0),9),"")</f>
        <v/>
      </c>
      <c r="GQ272" s="259">
        <f t="shared" ca="1" si="668"/>
        <v>0</v>
      </c>
      <c r="GR272" s="259">
        <f t="shared" ca="1" si="685"/>
        <v>0</v>
      </c>
      <c r="GS272" s="259" t="str">
        <f t="shared" ca="1" si="686"/>
        <v/>
      </c>
      <c r="GT272" s="259" t="str">
        <f ca="1">IFERROR(INDEX($GD$3:$GS$400,MATCH(ROWS($GT$3:GT272),$GM$3:$GM$400,0),16),"")</f>
        <v/>
      </c>
      <c r="GU272" s="259">
        <f ca="1">IF(GQ272&lt;&gt;0,MAX($GU$2:$GU271)+1,0)</f>
        <v>0</v>
      </c>
      <c r="GV272" s="259">
        <f t="shared" ca="1" si="687"/>
        <v>0</v>
      </c>
      <c r="GW272" s="259" t="str">
        <f ca="1">IF(AND(IFERROR(INDEX($GU$3:$GV$400,MATCH(ROWS($GW$3:GW272),$GU$3:$GU$400,0),2),"")&lt;&gt;"",GW273&lt;&gt;""),CONCATENATE(IFERROR(INDEX($GU$3:$GV$400,MATCH(ROWS($GW$3:GW272),$GU$3:$GU$400,0),2),"")," - "),IFERROR(INDEX($GU$3:$GV$400,MATCH(ROWS($GW$3:GW272),$GU$3:$GU$400,0),2),""))</f>
        <v/>
      </c>
      <c r="GX272" s="259">
        <f ca="1">IF(OR(GN272="IVA NS/CREDITO",GN272="IVA NS/DEBITO",GN272="IVA C/ACCONTO",GN272="IMPOSTE C/ACCONTO"),MAX($GX$2:GX271)+1,0)</f>
        <v>0</v>
      </c>
      <c r="GY272" s="259" t="str">
        <f ca="1">IF(AND(IFERROR(INDEX($GN$3:$GX$200,MATCH(ROWS($GY$3:GY272),$GX$3:$GX$200,0),1),"")&lt;&gt;"",GY273&lt;&gt;""),CONCATENATE(IFERROR(INDEX($GN$3:$GX$200,MATCH(ROWS($GY$3:GY272),$GX$3:$GX$200,0),1),"")," - "),IFERROR(INDEX($GN$3:$GX$200,MATCH(ROWS($GY$3:GY272),$GX$3:$GX$200,0),1),""))</f>
        <v/>
      </c>
      <c r="JA272" s="259" t="str">
        <f t="shared" ca="1" si="688"/>
        <v/>
      </c>
      <c r="JB272" s="259">
        <f t="shared" ca="1" si="669"/>
        <v>0</v>
      </c>
      <c r="JC272" s="259">
        <f t="shared" ca="1" si="640"/>
        <v>0</v>
      </c>
      <c r="JD272" s="259">
        <f t="shared" ca="1" si="641"/>
        <v>0</v>
      </c>
      <c r="JM272" s="259">
        <f t="shared" ca="1" si="642"/>
        <v>0</v>
      </c>
    </row>
    <row r="273" spans="52:273">
      <c r="AZ273" s="259" t="str">
        <f t="shared" ca="1" si="689"/>
        <v/>
      </c>
      <c r="BA273" s="259">
        <f t="shared" ca="1" si="632"/>
        <v>0</v>
      </c>
      <c r="BB273" s="259">
        <f t="shared" ca="1" si="690"/>
        <v>0</v>
      </c>
      <c r="BC273" s="259">
        <f t="shared" ca="1" si="691"/>
        <v>0</v>
      </c>
      <c r="BD273" s="259">
        <f t="shared" ca="1" si="692"/>
        <v>0</v>
      </c>
      <c r="BE273" s="259">
        <f t="shared" ca="1" si="693"/>
        <v>0</v>
      </c>
      <c r="BQ273" s="259" t="str">
        <f ca="1">IFERROR(INDEX($BN$3:$BO$200,MATCH(ROWS(BQ$3:BQ273),$BP$3:$BP$220,0),1),"")</f>
        <v/>
      </c>
      <c r="CX273" s="259">
        <f ca="1">$EA$18</f>
        <v>16</v>
      </c>
      <c r="CY273" s="259" t="str">
        <f t="shared" ca="1" si="694"/>
        <v>MASTRO</v>
      </c>
      <c r="DA273" s="259" t="str">
        <f ca="1">IF(CY272="MASTRO","Conto n.","")</f>
        <v>Conto n.</v>
      </c>
      <c r="DB273" s="259" t="str">
        <f ca="1">IF(CY273=0,"",INDEX(PIANO_DEI_CONTI,MATCH(DC273,DENOMINAZIONE,0),1))</f>
        <v/>
      </c>
      <c r="DC273" s="259" t="str">
        <f ca="1">IF(OR(CY273=0,CY273="mastro"),"",CY273)</f>
        <v/>
      </c>
      <c r="DD273" s="259" t="str">
        <f ca="1">IF(AND($DA$2=TRUE,OR(INDEX(PIANO_DEI_CONTI,MATCH($DC273,DENOMINAZIONE,0),4)="A",INDEX(PIANO_DEI_CONTI,MATCH($DC273,DENOMINAZIONE,0),4)="D/A"),SUMIFS(AVERE,DENOMINAZIONE_GIORNALE,"="&amp;$DC273)&gt;SUMIFS(DARE,DENOMINAZIONE_GIORNALE,"="&amp;$DC273)),CONCATENATE("s ",FIXED(ABS(SUMIFS(AVERE,DENOMINAZIONE_GIORNALE,"="&amp;$DC273)-SUMIFS(DARE,DENOMINAZIONE_GIORNALE,"="&amp;$DC273)),2)),"")</f>
        <v/>
      </c>
      <c r="DE273" s="259" t="str">
        <f ca="1">IF(AND($DA$2=TRUE,OR(INDEX(PIANO_DEI_CONTI,MATCH($DC273,DENOMINAZIONE,0),4)="D",INDEX(PIANO_DEI_CONTI,MATCH($DC273,DENOMINAZIONE,0),4)="D/A"),SUMIFS(DARE,DENOMINAZIONE_GIORNALE,"="&amp;$DC273)&gt;SUMIFS(AVERE,DENOMINAZIONE_GIORNALE,"="&amp;$DC273)),CONCATENATE("s ",FIXED(ABS(SUMIFS(DARE,DENOMINAZIONE_GIORNALE,"="&amp;$DC273)-SUMIFS(AVERE,DENOMINAZIONE_GIORNALE,"="&amp;$DC273)),2)),"")</f>
        <v/>
      </c>
      <c r="DF273" s="259">
        <f ca="1">IF(AND(CX273=$DE$2,$DF$2&lt;&gt;0),0,IF(AND(DB273&lt;&gt;"",OR(DB272&lt;&gt;"",DB274&lt;&gt;"")),MAX($DF$2:DF272)+1,0))</f>
        <v>0</v>
      </c>
      <c r="DG273" s="259" t="str">
        <f>IF(IF(LIBRO_GIORNALE!E181="","",IFERROR(INDEX(PIANO_DEI_CONTI,MATCH(BB273,DENOMINAZIONE,0),1),0))=0,"",IF(LIBRO_GIORNALE!E181="","",IFERROR(INDEX(PIANO_DEI_CONTI,MATCH(BB273,DENOMINAZIONE,0),1),0)))</f>
        <v/>
      </c>
      <c r="EC273" s="259">
        <f>IF(IF(DG273&lt;&gt;"",REPLACE(DG273,3,1,""),0)&lt;&gt;0,MAX(EC$2:EC272)+1,0)</f>
        <v>0</v>
      </c>
      <c r="ED273" s="259">
        <f t="shared" ca="1" si="662"/>
        <v>0</v>
      </c>
      <c r="EL273" s="259">
        <f t="shared" si="670"/>
        <v>271</v>
      </c>
      <c r="EM273" s="259">
        <f ca="1">IF(AND(BA273&gt;0,BA273&lt;=$EM$1),MAX($EM$2:EM272)+1,0)</f>
        <v>0</v>
      </c>
      <c r="EN273" s="259">
        <f t="shared" ca="1" si="671"/>
        <v>273</v>
      </c>
      <c r="EP273" s="259" t="str">
        <f t="shared" ca="1" si="663"/>
        <v/>
      </c>
      <c r="EQ273" s="259">
        <f t="shared" ca="1" si="664"/>
        <v>0</v>
      </c>
      <c r="ER273" s="259">
        <f ca="1">IF(ISNA(EQ273),MAX(ER$2:ER272)+1,0)</f>
        <v>0</v>
      </c>
      <c r="ES273" s="259" t="str">
        <f t="shared" ca="1" si="672"/>
        <v/>
      </c>
      <c r="ET273" s="259" t="str">
        <f ca="1">IFERROR(UPPER(INDEX($ER$3:$ES$500,MATCH(ROWS(ET$3:ET273),$ER$3:$ER$500,0),2)),"")</f>
        <v/>
      </c>
      <c r="EW273" s="259">
        <f t="shared" ca="1" si="633"/>
        <v>1</v>
      </c>
      <c r="EX273" s="259">
        <v>171</v>
      </c>
      <c r="EY273" s="259">
        <f t="shared" ca="1" si="634"/>
        <v>0</v>
      </c>
      <c r="EZ273" s="259">
        <f t="shared" ca="1" si="635"/>
        <v>0</v>
      </c>
      <c r="FA273" s="259">
        <f t="shared" ca="1" si="636"/>
        <v>0</v>
      </c>
      <c r="FB273" s="259">
        <f t="shared" ca="1" si="637"/>
        <v>0</v>
      </c>
      <c r="FC273" s="259">
        <f t="shared" ca="1" si="638"/>
        <v>0</v>
      </c>
      <c r="FD273" s="259">
        <f t="shared" ca="1" si="665"/>
        <v>0</v>
      </c>
      <c r="FE273" s="259" t="str">
        <f t="shared" ca="1" si="666"/>
        <v/>
      </c>
      <c r="FF273" s="259" t="str">
        <f t="shared" ca="1" si="639"/>
        <v/>
      </c>
      <c r="FM273" s="259">
        <f t="shared" si="667"/>
        <v>0</v>
      </c>
      <c r="FN273" s="259">
        <f>IF(FM273&lt;0,MAX($FN$2:FN272)+1,0)</f>
        <v>0</v>
      </c>
      <c r="FO273" s="259" t="str">
        <f t="shared" si="673"/>
        <v/>
      </c>
      <c r="FP273" s="259" t="str">
        <f ca="1">IFERROR(INDEX($FN$3:$FO$400,MATCH(ROWS($FP$3:FP273),$FN$3:$FN$400,0),2),"")</f>
        <v/>
      </c>
      <c r="FQ273" s="259" t="str">
        <f>IF(AE273="SE AVERE",MAX($FQ$2:FQ272)+1,"")</f>
        <v/>
      </c>
      <c r="FR273" s="259" t="str">
        <f>IF(AE273="SE DARE",MAX($FR$2:FR272)+1,"")</f>
        <v/>
      </c>
      <c r="FS273" s="259" t="str">
        <f ca="1">IF(AND(AE273="SP DARE",AA273&lt;&gt;$FS$1,AA273&lt;&gt;$FT$1),MAX($FS$2:FS272)+1,IF(AND(GQ273="SP DARE",AA273&lt;&gt;$FS$1,AA273&lt;&gt;$FT$1),MAX($FS$2:FS272)+1,""))</f>
        <v/>
      </c>
      <c r="FT273" s="259" t="str">
        <f ca="1">IF(AND(AE273="SP AVERE",AA273&lt;&gt;$FU$1),MAX($FT$2:FT272)+1,IF(AND(GQ273="SP AVERE",AA273&lt;&gt;$FU$1),MAX($FT$2:FT272)+1,""))</f>
        <v/>
      </c>
      <c r="FU273" s="259">
        <f t="shared" ca="1" si="674"/>
        <v>0</v>
      </c>
      <c r="FV273" s="259">
        <f t="shared" si="675"/>
        <v>0</v>
      </c>
      <c r="FW273" s="259">
        <f ca="1">IFERROR(INDEX($FU$3:$FV$500,MATCH(ROWS($FW$3:FW273),$FU$3:$FU$500,0),2),0)</f>
        <v>0</v>
      </c>
      <c r="FX273" s="259">
        <f t="shared" ca="1" si="676"/>
        <v>0</v>
      </c>
      <c r="FY273" s="259">
        <f t="shared" ca="1" si="677"/>
        <v>0</v>
      </c>
      <c r="FZ273" s="259">
        <f ca="1">IF(FY273&gt;0,MAX($FZ$2:FZ272)+1,0)</f>
        <v>0</v>
      </c>
      <c r="GA273" s="259">
        <f ca="1">IFERROR(INDEX($FY$3:$FZ$500,MATCH(ROWS($GA$3:GA273),$FZ$3:$FZ$500,0),1),0)</f>
        <v>0</v>
      </c>
      <c r="GC273" s="259">
        <f t="shared" ca="1" si="678"/>
        <v>0</v>
      </c>
      <c r="GD273" s="259">
        <f t="shared" ca="1" si="679"/>
        <v>0</v>
      </c>
      <c r="GG273" s="259">
        <f t="shared" ca="1" si="680"/>
        <v>0</v>
      </c>
      <c r="GH273" s="259">
        <f t="shared" ca="1" si="681"/>
        <v>0</v>
      </c>
      <c r="GI273" s="259">
        <f t="shared" ca="1" si="682"/>
        <v>0</v>
      </c>
      <c r="GJ273" s="259">
        <f t="shared" ca="1" si="683"/>
        <v>0</v>
      </c>
      <c r="GK273" s="259">
        <f t="shared" ca="1" si="684"/>
        <v>0</v>
      </c>
      <c r="GL273" s="259">
        <f t="shared" ca="1" si="684"/>
        <v>0</v>
      </c>
      <c r="GM273" s="259">
        <f ca="1">IF(OR(GK273&gt;0,GL273&gt;0),MAX($GM$2:GM272)+1,0)</f>
        <v>0</v>
      </c>
      <c r="GN273" s="259" t="str">
        <f ca="1">IFERROR(INDEX($GD$3:$GM$400,MATCH(ROWS($GN$3:GN273),$GM$3:$GM$400,0),1),"")</f>
        <v/>
      </c>
      <c r="GO273" s="259" t="str">
        <f ca="1">IFERROR(INDEX($GD$3:$GM$400,MATCH(ROWS($GO$3:GO273),$GM$3:$GM$400,0),8),"")</f>
        <v/>
      </c>
      <c r="GP273" s="259" t="str">
        <f ca="1">IFERROR(INDEX($GD$3:$GM$400,MATCH(ROWS($GP$3:GP273),$GM$3:$GM$400,0),9),"")</f>
        <v/>
      </c>
      <c r="GQ273" s="259">
        <f t="shared" ca="1" si="668"/>
        <v>0</v>
      </c>
      <c r="GR273" s="259">
        <f t="shared" ca="1" si="685"/>
        <v>0</v>
      </c>
      <c r="GS273" s="259" t="str">
        <f t="shared" ca="1" si="686"/>
        <v/>
      </c>
      <c r="GT273" s="259" t="str">
        <f ca="1">IFERROR(INDEX($GD$3:$GS$400,MATCH(ROWS($GT$3:GT273),$GM$3:$GM$400,0),16),"")</f>
        <v/>
      </c>
      <c r="GU273" s="259">
        <f ca="1">IF(GQ273&lt;&gt;0,MAX($GU$2:$GU272)+1,0)</f>
        <v>0</v>
      </c>
      <c r="GV273" s="259">
        <f t="shared" ca="1" si="687"/>
        <v>0</v>
      </c>
      <c r="GW273" s="259" t="str">
        <f ca="1">IF(AND(IFERROR(INDEX($GU$3:$GV$400,MATCH(ROWS($GW$3:GW273),$GU$3:$GU$400,0),2),"")&lt;&gt;"",GW274&lt;&gt;""),CONCATENATE(IFERROR(INDEX($GU$3:$GV$400,MATCH(ROWS($GW$3:GW273),$GU$3:$GU$400,0),2),"")," - "),IFERROR(INDEX($GU$3:$GV$400,MATCH(ROWS($GW$3:GW273),$GU$3:$GU$400,0),2),""))</f>
        <v/>
      </c>
      <c r="GX273" s="259">
        <f ca="1">IF(OR(GN273="IVA NS/CREDITO",GN273="IVA NS/DEBITO",GN273="IVA C/ACCONTO",GN273="IMPOSTE C/ACCONTO"),MAX($GX$2:GX272)+1,0)</f>
        <v>0</v>
      </c>
      <c r="GY273" s="259" t="str">
        <f ca="1">IF(AND(IFERROR(INDEX($GN$3:$GX$200,MATCH(ROWS($GY$3:GY273),$GX$3:$GX$200,0),1),"")&lt;&gt;"",GY274&lt;&gt;""),CONCATENATE(IFERROR(INDEX($GN$3:$GX$200,MATCH(ROWS($GY$3:GY273),$GX$3:$GX$200,0),1),"")," - "),IFERROR(INDEX($GN$3:$GX$200,MATCH(ROWS($GY$3:GY273),$GX$3:$GX$200,0),1),""))</f>
        <v/>
      </c>
      <c r="JA273" s="259" t="str">
        <f t="shared" ca="1" si="688"/>
        <v/>
      </c>
      <c r="JB273" s="259">
        <f t="shared" ca="1" si="669"/>
        <v>0</v>
      </c>
      <c r="JC273" s="259">
        <f t="shared" ca="1" si="640"/>
        <v>0</v>
      </c>
      <c r="JD273" s="259">
        <f t="shared" ca="1" si="641"/>
        <v>0</v>
      </c>
      <c r="JM273" s="259">
        <f t="shared" ca="1" si="642"/>
        <v>0</v>
      </c>
    </row>
    <row r="274" spans="52:273">
      <c r="AZ274" s="259" t="str">
        <f t="shared" ca="1" si="689"/>
        <v/>
      </c>
      <c r="BA274" s="259">
        <f t="shared" ca="1" si="632"/>
        <v>0</v>
      </c>
      <c r="BB274" s="259">
        <f t="shared" ca="1" si="690"/>
        <v>0</v>
      </c>
      <c r="BC274" s="259">
        <f t="shared" ca="1" si="691"/>
        <v>0</v>
      </c>
      <c r="BD274" s="259">
        <f t="shared" ca="1" si="692"/>
        <v>0</v>
      </c>
      <c r="BE274" s="259">
        <f t="shared" ca="1" si="693"/>
        <v>0</v>
      </c>
      <c r="BQ274" s="259" t="str">
        <f ca="1">IFERROR(INDEX($BN$3:$BO$200,MATCH(ROWS(BQ$3:BQ274),$BP$3:$BP$220,0),1),"")</f>
        <v/>
      </c>
      <c r="CX274" s="259">
        <f t="shared" ref="CX274:CX289" ca="1" si="696">$EA$18</f>
        <v>16</v>
      </c>
      <c r="CY274" s="259" t="str">
        <f t="shared" ca="1" si="694"/>
        <v>MASTRO</v>
      </c>
      <c r="DA274" s="259" t="str">
        <f ca="1">IF(DB273="","","Num. riga")</f>
        <v/>
      </c>
      <c r="DB274" s="259" t="str">
        <f t="shared" ref="DB274" ca="1" si="697">IF(DB273="","","Data")</f>
        <v/>
      </c>
      <c r="DC274" s="259" t="str">
        <f ca="1">IF(DB273="","","Operazioni")</f>
        <v/>
      </c>
      <c r="DD274" s="259" t="str">
        <f ca="1">IF(DB273="","","Dare        ")</f>
        <v/>
      </c>
      <c r="DE274" s="259" t="str">
        <f ca="1">IF(DB273="","","Avere        ")</f>
        <v/>
      </c>
      <c r="DF274" s="259">
        <f ca="1">IF(AND(CX274=$DE$2,$DF$2&lt;&gt;0),0,IF(AND(DB274&lt;&gt;"",OR(DB273&lt;&gt;"",DB275&lt;&gt;"")),MAX($DF$2:DF273)+1,0))</f>
        <v>0</v>
      </c>
      <c r="DG274" s="259" t="str">
        <f>IF(IF(LIBRO_GIORNALE!E182="","",IFERROR(INDEX(PIANO_DEI_CONTI,MATCH(BB274,DENOMINAZIONE,0),1),0))=0,"",IF(LIBRO_GIORNALE!E182="","",IFERROR(INDEX(PIANO_DEI_CONTI,MATCH(BB274,DENOMINAZIONE,0),1),0)))</f>
        <v/>
      </c>
      <c r="EC274" s="259">
        <f>IF(IF(DG274&lt;&gt;"",REPLACE(DG274,3,1,""),0)&lt;&gt;0,MAX(EC$2:EC273)+1,0)</f>
        <v>0</v>
      </c>
      <c r="ED274" s="259">
        <f t="shared" ca="1" si="662"/>
        <v>0</v>
      </c>
      <c r="EL274" s="259">
        <f t="shared" si="670"/>
        <v>272</v>
      </c>
      <c r="EM274" s="259">
        <f ca="1">IF(AND(BA274&gt;0,BA274&lt;=$EM$1),MAX($EM$2:EM273)+1,0)</f>
        <v>0</v>
      </c>
      <c r="EN274" s="259">
        <f t="shared" ca="1" si="671"/>
        <v>274</v>
      </c>
      <c r="EP274" s="259" t="str">
        <f t="shared" ca="1" si="663"/>
        <v/>
      </c>
      <c r="EQ274" s="259">
        <f t="shared" ca="1" si="664"/>
        <v>0</v>
      </c>
      <c r="ER274" s="259">
        <f ca="1">IF(ISNA(EQ274),MAX(ER$2:ER273)+1,0)</f>
        <v>0</v>
      </c>
      <c r="ES274" s="259" t="str">
        <f t="shared" ca="1" si="672"/>
        <v/>
      </c>
      <c r="ET274" s="259" t="str">
        <f ca="1">IFERROR(UPPER(INDEX($ER$3:$ES$500,MATCH(ROWS(ET$3:ET274),$ER$3:$ER$500,0),2)),"")</f>
        <v/>
      </c>
      <c r="EW274" s="259">
        <f t="shared" ca="1" si="633"/>
        <v>1</v>
      </c>
      <c r="EX274" s="259">
        <v>172</v>
      </c>
      <c r="EY274" s="259">
        <f t="shared" ca="1" si="634"/>
        <v>0</v>
      </c>
      <c r="EZ274" s="259">
        <f t="shared" ca="1" si="635"/>
        <v>0</v>
      </c>
      <c r="FA274" s="259">
        <f t="shared" ca="1" si="636"/>
        <v>0</v>
      </c>
      <c r="FB274" s="259">
        <f t="shared" ca="1" si="637"/>
        <v>0</v>
      </c>
      <c r="FC274" s="259">
        <f t="shared" ca="1" si="638"/>
        <v>0</v>
      </c>
      <c r="FD274" s="259">
        <f t="shared" ca="1" si="665"/>
        <v>0</v>
      </c>
      <c r="FE274" s="259" t="str">
        <f t="shared" ca="1" si="666"/>
        <v/>
      </c>
      <c r="FF274" s="259" t="str">
        <f t="shared" ca="1" si="639"/>
        <v/>
      </c>
      <c r="FM274" s="259">
        <f t="shared" si="667"/>
        <v>0</v>
      </c>
      <c r="FN274" s="259">
        <f>IF(FM274&lt;0,MAX($FN$2:FN273)+1,0)</f>
        <v>0</v>
      </c>
      <c r="FO274" s="259" t="str">
        <f t="shared" si="673"/>
        <v/>
      </c>
      <c r="FP274" s="259" t="str">
        <f ca="1">IFERROR(INDEX($FN$3:$FO$400,MATCH(ROWS($FP$3:FP274),$FN$3:$FN$400,0),2),"")</f>
        <v/>
      </c>
      <c r="FQ274" s="259" t="str">
        <f>IF(AE274="SE AVERE",MAX($FQ$2:FQ273)+1,"")</f>
        <v/>
      </c>
      <c r="FR274" s="259" t="str">
        <f>IF(AE274="SE DARE",MAX($FR$2:FR273)+1,"")</f>
        <v/>
      </c>
      <c r="FS274" s="259" t="str">
        <f ca="1">IF(AND(AE274="SP DARE",AA274&lt;&gt;$FS$1,AA274&lt;&gt;$FT$1),MAX($FS$2:FS273)+1,IF(AND(GQ274="SP DARE",AA274&lt;&gt;$FS$1,AA274&lt;&gt;$FT$1),MAX($FS$2:FS273)+1,""))</f>
        <v/>
      </c>
      <c r="FT274" s="259" t="str">
        <f ca="1">IF(AND(AE274="SP AVERE",AA274&lt;&gt;$FU$1),MAX($FT$2:FT273)+1,IF(AND(GQ274="SP AVERE",AA274&lt;&gt;$FU$1),MAX($FT$2:FT273)+1,""))</f>
        <v/>
      </c>
      <c r="FU274" s="259">
        <f t="shared" ca="1" si="674"/>
        <v>0</v>
      </c>
      <c r="FV274" s="259">
        <f t="shared" si="675"/>
        <v>0</v>
      </c>
      <c r="FW274" s="259">
        <f ca="1">IFERROR(INDEX($FU$3:$FV$500,MATCH(ROWS($FW$3:FW274),$FU$3:$FU$500,0),2),0)</f>
        <v>0</v>
      </c>
      <c r="FX274" s="259">
        <f t="shared" ca="1" si="676"/>
        <v>0</v>
      </c>
      <c r="FY274" s="259">
        <f t="shared" ca="1" si="677"/>
        <v>0</v>
      </c>
      <c r="FZ274" s="259">
        <f ca="1">IF(FY274&gt;0,MAX($FZ$2:FZ273)+1,0)</f>
        <v>0</v>
      </c>
      <c r="GA274" s="259">
        <f ca="1">IFERROR(INDEX($FY$3:$FZ$500,MATCH(ROWS($GA$3:GA274),$FZ$3:$FZ$500,0),1),0)</f>
        <v>0</v>
      </c>
      <c r="GC274" s="259">
        <f t="shared" ca="1" si="678"/>
        <v>0</v>
      </c>
      <c r="GD274" s="259">
        <f t="shared" ca="1" si="679"/>
        <v>0</v>
      </c>
      <c r="GG274" s="259">
        <f t="shared" ca="1" si="680"/>
        <v>0</v>
      </c>
      <c r="GH274" s="259">
        <f t="shared" ca="1" si="681"/>
        <v>0</v>
      </c>
      <c r="GI274" s="259">
        <f t="shared" ca="1" si="682"/>
        <v>0</v>
      </c>
      <c r="GJ274" s="259">
        <f t="shared" ca="1" si="683"/>
        <v>0</v>
      </c>
      <c r="GK274" s="259">
        <f t="shared" ca="1" si="684"/>
        <v>0</v>
      </c>
      <c r="GL274" s="259">
        <f t="shared" ca="1" si="684"/>
        <v>0</v>
      </c>
      <c r="GM274" s="259">
        <f ca="1">IF(OR(GK274&gt;0,GL274&gt;0),MAX($GM$2:GM273)+1,0)</f>
        <v>0</v>
      </c>
      <c r="GN274" s="259" t="str">
        <f ca="1">IFERROR(INDEX($GD$3:$GM$400,MATCH(ROWS($GN$3:GN274),$GM$3:$GM$400,0),1),"")</f>
        <v/>
      </c>
      <c r="GO274" s="259" t="str">
        <f ca="1">IFERROR(INDEX($GD$3:$GM$400,MATCH(ROWS($GO$3:GO274),$GM$3:$GM$400,0),8),"")</f>
        <v/>
      </c>
      <c r="GP274" s="259" t="str">
        <f ca="1">IFERROR(INDEX($GD$3:$GM$400,MATCH(ROWS($GP$3:GP274),$GM$3:$GM$400,0),9),"")</f>
        <v/>
      </c>
      <c r="GQ274" s="259">
        <f t="shared" ca="1" si="668"/>
        <v>0</v>
      </c>
      <c r="GR274" s="259">
        <f t="shared" ca="1" si="685"/>
        <v>0</v>
      </c>
      <c r="GS274" s="259" t="str">
        <f t="shared" ca="1" si="686"/>
        <v/>
      </c>
      <c r="GT274" s="259" t="str">
        <f ca="1">IFERROR(INDEX($GD$3:$GS$400,MATCH(ROWS($GT$3:GT274),$GM$3:$GM$400,0),16),"")</f>
        <v/>
      </c>
      <c r="GU274" s="259">
        <f ca="1">IF(GQ274&lt;&gt;0,MAX($GU$2:$GU273)+1,0)</f>
        <v>0</v>
      </c>
      <c r="GV274" s="259">
        <f t="shared" ca="1" si="687"/>
        <v>0</v>
      </c>
      <c r="GW274" s="259" t="str">
        <f ca="1">IF(AND(IFERROR(INDEX($GU$3:$GV$400,MATCH(ROWS($GW$3:GW274),$GU$3:$GU$400,0),2),"")&lt;&gt;"",GW275&lt;&gt;""),CONCATENATE(IFERROR(INDEX($GU$3:$GV$400,MATCH(ROWS($GW$3:GW274),$GU$3:$GU$400,0),2),"")," - "),IFERROR(INDEX($GU$3:$GV$400,MATCH(ROWS($GW$3:GW274),$GU$3:$GU$400,0),2),""))</f>
        <v/>
      </c>
      <c r="GX274" s="259">
        <f ca="1">IF(OR(GN274="IVA NS/CREDITO",GN274="IVA NS/DEBITO",GN274="IVA C/ACCONTO",GN274="IMPOSTE C/ACCONTO"),MAX($GX$2:GX273)+1,0)</f>
        <v>0</v>
      </c>
      <c r="GY274" s="259" t="str">
        <f ca="1">IF(AND(IFERROR(INDEX($GN$3:$GX$200,MATCH(ROWS($GY$3:GY274),$GX$3:$GX$200,0),1),"")&lt;&gt;"",GY275&lt;&gt;""),CONCATENATE(IFERROR(INDEX($GN$3:$GX$200,MATCH(ROWS($GY$3:GY274),$GX$3:$GX$200,0),1),"")," - "),IFERROR(INDEX($GN$3:$GX$200,MATCH(ROWS($GY$3:GY274),$GX$3:$GX$200,0),1),""))</f>
        <v/>
      </c>
      <c r="JA274" s="259" t="str">
        <f t="shared" ca="1" si="688"/>
        <v/>
      </c>
      <c r="JB274" s="259">
        <f t="shared" ca="1" si="669"/>
        <v>0</v>
      </c>
      <c r="JC274" s="259">
        <f t="shared" ca="1" si="640"/>
        <v>0</v>
      </c>
      <c r="JD274" s="259">
        <f t="shared" ca="1" si="641"/>
        <v>0</v>
      </c>
      <c r="JM274" s="259">
        <f t="shared" ca="1" si="642"/>
        <v>0</v>
      </c>
    </row>
    <row r="275" spans="52:273">
      <c r="AZ275" s="259" t="str">
        <f t="shared" ca="1" si="689"/>
        <v/>
      </c>
      <c r="BA275" s="259">
        <f t="shared" ca="1" si="632"/>
        <v>0</v>
      </c>
      <c r="BB275" s="259">
        <f t="shared" ca="1" si="690"/>
        <v>0</v>
      </c>
      <c r="BC275" s="259">
        <f t="shared" ca="1" si="691"/>
        <v>0</v>
      </c>
      <c r="BD275" s="259">
        <f t="shared" ca="1" si="692"/>
        <v>0</v>
      </c>
      <c r="BE275" s="259">
        <f t="shared" ca="1" si="693"/>
        <v>0</v>
      </c>
      <c r="BQ275" s="259" t="str">
        <f ca="1">IFERROR(INDEX($BN$3:$BO$200,MATCH(ROWS(BQ$3:BQ275),$BP$3:$BP$220,0),1),"")</f>
        <v/>
      </c>
      <c r="CX275" s="259">
        <f t="shared" ca="1" si="696"/>
        <v>16</v>
      </c>
      <c r="CY275" s="259" t="str">
        <f t="shared" ca="1" si="694"/>
        <v>MASTRO</v>
      </c>
      <c r="CZ275" s="259" t="e">
        <f t="shared" ref="CZ275:CZ289" ca="1" si="698">SUM(MATCH($CY275,INDIRECT(ADDRESS(SUM(CZ274)+3,54)&amp;":"&amp;ADDRESS(400,54)),0),CZ274)</f>
        <v>#N/A</v>
      </c>
      <c r="DA275" s="259" t="str">
        <f ca="1">IFERROR(INDEX(LIBRO_GIORNALE,CZ275,1),"")</f>
        <v/>
      </c>
      <c r="DB275" s="259" t="str">
        <f t="shared" ref="DB275:DB289" ca="1" si="699">IF(RIGHT(TEXT(IFERROR(INDEX(LIBRO_GIORNALE,CZ275,2),""),"gg/mm/aa"),1)="a",TEXT(IFERROR(INDEX(LIBRO_GIORNALE,CZ275,2),""),"dd/mm/yy"),TEXT(IFERROR(INDEX(LIBRO_GIORNALE,CZ275,2),""),"gg/mm/aa"))</f>
        <v/>
      </c>
      <c r="DC275" s="259" t="str">
        <f t="shared" ref="DC275:DC289" ca="1" si="700">IF(IFERROR(INDEX(LIBRO_GIORNALE,CZ275,4),"")=0,"manca la descrizione dell'operazione",IFERROR(INDEX(LIBRO_GIORNALE,CZ275,4),""))</f>
        <v/>
      </c>
      <c r="DD275" s="259" t="str">
        <f t="shared" ref="DD275:DD289" ca="1" si="701">IFERROR(IF(INDEX(LIBRO_GIORNALE,CZ275,5)&gt;0,INDEX(LIBRO_GIORNALE,CZ275,5),""),"")</f>
        <v/>
      </c>
      <c r="DE275" s="259" t="str">
        <f t="shared" ref="DE275:DE289" ca="1" si="702">IFERROR(IF(INDEX(LIBRO_GIORNALE,CZ275,6)&gt;0,INDEX(LIBRO_GIORNALE,CZ275,6),""),"")</f>
        <v/>
      </c>
      <c r="DF275" s="259">
        <f ca="1">IF(AND(CX275=$DE$2,$DF$2&lt;&gt;0),0,IF(AND(DB275&lt;&gt;"",OR(DB274&lt;&gt;"",DB276&lt;&gt;"")),MAX($DF$2:DF274)+1,0))</f>
        <v>0</v>
      </c>
      <c r="DG275" s="259" t="str">
        <f>IF(IF(LIBRO_GIORNALE!E183="","",IFERROR(INDEX(PIANO_DEI_CONTI,MATCH(BB275,DENOMINAZIONE,0),1),0))=0,"",IF(LIBRO_GIORNALE!E183="","",IFERROR(INDEX(PIANO_DEI_CONTI,MATCH(BB275,DENOMINAZIONE,0),1),0)))</f>
        <v/>
      </c>
      <c r="EC275" s="259">
        <f>IF(IF(DG275&lt;&gt;"",REPLACE(DG275,3,1,""),0)&lt;&gt;0,MAX(EC$2:EC274)+1,0)</f>
        <v>0</v>
      </c>
      <c r="ED275" s="259">
        <f t="shared" ca="1" si="662"/>
        <v>0</v>
      </c>
      <c r="EL275" s="259">
        <f t="shared" si="670"/>
        <v>273</v>
      </c>
      <c r="EM275" s="259">
        <f ca="1">IF(AND(BA275&gt;0,BA275&lt;=$EM$1),MAX($EM$2:EM274)+1,0)</f>
        <v>0</v>
      </c>
      <c r="EN275" s="259">
        <f t="shared" ca="1" si="671"/>
        <v>275</v>
      </c>
      <c r="EP275" s="259" t="str">
        <f t="shared" ca="1" si="663"/>
        <v/>
      </c>
      <c r="EQ275" s="259">
        <f t="shared" ca="1" si="664"/>
        <v>0</v>
      </c>
      <c r="ER275" s="259">
        <f ca="1">IF(ISNA(EQ275),MAX(ER$2:ER274)+1,0)</f>
        <v>0</v>
      </c>
      <c r="ES275" s="259" t="str">
        <f t="shared" ca="1" si="672"/>
        <v/>
      </c>
      <c r="ET275" s="259" t="str">
        <f ca="1">IFERROR(UPPER(INDEX($ER$3:$ES$500,MATCH(ROWS(ET$3:ET275),$ER$3:$ER$500,0),2)),"")</f>
        <v/>
      </c>
      <c r="EW275" s="259">
        <f t="shared" ca="1" si="633"/>
        <v>1</v>
      </c>
      <c r="EX275" s="259">
        <v>173</v>
      </c>
      <c r="EY275" s="259">
        <f t="shared" ca="1" si="634"/>
        <v>0</v>
      </c>
      <c r="EZ275" s="259">
        <f t="shared" ca="1" si="635"/>
        <v>0</v>
      </c>
      <c r="FA275" s="259">
        <f t="shared" ca="1" si="636"/>
        <v>0</v>
      </c>
      <c r="FB275" s="259">
        <f t="shared" ca="1" si="637"/>
        <v>0</v>
      </c>
      <c r="FC275" s="259">
        <f t="shared" ca="1" si="638"/>
        <v>0</v>
      </c>
      <c r="FD275" s="259">
        <f t="shared" ca="1" si="665"/>
        <v>0</v>
      </c>
      <c r="FE275" s="259" t="str">
        <f t="shared" ca="1" si="666"/>
        <v/>
      </c>
      <c r="FF275" s="259" t="str">
        <f t="shared" ca="1" si="639"/>
        <v/>
      </c>
      <c r="FM275" s="259">
        <f t="shared" si="667"/>
        <v>0</v>
      </c>
      <c r="FN275" s="259">
        <f>IF(FM275&lt;0,MAX($FN$2:FN274)+1,0)</f>
        <v>0</v>
      </c>
      <c r="FO275" s="259" t="str">
        <f t="shared" si="673"/>
        <v/>
      </c>
      <c r="FP275" s="259" t="str">
        <f ca="1">IFERROR(INDEX($FN$3:$FO$400,MATCH(ROWS($FP$3:FP275),$FN$3:$FN$400,0),2),"")</f>
        <v/>
      </c>
      <c r="FQ275" s="259" t="str">
        <f>IF(AE275="SE AVERE",MAX($FQ$2:FQ274)+1,"")</f>
        <v/>
      </c>
      <c r="FR275" s="259" t="str">
        <f>IF(AE275="SE DARE",MAX($FR$2:FR274)+1,"")</f>
        <v/>
      </c>
      <c r="FS275" s="259" t="str">
        <f ca="1">IF(AND(AE275="SP DARE",AA275&lt;&gt;$FS$1,AA275&lt;&gt;$FT$1),MAX($FS$2:FS274)+1,IF(AND(GQ275="SP DARE",AA275&lt;&gt;$FS$1,AA275&lt;&gt;$FT$1),MAX($FS$2:FS274)+1,""))</f>
        <v/>
      </c>
      <c r="FT275" s="259" t="str">
        <f ca="1">IF(AND(AE275="SP AVERE",AA275&lt;&gt;$FU$1),MAX($FT$2:FT274)+1,IF(AND(GQ275="SP AVERE",AA275&lt;&gt;$FU$1),MAX($FT$2:FT274)+1,""))</f>
        <v/>
      </c>
      <c r="FU275" s="259">
        <f t="shared" ca="1" si="674"/>
        <v>0</v>
      </c>
      <c r="FV275" s="259">
        <f t="shared" si="675"/>
        <v>0</v>
      </c>
      <c r="FW275" s="259">
        <f ca="1">IFERROR(INDEX($FU$3:$FV$500,MATCH(ROWS($FW$3:FW275),$FU$3:$FU$500,0),2),0)</f>
        <v>0</v>
      </c>
      <c r="FX275" s="259">
        <f t="shared" ca="1" si="676"/>
        <v>0</v>
      </c>
      <c r="FY275" s="259">
        <f t="shared" ca="1" si="677"/>
        <v>0</v>
      </c>
      <c r="FZ275" s="259">
        <f ca="1">IF(FY275&gt;0,MAX($FZ$2:FZ274)+1,0)</f>
        <v>0</v>
      </c>
      <c r="GA275" s="259">
        <f ca="1">IFERROR(INDEX($FY$3:$FZ$500,MATCH(ROWS($GA$3:GA275),$FZ$3:$FZ$500,0),1),0)</f>
        <v>0</v>
      </c>
      <c r="GC275" s="259">
        <f t="shared" ca="1" si="678"/>
        <v>0</v>
      </c>
      <c r="GD275" s="259">
        <f t="shared" ca="1" si="679"/>
        <v>0</v>
      </c>
      <c r="GG275" s="259">
        <f t="shared" ca="1" si="680"/>
        <v>0</v>
      </c>
      <c r="GH275" s="259">
        <f t="shared" ca="1" si="681"/>
        <v>0</v>
      </c>
      <c r="GI275" s="259">
        <f t="shared" ca="1" si="682"/>
        <v>0</v>
      </c>
      <c r="GJ275" s="259">
        <f t="shared" ca="1" si="683"/>
        <v>0</v>
      </c>
      <c r="GK275" s="259">
        <f t="shared" ca="1" si="684"/>
        <v>0</v>
      </c>
      <c r="GL275" s="259">
        <f t="shared" ca="1" si="684"/>
        <v>0</v>
      </c>
      <c r="GM275" s="259">
        <f ca="1">IF(OR(GK275&gt;0,GL275&gt;0),MAX($GM$2:GM274)+1,0)</f>
        <v>0</v>
      </c>
      <c r="GN275" s="259" t="str">
        <f ca="1">IFERROR(INDEX($GD$3:$GM$400,MATCH(ROWS($GN$3:GN275),$GM$3:$GM$400,0),1),"")</f>
        <v/>
      </c>
      <c r="GO275" s="259" t="str">
        <f ca="1">IFERROR(INDEX($GD$3:$GM$400,MATCH(ROWS($GO$3:GO275),$GM$3:$GM$400,0),8),"")</f>
        <v/>
      </c>
      <c r="GP275" s="259" t="str">
        <f ca="1">IFERROR(INDEX($GD$3:$GM$400,MATCH(ROWS($GP$3:GP275),$GM$3:$GM$400,0),9),"")</f>
        <v/>
      </c>
      <c r="GQ275" s="259">
        <f t="shared" ca="1" si="668"/>
        <v>0</v>
      </c>
      <c r="GR275" s="259">
        <f t="shared" ca="1" si="685"/>
        <v>0</v>
      </c>
      <c r="GS275" s="259" t="str">
        <f t="shared" ca="1" si="686"/>
        <v/>
      </c>
      <c r="GT275" s="259" t="str">
        <f ca="1">IFERROR(INDEX($GD$3:$GS$400,MATCH(ROWS($GT$3:GT275),$GM$3:$GM$400,0),16),"")</f>
        <v/>
      </c>
      <c r="GU275" s="259">
        <f ca="1">IF(GQ275&lt;&gt;0,MAX($GU$2:$GU274)+1,0)</f>
        <v>0</v>
      </c>
      <c r="GV275" s="259">
        <f t="shared" ca="1" si="687"/>
        <v>0</v>
      </c>
      <c r="GW275" s="259" t="str">
        <f ca="1">IF(AND(IFERROR(INDEX($GU$3:$GV$400,MATCH(ROWS($GW$3:GW275),$GU$3:$GU$400,0),2),"")&lt;&gt;"",GW276&lt;&gt;""),CONCATENATE(IFERROR(INDEX($GU$3:$GV$400,MATCH(ROWS($GW$3:GW275),$GU$3:$GU$400,0),2),"")," - "),IFERROR(INDEX($GU$3:$GV$400,MATCH(ROWS($GW$3:GW275),$GU$3:$GU$400,0),2),""))</f>
        <v/>
      </c>
      <c r="GX275" s="259">
        <f ca="1">IF(OR(GN275="IVA NS/CREDITO",GN275="IVA NS/DEBITO",GN275="IVA C/ACCONTO",GN275="IMPOSTE C/ACCONTO"),MAX($GX$2:GX274)+1,0)</f>
        <v>0</v>
      </c>
      <c r="GY275" s="259" t="str">
        <f ca="1">IF(AND(IFERROR(INDEX($GN$3:$GX$200,MATCH(ROWS($GY$3:GY275),$GX$3:$GX$200,0),1),"")&lt;&gt;"",GY276&lt;&gt;""),CONCATENATE(IFERROR(INDEX($GN$3:$GX$200,MATCH(ROWS($GY$3:GY275),$GX$3:$GX$200,0),1),"")," - "),IFERROR(INDEX($GN$3:$GX$200,MATCH(ROWS($GY$3:GY275),$GX$3:$GX$200,0),1),""))</f>
        <v/>
      </c>
      <c r="JA275" s="259" t="str">
        <f t="shared" ca="1" si="688"/>
        <v/>
      </c>
      <c r="JB275" s="259">
        <f t="shared" ca="1" si="669"/>
        <v>0</v>
      </c>
      <c r="JC275" s="259">
        <f t="shared" ca="1" si="640"/>
        <v>0</v>
      </c>
      <c r="JD275" s="259">
        <f t="shared" ca="1" si="641"/>
        <v>0</v>
      </c>
      <c r="JM275" s="259">
        <f t="shared" ca="1" si="642"/>
        <v>0</v>
      </c>
    </row>
    <row r="276" spans="52:273">
      <c r="AZ276" s="259" t="str">
        <f t="shared" ca="1" si="689"/>
        <v/>
      </c>
      <c r="BA276" s="259">
        <f t="shared" ca="1" si="632"/>
        <v>0</v>
      </c>
      <c r="BB276" s="259">
        <f t="shared" ca="1" si="690"/>
        <v>0</v>
      </c>
      <c r="BC276" s="259">
        <f t="shared" ca="1" si="691"/>
        <v>0</v>
      </c>
      <c r="BD276" s="259">
        <f t="shared" ca="1" si="692"/>
        <v>0</v>
      </c>
      <c r="BE276" s="259">
        <f t="shared" ca="1" si="693"/>
        <v>0</v>
      </c>
      <c r="BQ276" s="259" t="str">
        <f ca="1">IFERROR(INDEX($BN$3:$BO$200,MATCH(ROWS(BQ$3:BQ276),$BP$3:$BP$220,0),1),"")</f>
        <v/>
      </c>
      <c r="CX276" s="259">
        <f t="shared" ca="1" si="696"/>
        <v>16</v>
      </c>
      <c r="CY276" s="259" t="str">
        <f t="shared" ca="1" si="694"/>
        <v>MASTRO</v>
      </c>
      <c r="CZ276" s="259" t="e">
        <f t="shared" ca="1" si="698"/>
        <v>#N/A</v>
      </c>
      <c r="DA276" s="259" t="str">
        <f t="shared" ref="DA276:DA289" ca="1" si="703">IFERROR(INDEX(LIBRO_GIORNALE,CZ276,1),"")</f>
        <v/>
      </c>
      <c r="DB276" s="259" t="str">
        <f t="shared" ca="1" si="699"/>
        <v/>
      </c>
      <c r="DC276" s="259" t="str">
        <f t="shared" ca="1" si="700"/>
        <v/>
      </c>
      <c r="DD276" s="259" t="str">
        <f t="shared" ca="1" si="701"/>
        <v/>
      </c>
      <c r="DE276" s="259" t="str">
        <f t="shared" ca="1" si="702"/>
        <v/>
      </c>
      <c r="DF276" s="259">
        <f ca="1">IF(AND(CX276=$DE$2,$DF$2&lt;&gt;0),0,IF(AND(DB276&lt;&gt;"",OR(DB275&lt;&gt;"",DB277&lt;&gt;"")),MAX($DF$2:DF275)+1,0))</f>
        <v>0</v>
      </c>
      <c r="DG276" s="259" t="str">
        <f>IF(IF(LIBRO_GIORNALE!E184="","",IFERROR(INDEX(PIANO_DEI_CONTI,MATCH(BB276,DENOMINAZIONE,0),1),0))=0,"",IF(LIBRO_GIORNALE!E184="","",IFERROR(INDEX(PIANO_DEI_CONTI,MATCH(BB276,DENOMINAZIONE,0),1),0)))</f>
        <v/>
      </c>
      <c r="EC276" s="259">
        <f>IF(IF(DG276&lt;&gt;"",REPLACE(DG276,3,1,""),0)&lt;&gt;0,MAX(EC$2:EC275)+1,0)</f>
        <v>0</v>
      </c>
      <c r="ED276" s="259">
        <f t="shared" ca="1" si="662"/>
        <v>0</v>
      </c>
      <c r="EL276" s="259">
        <f t="shared" si="670"/>
        <v>274</v>
      </c>
      <c r="EM276" s="259">
        <f ca="1">IF(AND(BA276&gt;0,BA276&lt;=$EM$1),MAX($EM$2:EM275)+1,0)</f>
        <v>0</v>
      </c>
      <c r="EN276" s="259">
        <f t="shared" ca="1" si="671"/>
        <v>276</v>
      </c>
      <c r="EP276" s="259" t="str">
        <f t="shared" ca="1" si="663"/>
        <v/>
      </c>
      <c r="EQ276" s="259">
        <f t="shared" ca="1" si="664"/>
        <v>0</v>
      </c>
      <c r="ER276" s="259">
        <f ca="1">IF(ISNA(EQ276),MAX(ER$2:ER275)+1,0)</f>
        <v>0</v>
      </c>
      <c r="ES276" s="259" t="str">
        <f t="shared" ca="1" si="672"/>
        <v/>
      </c>
      <c r="ET276" s="259" t="str">
        <f ca="1">IFERROR(UPPER(INDEX($ER$3:$ES$500,MATCH(ROWS(ET$3:ET276),$ER$3:$ER$500,0),2)),"")</f>
        <v/>
      </c>
      <c r="EW276" s="259">
        <f t="shared" ca="1" si="633"/>
        <v>1</v>
      </c>
      <c r="EX276" s="259">
        <v>174</v>
      </c>
      <c r="EY276" s="259">
        <f t="shared" ca="1" si="634"/>
        <v>0</v>
      </c>
      <c r="EZ276" s="259">
        <f t="shared" ca="1" si="635"/>
        <v>0</v>
      </c>
      <c r="FA276" s="259">
        <f t="shared" ca="1" si="636"/>
        <v>0</v>
      </c>
      <c r="FB276" s="259">
        <f t="shared" ca="1" si="637"/>
        <v>0</v>
      </c>
      <c r="FC276" s="259">
        <f t="shared" ca="1" si="638"/>
        <v>0</v>
      </c>
      <c r="FD276" s="259">
        <f t="shared" ca="1" si="665"/>
        <v>0</v>
      </c>
      <c r="FE276" s="259" t="str">
        <f t="shared" ca="1" si="666"/>
        <v/>
      </c>
      <c r="FF276" s="259" t="str">
        <f t="shared" ca="1" si="639"/>
        <v/>
      </c>
      <c r="FM276" s="259">
        <f t="shared" si="667"/>
        <v>0</v>
      </c>
      <c r="FN276" s="259">
        <f>IF(FM276&lt;0,MAX($FN$2:FN275)+1,0)</f>
        <v>0</v>
      </c>
      <c r="FO276" s="259" t="str">
        <f t="shared" si="673"/>
        <v/>
      </c>
      <c r="FP276" s="259" t="str">
        <f ca="1">IFERROR(INDEX($FN$3:$FO$400,MATCH(ROWS($FP$3:FP276),$FN$3:$FN$400,0),2),"")</f>
        <v/>
      </c>
      <c r="FQ276" s="259" t="str">
        <f>IF(AE276="SE AVERE",MAX($FQ$2:FQ275)+1,"")</f>
        <v/>
      </c>
      <c r="FR276" s="259" t="str">
        <f>IF(AE276="SE DARE",MAX($FR$2:FR275)+1,"")</f>
        <v/>
      </c>
      <c r="FS276" s="259" t="str">
        <f ca="1">IF(AND(AE276="SP DARE",AA276&lt;&gt;$FS$1,AA276&lt;&gt;$FT$1),MAX($FS$2:FS275)+1,IF(AND(GQ276="SP DARE",AA276&lt;&gt;$FS$1,AA276&lt;&gt;$FT$1),MAX($FS$2:FS275)+1,""))</f>
        <v/>
      </c>
      <c r="FT276" s="259" t="str">
        <f ca="1">IF(AND(AE276="SP AVERE",AA276&lt;&gt;$FU$1),MAX($FT$2:FT275)+1,IF(AND(GQ276="SP AVERE",AA276&lt;&gt;$FU$1),MAX($FT$2:FT275)+1,""))</f>
        <v/>
      </c>
      <c r="FU276" s="259">
        <f t="shared" ca="1" si="674"/>
        <v>0</v>
      </c>
      <c r="FV276" s="259">
        <f t="shared" si="675"/>
        <v>0</v>
      </c>
      <c r="FW276" s="259">
        <f ca="1">IFERROR(INDEX($FU$3:$FV$500,MATCH(ROWS($FW$3:FW276),$FU$3:$FU$500,0),2),0)</f>
        <v>0</v>
      </c>
      <c r="FX276" s="259">
        <f t="shared" ca="1" si="676"/>
        <v>0</v>
      </c>
      <c r="FY276" s="259">
        <f t="shared" ca="1" si="677"/>
        <v>0</v>
      </c>
      <c r="FZ276" s="259">
        <f ca="1">IF(FY276&gt;0,MAX($FZ$2:FZ275)+1,0)</f>
        <v>0</v>
      </c>
      <c r="GA276" s="259">
        <f ca="1">IFERROR(INDEX($FY$3:$FZ$500,MATCH(ROWS($GA$3:GA276),$FZ$3:$FZ$500,0),1),0)</f>
        <v>0</v>
      </c>
      <c r="GC276" s="259">
        <f t="shared" ca="1" si="678"/>
        <v>0</v>
      </c>
      <c r="GD276" s="259">
        <f t="shared" ca="1" si="679"/>
        <v>0</v>
      </c>
      <c r="GG276" s="259">
        <f t="shared" ca="1" si="680"/>
        <v>0</v>
      </c>
      <c r="GH276" s="259">
        <f t="shared" ca="1" si="681"/>
        <v>0</v>
      </c>
      <c r="GI276" s="259">
        <f t="shared" ca="1" si="682"/>
        <v>0</v>
      </c>
      <c r="GJ276" s="259">
        <f t="shared" ca="1" si="683"/>
        <v>0</v>
      </c>
      <c r="GK276" s="259">
        <f t="shared" ca="1" si="684"/>
        <v>0</v>
      </c>
      <c r="GL276" s="259">
        <f t="shared" ca="1" si="684"/>
        <v>0</v>
      </c>
      <c r="GM276" s="259">
        <f ca="1">IF(OR(GK276&gt;0,GL276&gt;0),MAX($GM$2:GM275)+1,0)</f>
        <v>0</v>
      </c>
      <c r="GN276" s="259" t="str">
        <f ca="1">IFERROR(INDEX($GD$3:$GM$400,MATCH(ROWS($GN$3:GN276),$GM$3:$GM$400,0),1),"")</f>
        <v/>
      </c>
      <c r="GO276" s="259" t="str">
        <f ca="1">IFERROR(INDEX($GD$3:$GM$400,MATCH(ROWS($GO$3:GO276),$GM$3:$GM$400,0),8),"")</f>
        <v/>
      </c>
      <c r="GP276" s="259" t="str">
        <f ca="1">IFERROR(INDEX($GD$3:$GM$400,MATCH(ROWS($GP$3:GP276),$GM$3:$GM$400,0),9),"")</f>
        <v/>
      </c>
      <c r="GQ276" s="259">
        <f t="shared" ca="1" si="668"/>
        <v>0</v>
      </c>
      <c r="GR276" s="259">
        <f t="shared" ca="1" si="685"/>
        <v>0</v>
      </c>
      <c r="GS276" s="259" t="str">
        <f t="shared" ca="1" si="686"/>
        <v/>
      </c>
      <c r="GT276" s="259" t="str">
        <f ca="1">IFERROR(INDEX($GD$3:$GS$400,MATCH(ROWS($GT$3:GT276),$GM$3:$GM$400,0),16),"")</f>
        <v/>
      </c>
      <c r="GU276" s="259">
        <f ca="1">IF(GQ276&lt;&gt;0,MAX($GU$2:$GU275)+1,0)</f>
        <v>0</v>
      </c>
      <c r="GV276" s="259">
        <f t="shared" ca="1" si="687"/>
        <v>0</v>
      </c>
      <c r="GW276" s="259" t="str">
        <f ca="1">IF(AND(IFERROR(INDEX($GU$3:$GV$400,MATCH(ROWS($GW$3:GW276),$GU$3:$GU$400,0),2),"")&lt;&gt;"",GW277&lt;&gt;""),CONCATENATE(IFERROR(INDEX($GU$3:$GV$400,MATCH(ROWS($GW$3:GW276),$GU$3:$GU$400,0),2),"")," - "),IFERROR(INDEX($GU$3:$GV$400,MATCH(ROWS($GW$3:GW276),$GU$3:$GU$400,0),2),""))</f>
        <v/>
      </c>
      <c r="GX276" s="259">
        <f ca="1">IF(OR(GN276="IVA NS/CREDITO",GN276="IVA NS/DEBITO",GN276="IVA C/ACCONTO",GN276="IMPOSTE C/ACCONTO"),MAX($GX$2:GX275)+1,0)</f>
        <v>0</v>
      </c>
      <c r="GY276" s="259" t="str">
        <f ca="1">IF(AND(IFERROR(INDEX($GN$3:$GX$200,MATCH(ROWS($GY$3:GY276),$GX$3:$GX$200,0),1),"")&lt;&gt;"",GY277&lt;&gt;""),CONCATENATE(IFERROR(INDEX($GN$3:$GX$200,MATCH(ROWS($GY$3:GY276),$GX$3:$GX$200,0),1),"")," - "),IFERROR(INDEX($GN$3:$GX$200,MATCH(ROWS($GY$3:GY276),$GX$3:$GX$200,0),1),""))</f>
        <v/>
      </c>
      <c r="JA276" s="259" t="str">
        <f t="shared" ca="1" si="688"/>
        <v/>
      </c>
      <c r="JB276" s="259">
        <f t="shared" ca="1" si="669"/>
        <v>0</v>
      </c>
      <c r="JC276" s="259">
        <f t="shared" ca="1" si="640"/>
        <v>0</v>
      </c>
      <c r="JD276" s="259">
        <f t="shared" ca="1" si="641"/>
        <v>0</v>
      </c>
      <c r="JM276" s="259">
        <f t="shared" ca="1" si="642"/>
        <v>0</v>
      </c>
    </row>
    <row r="277" spans="52:273">
      <c r="AZ277" s="259" t="str">
        <f t="shared" ca="1" si="689"/>
        <v/>
      </c>
      <c r="BA277" s="259">
        <f t="shared" ca="1" si="632"/>
        <v>0</v>
      </c>
      <c r="BB277" s="259">
        <f t="shared" ca="1" si="690"/>
        <v>0</v>
      </c>
      <c r="BC277" s="259">
        <f t="shared" ca="1" si="691"/>
        <v>0</v>
      </c>
      <c r="BD277" s="259">
        <f t="shared" ca="1" si="692"/>
        <v>0</v>
      </c>
      <c r="BE277" s="259">
        <f t="shared" ca="1" si="693"/>
        <v>0</v>
      </c>
      <c r="BQ277" s="259" t="str">
        <f ca="1">IFERROR(INDEX($BN$3:$BO$200,MATCH(ROWS(BQ$3:BQ277),$BP$3:$BP$220,0),1),"")</f>
        <v/>
      </c>
      <c r="CX277" s="259">
        <f t="shared" ca="1" si="696"/>
        <v>16</v>
      </c>
      <c r="CY277" s="259" t="str">
        <f t="shared" ca="1" si="694"/>
        <v>MASTRO</v>
      </c>
      <c r="CZ277" s="259" t="e">
        <f t="shared" ca="1" si="698"/>
        <v>#N/A</v>
      </c>
      <c r="DA277" s="259" t="str">
        <f t="shared" ca="1" si="703"/>
        <v/>
      </c>
      <c r="DB277" s="259" t="str">
        <f t="shared" ca="1" si="699"/>
        <v/>
      </c>
      <c r="DC277" s="259" t="str">
        <f t="shared" ca="1" si="700"/>
        <v/>
      </c>
      <c r="DD277" s="259" t="str">
        <f t="shared" ca="1" si="701"/>
        <v/>
      </c>
      <c r="DE277" s="259" t="str">
        <f t="shared" ca="1" si="702"/>
        <v/>
      </c>
      <c r="DF277" s="259">
        <f ca="1">IF(AND(CX277=$DE$2,$DF$2&lt;&gt;0),0,IF(AND(DB277&lt;&gt;"",OR(DB276&lt;&gt;"",DB278&lt;&gt;"")),MAX($DF$2:DF276)+1,0))</f>
        <v>0</v>
      </c>
      <c r="DG277" s="259" t="str">
        <f>IF(IF(LIBRO_GIORNALE!E185="","",IFERROR(INDEX(PIANO_DEI_CONTI,MATCH(BB277,DENOMINAZIONE,0),1),0))=0,"",IF(LIBRO_GIORNALE!E185="","",IFERROR(INDEX(PIANO_DEI_CONTI,MATCH(BB277,DENOMINAZIONE,0),1),0)))</f>
        <v/>
      </c>
      <c r="EC277" s="259">
        <f>IF(IF(DG277&lt;&gt;"",REPLACE(DG277,3,1,""),0)&lt;&gt;0,MAX(EC$2:EC276)+1,0)</f>
        <v>0</v>
      </c>
      <c r="ED277" s="259">
        <f t="shared" ca="1" si="662"/>
        <v>0</v>
      </c>
      <c r="EL277" s="259">
        <f t="shared" si="670"/>
        <v>275</v>
      </c>
      <c r="EM277" s="259">
        <f ca="1">IF(AND(BA277&gt;0,BA277&lt;=$EM$1),MAX($EM$2:EM276)+1,0)</f>
        <v>0</v>
      </c>
      <c r="EN277" s="259">
        <f t="shared" ca="1" si="671"/>
        <v>277</v>
      </c>
      <c r="EP277" s="259" t="str">
        <f t="shared" ca="1" si="663"/>
        <v/>
      </c>
      <c r="EQ277" s="259">
        <f t="shared" ca="1" si="664"/>
        <v>0</v>
      </c>
      <c r="ER277" s="259">
        <f ca="1">IF(ISNA(EQ277),MAX(ER$2:ER276)+1,0)</f>
        <v>0</v>
      </c>
      <c r="ES277" s="259" t="str">
        <f t="shared" ca="1" si="672"/>
        <v/>
      </c>
      <c r="ET277" s="259" t="str">
        <f ca="1">IFERROR(UPPER(INDEX($ER$3:$ES$500,MATCH(ROWS(ET$3:ET277),$ER$3:$ER$500,0),2)),"")</f>
        <v/>
      </c>
      <c r="EW277" s="259">
        <f t="shared" ca="1" si="633"/>
        <v>1</v>
      </c>
      <c r="EX277" s="259">
        <v>175</v>
      </c>
      <c r="EY277" s="259">
        <f t="shared" ca="1" si="634"/>
        <v>0</v>
      </c>
      <c r="EZ277" s="259">
        <f t="shared" ca="1" si="635"/>
        <v>0</v>
      </c>
      <c r="FA277" s="259">
        <f t="shared" ca="1" si="636"/>
        <v>0</v>
      </c>
      <c r="FB277" s="259">
        <f t="shared" ca="1" si="637"/>
        <v>0</v>
      </c>
      <c r="FC277" s="259">
        <f t="shared" ca="1" si="638"/>
        <v>0</v>
      </c>
      <c r="FD277" s="259">
        <f t="shared" ca="1" si="665"/>
        <v>0</v>
      </c>
      <c r="FE277" s="259" t="str">
        <f t="shared" ca="1" si="666"/>
        <v/>
      </c>
      <c r="FF277" s="259" t="str">
        <f t="shared" ca="1" si="639"/>
        <v/>
      </c>
      <c r="FM277" s="259">
        <f t="shared" si="667"/>
        <v>0</v>
      </c>
      <c r="FN277" s="259">
        <f>IF(FM277&lt;0,MAX($FN$2:FN276)+1,0)</f>
        <v>0</v>
      </c>
      <c r="FO277" s="259" t="str">
        <f t="shared" si="673"/>
        <v/>
      </c>
      <c r="FP277" s="259" t="str">
        <f ca="1">IFERROR(INDEX($FN$3:$FO$400,MATCH(ROWS($FP$3:FP277),$FN$3:$FN$400,0),2),"")</f>
        <v/>
      </c>
      <c r="FQ277" s="259" t="str">
        <f>IF(AE277="SE AVERE",MAX($FQ$2:FQ276)+1,"")</f>
        <v/>
      </c>
      <c r="FR277" s="259" t="str">
        <f>IF(AE277="SE DARE",MAX($FR$2:FR276)+1,"")</f>
        <v/>
      </c>
      <c r="FS277" s="259" t="str">
        <f ca="1">IF(AND(AE277="SP DARE",AA277&lt;&gt;$FS$1,AA277&lt;&gt;$FT$1),MAX($FS$2:FS276)+1,IF(AND(GQ277="SP DARE",AA277&lt;&gt;$FS$1,AA277&lt;&gt;$FT$1),MAX($FS$2:FS276)+1,""))</f>
        <v/>
      </c>
      <c r="FT277" s="259" t="str">
        <f ca="1">IF(AND(AE277="SP AVERE",AA277&lt;&gt;$FU$1),MAX($FT$2:FT276)+1,IF(AND(GQ277="SP AVERE",AA277&lt;&gt;$FU$1),MAX($FT$2:FT276)+1,""))</f>
        <v/>
      </c>
      <c r="FU277" s="259">
        <f t="shared" ca="1" si="674"/>
        <v>0</v>
      </c>
      <c r="FV277" s="259">
        <f t="shared" si="675"/>
        <v>0</v>
      </c>
      <c r="FW277" s="259">
        <f ca="1">IFERROR(INDEX($FU$3:$FV$500,MATCH(ROWS($FW$3:FW277),$FU$3:$FU$500,0),2),0)</f>
        <v>0</v>
      </c>
      <c r="FX277" s="259">
        <f t="shared" ca="1" si="676"/>
        <v>0</v>
      </c>
      <c r="FY277" s="259">
        <f t="shared" ca="1" si="677"/>
        <v>0</v>
      </c>
      <c r="FZ277" s="259">
        <f ca="1">IF(FY277&gt;0,MAX($FZ$2:FZ276)+1,0)</f>
        <v>0</v>
      </c>
      <c r="GA277" s="259">
        <f ca="1">IFERROR(INDEX($FY$3:$FZ$500,MATCH(ROWS($GA$3:GA277),$FZ$3:$FZ$500,0),1),0)</f>
        <v>0</v>
      </c>
      <c r="GC277" s="259">
        <f t="shared" ca="1" si="678"/>
        <v>0</v>
      </c>
      <c r="GD277" s="259">
        <f t="shared" ca="1" si="679"/>
        <v>0</v>
      </c>
      <c r="GG277" s="259">
        <f t="shared" ca="1" si="680"/>
        <v>0</v>
      </c>
      <c r="GH277" s="259">
        <f t="shared" ca="1" si="681"/>
        <v>0</v>
      </c>
      <c r="GI277" s="259">
        <f t="shared" ca="1" si="682"/>
        <v>0</v>
      </c>
      <c r="GJ277" s="259">
        <f t="shared" ca="1" si="683"/>
        <v>0</v>
      </c>
      <c r="GK277" s="259">
        <f t="shared" ca="1" si="684"/>
        <v>0</v>
      </c>
      <c r="GL277" s="259">
        <f t="shared" ca="1" si="684"/>
        <v>0</v>
      </c>
      <c r="GM277" s="259">
        <f ca="1">IF(OR(GK277&gt;0,GL277&gt;0),MAX($GM$2:GM276)+1,0)</f>
        <v>0</v>
      </c>
      <c r="GN277" s="259" t="str">
        <f ca="1">IFERROR(INDEX($GD$3:$GM$400,MATCH(ROWS($GN$3:GN277),$GM$3:$GM$400,0),1),"")</f>
        <v/>
      </c>
      <c r="GO277" s="259" t="str">
        <f ca="1">IFERROR(INDEX($GD$3:$GM$400,MATCH(ROWS($GO$3:GO277),$GM$3:$GM$400,0),8),"")</f>
        <v/>
      </c>
      <c r="GP277" s="259" t="str">
        <f ca="1">IFERROR(INDEX($GD$3:$GM$400,MATCH(ROWS($GP$3:GP277),$GM$3:$GM$400,0),9),"")</f>
        <v/>
      </c>
      <c r="GQ277" s="259">
        <f t="shared" ca="1" si="668"/>
        <v>0</v>
      </c>
      <c r="GR277" s="259">
        <f t="shared" ca="1" si="685"/>
        <v>0</v>
      </c>
      <c r="GS277" s="259" t="str">
        <f t="shared" ca="1" si="686"/>
        <v/>
      </c>
      <c r="GT277" s="259" t="str">
        <f ca="1">IFERROR(INDEX($GD$3:$GS$400,MATCH(ROWS($GT$3:GT277),$GM$3:$GM$400,0),16),"")</f>
        <v/>
      </c>
      <c r="GU277" s="259">
        <f ca="1">IF(GQ277&lt;&gt;0,MAX($GU$2:$GU276)+1,0)</f>
        <v>0</v>
      </c>
      <c r="GV277" s="259">
        <f t="shared" ca="1" si="687"/>
        <v>0</v>
      </c>
      <c r="GW277" s="259" t="str">
        <f ca="1">IF(AND(IFERROR(INDEX($GU$3:$GV$400,MATCH(ROWS($GW$3:GW277),$GU$3:$GU$400,0),2),"")&lt;&gt;"",GW278&lt;&gt;""),CONCATENATE(IFERROR(INDEX($GU$3:$GV$400,MATCH(ROWS($GW$3:GW277),$GU$3:$GU$400,0),2),"")," - "),IFERROR(INDEX($GU$3:$GV$400,MATCH(ROWS($GW$3:GW277),$GU$3:$GU$400,0),2),""))</f>
        <v/>
      </c>
      <c r="GX277" s="259">
        <f ca="1">IF(OR(GN277="IVA NS/CREDITO",GN277="IVA NS/DEBITO",GN277="IVA C/ACCONTO",GN277="IMPOSTE C/ACCONTO"),MAX($GX$2:GX276)+1,0)</f>
        <v>0</v>
      </c>
      <c r="GY277" s="259" t="str">
        <f ca="1">IF(AND(IFERROR(INDEX($GN$3:$GX$200,MATCH(ROWS($GY$3:GY277),$GX$3:$GX$200,0),1),"")&lt;&gt;"",GY278&lt;&gt;""),CONCATENATE(IFERROR(INDEX($GN$3:$GX$200,MATCH(ROWS($GY$3:GY277),$GX$3:$GX$200,0),1),"")," - "),IFERROR(INDEX($GN$3:$GX$200,MATCH(ROWS($GY$3:GY277),$GX$3:$GX$200,0),1),""))</f>
        <v/>
      </c>
      <c r="JA277" s="259" t="str">
        <f t="shared" ca="1" si="688"/>
        <v/>
      </c>
      <c r="JB277" s="259">
        <f t="shared" ca="1" si="669"/>
        <v>0</v>
      </c>
      <c r="JC277" s="259">
        <f t="shared" ca="1" si="640"/>
        <v>0</v>
      </c>
      <c r="JD277" s="259">
        <f t="shared" ca="1" si="641"/>
        <v>0</v>
      </c>
      <c r="JM277" s="259">
        <f t="shared" ca="1" si="642"/>
        <v>0</v>
      </c>
    </row>
    <row r="278" spans="52:273">
      <c r="AZ278" s="259" t="str">
        <f t="shared" ca="1" si="689"/>
        <v/>
      </c>
      <c r="BA278" s="259">
        <f t="shared" ca="1" si="632"/>
        <v>0</v>
      </c>
      <c r="BB278" s="259">
        <f t="shared" ca="1" si="690"/>
        <v>0</v>
      </c>
      <c r="BC278" s="259">
        <f t="shared" ca="1" si="691"/>
        <v>0</v>
      </c>
      <c r="BD278" s="259">
        <f t="shared" ca="1" si="692"/>
        <v>0</v>
      </c>
      <c r="BE278" s="259">
        <f t="shared" ca="1" si="693"/>
        <v>0</v>
      </c>
      <c r="BQ278" s="259" t="str">
        <f ca="1">IFERROR(INDEX($BN$3:$BO$200,MATCH(ROWS(BQ$3:BQ278),$BP$3:$BP$220,0),1),"")</f>
        <v/>
      </c>
      <c r="CX278" s="259">
        <f t="shared" ca="1" si="696"/>
        <v>16</v>
      </c>
      <c r="CY278" s="259" t="str">
        <f t="shared" ca="1" si="694"/>
        <v>MASTRO</v>
      </c>
      <c r="CZ278" s="259" t="e">
        <f t="shared" ca="1" si="698"/>
        <v>#N/A</v>
      </c>
      <c r="DA278" s="259" t="str">
        <f t="shared" ca="1" si="703"/>
        <v/>
      </c>
      <c r="DB278" s="259" t="str">
        <f t="shared" ca="1" si="699"/>
        <v/>
      </c>
      <c r="DC278" s="259" t="str">
        <f t="shared" ca="1" si="700"/>
        <v/>
      </c>
      <c r="DD278" s="259" t="str">
        <f t="shared" ca="1" si="701"/>
        <v/>
      </c>
      <c r="DE278" s="259" t="str">
        <f t="shared" ca="1" si="702"/>
        <v/>
      </c>
      <c r="DF278" s="259">
        <f ca="1">IF(AND(CX278=$DE$2,$DF$2&lt;&gt;0),0,IF(AND(DB278&lt;&gt;"",OR(DB277&lt;&gt;"",DB279&lt;&gt;"")),MAX($DF$2:DF277)+1,0))</f>
        <v>0</v>
      </c>
      <c r="DG278" s="259" t="str">
        <f>IF(IF(LIBRO_GIORNALE!E186="","",IFERROR(INDEX(PIANO_DEI_CONTI,MATCH(BB278,DENOMINAZIONE,0),1),0))=0,"",IF(LIBRO_GIORNALE!E186="","",IFERROR(INDEX(PIANO_DEI_CONTI,MATCH(BB278,DENOMINAZIONE,0),1),0)))</f>
        <v/>
      </c>
      <c r="EC278" s="259">
        <f>IF(IF(DG278&lt;&gt;"",REPLACE(DG278,3,1,""),0)&lt;&gt;0,MAX(EC$2:EC277)+1,0)</f>
        <v>0</v>
      </c>
      <c r="ED278" s="259">
        <f t="shared" ca="1" si="662"/>
        <v>0</v>
      </c>
      <c r="EL278" s="259">
        <f t="shared" si="670"/>
        <v>276</v>
      </c>
      <c r="EM278" s="259">
        <f ca="1">IF(AND(BA278&gt;0,BA278&lt;=$EM$1),MAX($EM$2:EM277)+1,0)</f>
        <v>0</v>
      </c>
      <c r="EN278" s="259">
        <f t="shared" ca="1" si="671"/>
        <v>278</v>
      </c>
      <c r="EP278" s="259" t="str">
        <f t="shared" ca="1" si="663"/>
        <v/>
      </c>
      <c r="EQ278" s="259">
        <f t="shared" ca="1" si="664"/>
        <v>0</v>
      </c>
      <c r="ER278" s="259">
        <f ca="1">IF(ISNA(EQ278),MAX(ER$2:ER277)+1,0)</f>
        <v>0</v>
      </c>
      <c r="ES278" s="259" t="str">
        <f t="shared" ca="1" si="672"/>
        <v/>
      </c>
      <c r="ET278" s="259" t="str">
        <f ca="1">IFERROR(UPPER(INDEX($ER$3:$ES$500,MATCH(ROWS(ET$3:ET278),$ER$3:$ER$500,0),2)),"")</f>
        <v/>
      </c>
      <c r="EW278" s="259">
        <f t="shared" ca="1" si="633"/>
        <v>1</v>
      </c>
      <c r="EX278" s="259">
        <v>176</v>
      </c>
      <c r="EY278" s="259">
        <f t="shared" ca="1" si="634"/>
        <v>0</v>
      </c>
      <c r="EZ278" s="259">
        <f t="shared" ca="1" si="635"/>
        <v>0</v>
      </c>
      <c r="FA278" s="259">
        <f t="shared" ca="1" si="636"/>
        <v>0</v>
      </c>
      <c r="FB278" s="259">
        <f t="shared" ca="1" si="637"/>
        <v>0</v>
      </c>
      <c r="FC278" s="259">
        <f t="shared" ca="1" si="638"/>
        <v>0</v>
      </c>
      <c r="FD278" s="259">
        <f t="shared" ca="1" si="665"/>
        <v>0</v>
      </c>
      <c r="FE278" s="259" t="str">
        <f t="shared" ca="1" si="666"/>
        <v/>
      </c>
      <c r="FF278" s="259" t="str">
        <f t="shared" ca="1" si="639"/>
        <v/>
      </c>
      <c r="FM278" s="259">
        <f t="shared" si="667"/>
        <v>0</v>
      </c>
      <c r="FN278" s="259">
        <f>IF(FM278&lt;0,MAX($FN$2:FN277)+1,0)</f>
        <v>0</v>
      </c>
      <c r="FO278" s="259" t="str">
        <f t="shared" si="673"/>
        <v/>
      </c>
      <c r="FP278" s="259" t="str">
        <f ca="1">IFERROR(INDEX($FN$3:$FO$400,MATCH(ROWS($FP$3:FP278),$FN$3:$FN$400,0),2),"")</f>
        <v/>
      </c>
      <c r="FQ278" s="259" t="str">
        <f>IF(AE278="SE AVERE",MAX($FQ$2:FQ277)+1,"")</f>
        <v/>
      </c>
      <c r="FR278" s="259" t="str">
        <f>IF(AE278="SE DARE",MAX($FR$2:FR277)+1,"")</f>
        <v/>
      </c>
      <c r="FS278" s="259" t="str">
        <f ca="1">IF(AND(AE278="SP DARE",AA278&lt;&gt;$FS$1,AA278&lt;&gt;$FT$1),MAX($FS$2:FS277)+1,IF(AND(GQ278="SP DARE",AA278&lt;&gt;$FS$1,AA278&lt;&gt;$FT$1),MAX($FS$2:FS277)+1,""))</f>
        <v/>
      </c>
      <c r="FT278" s="259" t="str">
        <f ca="1">IF(AND(AE278="SP AVERE",AA278&lt;&gt;$FU$1),MAX($FT$2:FT277)+1,IF(AND(GQ278="SP AVERE",AA278&lt;&gt;$FU$1),MAX($FT$2:FT277)+1,""))</f>
        <v/>
      </c>
      <c r="FU278" s="259">
        <f t="shared" ca="1" si="674"/>
        <v>0</v>
      </c>
      <c r="FV278" s="259">
        <f t="shared" si="675"/>
        <v>0</v>
      </c>
      <c r="FW278" s="259">
        <f ca="1">IFERROR(INDEX($FU$3:$FV$500,MATCH(ROWS($FW$3:FW278),$FU$3:$FU$500,0),2),0)</f>
        <v>0</v>
      </c>
      <c r="FX278" s="259">
        <f t="shared" ca="1" si="676"/>
        <v>0</v>
      </c>
      <c r="FY278" s="259">
        <f t="shared" ca="1" si="677"/>
        <v>0</v>
      </c>
      <c r="FZ278" s="259">
        <f ca="1">IF(FY278&gt;0,MAX($FZ$2:FZ277)+1,0)</f>
        <v>0</v>
      </c>
      <c r="GA278" s="259">
        <f ca="1">IFERROR(INDEX($FY$3:$FZ$500,MATCH(ROWS($GA$3:GA278),$FZ$3:$FZ$500,0),1),0)</f>
        <v>0</v>
      </c>
      <c r="GC278" s="259">
        <f t="shared" ca="1" si="678"/>
        <v>0</v>
      </c>
      <c r="GD278" s="259">
        <f t="shared" ca="1" si="679"/>
        <v>0</v>
      </c>
      <c r="GG278" s="259">
        <f t="shared" ca="1" si="680"/>
        <v>0</v>
      </c>
      <c r="GH278" s="259">
        <f t="shared" ca="1" si="681"/>
        <v>0</v>
      </c>
      <c r="GI278" s="259">
        <f t="shared" ca="1" si="682"/>
        <v>0</v>
      </c>
      <c r="GJ278" s="259">
        <f t="shared" ca="1" si="683"/>
        <v>0</v>
      </c>
      <c r="GK278" s="259">
        <f t="shared" ca="1" si="684"/>
        <v>0</v>
      </c>
      <c r="GL278" s="259">
        <f t="shared" ca="1" si="684"/>
        <v>0</v>
      </c>
      <c r="GM278" s="259">
        <f ca="1">IF(OR(GK278&gt;0,GL278&gt;0),MAX($GM$2:GM277)+1,0)</f>
        <v>0</v>
      </c>
      <c r="GN278" s="259" t="str">
        <f ca="1">IFERROR(INDEX($GD$3:$GM$400,MATCH(ROWS($GN$3:GN278),$GM$3:$GM$400,0),1),"")</f>
        <v/>
      </c>
      <c r="GO278" s="259" t="str">
        <f ca="1">IFERROR(INDEX($GD$3:$GM$400,MATCH(ROWS($GO$3:GO278),$GM$3:$GM$400,0),8),"")</f>
        <v/>
      </c>
      <c r="GP278" s="259" t="str">
        <f ca="1">IFERROR(INDEX($GD$3:$GM$400,MATCH(ROWS($GP$3:GP278),$GM$3:$GM$400,0),9),"")</f>
        <v/>
      </c>
      <c r="GQ278" s="259">
        <f t="shared" ca="1" si="668"/>
        <v>0</v>
      </c>
      <c r="GR278" s="259">
        <f t="shared" ca="1" si="685"/>
        <v>0</v>
      </c>
      <c r="GS278" s="259" t="str">
        <f t="shared" ca="1" si="686"/>
        <v/>
      </c>
      <c r="GT278" s="259" t="str">
        <f ca="1">IFERROR(INDEX($GD$3:$GS$400,MATCH(ROWS($GT$3:GT278),$GM$3:$GM$400,0),16),"")</f>
        <v/>
      </c>
      <c r="GU278" s="259">
        <f ca="1">IF(GQ278&lt;&gt;0,MAX($GU$2:$GU277)+1,0)</f>
        <v>0</v>
      </c>
      <c r="GV278" s="259">
        <f t="shared" ca="1" si="687"/>
        <v>0</v>
      </c>
      <c r="GW278" s="259" t="str">
        <f ca="1">IF(AND(IFERROR(INDEX($GU$3:$GV$400,MATCH(ROWS($GW$3:GW278),$GU$3:$GU$400,0),2),"")&lt;&gt;"",GW279&lt;&gt;""),CONCATENATE(IFERROR(INDEX($GU$3:$GV$400,MATCH(ROWS($GW$3:GW278),$GU$3:$GU$400,0),2),"")," - "),IFERROR(INDEX($GU$3:$GV$400,MATCH(ROWS($GW$3:GW278),$GU$3:$GU$400,0),2),""))</f>
        <v/>
      </c>
      <c r="GX278" s="259">
        <f ca="1">IF(OR(GN278="IVA NS/CREDITO",GN278="IVA NS/DEBITO",GN278="IVA C/ACCONTO",GN278="IMPOSTE C/ACCONTO"),MAX($GX$2:GX277)+1,0)</f>
        <v>0</v>
      </c>
      <c r="GY278" s="259" t="str">
        <f ca="1">IF(AND(IFERROR(INDEX($GN$3:$GX$200,MATCH(ROWS($GY$3:GY278),$GX$3:$GX$200,0),1),"")&lt;&gt;"",GY279&lt;&gt;""),CONCATENATE(IFERROR(INDEX($GN$3:$GX$200,MATCH(ROWS($GY$3:GY278),$GX$3:$GX$200,0),1),"")," - "),IFERROR(INDEX($GN$3:$GX$200,MATCH(ROWS($GY$3:GY278),$GX$3:$GX$200,0),1),""))</f>
        <v/>
      </c>
      <c r="JA278" s="259" t="str">
        <f t="shared" ca="1" si="688"/>
        <v/>
      </c>
      <c r="JB278" s="259">
        <f t="shared" ca="1" si="669"/>
        <v>0</v>
      </c>
      <c r="JC278" s="259">
        <f t="shared" ca="1" si="640"/>
        <v>0</v>
      </c>
      <c r="JD278" s="259">
        <f t="shared" ca="1" si="641"/>
        <v>0</v>
      </c>
      <c r="JM278" s="259">
        <f t="shared" ca="1" si="642"/>
        <v>0</v>
      </c>
    </row>
    <row r="279" spans="52:273">
      <c r="AZ279" s="259" t="str">
        <f t="shared" ca="1" si="689"/>
        <v/>
      </c>
      <c r="BA279" s="259">
        <f t="shared" ca="1" si="632"/>
        <v>0</v>
      </c>
      <c r="BB279" s="259">
        <f t="shared" ca="1" si="690"/>
        <v>0</v>
      </c>
      <c r="BC279" s="259">
        <f t="shared" ca="1" si="691"/>
        <v>0</v>
      </c>
      <c r="BD279" s="259">
        <f t="shared" ca="1" si="692"/>
        <v>0</v>
      </c>
      <c r="BE279" s="259">
        <f t="shared" ca="1" si="693"/>
        <v>0</v>
      </c>
      <c r="BQ279" s="259" t="str">
        <f ca="1">IFERROR(INDEX($BN$3:$BO$200,MATCH(ROWS(BQ$3:BQ279),$BP$3:$BP$220,0),1),"")</f>
        <v/>
      </c>
      <c r="CX279" s="259">
        <f t="shared" ca="1" si="696"/>
        <v>16</v>
      </c>
      <c r="CY279" s="259" t="str">
        <f t="shared" ca="1" si="694"/>
        <v>MASTRO</v>
      </c>
      <c r="CZ279" s="259" t="e">
        <f t="shared" ca="1" si="698"/>
        <v>#N/A</v>
      </c>
      <c r="DA279" s="259" t="str">
        <f t="shared" ca="1" si="703"/>
        <v/>
      </c>
      <c r="DB279" s="259" t="str">
        <f t="shared" ca="1" si="699"/>
        <v/>
      </c>
      <c r="DC279" s="259" t="str">
        <f t="shared" ca="1" si="700"/>
        <v/>
      </c>
      <c r="DD279" s="259" t="str">
        <f t="shared" ca="1" si="701"/>
        <v/>
      </c>
      <c r="DE279" s="259" t="str">
        <f t="shared" ca="1" si="702"/>
        <v/>
      </c>
      <c r="DF279" s="259">
        <f ca="1">IF(AND(CX279=$DE$2,$DF$2&lt;&gt;0),0,IF(AND(DB279&lt;&gt;"",OR(DB278&lt;&gt;"",DB280&lt;&gt;"")),MAX($DF$2:DF278)+1,0))</f>
        <v>0</v>
      </c>
      <c r="DG279" s="259" t="str">
        <f>IF(IF(LIBRO_GIORNALE!E187="","",IFERROR(INDEX(PIANO_DEI_CONTI,MATCH(BB279,DENOMINAZIONE,0),1),0))=0,"",IF(LIBRO_GIORNALE!E187="","",IFERROR(INDEX(PIANO_DEI_CONTI,MATCH(BB279,DENOMINAZIONE,0),1),0)))</f>
        <v/>
      </c>
      <c r="EC279" s="259">
        <f>IF(IF(DG279&lt;&gt;"",REPLACE(DG279,3,1,""),0)&lt;&gt;0,MAX(EC$2:EC278)+1,0)</f>
        <v>0</v>
      </c>
      <c r="ED279" s="259">
        <f t="shared" ca="1" si="662"/>
        <v>0</v>
      </c>
      <c r="EL279" s="259">
        <f t="shared" si="670"/>
        <v>277</v>
      </c>
      <c r="EM279" s="259">
        <f ca="1">IF(AND(BA279&gt;0,BA279&lt;=$EM$1),MAX($EM$2:EM278)+1,0)</f>
        <v>0</v>
      </c>
      <c r="EN279" s="259">
        <f t="shared" ca="1" si="671"/>
        <v>279</v>
      </c>
      <c r="EP279" s="259" t="str">
        <f t="shared" ca="1" si="663"/>
        <v/>
      </c>
      <c r="EQ279" s="259">
        <f t="shared" ca="1" si="664"/>
        <v>0</v>
      </c>
      <c r="ER279" s="259">
        <f ca="1">IF(ISNA(EQ279),MAX(ER$2:ER278)+1,0)</f>
        <v>0</v>
      </c>
      <c r="ES279" s="259" t="str">
        <f t="shared" ca="1" si="672"/>
        <v/>
      </c>
      <c r="ET279" s="259" t="str">
        <f ca="1">IFERROR(UPPER(INDEX($ER$3:$ES$500,MATCH(ROWS(ET$3:ET279),$ER$3:$ER$500,0),2)),"")</f>
        <v/>
      </c>
      <c r="EW279" s="259">
        <f t="shared" ca="1" si="633"/>
        <v>1</v>
      </c>
      <c r="EX279" s="259">
        <v>177</v>
      </c>
      <c r="EY279" s="259">
        <f t="shared" ca="1" si="634"/>
        <v>0</v>
      </c>
      <c r="EZ279" s="259">
        <f t="shared" ca="1" si="635"/>
        <v>0</v>
      </c>
      <c r="FA279" s="259">
        <f t="shared" ca="1" si="636"/>
        <v>0</v>
      </c>
      <c r="FB279" s="259">
        <f t="shared" ca="1" si="637"/>
        <v>0</v>
      </c>
      <c r="FC279" s="259">
        <f t="shared" ca="1" si="638"/>
        <v>0</v>
      </c>
      <c r="FD279" s="259">
        <f t="shared" ca="1" si="665"/>
        <v>0</v>
      </c>
      <c r="FE279" s="259" t="str">
        <f t="shared" ca="1" si="666"/>
        <v/>
      </c>
      <c r="FF279" s="259" t="str">
        <f t="shared" ca="1" si="639"/>
        <v/>
      </c>
      <c r="FM279" s="259">
        <f t="shared" si="667"/>
        <v>0</v>
      </c>
      <c r="FN279" s="259">
        <f>IF(FM279&lt;0,MAX($FN$2:FN278)+1,0)</f>
        <v>0</v>
      </c>
      <c r="FO279" s="259" t="str">
        <f t="shared" si="673"/>
        <v/>
      </c>
      <c r="FP279" s="259" t="str">
        <f ca="1">IFERROR(INDEX($FN$3:$FO$400,MATCH(ROWS($FP$3:FP279),$FN$3:$FN$400,0),2),"")</f>
        <v/>
      </c>
      <c r="FQ279" s="259" t="str">
        <f>IF(AE279="SE AVERE",MAX($FQ$2:FQ278)+1,"")</f>
        <v/>
      </c>
      <c r="FR279" s="259" t="str">
        <f>IF(AE279="SE DARE",MAX($FR$2:FR278)+1,"")</f>
        <v/>
      </c>
      <c r="FS279" s="259" t="str">
        <f ca="1">IF(AND(AE279="SP DARE",AA279&lt;&gt;$FS$1,AA279&lt;&gt;$FT$1),MAX($FS$2:FS278)+1,IF(AND(GQ279="SP DARE",AA279&lt;&gt;$FS$1,AA279&lt;&gt;$FT$1),MAX($FS$2:FS278)+1,""))</f>
        <v/>
      </c>
      <c r="FT279" s="259" t="str">
        <f ca="1">IF(AND(AE279="SP AVERE",AA279&lt;&gt;$FU$1),MAX($FT$2:FT278)+1,IF(AND(GQ279="SP AVERE",AA279&lt;&gt;$FU$1),MAX($FT$2:FT278)+1,""))</f>
        <v/>
      </c>
      <c r="FU279" s="259">
        <f t="shared" ca="1" si="674"/>
        <v>0</v>
      </c>
      <c r="FV279" s="259">
        <f t="shared" si="675"/>
        <v>0</v>
      </c>
      <c r="FW279" s="259">
        <f ca="1">IFERROR(INDEX($FU$3:$FV$500,MATCH(ROWS($FW$3:FW279),$FU$3:$FU$500,0),2),0)</f>
        <v>0</v>
      </c>
      <c r="FX279" s="259">
        <f t="shared" ca="1" si="676"/>
        <v>0</v>
      </c>
      <c r="FY279" s="259">
        <f t="shared" ca="1" si="677"/>
        <v>0</v>
      </c>
      <c r="FZ279" s="259">
        <f ca="1">IF(FY279&gt;0,MAX($FZ$2:FZ278)+1,0)</f>
        <v>0</v>
      </c>
      <c r="GA279" s="259">
        <f ca="1">IFERROR(INDEX($FY$3:$FZ$500,MATCH(ROWS($GA$3:GA279),$FZ$3:$FZ$500,0),1),0)</f>
        <v>0</v>
      </c>
      <c r="GC279" s="259">
        <f t="shared" ca="1" si="678"/>
        <v>0</v>
      </c>
      <c r="GD279" s="259">
        <f t="shared" ca="1" si="679"/>
        <v>0</v>
      </c>
      <c r="GG279" s="259">
        <f t="shared" ca="1" si="680"/>
        <v>0</v>
      </c>
      <c r="GH279" s="259">
        <f t="shared" ca="1" si="681"/>
        <v>0</v>
      </c>
      <c r="GI279" s="259">
        <f t="shared" ca="1" si="682"/>
        <v>0</v>
      </c>
      <c r="GJ279" s="259">
        <f t="shared" ca="1" si="683"/>
        <v>0</v>
      </c>
      <c r="GK279" s="259">
        <f t="shared" ca="1" si="684"/>
        <v>0</v>
      </c>
      <c r="GL279" s="259">
        <f t="shared" ca="1" si="684"/>
        <v>0</v>
      </c>
      <c r="GM279" s="259">
        <f ca="1">IF(OR(GK279&gt;0,GL279&gt;0),MAX($GM$2:GM278)+1,0)</f>
        <v>0</v>
      </c>
      <c r="GN279" s="259" t="str">
        <f ca="1">IFERROR(INDEX($GD$3:$GM$400,MATCH(ROWS($GN$3:GN279),$GM$3:$GM$400,0),1),"")</f>
        <v/>
      </c>
      <c r="GO279" s="259" t="str">
        <f ca="1">IFERROR(INDEX($GD$3:$GM$400,MATCH(ROWS($GO$3:GO279),$GM$3:$GM$400,0),8),"")</f>
        <v/>
      </c>
      <c r="GP279" s="259" t="str">
        <f ca="1">IFERROR(INDEX($GD$3:$GM$400,MATCH(ROWS($GP$3:GP279),$GM$3:$GM$400,0),9),"")</f>
        <v/>
      </c>
      <c r="GQ279" s="259">
        <f t="shared" ca="1" si="668"/>
        <v>0</v>
      </c>
      <c r="GR279" s="259">
        <f t="shared" ca="1" si="685"/>
        <v>0</v>
      </c>
      <c r="GS279" s="259" t="str">
        <f t="shared" ca="1" si="686"/>
        <v/>
      </c>
      <c r="GT279" s="259" t="str">
        <f ca="1">IFERROR(INDEX($GD$3:$GS$400,MATCH(ROWS($GT$3:GT279),$GM$3:$GM$400,0),16),"")</f>
        <v/>
      </c>
      <c r="GU279" s="259">
        <f ca="1">IF(GQ279&lt;&gt;0,MAX($GU$2:$GU278)+1,0)</f>
        <v>0</v>
      </c>
      <c r="GV279" s="259">
        <f t="shared" ca="1" si="687"/>
        <v>0</v>
      </c>
      <c r="GW279" s="259" t="str">
        <f ca="1">IF(AND(IFERROR(INDEX($GU$3:$GV$400,MATCH(ROWS($GW$3:GW279),$GU$3:$GU$400,0),2),"")&lt;&gt;"",GW280&lt;&gt;""),CONCATENATE(IFERROR(INDEX($GU$3:$GV$400,MATCH(ROWS($GW$3:GW279),$GU$3:$GU$400,0),2),"")," - "),IFERROR(INDEX($GU$3:$GV$400,MATCH(ROWS($GW$3:GW279),$GU$3:$GU$400,0),2),""))</f>
        <v/>
      </c>
      <c r="GX279" s="259">
        <f ca="1">IF(OR(GN279="IVA NS/CREDITO",GN279="IVA NS/DEBITO",GN279="IVA C/ACCONTO",GN279="IMPOSTE C/ACCONTO"),MAX($GX$2:GX278)+1,0)</f>
        <v>0</v>
      </c>
      <c r="GY279" s="259" t="str">
        <f ca="1">IF(AND(IFERROR(INDEX($GN$3:$GX$200,MATCH(ROWS($GY$3:GY279),$GX$3:$GX$200,0),1),"")&lt;&gt;"",GY280&lt;&gt;""),CONCATENATE(IFERROR(INDEX($GN$3:$GX$200,MATCH(ROWS($GY$3:GY279),$GX$3:$GX$200,0),1),"")," - "),IFERROR(INDEX($GN$3:$GX$200,MATCH(ROWS($GY$3:GY279),$GX$3:$GX$200,0),1),""))</f>
        <v/>
      </c>
      <c r="JA279" s="259" t="str">
        <f t="shared" ca="1" si="688"/>
        <v/>
      </c>
      <c r="JB279" s="259">
        <f t="shared" ca="1" si="669"/>
        <v>0</v>
      </c>
      <c r="JC279" s="259">
        <f t="shared" ca="1" si="640"/>
        <v>0</v>
      </c>
      <c r="JD279" s="259">
        <f t="shared" ca="1" si="641"/>
        <v>0</v>
      </c>
      <c r="JM279" s="259">
        <f t="shared" ca="1" si="642"/>
        <v>0</v>
      </c>
    </row>
    <row r="280" spans="52:273">
      <c r="AZ280" s="259" t="str">
        <f t="shared" ca="1" si="689"/>
        <v/>
      </c>
      <c r="BA280" s="259">
        <f t="shared" ca="1" si="632"/>
        <v>0</v>
      </c>
      <c r="BB280" s="259">
        <f t="shared" ca="1" si="690"/>
        <v>0</v>
      </c>
      <c r="BC280" s="259">
        <f t="shared" ca="1" si="691"/>
        <v>0</v>
      </c>
      <c r="BD280" s="259">
        <f t="shared" ca="1" si="692"/>
        <v>0</v>
      </c>
      <c r="BE280" s="259">
        <f t="shared" ca="1" si="693"/>
        <v>0</v>
      </c>
      <c r="BQ280" s="259" t="str">
        <f ca="1">IFERROR(INDEX($BN$3:$BO$200,MATCH(ROWS(BQ$3:BQ280),$BP$3:$BP$220,0),1),"")</f>
        <v/>
      </c>
      <c r="CX280" s="259">
        <f t="shared" ca="1" si="696"/>
        <v>16</v>
      </c>
      <c r="CY280" s="259" t="str">
        <f t="shared" ca="1" si="694"/>
        <v>MASTRO</v>
      </c>
      <c r="CZ280" s="259" t="e">
        <f t="shared" ca="1" si="698"/>
        <v>#N/A</v>
      </c>
      <c r="DA280" s="259" t="str">
        <f t="shared" ca="1" si="703"/>
        <v/>
      </c>
      <c r="DB280" s="259" t="str">
        <f t="shared" ca="1" si="699"/>
        <v/>
      </c>
      <c r="DC280" s="259" t="str">
        <f t="shared" ca="1" si="700"/>
        <v/>
      </c>
      <c r="DD280" s="259" t="str">
        <f t="shared" ca="1" si="701"/>
        <v/>
      </c>
      <c r="DE280" s="259" t="str">
        <f t="shared" ca="1" si="702"/>
        <v/>
      </c>
      <c r="DF280" s="259">
        <f ca="1">IF(AND(CX280=$DE$2,$DF$2&lt;&gt;0),0,IF(AND(DB280&lt;&gt;"",OR(DB279&lt;&gt;"",DB281&lt;&gt;"")),MAX($DF$2:DF279)+1,0))</f>
        <v>0</v>
      </c>
      <c r="DG280" s="259" t="str">
        <f>IF(IF(LIBRO_GIORNALE!E188="","",IFERROR(INDEX(PIANO_DEI_CONTI,MATCH(BB280,DENOMINAZIONE,0),1),0))=0,"",IF(LIBRO_GIORNALE!E188="","",IFERROR(INDEX(PIANO_DEI_CONTI,MATCH(BB280,DENOMINAZIONE,0),1),0)))</f>
        <v/>
      </c>
      <c r="EC280" s="259">
        <f>IF(IF(DG280&lt;&gt;"",REPLACE(DG280,3,1,""),0)&lt;&gt;0,MAX(EC$2:EC279)+1,0)</f>
        <v>0</v>
      </c>
      <c r="ED280" s="259">
        <f t="shared" ca="1" si="662"/>
        <v>0</v>
      </c>
      <c r="EL280" s="259">
        <f t="shared" si="670"/>
        <v>278</v>
      </c>
      <c r="EM280" s="259">
        <f ca="1">IF(AND(BA280&gt;0,BA280&lt;=$EM$1),MAX($EM$2:EM279)+1,0)</f>
        <v>0</v>
      </c>
      <c r="EN280" s="259">
        <f t="shared" ca="1" si="671"/>
        <v>280</v>
      </c>
      <c r="EP280" s="259" t="str">
        <f t="shared" ca="1" si="663"/>
        <v/>
      </c>
      <c r="EQ280" s="259">
        <f t="shared" ca="1" si="664"/>
        <v>0</v>
      </c>
      <c r="ER280" s="259">
        <f ca="1">IF(ISNA(EQ280),MAX(ER$2:ER279)+1,0)</f>
        <v>0</v>
      </c>
      <c r="ES280" s="259" t="str">
        <f t="shared" ca="1" si="672"/>
        <v/>
      </c>
      <c r="ET280" s="259" t="str">
        <f ca="1">IFERROR(UPPER(INDEX($ER$3:$ES$500,MATCH(ROWS(ET$3:ET280),$ER$3:$ER$500,0),2)),"")</f>
        <v/>
      </c>
      <c r="EW280" s="259">
        <f t="shared" ca="1" si="633"/>
        <v>1</v>
      </c>
      <c r="EX280" s="259">
        <v>178</v>
      </c>
      <c r="EY280" s="259">
        <f t="shared" ca="1" si="634"/>
        <v>0</v>
      </c>
      <c r="EZ280" s="259">
        <f t="shared" ca="1" si="635"/>
        <v>0</v>
      </c>
      <c r="FA280" s="259">
        <f t="shared" ca="1" si="636"/>
        <v>0</v>
      </c>
      <c r="FB280" s="259">
        <f t="shared" ca="1" si="637"/>
        <v>0</v>
      </c>
      <c r="FC280" s="259">
        <f t="shared" ca="1" si="638"/>
        <v>0</v>
      </c>
      <c r="FD280" s="259">
        <f t="shared" ca="1" si="665"/>
        <v>0</v>
      </c>
      <c r="FE280" s="259" t="str">
        <f t="shared" ca="1" si="666"/>
        <v/>
      </c>
      <c r="FF280" s="259" t="str">
        <f t="shared" ca="1" si="639"/>
        <v/>
      </c>
      <c r="FM280" s="259">
        <f t="shared" si="667"/>
        <v>0</v>
      </c>
      <c r="FN280" s="259">
        <f>IF(FM280&lt;0,MAX($FN$2:FN279)+1,0)</f>
        <v>0</v>
      </c>
      <c r="FO280" s="259" t="str">
        <f t="shared" si="673"/>
        <v/>
      </c>
      <c r="FP280" s="259" t="str">
        <f ca="1">IFERROR(INDEX($FN$3:$FO$400,MATCH(ROWS($FP$3:FP280),$FN$3:$FN$400,0),2),"")</f>
        <v/>
      </c>
      <c r="FQ280" s="259" t="str">
        <f>IF(AE280="SE AVERE",MAX($FQ$2:FQ279)+1,"")</f>
        <v/>
      </c>
      <c r="FR280" s="259" t="str">
        <f>IF(AE280="SE DARE",MAX($FR$2:FR279)+1,"")</f>
        <v/>
      </c>
      <c r="FS280" s="259" t="str">
        <f ca="1">IF(AND(AE280="SP DARE",AA280&lt;&gt;$FS$1,AA280&lt;&gt;$FT$1),MAX($FS$2:FS279)+1,IF(AND(GQ280="SP DARE",AA280&lt;&gt;$FS$1,AA280&lt;&gt;$FT$1),MAX($FS$2:FS279)+1,""))</f>
        <v/>
      </c>
      <c r="FT280" s="259" t="str">
        <f ca="1">IF(AND(AE280="SP AVERE",AA280&lt;&gt;$FU$1),MAX($FT$2:FT279)+1,IF(AND(GQ280="SP AVERE",AA280&lt;&gt;$FU$1),MAX($FT$2:FT279)+1,""))</f>
        <v/>
      </c>
      <c r="FU280" s="259">
        <f t="shared" ca="1" si="674"/>
        <v>0</v>
      </c>
      <c r="FV280" s="259">
        <f t="shared" si="675"/>
        <v>0</v>
      </c>
      <c r="FW280" s="259">
        <f ca="1">IFERROR(INDEX($FU$3:$FV$500,MATCH(ROWS($FW$3:FW280),$FU$3:$FU$500,0),2),0)</f>
        <v>0</v>
      </c>
      <c r="FX280" s="259">
        <f t="shared" ca="1" si="676"/>
        <v>0</v>
      </c>
      <c r="FY280" s="259">
        <f t="shared" ca="1" si="677"/>
        <v>0</v>
      </c>
      <c r="FZ280" s="259">
        <f ca="1">IF(FY280&gt;0,MAX($FZ$2:FZ279)+1,0)</f>
        <v>0</v>
      </c>
      <c r="GA280" s="259">
        <f ca="1">IFERROR(INDEX($FY$3:$FZ$500,MATCH(ROWS($GA$3:GA280),$FZ$3:$FZ$500,0),1),0)</f>
        <v>0</v>
      </c>
      <c r="GC280" s="259">
        <f t="shared" ca="1" si="678"/>
        <v>0</v>
      </c>
      <c r="GD280" s="259">
        <f t="shared" ca="1" si="679"/>
        <v>0</v>
      </c>
      <c r="GG280" s="259">
        <f t="shared" ca="1" si="680"/>
        <v>0</v>
      </c>
      <c r="GH280" s="259">
        <f t="shared" ca="1" si="681"/>
        <v>0</v>
      </c>
      <c r="GI280" s="259">
        <f t="shared" ca="1" si="682"/>
        <v>0</v>
      </c>
      <c r="GJ280" s="259">
        <f t="shared" ca="1" si="683"/>
        <v>0</v>
      </c>
      <c r="GK280" s="259">
        <f t="shared" ca="1" si="684"/>
        <v>0</v>
      </c>
      <c r="GL280" s="259">
        <f t="shared" ca="1" si="684"/>
        <v>0</v>
      </c>
      <c r="GM280" s="259">
        <f ca="1">IF(OR(GK280&gt;0,GL280&gt;0),MAX($GM$2:GM279)+1,0)</f>
        <v>0</v>
      </c>
      <c r="GN280" s="259" t="str">
        <f ca="1">IFERROR(INDEX($GD$3:$GM$400,MATCH(ROWS($GN$3:GN280),$GM$3:$GM$400,0),1),"")</f>
        <v/>
      </c>
      <c r="GO280" s="259" t="str">
        <f ca="1">IFERROR(INDEX($GD$3:$GM$400,MATCH(ROWS($GO$3:GO280),$GM$3:$GM$400,0),8),"")</f>
        <v/>
      </c>
      <c r="GP280" s="259" t="str">
        <f ca="1">IFERROR(INDEX($GD$3:$GM$400,MATCH(ROWS($GP$3:GP280),$GM$3:$GM$400,0),9),"")</f>
        <v/>
      </c>
      <c r="GQ280" s="259">
        <f t="shared" ca="1" si="668"/>
        <v>0</v>
      </c>
      <c r="GR280" s="259">
        <f t="shared" ca="1" si="685"/>
        <v>0</v>
      </c>
      <c r="GS280" s="259" t="str">
        <f t="shared" ca="1" si="686"/>
        <v/>
      </c>
      <c r="GT280" s="259" t="str">
        <f ca="1">IFERROR(INDEX($GD$3:$GS$400,MATCH(ROWS($GT$3:GT280),$GM$3:$GM$400,0),16),"")</f>
        <v/>
      </c>
      <c r="GU280" s="259">
        <f ca="1">IF(GQ280&lt;&gt;0,MAX($GU$2:$GU279)+1,0)</f>
        <v>0</v>
      </c>
      <c r="GV280" s="259">
        <f t="shared" ca="1" si="687"/>
        <v>0</v>
      </c>
      <c r="GW280" s="259" t="str">
        <f ca="1">IF(AND(IFERROR(INDEX($GU$3:$GV$400,MATCH(ROWS($GW$3:GW280),$GU$3:$GU$400,0),2),"")&lt;&gt;"",GW281&lt;&gt;""),CONCATENATE(IFERROR(INDEX($GU$3:$GV$400,MATCH(ROWS($GW$3:GW280),$GU$3:$GU$400,0),2),"")," - "),IFERROR(INDEX($GU$3:$GV$400,MATCH(ROWS($GW$3:GW280),$GU$3:$GU$400,0),2),""))</f>
        <v/>
      </c>
      <c r="GX280" s="259">
        <f ca="1">IF(OR(GN280="IVA NS/CREDITO",GN280="IVA NS/DEBITO",GN280="IVA C/ACCONTO",GN280="IMPOSTE C/ACCONTO"),MAX($GX$2:GX279)+1,0)</f>
        <v>0</v>
      </c>
      <c r="GY280" s="259" t="str">
        <f ca="1">IF(AND(IFERROR(INDEX($GN$3:$GX$200,MATCH(ROWS($GY$3:GY280),$GX$3:$GX$200,0),1),"")&lt;&gt;"",GY281&lt;&gt;""),CONCATENATE(IFERROR(INDEX($GN$3:$GX$200,MATCH(ROWS($GY$3:GY280),$GX$3:$GX$200,0),1),"")," - "),IFERROR(INDEX($GN$3:$GX$200,MATCH(ROWS($GY$3:GY280),$GX$3:$GX$200,0),1),""))</f>
        <v/>
      </c>
      <c r="JA280" s="259" t="str">
        <f t="shared" ca="1" si="688"/>
        <v/>
      </c>
      <c r="JB280" s="259">
        <f t="shared" ca="1" si="669"/>
        <v>0</v>
      </c>
      <c r="JC280" s="259">
        <f t="shared" ca="1" si="640"/>
        <v>0</v>
      </c>
      <c r="JD280" s="259">
        <f t="shared" ca="1" si="641"/>
        <v>0</v>
      </c>
      <c r="JM280" s="259">
        <f t="shared" ca="1" si="642"/>
        <v>0</v>
      </c>
    </row>
    <row r="281" spans="52:273">
      <c r="AZ281" s="259" t="str">
        <f t="shared" ca="1" si="689"/>
        <v/>
      </c>
      <c r="BA281" s="259">
        <f t="shared" ca="1" si="632"/>
        <v>0</v>
      </c>
      <c r="BB281" s="259">
        <f t="shared" ca="1" si="690"/>
        <v>0</v>
      </c>
      <c r="BC281" s="259">
        <f t="shared" ca="1" si="691"/>
        <v>0</v>
      </c>
      <c r="BD281" s="259">
        <f t="shared" ca="1" si="692"/>
        <v>0</v>
      </c>
      <c r="BE281" s="259">
        <f t="shared" ca="1" si="693"/>
        <v>0</v>
      </c>
      <c r="BQ281" s="259" t="str">
        <f ca="1">IFERROR(INDEX($BN$3:$BO$200,MATCH(ROWS(BQ$3:BQ281),$BP$3:$BP$220,0),1),"")</f>
        <v/>
      </c>
      <c r="CX281" s="259">
        <f t="shared" ca="1" si="696"/>
        <v>16</v>
      </c>
      <c r="CY281" s="259" t="str">
        <f t="shared" ca="1" si="694"/>
        <v>MASTRO</v>
      </c>
      <c r="CZ281" s="259" t="e">
        <f t="shared" ca="1" si="698"/>
        <v>#N/A</v>
      </c>
      <c r="DA281" s="259" t="str">
        <f t="shared" ca="1" si="703"/>
        <v/>
      </c>
      <c r="DB281" s="259" t="str">
        <f t="shared" ca="1" si="699"/>
        <v/>
      </c>
      <c r="DC281" s="259" t="str">
        <f t="shared" ca="1" si="700"/>
        <v/>
      </c>
      <c r="DD281" s="259" t="str">
        <f t="shared" ca="1" si="701"/>
        <v/>
      </c>
      <c r="DE281" s="259" t="str">
        <f t="shared" ca="1" si="702"/>
        <v/>
      </c>
      <c r="DF281" s="259">
        <f ca="1">IF(AND(CX281=$DE$2,$DF$2&lt;&gt;0),0,IF(AND(DB281&lt;&gt;"",OR(DB280&lt;&gt;"",DB282&lt;&gt;"")),MAX($DF$2:DF280)+1,0))</f>
        <v>0</v>
      </c>
      <c r="DG281" s="259" t="str">
        <f>IF(IF(LIBRO_GIORNALE!E189="","",IFERROR(INDEX(PIANO_DEI_CONTI,MATCH(BB281,DENOMINAZIONE,0),1),0))=0,"",IF(LIBRO_GIORNALE!E189="","",IFERROR(INDEX(PIANO_DEI_CONTI,MATCH(BB281,DENOMINAZIONE,0),1),0)))</f>
        <v/>
      </c>
      <c r="EC281" s="259">
        <f>IF(IF(DG281&lt;&gt;"",REPLACE(DG281,3,1,""),0)&lt;&gt;0,MAX(EC$2:EC280)+1,0)</f>
        <v>0</v>
      </c>
      <c r="ED281" s="259">
        <f t="shared" ca="1" si="662"/>
        <v>0</v>
      </c>
      <c r="EL281" s="259">
        <f t="shared" si="670"/>
        <v>279</v>
      </c>
      <c r="EM281" s="259">
        <f ca="1">IF(AND(BA281&gt;0,BA281&lt;=$EM$1),MAX($EM$2:EM280)+1,0)</f>
        <v>0</v>
      </c>
      <c r="EN281" s="259">
        <f t="shared" ca="1" si="671"/>
        <v>281</v>
      </c>
      <c r="EP281" s="259" t="str">
        <f t="shared" ca="1" si="663"/>
        <v/>
      </c>
      <c r="EQ281" s="259">
        <f t="shared" ca="1" si="664"/>
        <v>0</v>
      </c>
      <c r="ER281" s="259">
        <f ca="1">IF(ISNA(EQ281),MAX(ER$2:ER280)+1,0)</f>
        <v>0</v>
      </c>
      <c r="ES281" s="259" t="str">
        <f t="shared" ca="1" si="672"/>
        <v/>
      </c>
      <c r="ET281" s="259" t="str">
        <f ca="1">IFERROR(UPPER(INDEX($ER$3:$ES$500,MATCH(ROWS(ET$3:ET281),$ER$3:$ER$500,0),2)),"")</f>
        <v/>
      </c>
      <c r="EW281" s="259">
        <f t="shared" ca="1" si="633"/>
        <v>1</v>
      </c>
      <c r="EX281" s="259">
        <v>179</v>
      </c>
      <c r="EY281" s="259">
        <f t="shared" ca="1" si="634"/>
        <v>0</v>
      </c>
      <c r="EZ281" s="259">
        <f t="shared" ca="1" si="635"/>
        <v>0</v>
      </c>
      <c r="FA281" s="259">
        <f t="shared" ca="1" si="636"/>
        <v>0</v>
      </c>
      <c r="FB281" s="259">
        <f t="shared" ca="1" si="637"/>
        <v>0</v>
      </c>
      <c r="FC281" s="259">
        <f t="shared" ca="1" si="638"/>
        <v>0</v>
      </c>
      <c r="FD281" s="259">
        <f t="shared" ca="1" si="665"/>
        <v>0</v>
      </c>
      <c r="FE281" s="259" t="str">
        <f t="shared" ca="1" si="666"/>
        <v/>
      </c>
      <c r="FF281" s="259" t="str">
        <f t="shared" ca="1" si="639"/>
        <v/>
      </c>
      <c r="FM281" s="259">
        <f t="shared" si="667"/>
        <v>0</v>
      </c>
      <c r="FN281" s="259">
        <f>IF(FM281&lt;0,MAX($FN$2:FN280)+1,0)</f>
        <v>0</v>
      </c>
      <c r="FO281" s="259" t="str">
        <f t="shared" si="673"/>
        <v/>
      </c>
      <c r="FP281" s="259" t="str">
        <f ca="1">IFERROR(INDEX($FN$3:$FO$400,MATCH(ROWS($FP$3:FP281),$FN$3:$FN$400,0),2),"")</f>
        <v/>
      </c>
      <c r="FQ281" s="259" t="str">
        <f>IF(AE281="SE AVERE",MAX($FQ$2:FQ280)+1,"")</f>
        <v/>
      </c>
      <c r="FR281" s="259" t="str">
        <f>IF(AE281="SE DARE",MAX($FR$2:FR280)+1,"")</f>
        <v/>
      </c>
      <c r="FS281" s="259" t="str">
        <f ca="1">IF(AND(AE281="SP DARE",AA281&lt;&gt;$FS$1,AA281&lt;&gt;$FT$1),MAX($FS$2:FS280)+1,IF(AND(GQ281="SP DARE",AA281&lt;&gt;$FS$1,AA281&lt;&gt;$FT$1),MAX($FS$2:FS280)+1,""))</f>
        <v/>
      </c>
      <c r="FT281" s="259" t="str">
        <f ca="1">IF(AND(AE281="SP AVERE",AA281&lt;&gt;$FU$1),MAX($FT$2:FT280)+1,IF(AND(GQ281="SP AVERE",AA281&lt;&gt;$FU$1),MAX($FT$2:FT280)+1,""))</f>
        <v/>
      </c>
      <c r="FU281" s="259">
        <f t="shared" ca="1" si="674"/>
        <v>0</v>
      </c>
      <c r="FV281" s="259">
        <f t="shared" si="675"/>
        <v>0</v>
      </c>
      <c r="FW281" s="259">
        <f ca="1">IFERROR(INDEX($FU$3:$FV$500,MATCH(ROWS($FW$3:FW281),$FU$3:$FU$500,0),2),0)</f>
        <v>0</v>
      </c>
      <c r="FX281" s="259">
        <f t="shared" ca="1" si="676"/>
        <v>0</v>
      </c>
      <c r="FY281" s="259">
        <f t="shared" ca="1" si="677"/>
        <v>0</v>
      </c>
      <c r="FZ281" s="259">
        <f ca="1">IF(FY281&gt;0,MAX($FZ$2:FZ280)+1,0)</f>
        <v>0</v>
      </c>
      <c r="GA281" s="259">
        <f ca="1">IFERROR(INDEX($FY$3:$FZ$500,MATCH(ROWS($GA$3:GA281),$FZ$3:$FZ$500,0),1),0)</f>
        <v>0</v>
      </c>
      <c r="GC281" s="259">
        <f t="shared" ca="1" si="678"/>
        <v>0</v>
      </c>
      <c r="GD281" s="259">
        <f t="shared" ca="1" si="679"/>
        <v>0</v>
      </c>
      <c r="GG281" s="259">
        <f t="shared" ca="1" si="680"/>
        <v>0</v>
      </c>
      <c r="GH281" s="259">
        <f t="shared" ca="1" si="681"/>
        <v>0</v>
      </c>
      <c r="GI281" s="259">
        <f t="shared" ca="1" si="682"/>
        <v>0</v>
      </c>
      <c r="GJ281" s="259">
        <f t="shared" ca="1" si="683"/>
        <v>0</v>
      </c>
      <c r="GK281" s="259">
        <f t="shared" ca="1" si="684"/>
        <v>0</v>
      </c>
      <c r="GL281" s="259">
        <f t="shared" ca="1" si="684"/>
        <v>0</v>
      </c>
      <c r="GM281" s="259">
        <f ca="1">IF(OR(GK281&gt;0,GL281&gt;0),MAX($GM$2:GM280)+1,0)</f>
        <v>0</v>
      </c>
      <c r="GN281" s="259" t="str">
        <f ca="1">IFERROR(INDEX($GD$3:$GM$400,MATCH(ROWS($GN$3:GN281),$GM$3:$GM$400,0),1),"")</f>
        <v/>
      </c>
      <c r="GO281" s="259" t="str">
        <f ca="1">IFERROR(INDEX($GD$3:$GM$400,MATCH(ROWS($GO$3:GO281),$GM$3:$GM$400,0),8),"")</f>
        <v/>
      </c>
      <c r="GP281" s="259" t="str">
        <f ca="1">IFERROR(INDEX($GD$3:$GM$400,MATCH(ROWS($GP$3:GP281),$GM$3:$GM$400,0),9),"")</f>
        <v/>
      </c>
      <c r="GQ281" s="259">
        <f t="shared" ca="1" si="668"/>
        <v>0</v>
      </c>
      <c r="GR281" s="259">
        <f t="shared" ca="1" si="685"/>
        <v>0</v>
      </c>
      <c r="GS281" s="259" t="str">
        <f t="shared" ca="1" si="686"/>
        <v/>
      </c>
      <c r="GT281" s="259" t="str">
        <f ca="1">IFERROR(INDEX($GD$3:$GS$400,MATCH(ROWS($GT$3:GT281),$GM$3:$GM$400,0),16),"")</f>
        <v/>
      </c>
      <c r="GU281" s="259">
        <f ca="1">IF(GQ281&lt;&gt;0,MAX($GU$2:$GU280)+1,0)</f>
        <v>0</v>
      </c>
      <c r="GV281" s="259">
        <f t="shared" ca="1" si="687"/>
        <v>0</v>
      </c>
      <c r="GW281" s="259" t="str">
        <f ca="1">IF(AND(IFERROR(INDEX($GU$3:$GV$400,MATCH(ROWS($GW$3:GW281),$GU$3:$GU$400,0),2),"")&lt;&gt;"",GW282&lt;&gt;""),CONCATENATE(IFERROR(INDEX($GU$3:$GV$400,MATCH(ROWS($GW$3:GW281),$GU$3:$GU$400,0),2),"")," - "),IFERROR(INDEX($GU$3:$GV$400,MATCH(ROWS($GW$3:GW281),$GU$3:$GU$400,0),2),""))</f>
        <v/>
      </c>
      <c r="GX281" s="259">
        <f ca="1">IF(OR(GN281="IVA NS/CREDITO",GN281="IVA NS/DEBITO",GN281="IVA C/ACCONTO",GN281="IMPOSTE C/ACCONTO"),MAX($GX$2:GX280)+1,0)</f>
        <v>0</v>
      </c>
      <c r="GY281" s="259" t="str">
        <f ca="1">IF(AND(IFERROR(INDEX($GN$3:$GX$200,MATCH(ROWS($GY$3:GY281),$GX$3:$GX$200,0),1),"")&lt;&gt;"",GY282&lt;&gt;""),CONCATENATE(IFERROR(INDEX($GN$3:$GX$200,MATCH(ROWS($GY$3:GY281),$GX$3:$GX$200,0),1),"")," - "),IFERROR(INDEX($GN$3:$GX$200,MATCH(ROWS($GY$3:GY281),$GX$3:$GX$200,0),1),""))</f>
        <v/>
      </c>
      <c r="JA281" s="259" t="str">
        <f t="shared" ca="1" si="688"/>
        <v/>
      </c>
      <c r="JB281" s="259">
        <f t="shared" ca="1" si="669"/>
        <v>0</v>
      </c>
      <c r="JC281" s="259">
        <f t="shared" ca="1" si="640"/>
        <v>0</v>
      </c>
      <c r="JD281" s="259">
        <f t="shared" ca="1" si="641"/>
        <v>0</v>
      </c>
      <c r="JM281" s="259">
        <f t="shared" ca="1" si="642"/>
        <v>0</v>
      </c>
    </row>
    <row r="282" spans="52:273">
      <c r="AZ282" s="259" t="str">
        <f t="shared" ca="1" si="689"/>
        <v/>
      </c>
      <c r="BA282" s="259">
        <f t="shared" ca="1" si="632"/>
        <v>0</v>
      </c>
      <c r="BB282" s="259">
        <f t="shared" ca="1" si="690"/>
        <v>0</v>
      </c>
      <c r="BC282" s="259">
        <f t="shared" ca="1" si="691"/>
        <v>0</v>
      </c>
      <c r="BD282" s="259">
        <f t="shared" ca="1" si="692"/>
        <v>0</v>
      </c>
      <c r="BE282" s="259">
        <f t="shared" ca="1" si="693"/>
        <v>0</v>
      </c>
      <c r="BQ282" s="259" t="str">
        <f ca="1">IFERROR(INDEX($BN$3:$BO$200,MATCH(ROWS(BQ$3:BQ282),$BP$3:$BP$220,0),1),"")</f>
        <v/>
      </c>
      <c r="CX282" s="259">
        <f t="shared" ca="1" si="696"/>
        <v>16</v>
      </c>
      <c r="CY282" s="259" t="str">
        <f t="shared" ca="1" si="694"/>
        <v>MASTRO</v>
      </c>
      <c r="CZ282" s="259" t="e">
        <f t="shared" ca="1" si="698"/>
        <v>#N/A</v>
      </c>
      <c r="DA282" s="259" t="str">
        <f t="shared" ca="1" si="703"/>
        <v/>
      </c>
      <c r="DB282" s="259" t="str">
        <f t="shared" ca="1" si="699"/>
        <v/>
      </c>
      <c r="DC282" s="259" t="str">
        <f t="shared" ca="1" si="700"/>
        <v/>
      </c>
      <c r="DD282" s="259" t="str">
        <f t="shared" ca="1" si="701"/>
        <v/>
      </c>
      <c r="DE282" s="259" t="str">
        <f t="shared" ca="1" si="702"/>
        <v/>
      </c>
      <c r="DF282" s="259">
        <f ca="1">IF(AND(CX282=$DE$2,$DF$2&lt;&gt;0),0,IF(AND(DB282&lt;&gt;"",OR(DB281&lt;&gt;"",DB283&lt;&gt;"")),MAX($DF$2:DF281)+1,0))</f>
        <v>0</v>
      </c>
      <c r="DG282" s="259" t="str">
        <f>IF(IF(LIBRO_GIORNALE!E190="","",IFERROR(INDEX(PIANO_DEI_CONTI,MATCH(BB282,DENOMINAZIONE,0),1),0))=0,"",IF(LIBRO_GIORNALE!E190="","",IFERROR(INDEX(PIANO_DEI_CONTI,MATCH(BB282,DENOMINAZIONE,0),1),0)))</f>
        <v/>
      </c>
      <c r="EC282" s="259">
        <f>IF(IF(DG282&lt;&gt;"",REPLACE(DG282,3,1,""),0)&lt;&gt;0,MAX(EC$2:EC281)+1,0)</f>
        <v>0</v>
      </c>
      <c r="ED282" s="259">
        <f t="shared" ca="1" si="662"/>
        <v>0</v>
      </c>
      <c r="EL282" s="259">
        <f t="shared" si="670"/>
        <v>280</v>
      </c>
      <c r="EM282" s="259">
        <f ca="1">IF(AND(BA282&gt;0,BA282&lt;=$EM$1),MAX($EM$2:EM281)+1,0)</f>
        <v>0</v>
      </c>
      <c r="EN282" s="259">
        <f t="shared" ca="1" si="671"/>
        <v>282</v>
      </c>
      <c r="EP282" s="259" t="str">
        <f t="shared" ca="1" si="663"/>
        <v/>
      </c>
      <c r="EQ282" s="259">
        <f t="shared" ca="1" si="664"/>
        <v>0</v>
      </c>
      <c r="ER282" s="259">
        <f ca="1">IF(ISNA(EQ282),MAX(ER$2:ER281)+1,0)</f>
        <v>0</v>
      </c>
      <c r="ES282" s="259" t="str">
        <f t="shared" ca="1" si="672"/>
        <v/>
      </c>
      <c r="ET282" s="259" t="str">
        <f ca="1">IFERROR(UPPER(INDEX($ER$3:$ES$500,MATCH(ROWS(ET$3:ET282),$ER$3:$ER$500,0),2)),"")</f>
        <v/>
      </c>
      <c r="EW282" s="259">
        <f t="shared" ca="1" si="633"/>
        <v>1</v>
      </c>
      <c r="EX282" s="259">
        <v>180</v>
      </c>
      <c r="EY282" s="259">
        <f t="shared" ca="1" si="634"/>
        <v>0</v>
      </c>
      <c r="EZ282" s="259">
        <f t="shared" ca="1" si="635"/>
        <v>0</v>
      </c>
      <c r="FA282" s="259">
        <f t="shared" ca="1" si="636"/>
        <v>0</v>
      </c>
      <c r="FB282" s="259">
        <f t="shared" ca="1" si="637"/>
        <v>0</v>
      </c>
      <c r="FC282" s="259">
        <f t="shared" ca="1" si="638"/>
        <v>0</v>
      </c>
      <c r="FD282" s="259">
        <f t="shared" ca="1" si="665"/>
        <v>0</v>
      </c>
      <c r="FE282" s="259" t="str">
        <f t="shared" ca="1" si="666"/>
        <v/>
      </c>
      <c r="FF282" s="259" t="str">
        <f t="shared" ca="1" si="639"/>
        <v/>
      </c>
      <c r="FM282" s="259">
        <f t="shared" si="667"/>
        <v>0</v>
      </c>
      <c r="FN282" s="259">
        <f>IF(FM282&lt;0,MAX($FN$2:FN281)+1,0)</f>
        <v>0</v>
      </c>
      <c r="FO282" s="259" t="str">
        <f t="shared" si="673"/>
        <v/>
      </c>
      <c r="FP282" s="259" t="str">
        <f ca="1">IFERROR(INDEX($FN$3:$FO$400,MATCH(ROWS($FP$3:FP282),$FN$3:$FN$400,0),2),"")</f>
        <v/>
      </c>
      <c r="FQ282" s="259" t="str">
        <f>IF(AE282="SE AVERE",MAX($FQ$2:FQ281)+1,"")</f>
        <v/>
      </c>
      <c r="FR282" s="259" t="str">
        <f>IF(AE282="SE DARE",MAX($FR$2:FR281)+1,"")</f>
        <v/>
      </c>
      <c r="FS282" s="259" t="str">
        <f ca="1">IF(AND(AE282="SP DARE",AA282&lt;&gt;$FS$1,AA282&lt;&gt;$FT$1),MAX($FS$2:FS281)+1,IF(AND(GQ282="SP DARE",AA282&lt;&gt;$FS$1,AA282&lt;&gt;$FT$1),MAX($FS$2:FS281)+1,""))</f>
        <v/>
      </c>
      <c r="FT282" s="259" t="str">
        <f ca="1">IF(AND(AE282="SP AVERE",AA282&lt;&gt;$FU$1),MAX($FT$2:FT281)+1,IF(AND(GQ282="SP AVERE",AA282&lt;&gt;$FU$1),MAX($FT$2:FT281)+1,""))</f>
        <v/>
      </c>
      <c r="FU282" s="259">
        <f t="shared" ca="1" si="674"/>
        <v>0</v>
      </c>
      <c r="FV282" s="259">
        <f t="shared" si="675"/>
        <v>0</v>
      </c>
      <c r="FW282" s="259">
        <f ca="1">IFERROR(INDEX($FU$3:$FV$500,MATCH(ROWS($FW$3:FW282),$FU$3:$FU$500,0),2),0)</f>
        <v>0</v>
      </c>
      <c r="FX282" s="259">
        <f t="shared" ca="1" si="676"/>
        <v>0</v>
      </c>
      <c r="FY282" s="259">
        <f t="shared" ca="1" si="677"/>
        <v>0</v>
      </c>
      <c r="FZ282" s="259">
        <f ca="1">IF(FY282&gt;0,MAX($FZ$2:FZ281)+1,0)</f>
        <v>0</v>
      </c>
      <c r="GA282" s="259">
        <f ca="1">IFERROR(INDEX($FY$3:$FZ$500,MATCH(ROWS($GA$3:GA282),$FZ$3:$FZ$500,0),1),0)</f>
        <v>0</v>
      </c>
      <c r="GC282" s="259">
        <f t="shared" ca="1" si="678"/>
        <v>0</v>
      </c>
      <c r="GD282" s="259">
        <f t="shared" ca="1" si="679"/>
        <v>0</v>
      </c>
      <c r="GG282" s="259">
        <f t="shared" ca="1" si="680"/>
        <v>0</v>
      </c>
      <c r="GH282" s="259">
        <f t="shared" ca="1" si="681"/>
        <v>0</v>
      </c>
      <c r="GI282" s="259">
        <f t="shared" ca="1" si="682"/>
        <v>0</v>
      </c>
      <c r="GJ282" s="259">
        <f t="shared" ca="1" si="683"/>
        <v>0</v>
      </c>
      <c r="GK282" s="259">
        <f t="shared" ca="1" si="684"/>
        <v>0</v>
      </c>
      <c r="GL282" s="259">
        <f t="shared" ca="1" si="684"/>
        <v>0</v>
      </c>
      <c r="GM282" s="259">
        <f ca="1">IF(OR(GK282&gt;0,GL282&gt;0),MAX($GM$2:GM281)+1,0)</f>
        <v>0</v>
      </c>
      <c r="GN282" s="259" t="str">
        <f ca="1">IFERROR(INDEX($GD$3:$GM$400,MATCH(ROWS($GN$3:GN282),$GM$3:$GM$400,0),1),"")</f>
        <v/>
      </c>
      <c r="GO282" s="259" t="str">
        <f ca="1">IFERROR(INDEX($GD$3:$GM$400,MATCH(ROWS($GO$3:GO282),$GM$3:$GM$400,0),8),"")</f>
        <v/>
      </c>
      <c r="GP282" s="259" t="str">
        <f ca="1">IFERROR(INDEX($GD$3:$GM$400,MATCH(ROWS($GP$3:GP282),$GM$3:$GM$400,0),9),"")</f>
        <v/>
      </c>
      <c r="GQ282" s="259">
        <f t="shared" ca="1" si="668"/>
        <v>0</v>
      </c>
      <c r="GR282" s="259">
        <f t="shared" ca="1" si="685"/>
        <v>0</v>
      </c>
      <c r="GS282" s="259" t="str">
        <f t="shared" ca="1" si="686"/>
        <v/>
      </c>
      <c r="GT282" s="259" t="str">
        <f ca="1">IFERROR(INDEX($GD$3:$GS$400,MATCH(ROWS($GT$3:GT282),$GM$3:$GM$400,0),16),"")</f>
        <v/>
      </c>
      <c r="GU282" s="259">
        <f ca="1">IF(GQ282&lt;&gt;0,MAX($GU$2:$GU281)+1,0)</f>
        <v>0</v>
      </c>
      <c r="GV282" s="259">
        <f t="shared" ca="1" si="687"/>
        <v>0</v>
      </c>
      <c r="GW282" s="259" t="str">
        <f ca="1">IF(AND(IFERROR(INDEX($GU$3:$GV$400,MATCH(ROWS($GW$3:GW282),$GU$3:$GU$400,0),2),"")&lt;&gt;"",GW283&lt;&gt;""),CONCATENATE(IFERROR(INDEX($GU$3:$GV$400,MATCH(ROWS($GW$3:GW282),$GU$3:$GU$400,0),2),"")," - "),IFERROR(INDEX($GU$3:$GV$400,MATCH(ROWS($GW$3:GW282),$GU$3:$GU$400,0),2),""))</f>
        <v/>
      </c>
      <c r="GX282" s="259">
        <f ca="1">IF(OR(GN282="IVA NS/CREDITO",GN282="IVA NS/DEBITO",GN282="IVA C/ACCONTO",GN282="IMPOSTE C/ACCONTO"),MAX($GX$2:GX281)+1,0)</f>
        <v>0</v>
      </c>
      <c r="GY282" s="259" t="str">
        <f ca="1">IF(AND(IFERROR(INDEX($GN$3:$GX$200,MATCH(ROWS($GY$3:GY282),$GX$3:$GX$200,0),1),"")&lt;&gt;"",GY283&lt;&gt;""),CONCATENATE(IFERROR(INDEX($GN$3:$GX$200,MATCH(ROWS($GY$3:GY282),$GX$3:$GX$200,0),1),"")," - "),IFERROR(INDEX($GN$3:$GX$200,MATCH(ROWS($GY$3:GY282),$GX$3:$GX$200,0),1),""))</f>
        <v/>
      </c>
      <c r="JA282" s="259" t="str">
        <f t="shared" ca="1" si="688"/>
        <v/>
      </c>
      <c r="JB282" s="259">
        <f t="shared" ca="1" si="669"/>
        <v>0</v>
      </c>
      <c r="JC282" s="259">
        <f t="shared" ca="1" si="640"/>
        <v>0</v>
      </c>
      <c r="JD282" s="259">
        <f t="shared" ca="1" si="641"/>
        <v>0</v>
      </c>
      <c r="JM282" s="259">
        <f t="shared" ca="1" si="642"/>
        <v>0</v>
      </c>
    </row>
    <row r="283" spans="52:273">
      <c r="AZ283" s="259" t="str">
        <f t="shared" ca="1" si="689"/>
        <v/>
      </c>
      <c r="BA283" s="259">
        <f t="shared" ca="1" si="632"/>
        <v>0</v>
      </c>
      <c r="BB283" s="259">
        <f t="shared" ca="1" si="690"/>
        <v>0</v>
      </c>
      <c r="BC283" s="259">
        <f t="shared" ca="1" si="691"/>
        <v>0</v>
      </c>
      <c r="BD283" s="259">
        <f t="shared" ca="1" si="692"/>
        <v>0</v>
      </c>
      <c r="BE283" s="259">
        <f t="shared" ca="1" si="693"/>
        <v>0</v>
      </c>
      <c r="BQ283" s="259" t="str">
        <f ca="1">IFERROR(INDEX($BN$3:$BO$200,MATCH(ROWS(BQ$3:BQ283),$BP$3:$BP$220,0),1),"")</f>
        <v/>
      </c>
      <c r="CX283" s="259">
        <f t="shared" ca="1" si="696"/>
        <v>16</v>
      </c>
      <c r="CY283" s="259" t="str">
        <f t="shared" ca="1" si="694"/>
        <v>MASTRO</v>
      </c>
      <c r="CZ283" s="259" t="e">
        <f t="shared" ca="1" si="698"/>
        <v>#N/A</v>
      </c>
      <c r="DA283" s="259" t="str">
        <f t="shared" ca="1" si="703"/>
        <v/>
      </c>
      <c r="DB283" s="259" t="str">
        <f t="shared" ca="1" si="699"/>
        <v/>
      </c>
      <c r="DC283" s="259" t="str">
        <f t="shared" ca="1" si="700"/>
        <v/>
      </c>
      <c r="DD283" s="259" t="str">
        <f t="shared" ca="1" si="701"/>
        <v/>
      </c>
      <c r="DE283" s="259" t="str">
        <f t="shared" ca="1" si="702"/>
        <v/>
      </c>
      <c r="DF283" s="259">
        <f ca="1">IF(AND(CX283=$DE$2,$DF$2&lt;&gt;0),0,IF(AND(DB283&lt;&gt;"",OR(DB282&lt;&gt;"",DB284&lt;&gt;"")),MAX($DF$2:DF282)+1,0))</f>
        <v>0</v>
      </c>
      <c r="DG283" s="259" t="str">
        <f>IF(IF(LIBRO_GIORNALE!E191="","",IFERROR(INDEX(PIANO_DEI_CONTI,MATCH(BB283,DENOMINAZIONE,0),1),0))=0,"",IF(LIBRO_GIORNALE!E191="","",IFERROR(INDEX(PIANO_DEI_CONTI,MATCH(BB283,DENOMINAZIONE,0),1),0)))</f>
        <v/>
      </c>
      <c r="EC283" s="259">
        <f>IF(IF(DG283&lt;&gt;"",REPLACE(DG283,3,1,""),0)&lt;&gt;0,MAX(EC$2:EC282)+1,0)</f>
        <v>0</v>
      </c>
      <c r="ED283" s="259">
        <f t="shared" ca="1" si="662"/>
        <v>0</v>
      </c>
      <c r="EL283" s="259">
        <f t="shared" si="670"/>
        <v>281</v>
      </c>
      <c r="EM283" s="259">
        <f ca="1">IF(AND(BA283&gt;0,BA283&lt;=$EM$1),MAX($EM$2:EM282)+1,0)</f>
        <v>0</v>
      </c>
      <c r="EN283" s="259">
        <f t="shared" ca="1" si="671"/>
        <v>283</v>
      </c>
      <c r="EP283" s="259" t="str">
        <f t="shared" ca="1" si="663"/>
        <v/>
      </c>
      <c r="EQ283" s="259">
        <f t="shared" ca="1" si="664"/>
        <v>0</v>
      </c>
      <c r="ER283" s="259">
        <f ca="1">IF(ISNA(EQ283),MAX(ER$2:ER282)+1,0)</f>
        <v>0</v>
      </c>
      <c r="ES283" s="259" t="str">
        <f t="shared" ca="1" si="672"/>
        <v/>
      </c>
      <c r="ET283" s="259" t="str">
        <f ca="1">IFERROR(UPPER(INDEX($ER$3:$ES$500,MATCH(ROWS(ET$3:ET283),$ER$3:$ER$500,0),2)),"")</f>
        <v/>
      </c>
      <c r="EW283" s="259">
        <f t="shared" ca="1" si="633"/>
        <v>1</v>
      </c>
      <c r="EX283" s="259">
        <v>181</v>
      </c>
      <c r="EY283" s="259">
        <f t="shared" ca="1" si="634"/>
        <v>0</v>
      </c>
      <c r="EZ283" s="259">
        <f t="shared" ca="1" si="635"/>
        <v>0</v>
      </c>
      <c r="FA283" s="259">
        <f t="shared" ca="1" si="636"/>
        <v>0</v>
      </c>
      <c r="FB283" s="259">
        <f t="shared" ca="1" si="637"/>
        <v>0</v>
      </c>
      <c r="FC283" s="259">
        <f t="shared" ca="1" si="638"/>
        <v>0</v>
      </c>
      <c r="FD283" s="259">
        <f t="shared" ca="1" si="665"/>
        <v>0</v>
      </c>
      <c r="FE283" s="259" t="str">
        <f t="shared" ca="1" si="666"/>
        <v/>
      </c>
      <c r="FF283" s="259" t="str">
        <f t="shared" ca="1" si="639"/>
        <v/>
      </c>
      <c r="FM283" s="259">
        <f t="shared" si="667"/>
        <v>0</v>
      </c>
      <c r="FN283" s="259">
        <f>IF(FM283&lt;0,MAX($FN$2:FN282)+1,0)</f>
        <v>0</v>
      </c>
      <c r="FO283" s="259" t="str">
        <f t="shared" si="673"/>
        <v/>
      </c>
      <c r="FP283" s="259" t="str">
        <f ca="1">IFERROR(INDEX($FN$3:$FO$400,MATCH(ROWS($FP$3:FP283),$FN$3:$FN$400,0),2),"")</f>
        <v/>
      </c>
      <c r="FQ283" s="259" t="str">
        <f>IF(AE283="SE AVERE",MAX($FQ$2:FQ282)+1,"")</f>
        <v/>
      </c>
      <c r="FR283" s="259" t="str">
        <f>IF(AE283="SE DARE",MAX($FR$2:FR282)+1,"")</f>
        <v/>
      </c>
      <c r="FS283" s="259" t="str">
        <f ca="1">IF(AND(AE283="SP DARE",AA283&lt;&gt;$FS$1,AA283&lt;&gt;$FT$1),MAX($FS$2:FS282)+1,IF(AND(GQ283="SP DARE",AA283&lt;&gt;$FS$1,AA283&lt;&gt;$FT$1),MAX($FS$2:FS282)+1,""))</f>
        <v/>
      </c>
      <c r="FT283" s="259" t="str">
        <f ca="1">IF(AND(AE283="SP AVERE",AA283&lt;&gt;$FU$1),MAX($FT$2:FT282)+1,IF(AND(GQ283="SP AVERE",AA283&lt;&gt;$FU$1),MAX($FT$2:FT282)+1,""))</f>
        <v/>
      </c>
      <c r="FU283" s="259">
        <f t="shared" ca="1" si="674"/>
        <v>0</v>
      </c>
      <c r="FV283" s="259">
        <f t="shared" si="675"/>
        <v>0</v>
      </c>
      <c r="FW283" s="259">
        <f ca="1">IFERROR(INDEX($FU$3:$FV$500,MATCH(ROWS($FW$3:FW283),$FU$3:$FU$500,0),2),0)</f>
        <v>0</v>
      </c>
      <c r="FX283" s="259">
        <f t="shared" ca="1" si="676"/>
        <v>0</v>
      </c>
      <c r="FY283" s="259">
        <f t="shared" ca="1" si="677"/>
        <v>0</v>
      </c>
      <c r="FZ283" s="259">
        <f ca="1">IF(FY283&gt;0,MAX($FZ$2:FZ282)+1,0)</f>
        <v>0</v>
      </c>
      <c r="GA283" s="259">
        <f ca="1">IFERROR(INDEX($FY$3:$FZ$500,MATCH(ROWS($GA$3:GA283),$FZ$3:$FZ$500,0),1),0)</f>
        <v>0</v>
      </c>
      <c r="GC283" s="259">
        <f t="shared" ca="1" si="678"/>
        <v>0</v>
      </c>
      <c r="GD283" s="259">
        <f t="shared" ca="1" si="679"/>
        <v>0</v>
      </c>
      <c r="GG283" s="259">
        <f t="shared" ca="1" si="680"/>
        <v>0</v>
      </c>
      <c r="GH283" s="259">
        <f t="shared" ca="1" si="681"/>
        <v>0</v>
      </c>
      <c r="GI283" s="259">
        <f t="shared" ca="1" si="682"/>
        <v>0</v>
      </c>
      <c r="GJ283" s="259">
        <f t="shared" ca="1" si="683"/>
        <v>0</v>
      </c>
      <c r="GK283" s="259">
        <f t="shared" ca="1" si="684"/>
        <v>0</v>
      </c>
      <c r="GL283" s="259">
        <f t="shared" ca="1" si="684"/>
        <v>0</v>
      </c>
      <c r="GM283" s="259">
        <f ca="1">IF(OR(GK283&gt;0,GL283&gt;0),MAX($GM$2:GM282)+1,0)</f>
        <v>0</v>
      </c>
      <c r="GN283" s="259" t="str">
        <f ca="1">IFERROR(INDEX($GD$3:$GM$400,MATCH(ROWS($GN$3:GN283),$GM$3:$GM$400,0),1),"")</f>
        <v/>
      </c>
      <c r="GO283" s="259" t="str">
        <f ca="1">IFERROR(INDEX($GD$3:$GM$400,MATCH(ROWS($GO$3:GO283),$GM$3:$GM$400,0),8),"")</f>
        <v/>
      </c>
      <c r="GP283" s="259" t="str">
        <f ca="1">IFERROR(INDEX($GD$3:$GM$400,MATCH(ROWS($GP$3:GP283),$GM$3:$GM$400,0),9),"")</f>
        <v/>
      </c>
      <c r="GQ283" s="259">
        <f t="shared" ca="1" si="668"/>
        <v>0</v>
      </c>
      <c r="GR283" s="259">
        <f t="shared" ca="1" si="685"/>
        <v>0</v>
      </c>
      <c r="GS283" s="259" t="str">
        <f t="shared" ca="1" si="686"/>
        <v/>
      </c>
      <c r="GT283" s="259" t="str">
        <f ca="1">IFERROR(INDEX($GD$3:$GS$400,MATCH(ROWS($GT$3:GT283),$GM$3:$GM$400,0),16),"")</f>
        <v/>
      </c>
      <c r="GU283" s="259">
        <f ca="1">IF(GQ283&lt;&gt;0,MAX($GU$2:$GU282)+1,0)</f>
        <v>0</v>
      </c>
      <c r="GV283" s="259">
        <f t="shared" ca="1" si="687"/>
        <v>0</v>
      </c>
      <c r="GW283" s="259" t="str">
        <f ca="1">IF(AND(IFERROR(INDEX($GU$3:$GV$400,MATCH(ROWS($GW$3:GW283),$GU$3:$GU$400,0),2),"")&lt;&gt;"",GW284&lt;&gt;""),CONCATENATE(IFERROR(INDEX($GU$3:$GV$400,MATCH(ROWS($GW$3:GW283),$GU$3:$GU$400,0),2),"")," - "),IFERROR(INDEX($GU$3:$GV$400,MATCH(ROWS($GW$3:GW283),$GU$3:$GU$400,0),2),""))</f>
        <v/>
      </c>
      <c r="GX283" s="259">
        <f ca="1">IF(OR(GN283="IVA NS/CREDITO",GN283="IVA NS/DEBITO",GN283="IVA C/ACCONTO",GN283="IMPOSTE C/ACCONTO"),MAX($GX$2:GX282)+1,0)</f>
        <v>0</v>
      </c>
      <c r="GY283" s="259" t="str">
        <f ca="1">IF(AND(IFERROR(INDEX($GN$3:$GX$200,MATCH(ROWS($GY$3:GY283),$GX$3:$GX$200,0),1),"")&lt;&gt;"",GY284&lt;&gt;""),CONCATENATE(IFERROR(INDEX($GN$3:$GX$200,MATCH(ROWS($GY$3:GY283),$GX$3:$GX$200,0),1),"")," - "),IFERROR(INDEX($GN$3:$GX$200,MATCH(ROWS($GY$3:GY283),$GX$3:$GX$200,0),1),""))</f>
        <v/>
      </c>
      <c r="JA283" s="259" t="str">
        <f t="shared" ca="1" si="688"/>
        <v/>
      </c>
      <c r="JB283" s="259">
        <f t="shared" ca="1" si="669"/>
        <v>0</v>
      </c>
      <c r="JC283" s="259">
        <f t="shared" ca="1" si="640"/>
        <v>0</v>
      </c>
      <c r="JD283" s="259">
        <f t="shared" ca="1" si="641"/>
        <v>0</v>
      </c>
      <c r="JM283" s="259">
        <f t="shared" ca="1" si="642"/>
        <v>0</v>
      </c>
    </row>
    <row r="284" spans="52:273">
      <c r="AZ284" s="259" t="str">
        <f t="shared" ca="1" si="689"/>
        <v/>
      </c>
      <c r="BA284" s="259">
        <f t="shared" ca="1" si="632"/>
        <v>0</v>
      </c>
      <c r="BB284" s="259">
        <f t="shared" ca="1" si="690"/>
        <v>0</v>
      </c>
      <c r="BC284" s="259">
        <f t="shared" ca="1" si="691"/>
        <v>0</v>
      </c>
      <c r="BD284" s="259">
        <f t="shared" ca="1" si="692"/>
        <v>0</v>
      </c>
      <c r="BE284" s="259">
        <f t="shared" ca="1" si="693"/>
        <v>0</v>
      </c>
      <c r="BQ284" s="259" t="str">
        <f ca="1">IFERROR(INDEX($BN$3:$BO$200,MATCH(ROWS(BQ$3:BQ284),$BP$3:$BP$220,0),1),"")</f>
        <v/>
      </c>
      <c r="CX284" s="259">
        <f t="shared" ca="1" si="696"/>
        <v>16</v>
      </c>
      <c r="CY284" s="259" t="str">
        <f t="shared" ca="1" si="694"/>
        <v>MASTRO</v>
      </c>
      <c r="CZ284" s="259" t="e">
        <f t="shared" ca="1" si="698"/>
        <v>#N/A</v>
      </c>
      <c r="DA284" s="259" t="str">
        <f t="shared" ca="1" si="703"/>
        <v/>
      </c>
      <c r="DB284" s="259" t="str">
        <f t="shared" ca="1" si="699"/>
        <v/>
      </c>
      <c r="DC284" s="259" t="str">
        <f t="shared" ca="1" si="700"/>
        <v/>
      </c>
      <c r="DD284" s="259" t="str">
        <f t="shared" ca="1" si="701"/>
        <v/>
      </c>
      <c r="DE284" s="259" t="str">
        <f t="shared" ca="1" si="702"/>
        <v/>
      </c>
      <c r="DF284" s="259">
        <f ca="1">IF(AND(CX284=$DE$2,$DF$2&lt;&gt;0),0,IF(AND(DB284&lt;&gt;"",OR(DB283&lt;&gt;"",DB285&lt;&gt;"")),MAX($DF$2:DF283)+1,0))</f>
        <v>0</v>
      </c>
      <c r="DG284" s="259" t="str">
        <f>IF(IF(LIBRO_GIORNALE!E192="","",IFERROR(INDEX(PIANO_DEI_CONTI,MATCH(BB284,DENOMINAZIONE,0),1),0))=0,"",IF(LIBRO_GIORNALE!E192="","",IFERROR(INDEX(PIANO_DEI_CONTI,MATCH(BB284,DENOMINAZIONE,0),1),0)))</f>
        <v/>
      </c>
      <c r="EC284" s="259">
        <f>IF(IF(DG284&lt;&gt;"",REPLACE(DG284,3,1,""),0)&lt;&gt;0,MAX(EC$2:EC283)+1,0)</f>
        <v>0</v>
      </c>
      <c r="ED284" s="259">
        <f t="shared" ca="1" si="662"/>
        <v>0</v>
      </c>
      <c r="EL284" s="259">
        <f t="shared" si="670"/>
        <v>282</v>
      </c>
      <c r="EM284" s="259">
        <f ca="1">IF(AND(BA284&gt;0,BA284&lt;=$EM$1),MAX($EM$2:EM283)+1,0)</f>
        <v>0</v>
      </c>
      <c r="EN284" s="259">
        <f t="shared" ca="1" si="671"/>
        <v>284</v>
      </c>
      <c r="EP284" s="259" t="str">
        <f t="shared" ca="1" si="663"/>
        <v/>
      </c>
      <c r="EQ284" s="259">
        <f t="shared" ca="1" si="664"/>
        <v>0</v>
      </c>
      <c r="ER284" s="259">
        <f ca="1">IF(ISNA(EQ284),MAX(ER$2:ER283)+1,0)</f>
        <v>0</v>
      </c>
      <c r="ES284" s="259" t="str">
        <f t="shared" ca="1" si="672"/>
        <v/>
      </c>
      <c r="ET284" s="259" t="str">
        <f ca="1">IFERROR(UPPER(INDEX($ER$3:$ES$500,MATCH(ROWS(ET$3:ET284),$ER$3:$ER$500,0),2)),"")</f>
        <v/>
      </c>
      <c r="EW284" s="259">
        <f t="shared" ca="1" si="633"/>
        <v>1</v>
      </c>
      <c r="EX284" s="259">
        <v>182</v>
      </c>
      <c r="EY284" s="259">
        <f t="shared" ca="1" si="634"/>
        <v>0</v>
      </c>
      <c r="EZ284" s="259">
        <f t="shared" ca="1" si="635"/>
        <v>0</v>
      </c>
      <c r="FA284" s="259">
        <f t="shared" ca="1" si="636"/>
        <v>0</v>
      </c>
      <c r="FB284" s="259">
        <f t="shared" ca="1" si="637"/>
        <v>0</v>
      </c>
      <c r="FC284" s="259">
        <f t="shared" ca="1" si="638"/>
        <v>0</v>
      </c>
      <c r="FD284" s="259">
        <f t="shared" ca="1" si="665"/>
        <v>0</v>
      </c>
      <c r="FE284" s="259" t="str">
        <f t="shared" ca="1" si="666"/>
        <v/>
      </c>
      <c r="FF284" s="259" t="str">
        <f t="shared" ca="1" si="639"/>
        <v/>
      </c>
      <c r="FM284" s="259">
        <f t="shared" si="667"/>
        <v>0</v>
      </c>
      <c r="FN284" s="259">
        <f>IF(FM284&lt;0,MAX($FN$2:FN283)+1,0)</f>
        <v>0</v>
      </c>
      <c r="FO284" s="259" t="str">
        <f t="shared" si="673"/>
        <v/>
      </c>
      <c r="FP284" s="259" t="str">
        <f ca="1">IFERROR(INDEX($FN$3:$FO$400,MATCH(ROWS($FP$3:FP284),$FN$3:$FN$400,0),2),"")</f>
        <v/>
      </c>
      <c r="FQ284" s="259" t="str">
        <f>IF(AE284="SE AVERE",MAX($FQ$2:FQ283)+1,"")</f>
        <v/>
      </c>
      <c r="FR284" s="259" t="str">
        <f>IF(AE284="SE DARE",MAX($FR$2:FR283)+1,"")</f>
        <v/>
      </c>
      <c r="FS284" s="259" t="str">
        <f ca="1">IF(AND(AE284="SP DARE",AA284&lt;&gt;$FS$1,AA284&lt;&gt;$FT$1),MAX($FS$2:FS283)+1,IF(AND(GQ284="SP DARE",AA284&lt;&gt;$FS$1,AA284&lt;&gt;$FT$1),MAX($FS$2:FS283)+1,""))</f>
        <v/>
      </c>
      <c r="FT284" s="259" t="str">
        <f ca="1">IF(AND(AE284="SP AVERE",AA284&lt;&gt;$FU$1),MAX($FT$2:FT283)+1,IF(AND(GQ284="SP AVERE",AA284&lt;&gt;$FU$1),MAX($FT$2:FT283)+1,""))</f>
        <v/>
      </c>
      <c r="FU284" s="259">
        <f t="shared" ca="1" si="674"/>
        <v>0</v>
      </c>
      <c r="FV284" s="259">
        <f t="shared" si="675"/>
        <v>0</v>
      </c>
      <c r="FW284" s="259">
        <f ca="1">IFERROR(INDEX($FU$3:$FV$500,MATCH(ROWS($FW$3:FW284),$FU$3:$FU$500,0),2),0)</f>
        <v>0</v>
      </c>
      <c r="FX284" s="259">
        <f t="shared" ca="1" si="676"/>
        <v>0</v>
      </c>
      <c r="FY284" s="259">
        <f t="shared" ca="1" si="677"/>
        <v>0</v>
      </c>
      <c r="FZ284" s="259">
        <f ca="1">IF(FY284&gt;0,MAX($FZ$2:FZ283)+1,0)</f>
        <v>0</v>
      </c>
      <c r="GA284" s="259">
        <f ca="1">IFERROR(INDEX($FY$3:$FZ$500,MATCH(ROWS($GA$3:GA284),$FZ$3:$FZ$500,0),1),0)</f>
        <v>0</v>
      </c>
      <c r="GC284" s="259">
        <f t="shared" ca="1" si="678"/>
        <v>0</v>
      </c>
      <c r="GD284" s="259">
        <f t="shared" ca="1" si="679"/>
        <v>0</v>
      </c>
      <c r="GG284" s="259">
        <f t="shared" ca="1" si="680"/>
        <v>0</v>
      </c>
      <c r="GH284" s="259">
        <f t="shared" ca="1" si="681"/>
        <v>0</v>
      </c>
      <c r="GI284" s="259">
        <f t="shared" ca="1" si="682"/>
        <v>0</v>
      </c>
      <c r="GJ284" s="259">
        <f t="shared" ca="1" si="683"/>
        <v>0</v>
      </c>
      <c r="GK284" s="259">
        <f t="shared" ca="1" si="684"/>
        <v>0</v>
      </c>
      <c r="GL284" s="259">
        <f t="shared" ca="1" si="684"/>
        <v>0</v>
      </c>
      <c r="GM284" s="259">
        <f ca="1">IF(OR(GK284&gt;0,GL284&gt;0),MAX($GM$2:GM283)+1,0)</f>
        <v>0</v>
      </c>
      <c r="GN284" s="259" t="str">
        <f ca="1">IFERROR(INDEX($GD$3:$GM$400,MATCH(ROWS($GN$3:GN284),$GM$3:$GM$400,0),1),"")</f>
        <v/>
      </c>
      <c r="GO284" s="259" t="str">
        <f ca="1">IFERROR(INDEX($GD$3:$GM$400,MATCH(ROWS($GO$3:GO284),$GM$3:$GM$400,0),8),"")</f>
        <v/>
      </c>
      <c r="GP284" s="259" t="str">
        <f ca="1">IFERROR(INDEX($GD$3:$GM$400,MATCH(ROWS($GP$3:GP284),$GM$3:$GM$400,0),9),"")</f>
        <v/>
      </c>
      <c r="GQ284" s="259">
        <f t="shared" ca="1" si="668"/>
        <v>0</v>
      </c>
      <c r="GR284" s="259">
        <f t="shared" ca="1" si="685"/>
        <v>0</v>
      </c>
      <c r="GS284" s="259" t="str">
        <f t="shared" ca="1" si="686"/>
        <v/>
      </c>
      <c r="GT284" s="259" t="str">
        <f ca="1">IFERROR(INDEX($GD$3:$GS$400,MATCH(ROWS($GT$3:GT284),$GM$3:$GM$400,0),16),"")</f>
        <v/>
      </c>
      <c r="GU284" s="259">
        <f ca="1">IF(GQ284&lt;&gt;0,MAX($GU$2:$GU283)+1,0)</f>
        <v>0</v>
      </c>
      <c r="GV284" s="259">
        <f t="shared" ca="1" si="687"/>
        <v>0</v>
      </c>
      <c r="GW284" s="259" t="str">
        <f ca="1">IF(AND(IFERROR(INDEX($GU$3:$GV$400,MATCH(ROWS($GW$3:GW284),$GU$3:$GU$400,0),2),"")&lt;&gt;"",GW285&lt;&gt;""),CONCATENATE(IFERROR(INDEX($GU$3:$GV$400,MATCH(ROWS($GW$3:GW284),$GU$3:$GU$400,0),2),"")," - "),IFERROR(INDEX($GU$3:$GV$400,MATCH(ROWS($GW$3:GW284),$GU$3:$GU$400,0),2),""))</f>
        <v/>
      </c>
      <c r="GX284" s="259">
        <f ca="1">IF(OR(GN284="IVA NS/CREDITO",GN284="IVA NS/DEBITO",GN284="IVA C/ACCONTO",GN284="IMPOSTE C/ACCONTO"),MAX($GX$2:GX283)+1,0)</f>
        <v>0</v>
      </c>
      <c r="GY284" s="259" t="str">
        <f ca="1">IF(AND(IFERROR(INDEX($GN$3:$GX$200,MATCH(ROWS($GY$3:GY284),$GX$3:$GX$200,0),1),"")&lt;&gt;"",GY285&lt;&gt;""),CONCATENATE(IFERROR(INDEX($GN$3:$GX$200,MATCH(ROWS($GY$3:GY284),$GX$3:$GX$200,0),1),"")," - "),IFERROR(INDEX($GN$3:$GX$200,MATCH(ROWS($GY$3:GY284),$GX$3:$GX$200,0),1),""))</f>
        <v/>
      </c>
      <c r="JA284" s="259" t="str">
        <f t="shared" ca="1" si="688"/>
        <v/>
      </c>
      <c r="JB284" s="259">
        <f t="shared" ca="1" si="669"/>
        <v>0</v>
      </c>
      <c r="JC284" s="259">
        <f t="shared" ca="1" si="640"/>
        <v>0</v>
      </c>
      <c r="JD284" s="259">
        <f t="shared" ca="1" si="641"/>
        <v>0</v>
      </c>
      <c r="JM284" s="259">
        <f t="shared" ca="1" si="642"/>
        <v>0</v>
      </c>
    </row>
    <row r="285" spans="52:273">
      <c r="AZ285" s="259" t="str">
        <f t="shared" ca="1" si="689"/>
        <v/>
      </c>
      <c r="BA285" s="259">
        <f t="shared" ca="1" si="632"/>
        <v>0</v>
      </c>
      <c r="BB285" s="259">
        <f t="shared" ca="1" si="690"/>
        <v>0</v>
      </c>
      <c r="BC285" s="259">
        <f t="shared" ca="1" si="691"/>
        <v>0</v>
      </c>
      <c r="BD285" s="259">
        <f t="shared" ca="1" si="692"/>
        <v>0</v>
      </c>
      <c r="BE285" s="259">
        <f t="shared" ca="1" si="693"/>
        <v>0</v>
      </c>
      <c r="BQ285" s="259" t="str">
        <f ca="1">IFERROR(INDEX($BN$3:$BO$200,MATCH(ROWS(BQ$3:BQ285),$BP$3:$BP$220,0),1),"")</f>
        <v/>
      </c>
      <c r="CX285" s="259">
        <f t="shared" ca="1" si="696"/>
        <v>16</v>
      </c>
      <c r="CY285" s="259" t="str">
        <f t="shared" ca="1" si="694"/>
        <v>MASTRO</v>
      </c>
      <c r="CZ285" s="259" t="e">
        <f t="shared" ca="1" si="698"/>
        <v>#N/A</v>
      </c>
      <c r="DA285" s="259" t="str">
        <f t="shared" ca="1" si="703"/>
        <v/>
      </c>
      <c r="DB285" s="259" t="str">
        <f t="shared" ca="1" si="699"/>
        <v/>
      </c>
      <c r="DC285" s="259" t="str">
        <f t="shared" ca="1" si="700"/>
        <v/>
      </c>
      <c r="DD285" s="259" t="str">
        <f t="shared" ca="1" si="701"/>
        <v/>
      </c>
      <c r="DE285" s="259" t="str">
        <f t="shared" ca="1" si="702"/>
        <v/>
      </c>
      <c r="DF285" s="259">
        <f ca="1">IF(AND(CX285=$DE$2,$DF$2&lt;&gt;0),0,IF(AND(DB285&lt;&gt;"",OR(DB284&lt;&gt;"",DB286&lt;&gt;"")),MAX($DF$2:DF284)+1,0))</f>
        <v>0</v>
      </c>
      <c r="DG285" s="259" t="str">
        <f>IF(IF(LIBRO_GIORNALE!E193="","",IFERROR(INDEX(PIANO_DEI_CONTI,MATCH(BB285,DENOMINAZIONE,0),1),0))=0,"",IF(LIBRO_GIORNALE!E193="","",IFERROR(INDEX(PIANO_DEI_CONTI,MATCH(BB285,DENOMINAZIONE,0),1),0)))</f>
        <v/>
      </c>
      <c r="EC285" s="259">
        <f>IF(IF(DG285&lt;&gt;"",REPLACE(DG285,3,1,""),0)&lt;&gt;0,MAX(EC$2:EC284)+1,0)</f>
        <v>0</v>
      </c>
      <c r="ED285" s="259">
        <f t="shared" ca="1" si="662"/>
        <v>0</v>
      </c>
      <c r="EL285" s="259">
        <f t="shared" si="670"/>
        <v>283</v>
      </c>
      <c r="EM285" s="259">
        <f ca="1">IF(AND(BA285&gt;0,BA285&lt;=$EM$1),MAX($EM$2:EM284)+1,0)</f>
        <v>0</v>
      </c>
      <c r="EN285" s="259">
        <f t="shared" ca="1" si="671"/>
        <v>285</v>
      </c>
      <c r="EP285" s="259" t="str">
        <f t="shared" ca="1" si="663"/>
        <v/>
      </c>
      <c r="EQ285" s="259">
        <f t="shared" ca="1" si="664"/>
        <v>0</v>
      </c>
      <c r="ER285" s="259">
        <f ca="1">IF(ISNA(EQ285),MAX(ER$2:ER284)+1,0)</f>
        <v>0</v>
      </c>
      <c r="ES285" s="259" t="str">
        <f t="shared" ca="1" si="672"/>
        <v/>
      </c>
      <c r="ET285" s="259" t="str">
        <f ca="1">IFERROR(UPPER(INDEX($ER$3:$ES$500,MATCH(ROWS(ET$3:ET285),$ER$3:$ER$500,0),2)),"")</f>
        <v/>
      </c>
      <c r="EW285" s="259">
        <f t="shared" ca="1" si="633"/>
        <v>1</v>
      </c>
      <c r="EX285" s="259">
        <v>183</v>
      </c>
      <c r="EY285" s="259">
        <f t="shared" ca="1" si="634"/>
        <v>0</v>
      </c>
      <c r="EZ285" s="259">
        <f t="shared" ca="1" si="635"/>
        <v>0</v>
      </c>
      <c r="FA285" s="259">
        <f t="shared" ca="1" si="636"/>
        <v>0</v>
      </c>
      <c r="FB285" s="259">
        <f t="shared" ca="1" si="637"/>
        <v>0</v>
      </c>
      <c r="FC285" s="259">
        <f t="shared" ca="1" si="638"/>
        <v>0</v>
      </c>
      <c r="FD285" s="259">
        <f t="shared" ca="1" si="665"/>
        <v>0</v>
      </c>
      <c r="FE285" s="259" t="str">
        <f t="shared" ca="1" si="666"/>
        <v/>
      </c>
      <c r="FF285" s="259" t="str">
        <f t="shared" ca="1" si="639"/>
        <v/>
      </c>
      <c r="FM285" s="259">
        <f t="shared" si="667"/>
        <v>0</v>
      </c>
      <c r="FN285" s="259">
        <f>IF(FM285&lt;0,MAX($FN$2:FN284)+1,0)</f>
        <v>0</v>
      </c>
      <c r="FO285" s="259" t="str">
        <f t="shared" si="673"/>
        <v/>
      </c>
      <c r="FP285" s="259" t="str">
        <f ca="1">IFERROR(INDEX($FN$3:$FO$400,MATCH(ROWS($FP$3:FP285),$FN$3:$FN$400,0),2),"")</f>
        <v/>
      </c>
      <c r="FQ285" s="259" t="str">
        <f>IF(AE285="SE AVERE",MAX($FQ$2:FQ284)+1,"")</f>
        <v/>
      </c>
      <c r="FR285" s="259" t="str">
        <f>IF(AE285="SE DARE",MAX($FR$2:FR284)+1,"")</f>
        <v/>
      </c>
      <c r="FS285" s="259" t="str">
        <f ca="1">IF(AND(AE285="SP DARE",AA285&lt;&gt;$FS$1,AA285&lt;&gt;$FT$1),MAX($FS$2:FS284)+1,IF(AND(GQ285="SP DARE",AA285&lt;&gt;$FS$1,AA285&lt;&gt;$FT$1),MAX($FS$2:FS284)+1,""))</f>
        <v/>
      </c>
      <c r="FT285" s="259" t="str">
        <f ca="1">IF(AND(AE285="SP AVERE",AA285&lt;&gt;$FU$1),MAX($FT$2:FT284)+1,IF(AND(GQ285="SP AVERE",AA285&lt;&gt;$FU$1),MAX($FT$2:FT284)+1,""))</f>
        <v/>
      </c>
      <c r="FU285" s="259">
        <f t="shared" ca="1" si="674"/>
        <v>0</v>
      </c>
      <c r="FV285" s="259">
        <f t="shared" si="675"/>
        <v>0</v>
      </c>
      <c r="FW285" s="259">
        <f ca="1">IFERROR(INDEX($FU$3:$FV$500,MATCH(ROWS($FW$3:FW285),$FU$3:$FU$500,0),2),0)</f>
        <v>0</v>
      </c>
      <c r="FX285" s="259">
        <f t="shared" ca="1" si="676"/>
        <v>0</v>
      </c>
      <c r="FY285" s="259">
        <f t="shared" ca="1" si="677"/>
        <v>0</v>
      </c>
      <c r="FZ285" s="259">
        <f ca="1">IF(FY285&gt;0,MAX($FZ$2:FZ284)+1,0)</f>
        <v>0</v>
      </c>
      <c r="GA285" s="259">
        <f ca="1">IFERROR(INDEX($FY$3:$FZ$500,MATCH(ROWS($GA$3:GA285),$FZ$3:$FZ$500,0),1),0)</f>
        <v>0</v>
      </c>
      <c r="GC285" s="259">
        <f t="shared" ca="1" si="678"/>
        <v>0</v>
      </c>
      <c r="GD285" s="259">
        <f t="shared" ca="1" si="679"/>
        <v>0</v>
      </c>
      <c r="GG285" s="259">
        <f t="shared" ca="1" si="680"/>
        <v>0</v>
      </c>
      <c r="GH285" s="259">
        <f t="shared" ca="1" si="681"/>
        <v>0</v>
      </c>
      <c r="GI285" s="259">
        <f t="shared" ca="1" si="682"/>
        <v>0</v>
      </c>
      <c r="GJ285" s="259">
        <f t="shared" ca="1" si="683"/>
        <v>0</v>
      </c>
      <c r="GK285" s="259">
        <f t="shared" ca="1" si="684"/>
        <v>0</v>
      </c>
      <c r="GL285" s="259">
        <f t="shared" ca="1" si="684"/>
        <v>0</v>
      </c>
      <c r="GM285" s="259">
        <f ca="1">IF(OR(GK285&gt;0,GL285&gt;0),MAX($GM$2:GM284)+1,0)</f>
        <v>0</v>
      </c>
      <c r="GN285" s="259" t="str">
        <f ca="1">IFERROR(INDEX($GD$3:$GM$400,MATCH(ROWS($GN$3:GN285),$GM$3:$GM$400,0),1),"")</f>
        <v/>
      </c>
      <c r="GO285" s="259" t="str">
        <f ca="1">IFERROR(INDEX($GD$3:$GM$400,MATCH(ROWS($GO$3:GO285),$GM$3:$GM$400,0),8),"")</f>
        <v/>
      </c>
      <c r="GP285" s="259" t="str">
        <f ca="1">IFERROR(INDEX($GD$3:$GM$400,MATCH(ROWS($GP$3:GP285),$GM$3:$GM$400,0),9),"")</f>
        <v/>
      </c>
      <c r="GQ285" s="259">
        <f t="shared" ca="1" si="668"/>
        <v>0</v>
      </c>
      <c r="GR285" s="259">
        <f t="shared" ca="1" si="685"/>
        <v>0</v>
      </c>
      <c r="GS285" s="259" t="str">
        <f t="shared" ca="1" si="686"/>
        <v/>
      </c>
      <c r="GT285" s="259" t="str">
        <f ca="1">IFERROR(INDEX($GD$3:$GS$400,MATCH(ROWS($GT$3:GT285),$GM$3:$GM$400,0),16),"")</f>
        <v/>
      </c>
      <c r="GU285" s="259">
        <f ca="1">IF(GQ285&lt;&gt;0,MAX($GU$2:$GU284)+1,0)</f>
        <v>0</v>
      </c>
      <c r="GV285" s="259">
        <f t="shared" ca="1" si="687"/>
        <v>0</v>
      </c>
      <c r="GW285" s="259" t="str">
        <f ca="1">IF(AND(IFERROR(INDEX($GU$3:$GV$400,MATCH(ROWS($GW$3:GW285),$GU$3:$GU$400,0),2),"")&lt;&gt;"",GW286&lt;&gt;""),CONCATENATE(IFERROR(INDEX($GU$3:$GV$400,MATCH(ROWS($GW$3:GW285),$GU$3:$GU$400,0),2),"")," - "),IFERROR(INDEX($GU$3:$GV$400,MATCH(ROWS($GW$3:GW285),$GU$3:$GU$400,0),2),""))</f>
        <v/>
      </c>
      <c r="GX285" s="259">
        <f ca="1">IF(OR(GN285="IVA NS/CREDITO",GN285="IVA NS/DEBITO",GN285="IVA C/ACCONTO",GN285="IMPOSTE C/ACCONTO"),MAX($GX$2:GX284)+1,0)</f>
        <v>0</v>
      </c>
      <c r="GY285" s="259" t="str">
        <f ca="1">IF(AND(IFERROR(INDEX($GN$3:$GX$200,MATCH(ROWS($GY$3:GY285),$GX$3:$GX$200,0),1),"")&lt;&gt;"",GY286&lt;&gt;""),CONCATENATE(IFERROR(INDEX($GN$3:$GX$200,MATCH(ROWS($GY$3:GY285),$GX$3:$GX$200,0),1),"")," - "),IFERROR(INDEX($GN$3:$GX$200,MATCH(ROWS($GY$3:GY285),$GX$3:$GX$200,0),1),""))</f>
        <v/>
      </c>
      <c r="JA285" s="259" t="str">
        <f t="shared" ca="1" si="688"/>
        <v/>
      </c>
      <c r="JB285" s="259">
        <f t="shared" ca="1" si="669"/>
        <v>0</v>
      </c>
      <c r="JC285" s="259">
        <f t="shared" ca="1" si="640"/>
        <v>0</v>
      </c>
      <c r="JD285" s="259">
        <f t="shared" ca="1" si="641"/>
        <v>0</v>
      </c>
      <c r="JM285" s="259">
        <f t="shared" ca="1" si="642"/>
        <v>0</v>
      </c>
    </row>
    <row r="286" spans="52:273">
      <c r="AZ286" s="259" t="str">
        <f t="shared" ca="1" si="689"/>
        <v/>
      </c>
      <c r="BA286" s="259">
        <f t="shared" ca="1" si="632"/>
        <v>0</v>
      </c>
      <c r="BB286" s="259">
        <f t="shared" ca="1" si="690"/>
        <v>0</v>
      </c>
      <c r="BC286" s="259">
        <f t="shared" ca="1" si="691"/>
        <v>0</v>
      </c>
      <c r="BD286" s="259">
        <f t="shared" ca="1" si="692"/>
        <v>0</v>
      </c>
      <c r="BE286" s="259">
        <f t="shared" ca="1" si="693"/>
        <v>0</v>
      </c>
      <c r="BQ286" s="259" t="str">
        <f ca="1">IFERROR(INDEX($BN$3:$BO$200,MATCH(ROWS(BQ$3:BQ286),$BP$3:$BP$220,0),1),"")</f>
        <v/>
      </c>
      <c r="CX286" s="259">
        <f t="shared" ca="1" si="696"/>
        <v>16</v>
      </c>
      <c r="CY286" s="259" t="str">
        <f t="shared" ca="1" si="694"/>
        <v>MASTRO</v>
      </c>
      <c r="CZ286" s="259" t="e">
        <f t="shared" ca="1" si="698"/>
        <v>#N/A</v>
      </c>
      <c r="DA286" s="259" t="str">
        <f t="shared" ca="1" si="703"/>
        <v/>
      </c>
      <c r="DB286" s="259" t="str">
        <f t="shared" ca="1" si="699"/>
        <v/>
      </c>
      <c r="DC286" s="259" t="str">
        <f t="shared" ca="1" si="700"/>
        <v/>
      </c>
      <c r="DD286" s="259" t="str">
        <f t="shared" ca="1" si="701"/>
        <v/>
      </c>
      <c r="DE286" s="259" t="str">
        <f t="shared" ca="1" si="702"/>
        <v/>
      </c>
      <c r="DF286" s="259">
        <f ca="1">IF(AND(CX286=$DE$2,$DF$2&lt;&gt;0),0,IF(AND(DB286&lt;&gt;"",OR(DB285&lt;&gt;"",DB287&lt;&gt;"")),MAX($DF$2:DF285)+1,0))</f>
        <v>0</v>
      </c>
      <c r="DG286" s="259" t="str">
        <f>IF(IF(LIBRO_GIORNALE!E194="","",IFERROR(INDEX(PIANO_DEI_CONTI,MATCH(BB286,DENOMINAZIONE,0),1),0))=0,"",IF(LIBRO_GIORNALE!E194="","",IFERROR(INDEX(PIANO_DEI_CONTI,MATCH(BB286,DENOMINAZIONE,0),1),0)))</f>
        <v/>
      </c>
      <c r="EC286" s="259">
        <f>IF(IF(DG286&lt;&gt;"",REPLACE(DG286,3,1,""),0)&lt;&gt;0,MAX(EC$2:EC285)+1,0)</f>
        <v>0</v>
      </c>
      <c r="ED286" s="259">
        <f t="shared" ca="1" si="662"/>
        <v>0</v>
      </c>
      <c r="EL286" s="259">
        <f t="shared" si="670"/>
        <v>284</v>
      </c>
      <c r="EM286" s="259">
        <f ca="1">IF(AND(BA286&gt;0,BA286&lt;=$EM$1),MAX($EM$2:EM285)+1,0)</f>
        <v>0</v>
      </c>
      <c r="EN286" s="259">
        <f t="shared" ca="1" si="671"/>
        <v>286</v>
      </c>
      <c r="EP286" s="259" t="str">
        <f t="shared" ca="1" si="663"/>
        <v/>
      </c>
      <c r="EQ286" s="259">
        <f t="shared" ca="1" si="664"/>
        <v>0</v>
      </c>
      <c r="ER286" s="259">
        <f ca="1">IF(ISNA(EQ286),MAX(ER$2:ER285)+1,0)</f>
        <v>0</v>
      </c>
      <c r="ES286" s="259" t="str">
        <f t="shared" ca="1" si="672"/>
        <v/>
      </c>
      <c r="ET286" s="259" t="str">
        <f ca="1">IFERROR(UPPER(INDEX($ER$3:$ES$500,MATCH(ROWS(ET$3:ET286),$ER$3:$ER$500,0),2)),"")</f>
        <v/>
      </c>
      <c r="EW286" s="259">
        <f t="shared" ca="1" si="633"/>
        <v>1</v>
      </c>
      <c r="EX286" s="259">
        <v>184</v>
      </c>
      <c r="EY286" s="259">
        <f t="shared" ca="1" si="634"/>
        <v>0</v>
      </c>
      <c r="EZ286" s="259">
        <f t="shared" ca="1" si="635"/>
        <v>0</v>
      </c>
      <c r="FA286" s="259">
        <f t="shared" ca="1" si="636"/>
        <v>0</v>
      </c>
      <c r="FB286" s="259">
        <f t="shared" ca="1" si="637"/>
        <v>0</v>
      </c>
      <c r="FC286" s="259">
        <f t="shared" ca="1" si="638"/>
        <v>0</v>
      </c>
      <c r="FD286" s="259">
        <f t="shared" ca="1" si="665"/>
        <v>0</v>
      </c>
      <c r="FE286" s="259" t="str">
        <f t="shared" ca="1" si="666"/>
        <v/>
      </c>
      <c r="FF286" s="259" t="str">
        <f t="shared" ca="1" si="639"/>
        <v/>
      </c>
      <c r="FM286" s="259">
        <f t="shared" si="667"/>
        <v>0</v>
      </c>
      <c r="FN286" s="259">
        <f>IF(FM286&lt;0,MAX($FN$2:FN285)+1,0)</f>
        <v>0</v>
      </c>
      <c r="FO286" s="259" t="str">
        <f t="shared" si="673"/>
        <v/>
      </c>
      <c r="FP286" s="259" t="str">
        <f ca="1">IFERROR(INDEX($FN$3:$FO$400,MATCH(ROWS($FP$3:FP286),$FN$3:$FN$400,0),2),"")</f>
        <v/>
      </c>
      <c r="FQ286" s="259" t="str">
        <f>IF(AE286="SE AVERE",MAX($FQ$2:FQ285)+1,"")</f>
        <v/>
      </c>
      <c r="FR286" s="259" t="str">
        <f>IF(AE286="SE DARE",MAX($FR$2:FR285)+1,"")</f>
        <v/>
      </c>
      <c r="FS286" s="259" t="str">
        <f ca="1">IF(AND(AE286="SP DARE",AA286&lt;&gt;$FS$1,AA286&lt;&gt;$FT$1),MAX($FS$2:FS285)+1,IF(AND(GQ286="SP DARE",AA286&lt;&gt;$FS$1,AA286&lt;&gt;$FT$1),MAX($FS$2:FS285)+1,""))</f>
        <v/>
      </c>
      <c r="FT286" s="259" t="str">
        <f ca="1">IF(AND(AE286="SP AVERE",AA286&lt;&gt;$FU$1),MAX($FT$2:FT285)+1,IF(AND(GQ286="SP AVERE",AA286&lt;&gt;$FU$1),MAX($FT$2:FT285)+1,""))</f>
        <v/>
      </c>
      <c r="FU286" s="259">
        <f t="shared" ca="1" si="674"/>
        <v>0</v>
      </c>
      <c r="FV286" s="259">
        <f t="shared" si="675"/>
        <v>0</v>
      </c>
      <c r="FW286" s="259">
        <f ca="1">IFERROR(INDEX($FU$3:$FV$500,MATCH(ROWS($FW$3:FW286),$FU$3:$FU$500,0),2),0)</f>
        <v>0</v>
      </c>
      <c r="FX286" s="259">
        <f t="shared" ca="1" si="676"/>
        <v>0</v>
      </c>
      <c r="FY286" s="259">
        <f t="shared" ca="1" si="677"/>
        <v>0</v>
      </c>
      <c r="FZ286" s="259">
        <f ca="1">IF(FY286&gt;0,MAX($FZ$2:FZ285)+1,0)</f>
        <v>0</v>
      </c>
      <c r="GA286" s="259">
        <f ca="1">IFERROR(INDEX($FY$3:$FZ$500,MATCH(ROWS($GA$3:GA286),$FZ$3:$FZ$500,0),1),0)</f>
        <v>0</v>
      </c>
      <c r="GC286" s="259">
        <f t="shared" ca="1" si="678"/>
        <v>0</v>
      </c>
      <c r="GD286" s="259">
        <f t="shared" ca="1" si="679"/>
        <v>0</v>
      </c>
      <c r="GG286" s="259">
        <f t="shared" ca="1" si="680"/>
        <v>0</v>
      </c>
      <c r="GH286" s="259">
        <f t="shared" ca="1" si="681"/>
        <v>0</v>
      </c>
      <c r="GI286" s="259">
        <f t="shared" ca="1" si="682"/>
        <v>0</v>
      </c>
      <c r="GJ286" s="259">
        <f t="shared" ca="1" si="683"/>
        <v>0</v>
      </c>
      <c r="GK286" s="259">
        <f t="shared" ca="1" si="684"/>
        <v>0</v>
      </c>
      <c r="GL286" s="259">
        <f t="shared" ca="1" si="684"/>
        <v>0</v>
      </c>
      <c r="GM286" s="259">
        <f ca="1">IF(OR(GK286&gt;0,GL286&gt;0),MAX($GM$2:GM285)+1,0)</f>
        <v>0</v>
      </c>
      <c r="GN286" s="259" t="str">
        <f ca="1">IFERROR(INDEX($GD$3:$GM$400,MATCH(ROWS($GN$3:GN286),$GM$3:$GM$400,0),1),"")</f>
        <v/>
      </c>
      <c r="GO286" s="259" t="str">
        <f ca="1">IFERROR(INDEX($GD$3:$GM$400,MATCH(ROWS($GO$3:GO286),$GM$3:$GM$400,0),8),"")</f>
        <v/>
      </c>
      <c r="GP286" s="259" t="str">
        <f ca="1">IFERROR(INDEX($GD$3:$GM$400,MATCH(ROWS($GP$3:GP286),$GM$3:$GM$400,0),9),"")</f>
        <v/>
      </c>
      <c r="GQ286" s="259">
        <f t="shared" ca="1" si="668"/>
        <v>0</v>
      </c>
      <c r="GR286" s="259">
        <f t="shared" ca="1" si="685"/>
        <v>0</v>
      </c>
      <c r="GS286" s="259" t="str">
        <f t="shared" ca="1" si="686"/>
        <v/>
      </c>
      <c r="GT286" s="259" t="str">
        <f ca="1">IFERROR(INDEX($GD$3:$GS$400,MATCH(ROWS($GT$3:GT286),$GM$3:$GM$400,0),16),"")</f>
        <v/>
      </c>
      <c r="GU286" s="259">
        <f ca="1">IF(GQ286&lt;&gt;0,MAX($GU$2:$GU285)+1,0)</f>
        <v>0</v>
      </c>
      <c r="GV286" s="259">
        <f t="shared" ca="1" si="687"/>
        <v>0</v>
      </c>
      <c r="GW286" s="259" t="str">
        <f ca="1">IF(AND(IFERROR(INDEX($GU$3:$GV$400,MATCH(ROWS($GW$3:GW286),$GU$3:$GU$400,0),2),"")&lt;&gt;"",GW287&lt;&gt;""),CONCATENATE(IFERROR(INDEX($GU$3:$GV$400,MATCH(ROWS($GW$3:GW286),$GU$3:$GU$400,0),2),"")," - "),IFERROR(INDEX($GU$3:$GV$400,MATCH(ROWS($GW$3:GW286),$GU$3:$GU$400,0),2),""))</f>
        <v/>
      </c>
      <c r="GX286" s="259">
        <f ca="1">IF(OR(GN286="IVA NS/CREDITO",GN286="IVA NS/DEBITO",GN286="IVA C/ACCONTO",GN286="IMPOSTE C/ACCONTO"),MAX($GX$2:GX285)+1,0)</f>
        <v>0</v>
      </c>
      <c r="GY286" s="259" t="str">
        <f ca="1">IF(AND(IFERROR(INDEX($GN$3:$GX$200,MATCH(ROWS($GY$3:GY286),$GX$3:$GX$200,0),1),"")&lt;&gt;"",GY287&lt;&gt;""),CONCATENATE(IFERROR(INDEX($GN$3:$GX$200,MATCH(ROWS($GY$3:GY286),$GX$3:$GX$200,0),1),"")," - "),IFERROR(INDEX($GN$3:$GX$200,MATCH(ROWS($GY$3:GY286),$GX$3:$GX$200,0),1),""))</f>
        <v/>
      </c>
      <c r="JA286" s="259" t="str">
        <f t="shared" ca="1" si="688"/>
        <v/>
      </c>
      <c r="JB286" s="259">
        <f t="shared" ca="1" si="669"/>
        <v>0</v>
      </c>
      <c r="JC286" s="259">
        <f t="shared" ca="1" si="640"/>
        <v>0</v>
      </c>
      <c r="JD286" s="259">
        <f t="shared" ca="1" si="641"/>
        <v>0</v>
      </c>
      <c r="JM286" s="259">
        <f t="shared" ca="1" si="642"/>
        <v>0</v>
      </c>
    </row>
    <row r="287" spans="52:273">
      <c r="AZ287" s="259" t="str">
        <f t="shared" ca="1" si="689"/>
        <v/>
      </c>
      <c r="BA287" s="259">
        <f t="shared" ca="1" si="632"/>
        <v>0</v>
      </c>
      <c r="BB287" s="259">
        <f t="shared" ca="1" si="690"/>
        <v>0</v>
      </c>
      <c r="BC287" s="259">
        <f t="shared" ca="1" si="691"/>
        <v>0</v>
      </c>
      <c r="BD287" s="259">
        <f t="shared" ca="1" si="692"/>
        <v>0</v>
      </c>
      <c r="BE287" s="259">
        <f t="shared" ca="1" si="693"/>
        <v>0</v>
      </c>
      <c r="BQ287" s="259" t="str">
        <f ca="1">IFERROR(INDEX($BN$3:$BO$200,MATCH(ROWS(BQ$3:BQ287),$BP$3:$BP$220,0),1),"")</f>
        <v/>
      </c>
      <c r="CX287" s="259">
        <f t="shared" ca="1" si="696"/>
        <v>16</v>
      </c>
      <c r="CY287" s="259" t="str">
        <f t="shared" ca="1" si="694"/>
        <v>MASTRO</v>
      </c>
      <c r="CZ287" s="259" t="e">
        <f t="shared" ca="1" si="698"/>
        <v>#N/A</v>
      </c>
      <c r="DA287" s="259" t="str">
        <f t="shared" ca="1" si="703"/>
        <v/>
      </c>
      <c r="DB287" s="259" t="str">
        <f t="shared" ca="1" si="699"/>
        <v/>
      </c>
      <c r="DC287" s="259" t="str">
        <f t="shared" ca="1" si="700"/>
        <v/>
      </c>
      <c r="DD287" s="259" t="str">
        <f t="shared" ca="1" si="701"/>
        <v/>
      </c>
      <c r="DE287" s="259" t="str">
        <f t="shared" ca="1" si="702"/>
        <v/>
      </c>
      <c r="DF287" s="259">
        <f ca="1">IF(AND(CX287=$DE$2,$DF$2&lt;&gt;0),0,IF(AND(DB287&lt;&gt;"",OR(DB286&lt;&gt;"",DB288&lt;&gt;"")),MAX($DF$2:DF286)+1,0))</f>
        <v>0</v>
      </c>
      <c r="DG287" s="259" t="str">
        <f>IF(IF(LIBRO_GIORNALE!E195="","",IFERROR(INDEX(PIANO_DEI_CONTI,MATCH(BB287,DENOMINAZIONE,0),1),0))=0,"",IF(LIBRO_GIORNALE!E195="","",IFERROR(INDEX(PIANO_DEI_CONTI,MATCH(BB287,DENOMINAZIONE,0),1),0)))</f>
        <v/>
      </c>
      <c r="EC287" s="259">
        <f>IF(IF(DG287&lt;&gt;"",REPLACE(DG287,3,1,""),0)&lt;&gt;0,MAX(EC$2:EC286)+1,0)</f>
        <v>0</v>
      </c>
      <c r="ED287" s="259">
        <f t="shared" ca="1" si="662"/>
        <v>0</v>
      </c>
      <c r="EL287" s="259">
        <f t="shared" si="670"/>
        <v>285</v>
      </c>
      <c r="EM287" s="259">
        <f ca="1">IF(AND(BA287&gt;0,BA287&lt;=$EM$1),MAX($EM$2:EM286)+1,0)</f>
        <v>0</v>
      </c>
      <c r="EN287" s="259">
        <f t="shared" ca="1" si="671"/>
        <v>287</v>
      </c>
      <c r="EP287" s="259" t="str">
        <f t="shared" ca="1" si="663"/>
        <v/>
      </c>
      <c r="EQ287" s="259">
        <f t="shared" ca="1" si="664"/>
        <v>0</v>
      </c>
      <c r="ER287" s="259">
        <f ca="1">IF(ISNA(EQ287),MAX(ER$2:ER286)+1,0)</f>
        <v>0</v>
      </c>
      <c r="ES287" s="259" t="str">
        <f t="shared" ca="1" si="672"/>
        <v/>
      </c>
      <c r="ET287" s="259" t="str">
        <f ca="1">IFERROR(UPPER(INDEX($ER$3:$ES$500,MATCH(ROWS(ET$3:ET287),$ER$3:$ER$500,0),2)),"")</f>
        <v/>
      </c>
      <c r="EW287" s="259">
        <f t="shared" ca="1" si="633"/>
        <v>1</v>
      </c>
      <c r="EX287" s="259">
        <v>185</v>
      </c>
      <c r="EY287" s="259">
        <f t="shared" ca="1" si="634"/>
        <v>0</v>
      </c>
      <c r="EZ287" s="259">
        <f t="shared" ca="1" si="635"/>
        <v>0</v>
      </c>
      <c r="FA287" s="259">
        <f t="shared" ca="1" si="636"/>
        <v>0</v>
      </c>
      <c r="FB287" s="259">
        <f t="shared" ca="1" si="637"/>
        <v>0</v>
      </c>
      <c r="FC287" s="259">
        <f t="shared" ca="1" si="638"/>
        <v>0</v>
      </c>
      <c r="FD287" s="259">
        <f t="shared" ca="1" si="665"/>
        <v>0</v>
      </c>
      <c r="FE287" s="259" t="str">
        <f t="shared" ca="1" si="666"/>
        <v/>
      </c>
      <c r="FF287" s="259" t="str">
        <f t="shared" ca="1" si="639"/>
        <v/>
      </c>
      <c r="FM287" s="259">
        <f t="shared" si="667"/>
        <v>0</v>
      </c>
      <c r="FN287" s="259">
        <f>IF(FM287&lt;0,MAX($FN$2:FN286)+1,0)</f>
        <v>0</v>
      </c>
      <c r="FO287" s="259" t="str">
        <f t="shared" si="673"/>
        <v/>
      </c>
      <c r="FP287" s="259" t="str">
        <f ca="1">IFERROR(INDEX($FN$3:$FO$400,MATCH(ROWS($FP$3:FP287),$FN$3:$FN$400,0),2),"")</f>
        <v/>
      </c>
      <c r="FQ287" s="259" t="str">
        <f>IF(AE287="SE AVERE",MAX($FQ$2:FQ286)+1,"")</f>
        <v/>
      </c>
      <c r="FR287" s="259" t="str">
        <f>IF(AE287="SE DARE",MAX($FR$2:FR286)+1,"")</f>
        <v/>
      </c>
      <c r="FS287" s="259" t="str">
        <f ca="1">IF(AND(AE287="SP DARE",AA287&lt;&gt;$FS$1,AA287&lt;&gt;$FT$1),MAX($FS$2:FS286)+1,IF(AND(GQ287="SP DARE",AA287&lt;&gt;$FS$1,AA287&lt;&gt;$FT$1),MAX($FS$2:FS286)+1,""))</f>
        <v/>
      </c>
      <c r="FT287" s="259" t="str">
        <f ca="1">IF(AND(AE287="SP AVERE",AA287&lt;&gt;$FU$1),MAX($FT$2:FT286)+1,IF(AND(GQ287="SP AVERE",AA287&lt;&gt;$FU$1),MAX($FT$2:FT286)+1,""))</f>
        <v/>
      </c>
      <c r="FU287" s="259">
        <f t="shared" ca="1" si="674"/>
        <v>0</v>
      </c>
      <c r="FV287" s="259">
        <f t="shared" si="675"/>
        <v>0</v>
      </c>
      <c r="FW287" s="259">
        <f ca="1">IFERROR(INDEX($FU$3:$FV$500,MATCH(ROWS($FW$3:FW287),$FU$3:$FU$500,0),2),0)</f>
        <v>0</v>
      </c>
      <c r="FX287" s="259">
        <f t="shared" ca="1" si="676"/>
        <v>0</v>
      </c>
      <c r="FY287" s="259">
        <f t="shared" ca="1" si="677"/>
        <v>0</v>
      </c>
      <c r="FZ287" s="259">
        <f ca="1">IF(FY287&gt;0,MAX($FZ$2:FZ286)+1,0)</f>
        <v>0</v>
      </c>
      <c r="GA287" s="259">
        <f ca="1">IFERROR(INDEX($FY$3:$FZ$500,MATCH(ROWS($GA$3:GA287),$FZ$3:$FZ$500,0),1),0)</f>
        <v>0</v>
      </c>
      <c r="GC287" s="259">
        <f t="shared" ca="1" si="678"/>
        <v>0</v>
      </c>
      <c r="GD287" s="259">
        <f t="shared" ca="1" si="679"/>
        <v>0</v>
      </c>
      <c r="GG287" s="259">
        <f t="shared" ca="1" si="680"/>
        <v>0</v>
      </c>
      <c r="GH287" s="259">
        <f t="shared" ca="1" si="681"/>
        <v>0</v>
      </c>
      <c r="GI287" s="259">
        <f t="shared" ca="1" si="682"/>
        <v>0</v>
      </c>
      <c r="GJ287" s="259">
        <f t="shared" ca="1" si="683"/>
        <v>0</v>
      </c>
      <c r="GK287" s="259">
        <f t="shared" ca="1" si="684"/>
        <v>0</v>
      </c>
      <c r="GL287" s="259">
        <f t="shared" ca="1" si="684"/>
        <v>0</v>
      </c>
      <c r="GM287" s="259">
        <f ca="1">IF(OR(GK287&gt;0,GL287&gt;0),MAX($GM$2:GM286)+1,0)</f>
        <v>0</v>
      </c>
      <c r="GN287" s="259" t="str">
        <f ca="1">IFERROR(INDEX($GD$3:$GM$400,MATCH(ROWS($GN$3:GN287),$GM$3:$GM$400,0),1),"")</f>
        <v/>
      </c>
      <c r="GO287" s="259" t="str">
        <f ca="1">IFERROR(INDEX($GD$3:$GM$400,MATCH(ROWS($GO$3:GO287),$GM$3:$GM$400,0),8),"")</f>
        <v/>
      </c>
      <c r="GP287" s="259" t="str">
        <f ca="1">IFERROR(INDEX($GD$3:$GM$400,MATCH(ROWS($GP$3:GP287),$GM$3:$GM$400,0),9),"")</f>
        <v/>
      </c>
      <c r="GQ287" s="259">
        <f t="shared" ca="1" si="668"/>
        <v>0</v>
      </c>
      <c r="GR287" s="259">
        <f t="shared" ca="1" si="685"/>
        <v>0</v>
      </c>
      <c r="GS287" s="259" t="str">
        <f t="shared" ca="1" si="686"/>
        <v/>
      </c>
      <c r="GT287" s="259" t="str">
        <f ca="1">IFERROR(INDEX($GD$3:$GS$400,MATCH(ROWS($GT$3:GT287),$GM$3:$GM$400,0),16),"")</f>
        <v/>
      </c>
      <c r="GU287" s="259">
        <f ca="1">IF(GQ287&lt;&gt;0,MAX($GU$2:$GU286)+1,0)</f>
        <v>0</v>
      </c>
      <c r="GV287" s="259">
        <f t="shared" ca="1" si="687"/>
        <v>0</v>
      </c>
      <c r="GW287" s="259" t="str">
        <f ca="1">IF(AND(IFERROR(INDEX($GU$3:$GV$400,MATCH(ROWS($GW$3:GW287),$GU$3:$GU$400,0),2),"")&lt;&gt;"",GW288&lt;&gt;""),CONCATENATE(IFERROR(INDEX($GU$3:$GV$400,MATCH(ROWS($GW$3:GW287),$GU$3:$GU$400,0),2),"")," - "),IFERROR(INDEX($GU$3:$GV$400,MATCH(ROWS($GW$3:GW287),$GU$3:$GU$400,0),2),""))</f>
        <v/>
      </c>
      <c r="GX287" s="259">
        <f ca="1">IF(OR(GN287="IVA NS/CREDITO",GN287="IVA NS/DEBITO",GN287="IVA C/ACCONTO",GN287="IMPOSTE C/ACCONTO"),MAX($GX$2:GX286)+1,0)</f>
        <v>0</v>
      </c>
      <c r="GY287" s="259" t="str">
        <f ca="1">IF(AND(IFERROR(INDEX($GN$3:$GX$200,MATCH(ROWS($GY$3:GY287),$GX$3:$GX$200,0),1),"")&lt;&gt;"",GY288&lt;&gt;""),CONCATENATE(IFERROR(INDEX($GN$3:$GX$200,MATCH(ROWS($GY$3:GY287),$GX$3:$GX$200,0),1),"")," - "),IFERROR(INDEX($GN$3:$GX$200,MATCH(ROWS($GY$3:GY287),$GX$3:$GX$200,0),1),""))</f>
        <v/>
      </c>
      <c r="JA287" s="259" t="str">
        <f t="shared" ca="1" si="688"/>
        <v/>
      </c>
      <c r="JB287" s="259">
        <f t="shared" ca="1" si="669"/>
        <v>0</v>
      </c>
      <c r="JC287" s="259">
        <f t="shared" ca="1" si="640"/>
        <v>0</v>
      </c>
      <c r="JD287" s="259">
        <f t="shared" ca="1" si="641"/>
        <v>0</v>
      </c>
      <c r="JM287" s="259">
        <f t="shared" ca="1" si="642"/>
        <v>0</v>
      </c>
    </row>
    <row r="288" spans="52:273">
      <c r="AZ288" s="259" t="str">
        <f t="shared" ca="1" si="689"/>
        <v/>
      </c>
      <c r="BA288" s="259">
        <f t="shared" ca="1" si="632"/>
        <v>0</v>
      </c>
      <c r="BB288" s="259">
        <f t="shared" ca="1" si="690"/>
        <v>0</v>
      </c>
      <c r="BC288" s="259">
        <f t="shared" ca="1" si="691"/>
        <v>0</v>
      </c>
      <c r="BD288" s="259">
        <f t="shared" ca="1" si="692"/>
        <v>0</v>
      </c>
      <c r="BE288" s="259">
        <f t="shared" ca="1" si="693"/>
        <v>0</v>
      </c>
      <c r="BQ288" s="259" t="str">
        <f ca="1">IFERROR(INDEX($BN$3:$BO$200,MATCH(ROWS(BQ$3:BQ288),$BP$3:$BP$220,0),1),"")</f>
        <v/>
      </c>
      <c r="CX288" s="259">
        <f t="shared" ca="1" si="696"/>
        <v>16</v>
      </c>
      <c r="CY288" s="259" t="str">
        <f t="shared" ca="1" si="694"/>
        <v>MASTRO</v>
      </c>
      <c r="CZ288" s="259" t="e">
        <f t="shared" ca="1" si="698"/>
        <v>#N/A</v>
      </c>
      <c r="DA288" s="259" t="str">
        <f t="shared" ca="1" si="703"/>
        <v/>
      </c>
      <c r="DB288" s="259" t="str">
        <f t="shared" ca="1" si="699"/>
        <v/>
      </c>
      <c r="DC288" s="259" t="str">
        <f t="shared" ca="1" si="700"/>
        <v/>
      </c>
      <c r="DD288" s="259" t="str">
        <f t="shared" ca="1" si="701"/>
        <v/>
      </c>
      <c r="DE288" s="259" t="str">
        <f t="shared" ca="1" si="702"/>
        <v/>
      </c>
      <c r="DF288" s="259">
        <f ca="1">IF(AND(CX288=$DE$2,$DF$2&lt;&gt;0),0,IF(AND(DB288&lt;&gt;"",OR(DB287&lt;&gt;"",DB289&lt;&gt;"")),MAX($DF$2:DF287)+1,0))</f>
        <v>0</v>
      </c>
      <c r="DG288" s="259" t="str">
        <f>IF(IF(LIBRO_GIORNALE!E196="","",IFERROR(INDEX(PIANO_DEI_CONTI,MATCH(BB288,DENOMINAZIONE,0),1),0))=0,"",IF(LIBRO_GIORNALE!E196="","",IFERROR(INDEX(PIANO_DEI_CONTI,MATCH(BB288,DENOMINAZIONE,0),1),0)))</f>
        <v/>
      </c>
      <c r="EC288" s="259">
        <f>IF(IF(DG288&lt;&gt;"",REPLACE(DG288,3,1,""),0)&lt;&gt;0,MAX(EC$2:EC287)+1,0)</f>
        <v>0</v>
      </c>
      <c r="ED288" s="259">
        <f t="shared" ca="1" si="662"/>
        <v>0</v>
      </c>
      <c r="EL288" s="259">
        <f t="shared" si="670"/>
        <v>286</v>
      </c>
      <c r="EM288" s="259">
        <f ca="1">IF(AND(BA288&gt;0,BA288&lt;=$EM$1),MAX($EM$2:EM287)+1,0)</f>
        <v>0</v>
      </c>
      <c r="EN288" s="259">
        <f t="shared" ca="1" si="671"/>
        <v>288</v>
      </c>
      <c r="EP288" s="259" t="str">
        <f t="shared" ca="1" si="663"/>
        <v/>
      </c>
      <c r="EQ288" s="259">
        <f t="shared" ca="1" si="664"/>
        <v>0</v>
      </c>
      <c r="ER288" s="259">
        <f ca="1">IF(ISNA(EQ288),MAX(ER$2:ER287)+1,0)</f>
        <v>0</v>
      </c>
      <c r="ES288" s="259" t="str">
        <f t="shared" ca="1" si="672"/>
        <v/>
      </c>
      <c r="ET288" s="259" t="str">
        <f ca="1">IFERROR(UPPER(INDEX($ER$3:$ES$500,MATCH(ROWS(ET$3:ET288),$ER$3:$ER$500,0),2)),"")</f>
        <v/>
      </c>
      <c r="EW288" s="259">
        <f t="shared" ca="1" si="633"/>
        <v>1</v>
      </c>
      <c r="EX288" s="259">
        <v>186</v>
      </c>
      <c r="EY288" s="259">
        <f t="shared" ca="1" si="634"/>
        <v>0</v>
      </c>
      <c r="EZ288" s="259">
        <f t="shared" ca="1" si="635"/>
        <v>0</v>
      </c>
      <c r="FA288" s="259">
        <f t="shared" ca="1" si="636"/>
        <v>0</v>
      </c>
      <c r="FB288" s="259">
        <f t="shared" ca="1" si="637"/>
        <v>0</v>
      </c>
      <c r="FC288" s="259">
        <f t="shared" ca="1" si="638"/>
        <v>0</v>
      </c>
      <c r="FD288" s="259">
        <f t="shared" ca="1" si="665"/>
        <v>0</v>
      </c>
      <c r="FE288" s="259" t="str">
        <f t="shared" ca="1" si="666"/>
        <v/>
      </c>
      <c r="FF288" s="259" t="str">
        <f t="shared" ca="1" si="639"/>
        <v/>
      </c>
      <c r="FM288" s="259">
        <f t="shared" si="667"/>
        <v>0</v>
      </c>
      <c r="FN288" s="259">
        <f>IF(FM288&lt;0,MAX($FN$2:FN287)+1,0)</f>
        <v>0</v>
      </c>
      <c r="FO288" s="259" t="str">
        <f t="shared" si="673"/>
        <v/>
      </c>
      <c r="FP288" s="259" t="str">
        <f ca="1">IFERROR(INDEX($FN$3:$FO$400,MATCH(ROWS($FP$3:FP288),$FN$3:$FN$400,0),2),"")</f>
        <v/>
      </c>
      <c r="FQ288" s="259" t="str">
        <f>IF(AE288="SE AVERE",MAX($FQ$2:FQ287)+1,"")</f>
        <v/>
      </c>
      <c r="FR288" s="259" t="str">
        <f>IF(AE288="SE DARE",MAX($FR$2:FR287)+1,"")</f>
        <v/>
      </c>
      <c r="FS288" s="259" t="str">
        <f ca="1">IF(AND(AE288="SP DARE",AA288&lt;&gt;$FS$1,AA288&lt;&gt;$FT$1),MAX($FS$2:FS287)+1,IF(AND(GQ288="SP DARE",AA288&lt;&gt;$FS$1,AA288&lt;&gt;$FT$1),MAX($FS$2:FS287)+1,""))</f>
        <v/>
      </c>
      <c r="FT288" s="259" t="str">
        <f ca="1">IF(AND(AE288="SP AVERE",AA288&lt;&gt;$FU$1),MAX($FT$2:FT287)+1,IF(AND(GQ288="SP AVERE",AA288&lt;&gt;$FU$1),MAX($FT$2:FT287)+1,""))</f>
        <v/>
      </c>
      <c r="FU288" s="259">
        <f t="shared" ca="1" si="674"/>
        <v>0</v>
      </c>
      <c r="FV288" s="259">
        <f t="shared" si="675"/>
        <v>0</v>
      </c>
      <c r="FW288" s="259">
        <f ca="1">IFERROR(INDEX($FU$3:$FV$500,MATCH(ROWS($FW$3:FW288),$FU$3:$FU$500,0),2),0)</f>
        <v>0</v>
      </c>
      <c r="FX288" s="259">
        <f t="shared" ca="1" si="676"/>
        <v>0</v>
      </c>
      <c r="FY288" s="259">
        <f t="shared" ca="1" si="677"/>
        <v>0</v>
      </c>
      <c r="FZ288" s="259">
        <f ca="1">IF(FY288&gt;0,MAX($FZ$2:FZ287)+1,0)</f>
        <v>0</v>
      </c>
      <c r="GA288" s="259">
        <f ca="1">IFERROR(INDEX($FY$3:$FZ$500,MATCH(ROWS($GA$3:GA288),$FZ$3:$FZ$500,0),1),0)</f>
        <v>0</v>
      </c>
      <c r="GC288" s="259">
        <f t="shared" ca="1" si="678"/>
        <v>0</v>
      </c>
      <c r="GD288" s="259">
        <f t="shared" ca="1" si="679"/>
        <v>0</v>
      </c>
      <c r="GG288" s="259">
        <f t="shared" ca="1" si="680"/>
        <v>0</v>
      </c>
      <c r="GH288" s="259">
        <f t="shared" ca="1" si="681"/>
        <v>0</v>
      </c>
      <c r="GI288" s="259">
        <f t="shared" ca="1" si="682"/>
        <v>0</v>
      </c>
      <c r="GJ288" s="259">
        <f t="shared" ca="1" si="683"/>
        <v>0</v>
      </c>
      <c r="GK288" s="259">
        <f t="shared" ca="1" si="684"/>
        <v>0</v>
      </c>
      <c r="GL288" s="259">
        <f t="shared" ca="1" si="684"/>
        <v>0</v>
      </c>
      <c r="GM288" s="259">
        <f ca="1">IF(OR(GK288&gt;0,GL288&gt;0),MAX($GM$2:GM287)+1,0)</f>
        <v>0</v>
      </c>
      <c r="GN288" s="259" t="str">
        <f ca="1">IFERROR(INDEX($GD$3:$GM$400,MATCH(ROWS($GN$3:GN288),$GM$3:$GM$400,0),1),"")</f>
        <v/>
      </c>
      <c r="GO288" s="259" t="str">
        <f ca="1">IFERROR(INDEX($GD$3:$GM$400,MATCH(ROWS($GO$3:GO288),$GM$3:$GM$400,0),8),"")</f>
        <v/>
      </c>
      <c r="GP288" s="259" t="str">
        <f ca="1">IFERROR(INDEX($GD$3:$GM$400,MATCH(ROWS($GP$3:GP288),$GM$3:$GM$400,0),9),"")</f>
        <v/>
      </c>
      <c r="GQ288" s="259">
        <f t="shared" ca="1" si="668"/>
        <v>0</v>
      </c>
      <c r="GR288" s="259">
        <f t="shared" ca="1" si="685"/>
        <v>0</v>
      </c>
      <c r="GS288" s="259" t="str">
        <f t="shared" ca="1" si="686"/>
        <v/>
      </c>
      <c r="GT288" s="259" t="str">
        <f ca="1">IFERROR(INDEX($GD$3:$GS$400,MATCH(ROWS($GT$3:GT288),$GM$3:$GM$400,0),16),"")</f>
        <v/>
      </c>
      <c r="GU288" s="259">
        <f ca="1">IF(GQ288&lt;&gt;0,MAX($GU$2:$GU287)+1,0)</f>
        <v>0</v>
      </c>
      <c r="GV288" s="259">
        <f t="shared" ca="1" si="687"/>
        <v>0</v>
      </c>
      <c r="GW288" s="259" t="str">
        <f ca="1">IF(AND(IFERROR(INDEX($GU$3:$GV$400,MATCH(ROWS($GW$3:GW288),$GU$3:$GU$400,0),2),"")&lt;&gt;"",GW289&lt;&gt;""),CONCATENATE(IFERROR(INDEX($GU$3:$GV$400,MATCH(ROWS($GW$3:GW288),$GU$3:$GU$400,0),2),"")," - "),IFERROR(INDEX($GU$3:$GV$400,MATCH(ROWS($GW$3:GW288),$GU$3:$GU$400,0),2),""))</f>
        <v/>
      </c>
      <c r="GX288" s="259">
        <f ca="1">IF(OR(GN288="IVA NS/CREDITO",GN288="IVA NS/DEBITO",GN288="IVA C/ACCONTO",GN288="IMPOSTE C/ACCONTO"),MAX($GX$2:GX287)+1,0)</f>
        <v>0</v>
      </c>
      <c r="GY288" s="259" t="str">
        <f ca="1">IF(AND(IFERROR(INDEX($GN$3:$GX$200,MATCH(ROWS($GY$3:GY288),$GX$3:$GX$200,0),1),"")&lt;&gt;"",GY289&lt;&gt;""),CONCATENATE(IFERROR(INDEX($GN$3:$GX$200,MATCH(ROWS($GY$3:GY288),$GX$3:$GX$200,0),1),"")," - "),IFERROR(INDEX($GN$3:$GX$200,MATCH(ROWS($GY$3:GY288),$GX$3:$GX$200,0),1),""))</f>
        <v/>
      </c>
      <c r="JA288" s="259" t="str">
        <f t="shared" ca="1" si="688"/>
        <v/>
      </c>
      <c r="JB288" s="259">
        <f t="shared" ca="1" si="669"/>
        <v>0</v>
      </c>
      <c r="JC288" s="259">
        <f t="shared" ca="1" si="640"/>
        <v>0</v>
      </c>
      <c r="JD288" s="259">
        <f t="shared" ca="1" si="641"/>
        <v>0</v>
      </c>
      <c r="JM288" s="259">
        <f t="shared" ca="1" si="642"/>
        <v>0</v>
      </c>
    </row>
    <row r="289" spans="52:273">
      <c r="AZ289" s="259" t="str">
        <f t="shared" ca="1" si="689"/>
        <v/>
      </c>
      <c r="BA289" s="259">
        <f t="shared" ca="1" si="632"/>
        <v>0</v>
      </c>
      <c r="BB289" s="259">
        <f t="shared" ca="1" si="690"/>
        <v>0</v>
      </c>
      <c r="BC289" s="259">
        <f t="shared" ca="1" si="691"/>
        <v>0</v>
      </c>
      <c r="BD289" s="259">
        <f t="shared" ca="1" si="692"/>
        <v>0</v>
      </c>
      <c r="BE289" s="259">
        <f t="shared" ca="1" si="693"/>
        <v>0</v>
      </c>
      <c r="BQ289" s="259" t="str">
        <f ca="1">IFERROR(INDEX($BN$3:$BO$200,MATCH(ROWS(BQ$3:BQ289),$BP$3:$BP$220,0),1),"")</f>
        <v/>
      </c>
      <c r="CX289" s="259">
        <f t="shared" ca="1" si="696"/>
        <v>16</v>
      </c>
      <c r="CY289" s="259" t="str">
        <f t="shared" ca="1" si="694"/>
        <v>MASTRO</v>
      </c>
      <c r="CZ289" s="259" t="e">
        <f t="shared" ca="1" si="698"/>
        <v>#N/A</v>
      </c>
      <c r="DA289" s="259" t="str">
        <f t="shared" ca="1" si="703"/>
        <v/>
      </c>
      <c r="DB289" s="259" t="str">
        <f t="shared" ca="1" si="699"/>
        <v/>
      </c>
      <c r="DC289" s="259" t="str">
        <f t="shared" ca="1" si="700"/>
        <v/>
      </c>
      <c r="DD289" s="259" t="str">
        <f t="shared" ca="1" si="701"/>
        <v/>
      </c>
      <c r="DE289" s="259" t="str">
        <f t="shared" ca="1" si="702"/>
        <v/>
      </c>
      <c r="DF289" s="259">
        <f ca="1">IF(AND(CX289=$DE$2,$DF$2&lt;&gt;0),0,IF(AND(DB289&lt;&gt;"",OR(DB288&lt;&gt;"",DB290&lt;&gt;"")),MAX($DF$2:DF288)+1,0))</f>
        <v>0</v>
      </c>
      <c r="DG289" s="259" t="str">
        <f>IF(IF(LIBRO_GIORNALE!E197="","",IFERROR(INDEX(PIANO_DEI_CONTI,MATCH(BB289,DENOMINAZIONE,0),1),0))=0,"",IF(LIBRO_GIORNALE!E197="","",IFERROR(INDEX(PIANO_DEI_CONTI,MATCH(BB289,DENOMINAZIONE,0),1),0)))</f>
        <v/>
      </c>
      <c r="EC289" s="259">
        <f>IF(IF(DG289&lt;&gt;"",REPLACE(DG289,3,1,""),0)&lt;&gt;0,MAX(EC$2:EC288)+1,0)</f>
        <v>0</v>
      </c>
      <c r="ED289" s="259">
        <f t="shared" ca="1" si="662"/>
        <v>0</v>
      </c>
      <c r="EL289" s="259">
        <f t="shared" si="670"/>
        <v>287</v>
      </c>
      <c r="EM289" s="259">
        <f ca="1">IF(AND(BA289&gt;0,BA289&lt;=$EM$1),MAX($EM$2:EM288)+1,0)</f>
        <v>0</v>
      </c>
      <c r="EN289" s="259">
        <f t="shared" ca="1" si="671"/>
        <v>289</v>
      </c>
      <c r="EP289" s="259" t="str">
        <f t="shared" ca="1" si="663"/>
        <v/>
      </c>
      <c r="EQ289" s="259">
        <f t="shared" ca="1" si="664"/>
        <v>0</v>
      </c>
      <c r="ER289" s="259">
        <f ca="1">IF(ISNA(EQ289),MAX(ER$2:ER288)+1,0)</f>
        <v>0</v>
      </c>
      <c r="ES289" s="259" t="str">
        <f t="shared" ca="1" si="672"/>
        <v/>
      </c>
      <c r="ET289" s="259" t="str">
        <f ca="1">IFERROR(UPPER(INDEX($ER$3:$ES$500,MATCH(ROWS(ET$3:ET289),$ER$3:$ER$500,0),2)),"")</f>
        <v/>
      </c>
      <c r="EW289" s="259">
        <f t="shared" ca="1" si="633"/>
        <v>1</v>
      </c>
      <c r="EX289" s="259">
        <v>187</v>
      </c>
      <c r="EY289" s="259">
        <f t="shared" ca="1" si="634"/>
        <v>0</v>
      </c>
      <c r="EZ289" s="259">
        <f t="shared" ca="1" si="635"/>
        <v>0</v>
      </c>
      <c r="FA289" s="259">
        <f t="shared" ca="1" si="636"/>
        <v>0</v>
      </c>
      <c r="FB289" s="259">
        <f t="shared" ca="1" si="637"/>
        <v>0</v>
      </c>
      <c r="FC289" s="259">
        <f t="shared" ca="1" si="638"/>
        <v>0</v>
      </c>
      <c r="FD289" s="259">
        <f t="shared" ca="1" si="665"/>
        <v>0</v>
      </c>
      <c r="FE289" s="259" t="str">
        <f t="shared" ca="1" si="666"/>
        <v/>
      </c>
      <c r="FF289" s="259" t="str">
        <f t="shared" ca="1" si="639"/>
        <v/>
      </c>
      <c r="FM289" s="259">
        <f t="shared" si="667"/>
        <v>0</v>
      </c>
      <c r="FN289" s="259">
        <f>IF(FM289&lt;0,MAX($FN$2:FN288)+1,0)</f>
        <v>0</v>
      </c>
      <c r="FO289" s="259" t="str">
        <f t="shared" si="673"/>
        <v/>
      </c>
      <c r="FP289" s="259" t="str">
        <f ca="1">IFERROR(INDEX($FN$3:$FO$400,MATCH(ROWS($FP$3:FP289),$FN$3:$FN$400,0),2),"")</f>
        <v/>
      </c>
      <c r="FQ289" s="259" t="str">
        <f>IF(AE289="SE AVERE",MAX($FQ$2:FQ288)+1,"")</f>
        <v/>
      </c>
      <c r="FR289" s="259" t="str">
        <f>IF(AE289="SE DARE",MAX($FR$2:FR288)+1,"")</f>
        <v/>
      </c>
      <c r="FS289" s="259" t="str">
        <f ca="1">IF(AND(AE289="SP DARE",AA289&lt;&gt;$FS$1,AA289&lt;&gt;$FT$1),MAX($FS$2:FS288)+1,IF(AND(GQ289="SP DARE",AA289&lt;&gt;$FS$1,AA289&lt;&gt;$FT$1),MAX($FS$2:FS288)+1,""))</f>
        <v/>
      </c>
      <c r="FT289" s="259" t="str">
        <f ca="1">IF(AND(AE289="SP AVERE",AA289&lt;&gt;$FU$1),MAX($FT$2:FT288)+1,IF(AND(GQ289="SP AVERE",AA289&lt;&gt;$FU$1),MAX($FT$2:FT288)+1,""))</f>
        <v/>
      </c>
      <c r="FU289" s="259">
        <f t="shared" ca="1" si="674"/>
        <v>0</v>
      </c>
      <c r="FV289" s="259">
        <f t="shared" si="675"/>
        <v>0</v>
      </c>
      <c r="FW289" s="259">
        <f ca="1">IFERROR(INDEX($FU$3:$FV$500,MATCH(ROWS($FW$3:FW289),$FU$3:$FU$500,0),2),0)</f>
        <v>0</v>
      </c>
      <c r="FX289" s="259">
        <f t="shared" ca="1" si="676"/>
        <v>0</v>
      </c>
      <c r="FY289" s="259">
        <f t="shared" ca="1" si="677"/>
        <v>0</v>
      </c>
      <c r="FZ289" s="259">
        <f ca="1">IF(FY289&gt;0,MAX($FZ$2:FZ288)+1,0)</f>
        <v>0</v>
      </c>
      <c r="GA289" s="259">
        <f ca="1">IFERROR(INDEX($FY$3:$FZ$500,MATCH(ROWS($GA$3:GA289),$FZ$3:$FZ$500,0),1),0)</f>
        <v>0</v>
      </c>
      <c r="GC289" s="259">
        <f t="shared" ca="1" si="678"/>
        <v>0</v>
      </c>
      <c r="GD289" s="259">
        <f t="shared" ca="1" si="679"/>
        <v>0</v>
      </c>
      <c r="GG289" s="259">
        <f t="shared" ca="1" si="680"/>
        <v>0</v>
      </c>
      <c r="GH289" s="259">
        <f t="shared" ca="1" si="681"/>
        <v>0</v>
      </c>
      <c r="GI289" s="259">
        <f t="shared" ca="1" si="682"/>
        <v>0</v>
      </c>
      <c r="GJ289" s="259">
        <f t="shared" ca="1" si="683"/>
        <v>0</v>
      </c>
      <c r="GK289" s="259">
        <f t="shared" ca="1" si="684"/>
        <v>0</v>
      </c>
      <c r="GL289" s="259">
        <f t="shared" ca="1" si="684"/>
        <v>0</v>
      </c>
      <c r="GM289" s="259">
        <f ca="1">IF(OR(GK289&gt;0,GL289&gt;0),MAX($GM$2:GM288)+1,0)</f>
        <v>0</v>
      </c>
      <c r="GN289" s="259" t="str">
        <f ca="1">IFERROR(INDEX($GD$3:$GM$400,MATCH(ROWS($GN$3:GN289),$GM$3:$GM$400,0),1),"")</f>
        <v/>
      </c>
      <c r="GO289" s="259" t="str">
        <f ca="1">IFERROR(INDEX($GD$3:$GM$400,MATCH(ROWS($GO$3:GO289),$GM$3:$GM$400,0),8),"")</f>
        <v/>
      </c>
      <c r="GP289" s="259" t="str">
        <f ca="1">IFERROR(INDEX($GD$3:$GM$400,MATCH(ROWS($GP$3:GP289),$GM$3:$GM$400,0),9),"")</f>
        <v/>
      </c>
      <c r="GQ289" s="259">
        <f t="shared" ca="1" si="668"/>
        <v>0</v>
      </c>
      <c r="GR289" s="259">
        <f t="shared" ca="1" si="685"/>
        <v>0</v>
      </c>
      <c r="GS289" s="259" t="str">
        <f t="shared" ca="1" si="686"/>
        <v/>
      </c>
      <c r="GT289" s="259" t="str">
        <f ca="1">IFERROR(INDEX($GD$3:$GS$400,MATCH(ROWS($GT$3:GT289),$GM$3:$GM$400,0),16),"")</f>
        <v/>
      </c>
      <c r="GU289" s="259">
        <f ca="1">IF(GQ289&lt;&gt;0,MAX($GU$2:$GU288)+1,0)</f>
        <v>0</v>
      </c>
      <c r="GV289" s="259">
        <f t="shared" ca="1" si="687"/>
        <v>0</v>
      </c>
      <c r="GW289" s="259" t="str">
        <f ca="1">IF(AND(IFERROR(INDEX($GU$3:$GV$400,MATCH(ROWS($GW$3:GW289),$GU$3:$GU$400,0),2),"")&lt;&gt;"",GW290&lt;&gt;""),CONCATENATE(IFERROR(INDEX($GU$3:$GV$400,MATCH(ROWS($GW$3:GW289),$GU$3:$GU$400,0),2),"")," - "),IFERROR(INDEX($GU$3:$GV$400,MATCH(ROWS($GW$3:GW289),$GU$3:$GU$400,0),2),""))</f>
        <v/>
      </c>
      <c r="GX289" s="259">
        <f ca="1">IF(OR(GN289="IVA NS/CREDITO",GN289="IVA NS/DEBITO",GN289="IVA C/ACCONTO",GN289="IMPOSTE C/ACCONTO"),MAX($GX$2:GX288)+1,0)</f>
        <v>0</v>
      </c>
      <c r="GY289" s="259" t="str">
        <f ca="1">IF(AND(IFERROR(INDEX($GN$3:$GX$200,MATCH(ROWS($GY$3:GY289),$GX$3:$GX$200,0),1),"")&lt;&gt;"",GY290&lt;&gt;""),CONCATENATE(IFERROR(INDEX($GN$3:$GX$200,MATCH(ROWS($GY$3:GY289),$GX$3:$GX$200,0),1),"")," - "),IFERROR(INDEX($GN$3:$GX$200,MATCH(ROWS($GY$3:GY289),$GX$3:$GX$200,0),1),""))</f>
        <v/>
      </c>
      <c r="JA289" s="259" t="str">
        <f t="shared" ca="1" si="688"/>
        <v/>
      </c>
      <c r="JB289" s="259">
        <f t="shared" ca="1" si="669"/>
        <v>0</v>
      </c>
      <c r="JC289" s="259">
        <f t="shared" ca="1" si="640"/>
        <v>0</v>
      </c>
      <c r="JD289" s="259">
        <f t="shared" ca="1" si="641"/>
        <v>0</v>
      </c>
      <c r="JM289" s="259">
        <f t="shared" ca="1" si="642"/>
        <v>0</v>
      </c>
    </row>
    <row r="290" spans="52:273">
      <c r="AZ290" s="259" t="str">
        <f t="shared" ca="1" si="689"/>
        <v/>
      </c>
      <c r="BA290" s="259">
        <f t="shared" ca="1" si="632"/>
        <v>0</v>
      </c>
      <c r="BB290" s="259">
        <f t="shared" ca="1" si="690"/>
        <v>0</v>
      </c>
      <c r="BC290" s="259">
        <f t="shared" ca="1" si="691"/>
        <v>0</v>
      </c>
      <c r="BD290" s="259">
        <f t="shared" ca="1" si="692"/>
        <v>0</v>
      </c>
      <c r="BE290" s="259">
        <f t="shared" ca="1" si="693"/>
        <v>0</v>
      </c>
      <c r="BQ290" s="259" t="str">
        <f ca="1">IFERROR(INDEX($BN$3:$BO$200,MATCH(ROWS(BQ$3:BQ290),$BP$3:$BP$220,0),1),"")</f>
        <v/>
      </c>
      <c r="CX290" s="259" t="str">
        <f>IFERROR(IF(CX272+1=1,"",(CX272+1)),"")</f>
        <v/>
      </c>
      <c r="CY290" s="259" t="str">
        <f t="shared" ca="1" si="694"/>
        <v>MASTRO</v>
      </c>
      <c r="DB290" s="259" t="str">
        <f t="shared" ref="DB290" ca="1" si="704">CY290</f>
        <v>MASTRO</v>
      </c>
      <c r="DF290" s="259">
        <f ca="1">IF(AND(CX290=$DE$2,$DF$2&lt;&gt;0),0,IF(AND(DB290&lt;&gt;"",OR(DB289&lt;&gt;"",DB291&lt;&gt;"")),MAX($DF$2:DF289)+1,0))</f>
        <v>0</v>
      </c>
      <c r="DG290" s="259" t="str">
        <f>IF(IF(LIBRO_GIORNALE!E198="","",IFERROR(INDEX(PIANO_DEI_CONTI,MATCH(BB290,DENOMINAZIONE,0),1),0))=0,"",IF(LIBRO_GIORNALE!E198="","",IFERROR(INDEX(PIANO_DEI_CONTI,MATCH(BB290,DENOMINAZIONE,0),1),0)))</f>
        <v/>
      </c>
      <c r="EC290" s="259">
        <f>IF(IF(DG290&lt;&gt;"",REPLACE(DG290,3,1,""),0)&lt;&gt;0,MAX(EC$2:EC289)+1,0)</f>
        <v>0</v>
      </c>
      <c r="ED290" s="259">
        <f t="shared" ca="1" si="662"/>
        <v>0</v>
      </c>
      <c r="EL290" s="259">
        <f t="shared" si="670"/>
        <v>288</v>
      </c>
      <c r="EM290" s="259">
        <f ca="1">IF(AND(BA290&gt;0,BA290&lt;=$EM$1),MAX($EM$2:EM289)+1,0)</f>
        <v>0</v>
      </c>
      <c r="EN290" s="259">
        <f t="shared" ca="1" si="671"/>
        <v>290</v>
      </c>
      <c r="EP290" s="259" t="str">
        <f t="shared" ca="1" si="663"/>
        <v/>
      </c>
      <c r="EQ290" s="259">
        <f t="shared" ca="1" si="664"/>
        <v>0</v>
      </c>
      <c r="ER290" s="259">
        <f ca="1">IF(ISNA(EQ290),MAX(ER$2:ER289)+1,0)</f>
        <v>0</v>
      </c>
      <c r="ES290" s="259" t="str">
        <f t="shared" ca="1" si="672"/>
        <v/>
      </c>
      <c r="ET290" s="259" t="str">
        <f ca="1">IFERROR(UPPER(INDEX($ER$3:$ES$500,MATCH(ROWS(ET$3:ET290),$ER$3:$ER$500,0),2)),"")</f>
        <v/>
      </c>
      <c r="EW290" s="259">
        <f t="shared" ca="1" si="633"/>
        <v>1</v>
      </c>
      <c r="EX290" s="259">
        <v>188</v>
      </c>
      <c r="EY290" s="259">
        <f t="shared" ca="1" si="634"/>
        <v>0</v>
      </c>
      <c r="EZ290" s="259">
        <f t="shared" ca="1" si="635"/>
        <v>0</v>
      </c>
      <c r="FA290" s="259">
        <f t="shared" ca="1" si="636"/>
        <v>0</v>
      </c>
      <c r="FB290" s="259">
        <f t="shared" ca="1" si="637"/>
        <v>0</v>
      </c>
      <c r="FC290" s="259">
        <f t="shared" ca="1" si="638"/>
        <v>0</v>
      </c>
      <c r="FD290" s="259">
        <f t="shared" ca="1" si="665"/>
        <v>0</v>
      </c>
      <c r="FE290" s="259" t="str">
        <f t="shared" ca="1" si="666"/>
        <v/>
      </c>
      <c r="FF290" s="259" t="str">
        <f t="shared" ca="1" si="639"/>
        <v/>
      </c>
      <c r="FM290" s="259">
        <f t="shared" si="667"/>
        <v>0</v>
      </c>
      <c r="FN290" s="259">
        <f>IF(FM290&lt;0,MAX($FN$2:FN289)+1,0)</f>
        <v>0</v>
      </c>
      <c r="FO290" s="259" t="str">
        <f t="shared" si="673"/>
        <v/>
      </c>
      <c r="FP290" s="259" t="str">
        <f ca="1">IFERROR(INDEX($FN$3:$FO$400,MATCH(ROWS($FP$3:FP290),$FN$3:$FN$400,0),2),"")</f>
        <v/>
      </c>
      <c r="FQ290" s="259" t="str">
        <f>IF(AE290="SE AVERE",MAX($FQ$2:FQ289)+1,"")</f>
        <v/>
      </c>
      <c r="FR290" s="259" t="str">
        <f>IF(AE290="SE DARE",MAX($FR$2:FR289)+1,"")</f>
        <v/>
      </c>
      <c r="FS290" s="259" t="str">
        <f ca="1">IF(AND(AE290="SP DARE",AA290&lt;&gt;$FS$1,AA290&lt;&gt;$FT$1),MAX($FS$2:FS289)+1,IF(AND(GQ290="SP DARE",AA290&lt;&gt;$FS$1,AA290&lt;&gt;$FT$1),MAX($FS$2:FS289)+1,""))</f>
        <v/>
      </c>
      <c r="FT290" s="259" t="str">
        <f ca="1">IF(AND(AE290="SP AVERE",AA290&lt;&gt;$FU$1),MAX($FT$2:FT289)+1,IF(AND(GQ290="SP AVERE",AA290&lt;&gt;$FU$1),MAX($FT$2:FT289)+1,""))</f>
        <v/>
      </c>
      <c r="FU290" s="259">
        <f t="shared" ca="1" si="674"/>
        <v>0</v>
      </c>
      <c r="FV290" s="259">
        <f t="shared" si="675"/>
        <v>0</v>
      </c>
      <c r="FW290" s="259">
        <f ca="1">IFERROR(INDEX($FU$3:$FV$500,MATCH(ROWS($FW$3:FW290),$FU$3:$FU$500,0),2),0)</f>
        <v>0</v>
      </c>
      <c r="FX290" s="259">
        <f t="shared" ca="1" si="676"/>
        <v>0</v>
      </c>
      <c r="FY290" s="259">
        <f t="shared" ca="1" si="677"/>
        <v>0</v>
      </c>
      <c r="FZ290" s="259">
        <f ca="1">IF(FY290&gt;0,MAX($FZ$2:FZ289)+1,0)</f>
        <v>0</v>
      </c>
      <c r="GA290" s="259">
        <f ca="1">IFERROR(INDEX($FY$3:$FZ$500,MATCH(ROWS($GA$3:GA290),$FZ$3:$FZ$500,0),1),0)</f>
        <v>0</v>
      </c>
      <c r="GC290" s="259">
        <f t="shared" ca="1" si="678"/>
        <v>0</v>
      </c>
      <c r="GD290" s="259">
        <f t="shared" ca="1" si="679"/>
        <v>0</v>
      </c>
      <c r="GG290" s="259">
        <f t="shared" ca="1" si="680"/>
        <v>0</v>
      </c>
      <c r="GH290" s="259">
        <f t="shared" ca="1" si="681"/>
        <v>0</v>
      </c>
      <c r="GI290" s="259">
        <f t="shared" ca="1" si="682"/>
        <v>0</v>
      </c>
      <c r="GJ290" s="259">
        <f t="shared" ca="1" si="683"/>
        <v>0</v>
      </c>
      <c r="GK290" s="259">
        <f t="shared" ca="1" si="684"/>
        <v>0</v>
      </c>
      <c r="GL290" s="259">
        <f t="shared" ca="1" si="684"/>
        <v>0</v>
      </c>
      <c r="GM290" s="259">
        <f ca="1">IF(OR(GK290&gt;0,GL290&gt;0),MAX($GM$2:GM289)+1,0)</f>
        <v>0</v>
      </c>
      <c r="GN290" s="259" t="str">
        <f ca="1">IFERROR(INDEX($GD$3:$GM$400,MATCH(ROWS($GN$3:GN290),$GM$3:$GM$400,0),1),"")</f>
        <v/>
      </c>
      <c r="GO290" s="259" t="str">
        <f ca="1">IFERROR(INDEX($GD$3:$GM$400,MATCH(ROWS($GO$3:GO290),$GM$3:$GM$400,0),8),"")</f>
        <v/>
      </c>
      <c r="GP290" s="259" t="str">
        <f ca="1">IFERROR(INDEX($GD$3:$GM$400,MATCH(ROWS($GP$3:GP290),$GM$3:$GM$400,0),9),"")</f>
        <v/>
      </c>
      <c r="GQ290" s="259">
        <f t="shared" ca="1" si="668"/>
        <v>0</v>
      </c>
      <c r="GR290" s="259">
        <f t="shared" ca="1" si="685"/>
        <v>0</v>
      </c>
      <c r="GS290" s="259" t="str">
        <f t="shared" ca="1" si="686"/>
        <v/>
      </c>
      <c r="GT290" s="259" t="str">
        <f ca="1">IFERROR(INDEX($GD$3:$GS$400,MATCH(ROWS($GT$3:GT290),$GM$3:$GM$400,0),16),"")</f>
        <v/>
      </c>
      <c r="GU290" s="259">
        <f ca="1">IF(GQ290&lt;&gt;0,MAX($GU$2:$GU289)+1,0)</f>
        <v>0</v>
      </c>
      <c r="GV290" s="259">
        <f t="shared" ca="1" si="687"/>
        <v>0</v>
      </c>
      <c r="GW290" s="259" t="str">
        <f ca="1">IF(AND(IFERROR(INDEX($GU$3:$GV$400,MATCH(ROWS($GW$3:GW290),$GU$3:$GU$400,0),2),"")&lt;&gt;"",GW291&lt;&gt;""),CONCATENATE(IFERROR(INDEX($GU$3:$GV$400,MATCH(ROWS($GW$3:GW290),$GU$3:$GU$400,0),2),"")," - "),IFERROR(INDEX($GU$3:$GV$400,MATCH(ROWS($GW$3:GW290),$GU$3:$GU$400,0),2),""))</f>
        <v/>
      </c>
      <c r="GX290" s="259">
        <f ca="1">IF(OR(GN290="IVA NS/CREDITO",GN290="IVA NS/DEBITO",GN290="IVA C/ACCONTO",GN290="IMPOSTE C/ACCONTO"),MAX($GX$2:GX289)+1,0)</f>
        <v>0</v>
      </c>
      <c r="GY290" s="259" t="str">
        <f ca="1">IF(AND(IFERROR(INDEX($GN$3:$GX$200,MATCH(ROWS($GY$3:GY290),$GX$3:$GX$200,0),1),"")&lt;&gt;"",GY291&lt;&gt;""),CONCATENATE(IFERROR(INDEX($GN$3:$GX$200,MATCH(ROWS($GY$3:GY290),$GX$3:$GX$200,0),1),"")," - "),IFERROR(INDEX($GN$3:$GX$200,MATCH(ROWS($GY$3:GY290),$GX$3:$GX$200,0),1),""))</f>
        <v/>
      </c>
      <c r="JA290" s="259" t="str">
        <f t="shared" ca="1" si="688"/>
        <v/>
      </c>
      <c r="JB290" s="259">
        <f t="shared" ca="1" si="669"/>
        <v>0</v>
      </c>
      <c r="JC290" s="259">
        <f t="shared" ca="1" si="640"/>
        <v>0</v>
      </c>
      <c r="JD290" s="259">
        <f t="shared" ca="1" si="641"/>
        <v>0</v>
      </c>
      <c r="JM290" s="259">
        <f t="shared" ca="1" si="642"/>
        <v>0</v>
      </c>
    </row>
    <row r="291" spans="52:273">
      <c r="AZ291" s="259" t="str">
        <f t="shared" ca="1" si="689"/>
        <v/>
      </c>
      <c r="BA291" s="259">
        <f t="shared" ca="1" si="632"/>
        <v>0</v>
      </c>
      <c r="BB291" s="259">
        <f t="shared" ca="1" si="690"/>
        <v>0</v>
      </c>
      <c r="BC291" s="259">
        <f t="shared" ca="1" si="691"/>
        <v>0</v>
      </c>
      <c r="BD291" s="259">
        <f t="shared" ca="1" si="692"/>
        <v>0</v>
      </c>
      <c r="BE291" s="259">
        <f t="shared" ca="1" si="693"/>
        <v>0</v>
      </c>
      <c r="BQ291" s="259" t="str">
        <f ca="1">IFERROR(INDEX($BN$3:$BO$200,MATCH(ROWS(BQ$3:BQ291),$BP$3:$BP$220,0),1),"")</f>
        <v/>
      </c>
      <c r="CX291" s="259">
        <f ca="1">$EA$19</f>
        <v>17</v>
      </c>
      <c r="CY291" s="259" t="str">
        <f t="shared" ca="1" si="694"/>
        <v>MASTRO</v>
      </c>
      <c r="DA291" s="259" t="str">
        <f ca="1">IF(CY290="MASTRO","Conto n.","")</f>
        <v>Conto n.</v>
      </c>
      <c r="DB291" s="259" t="str">
        <f ca="1">IF(CY291=0,"",INDEX(PIANO_DEI_CONTI,MATCH(DC291,DENOMINAZIONE,0),1))</f>
        <v/>
      </c>
      <c r="DC291" s="259" t="str">
        <f ca="1">IF(OR(CY291=0,CY291="mastro"),"",CY291)</f>
        <v/>
      </c>
      <c r="DD291" s="259" t="str">
        <f ca="1">IF(AND($DA$2=TRUE,OR(INDEX(PIANO_DEI_CONTI,MATCH($DC291,DENOMINAZIONE,0),4)="A",INDEX(PIANO_DEI_CONTI,MATCH($DC291,DENOMINAZIONE,0),4)="D/A"),SUMIFS(AVERE,DENOMINAZIONE_GIORNALE,"="&amp;$DC291)&gt;SUMIFS(DARE,DENOMINAZIONE_GIORNALE,"="&amp;$DC291)),CONCATENATE("s ",FIXED(ABS(SUMIFS(AVERE,DENOMINAZIONE_GIORNALE,"="&amp;$DC291)-SUMIFS(DARE,DENOMINAZIONE_GIORNALE,"="&amp;$DC291)),2)),"")</f>
        <v/>
      </c>
      <c r="DE291" s="259" t="str">
        <f ca="1">IF(AND($DA$2=TRUE,OR(INDEX(PIANO_DEI_CONTI,MATCH($DC291,DENOMINAZIONE,0),4)="D",INDEX(PIANO_DEI_CONTI,MATCH($DC291,DENOMINAZIONE,0),4)="D/A"),SUMIFS(DARE,DENOMINAZIONE_GIORNALE,"="&amp;$DC291)&gt;SUMIFS(AVERE,DENOMINAZIONE_GIORNALE,"="&amp;$DC291)),CONCATENATE("s ",FIXED(ABS(SUMIFS(DARE,DENOMINAZIONE_GIORNALE,"="&amp;$DC291)-SUMIFS(AVERE,DENOMINAZIONE_GIORNALE,"="&amp;$DC291)),2)),"")</f>
        <v/>
      </c>
      <c r="DF291" s="259">
        <f ca="1">IF(AND(CX291=$DE$2,$DF$2&lt;&gt;0),0,IF(AND(DB291&lt;&gt;"",OR(DB290&lt;&gt;"",DB292&lt;&gt;"")),MAX($DF$2:DF290)+1,0))</f>
        <v>0</v>
      </c>
      <c r="DG291" s="259" t="str">
        <f>IF(IF(LIBRO_GIORNALE!E199="","",IFERROR(INDEX(PIANO_DEI_CONTI,MATCH(BB291,DENOMINAZIONE,0),1),0))=0,"",IF(LIBRO_GIORNALE!E199="","",IFERROR(INDEX(PIANO_DEI_CONTI,MATCH(BB291,DENOMINAZIONE,0),1),0)))</f>
        <v/>
      </c>
      <c r="EC291" s="259">
        <f>IF(IF(DG291&lt;&gt;"",REPLACE(DG291,3,1,""),0)&lt;&gt;0,MAX(EC$2:EC290)+1,0)</f>
        <v>0</v>
      </c>
      <c r="ED291" s="259">
        <f t="shared" ca="1" si="662"/>
        <v>0</v>
      </c>
      <c r="EL291" s="259">
        <f t="shared" si="670"/>
        <v>289</v>
      </c>
      <c r="EM291" s="259">
        <f ca="1">IF(AND(BA291&gt;0,BA291&lt;=$EM$1),MAX($EM$2:EM290)+1,0)</f>
        <v>0</v>
      </c>
      <c r="EN291" s="259">
        <f t="shared" ca="1" si="671"/>
        <v>291</v>
      </c>
      <c r="EP291" s="259" t="str">
        <f t="shared" ca="1" si="663"/>
        <v/>
      </c>
      <c r="EQ291" s="259">
        <f t="shared" ca="1" si="664"/>
        <v>0</v>
      </c>
      <c r="ER291" s="259">
        <f ca="1">IF(ISNA(EQ291),MAX(ER$2:ER290)+1,0)</f>
        <v>0</v>
      </c>
      <c r="ES291" s="259" t="str">
        <f t="shared" ca="1" si="672"/>
        <v/>
      </c>
      <c r="ET291" s="259" t="str">
        <f ca="1">IFERROR(UPPER(INDEX($ER$3:$ES$500,MATCH(ROWS(ET$3:ET291),$ER$3:$ER$500,0),2)),"")</f>
        <v/>
      </c>
      <c r="EW291" s="259">
        <f t="shared" ca="1" si="633"/>
        <v>1</v>
      </c>
      <c r="EX291" s="259">
        <v>189</v>
      </c>
      <c r="EY291" s="259">
        <f t="shared" ca="1" si="634"/>
        <v>0</v>
      </c>
      <c r="EZ291" s="259">
        <f t="shared" ca="1" si="635"/>
        <v>0</v>
      </c>
      <c r="FA291" s="259">
        <f t="shared" ca="1" si="636"/>
        <v>0</v>
      </c>
      <c r="FB291" s="259">
        <f t="shared" ca="1" si="637"/>
        <v>0</v>
      </c>
      <c r="FC291" s="259">
        <f t="shared" ca="1" si="638"/>
        <v>0</v>
      </c>
      <c r="FD291" s="259">
        <f t="shared" ca="1" si="665"/>
        <v>0</v>
      </c>
      <c r="FE291" s="259" t="str">
        <f t="shared" ca="1" si="666"/>
        <v/>
      </c>
      <c r="FF291" s="259" t="str">
        <f t="shared" ca="1" si="639"/>
        <v/>
      </c>
      <c r="FM291" s="259">
        <f t="shared" si="667"/>
        <v>0</v>
      </c>
      <c r="FN291" s="259">
        <f>IF(FM291&lt;0,MAX($FN$2:FN290)+1,0)</f>
        <v>0</v>
      </c>
      <c r="FO291" s="259" t="str">
        <f t="shared" si="673"/>
        <v/>
      </c>
      <c r="FP291" s="259" t="str">
        <f ca="1">IFERROR(INDEX($FN$3:$FO$400,MATCH(ROWS($FP$3:FP291),$FN$3:$FN$400,0),2),"")</f>
        <v/>
      </c>
      <c r="FQ291" s="259" t="str">
        <f>IF(AE291="SE AVERE",MAX($FQ$2:FQ290)+1,"")</f>
        <v/>
      </c>
      <c r="FR291" s="259" t="str">
        <f>IF(AE291="SE DARE",MAX($FR$2:FR290)+1,"")</f>
        <v/>
      </c>
      <c r="FS291" s="259" t="str">
        <f ca="1">IF(AND(AE291="SP DARE",AA291&lt;&gt;$FS$1,AA291&lt;&gt;$FT$1),MAX($FS$2:FS290)+1,IF(AND(GQ291="SP DARE",AA291&lt;&gt;$FS$1,AA291&lt;&gt;$FT$1),MAX($FS$2:FS290)+1,""))</f>
        <v/>
      </c>
      <c r="FT291" s="259" t="str">
        <f ca="1">IF(AND(AE291="SP AVERE",AA291&lt;&gt;$FU$1),MAX($FT$2:FT290)+1,IF(AND(GQ291="SP AVERE",AA291&lt;&gt;$FU$1),MAX($FT$2:FT290)+1,""))</f>
        <v/>
      </c>
      <c r="FU291" s="259">
        <f t="shared" ca="1" si="674"/>
        <v>0</v>
      </c>
      <c r="FV291" s="259">
        <f t="shared" si="675"/>
        <v>0</v>
      </c>
      <c r="FW291" s="259">
        <f ca="1">IFERROR(INDEX($FU$3:$FV$500,MATCH(ROWS($FW$3:FW291),$FU$3:$FU$500,0),2),0)</f>
        <v>0</v>
      </c>
      <c r="FX291" s="259">
        <f t="shared" ca="1" si="676"/>
        <v>0</v>
      </c>
      <c r="FY291" s="259">
        <f t="shared" ca="1" si="677"/>
        <v>0</v>
      </c>
      <c r="FZ291" s="259">
        <f ca="1">IF(FY291&gt;0,MAX($FZ$2:FZ290)+1,0)</f>
        <v>0</v>
      </c>
      <c r="GA291" s="259">
        <f ca="1">IFERROR(INDEX($FY$3:$FZ$500,MATCH(ROWS($GA$3:GA291),$FZ$3:$FZ$500,0),1),0)</f>
        <v>0</v>
      </c>
      <c r="GC291" s="259">
        <f t="shared" ca="1" si="678"/>
        <v>0</v>
      </c>
      <c r="GD291" s="259">
        <f t="shared" ca="1" si="679"/>
        <v>0</v>
      </c>
      <c r="GG291" s="259">
        <f t="shared" ca="1" si="680"/>
        <v>0</v>
      </c>
      <c r="GH291" s="259">
        <f t="shared" ca="1" si="681"/>
        <v>0</v>
      </c>
      <c r="GI291" s="259">
        <f t="shared" ca="1" si="682"/>
        <v>0</v>
      </c>
      <c r="GJ291" s="259">
        <f t="shared" ca="1" si="683"/>
        <v>0</v>
      </c>
      <c r="GK291" s="259">
        <f t="shared" ca="1" si="684"/>
        <v>0</v>
      </c>
      <c r="GL291" s="259">
        <f t="shared" ca="1" si="684"/>
        <v>0</v>
      </c>
      <c r="GM291" s="259">
        <f ca="1">IF(OR(GK291&gt;0,GL291&gt;0),MAX($GM$2:GM290)+1,0)</f>
        <v>0</v>
      </c>
      <c r="GN291" s="259" t="str">
        <f ca="1">IFERROR(INDEX($GD$3:$GM$400,MATCH(ROWS($GN$3:GN291),$GM$3:$GM$400,0),1),"")</f>
        <v/>
      </c>
      <c r="GO291" s="259" t="str">
        <f ca="1">IFERROR(INDEX($GD$3:$GM$400,MATCH(ROWS($GO$3:GO291),$GM$3:$GM$400,0),8),"")</f>
        <v/>
      </c>
      <c r="GP291" s="259" t="str">
        <f ca="1">IFERROR(INDEX($GD$3:$GM$400,MATCH(ROWS($GP$3:GP291),$GM$3:$GM$400,0),9),"")</f>
        <v/>
      </c>
      <c r="GQ291" s="259">
        <f t="shared" ca="1" si="668"/>
        <v>0</v>
      </c>
      <c r="GR291" s="259">
        <f t="shared" ca="1" si="685"/>
        <v>0</v>
      </c>
      <c r="GS291" s="259" t="str">
        <f t="shared" ca="1" si="686"/>
        <v/>
      </c>
      <c r="GT291" s="259" t="str">
        <f ca="1">IFERROR(INDEX($GD$3:$GS$400,MATCH(ROWS($GT$3:GT291),$GM$3:$GM$400,0),16),"")</f>
        <v/>
      </c>
      <c r="GU291" s="259">
        <f ca="1">IF(GQ291&lt;&gt;0,MAX($GU$2:$GU290)+1,0)</f>
        <v>0</v>
      </c>
      <c r="GV291" s="259">
        <f t="shared" ca="1" si="687"/>
        <v>0</v>
      </c>
      <c r="GW291" s="259" t="str">
        <f ca="1">IF(AND(IFERROR(INDEX($GU$3:$GV$400,MATCH(ROWS($GW$3:GW291),$GU$3:$GU$400,0),2),"")&lt;&gt;"",GW292&lt;&gt;""),CONCATENATE(IFERROR(INDEX($GU$3:$GV$400,MATCH(ROWS($GW$3:GW291),$GU$3:$GU$400,0),2),"")," - "),IFERROR(INDEX($GU$3:$GV$400,MATCH(ROWS($GW$3:GW291),$GU$3:$GU$400,0),2),""))</f>
        <v/>
      </c>
      <c r="GX291" s="259">
        <f ca="1">IF(OR(GN291="IVA NS/CREDITO",GN291="IVA NS/DEBITO",GN291="IVA C/ACCONTO",GN291="IMPOSTE C/ACCONTO"),MAX($GX$2:GX290)+1,0)</f>
        <v>0</v>
      </c>
      <c r="GY291" s="259" t="str">
        <f ca="1">IF(AND(IFERROR(INDEX($GN$3:$GX$200,MATCH(ROWS($GY$3:GY291),$GX$3:$GX$200,0),1),"")&lt;&gt;"",GY292&lt;&gt;""),CONCATENATE(IFERROR(INDEX($GN$3:$GX$200,MATCH(ROWS($GY$3:GY291),$GX$3:$GX$200,0),1),"")," - "),IFERROR(INDEX($GN$3:$GX$200,MATCH(ROWS($GY$3:GY291),$GX$3:$GX$200,0),1),""))</f>
        <v/>
      </c>
      <c r="JA291" s="259" t="str">
        <f t="shared" ca="1" si="688"/>
        <v/>
      </c>
      <c r="JB291" s="259">
        <f t="shared" ca="1" si="669"/>
        <v>0</v>
      </c>
      <c r="JC291" s="259">
        <f t="shared" ca="1" si="640"/>
        <v>0</v>
      </c>
      <c r="JD291" s="259">
        <f t="shared" ca="1" si="641"/>
        <v>0</v>
      </c>
      <c r="JM291" s="259">
        <f t="shared" ca="1" si="642"/>
        <v>0</v>
      </c>
    </row>
    <row r="292" spans="52:273">
      <c r="AZ292" s="259" t="str">
        <f t="shared" ca="1" si="689"/>
        <v/>
      </c>
      <c r="BA292" s="259">
        <f t="shared" ca="1" si="632"/>
        <v>0</v>
      </c>
      <c r="BB292" s="259">
        <f t="shared" ca="1" si="690"/>
        <v>0</v>
      </c>
      <c r="BC292" s="259">
        <f t="shared" ca="1" si="691"/>
        <v>0</v>
      </c>
      <c r="BD292" s="259">
        <f t="shared" ca="1" si="692"/>
        <v>0</v>
      </c>
      <c r="BE292" s="259">
        <f t="shared" ca="1" si="693"/>
        <v>0</v>
      </c>
      <c r="BQ292" s="259" t="str">
        <f ca="1">IFERROR(INDEX($BN$3:$BO$200,MATCH(ROWS(BQ$3:BQ292),$BP$3:$BP$220,0),1),"")</f>
        <v/>
      </c>
      <c r="CX292" s="259">
        <f t="shared" ref="CX292:CX307" ca="1" si="705">$EA$19</f>
        <v>17</v>
      </c>
      <c r="CY292" s="259" t="str">
        <f t="shared" ca="1" si="694"/>
        <v>MASTRO</v>
      </c>
      <c r="DA292" s="259" t="str">
        <f ca="1">IF(DB291="","","Num. riga")</f>
        <v/>
      </c>
      <c r="DB292" s="259" t="str">
        <f t="shared" ref="DB292" ca="1" si="706">IF(DB291="","","Data")</f>
        <v/>
      </c>
      <c r="DC292" s="259" t="str">
        <f ca="1">IF(DB291="","","Operazioni")</f>
        <v/>
      </c>
      <c r="DD292" s="259" t="str">
        <f ca="1">IF(DB291="","","Dare        ")</f>
        <v/>
      </c>
      <c r="DE292" s="259" t="str">
        <f ca="1">IF(DB291="","","Avere        ")</f>
        <v/>
      </c>
      <c r="DF292" s="259">
        <f ca="1">IF(AND(CX292=$DE$2,$DF$2&lt;&gt;0),0,IF(AND(DB292&lt;&gt;"",OR(DB291&lt;&gt;"",DB293&lt;&gt;"")),MAX($DF$2:DF291)+1,0))</f>
        <v>0</v>
      </c>
      <c r="DG292" s="259" t="str">
        <f>IF(IF(LIBRO_GIORNALE!E200="","",IFERROR(INDEX(PIANO_DEI_CONTI,MATCH(BB292,DENOMINAZIONE,0),1),0))=0,"",IF(LIBRO_GIORNALE!E200="","",IFERROR(INDEX(PIANO_DEI_CONTI,MATCH(BB292,DENOMINAZIONE,0),1),0)))</f>
        <v/>
      </c>
      <c r="EC292" s="259">
        <f>IF(IF(DG292&lt;&gt;"",REPLACE(DG292,3,1,""),0)&lt;&gt;0,MAX(EC$2:EC291)+1,0)</f>
        <v>0</v>
      </c>
      <c r="ED292" s="259">
        <f t="shared" ca="1" si="662"/>
        <v>0</v>
      </c>
      <c r="EL292" s="259">
        <f t="shared" si="670"/>
        <v>290</v>
      </c>
      <c r="EM292" s="259">
        <f ca="1">IF(AND(BA292&gt;0,BA292&lt;=$EM$1),MAX($EM$2:EM291)+1,0)</f>
        <v>0</v>
      </c>
      <c r="EN292" s="259">
        <f t="shared" ca="1" si="671"/>
        <v>292</v>
      </c>
      <c r="EP292" s="259" t="str">
        <f t="shared" ca="1" si="663"/>
        <v/>
      </c>
      <c r="EQ292" s="259">
        <f t="shared" ca="1" si="664"/>
        <v>0</v>
      </c>
      <c r="ER292" s="259">
        <f ca="1">IF(ISNA(EQ292),MAX(ER$2:ER291)+1,0)</f>
        <v>0</v>
      </c>
      <c r="ES292" s="259" t="str">
        <f t="shared" ca="1" si="672"/>
        <v/>
      </c>
      <c r="ET292" s="259" t="str">
        <f ca="1">IFERROR(UPPER(INDEX($ER$3:$ES$500,MATCH(ROWS(ET$3:ET292),$ER$3:$ER$500,0),2)),"")</f>
        <v/>
      </c>
      <c r="EW292" s="259">
        <f t="shared" ca="1" si="633"/>
        <v>1</v>
      </c>
      <c r="EX292" s="259">
        <v>190</v>
      </c>
      <c r="EY292" s="259">
        <f t="shared" ca="1" si="634"/>
        <v>0</v>
      </c>
      <c r="EZ292" s="259">
        <f t="shared" ca="1" si="635"/>
        <v>0</v>
      </c>
      <c r="FA292" s="259">
        <f t="shared" ca="1" si="636"/>
        <v>0</v>
      </c>
      <c r="FB292" s="259">
        <f t="shared" ca="1" si="637"/>
        <v>0</v>
      </c>
      <c r="FC292" s="259">
        <f t="shared" ca="1" si="638"/>
        <v>0</v>
      </c>
      <c r="FD292" s="259">
        <f t="shared" ca="1" si="665"/>
        <v>0</v>
      </c>
      <c r="FE292" s="259" t="str">
        <f t="shared" ca="1" si="666"/>
        <v/>
      </c>
      <c r="FF292" s="259" t="str">
        <f t="shared" ca="1" si="639"/>
        <v/>
      </c>
      <c r="FM292" s="259">
        <f t="shared" si="667"/>
        <v>0</v>
      </c>
      <c r="FN292" s="259">
        <f>IF(FM292&lt;0,MAX($FN$2:FN291)+1,0)</f>
        <v>0</v>
      </c>
      <c r="FO292" s="259" t="str">
        <f t="shared" si="673"/>
        <v/>
      </c>
      <c r="FP292" s="259" t="str">
        <f ca="1">IFERROR(INDEX($FN$3:$FO$400,MATCH(ROWS($FP$3:FP292),$FN$3:$FN$400,0),2),"")</f>
        <v/>
      </c>
      <c r="FQ292" s="259" t="str">
        <f>IF(AE292="SE AVERE",MAX($FQ$2:FQ291)+1,"")</f>
        <v/>
      </c>
      <c r="FR292" s="259" t="str">
        <f>IF(AE292="SE DARE",MAX($FR$2:FR291)+1,"")</f>
        <v/>
      </c>
      <c r="FS292" s="259" t="str">
        <f ca="1">IF(AND(AE292="SP DARE",AA292&lt;&gt;$FS$1,AA292&lt;&gt;$FT$1),MAX($FS$2:FS291)+1,IF(AND(GQ292="SP DARE",AA292&lt;&gt;$FS$1,AA292&lt;&gt;$FT$1),MAX($FS$2:FS291)+1,""))</f>
        <v/>
      </c>
      <c r="FT292" s="259" t="str">
        <f ca="1">IF(AND(AE292="SP AVERE",AA292&lt;&gt;$FU$1),MAX($FT$2:FT291)+1,IF(AND(GQ292="SP AVERE",AA292&lt;&gt;$FU$1),MAX($FT$2:FT291)+1,""))</f>
        <v/>
      </c>
      <c r="FU292" s="259">
        <f t="shared" ca="1" si="674"/>
        <v>0</v>
      </c>
      <c r="FV292" s="259">
        <f t="shared" si="675"/>
        <v>0</v>
      </c>
      <c r="FW292" s="259">
        <f ca="1">IFERROR(INDEX($FU$3:$FV$500,MATCH(ROWS($FW$3:FW292),$FU$3:$FU$500,0),2),0)</f>
        <v>0</v>
      </c>
      <c r="FX292" s="259">
        <f t="shared" ca="1" si="676"/>
        <v>0</v>
      </c>
      <c r="FY292" s="259">
        <f t="shared" ca="1" si="677"/>
        <v>0</v>
      </c>
      <c r="FZ292" s="259">
        <f ca="1">IF(FY292&gt;0,MAX($FZ$2:FZ291)+1,0)</f>
        <v>0</v>
      </c>
      <c r="GA292" s="259">
        <f ca="1">IFERROR(INDEX($FY$3:$FZ$500,MATCH(ROWS($GA$3:GA292),$FZ$3:$FZ$500,0),1),0)</f>
        <v>0</v>
      </c>
      <c r="GC292" s="259">
        <f t="shared" ca="1" si="678"/>
        <v>0</v>
      </c>
      <c r="GD292" s="259">
        <f t="shared" ca="1" si="679"/>
        <v>0</v>
      </c>
      <c r="GG292" s="259">
        <f t="shared" ca="1" si="680"/>
        <v>0</v>
      </c>
      <c r="GH292" s="259">
        <f t="shared" ca="1" si="681"/>
        <v>0</v>
      </c>
      <c r="GI292" s="259">
        <f t="shared" ca="1" si="682"/>
        <v>0</v>
      </c>
      <c r="GJ292" s="259">
        <f t="shared" ca="1" si="683"/>
        <v>0</v>
      </c>
      <c r="GK292" s="259">
        <f t="shared" ca="1" si="684"/>
        <v>0</v>
      </c>
      <c r="GL292" s="259">
        <f t="shared" ca="1" si="684"/>
        <v>0</v>
      </c>
      <c r="GM292" s="259">
        <f ca="1">IF(OR(GK292&gt;0,GL292&gt;0),MAX($GM$2:GM291)+1,0)</f>
        <v>0</v>
      </c>
      <c r="GN292" s="259" t="str">
        <f ca="1">IFERROR(INDEX($GD$3:$GM$400,MATCH(ROWS($GN$3:GN292),$GM$3:$GM$400,0),1),"")</f>
        <v/>
      </c>
      <c r="GO292" s="259" t="str">
        <f ca="1">IFERROR(INDEX($GD$3:$GM$400,MATCH(ROWS($GO$3:GO292),$GM$3:$GM$400,0),8),"")</f>
        <v/>
      </c>
      <c r="GP292" s="259" t="str">
        <f ca="1">IFERROR(INDEX($GD$3:$GM$400,MATCH(ROWS($GP$3:GP292),$GM$3:$GM$400,0),9),"")</f>
        <v/>
      </c>
      <c r="GQ292" s="259">
        <f t="shared" ca="1" si="668"/>
        <v>0</v>
      </c>
      <c r="GR292" s="259">
        <f t="shared" ca="1" si="685"/>
        <v>0</v>
      </c>
      <c r="GS292" s="259" t="str">
        <f t="shared" ca="1" si="686"/>
        <v/>
      </c>
      <c r="GT292" s="259" t="str">
        <f ca="1">IFERROR(INDEX($GD$3:$GS$400,MATCH(ROWS($GT$3:GT292),$GM$3:$GM$400,0),16),"")</f>
        <v/>
      </c>
      <c r="GU292" s="259">
        <f ca="1">IF(GQ292&lt;&gt;0,MAX($GU$2:$GU291)+1,0)</f>
        <v>0</v>
      </c>
      <c r="GV292" s="259">
        <f t="shared" ca="1" si="687"/>
        <v>0</v>
      </c>
      <c r="GW292" s="259" t="str">
        <f ca="1">IF(AND(IFERROR(INDEX($GU$3:$GV$400,MATCH(ROWS($GW$3:GW292),$GU$3:$GU$400,0),2),"")&lt;&gt;"",GW293&lt;&gt;""),CONCATENATE(IFERROR(INDEX($GU$3:$GV$400,MATCH(ROWS($GW$3:GW292),$GU$3:$GU$400,0),2),"")," - "),IFERROR(INDEX($GU$3:$GV$400,MATCH(ROWS($GW$3:GW292),$GU$3:$GU$400,0),2),""))</f>
        <v/>
      </c>
      <c r="GX292" s="259">
        <f ca="1">IF(OR(GN292="IVA NS/CREDITO",GN292="IVA NS/DEBITO",GN292="IVA C/ACCONTO",GN292="IMPOSTE C/ACCONTO"),MAX($GX$2:GX291)+1,0)</f>
        <v>0</v>
      </c>
      <c r="GY292" s="259" t="str">
        <f ca="1">IF(AND(IFERROR(INDEX($GN$3:$GX$200,MATCH(ROWS($GY$3:GY292),$GX$3:$GX$200,0),1),"")&lt;&gt;"",GY293&lt;&gt;""),CONCATENATE(IFERROR(INDEX($GN$3:$GX$200,MATCH(ROWS($GY$3:GY292),$GX$3:$GX$200,0),1),"")," - "),IFERROR(INDEX($GN$3:$GX$200,MATCH(ROWS($GY$3:GY292),$GX$3:$GX$200,0),1),""))</f>
        <v/>
      </c>
      <c r="JA292" s="259" t="str">
        <f t="shared" ca="1" si="688"/>
        <v/>
      </c>
      <c r="JB292" s="259">
        <f t="shared" ca="1" si="669"/>
        <v>0</v>
      </c>
      <c r="JC292" s="259">
        <f t="shared" ca="1" si="640"/>
        <v>0</v>
      </c>
      <c r="JD292" s="259">
        <f t="shared" ca="1" si="641"/>
        <v>0</v>
      </c>
      <c r="JM292" s="259">
        <f t="shared" ca="1" si="642"/>
        <v>0</v>
      </c>
    </row>
    <row r="293" spans="52:273">
      <c r="AZ293" s="259" t="str">
        <f t="shared" ca="1" si="689"/>
        <v/>
      </c>
      <c r="BA293" s="259">
        <f t="shared" ca="1" si="632"/>
        <v>0</v>
      </c>
      <c r="BB293" s="259">
        <f t="shared" ca="1" si="690"/>
        <v>0</v>
      </c>
      <c r="BC293" s="259">
        <f t="shared" ca="1" si="691"/>
        <v>0</v>
      </c>
      <c r="BD293" s="259">
        <f t="shared" ca="1" si="692"/>
        <v>0</v>
      </c>
      <c r="BE293" s="259">
        <f t="shared" ca="1" si="693"/>
        <v>0</v>
      </c>
      <c r="BQ293" s="259" t="str">
        <f ca="1">IFERROR(INDEX($BN$3:$BO$200,MATCH(ROWS(BQ$3:BQ293),$BP$3:$BP$220,0),1),"")</f>
        <v/>
      </c>
      <c r="CX293" s="259">
        <f t="shared" ca="1" si="705"/>
        <v>17</v>
      </c>
      <c r="CY293" s="259" t="str">
        <f t="shared" ca="1" si="694"/>
        <v>MASTRO</v>
      </c>
      <c r="CZ293" s="259" t="e">
        <f t="shared" ref="CZ293:CZ307" ca="1" si="707">SUM(MATCH($CY293,INDIRECT(ADDRESS(SUM(CZ292)+3,54)&amp;":"&amp;ADDRESS(400,54)),0),CZ292)</f>
        <v>#N/A</v>
      </c>
      <c r="DA293" s="259" t="str">
        <f ca="1">IFERROR(INDEX(LIBRO_GIORNALE,CZ293,1),"")</f>
        <v/>
      </c>
      <c r="DB293" s="259" t="str">
        <f t="shared" ref="DB293:DB307" ca="1" si="708">IF(RIGHT(TEXT(IFERROR(INDEX(LIBRO_GIORNALE,CZ293,2),""),"gg/mm/aa"),1)="a",TEXT(IFERROR(INDEX(LIBRO_GIORNALE,CZ293,2),""),"dd/mm/yy"),TEXT(IFERROR(INDEX(LIBRO_GIORNALE,CZ293,2),""),"gg/mm/aa"))</f>
        <v/>
      </c>
      <c r="DC293" s="259" t="str">
        <f t="shared" ref="DC293:DC307" ca="1" si="709">IF(IFERROR(INDEX(LIBRO_GIORNALE,CZ293,4),"")=0,"manca la descrizione dell'operazione",IFERROR(INDEX(LIBRO_GIORNALE,CZ293,4),""))</f>
        <v/>
      </c>
      <c r="DD293" s="259" t="str">
        <f t="shared" ref="DD293:DD307" ca="1" si="710">IFERROR(IF(INDEX(LIBRO_GIORNALE,CZ293,5)&gt;0,INDEX(LIBRO_GIORNALE,CZ293,5),""),"")</f>
        <v/>
      </c>
      <c r="DE293" s="259" t="str">
        <f t="shared" ref="DE293:DE307" ca="1" si="711">IFERROR(IF(INDEX(LIBRO_GIORNALE,CZ293,6)&gt;0,INDEX(LIBRO_GIORNALE,CZ293,6),""),"")</f>
        <v/>
      </c>
      <c r="DF293" s="259">
        <f ca="1">IF(AND(CX293=$DE$2,$DF$2&lt;&gt;0),0,IF(AND(DB293&lt;&gt;"",OR(DB292&lt;&gt;"",DB294&lt;&gt;"")),MAX($DF$2:DF292)+1,0))</f>
        <v>0</v>
      </c>
      <c r="DG293" s="259" t="str">
        <f>IF(IF(LIBRO_GIORNALE!E201="","",IFERROR(INDEX(PIANO_DEI_CONTI,MATCH(BB293,DENOMINAZIONE,0),1),0))=0,"",IF(LIBRO_GIORNALE!E201="","",IFERROR(INDEX(PIANO_DEI_CONTI,MATCH(BB293,DENOMINAZIONE,0),1),0)))</f>
        <v/>
      </c>
      <c r="EC293" s="259">
        <f>IF(IF(DG293&lt;&gt;"",REPLACE(DG293,3,1,""),0)&lt;&gt;0,MAX(EC$2:EC292)+1,0)</f>
        <v>0</v>
      </c>
      <c r="ED293" s="259">
        <f t="shared" ca="1" si="662"/>
        <v>0</v>
      </c>
      <c r="EL293" s="259">
        <f t="shared" si="670"/>
        <v>291</v>
      </c>
      <c r="EM293" s="259">
        <f ca="1">IF(AND(BA293&gt;0,BA293&lt;=$EM$1),MAX($EM$2:EM292)+1,0)</f>
        <v>0</v>
      </c>
      <c r="EN293" s="259">
        <f t="shared" ca="1" si="671"/>
        <v>293</v>
      </c>
      <c r="EP293" s="259" t="str">
        <f t="shared" ca="1" si="663"/>
        <v/>
      </c>
      <c r="EQ293" s="259">
        <f t="shared" ca="1" si="664"/>
        <v>0</v>
      </c>
      <c r="ER293" s="259">
        <f ca="1">IF(ISNA(EQ293),MAX(ER$2:ER292)+1,0)</f>
        <v>0</v>
      </c>
      <c r="ES293" s="259" t="str">
        <f t="shared" ca="1" si="672"/>
        <v/>
      </c>
      <c r="ET293" s="259" t="str">
        <f ca="1">IFERROR(UPPER(INDEX($ER$3:$ES$500,MATCH(ROWS(ET$3:ET293),$ER$3:$ER$500,0),2)),"")</f>
        <v/>
      </c>
      <c r="EW293" s="259">
        <f t="shared" ca="1" si="633"/>
        <v>1</v>
      </c>
      <c r="EX293" s="259">
        <v>191</v>
      </c>
      <c r="EY293" s="259">
        <f t="shared" ca="1" si="634"/>
        <v>0</v>
      </c>
      <c r="EZ293" s="259">
        <f t="shared" ca="1" si="635"/>
        <v>0</v>
      </c>
      <c r="FA293" s="259">
        <f t="shared" ca="1" si="636"/>
        <v>0</v>
      </c>
      <c r="FB293" s="259">
        <f t="shared" ca="1" si="637"/>
        <v>0</v>
      </c>
      <c r="FC293" s="259">
        <f t="shared" ca="1" si="638"/>
        <v>0</v>
      </c>
      <c r="FD293" s="259">
        <f t="shared" ca="1" si="665"/>
        <v>0</v>
      </c>
      <c r="FE293" s="259" t="str">
        <f t="shared" ca="1" si="666"/>
        <v/>
      </c>
      <c r="FF293" s="259" t="str">
        <f t="shared" ca="1" si="639"/>
        <v/>
      </c>
      <c r="FM293" s="259">
        <f t="shared" si="667"/>
        <v>0</v>
      </c>
      <c r="FN293" s="259">
        <f>IF(FM293&lt;0,MAX($FN$2:FN292)+1,0)</f>
        <v>0</v>
      </c>
      <c r="FO293" s="259" t="str">
        <f t="shared" si="673"/>
        <v/>
      </c>
      <c r="FP293" s="259" t="str">
        <f ca="1">IFERROR(INDEX($FN$3:$FO$400,MATCH(ROWS($FP$3:FP293),$FN$3:$FN$400,0),2),"")</f>
        <v/>
      </c>
      <c r="FQ293" s="259" t="str">
        <f>IF(AE293="SE AVERE",MAX($FQ$2:FQ292)+1,"")</f>
        <v/>
      </c>
      <c r="FR293" s="259" t="str">
        <f>IF(AE293="SE DARE",MAX($FR$2:FR292)+1,"")</f>
        <v/>
      </c>
      <c r="FS293" s="259" t="str">
        <f ca="1">IF(AND(AE293="SP DARE",AA293&lt;&gt;$FS$1,AA293&lt;&gt;$FT$1),MAX($FS$2:FS292)+1,IF(AND(GQ293="SP DARE",AA293&lt;&gt;$FS$1,AA293&lt;&gt;$FT$1),MAX($FS$2:FS292)+1,""))</f>
        <v/>
      </c>
      <c r="FT293" s="259" t="str">
        <f ca="1">IF(AND(AE293="SP AVERE",AA293&lt;&gt;$FU$1),MAX($FT$2:FT292)+1,IF(AND(GQ293="SP AVERE",AA293&lt;&gt;$FU$1),MAX($FT$2:FT292)+1,""))</f>
        <v/>
      </c>
      <c r="FU293" s="259">
        <f t="shared" ca="1" si="674"/>
        <v>0</v>
      </c>
      <c r="FV293" s="259">
        <f t="shared" si="675"/>
        <v>0</v>
      </c>
      <c r="FW293" s="259">
        <f ca="1">IFERROR(INDEX($FU$3:$FV$500,MATCH(ROWS($FW$3:FW293),$FU$3:$FU$500,0),2),0)</f>
        <v>0</v>
      </c>
      <c r="FX293" s="259">
        <f t="shared" ca="1" si="676"/>
        <v>0</v>
      </c>
      <c r="FY293" s="259">
        <f t="shared" ca="1" si="677"/>
        <v>0</v>
      </c>
      <c r="FZ293" s="259">
        <f ca="1">IF(FY293&gt;0,MAX($FZ$2:FZ292)+1,0)</f>
        <v>0</v>
      </c>
      <c r="GA293" s="259">
        <f ca="1">IFERROR(INDEX($FY$3:$FZ$500,MATCH(ROWS($GA$3:GA293),$FZ$3:$FZ$500,0),1),0)</f>
        <v>0</v>
      </c>
      <c r="GC293" s="259">
        <f t="shared" ca="1" si="678"/>
        <v>0</v>
      </c>
      <c r="GD293" s="259">
        <f t="shared" ca="1" si="679"/>
        <v>0</v>
      </c>
      <c r="GG293" s="259">
        <f t="shared" ca="1" si="680"/>
        <v>0</v>
      </c>
      <c r="GH293" s="259">
        <f t="shared" ca="1" si="681"/>
        <v>0</v>
      </c>
      <c r="GI293" s="259">
        <f t="shared" ca="1" si="682"/>
        <v>0</v>
      </c>
      <c r="GJ293" s="259">
        <f t="shared" ca="1" si="683"/>
        <v>0</v>
      </c>
      <c r="GK293" s="259">
        <f t="shared" ca="1" si="684"/>
        <v>0</v>
      </c>
      <c r="GL293" s="259">
        <f t="shared" ca="1" si="684"/>
        <v>0</v>
      </c>
      <c r="GM293" s="259">
        <f ca="1">IF(OR(GK293&gt;0,GL293&gt;0),MAX($GM$2:GM292)+1,0)</f>
        <v>0</v>
      </c>
      <c r="GN293" s="259" t="str">
        <f ca="1">IFERROR(INDEX($GD$3:$GM$400,MATCH(ROWS($GN$3:GN293),$GM$3:$GM$400,0),1),"")</f>
        <v/>
      </c>
      <c r="GO293" s="259" t="str">
        <f ca="1">IFERROR(INDEX($GD$3:$GM$400,MATCH(ROWS($GO$3:GO293),$GM$3:$GM$400,0),8),"")</f>
        <v/>
      </c>
      <c r="GP293" s="259" t="str">
        <f ca="1">IFERROR(INDEX($GD$3:$GM$400,MATCH(ROWS($GP$3:GP293),$GM$3:$GM$400,0),9),"")</f>
        <v/>
      </c>
      <c r="GQ293" s="259">
        <f t="shared" ca="1" si="668"/>
        <v>0</v>
      </c>
      <c r="GR293" s="259">
        <f t="shared" ca="1" si="685"/>
        <v>0</v>
      </c>
      <c r="GS293" s="259" t="str">
        <f t="shared" ca="1" si="686"/>
        <v/>
      </c>
      <c r="GT293" s="259" t="str">
        <f ca="1">IFERROR(INDEX($GD$3:$GS$400,MATCH(ROWS($GT$3:GT293),$GM$3:$GM$400,0),16),"")</f>
        <v/>
      </c>
      <c r="GU293" s="259">
        <f ca="1">IF(GQ293&lt;&gt;0,MAX($GU$2:$GU292)+1,0)</f>
        <v>0</v>
      </c>
      <c r="GV293" s="259">
        <f t="shared" ca="1" si="687"/>
        <v>0</v>
      </c>
      <c r="GW293" s="259" t="str">
        <f ca="1">IF(AND(IFERROR(INDEX($GU$3:$GV$400,MATCH(ROWS($GW$3:GW293),$GU$3:$GU$400,0),2),"")&lt;&gt;"",GW294&lt;&gt;""),CONCATENATE(IFERROR(INDEX($GU$3:$GV$400,MATCH(ROWS($GW$3:GW293),$GU$3:$GU$400,0),2),"")," - "),IFERROR(INDEX($GU$3:$GV$400,MATCH(ROWS($GW$3:GW293),$GU$3:$GU$400,0),2),""))</f>
        <v/>
      </c>
      <c r="GX293" s="259">
        <f ca="1">IF(OR(GN293="IVA NS/CREDITO",GN293="IVA NS/DEBITO",GN293="IVA C/ACCONTO",GN293="IMPOSTE C/ACCONTO"),MAX($GX$2:GX292)+1,0)</f>
        <v>0</v>
      </c>
      <c r="GY293" s="259" t="str">
        <f ca="1">IF(AND(IFERROR(INDEX($GN$3:$GX$200,MATCH(ROWS($GY$3:GY293),$GX$3:$GX$200,0),1),"")&lt;&gt;"",GY294&lt;&gt;""),CONCATENATE(IFERROR(INDEX($GN$3:$GX$200,MATCH(ROWS($GY$3:GY293),$GX$3:$GX$200,0),1),"")," - "),IFERROR(INDEX($GN$3:$GX$200,MATCH(ROWS($GY$3:GY293),$GX$3:$GX$200,0),1),""))</f>
        <v/>
      </c>
      <c r="JA293" s="259" t="str">
        <f t="shared" ca="1" si="688"/>
        <v/>
      </c>
      <c r="JB293" s="259">
        <f t="shared" ca="1" si="669"/>
        <v>0</v>
      </c>
      <c r="JC293" s="259">
        <f t="shared" ca="1" si="640"/>
        <v>0</v>
      </c>
      <c r="JD293" s="259">
        <f t="shared" ca="1" si="641"/>
        <v>0</v>
      </c>
      <c r="JM293" s="259">
        <f t="shared" ca="1" si="642"/>
        <v>0</v>
      </c>
    </row>
    <row r="294" spans="52:273">
      <c r="AZ294" s="259" t="str">
        <f t="shared" ca="1" si="689"/>
        <v/>
      </c>
      <c r="BA294" s="259">
        <f t="shared" ca="1" si="632"/>
        <v>0</v>
      </c>
      <c r="BB294" s="259">
        <f t="shared" ca="1" si="690"/>
        <v>0</v>
      </c>
      <c r="BC294" s="259">
        <f t="shared" ca="1" si="691"/>
        <v>0</v>
      </c>
      <c r="BD294" s="259">
        <f t="shared" ca="1" si="692"/>
        <v>0</v>
      </c>
      <c r="BE294" s="259">
        <f t="shared" ca="1" si="693"/>
        <v>0</v>
      </c>
      <c r="BQ294" s="259" t="str">
        <f ca="1">IFERROR(INDEX($BN$3:$BO$200,MATCH(ROWS(BQ$3:BQ294),$BP$3:$BP$220,0),1),"")</f>
        <v/>
      </c>
      <c r="CX294" s="259">
        <f t="shared" ca="1" si="705"/>
        <v>17</v>
      </c>
      <c r="CY294" s="259" t="str">
        <f t="shared" ca="1" si="694"/>
        <v>MASTRO</v>
      </c>
      <c r="CZ294" s="259" t="e">
        <f t="shared" ca="1" si="707"/>
        <v>#N/A</v>
      </c>
      <c r="DA294" s="259" t="str">
        <f t="shared" ref="DA294:DA307" ca="1" si="712">IFERROR(INDEX(LIBRO_GIORNALE,CZ294,1),"")</f>
        <v/>
      </c>
      <c r="DB294" s="259" t="str">
        <f t="shared" ca="1" si="708"/>
        <v/>
      </c>
      <c r="DC294" s="259" t="str">
        <f t="shared" ca="1" si="709"/>
        <v/>
      </c>
      <c r="DD294" s="259" t="str">
        <f t="shared" ca="1" si="710"/>
        <v/>
      </c>
      <c r="DE294" s="259" t="str">
        <f t="shared" ca="1" si="711"/>
        <v/>
      </c>
      <c r="DF294" s="259">
        <f ca="1">IF(AND(CX294=$DE$2,$DF$2&lt;&gt;0),0,IF(AND(DB294&lt;&gt;"",OR(DB293&lt;&gt;"",DB295&lt;&gt;"")),MAX($DF$2:DF293)+1,0))</f>
        <v>0</v>
      </c>
      <c r="DG294" s="259" t="str">
        <f>IF(IF(LIBRO_GIORNALE!E202="","",IFERROR(INDEX(PIANO_DEI_CONTI,MATCH(BB294,DENOMINAZIONE,0),1),0))=0,"",IF(LIBRO_GIORNALE!E202="","",IFERROR(INDEX(PIANO_DEI_CONTI,MATCH(BB294,DENOMINAZIONE,0),1),0)))</f>
        <v/>
      </c>
      <c r="EC294" s="259">
        <f>IF(IF(DG294&lt;&gt;"",REPLACE(DG294,3,1,""),0)&lt;&gt;0,MAX(EC$2:EC293)+1,0)</f>
        <v>0</v>
      </c>
      <c r="ED294" s="259">
        <f t="shared" ca="1" si="662"/>
        <v>0</v>
      </c>
      <c r="EL294" s="259">
        <f t="shared" si="670"/>
        <v>292</v>
      </c>
      <c r="EM294" s="259">
        <f ca="1">IF(AND(BA294&gt;0,BA294&lt;=$EM$1),MAX($EM$2:EM293)+1,0)</f>
        <v>0</v>
      </c>
      <c r="EN294" s="259">
        <f t="shared" ca="1" si="671"/>
        <v>294</v>
      </c>
      <c r="EP294" s="259" t="str">
        <f t="shared" ca="1" si="663"/>
        <v/>
      </c>
      <c r="EQ294" s="259">
        <f t="shared" ca="1" si="664"/>
        <v>0</v>
      </c>
      <c r="ER294" s="259">
        <f ca="1">IF(ISNA(EQ294),MAX(ER$2:ER293)+1,0)</f>
        <v>0</v>
      </c>
      <c r="ES294" s="259" t="str">
        <f t="shared" ca="1" si="672"/>
        <v/>
      </c>
      <c r="ET294" s="259" t="str">
        <f ca="1">IFERROR(UPPER(INDEX($ER$3:$ES$500,MATCH(ROWS(ET$3:ET294),$ER$3:$ER$500,0),2)),"")</f>
        <v/>
      </c>
      <c r="EW294" s="259">
        <f t="shared" ca="1" si="633"/>
        <v>1</v>
      </c>
      <c r="EX294" s="259">
        <v>192</v>
      </c>
      <c r="EY294" s="259">
        <f t="shared" ca="1" si="634"/>
        <v>0</v>
      </c>
      <c r="EZ294" s="259">
        <f t="shared" ca="1" si="635"/>
        <v>0</v>
      </c>
      <c r="FA294" s="259">
        <f t="shared" ca="1" si="636"/>
        <v>0</v>
      </c>
      <c r="FB294" s="259">
        <f t="shared" ca="1" si="637"/>
        <v>0</v>
      </c>
      <c r="FC294" s="259">
        <f t="shared" ca="1" si="638"/>
        <v>0</v>
      </c>
      <c r="FD294" s="259">
        <f t="shared" ca="1" si="665"/>
        <v>0</v>
      </c>
      <c r="FE294" s="259" t="str">
        <f t="shared" ca="1" si="666"/>
        <v/>
      </c>
      <c r="FF294" s="259" t="str">
        <f t="shared" ca="1" si="639"/>
        <v/>
      </c>
      <c r="FM294" s="259">
        <f t="shared" si="667"/>
        <v>0</v>
      </c>
      <c r="FN294" s="259">
        <f>IF(FM294&lt;0,MAX($FN$2:FN293)+1,0)</f>
        <v>0</v>
      </c>
      <c r="FO294" s="259" t="str">
        <f t="shared" si="673"/>
        <v/>
      </c>
      <c r="FP294" s="259" t="str">
        <f ca="1">IFERROR(INDEX($FN$3:$FO$400,MATCH(ROWS($FP$3:FP294),$FN$3:$FN$400,0),2),"")</f>
        <v/>
      </c>
      <c r="FQ294" s="259" t="str">
        <f>IF(AE294="SE AVERE",MAX($FQ$2:FQ293)+1,"")</f>
        <v/>
      </c>
      <c r="FR294" s="259" t="str">
        <f>IF(AE294="SE DARE",MAX($FR$2:FR293)+1,"")</f>
        <v/>
      </c>
      <c r="FS294" s="259" t="str">
        <f ca="1">IF(AND(AE294="SP DARE",AA294&lt;&gt;$FS$1,AA294&lt;&gt;$FT$1),MAX($FS$2:FS293)+1,IF(AND(GQ294="SP DARE",AA294&lt;&gt;$FS$1,AA294&lt;&gt;$FT$1),MAX($FS$2:FS293)+1,""))</f>
        <v/>
      </c>
      <c r="FT294" s="259" t="str">
        <f ca="1">IF(AND(AE294="SP AVERE",AA294&lt;&gt;$FU$1),MAX($FT$2:FT293)+1,IF(AND(GQ294="SP AVERE",AA294&lt;&gt;$FU$1),MAX($FT$2:FT293)+1,""))</f>
        <v/>
      </c>
      <c r="FU294" s="259">
        <f t="shared" ca="1" si="674"/>
        <v>0</v>
      </c>
      <c r="FV294" s="259">
        <f t="shared" si="675"/>
        <v>0</v>
      </c>
      <c r="FW294" s="259">
        <f ca="1">IFERROR(INDEX($FU$3:$FV$500,MATCH(ROWS($FW$3:FW294),$FU$3:$FU$500,0),2),0)</f>
        <v>0</v>
      </c>
      <c r="FX294" s="259">
        <f t="shared" ca="1" si="676"/>
        <v>0</v>
      </c>
      <c r="FY294" s="259">
        <f t="shared" ca="1" si="677"/>
        <v>0</v>
      </c>
      <c r="FZ294" s="259">
        <f ca="1">IF(FY294&gt;0,MAX($FZ$2:FZ293)+1,0)</f>
        <v>0</v>
      </c>
      <c r="GA294" s="259">
        <f ca="1">IFERROR(INDEX($FY$3:$FZ$500,MATCH(ROWS($GA$3:GA294),$FZ$3:$FZ$500,0),1),0)</f>
        <v>0</v>
      </c>
      <c r="GC294" s="259">
        <f t="shared" ca="1" si="678"/>
        <v>0</v>
      </c>
      <c r="GD294" s="259">
        <f t="shared" ca="1" si="679"/>
        <v>0</v>
      </c>
      <c r="GG294" s="259">
        <f t="shared" ca="1" si="680"/>
        <v>0</v>
      </c>
      <c r="GH294" s="259">
        <f t="shared" ca="1" si="681"/>
        <v>0</v>
      </c>
      <c r="GI294" s="259">
        <f t="shared" ca="1" si="682"/>
        <v>0</v>
      </c>
      <c r="GJ294" s="259">
        <f t="shared" ca="1" si="683"/>
        <v>0</v>
      </c>
      <c r="GK294" s="259">
        <f t="shared" ca="1" si="684"/>
        <v>0</v>
      </c>
      <c r="GL294" s="259">
        <f t="shared" ca="1" si="684"/>
        <v>0</v>
      </c>
      <c r="GM294" s="259">
        <f ca="1">IF(OR(GK294&gt;0,GL294&gt;0),MAX($GM$2:GM293)+1,0)</f>
        <v>0</v>
      </c>
      <c r="GN294" s="259" t="str">
        <f ca="1">IFERROR(INDEX($GD$3:$GM$400,MATCH(ROWS($GN$3:GN294),$GM$3:$GM$400,0),1),"")</f>
        <v/>
      </c>
      <c r="GO294" s="259" t="str">
        <f ca="1">IFERROR(INDEX($GD$3:$GM$400,MATCH(ROWS($GO$3:GO294),$GM$3:$GM$400,0),8),"")</f>
        <v/>
      </c>
      <c r="GP294" s="259" t="str">
        <f ca="1">IFERROR(INDEX($GD$3:$GM$400,MATCH(ROWS($GP$3:GP294),$GM$3:$GM$400,0),9),"")</f>
        <v/>
      </c>
      <c r="GQ294" s="259">
        <f t="shared" ca="1" si="668"/>
        <v>0</v>
      </c>
      <c r="GR294" s="259">
        <f t="shared" ca="1" si="685"/>
        <v>0</v>
      </c>
      <c r="GS294" s="259" t="str">
        <f t="shared" ca="1" si="686"/>
        <v/>
      </c>
      <c r="GT294" s="259" t="str">
        <f ca="1">IFERROR(INDEX($GD$3:$GS$400,MATCH(ROWS($GT$3:GT294),$GM$3:$GM$400,0),16),"")</f>
        <v/>
      </c>
      <c r="GU294" s="259">
        <f ca="1">IF(GQ294&lt;&gt;0,MAX($GU$2:$GU293)+1,0)</f>
        <v>0</v>
      </c>
      <c r="GV294" s="259">
        <f t="shared" ca="1" si="687"/>
        <v>0</v>
      </c>
      <c r="GW294" s="259" t="str">
        <f ca="1">IF(AND(IFERROR(INDEX($GU$3:$GV$400,MATCH(ROWS($GW$3:GW294),$GU$3:$GU$400,0),2),"")&lt;&gt;"",GW295&lt;&gt;""),CONCATENATE(IFERROR(INDEX($GU$3:$GV$400,MATCH(ROWS($GW$3:GW294),$GU$3:$GU$400,0),2),"")," - "),IFERROR(INDEX($GU$3:$GV$400,MATCH(ROWS($GW$3:GW294),$GU$3:$GU$400,0),2),""))</f>
        <v/>
      </c>
      <c r="GX294" s="259">
        <f ca="1">IF(OR(GN294="IVA NS/CREDITO",GN294="IVA NS/DEBITO",GN294="IVA C/ACCONTO",GN294="IMPOSTE C/ACCONTO"),MAX($GX$2:GX293)+1,0)</f>
        <v>0</v>
      </c>
      <c r="GY294" s="259" t="str">
        <f ca="1">IF(AND(IFERROR(INDEX($GN$3:$GX$200,MATCH(ROWS($GY$3:GY294),$GX$3:$GX$200,0),1),"")&lt;&gt;"",GY295&lt;&gt;""),CONCATENATE(IFERROR(INDEX($GN$3:$GX$200,MATCH(ROWS($GY$3:GY294),$GX$3:$GX$200,0),1),"")," - "),IFERROR(INDEX($GN$3:$GX$200,MATCH(ROWS($GY$3:GY294),$GX$3:$GX$200,0),1),""))</f>
        <v/>
      </c>
      <c r="JA294" s="259" t="str">
        <f t="shared" ca="1" si="688"/>
        <v/>
      </c>
      <c r="JB294" s="259">
        <f t="shared" ca="1" si="669"/>
        <v>0</v>
      </c>
      <c r="JC294" s="259">
        <f t="shared" ca="1" si="640"/>
        <v>0</v>
      </c>
      <c r="JD294" s="259">
        <f t="shared" ca="1" si="641"/>
        <v>0</v>
      </c>
      <c r="JM294" s="259">
        <f t="shared" ca="1" si="642"/>
        <v>0</v>
      </c>
    </row>
    <row r="295" spans="52:273">
      <c r="AZ295" s="259" t="str">
        <f t="shared" ca="1" si="689"/>
        <v/>
      </c>
      <c r="BA295" s="259">
        <f t="shared" ref="BA295:BA358" ca="1" si="713">IF(AND(EY195&gt;=INIZIO_AC,EY195&gt;=INIZIO_A_PC,EY195&lt;=FINE_AC),EY195,0)</f>
        <v>0</v>
      </c>
      <c r="BB295" s="259">
        <f t="shared" ca="1" si="690"/>
        <v>0</v>
      </c>
      <c r="BC295" s="259">
        <f t="shared" ca="1" si="691"/>
        <v>0</v>
      </c>
      <c r="BD295" s="259">
        <f t="shared" ca="1" si="692"/>
        <v>0</v>
      </c>
      <c r="BE295" s="259">
        <f t="shared" ca="1" si="693"/>
        <v>0</v>
      </c>
      <c r="BQ295" s="259" t="str">
        <f ca="1">IFERROR(INDEX($BN$3:$BO$200,MATCH(ROWS(BQ$3:BQ295),$BP$3:$BP$220,0),1),"")</f>
        <v/>
      </c>
      <c r="CX295" s="259">
        <f t="shared" ca="1" si="705"/>
        <v>17</v>
      </c>
      <c r="CY295" s="259" t="str">
        <f t="shared" ca="1" si="694"/>
        <v>MASTRO</v>
      </c>
      <c r="CZ295" s="259" t="e">
        <f t="shared" ca="1" si="707"/>
        <v>#N/A</v>
      </c>
      <c r="DA295" s="259" t="str">
        <f t="shared" ca="1" si="712"/>
        <v/>
      </c>
      <c r="DB295" s="259" t="str">
        <f t="shared" ca="1" si="708"/>
        <v/>
      </c>
      <c r="DC295" s="259" t="str">
        <f t="shared" ca="1" si="709"/>
        <v/>
      </c>
      <c r="DD295" s="259" t="str">
        <f t="shared" ca="1" si="710"/>
        <v/>
      </c>
      <c r="DE295" s="259" t="str">
        <f t="shared" ca="1" si="711"/>
        <v/>
      </c>
      <c r="DF295" s="259">
        <f ca="1">IF(AND(CX295=$DE$2,$DF$2&lt;&gt;0),0,IF(AND(DB295&lt;&gt;"",OR(DB294&lt;&gt;"",DB296&lt;&gt;"")),MAX($DF$2:DF294)+1,0))</f>
        <v>0</v>
      </c>
      <c r="DG295" s="259" t="str">
        <f>IF(IF(LIBRO_GIORNALE!E203="","",IFERROR(INDEX(PIANO_DEI_CONTI,MATCH(BB295,DENOMINAZIONE,0),1),0))=0,"",IF(LIBRO_GIORNALE!E203="","",IFERROR(INDEX(PIANO_DEI_CONTI,MATCH(BB295,DENOMINAZIONE,0),1),0)))</f>
        <v/>
      </c>
      <c r="EC295" s="259">
        <f>IF(IF(DG295&lt;&gt;"",REPLACE(DG295,3,1,""),0)&lt;&gt;0,MAX(EC$2:EC294)+1,0)</f>
        <v>0</v>
      </c>
      <c r="ED295" s="259">
        <f t="shared" ca="1" si="662"/>
        <v>0</v>
      </c>
      <c r="EL295" s="259">
        <f t="shared" si="670"/>
        <v>293</v>
      </c>
      <c r="EM295" s="259">
        <f ca="1">IF(AND(BA295&gt;0,BA295&lt;=$EM$1),MAX($EM$2:EM294)+1,0)</f>
        <v>0</v>
      </c>
      <c r="EN295" s="259">
        <f t="shared" ca="1" si="671"/>
        <v>295</v>
      </c>
      <c r="EP295" s="259" t="str">
        <f t="shared" ca="1" si="663"/>
        <v/>
      </c>
      <c r="EQ295" s="259">
        <f t="shared" ca="1" si="664"/>
        <v>0</v>
      </c>
      <c r="ER295" s="259">
        <f ca="1">IF(ISNA(EQ295),MAX(ER$2:ER294)+1,0)</f>
        <v>0</v>
      </c>
      <c r="ES295" s="259" t="str">
        <f t="shared" ca="1" si="672"/>
        <v/>
      </c>
      <c r="ET295" s="259" t="str">
        <f ca="1">IFERROR(UPPER(INDEX($ER$3:$ES$500,MATCH(ROWS(ET$3:ET295),$ER$3:$ER$500,0),2)),"")</f>
        <v/>
      </c>
      <c r="EW295" s="259">
        <f t="shared" ca="1" si="633"/>
        <v>1</v>
      </c>
      <c r="EX295" s="259">
        <v>193</v>
      </c>
      <c r="EY295" s="259">
        <f t="shared" ca="1" si="634"/>
        <v>0</v>
      </c>
      <c r="EZ295" s="259">
        <f t="shared" ca="1" si="635"/>
        <v>0</v>
      </c>
      <c r="FA295" s="259">
        <f t="shared" ca="1" si="636"/>
        <v>0</v>
      </c>
      <c r="FB295" s="259">
        <f t="shared" ca="1" si="637"/>
        <v>0</v>
      </c>
      <c r="FC295" s="259">
        <f t="shared" ca="1" si="638"/>
        <v>0</v>
      </c>
      <c r="FD295" s="259">
        <f t="shared" ca="1" si="665"/>
        <v>0</v>
      </c>
      <c r="FE295" s="259" t="str">
        <f t="shared" ca="1" si="666"/>
        <v/>
      </c>
      <c r="FF295" s="259" t="str">
        <f t="shared" ca="1" si="639"/>
        <v/>
      </c>
      <c r="FM295" s="259">
        <f t="shared" si="667"/>
        <v>0</v>
      </c>
      <c r="FN295" s="259">
        <f>IF(FM295&lt;0,MAX($FN$2:FN294)+1,0)</f>
        <v>0</v>
      </c>
      <c r="FO295" s="259" t="str">
        <f t="shared" si="673"/>
        <v/>
      </c>
      <c r="FP295" s="259" t="str">
        <f ca="1">IFERROR(INDEX($FN$3:$FO$400,MATCH(ROWS($FP$3:FP295),$FN$3:$FN$400,0),2),"")</f>
        <v/>
      </c>
      <c r="FQ295" s="259" t="str">
        <f>IF(AE295="SE AVERE",MAX($FQ$2:FQ294)+1,"")</f>
        <v/>
      </c>
      <c r="FR295" s="259" t="str">
        <f>IF(AE295="SE DARE",MAX($FR$2:FR294)+1,"")</f>
        <v/>
      </c>
      <c r="FS295" s="259" t="str">
        <f ca="1">IF(AND(AE295="SP DARE",AA295&lt;&gt;$FS$1,AA295&lt;&gt;$FT$1),MAX($FS$2:FS294)+1,IF(AND(GQ295="SP DARE",AA295&lt;&gt;$FS$1,AA295&lt;&gt;$FT$1),MAX($FS$2:FS294)+1,""))</f>
        <v/>
      </c>
      <c r="FT295" s="259" t="str">
        <f ca="1">IF(AND(AE295="SP AVERE",AA295&lt;&gt;$FU$1),MAX($FT$2:FT294)+1,IF(AND(GQ295="SP AVERE",AA295&lt;&gt;$FU$1),MAX($FT$2:FT294)+1,""))</f>
        <v/>
      </c>
      <c r="FU295" s="259">
        <f t="shared" ca="1" si="674"/>
        <v>0</v>
      </c>
      <c r="FV295" s="259">
        <f t="shared" si="675"/>
        <v>0</v>
      </c>
      <c r="FW295" s="259">
        <f ca="1">IFERROR(INDEX($FU$3:$FV$500,MATCH(ROWS($FW$3:FW295),$FU$3:$FU$500,0),2),0)</f>
        <v>0</v>
      </c>
      <c r="FX295" s="259">
        <f t="shared" ca="1" si="676"/>
        <v>0</v>
      </c>
      <c r="FY295" s="259">
        <f t="shared" ca="1" si="677"/>
        <v>0</v>
      </c>
      <c r="FZ295" s="259">
        <f ca="1">IF(FY295&gt;0,MAX($FZ$2:FZ294)+1,0)</f>
        <v>0</v>
      </c>
      <c r="GA295" s="259">
        <f ca="1">IFERROR(INDEX($FY$3:$FZ$500,MATCH(ROWS($GA$3:GA295),$FZ$3:$FZ$500,0),1),0)</f>
        <v>0</v>
      </c>
      <c r="GC295" s="259">
        <f t="shared" ca="1" si="678"/>
        <v>0</v>
      </c>
      <c r="GD295" s="259">
        <f t="shared" ca="1" si="679"/>
        <v>0</v>
      </c>
      <c r="GG295" s="259">
        <f t="shared" ca="1" si="680"/>
        <v>0</v>
      </c>
      <c r="GH295" s="259">
        <f t="shared" ca="1" si="681"/>
        <v>0</v>
      </c>
      <c r="GI295" s="259">
        <f t="shared" ca="1" si="682"/>
        <v>0</v>
      </c>
      <c r="GJ295" s="259">
        <f t="shared" ca="1" si="683"/>
        <v>0</v>
      </c>
      <c r="GK295" s="259">
        <f t="shared" ca="1" si="684"/>
        <v>0</v>
      </c>
      <c r="GL295" s="259">
        <f t="shared" ca="1" si="684"/>
        <v>0</v>
      </c>
      <c r="GM295" s="259">
        <f ca="1">IF(OR(GK295&gt;0,GL295&gt;0),MAX($GM$2:GM294)+1,0)</f>
        <v>0</v>
      </c>
      <c r="GN295" s="259" t="str">
        <f ca="1">IFERROR(INDEX($GD$3:$GM$400,MATCH(ROWS($GN$3:GN295),$GM$3:$GM$400,0),1),"")</f>
        <v/>
      </c>
      <c r="GO295" s="259" t="str">
        <f ca="1">IFERROR(INDEX($GD$3:$GM$400,MATCH(ROWS($GO$3:GO295),$GM$3:$GM$400,0),8),"")</f>
        <v/>
      </c>
      <c r="GP295" s="259" t="str">
        <f ca="1">IFERROR(INDEX($GD$3:$GM$400,MATCH(ROWS($GP$3:GP295),$GM$3:$GM$400,0),9),"")</f>
        <v/>
      </c>
      <c r="GQ295" s="259">
        <f t="shared" ca="1" si="668"/>
        <v>0</v>
      </c>
      <c r="GR295" s="259">
        <f t="shared" ca="1" si="685"/>
        <v>0</v>
      </c>
      <c r="GS295" s="259" t="str">
        <f t="shared" ca="1" si="686"/>
        <v/>
      </c>
      <c r="GT295" s="259" t="str">
        <f ca="1">IFERROR(INDEX($GD$3:$GS$400,MATCH(ROWS($GT$3:GT295),$GM$3:$GM$400,0),16),"")</f>
        <v/>
      </c>
      <c r="GU295" s="259">
        <f ca="1">IF(GQ295&lt;&gt;0,MAX($GU$2:$GU294)+1,0)</f>
        <v>0</v>
      </c>
      <c r="GV295" s="259">
        <f t="shared" ca="1" si="687"/>
        <v>0</v>
      </c>
      <c r="GW295" s="259" t="str">
        <f ca="1">IF(AND(IFERROR(INDEX($GU$3:$GV$400,MATCH(ROWS($GW$3:GW295),$GU$3:$GU$400,0),2),"")&lt;&gt;"",GW296&lt;&gt;""),CONCATENATE(IFERROR(INDEX($GU$3:$GV$400,MATCH(ROWS($GW$3:GW295),$GU$3:$GU$400,0),2),"")," - "),IFERROR(INDEX($GU$3:$GV$400,MATCH(ROWS($GW$3:GW295),$GU$3:$GU$400,0),2),""))</f>
        <v/>
      </c>
      <c r="GX295" s="259">
        <f ca="1">IF(OR(GN295="IVA NS/CREDITO",GN295="IVA NS/DEBITO",GN295="IVA C/ACCONTO",GN295="IMPOSTE C/ACCONTO"),MAX($GX$2:GX294)+1,0)</f>
        <v>0</v>
      </c>
      <c r="GY295" s="259" t="str">
        <f ca="1">IF(AND(IFERROR(INDEX($GN$3:$GX$200,MATCH(ROWS($GY$3:GY295),$GX$3:$GX$200,0),1),"")&lt;&gt;"",GY296&lt;&gt;""),CONCATENATE(IFERROR(INDEX($GN$3:$GX$200,MATCH(ROWS($GY$3:GY295),$GX$3:$GX$200,0),1),"")," - "),IFERROR(INDEX($GN$3:$GX$200,MATCH(ROWS($GY$3:GY295),$GX$3:$GX$200,0),1),""))</f>
        <v/>
      </c>
      <c r="JA295" s="259" t="str">
        <f t="shared" ca="1" si="688"/>
        <v/>
      </c>
      <c r="JB295" s="259">
        <f t="shared" ca="1" si="669"/>
        <v>0</v>
      </c>
      <c r="JC295" s="259">
        <f t="shared" ca="1" si="640"/>
        <v>0</v>
      </c>
      <c r="JD295" s="259">
        <f t="shared" ca="1" si="641"/>
        <v>0</v>
      </c>
      <c r="JM295" s="259">
        <f t="shared" ca="1" si="642"/>
        <v>0</v>
      </c>
    </row>
    <row r="296" spans="52:273">
      <c r="AZ296" s="259" t="str">
        <f t="shared" ca="1" si="689"/>
        <v/>
      </c>
      <c r="BA296" s="259">
        <f t="shared" ca="1" si="713"/>
        <v>0</v>
      </c>
      <c r="BB296" s="259">
        <f t="shared" ca="1" si="690"/>
        <v>0</v>
      </c>
      <c r="BC296" s="259">
        <f t="shared" ca="1" si="691"/>
        <v>0</v>
      </c>
      <c r="BD296" s="259">
        <f t="shared" ca="1" si="692"/>
        <v>0</v>
      </c>
      <c r="BE296" s="259">
        <f t="shared" ca="1" si="693"/>
        <v>0</v>
      </c>
      <c r="BQ296" s="259" t="str">
        <f ca="1">IFERROR(INDEX($BN$3:$BO$200,MATCH(ROWS(BQ$3:BQ296),$BP$3:$BP$220,0),1),"")</f>
        <v/>
      </c>
      <c r="CX296" s="259">
        <f t="shared" ca="1" si="705"/>
        <v>17</v>
      </c>
      <c r="CY296" s="259" t="str">
        <f t="shared" ca="1" si="694"/>
        <v>MASTRO</v>
      </c>
      <c r="CZ296" s="259" t="e">
        <f t="shared" ca="1" si="707"/>
        <v>#N/A</v>
      </c>
      <c r="DA296" s="259" t="str">
        <f t="shared" ca="1" si="712"/>
        <v/>
      </c>
      <c r="DB296" s="259" t="str">
        <f t="shared" ca="1" si="708"/>
        <v/>
      </c>
      <c r="DC296" s="259" t="str">
        <f t="shared" ca="1" si="709"/>
        <v/>
      </c>
      <c r="DD296" s="259" t="str">
        <f t="shared" ca="1" si="710"/>
        <v/>
      </c>
      <c r="DE296" s="259" t="str">
        <f t="shared" ca="1" si="711"/>
        <v/>
      </c>
      <c r="DF296" s="259">
        <f ca="1">IF(AND(CX296=$DE$2,$DF$2&lt;&gt;0),0,IF(AND(DB296&lt;&gt;"",OR(DB295&lt;&gt;"",DB297&lt;&gt;"")),MAX($DF$2:DF295)+1,0))</f>
        <v>0</v>
      </c>
      <c r="DG296" s="259" t="str">
        <f>IF(IF(LIBRO_GIORNALE!E204="","",IFERROR(INDEX(PIANO_DEI_CONTI,MATCH(BB296,DENOMINAZIONE,0),1),0))=0,"",IF(LIBRO_GIORNALE!E204="","",IFERROR(INDEX(PIANO_DEI_CONTI,MATCH(BB296,DENOMINAZIONE,0),1),0)))</f>
        <v/>
      </c>
      <c r="EC296" s="259">
        <f>IF(IF(DG296&lt;&gt;"",REPLACE(DG296,3,1,""),0)&lt;&gt;0,MAX(EC$2:EC295)+1,0)</f>
        <v>0</v>
      </c>
      <c r="ED296" s="259">
        <f t="shared" ca="1" si="662"/>
        <v>0</v>
      </c>
      <c r="EL296" s="259">
        <f t="shared" si="670"/>
        <v>294</v>
      </c>
      <c r="EM296" s="259">
        <f ca="1">IF(AND(BA296&gt;0,BA296&lt;=$EM$1),MAX($EM$2:EM295)+1,0)</f>
        <v>0</v>
      </c>
      <c r="EN296" s="259">
        <f t="shared" ca="1" si="671"/>
        <v>296</v>
      </c>
      <c r="EP296" s="259" t="str">
        <f t="shared" ca="1" si="663"/>
        <v/>
      </c>
      <c r="EQ296" s="259">
        <f t="shared" ca="1" si="664"/>
        <v>0</v>
      </c>
      <c r="ER296" s="259">
        <f ca="1">IF(ISNA(EQ296),MAX(ER$2:ER295)+1,0)</f>
        <v>0</v>
      </c>
      <c r="ES296" s="259" t="str">
        <f t="shared" ca="1" si="672"/>
        <v/>
      </c>
      <c r="ET296" s="259" t="str">
        <f ca="1">IFERROR(UPPER(INDEX($ER$3:$ES$500,MATCH(ROWS(ET$3:ET296),$ER$3:$ER$500,0),2)),"")</f>
        <v/>
      </c>
      <c r="EW296" s="259">
        <f t="shared" ref="EW296:EW359" ca="1" si="714">IF(AND($EX$3&lt;&gt;0,EX296&gt;=$EX$3),0,1)</f>
        <v>1</v>
      </c>
      <c r="EX296" s="259">
        <v>194</v>
      </c>
      <c r="EY296" s="259">
        <f t="shared" ref="EY296:EY359" ca="1" si="715">IF(EW296=0,0,INDIRECT(ADDRESS(ROW()-92,COLUMN()-151,,,"LIBRO_GIORNALE")))</f>
        <v>0</v>
      </c>
      <c r="EZ296" s="259">
        <f t="shared" ref="EZ296:EZ359" ca="1" si="716">IF(EW296=0,0,INDIRECT(ADDRESS(ROW()-92,COLUMN()-151,,,"LIBRO_GIORNALE")))</f>
        <v>0</v>
      </c>
      <c r="FA296" s="259">
        <f t="shared" ref="FA296:FA359" ca="1" si="717">IF(EW296=0,0,INDIRECT(ADDRESS(ROW()-92,COLUMN()-151,,,"LIBRO_GIORNALE")))</f>
        <v>0</v>
      </c>
      <c r="FB296" s="259">
        <f t="shared" ref="FB296:FB359" ca="1" si="718">IF(EZ296=0,0,ROUND(IF(EW296=0,0,INDIRECT(ADDRESS(ROW()-92,COLUMN()-151,,,"LIBRO_GIORNALE"))),2))</f>
        <v>0</v>
      </c>
      <c r="FC296" s="259">
        <f t="shared" ref="FC296:FC359" ca="1" si="719">IF(EZ296=0,0,ROUND(IF(EW296=0,0,INDIRECT(ADDRESS(ROW()-92,COLUMN()-151,,,"LIBRO_GIORNALE"))),2))</f>
        <v>0</v>
      </c>
      <c r="FD296" s="259">
        <f t="shared" ca="1" si="665"/>
        <v>0</v>
      </c>
      <c r="FE296" s="259" t="str">
        <f t="shared" ca="1" si="666"/>
        <v/>
      </c>
      <c r="FF296" s="259" t="str">
        <f t="shared" ref="FF296:FF359" ca="1" si="720">IF(EZ296&lt;&gt;0,ROW()-102,"")</f>
        <v/>
      </c>
      <c r="FM296" s="259">
        <f t="shared" si="667"/>
        <v>0</v>
      </c>
      <c r="FN296" s="259">
        <f>IF(FM296&lt;0,MAX($FN$2:FN295)+1,0)</f>
        <v>0</v>
      </c>
      <c r="FO296" s="259" t="str">
        <f t="shared" si="673"/>
        <v/>
      </c>
      <c r="FP296" s="259" t="str">
        <f ca="1">IFERROR(INDEX($FN$3:$FO$400,MATCH(ROWS($FP$3:FP296),$FN$3:$FN$400,0),2),"")</f>
        <v/>
      </c>
      <c r="FQ296" s="259" t="str">
        <f>IF(AE296="SE AVERE",MAX($FQ$2:FQ295)+1,"")</f>
        <v/>
      </c>
      <c r="FR296" s="259" t="str">
        <f>IF(AE296="SE DARE",MAX($FR$2:FR295)+1,"")</f>
        <v/>
      </c>
      <c r="FS296" s="259" t="str">
        <f ca="1">IF(AND(AE296="SP DARE",AA296&lt;&gt;$FS$1,AA296&lt;&gt;$FT$1),MAX($FS$2:FS295)+1,IF(AND(GQ296="SP DARE",AA296&lt;&gt;$FS$1,AA296&lt;&gt;$FT$1),MAX($FS$2:FS295)+1,""))</f>
        <v/>
      </c>
      <c r="FT296" s="259" t="str">
        <f ca="1">IF(AND(AE296="SP AVERE",AA296&lt;&gt;$FU$1),MAX($FT$2:FT295)+1,IF(AND(GQ296="SP AVERE",AA296&lt;&gt;$FU$1),MAX($FT$2:FT295)+1,""))</f>
        <v/>
      </c>
      <c r="FU296" s="259">
        <f t="shared" ca="1" si="674"/>
        <v>0</v>
      </c>
      <c r="FV296" s="259">
        <f t="shared" si="675"/>
        <v>0</v>
      </c>
      <c r="FW296" s="259">
        <f ca="1">IFERROR(INDEX($FU$3:$FV$500,MATCH(ROWS($FW$3:FW296),$FU$3:$FU$500,0),2),0)</f>
        <v>0</v>
      </c>
      <c r="FX296" s="259">
        <f t="shared" ca="1" si="676"/>
        <v>0</v>
      </c>
      <c r="FY296" s="259">
        <f t="shared" ca="1" si="677"/>
        <v>0</v>
      </c>
      <c r="FZ296" s="259">
        <f ca="1">IF(FY296&gt;0,MAX($FZ$2:FZ295)+1,0)</f>
        <v>0</v>
      </c>
      <c r="GA296" s="259">
        <f ca="1">IFERROR(INDEX($FY$3:$FZ$500,MATCH(ROWS($GA$3:GA296),$FZ$3:$FZ$500,0),1),0)</f>
        <v>0</v>
      </c>
      <c r="GC296" s="259">
        <f t="shared" ca="1" si="678"/>
        <v>0</v>
      </c>
      <c r="GD296" s="259">
        <f t="shared" ca="1" si="679"/>
        <v>0</v>
      </c>
      <c r="GG296" s="259">
        <f t="shared" ca="1" si="680"/>
        <v>0</v>
      </c>
      <c r="GH296" s="259">
        <f t="shared" ca="1" si="681"/>
        <v>0</v>
      </c>
      <c r="GI296" s="259">
        <f t="shared" ca="1" si="682"/>
        <v>0</v>
      </c>
      <c r="GJ296" s="259">
        <f t="shared" ca="1" si="683"/>
        <v>0</v>
      </c>
      <c r="GK296" s="259">
        <f t="shared" ca="1" si="684"/>
        <v>0</v>
      </c>
      <c r="GL296" s="259">
        <f t="shared" ca="1" si="684"/>
        <v>0</v>
      </c>
      <c r="GM296" s="259">
        <f ca="1">IF(OR(GK296&gt;0,GL296&gt;0),MAX($GM$2:GM295)+1,0)</f>
        <v>0</v>
      </c>
      <c r="GN296" s="259" t="str">
        <f ca="1">IFERROR(INDEX($GD$3:$GM$400,MATCH(ROWS($GN$3:GN296),$GM$3:$GM$400,0),1),"")</f>
        <v/>
      </c>
      <c r="GO296" s="259" t="str">
        <f ca="1">IFERROR(INDEX($GD$3:$GM$400,MATCH(ROWS($GO$3:GO296),$GM$3:$GM$400,0),8),"")</f>
        <v/>
      </c>
      <c r="GP296" s="259" t="str">
        <f ca="1">IFERROR(INDEX($GD$3:$GM$400,MATCH(ROWS($GP$3:GP296),$GM$3:$GM$400,0),9),"")</f>
        <v/>
      </c>
      <c r="GQ296" s="259">
        <f t="shared" ca="1" si="668"/>
        <v>0</v>
      </c>
      <c r="GR296" s="259">
        <f t="shared" ca="1" si="685"/>
        <v>0</v>
      </c>
      <c r="GS296" s="259" t="str">
        <f t="shared" ca="1" si="686"/>
        <v/>
      </c>
      <c r="GT296" s="259" t="str">
        <f ca="1">IFERROR(INDEX($GD$3:$GS$400,MATCH(ROWS($GT$3:GT296),$GM$3:$GM$400,0),16),"")</f>
        <v/>
      </c>
      <c r="GU296" s="259">
        <f ca="1">IF(GQ296&lt;&gt;0,MAX($GU$2:$GU295)+1,0)</f>
        <v>0</v>
      </c>
      <c r="GV296" s="259">
        <f t="shared" ca="1" si="687"/>
        <v>0</v>
      </c>
      <c r="GW296" s="259" t="str">
        <f ca="1">IF(AND(IFERROR(INDEX($GU$3:$GV$400,MATCH(ROWS($GW$3:GW296),$GU$3:$GU$400,0),2),"")&lt;&gt;"",GW297&lt;&gt;""),CONCATENATE(IFERROR(INDEX($GU$3:$GV$400,MATCH(ROWS($GW$3:GW296),$GU$3:$GU$400,0),2),"")," - "),IFERROR(INDEX($GU$3:$GV$400,MATCH(ROWS($GW$3:GW296),$GU$3:$GU$400,0),2),""))</f>
        <v/>
      </c>
      <c r="GX296" s="259">
        <f ca="1">IF(OR(GN296="IVA NS/CREDITO",GN296="IVA NS/DEBITO",GN296="IVA C/ACCONTO",GN296="IMPOSTE C/ACCONTO"),MAX($GX$2:GX295)+1,0)</f>
        <v>0</v>
      </c>
      <c r="GY296" s="259" t="str">
        <f ca="1">IF(AND(IFERROR(INDEX($GN$3:$GX$200,MATCH(ROWS($GY$3:GY296),$GX$3:$GX$200,0),1),"")&lt;&gt;"",GY297&lt;&gt;""),CONCATENATE(IFERROR(INDEX($GN$3:$GX$200,MATCH(ROWS($GY$3:GY296),$GX$3:$GX$200,0),1),"")," - "),IFERROR(INDEX($GN$3:$GX$200,MATCH(ROWS($GY$3:GY296),$GX$3:$GX$200,0),1),""))</f>
        <v/>
      </c>
      <c r="JA296" s="259" t="str">
        <f t="shared" ca="1" si="688"/>
        <v/>
      </c>
      <c r="JB296" s="259">
        <f t="shared" ca="1" si="669"/>
        <v>0</v>
      </c>
      <c r="JC296" s="259">
        <f t="shared" ref="JC296:JC359" ca="1" si="721">IF(OR(FB296&lt;0,FC296&lt;0),1,0)</f>
        <v>0</v>
      </c>
      <c r="JD296" s="259">
        <f t="shared" ref="JD296:JD359" ca="1" si="722">IF(AND(FB296&lt;&gt;0,FC296&lt;&gt;0),1,0)</f>
        <v>0</v>
      </c>
      <c r="JM296" s="259">
        <f t="shared" ref="JM296:JM359" ca="1" si="723">IF(AND(EY296&gt;0,EY296&gt;EY297,EY297&lt;&gt;0),1,0)</f>
        <v>0</v>
      </c>
    </row>
    <row r="297" spans="52:273">
      <c r="AZ297" s="259" t="str">
        <f t="shared" ca="1" si="689"/>
        <v/>
      </c>
      <c r="BA297" s="259">
        <f t="shared" ca="1" si="713"/>
        <v>0</v>
      </c>
      <c r="BB297" s="259">
        <f t="shared" ca="1" si="690"/>
        <v>0</v>
      </c>
      <c r="BC297" s="259">
        <f t="shared" ca="1" si="691"/>
        <v>0</v>
      </c>
      <c r="BD297" s="259">
        <f t="shared" ca="1" si="692"/>
        <v>0</v>
      </c>
      <c r="BE297" s="259">
        <f t="shared" ca="1" si="693"/>
        <v>0</v>
      </c>
      <c r="BQ297" s="259" t="str">
        <f ca="1">IFERROR(INDEX($BN$3:$BO$200,MATCH(ROWS(BQ$3:BQ297),$BP$3:$BP$220,0),1),"")</f>
        <v/>
      </c>
      <c r="CX297" s="259">
        <f t="shared" ca="1" si="705"/>
        <v>17</v>
      </c>
      <c r="CY297" s="259" t="str">
        <f t="shared" ca="1" si="694"/>
        <v>MASTRO</v>
      </c>
      <c r="CZ297" s="259" t="e">
        <f t="shared" ca="1" si="707"/>
        <v>#N/A</v>
      </c>
      <c r="DA297" s="259" t="str">
        <f t="shared" ca="1" si="712"/>
        <v/>
      </c>
      <c r="DB297" s="259" t="str">
        <f t="shared" ca="1" si="708"/>
        <v/>
      </c>
      <c r="DC297" s="259" t="str">
        <f t="shared" ca="1" si="709"/>
        <v/>
      </c>
      <c r="DD297" s="259" t="str">
        <f t="shared" ca="1" si="710"/>
        <v/>
      </c>
      <c r="DE297" s="259" t="str">
        <f t="shared" ca="1" si="711"/>
        <v/>
      </c>
      <c r="DF297" s="259">
        <f ca="1">IF(AND(CX297=$DE$2,$DF$2&lt;&gt;0),0,IF(AND(DB297&lt;&gt;"",OR(DB296&lt;&gt;"",DB298&lt;&gt;"")),MAX($DF$2:DF296)+1,0))</f>
        <v>0</v>
      </c>
      <c r="DG297" s="259" t="str">
        <f>IF(IF(LIBRO_GIORNALE!E205="","",IFERROR(INDEX(PIANO_DEI_CONTI,MATCH(BB297,DENOMINAZIONE,0),1),0))=0,"",IF(LIBRO_GIORNALE!E205="","",IFERROR(INDEX(PIANO_DEI_CONTI,MATCH(BB297,DENOMINAZIONE,0),1),0)))</f>
        <v/>
      </c>
      <c r="EC297" s="259">
        <f>IF(IF(DG297&lt;&gt;"",REPLACE(DG297,3,1,""),0)&lt;&gt;0,MAX(EC$2:EC296)+1,0)</f>
        <v>0</v>
      </c>
      <c r="ED297" s="259">
        <f t="shared" ca="1" si="662"/>
        <v>0</v>
      </c>
      <c r="EL297" s="259">
        <f t="shared" si="670"/>
        <v>295</v>
      </c>
      <c r="EM297" s="259">
        <f ca="1">IF(AND(BA297&gt;0,BA297&lt;=$EM$1),MAX($EM$2:EM296)+1,0)</f>
        <v>0</v>
      </c>
      <c r="EN297" s="259">
        <f t="shared" ca="1" si="671"/>
        <v>297</v>
      </c>
      <c r="EP297" s="259" t="str">
        <f t="shared" ca="1" si="663"/>
        <v/>
      </c>
      <c r="EQ297" s="259">
        <f t="shared" ca="1" si="664"/>
        <v>0</v>
      </c>
      <c r="ER297" s="259">
        <f ca="1">IF(ISNA(EQ297),MAX(ER$2:ER296)+1,0)</f>
        <v>0</v>
      </c>
      <c r="ES297" s="259" t="str">
        <f t="shared" ca="1" si="672"/>
        <v/>
      </c>
      <c r="ET297" s="259" t="str">
        <f ca="1">IFERROR(UPPER(INDEX($ER$3:$ES$500,MATCH(ROWS(ET$3:ET297),$ER$3:$ER$500,0),2)),"")</f>
        <v/>
      </c>
      <c r="EW297" s="259">
        <f t="shared" ca="1" si="714"/>
        <v>1</v>
      </c>
      <c r="EX297" s="259">
        <v>195</v>
      </c>
      <c r="EY297" s="259">
        <f t="shared" ca="1" si="715"/>
        <v>0</v>
      </c>
      <c r="EZ297" s="259">
        <f t="shared" ca="1" si="716"/>
        <v>0</v>
      </c>
      <c r="FA297" s="259">
        <f t="shared" ca="1" si="717"/>
        <v>0</v>
      </c>
      <c r="FB297" s="259">
        <f t="shared" ca="1" si="718"/>
        <v>0</v>
      </c>
      <c r="FC297" s="259">
        <f t="shared" ca="1" si="719"/>
        <v>0</v>
      </c>
      <c r="FD297" s="259">
        <f t="shared" ca="1" si="665"/>
        <v>0</v>
      </c>
      <c r="FE297" s="259" t="str">
        <f t="shared" ca="1" si="666"/>
        <v/>
      </c>
      <c r="FF297" s="259" t="str">
        <f t="shared" ca="1" si="720"/>
        <v/>
      </c>
      <c r="FM297" s="259">
        <f t="shared" si="667"/>
        <v>0</v>
      </c>
      <c r="FN297" s="259">
        <f>IF(FM297&lt;0,MAX($FN$2:FN296)+1,0)</f>
        <v>0</v>
      </c>
      <c r="FO297" s="259" t="str">
        <f t="shared" si="673"/>
        <v/>
      </c>
      <c r="FP297" s="259" t="str">
        <f ca="1">IFERROR(INDEX($FN$3:$FO$400,MATCH(ROWS($FP$3:FP297),$FN$3:$FN$400,0),2),"")</f>
        <v/>
      </c>
      <c r="FQ297" s="259" t="str">
        <f>IF(AE297="SE AVERE",MAX($FQ$2:FQ296)+1,"")</f>
        <v/>
      </c>
      <c r="FR297" s="259" t="str">
        <f>IF(AE297="SE DARE",MAX($FR$2:FR296)+1,"")</f>
        <v/>
      </c>
      <c r="FS297" s="259" t="str">
        <f ca="1">IF(AND(AE297="SP DARE",AA297&lt;&gt;$FS$1,AA297&lt;&gt;$FT$1),MAX($FS$2:FS296)+1,IF(AND(GQ297="SP DARE",AA297&lt;&gt;$FS$1,AA297&lt;&gt;$FT$1),MAX($FS$2:FS296)+1,""))</f>
        <v/>
      </c>
      <c r="FT297" s="259" t="str">
        <f ca="1">IF(AND(AE297="SP AVERE",AA297&lt;&gt;$FU$1),MAX($FT$2:FT296)+1,IF(AND(GQ297="SP AVERE",AA297&lt;&gt;$FU$1),MAX($FT$2:FT296)+1,""))</f>
        <v/>
      </c>
      <c r="FU297" s="259">
        <f t="shared" ca="1" si="674"/>
        <v>0</v>
      </c>
      <c r="FV297" s="259">
        <f t="shared" si="675"/>
        <v>0</v>
      </c>
      <c r="FW297" s="259">
        <f ca="1">IFERROR(INDEX($FU$3:$FV$500,MATCH(ROWS($FW$3:FW297),$FU$3:$FU$500,0),2),0)</f>
        <v>0</v>
      </c>
      <c r="FX297" s="259">
        <f t="shared" ca="1" si="676"/>
        <v>0</v>
      </c>
      <c r="FY297" s="259">
        <f t="shared" ca="1" si="677"/>
        <v>0</v>
      </c>
      <c r="FZ297" s="259">
        <f ca="1">IF(FY297&gt;0,MAX($FZ$2:FZ296)+1,0)</f>
        <v>0</v>
      </c>
      <c r="GA297" s="259">
        <f ca="1">IFERROR(INDEX($FY$3:$FZ$500,MATCH(ROWS($GA$3:GA297),$FZ$3:$FZ$500,0),1),0)</f>
        <v>0</v>
      </c>
      <c r="GC297" s="259">
        <f t="shared" ca="1" si="678"/>
        <v>0</v>
      </c>
      <c r="GD297" s="259">
        <f t="shared" ca="1" si="679"/>
        <v>0</v>
      </c>
      <c r="GG297" s="259">
        <f t="shared" ca="1" si="680"/>
        <v>0</v>
      </c>
      <c r="GH297" s="259">
        <f t="shared" ca="1" si="681"/>
        <v>0</v>
      </c>
      <c r="GI297" s="259">
        <f t="shared" ca="1" si="682"/>
        <v>0</v>
      </c>
      <c r="GJ297" s="259">
        <f t="shared" ca="1" si="683"/>
        <v>0</v>
      </c>
      <c r="GK297" s="259">
        <f t="shared" ca="1" si="684"/>
        <v>0</v>
      </c>
      <c r="GL297" s="259">
        <f t="shared" ca="1" si="684"/>
        <v>0</v>
      </c>
      <c r="GM297" s="259">
        <f ca="1">IF(OR(GK297&gt;0,GL297&gt;0),MAX($GM$2:GM296)+1,0)</f>
        <v>0</v>
      </c>
      <c r="GN297" s="259" t="str">
        <f ca="1">IFERROR(INDEX($GD$3:$GM$400,MATCH(ROWS($GN$3:GN297),$GM$3:$GM$400,0),1),"")</f>
        <v/>
      </c>
      <c r="GO297" s="259" t="str">
        <f ca="1">IFERROR(INDEX($GD$3:$GM$400,MATCH(ROWS($GO$3:GO297),$GM$3:$GM$400,0),8),"")</f>
        <v/>
      </c>
      <c r="GP297" s="259" t="str">
        <f ca="1">IFERROR(INDEX($GD$3:$GM$400,MATCH(ROWS($GP$3:GP297),$GM$3:$GM$400,0),9),"")</f>
        <v/>
      </c>
      <c r="GQ297" s="259">
        <f t="shared" ca="1" si="668"/>
        <v>0</v>
      </c>
      <c r="GR297" s="259">
        <f t="shared" ca="1" si="685"/>
        <v>0</v>
      </c>
      <c r="GS297" s="259" t="str">
        <f t="shared" ca="1" si="686"/>
        <v/>
      </c>
      <c r="GT297" s="259" t="str">
        <f ca="1">IFERROR(INDEX($GD$3:$GS$400,MATCH(ROWS($GT$3:GT297),$GM$3:$GM$400,0),16),"")</f>
        <v/>
      </c>
      <c r="GU297" s="259">
        <f ca="1">IF(GQ297&lt;&gt;0,MAX($GU$2:$GU296)+1,0)</f>
        <v>0</v>
      </c>
      <c r="GV297" s="259">
        <f t="shared" ca="1" si="687"/>
        <v>0</v>
      </c>
      <c r="GW297" s="259" t="str">
        <f ca="1">IF(AND(IFERROR(INDEX($GU$3:$GV$400,MATCH(ROWS($GW$3:GW297),$GU$3:$GU$400,0),2),"")&lt;&gt;"",GW298&lt;&gt;""),CONCATENATE(IFERROR(INDEX($GU$3:$GV$400,MATCH(ROWS($GW$3:GW297),$GU$3:$GU$400,0),2),"")," - "),IFERROR(INDEX($GU$3:$GV$400,MATCH(ROWS($GW$3:GW297),$GU$3:$GU$400,0),2),""))</f>
        <v/>
      </c>
      <c r="GX297" s="259">
        <f ca="1">IF(OR(GN297="IVA NS/CREDITO",GN297="IVA NS/DEBITO",GN297="IVA C/ACCONTO",GN297="IMPOSTE C/ACCONTO"),MAX($GX$2:GX296)+1,0)</f>
        <v>0</v>
      </c>
      <c r="GY297" s="259" t="str">
        <f ca="1">IF(AND(IFERROR(INDEX($GN$3:$GX$200,MATCH(ROWS($GY$3:GY297),$GX$3:$GX$200,0),1),"")&lt;&gt;"",GY298&lt;&gt;""),CONCATENATE(IFERROR(INDEX($GN$3:$GX$200,MATCH(ROWS($GY$3:GY297),$GX$3:$GX$200,0),1),"")," - "),IFERROR(INDEX($GN$3:$GX$200,MATCH(ROWS($GY$3:GY297),$GX$3:$GX$200,0),1),""))</f>
        <v/>
      </c>
      <c r="JA297" s="259" t="str">
        <f t="shared" ca="1" si="688"/>
        <v/>
      </c>
      <c r="JB297" s="259">
        <f t="shared" ca="1" si="669"/>
        <v>0</v>
      </c>
      <c r="JC297" s="259">
        <f t="shared" ca="1" si="721"/>
        <v>0</v>
      </c>
      <c r="JD297" s="259">
        <f t="shared" ca="1" si="722"/>
        <v>0</v>
      </c>
      <c r="JM297" s="259">
        <f t="shared" ca="1" si="723"/>
        <v>0</v>
      </c>
    </row>
    <row r="298" spans="52:273">
      <c r="AZ298" s="259" t="str">
        <f t="shared" ca="1" si="689"/>
        <v/>
      </c>
      <c r="BA298" s="259">
        <f t="shared" ca="1" si="713"/>
        <v>0</v>
      </c>
      <c r="BB298" s="259">
        <f t="shared" ca="1" si="690"/>
        <v>0</v>
      </c>
      <c r="BC298" s="259">
        <f t="shared" ca="1" si="691"/>
        <v>0</v>
      </c>
      <c r="BD298" s="259">
        <f t="shared" ca="1" si="692"/>
        <v>0</v>
      </c>
      <c r="BE298" s="259">
        <f t="shared" ca="1" si="693"/>
        <v>0</v>
      </c>
      <c r="BQ298" s="259" t="str">
        <f ca="1">IFERROR(INDEX($BN$3:$BO$200,MATCH(ROWS(BQ$3:BQ298),$BP$3:$BP$220,0),1),"")</f>
        <v/>
      </c>
      <c r="CX298" s="259">
        <f t="shared" ca="1" si="705"/>
        <v>17</v>
      </c>
      <c r="CY298" s="259" t="str">
        <f t="shared" ca="1" si="694"/>
        <v>MASTRO</v>
      </c>
      <c r="CZ298" s="259" t="e">
        <f t="shared" ca="1" si="707"/>
        <v>#N/A</v>
      </c>
      <c r="DA298" s="259" t="str">
        <f t="shared" ca="1" si="712"/>
        <v/>
      </c>
      <c r="DB298" s="259" t="str">
        <f t="shared" ca="1" si="708"/>
        <v/>
      </c>
      <c r="DC298" s="259" t="str">
        <f t="shared" ca="1" si="709"/>
        <v/>
      </c>
      <c r="DD298" s="259" t="str">
        <f t="shared" ca="1" si="710"/>
        <v/>
      </c>
      <c r="DE298" s="259" t="str">
        <f t="shared" ca="1" si="711"/>
        <v/>
      </c>
      <c r="DF298" s="259">
        <f ca="1">IF(AND(CX298=$DE$2,$DF$2&lt;&gt;0),0,IF(AND(DB298&lt;&gt;"",OR(DB297&lt;&gt;"",DB299&lt;&gt;"")),MAX($DF$2:DF297)+1,0))</f>
        <v>0</v>
      </c>
      <c r="DG298" s="259" t="str">
        <f>IF(IF(LIBRO_GIORNALE!E206="","",IFERROR(INDEX(PIANO_DEI_CONTI,MATCH(BB298,DENOMINAZIONE,0),1),0))=0,"",IF(LIBRO_GIORNALE!E206="","",IFERROR(INDEX(PIANO_DEI_CONTI,MATCH(BB298,DENOMINAZIONE,0),1),0)))</f>
        <v/>
      </c>
      <c r="EC298" s="259">
        <f>IF(IF(DG298&lt;&gt;"",REPLACE(DG298,3,1,""),0)&lt;&gt;0,MAX(EC$2:EC297)+1,0)</f>
        <v>0</v>
      </c>
      <c r="ED298" s="259">
        <f t="shared" ca="1" si="662"/>
        <v>0</v>
      </c>
      <c r="EL298" s="259">
        <f t="shared" si="670"/>
        <v>296</v>
      </c>
      <c r="EM298" s="259">
        <f ca="1">IF(AND(BA298&gt;0,BA298&lt;=$EM$1),MAX($EM$2:EM297)+1,0)</f>
        <v>0</v>
      </c>
      <c r="EN298" s="259">
        <f t="shared" ca="1" si="671"/>
        <v>298</v>
      </c>
      <c r="EP298" s="259" t="str">
        <f t="shared" ca="1" si="663"/>
        <v/>
      </c>
      <c r="EQ298" s="259">
        <f t="shared" ca="1" si="664"/>
        <v>0</v>
      </c>
      <c r="ER298" s="259">
        <f ca="1">IF(ISNA(EQ298),MAX(ER$2:ER297)+1,0)</f>
        <v>0</v>
      </c>
      <c r="ES298" s="259" t="str">
        <f t="shared" ca="1" si="672"/>
        <v/>
      </c>
      <c r="ET298" s="259" t="str">
        <f ca="1">IFERROR(UPPER(INDEX($ER$3:$ES$500,MATCH(ROWS(ET$3:ET298),$ER$3:$ER$500,0),2)),"")</f>
        <v/>
      </c>
      <c r="EW298" s="259">
        <f t="shared" ca="1" si="714"/>
        <v>1</v>
      </c>
      <c r="EX298" s="259">
        <v>196</v>
      </c>
      <c r="EY298" s="259">
        <f t="shared" ca="1" si="715"/>
        <v>0</v>
      </c>
      <c r="EZ298" s="259">
        <f t="shared" ca="1" si="716"/>
        <v>0</v>
      </c>
      <c r="FA298" s="259">
        <f t="shared" ca="1" si="717"/>
        <v>0</v>
      </c>
      <c r="FB298" s="259">
        <f t="shared" ca="1" si="718"/>
        <v>0</v>
      </c>
      <c r="FC298" s="259">
        <f t="shared" ca="1" si="719"/>
        <v>0</v>
      </c>
      <c r="FD298" s="259">
        <f t="shared" ca="1" si="665"/>
        <v>0</v>
      </c>
      <c r="FE298" s="259" t="str">
        <f t="shared" ca="1" si="666"/>
        <v/>
      </c>
      <c r="FF298" s="259" t="str">
        <f t="shared" ca="1" si="720"/>
        <v/>
      </c>
      <c r="FM298" s="259">
        <f t="shared" si="667"/>
        <v>0</v>
      </c>
      <c r="FN298" s="259">
        <f>IF(FM298&lt;0,MAX($FN$2:FN297)+1,0)</f>
        <v>0</v>
      </c>
      <c r="FO298" s="259" t="str">
        <f t="shared" si="673"/>
        <v/>
      </c>
      <c r="FP298" s="259" t="str">
        <f ca="1">IFERROR(INDEX($FN$3:$FO$400,MATCH(ROWS($FP$3:FP298),$FN$3:$FN$400,0),2),"")</f>
        <v/>
      </c>
      <c r="FQ298" s="259" t="str">
        <f>IF(AE298="SE AVERE",MAX($FQ$2:FQ297)+1,"")</f>
        <v/>
      </c>
      <c r="FR298" s="259" t="str">
        <f>IF(AE298="SE DARE",MAX($FR$2:FR297)+1,"")</f>
        <v/>
      </c>
      <c r="FS298" s="259" t="str">
        <f ca="1">IF(AND(AE298="SP DARE",AA298&lt;&gt;$FS$1,AA298&lt;&gt;$FT$1),MAX($FS$2:FS297)+1,IF(AND(GQ298="SP DARE",AA298&lt;&gt;$FS$1,AA298&lt;&gt;$FT$1),MAX($FS$2:FS297)+1,""))</f>
        <v/>
      </c>
      <c r="FT298" s="259" t="str">
        <f ca="1">IF(AND(AE298="SP AVERE",AA298&lt;&gt;$FU$1),MAX($FT$2:FT297)+1,IF(AND(GQ298="SP AVERE",AA298&lt;&gt;$FU$1),MAX($FT$2:FT297)+1,""))</f>
        <v/>
      </c>
      <c r="FU298" s="259">
        <f t="shared" ca="1" si="674"/>
        <v>0</v>
      </c>
      <c r="FV298" s="259">
        <f t="shared" si="675"/>
        <v>0</v>
      </c>
      <c r="FW298" s="259">
        <f ca="1">IFERROR(INDEX($FU$3:$FV$500,MATCH(ROWS($FW$3:FW298),$FU$3:$FU$500,0),2),0)</f>
        <v>0</v>
      </c>
      <c r="FX298" s="259">
        <f t="shared" ca="1" si="676"/>
        <v>0</v>
      </c>
      <c r="FY298" s="259">
        <f t="shared" ca="1" si="677"/>
        <v>0</v>
      </c>
      <c r="FZ298" s="259">
        <f ca="1">IF(FY298&gt;0,MAX($FZ$2:FZ297)+1,0)</f>
        <v>0</v>
      </c>
      <c r="GA298" s="259">
        <f ca="1">IFERROR(INDEX($FY$3:$FZ$500,MATCH(ROWS($GA$3:GA298),$FZ$3:$FZ$500,0),1),0)</f>
        <v>0</v>
      </c>
      <c r="GC298" s="259">
        <f t="shared" ca="1" si="678"/>
        <v>0</v>
      </c>
      <c r="GD298" s="259">
        <f t="shared" ca="1" si="679"/>
        <v>0</v>
      </c>
      <c r="GG298" s="259">
        <f t="shared" ca="1" si="680"/>
        <v>0</v>
      </c>
      <c r="GH298" s="259">
        <f t="shared" ca="1" si="681"/>
        <v>0</v>
      </c>
      <c r="GI298" s="259">
        <f t="shared" ca="1" si="682"/>
        <v>0</v>
      </c>
      <c r="GJ298" s="259">
        <f t="shared" ca="1" si="683"/>
        <v>0</v>
      </c>
      <c r="GK298" s="259">
        <f t="shared" ca="1" si="684"/>
        <v>0</v>
      </c>
      <c r="GL298" s="259">
        <f t="shared" ca="1" si="684"/>
        <v>0</v>
      </c>
      <c r="GM298" s="259">
        <f ca="1">IF(OR(GK298&gt;0,GL298&gt;0),MAX($GM$2:GM297)+1,0)</f>
        <v>0</v>
      </c>
      <c r="GN298" s="259" t="str">
        <f ca="1">IFERROR(INDEX($GD$3:$GM$400,MATCH(ROWS($GN$3:GN298),$GM$3:$GM$400,0),1),"")</f>
        <v/>
      </c>
      <c r="GO298" s="259" t="str">
        <f ca="1">IFERROR(INDEX($GD$3:$GM$400,MATCH(ROWS($GO$3:GO298),$GM$3:$GM$400,0),8),"")</f>
        <v/>
      </c>
      <c r="GP298" s="259" t="str">
        <f ca="1">IFERROR(INDEX($GD$3:$GM$400,MATCH(ROWS($GP$3:GP298),$GM$3:$GM$400,0),9),"")</f>
        <v/>
      </c>
      <c r="GQ298" s="259">
        <f t="shared" ca="1" si="668"/>
        <v>0</v>
      </c>
      <c r="GR298" s="259">
        <f t="shared" ca="1" si="685"/>
        <v>0</v>
      </c>
      <c r="GS298" s="259" t="str">
        <f t="shared" ca="1" si="686"/>
        <v/>
      </c>
      <c r="GT298" s="259" t="str">
        <f ca="1">IFERROR(INDEX($GD$3:$GS$400,MATCH(ROWS($GT$3:GT298),$GM$3:$GM$400,0),16),"")</f>
        <v/>
      </c>
      <c r="GU298" s="259">
        <f ca="1">IF(GQ298&lt;&gt;0,MAX($GU$2:$GU297)+1,0)</f>
        <v>0</v>
      </c>
      <c r="GV298" s="259">
        <f t="shared" ca="1" si="687"/>
        <v>0</v>
      </c>
      <c r="GW298" s="259" t="str">
        <f ca="1">IF(AND(IFERROR(INDEX($GU$3:$GV$400,MATCH(ROWS($GW$3:GW298),$GU$3:$GU$400,0),2),"")&lt;&gt;"",GW299&lt;&gt;""),CONCATENATE(IFERROR(INDEX($GU$3:$GV$400,MATCH(ROWS($GW$3:GW298),$GU$3:$GU$400,0),2),"")," - "),IFERROR(INDEX($GU$3:$GV$400,MATCH(ROWS($GW$3:GW298),$GU$3:$GU$400,0),2),""))</f>
        <v/>
      </c>
      <c r="GX298" s="259">
        <f ca="1">IF(OR(GN298="IVA NS/CREDITO",GN298="IVA NS/DEBITO",GN298="IVA C/ACCONTO",GN298="IMPOSTE C/ACCONTO"),MAX($GX$2:GX297)+1,0)</f>
        <v>0</v>
      </c>
      <c r="GY298" s="259" t="str">
        <f ca="1">IF(AND(IFERROR(INDEX($GN$3:$GX$200,MATCH(ROWS($GY$3:GY298),$GX$3:$GX$200,0),1),"")&lt;&gt;"",GY299&lt;&gt;""),CONCATENATE(IFERROR(INDEX($GN$3:$GX$200,MATCH(ROWS($GY$3:GY298),$GX$3:$GX$200,0),1),"")," - "),IFERROR(INDEX($GN$3:$GX$200,MATCH(ROWS($GY$3:GY298),$GX$3:$GX$200,0),1),""))</f>
        <v/>
      </c>
      <c r="JA298" s="259" t="str">
        <f t="shared" ca="1" si="688"/>
        <v/>
      </c>
      <c r="JB298" s="259">
        <f t="shared" ca="1" si="669"/>
        <v>0</v>
      </c>
      <c r="JC298" s="259">
        <f t="shared" ca="1" si="721"/>
        <v>0</v>
      </c>
      <c r="JD298" s="259">
        <f t="shared" ca="1" si="722"/>
        <v>0</v>
      </c>
      <c r="JM298" s="259">
        <f t="shared" ca="1" si="723"/>
        <v>0</v>
      </c>
    </row>
    <row r="299" spans="52:273">
      <c r="AZ299" s="259" t="str">
        <f t="shared" ca="1" si="689"/>
        <v/>
      </c>
      <c r="BA299" s="259">
        <f t="shared" ca="1" si="713"/>
        <v>0</v>
      </c>
      <c r="BB299" s="259">
        <f t="shared" ca="1" si="690"/>
        <v>0</v>
      </c>
      <c r="BC299" s="259">
        <f t="shared" ca="1" si="691"/>
        <v>0</v>
      </c>
      <c r="BD299" s="259">
        <f t="shared" ca="1" si="692"/>
        <v>0</v>
      </c>
      <c r="BE299" s="259">
        <f t="shared" ca="1" si="693"/>
        <v>0</v>
      </c>
      <c r="BQ299" s="259" t="str">
        <f ca="1">IFERROR(INDEX($BN$3:$BO$200,MATCH(ROWS(BQ$3:BQ299),$BP$3:$BP$220,0),1),"")</f>
        <v/>
      </c>
      <c r="CX299" s="259">
        <f t="shared" ca="1" si="705"/>
        <v>17</v>
      </c>
      <c r="CY299" s="259" t="str">
        <f t="shared" ca="1" si="694"/>
        <v>MASTRO</v>
      </c>
      <c r="CZ299" s="259" t="e">
        <f t="shared" ca="1" si="707"/>
        <v>#N/A</v>
      </c>
      <c r="DA299" s="259" t="str">
        <f t="shared" ca="1" si="712"/>
        <v/>
      </c>
      <c r="DB299" s="259" t="str">
        <f t="shared" ca="1" si="708"/>
        <v/>
      </c>
      <c r="DC299" s="259" t="str">
        <f t="shared" ca="1" si="709"/>
        <v/>
      </c>
      <c r="DD299" s="259" t="str">
        <f t="shared" ca="1" si="710"/>
        <v/>
      </c>
      <c r="DE299" s="259" t="str">
        <f t="shared" ca="1" si="711"/>
        <v/>
      </c>
      <c r="DF299" s="259">
        <f ca="1">IF(AND(CX299=$DE$2,$DF$2&lt;&gt;0),0,IF(AND(DB299&lt;&gt;"",OR(DB298&lt;&gt;"",DB300&lt;&gt;"")),MAX($DF$2:DF298)+1,0))</f>
        <v>0</v>
      </c>
      <c r="DG299" s="259" t="str">
        <f>IF(IF(LIBRO_GIORNALE!E207="","",IFERROR(INDEX(PIANO_DEI_CONTI,MATCH(BB299,DENOMINAZIONE,0),1),0))=0,"",IF(LIBRO_GIORNALE!E207="","",IFERROR(INDEX(PIANO_DEI_CONTI,MATCH(BB299,DENOMINAZIONE,0),1),0)))</f>
        <v/>
      </c>
      <c r="EC299" s="259">
        <f>IF(IF(DG299&lt;&gt;"",REPLACE(DG299,3,1,""),0)&lt;&gt;0,MAX(EC$2:EC298)+1,0)</f>
        <v>0</v>
      </c>
      <c r="ED299" s="259">
        <f t="shared" ca="1" si="662"/>
        <v>0</v>
      </c>
      <c r="EL299" s="259">
        <f t="shared" si="670"/>
        <v>297</v>
      </c>
      <c r="EM299" s="259">
        <f ca="1">IF(AND(BA299&gt;0,BA299&lt;=$EM$1),MAX($EM$2:EM298)+1,0)</f>
        <v>0</v>
      </c>
      <c r="EN299" s="259">
        <f t="shared" ca="1" si="671"/>
        <v>299</v>
      </c>
      <c r="EP299" s="259" t="str">
        <f t="shared" ca="1" si="663"/>
        <v/>
      </c>
      <c r="EQ299" s="259">
        <f t="shared" ca="1" si="664"/>
        <v>0</v>
      </c>
      <c r="ER299" s="259">
        <f ca="1">IF(ISNA(EQ299),MAX(ER$2:ER298)+1,0)</f>
        <v>0</v>
      </c>
      <c r="ES299" s="259" t="str">
        <f t="shared" ca="1" si="672"/>
        <v/>
      </c>
      <c r="ET299" s="259" t="str">
        <f ca="1">IFERROR(UPPER(INDEX($ER$3:$ES$500,MATCH(ROWS(ET$3:ET299),$ER$3:$ER$500,0),2)),"")</f>
        <v/>
      </c>
      <c r="EW299" s="259">
        <f t="shared" ca="1" si="714"/>
        <v>1</v>
      </c>
      <c r="EX299" s="259">
        <v>197</v>
      </c>
      <c r="EY299" s="259">
        <f t="shared" ca="1" si="715"/>
        <v>0</v>
      </c>
      <c r="EZ299" s="259">
        <f t="shared" ca="1" si="716"/>
        <v>0</v>
      </c>
      <c r="FA299" s="259">
        <f t="shared" ca="1" si="717"/>
        <v>0</v>
      </c>
      <c r="FB299" s="259">
        <f t="shared" ca="1" si="718"/>
        <v>0</v>
      </c>
      <c r="FC299" s="259">
        <f t="shared" ca="1" si="719"/>
        <v>0</v>
      </c>
      <c r="FD299" s="259">
        <f t="shared" ca="1" si="665"/>
        <v>0</v>
      </c>
      <c r="FE299" s="259" t="str">
        <f t="shared" ca="1" si="666"/>
        <v/>
      </c>
      <c r="FF299" s="259" t="str">
        <f t="shared" ca="1" si="720"/>
        <v/>
      </c>
      <c r="FM299" s="259">
        <f t="shared" si="667"/>
        <v>0</v>
      </c>
      <c r="FN299" s="259">
        <f>IF(FM299&lt;0,MAX($FN$2:FN298)+1,0)</f>
        <v>0</v>
      </c>
      <c r="FO299" s="259" t="str">
        <f t="shared" si="673"/>
        <v/>
      </c>
      <c r="FP299" s="259" t="str">
        <f ca="1">IFERROR(INDEX($FN$3:$FO$400,MATCH(ROWS($FP$3:FP299),$FN$3:$FN$400,0),2),"")</f>
        <v/>
      </c>
      <c r="FQ299" s="259" t="str">
        <f>IF(AE299="SE AVERE",MAX($FQ$2:FQ298)+1,"")</f>
        <v/>
      </c>
      <c r="FR299" s="259" t="str">
        <f>IF(AE299="SE DARE",MAX($FR$2:FR298)+1,"")</f>
        <v/>
      </c>
      <c r="FS299" s="259" t="str">
        <f ca="1">IF(AND(AE299="SP DARE",AA299&lt;&gt;$FS$1,AA299&lt;&gt;$FT$1),MAX($FS$2:FS298)+1,IF(AND(GQ299="SP DARE",AA299&lt;&gt;$FS$1,AA299&lt;&gt;$FT$1),MAX($FS$2:FS298)+1,""))</f>
        <v/>
      </c>
      <c r="FT299" s="259" t="str">
        <f ca="1">IF(AND(AE299="SP AVERE",AA299&lt;&gt;$FU$1),MAX($FT$2:FT298)+1,IF(AND(GQ299="SP AVERE",AA299&lt;&gt;$FU$1),MAX($FT$2:FT298)+1,""))</f>
        <v/>
      </c>
      <c r="FU299" s="259">
        <f t="shared" ca="1" si="674"/>
        <v>0</v>
      </c>
      <c r="FV299" s="259">
        <f t="shared" si="675"/>
        <v>0</v>
      </c>
      <c r="FW299" s="259">
        <f ca="1">IFERROR(INDEX($FU$3:$FV$500,MATCH(ROWS($FW$3:FW299),$FU$3:$FU$500,0),2),0)</f>
        <v>0</v>
      </c>
      <c r="FX299" s="259">
        <f t="shared" ca="1" si="676"/>
        <v>0</v>
      </c>
      <c r="FY299" s="259">
        <f t="shared" ca="1" si="677"/>
        <v>0</v>
      </c>
      <c r="FZ299" s="259">
        <f ca="1">IF(FY299&gt;0,MAX($FZ$2:FZ298)+1,0)</f>
        <v>0</v>
      </c>
      <c r="GA299" s="259">
        <f ca="1">IFERROR(INDEX($FY$3:$FZ$500,MATCH(ROWS($GA$3:GA299),$FZ$3:$FZ$500,0),1),0)</f>
        <v>0</v>
      </c>
      <c r="GC299" s="259">
        <f t="shared" ca="1" si="678"/>
        <v>0</v>
      </c>
      <c r="GD299" s="259">
        <f t="shared" ca="1" si="679"/>
        <v>0</v>
      </c>
      <c r="GG299" s="259">
        <f t="shared" ca="1" si="680"/>
        <v>0</v>
      </c>
      <c r="GH299" s="259">
        <f t="shared" ca="1" si="681"/>
        <v>0</v>
      </c>
      <c r="GI299" s="259">
        <f t="shared" ca="1" si="682"/>
        <v>0</v>
      </c>
      <c r="GJ299" s="259">
        <f t="shared" ca="1" si="683"/>
        <v>0</v>
      </c>
      <c r="GK299" s="259">
        <f t="shared" ca="1" si="684"/>
        <v>0</v>
      </c>
      <c r="GL299" s="259">
        <f t="shared" ca="1" si="684"/>
        <v>0</v>
      </c>
      <c r="GM299" s="259">
        <f ca="1">IF(OR(GK299&gt;0,GL299&gt;0),MAX($GM$2:GM298)+1,0)</f>
        <v>0</v>
      </c>
      <c r="GN299" s="259" t="str">
        <f ca="1">IFERROR(INDEX($GD$3:$GM$400,MATCH(ROWS($GN$3:GN299),$GM$3:$GM$400,0),1),"")</f>
        <v/>
      </c>
      <c r="GO299" s="259" t="str">
        <f ca="1">IFERROR(INDEX($GD$3:$GM$400,MATCH(ROWS($GO$3:GO299),$GM$3:$GM$400,0),8),"")</f>
        <v/>
      </c>
      <c r="GP299" s="259" t="str">
        <f ca="1">IFERROR(INDEX($GD$3:$GM$400,MATCH(ROWS($GP$3:GP299),$GM$3:$GM$400,0),9),"")</f>
        <v/>
      </c>
      <c r="GQ299" s="259">
        <f t="shared" ca="1" si="668"/>
        <v>0</v>
      </c>
      <c r="GR299" s="259">
        <f t="shared" ca="1" si="685"/>
        <v>0</v>
      </c>
      <c r="GS299" s="259" t="str">
        <f t="shared" ca="1" si="686"/>
        <v/>
      </c>
      <c r="GT299" s="259" t="str">
        <f ca="1">IFERROR(INDEX($GD$3:$GS$400,MATCH(ROWS($GT$3:GT299),$GM$3:$GM$400,0),16),"")</f>
        <v/>
      </c>
      <c r="GU299" s="259">
        <f ca="1">IF(GQ299&lt;&gt;0,MAX($GU$2:$GU298)+1,0)</f>
        <v>0</v>
      </c>
      <c r="GV299" s="259">
        <f t="shared" ca="1" si="687"/>
        <v>0</v>
      </c>
      <c r="GW299" s="259" t="str">
        <f ca="1">IF(AND(IFERROR(INDEX($GU$3:$GV$400,MATCH(ROWS($GW$3:GW299),$GU$3:$GU$400,0),2),"")&lt;&gt;"",GW300&lt;&gt;""),CONCATENATE(IFERROR(INDEX($GU$3:$GV$400,MATCH(ROWS($GW$3:GW299),$GU$3:$GU$400,0),2),"")," - "),IFERROR(INDEX($GU$3:$GV$400,MATCH(ROWS($GW$3:GW299),$GU$3:$GU$400,0),2),""))</f>
        <v/>
      </c>
      <c r="GX299" s="259">
        <f ca="1">IF(OR(GN299="IVA NS/CREDITO",GN299="IVA NS/DEBITO",GN299="IVA C/ACCONTO",GN299="IMPOSTE C/ACCONTO"),MAX($GX$2:GX298)+1,0)</f>
        <v>0</v>
      </c>
      <c r="GY299" s="259" t="str">
        <f ca="1">IF(AND(IFERROR(INDEX($GN$3:$GX$200,MATCH(ROWS($GY$3:GY299),$GX$3:$GX$200,0),1),"")&lt;&gt;"",GY300&lt;&gt;""),CONCATENATE(IFERROR(INDEX($GN$3:$GX$200,MATCH(ROWS($GY$3:GY299),$GX$3:$GX$200,0),1),"")," - "),IFERROR(INDEX($GN$3:$GX$200,MATCH(ROWS($GY$3:GY299),$GX$3:$GX$200,0),1),""))</f>
        <v/>
      </c>
      <c r="JA299" s="259" t="str">
        <f t="shared" ca="1" si="688"/>
        <v/>
      </c>
      <c r="JB299" s="259">
        <f t="shared" ca="1" si="669"/>
        <v>0</v>
      </c>
      <c r="JC299" s="259">
        <f t="shared" ca="1" si="721"/>
        <v>0</v>
      </c>
      <c r="JD299" s="259">
        <f t="shared" ca="1" si="722"/>
        <v>0</v>
      </c>
      <c r="JM299" s="259">
        <f t="shared" ca="1" si="723"/>
        <v>0</v>
      </c>
    </row>
    <row r="300" spans="52:273">
      <c r="AZ300" s="259" t="str">
        <f t="shared" ca="1" si="689"/>
        <v/>
      </c>
      <c r="BA300" s="259">
        <f t="shared" ca="1" si="713"/>
        <v>0</v>
      </c>
      <c r="BB300" s="259">
        <f t="shared" ca="1" si="690"/>
        <v>0</v>
      </c>
      <c r="BC300" s="259">
        <f t="shared" ca="1" si="691"/>
        <v>0</v>
      </c>
      <c r="BD300" s="259">
        <f t="shared" ca="1" si="692"/>
        <v>0</v>
      </c>
      <c r="BE300" s="259">
        <f t="shared" ca="1" si="693"/>
        <v>0</v>
      </c>
      <c r="BQ300" s="259" t="str">
        <f ca="1">IFERROR(INDEX($BN$3:$BO$200,MATCH(ROWS(BQ$3:BQ300),$BP$3:$BP$220,0),1),"")</f>
        <v/>
      </c>
      <c r="CX300" s="259">
        <f t="shared" ca="1" si="705"/>
        <v>17</v>
      </c>
      <c r="CY300" s="259" t="str">
        <f t="shared" ca="1" si="694"/>
        <v>MASTRO</v>
      </c>
      <c r="CZ300" s="259" t="e">
        <f t="shared" ca="1" si="707"/>
        <v>#N/A</v>
      </c>
      <c r="DA300" s="259" t="str">
        <f t="shared" ca="1" si="712"/>
        <v/>
      </c>
      <c r="DB300" s="259" t="str">
        <f t="shared" ca="1" si="708"/>
        <v/>
      </c>
      <c r="DC300" s="259" t="str">
        <f t="shared" ca="1" si="709"/>
        <v/>
      </c>
      <c r="DD300" s="259" t="str">
        <f t="shared" ca="1" si="710"/>
        <v/>
      </c>
      <c r="DE300" s="259" t="str">
        <f t="shared" ca="1" si="711"/>
        <v/>
      </c>
      <c r="DF300" s="259">
        <f ca="1">IF(AND(CX300=$DE$2,$DF$2&lt;&gt;0),0,IF(AND(DB300&lt;&gt;"",OR(DB299&lt;&gt;"",DB301&lt;&gt;"")),MAX($DF$2:DF299)+1,0))</f>
        <v>0</v>
      </c>
      <c r="DG300" s="259" t="str">
        <f>IF(IF(LIBRO_GIORNALE!E208="","",IFERROR(INDEX(PIANO_DEI_CONTI,MATCH(BB300,DENOMINAZIONE,0),1),0))=0,"",IF(LIBRO_GIORNALE!E208="","",IFERROR(INDEX(PIANO_DEI_CONTI,MATCH(BB300,DENOMINAZIONE,0),1),0)))</f>
        <v/>
      </c>
      <c r="EC300" s="259">
        <f>IF(IF(DG300&lt;&gt;"",REPLACE(DG300,3,1,""),0)&lt;&gt;0,MAX(EC$2:EC299)+1,0)</f>
        <v>0</v>
      </c>
      <c r="ED300" s="259">
        <f t="shared" ca="1" si="662"/>
        <v>0</v>
      </c>
      <c r="EL300" s="259">
        <f t="shared" si="670"/>
        <v>298</v>
      </c>
      <c r="EM300" s="259">
        <f ca="1">IF(AND(BA300&gt;0,BA300&lt;=$EM$1),MAX($EM$2:EM299)+1,0)</f>
        <v>0</v>
      </c>
      <c r="EN300" s="259">
        <f t="shared" ca="1" si="671"/>
        <v>300</v>
      </c>
      <c r="EP300" s="259" t="str">
        <f t="shared" ca="1" si="663"/>
        <v/>
      </c>
      <c r="EQ300" s="259">
        <f t="shared" ca="1" si="664"/>
        <v>0</v>
      </c>
      <c r="ER300" s="259">
        <f ca="1">IF(ISNA(EQ300),MAX(ER$2:ER299)+1,0)</f>
        <v>0</v>
      </c>
      <c r="ES300" s="259" t="str">
        <f t="shared" ca="1" si="672"/>
        <v/>
      </c>
      <c r="ET300" s="259" t="str">
        <f ca="1">IFERROR(UPPER(INDEX($ER$3:$ES$500,MATCH(ROWS(ET$3:ET300),$ER$3:$ER$500,0),2)),"")</f>
        <v/>
      </c>
      <c r="EW300" s="259">
        <f t="shared" ca="1" si="714"/>
        <v>1</v>
      </c>
      <c r="EX300" s="259">
        <v>198</v>
      </c>
      <c r="EY300" s="259">
        <f t="shared" ca="1" si="715"/>
        <v>0</v>
      </c>
      <c r="EZ300" s="259">
        <f t="shared" ca="1" si="716"/>
        <v>0</v>
      </c>
      <c r="FA300" s="259">
        <f t="shared" ca="1" si="717"/>
        <v>0</v>
      </c>
      <c r="FB300" s="259">
        <f t="shared" ca="1" si="718"/>
        <v>0</v>
      </c>
      <c r="FC300" s="259">
        <f t="shared" ca="1" si="719"/>
        <v>0</v>
      </c>
      <c r="FD300" s="259">
        <f t="shared" ca="1" si="665"/>
        <v>0</v>
      </c>
      <c r="FE300" s="259" t="str">
        <f t="shared" ca="1" si="666"/>
        <v/>
      </c>
      <c r="FF300" s="259" t="str">
        <f t="shared" ca="1" si="720"/>
        <v/>
      </c>
      <c r="FM300" s="259">
        <f t="shared" si="667"/>
        <v>0</v>
      </c>
      <c r="FN300" s="259">
        <f>IF(FM300&lt;0,MAX($FN$2:FN299)+1,0)</f>
        <v>0</v>
      </c>
      <c r="FO300" s="259" t="str">
        <f t="shared" si="673"/>
        <v/>
      </c>
      <c r="FP300" s="259" t="str">
        <f ca="1">IFERROR(INDEX($FN$3:$FO$400,MATCH(ROWS($FP$3:FP300),$FN$3:$FN$400,0),2),"")</f>
        <v/>
      </c>
      <c r="FQ300" s="259" t="str">
        <f>IF(AE300="SE AVERE",MAX($FQ$2:FQ299)+1,"")</f>
        <v/>
      </c>
      <c r="FR300" s="259" t="str">
        <f>IF(AE300="SE DARE",MAX($FR$2:FR299)+1,"")</f>
        <v/>
      </c>
      <c r="FS300" s="259" t="str">
        <f ca="1">IF(AND(AE300="SP DARE",AA300&lt;&gt;$FS$1,AA300&lt;&gt;$FT$1),MAX($FS$2:FS299)+1,IF(AND(GQ300="SP DARE",AA300&lt;&gt;$FS$1,AA300&lt;&gt;$FT$1),MAX($FS$2:FS299)+1,""))</f>
        <v/>
      </c>
      <c r="FT300" s="259" t="str">
        <f ca="1">IF(AND(AE300="SP AVERE",AA300&lt;&gt;$FU$1),MAX($FT$2:FT299)+1,IF(AND(GQ300="SP AVERE",AA300&lt;&gt;$FU$1),MAX($FT$2:FT299)+1,""))</f>
        <v/>
      </c>
      <c r="FU300" s="259">
        <f t="shared" ca="1" si="674"/>
        <v>0</v>
      </c>
      <c r="FV300" s="259">
        <f t="shared" si="675"/>
        <v>0</v>
      </c>
      <c r="FW300" s="259">
        <f ca="1">IFERROR(INDEX($FU$3:$FV$500,MATCH(ROWS($FW$3:FW300),$FU$3:$FU$500,0),2),0)</f>
        <v>0</v>
      </c>
      <c r="FX300" s="259">
        <f t="shared" ca="1" si="676"/>
        <v>0</v>
      </c>
      <c r="FY300" s="259">
        <f t="shared" ca="1" si="677"/>
        <v>0</v>
      </c>
      <c r="FZ300" s="259">
        <f ca="1">IF(FY300&gt;0,MAX($FZ$2:FZ299)+1,0)</f>
        <v>0</v>
      </c>
      <c r="GA300" s="259">
        <f ca="1">IFERROR(INDEX($FY$3:$FZ$500,MATCH(ROWS($GA$3:GA300),$FZ$3:$FZ$500,0),1),0)</f>
        <v>0</v>
      </c>
      <c r="GC300" s="259">
        <f t="shared" ca="1" si="678"/>
        <v>0</v>
      </c>
      <c r="GD300" s="259">
        <f t="shared" ca="1" si="679"/>
        <v>0</v>
      </c>
      <c r="GG300" s="259">
        <f t="shared" ca="1" si="680"/>
        <v>0</v>
      </c>
      <c r="GH300" s="259">
        <f t="shared" ca="1" si="681"/>
        <v>0</v>
      </c>
      <c r="GI300" s="259">
        <f t="shared" ca="1" si="682"/>
        <v>0</v>
      </c>
      <c r="GJ300" s="259">
        <f t="shared" ca="1" si="683"/>
        <v>0</v>
      </c>
      <c r="GK300" s="259">
        <f t="shared" ca="1" si="684"/>
        <v>0</v>
      </c>
      <c r="GL300" s="259">
        <f t="shared" ca="1" si="684"/>
        <v>0</v>
      </c>
      <c r="GM300" s="259">
        <f ca="1">IF(OR(GK300&gt;0,GL300&gt;0),MAX($GM$2:GM299)+1,0)</f>
        <v>0</v>
      </c>
      <c r="GN300" s="259" t="str">
        <f ca="1">IFERROR(INDEX($GD$3:$GM$400,MATCH(ROWS($GN$3:GN300),$GM$3:$GM$400,0),1),"")</f>
        <v/>
      </c>
      <c r="GO300" s="259" t="str">
        <f ca="1">IFERROR(INDEX($GD$3:$GM$400,MATCH(ROWS($GO$3:GO300),$GM$3:$GM$400,0),8),"")</f>
        <v/>
      </c>
      <c r="GP300" s="259" t="str">
        <f ca="1">IFERROR(INDEX($GD$3:$GM$400,MATCH(ROWS($GP$3:GP300),$GM$3:$GM$400,0),9),"")</f>
        <v/>
      </c>
      <c r="GQ300" s="259">
        <f t="shared" ca="1" si="668"/>
        <v>0</v>
      </c>
      <c r="GR300" s="259">
        <f t="shared" ca="1" si="685"/>
        <v>0</v>
      </c>
      <c r="GS300" s="259" t="str">
        <f t="shared" ca="1" si="686"/>
        <v/>
      </c>
      <c r="GT300" s="259" t="str">
        <f ca="1">IFERROR(INDEX($GD$3:$GS$400,MATCH(ROWS($GT$3:GT300),$GM$3:$GM$400,0),16),"")</f>
        <v/>
      </c>
      <c r="GU300" s="259">
        <f ca="1">IF(GQ300&lt;&gt;0,MAX($GU$2:$GU299)+1,0)</f>
        <v>0</v>
      </c>
      <c r="GV300" s="259">
        <f t="shared" ca="1" si="687"/>
        <v>0</v>
      </c>
      <c r="GW300" s="259" t="str">
        <f ca="1">IF(AND(IFERROR(INDEX($GU$3:$GV$400,MATCH(ROWS($GW$3:GW300),$GU$3:$GU$400,0),2),"")&lt;&gt;"",GW301&lt;&gt;""),CONCATENATE(IFERROR(INDEX($GU$3:$GV$400,MATCH(ROWS($GW$3:GW300),$GU$3:$GU$400,0),2),"")," - "),IFERROR(INDEX($GU$3:$GV$400,MATCH(ROWS($GW$3:GW300),$GU$3:$GU$400,0),2),""))</f>
        <v/>
      </c>
      <c r="GX300" s="259">
        <f ca="1">IF(OR(GN300="IVA NS/CREDITO",GN300="IVA NS/DEBITO",GN300="IVA C/ACCONTO",GN300="IMPOSTE C/ACCONTO"),MAX($GX$2:GX299)+1,0)</f>
        <v>0</v>
      </c>
      <c r="GY300" s="259" t="str">
        <f ca="1">IF(AND(IFERROR(INDEX($GN$3:$GX$200,MATCH(ROWS($GY$3:GY300),$GX$3:$GX$200,0),1),"")&lt;&gt;"",GY301&lt;&gt;""),CONCATENATE(IFERROR(INDEX($GN$3:$GX$200,MATCH(ROWS($GY$3:GY300),$GX$3:$GX$200,0),1),"")," - "),IFERROR(INDEX($GN$3:$GX$200,MATCH(ROWS($GY$3:GY300),$GX$3:$GX$200,0),1),""))</f>
        <v/>
      </c>
      <c r="JA300" s="259" t="str">
        <f t="shared" ca="1" si="688"/>
        <v/>
      </c>
      <c r="JB300" s="259">
        <f t="shared" ca="1" si="669"/>
        <v>0</v>
      </c>
      <c r="JC300" s="259">
        <f t="shared" ca="1" si="721"/>
        <v>0</v>
      </c>
      <c r="JD300" s="259">
        <f t="shared" ca="1" si="722"/>
        <v>0</v>
      </c>
      <c r="JM300" s="259">
        <f t="shared" ca="1" si="723"/>
        <v>0</v>
      </c>
    </row>
    <row r="301" spans="52:273">
      <c r="AZ301" s="259" t="str">
        <f t="shared" ca="1" si="689"/>
        <v/>
      </c>
      <c r="BA301" s="259">
        <f t="shared" ca="1" si="713"/>
        <v>0</v>
      </c>
      <c r="BB301" s="259">
        <f t="shared" ca="1" si="690"/>
        <v>0</v>
      </c>
      <c r="BC301" s="259">
        <f t="shared" ca="1" si="691"/>
        <v>0</v>
      </c>
      <c r="BD301" s="259">
        <f t="shared" ca="1" si="692"/>
        <v>0</v>
      </c>
      <c r="BE301" s="259">
        <f t="shared" ca="1" si="693"/>
        <v>0</v>
      </c>
      <c r="BQ301" s="259" t="str">
        <f ca="1">IFERROR(INDEX($BN$3:$BO$200,MATCH(ROWS(BQ$3:BQ301),$BP$3:$BP$220,0),1),"")</f>
        <v/>
      </c>
      <c r="CX301" s="259">
        <f t="shared" ca="1" si="705"/>
        <v>17</v>
      </c>
      <c r="CY301" s="259" t="str">
        <f t="shared" ca="1" si="694"/>
        <v>MASTRO</v>
      </c>
      <c r="CZ301" s="259" t="e">
        <f t="shared" ca="1" si="707"/>
        <v>#N/A</v>
      </c>
      <c r="DA301" s="259" t="str">
        <f t="shared" ca="1" si="712"/>
        <v/>
      </c>
      <c r="DB301" s="259" t="str">
        <f t="shared" ca="1" si="708"/>
        <v/>
      </c>
      <c r="DC301" s="259" t="str">
        <f t="shared" ca="1" si="709"/>
        <v/>
      </c>
      <c r="DD301" s="259" t="str">
        <f t="shared" ca="1" si="710"/>
        <v/>
      </c>
      <c r="DE301" s="259" t="str">
        <f t="shared" ca="1" si="711"/>
        <v/>
      </c>
      <c r="DF301" s="259">
        <f ca="1">IF(AND(CX301=$DE$2,$DF$2&lt;&gt;0),0,IF(AND(DB301&lt;&gt;"",OR(DB300&lt;&gt;"",DB302&lt;&gt;"")),MAX($DF$2:DF300)+1,0))</f>
        <v>0</v>
      </c>
      <c r="DG301" s="259" t="str">
        <f>IF(IF(LIBRO_GIORNALE!E209="","",IFERROR(INDEX(PIANO_DEI_CONTI,MATCH(BB301,DENOMINAZIONE,0),1),0))=0,"",IF(LIBRO_GIORNALE!E209="","",IFERROR(INDEX(PIANO_DEI_CONTI,MATCH(BB301,DENOMINAZIONE,0),1),0)))</f>
        <v/>
      </c>
      <c r="EC301" s="259">
        <f>IF(IF(DG301&lt;&gt;"",REPLACE(DG301,3,1,""),0)&lt;&gt;0,MAX(EC$2:EC300)+1,0)</f>
        <v>0</v>
      </c>
      <c r="ED301" s="259">
        <f t="shared" ca="1" si="662"/>
        <v>0</v>
      </c>
      <c r="EL301" s="259">
        <f t="shared" si="670"/>
        <v>299</v>
      </c>
      <c r="EM301" s="259">
        <f ca="1">IF(AND(BA301&gt;0,BA301&lt;=$EM$1),MAX($EM$2:EM300)+1,0)</f>
        <v>0</v>
      </c>
      <c r="EN301" s="259">
        <f t="shared" ca="1" si="671"/>
        <v>301</v>
      </c>
      <c r="EP301" s="259" t="str">
        <f t="shared" ca="1" si="663"/>
        <v/>
      </c>
      <c r="EQ301" s="259">
        <f t="shared" ca="1" si="664"/>
        <v>0</v>
      </c>
      <c r="ER301" s="259">
        <f ca="1">IF(ISNA(EQ301),MAX(ER$2:ER300)+1,0)</f>
        <v>0</v>
      </c>
      <c r="ES301" s="259" t="str">
        <f t="shared" ca="1" si="672"/>
        <v/>
      </c>
      <c r="ET301" s="259" t="str">
        <f ca="1">IFERROR(UPPER(INDEX($ER$3:$ES$500,MATCH(ROWS(ET$3:ET301),$ER$3:$ER$500,0),2)),"")</f>
        <v/>
      </c>
      <c r="EW301" s="259">
        <f t="shared" ca="1" si="714"/>
        <v>1</v>
      </c>
      <c r="EX301" s="259">
        <v>199</v>
      </c>
      <c r="EY301" s="259">
        <f t="shared" ca="1" si="715"/>
        <v>0</v>
      </c>
      <c r="EZ301" s="259">
        <f t="shared" ca="1" si="716"/>
        <v>0</v>
      </c>
      <c r="FA301" s="259">
        <f t="shared" ca="1" si="717"/>
        <v>0</v>
      </c>
      <c r="FB301" s="259">
        <f t="shared" ca="1" si="718"/>
        <v>0</v>
      </c>
      <c r="FC301" s="259">
        <f t="shared" ca="1" si="719"/>
        <v>0</v>
      </c>
      <c r="FD301" s="259">
        <f t="shared" ca="1" si="665"/>
        <v>0</v>
      </c>
      <c r="FE301" s="259" t="str">
        <f t="shared" ca="1" si="666"/>
        <v/>
      </c>
      <c r="FF301" s="259" t="str">
        <f t="shared" ca="1" si="720"/>
        <v/>
      </c>
      <c r="FM301" s="259">
        <f t="shared" si="667"/>
        <v>0</v>
      </c>
      <c r="FN301" s="259">
        <f>IF(FM301&lt;0,MAX($FN$2:FN300)+1,0)</f>
        <v>0</v>
      </c>
      <c r="FO301" s="259" t="str">
        <f t="shared" si="673"/>
        <v/>
      </c>
      <c r="FP301" s="259" t="str">
        <f ca="1">IFERROR(INDEX($FN$3:$FO$400,MATCH(ROWS($FP$3:FP301),$FN$3:$FN$400,0),2),"")</f>
        <v/>
      </c>
      <c r="FQ301" s="259" t="str">
        <f>IF(AE301="SE AVERE",MAX($FQ$2:FQ300)+1,"")</f>
        <v/>
      </c>
      <c r="FR301" s="259" t="str">
        <f>IF(AE301="SE DARE",MAX($FR$2:FR300)+1,"")</f>
        <v/>
      </c>
      <c r="FS301" s="259" t="str">
        <f ca="1">IF(AND(AE301="SP DARE",AA301&lt;&gt;$FS$1,AA301&lt;&gt;$FT$1),MAX($FS$2:FS300)+1,IF(AND(GQ301="SP DARE",AA301&lt;&gt;$FS$1,AA301&lt;&gt;$FT$1),MAX($FS$2:FS300)+1,""))</f>
        <v/>
      </c>
      <c r="FT301" s="259" t="str">
        <f ca="1">IF(AND(AE301="SP AVERE",AA301&lt;&gt;$FU$1),MAX($FT$2:FT300)+1,IF(AND(GQ301="SP AVERE",AA301&lt;&gt;$FU$1),MAX($FT$2:FT300)+1,""))</f>
        <v/>
      </c>
      <c r="FU301" s="259">
        <f t="shared" ca="1" si="674"/>
        <v>0</v>
      </c>
      <c r="FV301" s="259">
        <f t="shared" si="675"/>
        <v>0</v>
      </c>
      <c r="FW301" s="259">
        <f ca="1">IFERROR(INDEX($FU$3:$FV$500,MATCH(ROWS($FW$3:FW301),$FU$3:$FU$500,0),2),0)</f>
        <v>0</v>
      </c>
      <c r="FX301" s="259">
        <f t="shared" ca="1" si="676"/>
        <v>0</v>
      </c>
      <c r="FY301" s="259">
        <f t="shared" ca="1" si="677"/>
        <v>0</v>
      </c>
      <c r="FZ301" s="259">
        <f ca="1">IF(FY301&gt;0,MAX($FZ$2:FZ300)+1,0)</f>
        <v>0</v>
      </c>
      <c r="GA301" s="259">
        <f ca="1">IFERROR(INDEX($FY$3:$FZ$500,MATCH(ROWS($GA$3:GA301),$FZ$3:$FZ$500,0),1),0)</f>
        <v>0</v>
      </c>
      <c r="GC301" s="259">
        <f t="shared" ca="1" si="678"/>
        <v>0</v>
      </c>
      <c r="GD301" s="259">
        <f t="shared" ca="1" si="679"/>
        <v>0</v>
      </c>
      <c r="GG301" s="259">
        <f t="shared" ca="1" si="680"/>
        <v>0</v>
      </c>
      <c r="GH301" s="259">
        <f t="shared" ca="1" si="681"/>
        <v>0</v>
      </c>
      <c r="GI301" s="259">
        <f t="shared" ca="1" si="682"/>
        <v>0</v>
      </c>
      <c r="GJ301" s="259">
        <f t="shared" ca="1" si="683"/>
        <v>0</v>
      </c>
      <c r="GK301" s="259">
        <f t="shared" ca="1" si="684"/>
        <v>0</v>
      </c>
      <c r="GL301" s="259">
        <f t="shared" ca="1" si="684"/>
        <v>0</v>
      </c>
      <c r="GM301" s="259">
        <f ca="1">IF(OR(GK301&gt;0,GL301&gt;0),MAX($GM$2:GM300)+1,0)</f>
        <v>0</v>
      </c>
      <c r="GN301" s="259" t="str">
        <f ca="1">IFERROR(INDEX($GD$3:$GM$400,MATCH(ROWS($GN$3:GN301),$GM$3:$GM$400,0),1),"")</f>
        <v/>
      </c>
      <c r="GO301" s="259" t="str">
        <f ca="1">IFERROR(INDEX($GD$3:$GM$400,MATCH(ROWS($GO$3:GO301),$GM$3:$GM$400,0),8),"")</f>
        <v/>
      </c>
      <c r="GP301" s="259" t="str">
        <f ca="1">IFERROR(INDEX($GD$3:$GM$400,MATCH(ROWS($GP$3:GP301),$GM$3:$GM$400,0),9),"")</f>
        <v/>
      </c>
      <c r="GQ301" s="259">
        <f t="shared" ca="1" si="668"/>
        <v>0</v>
      </c>
      <c r="GR301" s="259">
        <f t="shared" ca="1" si="685"/>
        <v>0</v>
      </c>
      <c r="GS301" s="259" t="str">
        <f t="shared" ca="1" si="686"/>
        <v/>
      </c>
      <c r="GT301" s="259" t="str">
        <f ca="1">IFERROR(INDEX($GD$3:$GS$400,MATCH(ROWS($GT$3:GT301),$GM$3:$GM$400,0),16),"")</f>
        <v/>
      </c>
      <c r="GU301" s="259">
        <f ca="1">IF(GQ301&lt;&gt;0,MAX($GU$2:$GU300)+1,0)</f>
        <v>0</v>
      </c>
      <c r="GV301" s="259">
        <f t="shared" ca="1" si="687"/>
        <v>0</v>
      </c>
      <c r="GW301" s="259" t="str">
        <f ca="1">IF(AND(IFERROR(INDEX($GU$3:$GV$400,MATCH(ROWS($GW$3:GW301),$GU$3:$GU$400,0),2),"")&lt;&gt;"",GW302&lt;&gt;""),CONCATENATE(IFERROR(INDEX($GU$3:$GV$400,MATCH(ROWS($GW$3:GW301),$GU$3:$GU$400,0),2),"")," - "),IFERROR(INDEX($GU$3:$GV$400,MATCH(ROWS($GW$3:GW301),$GU$3:$GU$400,0),2),""))</f>
        <v/>
      </c>
      <c r="GX301" s="259">
        <f ca="1">IF(OR(GN301="IVA NS/CREDITO",GN301="IVA NS/DEBITO",GN301="IVA C/ACCONTO",GN301="IMPOSTE C/ACCONTO"),MAX($GX$2:GX300)+1,0)</f>
        <v>0</v>
      </c>
      <c r="GY301" s="259" t="str">
        <f ca="1">IF(AND(IFERROR(INDEX($GN$3:$GX$200,MATCH(ROWS($GY$3:GY301),$GX$3:$GX$200,0),1),"")&lt;&gt;"",GY302&lt;&gt;""),CONCATENATE(IFERROR(INDEX($GN$3:$GX$200,MATCH(ROWS($GY$3:GY301),$GX$3:$GX$200,0),1),"")," - "),IFERROR(INDEX($GN$3:$GX$200,MATCH(ROWS($GY$3:GY301),$GX$3:$GX$200,0),1),""))</f>
        <v/>
      </c>
      <c r="JA301" s="259" t="str">
        <f t="shared" ca="1" si="688"/>
        <v/>
      </c>
      <c r="JB301" s="259">
        <f t="shared" ca="1" si="669"/>
        <v>0</v>
      </c>
      <c r="JC301" s="259">
        <f t="shared" ca="1" si="721"/>
        <v>0</v>
      </c>
      <c r="JD301" s="259">
        <f t="shared" ca="1" si="722"/>
        <v>0</v>
      </c>
      <c r="JM301" s="259">
        <f t="shared" ca="1" si="723"/>
        <v>0</v>
      </c>
    </row>
    <row r="302" spans="52:273">
      <c r="AZ302" s="259" t="str">
        <f t="shared" ca="1" si="689"/>
        <v/>
      </c>
      <c r="BA302" s="259">
        <f t="shared" ca="1" si="713"/>
        <v>0</v>
      </c>
      <c r="BB302" s="259">
        <f t="shared" ca="1" si="690"/>
        <v>0</v>
      </c>
      <c r="BC302" s="259">
        <f t="shared" ca="1" si="691"/>
        <v>0</v>
      </c>
      <c r="BD302" s="259">
        <f t="shared" ca="1" si="692"/>
        <v>0</v>
      </c>
      <c r="BE302" s="259">
        <f t="shared" ca="1" si="693"/>
        <v>0</v>
      </c>
      <c r="BQ302" s="259" t="str">
        <f ca="1">IFERROR(INDEX($BN$3:$BO$200,MATCH(ROWS(BQ$3:BQ302),$BP$3:$BP$220,0),1),"")</f>
        <v/>
      </c>
      <c r="CX302" s="259">
        <f t="shared" ca="1" si="705"/>
        <v>17</v>
      </c>
      <c r="CY302" s="259" t="str">
        <f t="shared" ref="CY302:CY337" ca="1" si="724">IF(ISERROR(INDEX($CV$3:$CX$2300,MATCH(CX302,$CW$3:$CW$2300,0),1)),"MASTRO",INDEX($CV$3:$CX$2300,MATCH(CX302,$CW$3:$CW$2300,0),1))</f>
        <v>MASTRO</v>
      </c>
      <c r="CZ302" s="259" t="e">
        <f t="shared" ca="1" si="707"/>
        <v>#N/A</v>
      </c>
      <c r="DA302" s="259" t="str">
        <f t="shared" ca="1" si="712"/>
        <v/>
      </c>
      <c r="DB302" s="259" t="str">
        <f t="shared" ca="1" si="708"/>
        <v/>
      </c>
      <c r="DC302" s="259" t="str">
        <f t="shared" ca="1" si="709"/>
        <v/>
      </c>
      <c r="DD302" s="259" t="str">
        <f t="shared" ca="1" si="710"/>
        <v/>
      </c>
      <c r="DE302" s="259" t="str">
        <f t="shared" ca="1" si="711"/>
        <v/>
      </c>
      <c r="DF302" s="259">
        <f ca="1">IF(AND(CX302=$DE$2,$DF$2&lt;&gt;0),0,IF(AND(DB302&lt;&gt;"",OR(DB301&lt;&gt;"",DB303&lt;&gt;"")),MAX($DF$2:DF301)+1,0))</f>
        <v>0</v>
      </c>
      <c r="DG302" s="259" t="str">
        <f>IF(IF(LIBRO_GIORNALE!E210="","",IFERROR(INDEX(PIANO_DEI_CONTI,MATCH(BB302,DENOMINAZIONE,0),1),0))=0,"",IF(LIBRO_GIORNALE!E210="","",IFERROR(INDEX(PIANO_DEI_CONTI,MATCH(BB302,DENOMINAZIONE,0),1),0)))</f>
        <v/>
      </c>
      <c r="EC302" s="259">
        <f>IF(IF(DG302&lt;&gt;"",REPLACE(DG302,3,1,""),0)&lt;&gt;0,MAX(EC$2:EC301)+1,0)</f>
        <v>0</v>
      </c>
      <c r="ED302" s="259">
        <f t="shared" ca="1" si="662"/>
        <v>0</v>
      </c>
      <c r="EL302" s="259">
        <f t="shared" si="670"/>
        <v>300</v>
      </c>
      <c r="EM302" s="259">
        <f ca="1">IF(AND(BA302&gt;0,BA302&lt;=$EM$1),MAX($EM$2:EM301)+1,0)</f>
        <v>0</v>
      </c>
      <c r="EN302" s="259">
        <f t="shared" ca="1" si="671"/>
        <v>302</v>
      </c>
      <c r="EP302" s="259" t="str">
        <f t="shared" ca="1" si="663"/>
        <v/>
      </c>
      <c r="EQ302" s="259">
        <f t="shared" ca="1" si="664"/>
        <v>0</v>
      </c>
      <c r="ER302" s="259">
        <f ca="1">IF(ISNA(EQ302),MAX(ER$2:ER301)+1,0)</f>
        <v>0</v>
      </c>
      <c r="ES302" s="259" t="str">
        <f t="shared" ca="1" si="672"/>
        <v/>
      </c>
      <c r="ET302" s="259" t="str">
        <f ca="1">IFERROR(UPPER(INDEX($ER$3:$ES$500,MATCH(ROWS(ET$3:ET302),$ER$3:$ER$500,0),2)),"")</f>
        <v/>
      </c>
      <c r="EW302" s="259">
        <f t="shared" ca="1" si="714"/>
        <v>1</v>
      </c>
      <c r="EX302" s="259">
        <v>200</v>
      </c>
      <c r="EY302" s="259">
        <f t="shared" ca="1" si="715"/>
        <v>0</v>
      </c>
      <c r="EZ302" s="259">
        <f t="shared" ca="1" si="716"/>
        <v>0</v>
      </c>
      <c r="FA302" s="259">
        <f t="shared" ca="1" si="717"/>
        <v>0</v>
      </c>
      <c r="FB302" s="259">
        <f t="shared" ca="1" si="718"/>
        <v>0</v>
      </c>
      <c r="FC302" s="259">
        <f t="shared" ca="1" si="719"/>
        <v>0</v>
      </c>
      <c r="FD302" s="259">
        <f t="shared" ca="1" si="665"/>
        <v>0</v>
      </c>
      <c r="FE302" s="259" t="str">
        <f t="shared" ca="1" si="666"/>
        <v/>
      </c>
      <c r="FF302" s="259" t="str">
        <f t="shared" ca="1" si="720"/>
        <v/>
      </c>
      <c r="FM302" s="259">
        <f t="shared" si="667"/>
        <v>0</v>
      </c>
      <c r="FN302" s="259">
        <f>IF(FM302&lt;0,MAX($FN$2:FN301)+1,0)</f>
        <v>0</v>
      </c>
      <c r="FO302" s="259" t="str">
        <f t="shared" si="673"/>
        <v/>
      </c>
      <c r="FP302" s="259" t="str">
        <f ca="1">IFERROR(INDEX($FN$3:$FO$400,MATCH(ROWS($FP$3:FP302),$FN$3:$FN$400,0),2),"")</f>
        <v/>
      </c>
      <c r="FQ302" s="259" t="str">
        <f>IF(AE302="SE AVERE",MAX($FQ$2:FQ301)+1,"")</f>
        <v/>
      </c>
      <c r="FR302" s="259" t="str">
        <f>IF(AE302="SE DARE",MAX($FR$2:FR301)+1,"")</f>
        <v/>
      </c>
      <c r="FS302" s="259" t="str">
        <f ca="1">IF(AND(AE302="SP DARE",AA302&lt;&gt;$FS$1,AA302&lt;&gt;$FT$1),MAX($FS$2:FS301)+1,IF(AND(GQ302="SP DARE",AA302&lt;&gt;$FS$1,AA302&lt;&gt;$FT$1),MAX($FS$2:FS301)+1,""))</f>
        <v/>
      </c>
      <c r="FT302" s="259" t="str">
        <f ca="1">IF(AND(AE302="SP AVERE",AA302&lt;&gt;$FU$1),MAX($FT$2:FT301)+1,IF(AND(GQ302="SP AVERE",AA302&lt;&gt;$FU$1),MAX($FT$2:FT301)+1,""))</f>
        <v/>
      </c>
      <c r="FU302" s="259">
        <f t="shared" ca="1" si="674"/>
        <v>0</v>
      </c>
      <c r="FV302" s="259">
        <f t="shared" si="675"/>
        <v>0</v>
      </c>
      <c r="FW302" s="259">
        <f ca="1">IFERROR(INDEX($FU$3:$FV$500,MATCH(ROWS($FW$3:FW302),$FU$3:$FU$500,0),2),0)</f>
        <v>0</v>
      </c>
      <c r="FX302" s="259">
        <f t="shared" ca="1" si="676"/>
        <v>0</v>
      </c>
      <c r="FY302" s="259">
        <f t="shared" ca="1" si="677"/>
        <v>0</v>
      </c>
      <c r="FZ302" s="259">
        <f ca="1">IF(FY302&gt;0,MAX($FZ$2:FZ301)+1,0)</f>
        <v>0</v>
      </c>
      <c r="GA302" s="259">
        <f ca="1">IFERROR(INDEX($FY$3:$FZ$500,MATCH(ROWS($GA$3:GA302),$FZ$3:$FZ$500,0),1),0)</f>
        <v>0</v>
      </c>
      <c r="GC302" s="259">
        <f t="shared" ca="1" si="678"/>
        <v>0</v>
      </c>
      <c r="GD302" s="259">
        <f t="shared" ca="1" si="679"/>
        <v>0</v>
      </c>
      <c r="GG302" s="259">
        <f t="shared" ca="1" si="680"/>
        <v>0</v>
      </c>
      <c r="GH302" s="259">
        <f t="shared" ca="1" si="681"/>
        <v>0</v>
      </c>
      <c r="GI302" s="259">
        <f t="shared" ca="1" si="682"/>
        <v>0</v>
      </c>
      <c r="GJ302" s="259">
        <f t="shared" ca="1" si="683"/>
        <v>0</v>
      </c>
      <c r="GK302" s="259">
        <f t="shared" ca="1" si="684"/>
        <v>0</v>
      </c>
      <c r="GL302" s="259">
        <f t="shared" ca="1" si="684"/>
        <v>0</v>
      </c>
      <c r="GM302" s="259">
        <f ca="1">IF(OR(GK302&gt;0,GL302&gt;0),MAX($GM$2:GM301)+1,0)</f>
        <v>0</v>
      </c>
      <c r="GN302" s="259" t="str">
        <f ca="1">IFERROR(INDEX($GD$3:$GM$400,MATCH(ROWS($GN$3:GN302),$GM$3:$GM$400,0),1),"")</f>
        <v/>
      </c>
      <c r="GO302" s="259" t="str">
        <f ca="1">IFERROR(INDEX($GD$3:$GM$400,MATCH(ROWS($GO$3:GO302),$GM$3:$GM$400,0),8),"")</f>
        <v/>
      </c>
      <c r="GP302" s="259" t="str">
        <f ca="1">IFERROR(INDEX($GD$3:$GM$400,MATCH(ROWS($GP$3:GP302),$GM$3:$GM$400,0),9),"")</f>
        <v/>
      </c>
      <c r="GQ302" s="259">
        <f t="shared" ca="1" si="668"/>
        <v>0</v>
      </c>
      <c r="GR302" s="259">
        <f t="shared" ca="1" si="685"/>
        <v>0</v>
      </c>
      <c r="GS302" s="259" t="str">
        <f t="shared" ca="1" si="686"/>
        <v/>
      </c>
      <c r="GT302" s="259" t="str">
        <f ca="1">IFERROR(INDEX($GD$3:$GS$400,MATCH(ROWS($GT$3:GT302),$GM$3:$GM$400,0),16),"")</f>
        <v/>
      </c>
      <c r="GU302" s="259">
        <f ca="1">IF(GQ302&lt;&gt;0,MAX($GU$2:$GU301)+1,0)</f>
        <v>0</v>
      </c>
      <c r="GV302" s="259">
        <f t="shared" ca="1" si="687"/>
        <v>0</v>
      </c>
      <c r="GW302" s="259" t="str">
        <f ca="1">IF(AND(IFERROR(INDEX($GU$3:$GV$400,MATCH(ROWS($GW$3:GW302),$GU$3:$GU$400,0),2),"")&lt;&gt;"",GW303&lt;&gt;""),CONCATENATE(IFERROR(INDEX($GU$3:$GV$400,MATCH(ROWS($GW$3:GW302),$GU$3:$GU$400,0),2),"")," - "),IFERROR(INDEX($GU$3:$GV$400,MATCH(ROWS($GW$3:GW302),$GU$3:$GU$400,0),2),""))</f>
        <v/>
      </c>
      <c r="GX302" s="259">
        <f ca="1">IF(OR(GN302="IVA NS/CREDITO",GN302="IVA NS/DEBITO",GN302="IVA C/ACCONTO",GN302="IMPOSTE C/ACCONTO"),MAX($GX$2:GX301)+1,0)</f>
        <v>0</v>
      </c>
      <c r="GY302" s="259" t="str">
        <f ca="1">IF(AND(IFERROR(INDEX($GN$3:$GX$200,MATCH(ROWS($GY$3:GY302),$GX$3:$GX$200,0),1),"")&lt;&gt;"",GY303&lt;&gt;""),CONCATENATE(IFERROR(INDEX($GN$3:$GX$200,MATCH(ROWS($GY$3:GY302),$GX$3:$GX$200,0),1),"")," - "),IFERROR(INDEX($GN$3:$GX$200,MATCH(ROWS($GY$3:GY302),$GX$3:$GX$200,0),1),""))</f>
        <v/>
      </c>
      <c r="JA302" s="259" t="str">
        <f t="shared" ca="1" si="688"/>
        <v/>
      </c>
      <c r="JB302" s="259">
        <f t="shared" ca="1" si="669"/>
        <v>0</v>
      </c>
      <c r="JC302" s="259">
        <f t="shared" ca="1" si="721"/>
        <v>0</v>
      </c>
      <c r="JD302" s="259">
        <f t="shared" ca="1" si="722"/>
        <v>0</v>
      </c>
      <c r="JM302" s="259">
        <f t="shared" ca="1" si="723"/>
        <v>0</v>
      </c>
    </row>
    <row r="303" spans="52:273">
      <c r="AZ303" s="259" t="str">
        <f t="shared" ca="1" si="689"/>
        <v/>
      </c>
      <c r="BA303" s="259">
        <f t="shared" ca="1" si="713"/>
        <v>0</v>
      </c>
      <c r="BB303" s="259">
        <f t="shared" ca="1" si="690"/>
        <v>0</v>
      </c>
      <c r="BC303" s="259">
        <f t="shared" ca="1" si="691"/>
        <v>0</v>
      </c>
      <c r="BD303" s="259">
        <f t="shared" ca="1" si="692"/>
        <v>0</v>
      </c>
      <c r="BE303" s="259">
        <f t="shared" ca="1" si="693"/>
        <v>0</v>
      </c>
      <c r="BQ303" s="259" t="str">
        <f ca="1">IFERROR(INDEX($BN$3:$BO$200,MATCH(ROWS(BQ$3:BQ303),$BP$3:$BP$220,0),1),"")</f>
        <v/>
      </c>
      <c r="CX303" s="259">
        <f t="shared" ca="1" si="705"/>
        <v>17</v>
      </c>
      <c r="CY303" s="259" t="str">
        <f t="shared" ca="1" si="724"/>
        <v>MASTRO</v>
      </c>
      <c r="CZ303" s="259" t="e">
        <f t="shared" ca="1" si="707"/>
        <v>#N/A</v>
      </c>
      <c r="DA303" s="259" t="str">
        <f t="shared" ca="1" si="712"/>
        <v/>
      </c>
      <c r="DB303" s="259" t="str">
        <f t="shared" ca="1" si="708"/>
        <v/>
      </c>
      <c r="DC303" s="259" t="str">
        <f t="shared" ca="1" si="709"/>
        <v/>
      </c>
      <c r="DD303" s="259" t="str">
        <f t="shared" ca="1" si="710"/>
        <v/>
      </c>
      <c r="DE303" s="259" t="str">
        <f t="shared" ca="1" si="711"/>
        <v/>
      </c>
      <c r="DF303" s="259">
        <f ca="1">IF(AND(CX303=$DE$2,$DF$2&lt;&gt;0),0,IF(AND(DB303&lt;&gt;"",OR(DB302&lt;&gt;"",DB304&lt;&gt;"")),MAX($DF$2:DF302)+1,0))</f>
        <v>0</v>
      </c>
      <c r="DG303" s="259" t="str">
        <f>IF(IF(LIBRO_GIORNALE!E211="","",IFERROR(INDEX(PIANO_DEI_CONTI,MATCH(BB303,DENOMINAZIONE,0),1),0))=0,"",IF(LIBRO_GIORNALE!E211="","",IFERROR(INDEX(PIANO_DEI_CONTI,MATCH(BB303,DENOMINAZIONE,0),1),0)))</f>
        <v/>
      </c>
      <c r="EC303" s="259">
        <f>IF(IF(DG303&lt;&gt;"",REPLACE(DG303,3,1,""),0)&lt;&gt;0,MAX(EC$2:EC302)+1,0)</f>
        <v>0</v>
      </c>
      <c r="ED303" s="259">
        <f t="shared" ca="1" si="662"/>
        <v>0</v>
      </c>
      <c r="EL303" s="259">
        <f t="shared" si="670"/>
        <v>301</v>
      </c>
      <c r="EM303" s="259">
        <f ca="1">IF(AND(BA303&gt;0,BA303&lt;=$EM$1),MAX($EM$2:EM302)+1,0)</f>
        <v>0</v>
      </c>
      <c r="EN303" s="259">
        <f t="shared" ca="1" si="671"/>
        <v>303</v>
      </c>
      <c r="EP303" s="259" t="str">
        <f t="shared" ca="1" si="663"/>
        <v/>
      </c>
      <c r="EQ303" s="259">
        <f t="shared" ca="1" si="664"/>
        <v>0</v>
      </c>
      <c r="ER303" s="259">
        <f ca="1">IF(ISNA(EQ303),MAX(ER$2:ER302)+1,0)</f>
        <v>0</v>
      </c>
      <c r="ES303" s="259" t="str">
        <f t="shared" ca="1" si="672"/>
        <v/>
      </c>
      <c r="ET303" s="259" t="str">
        <f ca="1">IFERROR(UPPER(INDEX($ER$3:$ES$500,MATCH(ROWS(ET$3:ET303),$ER$3:$ER$500,0),2)),"")</f>
        <v/>
      </c>
      <c r="EW303" s="259">
        <f t="shared" ca="1" si="714"/>
        <v>1</v>
      </c>
      <c r="EX303" s="259">
        <v>201</v>
      </c>
      <c r="EY303" s="259">
        <f t="shared" ca="1" si="715"/>
        <v>0</v>
      </c>
      <c r="EZ303" s="259">
        <f t="shared" ca="1" si="716"/>
        <v>0</v>
      </c>
      <c r="FA303" s="259">
        <f t="shared" ca="1" si="717"/>
        <v>0</v>
      </c>
      <c r="FB303" s="259">
        <f t="shared" ca="1" si="718"/>
        <v>0</v>
      </c>
      <c r="FC303" s="259">
        <f t="shared" ca="1" si="719"/>
        <v>0</v>
      </c>
      <c r="FD303" s="259">
        <f t="shared" ca="1" si="665"/>
        <v>0</v>
      </c>
      <c r="FE303" s="259" t="str">
        <f t="shared" ca="1" si="666"/>
        <v/>
      </c>
      <c r="FF303" s="259" t="str">
        <f t="shared" ca="1" si="720"/>
        <v/>
      </c>
      <c r="FM303" s="259">
        <f t="shared" si="667"/>
        <v>0</v>
      </c>
      <c r="FN303" s="259">
        <f>IF(FM303&lt;0,MAX($FN$2:FN302)+1,0)</f>
        <v>0</v>
      </c>
      <c r="FO303" s="259" t="str">
        <f t="shared" si="673"/>
        <v/>
      </c>
      <c r="FP303" s="259" t="str">
        <f ca="1">IFERROR(INDEX($FN$3:$FO$400,MATCH(ROWS($FP$3:FP303),$FN$3:$FN$400,0),2),"")</f>
        <v/>
      </c>
      <c r="FQ303" s="259" t="str">
        <f>IF(AE303="SE AVERE",MAX($FQ$2:FQ302)+1,"")</f>
        <v/>
      </c>
      <c r="FR303" s="259" t="str">
        <f>IF(AE303="SE DARE",MAX($FR$2:FR302)+1,"")</f>
        <v/>
      </c>
      <c r="FS303" s="259" t="str">
        <f ca="1">IF(AND(AE303="SP DARE",AA303&lt;&gt;$FS$1,AA303&lt;&gt;$FT$1),MAX($FS$2:FS302)+1,IF(AND(GQ303="SP DARE",AA303&lt;&gt;$FS$1,AA303&lt;&gt;$FT$1),MAX($FS$2:FS302)+1,""))</f>
        <v/>
      </c>
      <c r="FT303" s="259" t="str">
        <f ca="1">IF(AND(AE303="SP AVERE",AA303&lt;&gt;$FU$1),MAX($FT$2:FT302)+1,IF(AND(GQ303="SP AVERE",AA303&lt;&gt;$FU$1),MAX($FT$2:FT302)+1,""))</f>
        <v/>
      </c>
      <c r="FU303" s="259">
        <f t="shared" ca="1" si="674"/>
        <v>0</v>
      </c>
      <c r="FV303" s="259">
        <f t="shared" si="675"/>
        <v>0</v>
      </c>
      <c r="FW303" s="259">
        <f ca="1">IFERROR(INDEX($FU$3:$FV$500,MATCH(ROWS($FW$3:FW303),$FU$3:$FU$500,0),2),0)</f>
        <v>0</v>
      </c>
      <c r="FX303" s="259">
        <f t="shared" ca="1" si="676"/>
        <v>0</v>
      </c>
      <c r="FY303" s="259">
        <f t="shared" ca="1" si="677"/>
        <v>0</v>
      </c>
      <c r="FZ303" s="259">
        <f ca="1">IF(FY303&gt;0,MAX($FZ$2:FZ302)+1,0)</f>
        <v>0</v>
      </c>
      <c r="GA303" s="259">
        <f ca="1">IFERROR(INDEX($FY$3:$FZ$500,MATCH(ROWS($GA$3:GA303),$FZ$3:$FZ$500,0),1),0)</f>
        <v>0</v>
      </c>
      <c r="GC303" s="259">
        <f t="shared" ca="1" si="678"/>
        <v>0</v>
      </c>
      <c r="GD303" s="259">
        <f t="shared" ca="1" si="679"/>
        <v>0</v>
      </c>
      <c r="GG303" s="259">
        <f t="shared" ca="1" si="680"/>
        <v>0</v>
      </c>
      <c r="GH303" s="259">
        <f t="shared" ca="1" si="681"/>
        <v>0</v>
      </c>
      <c r="GI303" s="259">
        <f t="shared" ca="1" si="682"/>
        <v>0</v>
      </c>
      <c r="GJ303" s="259">
        <f t="shared" ca="1" si="683"/>
        <v>0</v>
      </c>
      <c r="GK303" s="259">
        <f t="shared" ca="1" si="684"/>
        <v>0</v>
      </c>
      <c r="GL303" s="259">
        <f t="shared" ca="1" si="684"/>
        <v>0</v>
      </c>
      <c r="GM303" s="259">
        <f ca="1">IF(OR(GK303&gt;0,GL303&gt;0),MAX($GM$2:GM302)+1,0)</f>
        <v>0</v>
      </c>
      <c r="GN303" s="259" t="str">
        <f ca="1">IFERROR(INDEX($GD$3:$GM$400,MATCH(ROWS($GN$3:GN303),$GM$3:$GM$400,0),1),"")</f>
        <v/>
      </c>
      <c r="GO303" s="259" t="str">
        <f ca="1">IFERROR(INDEX($GD$3:$GM$400,MATCH(ROWS($GO$3:GO303),$GM$3:$GM$400,0),8),"")</f>
        <v/>
      </c>
      <c r="GP303" s="259" t="str">
        <f ca="1">IFERROR(INDEX($GD$3:$GM$400,MATCH(ROWS($GP$3:GP303),$GM$3:$GM$400,0),9),"")</f>
        <v/>
      </c>
      <c r="GQ303" s="259">
        <f t="shared" ca="1" si="668"/>
        <v>0</v>
      </c>
      <c r="GR303" s="259">
        <f t="shared" ca="1" si="685"/>
        <v>0</v>
      </c>
      <c r="GS303" s="259" t="str">
        <f t="shared" ca="1" si="686"/>
        <v/>
      </c>
      <c r="GT303" s="259" t="str">
        <f ca="1">IFERROR(INDEX($GD$3:$GS$400,MATCH(ROWS($GT$3:GT303),$GM$3:$GM$400,0),16),"")</f>
        <v/>
      </c>
      <c r="GU303" s="259">
        <f ca="1">IF(GQ303&lt;&gt;0,MAX($GU$2:$GU302)+1,0)</f>
        <v>0</v>
      </c>
      <c r="GV303" s="259">
        <f t="shared" ca="1" si="687"/>
        <v>0</v>
      </c>
      <c r="GW303" s="259" t="str">
        <f ca="1">IF(AND(IFERROR(INDEX($GU$3:$GV$400,MATCH(ROWS($GW$3:GW303),$GU$3:$GU$400,0),2),"")&lt;&gt;"",GW304&lt;&gt;""),CONCATENATE(IFERROR(INDEX($GU$3:$GV$400,MATCH(ROWS($GW$3:GW303),$GU$3:$GU$400,0),2),"")," - "),IFERROR(INDEX($GU$3:$GV$400,MATCH(ROWS($GW$3:GW303),$GU$3:$GU$400,0),2),""))</f>
        <v/>
      </c>
      <c r="GX303" s="259">
        <f ca="1">IF(OR(GN303="IVA NS/CREDITO",GN303="IVA NS/DEBITO",GN303="IVA C/ACCONTO",GN303="IMPOSTE C/ACCONTO"),MAX($GX$2:GX302)+1,0)</f>
        <v>0</v>
      </c>
      <c r="GY303" s="259" t="str">
        <f ca="1">IF(AND(IFERROR(INDEX($GN$3:$GX$200,MATCH(ROWS($GY$3:GY303),$GX$3:$GX$200,0),1),"")&lt;&gt;"",GY304&lt;&gt;""),CONCATENATE(IFERROR(INDEX($GN$3:$GX$200,MATCH(ROWS($GY$3:GY303),$GX$3:$GX$200,0),1),"")," - "),IFERROR(INDEX($GN$3:$GX$200,MATCH(ROWS($GY$3:GY303),$GX$3:$GX$200,0),1),""))</f>
        <v/>
      </c>
      <c r="JA303" s="259" t="str">
        <f t="shared" ca="1" si="688"/>
        <v/>
      </c>
      <c r="JB303" s="259">
        <f t="shared" ca="1" si="669"/>
        <v>0</v>
      </c>
      <c r="JC303" s="259">
        <f t="shared" ca="1" si="721"/>
        <v>0</v>
      </c>
      <c r="JD303" s="259">
        <f t="shared" ca="1" si="722"/>
        <v>0</v>
      </c>
      <c r="JM303" s="259">
        <f t="shared" ca="1" si="723"/>
        <v>0</v>
      </c>
    </row>
    <row r="304" spans="52:273">
      <c r="AZ304" s="259" t="str">
        <f t="shared" ca="1" si="689"/>
        <v/>
      </c>
      <c r="BA304" s="259">
        <f t="shared" ca="1" si="713"/>
        <v>0</v>
      </c>
      <c r="BB304" s="259">
        <f t="shared" ca="1" si="690"/>
        <v>0</v>
      </c>
      <c r="BC304" s="259">
        <f t="shared" ca="1" si="691"/>
        <v>0</v>
      </c>
      <c r="BD304" s="259">
        <f t="shared" ca="1" si="692"/>
        <v>0</v>
      </c>
      <c r="BE304" s="259">
        <f t="shared" ca="1" si="693"/>
        <v>0</v>
      </c>
      <c r="BQ304" s="259" t="str">
        <f ca="1">IFERROR(INDEX($BN$3:$BO$200,MATCH(ROWS(BQ$3:BQ304),$BP$3:$BP$220,0),1),"")</f>
        <v/>
      </c>
      <c r="CX304" s="259">
        <f t="shared" ca="1" si="705"/>
        <v>17</v>
      </c>
      <c r="CY304" s="259" t="str">
        <f t="shared" ca="1" si="724"/>
        <v>MASTRO</v>
      </c>
      <c r="CZ304" s="259" t="e">
        <f t="shared" ca="1" si="707"/>
        <v>#N/A</v>
      </c>
      <c r="DA304" s="259" t="str">
        <f t="shared" ca="1" si="712"/>
        <v/>
      </c>
      <c r="DB304" s="259" t="str">
        <f t="shared" ca="1" si="708"/>
        <v/>
      </c>
      <c r="DC304" s="259" t="str">
        <f t="shared" ca="1" si="709"/>
        <v/>
      </c>
      <c r="DD304" s="259" t="str">
        <f t="shared" ca="1" si="710"/>
        <v/>
      </c>
      <c r="DE304" s="259" t="str">
        <f t="shared" ca="1" si="711"/>
        <v/>
      </c>
      <c r="DF304" s="259">
        <f ca="1">IF(AND(CX304=$DE$2,$DF$2&lt;&gt;0),0,IF(AND(DB304&lt;&gt;"",OR(DB303&lt;&gt;"",DB305&lt;&gt;"")),MAX($DF$2:DF303)+1,0))</f>
        <v>0</v>
      </c>
      <c r="DG304" s="259" t="str">
        <f>IF(IF(LIBRO_GIORNALE!E212="","",IFERROR(INDEX(PIANO_DEI_CONTI,MATCH(BB304,DENOMINAZIONE,0),1),0))=0,"",IF(LIBRO_GIORNALE!E212="","",IFERROR(INDEX(PIANO_DEI_CONTI,MATCH(BB304,DENOMINAZIONE,0),1),0)))</f>
        <v/>
      </c>
      <c r="EC304" s="259">
        <f>IF(IF(DG304&lt;&gt;"",REPLACE(DG304,3,1,""),0)&lt;&gt;0,MAX(EC$2:EC303)+1,0)</f>
        <v>0</v>
      </c>
      <c r="ED304" s="259">
        <f t="shared" ca="1" si="662"/>
        <v>0</v>
      </c>
      <c r="EL304" s="259">
        <f t="shared" si="670"/>
        <v>302</v>
      </c>
      <c r="EM304" s="259">
        <f ca="1">IF(AND(BA304&gt;0,BA304&lt;=$EM$1),MAX($EM$2:EM303)+1,0)</f>
        <v>0</v>
      </c>
      <c r="EN304" s="259">
        <f t="shared" ca="1" si="671"/>
        <v>304</v>
      </c>
      <c r="EP304" s="259" t="str">
        <f t="shared" ca="1" si="663"/>
        <v/>
      </c>
      <c r="EQ304" s="259">
        <f t="shared" ca="1" si="664"/>
        <v>0</v>
      </c>
      <c r="ER304" s="259">
        <f ca="1">IF(ISNA(EQ304),MAX(ER$2:ER303)+1,0)</f>
        <v>0</v>
      </c>
      <c r="ES304" s="259" t="str">
        <f t="shared" ca="1" si="672"/>
        <v/>
      </c>
      <c r="ET304" s="259" t="str">
        <f ca="1">IFERROR(UPPER(INDEX($ER$3:$ES$500,MATCH(ROWS(ET$3:ET304),$ER$3:$ER$500,0),2)),"")</f>
        <v/>
      </c>
      <c r="EW304" s="259">
        <f t="shared" ca="1" si="714"/>
        <v>1</v>
      </c>
      <c r="EX304" s="259">
        <v>202</v>
      </c>
      <c r="EY304" s="259">
        <f t="shared" ca="1" si="715"/>
        <v>0</v>
      </c>
      <c r="EZ304" s="259">
        <f t="shared" ca="1" si="716"/>
        <v>0</v>
      </c>
      <c r="FA304" s="259">
        <f t="shared" ca="1" si="717"/>
        <v>0</v>
      </c>
      <c r="FB304" s="259">
        <f t="shared" ca="1" si="718"/>
        <v>0</v>
      </c>
      <c r="FC304" s="259">
        <f t="shared" ca="1" si="719"/>
        <v>0</v>
      </c>
      <c r="FD304" s="259">
        <f t="shared" ca="1" si="665"/>
        <v>0</v>
      </c>
      <c r="FE304" s="259" t="str">
        <f t="shared" ca="1" si="666"/>
        <v/>
      </c>
      <c r="FF304" s="259" t="str">
        <f t="shared" ca="1" si="720"/>
        <v/>
      </c>
      <c r="FM304" s="259">
        <f t="shared" si="667"/>
        <v>0</v>
      </c>
      <c r="FN304" s="259">
        <f>IF(FM304&lt;0,MAX($FN$2:FN303)+1,0)</f>
        <v>0</v>
      </c>
      <c r="FO304" s="259" t="str">
        <f t="shared" si="673"/>
        <v/>
      </c>
      <c r="FP304" s="259" t="str">
        <f ca="1">IFERROR(INDEX($FN$3:$FO$400,MATCH(ROWS($FP$3:FP304),$FN$3:$FN$400,0),2),"")</f>
        <v/>
      </c>
      <c r="FQ304" s="259" t="str">
        <f>IF(AE304="SE AVERE",MAX($FQ$2:FQ303)+1,"")</f>
        <v/>
      </c>
      <c r="FR304" s="259" t="str">
        <f>IF(AE304="SE DARE",MAX($FR$2:FR303)+1,"")</f>
        <v/>
      </c>
      <c r="FS304" s="259" t="str">
        <f ca="1">IF(AND(AE304="SP DARE",AA304&lt;&gt;$FS$1,AA304&lt;&gt;$FT$1),MAX($FS$2:FS303)+1,IF(AND(GQ304="SP DARE",AA304&lt;&gt;$FS$1,AA304&lt;&gt;$FT$1),MAX($FS$2:FS303)+1,""))</f>
        <v/>
      </c>
      <c r="FT304" s="259" t="str">
        <f ca="1">IF(AND(AE304="SP AVERE",AA304&lt;&gt;$FU$1),MAX($FT$2:FT303)+1,IF(AND(GQ304="SP AVERE",AA304&lt;&gt;$FU$1),MAX($FT$2:FT303)+1,""))</f>
        <v/>
      </c>
      <c r="FU304" s="259">
        <f t="shared" ca="1" si="674"/>
        <v>0</v>
      </c>
      <c r="FV304" s="259">
        <f t="shared" si="675"/>
        <v>0</v>
      </c>
      <c r="FW304" s="259">
        <f ca="1">IFERROR(INDEX($FU$3:$FV$500,MATCH(ROWS($FW$3:FW304),$FU$3:$FU$500,0),2),0)</f>
        <v>0</v>
      </c>
      <c r="FX304" s="259">
        <f t="shared" ca="1" si="676"/>
        <v>0</v>
      </c>
      <c r="FY304" s="259">
        <f t="shared" ca="1" si="677"/>
        <v>0</v>
      </c>
      <c r="FZ304" s="259">
        <f ca="1">IF(FY304&gt;0,MAX($FZ$2:FZ303)+1,0)</f>
        <v>0</v>
      </c>
      <c r="GA304" s="259">
        <f ca="1">IFERROR(INDEX($FY$3:$FZ$500,MATCH(ROWS($GA$3:GA304),$FZ$3:$FZ$500,0),1),0)</f>
        <v>0</v>
      </c>
      <c r="GC304" s="259">
        <f t="shared" ca="1" si="678"/>
        <v>0</v>
      </c>
      <c r="GD304" s="259">
        <f t="shared" ca="1" si="679"/>
        <v>0</v>
      </c>
      <c r="GG304" s="259">
        <f t="shared" ca="1" si="680"/>
        <v>0</v>
      </c>
      <c r="GH304" s="259">
        <f t="shared" ca="1" si="681"/>
        <v>0</v>
      </c>
      <c r="GI304" s="259">
        <f t="shared" ca="1" si="682"/>
        <v>0</v>
      </c>
      <c r="GJ304" s="259">
        <f t="shared" ca="1" si="683"/>
        <v>0</v>
      </c>
      <c r="GK304" s="259">
        <f t="shared" ca="1" si="684"/>
        <v>0</v>
      </c>
      <c r="GL304" s="259">
        <f t="shared" ca="1" si="684"/>
        <v>0</v>
      </c>
      <c r="GM304" s="259">
        <f ca="1">IF(OR(GK304&gt;0,GL304&gt;0),MAX($GM$2:GM303)+1,0)</f>
        <v>0</v>
      </c>
      <c r="GN304" s="259" t="str">
        <f ca="1">IFERROR(INDEX($GD$3:$GM$400,MATCH(ROWS($GN$3:GN304),$GM$3:$GM$400,0),1),"")</f>
        <v/>
      </c>
      <c r="GO304" s="259" t="str">
        <f ca="1">IFERROR(INDEX($GD$3:$GM$400,MATCH(ROWS($GO$3:GO304),$GM$3:$GM$400,0),8),"")</f>
        <v/>
      </c>
      <c r="GP304" s="259" t="str">
        <f ca="1">IFERROR(INDEX($GD$3:$GM$400,MATCH(ROWS($GP$3:GP304),$GM$3:$GM$400,0),9),"")</f>
        <v/>
      </c>
      <c r="GQ304" s="259">
        <f t="shared" ca="1" si="668"/>
        <v>0</v>
      </c>
      <c r="GR304" s="259">
        <f t="shared" ca="1" si="685"/>
        <v>0</v>
      </c>
      <c r="GS304" s="259" t="str">
        <f t="shared" ca="1" si="686"/>
        <v/>
      </c>
      <c r="GT304" s="259" t="str">
        <f ca="1">IFERROR(INDEX($GD$3:$GS$400,MATCH(ROWS($GT$3:GT304),$GM$3:$GM$400,0),16),"")</f>
        <v/>
      </c>
      <c r="GU304" s="259">
        <f ca="1">IF(GQ304&lt;&gt;0,MAX($GU$2:$GU303)+1,0)</f>
        <v>0</v>
      </c>
      <c r="GV304" s="259">
        <f t="shared" ca="1" si="687"/>
        <v>0</v>
      </c>
      <c r="GW304" s="259" t="str">
        <f ca="1">IF(AND(IFERROR(INDEX($GU$3:$GV$400,MATCH(ROWS($GW$3:GW304),$GU$3:$GU$400,0),2),"")&lt;&gt;"",GW305&lt;&gt;""),CONCATENATE(IFERROR(INDEX($GU$3:$GV$400,MATCH(ROWS($GW$3:GW304),$GU$3:$GU$400,0),2),"")," - "),IFERROR(INDEX($GU$3:$GV$400,MATCH(ROWS($GW$3:GW304),$GU$3:$GU$400,0),2),""))</f>
        <v/>
      </c>
      <c r="GX304" s="259">
        <f ca="1">IF(OR(GN304="IVA NS/CREDITO",GN304="IVA NS/DEBITO",GN304="IVA C/ACCONTO",GN304="IMPOSTE C/ACCONTO"),MAX($GX$2:GX303)+1,0)</f>
        <v>0</v>
      </c>
      <c r="GY304" s="259" t="str">
        <f ca="1">IF(AND(IFERROR(INDEX($GN$3:$GX$200,MATCH(ROWS($GY$3:GY304),$GX$3:$GX$200,0),1),"")&lt;&gt;"",GY305&lt;&gt;""),CONCATENATE(IFERROR(INDEX($GN$3:$GX$200,MATCH(ROWS($GY$3:GY304),$GX$3:$GX$200,0),1),"")," - "),IFERROR(INDEX($GN$3:$GX$200,MATCH(ROWS($GY$3:GY304),$GX$3:$GX$200,0),1),""))</f>
        <v/>
      </c>
      <c r="JA304" s="259" t="str">
        <f t="shared" ca="1" si="688"/>
        <v/>
      </c>
      <c r="JB304" s="259">
        <f t="shared" ca="1" si="669"/>
        <v>0</v>
      </c>
      <c r="JC304" s="259">
        <f t="shared" ca="1" si="721"/>
        <v>0</v>
      </c>
      <c r="JD304" s="259">
        <f t="shared" ca="1" si="722"/>
        <v>0</v>
      </c>
      <c r="JM304" s="259">
        <f t="shared" ca="1" si="723"/>
        <v>0</v>
      </c>
    </row>
    <row r="305" spans="52:273">
      <c r="AZ305" s="259" t="str">
        <f t="shared" ca="1" si="689"/>
        <v/>
      </c>
      <c r="BA305" s="259">
        <f t="shared" ca="1" si="713"/>
        <v>0</v>
      </c>
      <c r="BB305" s="259">
        <f t="shared" ca="1" si="690"/>
        <v>0</v>
      </c>
      <c r="BC305" s="259">
        <f t="shared" ca="1" si="691"/>
        <v>0</v>
      </c>
      <c r="BD305" s="259">
        <f t="shared" ca="1" si="692"/>
        <v>0</v>
      </c>
      <c r="BE305" s="259">
        <f t="shared" ca="1" si="693"/>
        <v>0</v>
      </c>
      <c r="BQ305" s="259" t="str">
        <f ca="1">IFERROR(INDEX($BN$3:$BO$200,MATCH(ROWS(BQ$3:BQ305),$BP$3:$BP$220,0),1),"")</f>
        <v/>
      </c>
      <c r="CX305" s="259">
        <f t="shared" ca="1" si="705"/>
        <v>17</v>
      </c>
      <c r="CY305" s="259" t="str">
        <f t="shared" ca="1" si="724"/>
        <v>MASTRO</v>
      </c>
      <c r="CZ305" s="259" t="e">
        <f t="shared" ca="1" si="707"/>
        <v>#N/A</v>
      </c>
      <c r="DA305" s="259" t="str">
        <f t="shared" ca="1" si="712"/>
        <v/>
      </c>
      <c r="DB305" s="259" t="str">
        <f t="shared" ca="1" si="708"/>
        <v/>
      </c>
      <c r="DC305" s="259" t="str">
        <f t="shared" ca="1" si="709"/>
        <v/>
      </c>
      <c r="DD305" s="259" t="str">
        <f t="shared" ca="1" si="710"/>
        <v/>
      </c>
      <c r="DE305" s="259" t="str">
        <f t="shared" ca="1" si="711"/>
        <v/>
      </c>
      <c r="DF305" s="259">
        <f ca="1">IF(AND(CX305=$DE$2,$DF$2&lt;&gt;0),0,IF(AND(DB305&lt;&gt;"",OR(DB304&lt;&gt;"",DB306&lt;&gt;"")),MAX($DF$2:DF304)+1,0))</f>
        <v>0</v>
      </c>
      <c r="DG305" s="259" t="str">
        <f>IF(IF(LIBRO_GIORNALE!E213="","",IFERROR(INDEX(PIANO_DEI_CONTI,MATCH(BB305,DENOMINAZIONE,0),1),0))=0,"",IF(LIBRO_GIORNALE!E213="","",IFERROR(INDEX(PIANO_DEI_CONTI,MATCH(BB305,DENOMINAZIONE,0),1),0)))</f>
        <v/>
      </c>
      <c r="EC305" s="259">
        <f>IF(IF(DG305&lt;&gt;"",REPLACE(DG305,3,1,""),0)&lt;&gt;0,MAX(EC$2:EC304)+1,0)</f>
        <v>0</v>
      </c>
      <c r="ED305" s="259">
        <f t="shared" ca="1" si="662"/>
        <v>0</v>
      </c>
      <c r="EL305" s="259">
        <f t="shared" si="670"/>
        <v>303</v>
      </c>
      <c r="EM305" s="259">
        <f ca="1">IF(AND(BA305&gt;0,BA305&lt;=$EM$1),MAX($EM$2:EM304)+1,0)</f>
        <v>0</v>
      </c>
      <c r="EN305" s="259">
        <f t="shared" ca="1" si="671"/>
        <v>305</v>
      </c>
      <c r="EP305" s="259" t="str">
        <f t="shared" ca="1" si="663"/>
        <v/>
      </c>
      <c r="EQ305" s="259">
        <f t="shared" ca="1" si="664"/>
        <v>0</v>
      </c>
      <c r="ER305" s="259">
        <f ca="1">IF(ISNA(EQ305),MAX(ER$2:ER304)+1,0)</f>
        <v>0</v>
      </c>
      <c r="ES305" s="259" t="str">
        <f t="shared" ca="1" si="672"/>
        <v/>
      </c>
      <c r="ET305" s="259" t="str">
        <f ca="1">IFERROR(UPPER(INDEX($ER$3:$ES$500,MATCH(ROWS(ET$3:ET305),$ER$3:$ER$500,0),2)),"")</f>
        <v/>
      </c>
      <c r="EW305" s="259">
        <f t="shared" ca="1" si="714"/>
        <v>1</v>
      </c>
      <c r="EX305" s="259">
        <v>203</v>
      </c>
      <c r="EY305" s="259">
        <f t="shared" ca="1" si="715"/>
        <v>0</v>
      </c>
      <c r="EZ305" s="259">
        <f t="shared" ca="1" si="716"/>
        <v>0</v>
      </c>
      <c r="FA305" s="259">
        <f t="shared" ca="1" si="717"/>
        <v>0</v>
      </c>
      <c r="FB305" s="259">
        <f t="shared" ca="1" si="718"/>
        <v>0</v>
      </c>
      <c r="FC305" s="259">
        <f t="shared" ca="1" si="719"/>
        <v>0</v>
      </c>
      <c r="FD305" s="259">
        <f t="shared" ca="1" si="665"/>
        <v>0</v>
      </c>
      <c r="FE305" s="259" t="str">
        <f t="shared" ca="1" si="666"/>
        <v/>
      </c>
      <c r="FF305" s="259" t="str">
        <f t="shared" ca="1" si="720"/>
        <v/>
      </c>
      <c r="FM305" s="259">
        <f t="shared" si="667"/>
        <v>0</v>
      </c>
      <c r="FN305" s="259">
        <f>IF(FM305&lt;0,MAX($FN$2:FN304)+1,0)</f>
        <v>0</v>
      </c>
      <c r="FO305" s="259" t="str">
        <f t="shared" si="673"/>
        <v/>
      </c>
      <c r="FP305" s="259" t="str">
        <f ca="1">IFERROR(INDEX($FN$3:$FO$400,MATCH(ROWS($FP$3:FP305),$FN$3:$FN$400,0),2),"")</f>
        <v/>
      </c>
      <c r="FQ305" s="259" t="str">
        <f>IF(AE305="SE AVERE",MAX($FQ$2:FQ304)+1,"")</f>
        <v/>
      </c>
      <c r="FR305" s="259" t="str">
        <f>IF(AE305="SE DARE",MAX($FR$2:FR304)+1,"")</f>
        <v/>
      </c>
      <c r="FS305" s="259" t="str">
        <f ca="1">IF(AND(AE305="SP DARE",AA305&lt;&gt;$FS$1,AA305&lt;&gt;$FT$1),MAX($FS$2:FS304)+1,IF(AND(GQ305="SP DARE",AA305&lt;&gt;$FS$1,AA305&lt;&gt;$FT$1),MAX($FS$2:FS304)+1,""))</f>
        <v/>
      </c>
      <c r="FT305" s="259" t="str">
        <f ca="1">IF(AND(AE305="SP AVERE",AA305&lt;&gt;$FU$1),MAX($FT$2:FT304)+1,IF(AND(GQ305="SP AVERE",AA305&lt;&gt;$FU$1),MAX($FT$2:FT304)+1,""))</f>
        <v/>
      </c>
      <c r="FU305" s="259">
        <f t="shared" ca="1" si="674"/>
        <v>0</v>
      </c>
      <c r="FV305" s="259">
        <f t="shared" si="675"/>
        <v>0</v>
      </c>
      <c r="FW305" s="259">
        <f ca="1">IFERROR(INDEX($FU$3:$FV$500,MATCH(ROWS($FW$3:FW305),$FU$3:$FU$500,0),2),0)</f>
        <v>0</v>
      </c>
      <c r="FX305" s="259">
        <f t="shared" ca="1" si="676"/>
        <v>0</v>
      </c>
      <c r="FY305" s="259">
        <f t="shared" ca="1" si="677"/>
        <v>0</v>
      </c>
      <c r="FZ305" s="259">
        <f ca="1">IF(FY305&gt;0,MAX($FZ$2:FZ304)+1,0)</f>
        <v>0</v>
      </c>
      <c r="GA305" s="259">
        <f ca="1">IFERROR(INDEX($FY$3:$FZ$500,MATCH(ROWS($GA$3:GA305),$FZ$3:$FZ$500,0),1),0)</f>
        <v>0</v>
      </c>
      <c r="GC305" s="259">
        <f t="shared" ca="1" si="678"/>
        <v>0</v>
      </c>
      <c r="GD305" s="259">
        <f t="shared" ca="1" si="679"/>
        <v>0</v>
      </c>
      <c r="GG305" s="259">
        <f t="shared" ca="1" si="680"/>
        <v>0</v>
      </c>
      <c r="GH305" s="259">
        <f t="shared" ca="1" si="681"/>
        <v>0</v>
      </c>
      <c r="GI305" s="259">
        <f t="shared" ca="1" si="682"/>
        <v>0</v>
      </c>
      <c r="GJ305" s="259">
        <f t="shared" ca="1" si="683"/>
        <v>0</v>
      </c>
      <c r="GK305" s="259">
        <f t="shared" ca="1" si="684"/>
        <v>0</v>
      </c>
      <c r="GL305" s="259">
        <f t="shared" ca="1" si="684"/>
        <v>0</v>
      </c>
      <c r="GM305" s="259">
        <f ca="1">IF(OR(GK305&gt;0,GL305&gt;0),MAX($GM$2:GM304)+1,0)</f>
        <v>0</v>
      </c>
      <c r="GN305" s="259" t="str">
        <f ca="1">IFERROR(INDEX($GD$3:$GM$400,MATCH(ROWS($GN$3:GN305),$GM$3:$GM$400,0),1),"")</f>
        <v/>
      </c>
      <c r="GO305" s="259" t="str">
        <f ca="1">IFERROR(INDEX($GD$3:$GM$400,MATCH(ROWS($GO$3:GO305),$GM$3:$GM$400,0),8),"")</f>
        <v/>
      </c>
      <c r="GP305" s="259" t="str">
        <f ca="1">IFERROR(INDEX($GD$3:$GM$400,MATCH(ROWS($GP$3:GP305),$GM$3:$GM$400,0),9),"")</f>
        <v/>
      </c>
      <c r="GQ305" s="259">
        <f t="shared" ca="1" si="668"/>
        <v>0</v>
      </c>
      <c r="GR305" s="259">
        <f t="shared" ca="1" si="685"/>
        <v>0</v>
      </c>
      <c r="GS305" s="259" t="str">
        <f t="shared" ca="1" si="686"/>
        <v/>
      </c>
      <c r="GT305" s="259" t="str">
        <f ca="1">IFERROR(INDEX($GD$3:$GS$400,MATCH(ROWS($GT$3:GT305),$GM$3:$GM$400,0),16),"")</f>
        <v/>
      </c>
      <c r="GU305" s="259">
        <f ca="1">IF(GQ305&lt;&gt;0,MAX($GU$2:$GU304)+1,0)</f>
        <v>0</v>
      </c>
      <c r="GV305" s="259">
        <f t="shared" ca="1" si="687"/>
        <v>0</v>
      </c>
      <c r="GW305" s="259" t="str">
        <f ca="1">IF(AND(IFERROR(INDEX($GU$3:$GV$400,MATCH(ROWS($GW$3:GW305),$GU$3:$GU$400,0),2),"")&lt;&gt;"",GW306&lt;&gt;""),CONCATENATE(IFERROR(INDEX($GU$3:$GV$400,MATCH(ROWS($GW$3:GW305),$GU$3:$GU$400,0),2),"")," - "),IFERROR(INDEX($GU$3:$GV$400,MATCH(ROWS($GW$3:GW305),$GU$3:$GU$400,0),2),""))</f>
        <v/>
      </c>
      <c r="GX305" s="259">
        <f ca="1">IF(OR(GN305="IVA NS/CREDITO",GN305="IVA NS/DEBITO",GN305="IVA C/ACCONTO",GN305="IMPOSTE C/ACCONTO"),MAX($GX$2:GX304)+1,0)</f>
        <v>0</v>
      </c>
      <c r="GY305" s="259" t="str">
        <f ca="1">IF(AND(IFERROR(INDEX($GN$3:$GX$200,MATCH(ROWS($GY$3:GY305),$GX$3:$GX$200,0),1),"")&lt;&gt;"",GY306&lt;&gt;""),CONCATENATE(IFERROR(INDEX($GN$3:$GX$200,MATCH(ROWS($GY$3:GY305),$GX$3:$GX$200,0),1),"")," - "),IFERROR(INDEX($GN$3:$GX$200,MATCH(ROWS($GY$3:GY305),$GX$3:$GX$200,0),1),""))</f>
        <v/>
      </c>
      <c r="JA305" s="259" t="str">
        <f t="shared" ca="1" si="688"/>
        <v/>
      </c>
      <c r="JB305" s="259">
        <f t="shared" ca="1" si="669"/>
        <v>0</v>
      </c>
      <c r="JC305" s="259">
        <f t="shared" ca="1" si="721"/>
        <v>0</v>
      </c>
      <c r="JD305" s="259">
        <f t="shared" ca="1" si="722"/>
        <v>0</v>
      </c>
      <c r="JM305" s="259">
        <f t="shared" ca="1" si="723"/>
        <v>0</v>
      </c>
    </row>
    <row r="306" spans="52:273">
      <c r="AZ306" s="259" t="str">
        <f t="shared" ca="1" si="689"/>
        <v/>
      </c>
      <c r="BA306" s="259">
        <f t="shared" ca="1" si="713"/>
        <v>0</v>
      </c>
      <c r="BB306" s="259">
        <f t="shared" ca="1" si="690"/>
        <v>0</v>
      </c>
      <c r="BC306" s="259">
        <f t="shared" ca="1" si="691"/>
        <v>0</v>
      </c>
      <c r="BD306" s="259">
        <f t="shared" ca="1" si="692"/>
        <v>0</v>
      </c>
      <c r="BE306" s="259">
        <f t="shared" ca="1" si="693"/>
        <v>0</v>
      </c>
      <c r="BQ306" s="259" t="str">
        <f ca="1">IFERROR(INDEX($BN$3:$BO$200,MATCH(ROWS(BQ$3:BQ306),$BP$3:$BP$220,0),1),"")</f>
        <v/>
      </c>
      <c r="CX306" s="259">
        <f t="shared" ca="1" si="705"/>
        <v>17</v>
      </c>
      <c r="CY306" s="259" t="str">
        <f t="shared" ca="1" si="724"/>
        <v>MASTRO</v>
      </c>
      <c r="CZ306" s="259" t="e">
        <f t="shared" ca="1" si="707"/>
        <v>#N/A</v>
      </c>
      <c r="DA306" s="259" t="str">
        <f t="shared" ca="1" si="712"/>
        <v/>
      </c>
      <c r="DB306" s="259" t="str">
        <f t="shared" ca="1" si="708"/>
        <v/>
      </c>
      <c r="DC306" s="259" t="str">
        <f t="shared" ca="1" si="709"/>
        <v/>
      </c>
      <c r="DD306" s="259" t="str">
        <f t="shared" ca="1" si="710"/>
        <v/>
      </c>
      <c r="DE306" s="259" t="str">
        <f t="shared" ca="1" si="711"/>
        <v/>
      </c>
      <c r="DF306" s="259">
        <f ca="1">IF(AND(CX306=$DE$2,$DF$2&lt;&gt;0),0,IF(AND(DB306&lt;&gt;"",OR(DB305&lt;&gt;"",DB307&lt;&gt;"")),MAX($DF$2:DF305)+1,0))</f>
        <v>0</v>
      </c>
      <c r="DG306" s="259" t="str">
        <f>IF(IF(LIBRO_GIORNALE!E214="","",IFERROR(INDEX(PIANO_DEI_CONTI,MATCH(BB306,DENOMINAZIONE,0),1),0))=0,"",IF(LIBRO_GIORNALE!E214="","",IFERROR(INDEX(PIANO_DEI_CONTI,MATCH(BB306,DENOMINAZIONE,0),1),0)))</f>
        <v/>
      </c>
      <c r="EC306" s="259">
        <f>IF(IF(DG306&lt;&gt;"",REPLACE(DG306,3,1,""),0)&lt;&gt;0,MAX(EC$2:EC305)+1,0)</f>
        <v>0</v>
      </c>
      <c r="ED306" s="259">
        <f t="shared" ca="1" si="662"/>
        <v>0</v>
      </c>
      <c r="EL306" s="259">
        <f t="shared" si="670"/>
        <v>304</v>
      </c>
      <c r="EM306" s="259">
        <f ca="1">IF(AND(BA306&gt;0,BA306&lt;=$EM$1),MAX($EM$2:EM305)+1,0)</f>
        <v>0</v>
      </c>
      <c r="EN306" s="259">
        <f t="shared" ca="1" si="671"/>
        <v>306</v>
      </c>
      <c r="EP306" s="259" t="str">
        <f t="shared" ca="1" si="663"/>
        <v/>
      </c>
      <c r="EQ306" s="259">
        <f t="shared" ca="1" si="664"/>
        <v>0</v>
      </c>
      <c r="ER306" s="259">
        <f ca="1">IF(ISNA(EQ306),MAX(ER$2:ER305)+1,0)</f>
        <v>0</v>
      </c>
      <c r="ES306" s="259" t="str">
        <f t="shared" ca="1" si="672"/>
        <v/>
      </c>
      <c r="ET306" s="259" t="str">
        <f ca="1">IFERROR(UPPER(INDEX($ER$3:$ES$500,MATCH(ROWS(ET$3:ET306),$ER$3:$ER$500,0),2)),"")</f>
        <v/>
      </c>
      <c r="EW306" s="259">
        <f t="shared" ca="1" si="714"/>
        <v>1</v>
      </c>
      <c r="EX306" s="259">
        <v>204</v>
      </c>
      <c r="EY306" s="259">
        <f t="shared" ca="1" si="715"/>
        <v>0</v>
      </c>
      <c r="EZ306" s="259">
        <f t="shared" ca="1" si="716"/>
        <v>0</v>
      </c>
      <c r="FA306" s="259">
        <f t="shared" ca="1" si="717"/>
        <v>0</v>
      </c>
      <c r="FB306" s="259">
        <f t="shared" ca="1" si="718"/>
        <v>0</v>
      </c>
      <c r="FC306" s="259">
        <f t="shared" ca="1" si="719"/>
        <v>0</v>
      </c>
      <c r="FD306" s="259">
        <f t="shared" ca="1" si="665"/>
        <v>0</v>
      </c>
      <c r="FE306" s="259" t="str">
        <f t="shared" ca="1" si="666"/>
        <v/>
      </c>
      <c r="FF306" s="259" t="str">
        <f t="shared" ca="1" si="720"/>
        <v/>
      </c>
      <c r="FM306" s="259">
        <f t="shared" si="667"/>
        <v>0</v>
      </c>
      <c r="FN306" s="259">
        <f>IF(FM306&lt;0,MAX($FN$2:FN305)+1,0)</f>
        <v>0</v>
      </c>
      <c r="FO306" s="259" t="str">
        <f t="shared" si="673"/>
        <v/>
      </c>
      <c r="FP306" s="259" t="str">
        <f ca="1">IFERROR(INDEX($FN$3:$FO$400,MATCH(ROWS($FP$3:FP306),$FN$3:$FN$400,0),2),"")</f>
        <v/>
      </c>
      <c r="FQ306" s="259" t="str">
        <f>IF(AE306="SE AVERE",MAX($FQ$2:FQ305)+1,"")</f>
        <v/>
      </c>
      <c r="FR306" s="259" t="str">
        <f>IF(AE306="SE DARE",MAX($FR$2:FR305)+1,"")</f>
        <v/>
      </c>
      <c r="FS306" s="259" t="str">
        <f ca="1">IF(AND(AE306="SP DARE",AA306&lt;&gt;$FS$1,AA306&lt;&gt;$FT$1),MAX($FS$2:FS305)+1,IF(AND(GQ306="SP DARE",AA306&lt;&gt;$FS$1,AA306&lt;&gt;$FT$1),MAX($FS$2:FS305)+1,""))</f>
        <v/>
      </c>
      <c r="FT306" s="259" t="str">
        <f ca="1">IF(AND(AE306="SP AVERE",AA306&lt;&gt;$FU$1),MAX($FT$2:FT305)+1,IF(AND(GQ306="SP AVERE",AA306&lt;&gt;$FU$1),MAX($FT$2:FT305)+1,""))</f>
        <v/>
      </c>
      <c r="FU306" s="259">
        <f t="shared" ca="1" si="674"/>
        <v>0</v>
      </c>
      <c r="FV306" s="259">
        <f t="shared" si="675"/>
        <v>0</v>
      </c>
      <c r="FW306" s="259">
        <f ca="1">IFERROR(INDEX($FU$3:$FV$500,MATCH(ROWS($FW$3:FW306),$FU$3:$FU$500,0),2),0)</f>
        <v>0</v>
      </c>
      <c r="FX306" s="259">
        <f t="shared" ca="1" si="676"/>
        <v>0</v>
      </c>
      <c r="FY306" s="259">
        <f t="shared" ca="1" si="677"/>
        <v>0</v>
      </c>
      <c r="FZ306" s="259">
        <f ca="1">IF(FY306&gt;0,MAX($FZ$2:FZ305)+1,0)</f>
        <v>0</v>
      </c>
      <c r="GA306" s="259">
        <f ca="1">IFERROR(INDEX($FY$3:$FZ$500,MATCH(ROWS($GA$3:GA306),$FZ$3:$FZ$500,0),1),0)</f>
        <v>0</v>
      </c>
      <c r="GC306" s="259">
        <f t="shared" ca="1" si="678"/>
        <v>0</v>
      </c>
      <c r="GD306" s="259">
        <f t="shared" ca="1" si="679"/>
        <v>0</v>
      </c>
      <c r="GG306" s="259">
        <f t="shared" ca="1" si="680"/>
        <v>0</v>
      </c>
      <c r="GH306" s="259">
        <f t="shared" ca="1" si="681"/>
        <v>0</v>
      </c>
      <c r="GI306" s="259">
        <f t="shared" ca="1" si="682"/>
        <v>0</v>
      </c>
      <c r="GJ306" s="259">
        <f t="shared" ca="1" si="683"/>
        <v>0</v>
      </c>
      <c r="GK306" s="259">
        <f t="shared" ca="1" si="684"/>
        <v>0</v>
      </c>
      <c r="GL306" s="259">
        <f t="shared" ca="1" si="684"/>
        <v>0</v>
      </c>
      <c r="GM306" s="259">
        <f ca="1">IF(OR(GK306&gt;0,GL306&gt;0),MAX($GM$2:GM305)+1,0)</f>
        <v>0</v>
      </c>
      <c r="GN306" s="259" t="str">
        <f ca="1">IFERROR(INDEX($GD$3:$GM$400,MATCH(ROWS($GN$3:GN306),$GM$3:$GM$400,0),1),"")</f>
        <v/>
      </c>
      <c r="GO306" s="259" t="str">
        <f ca="1">IFERROR(INDEX($GD$3:$GM$400,MATCH(ROWS($GO$3:GO306),$GM$3:$GM$400,0),8),"")</f>
        <v/>
      </c>
      <c r="GP306" s="259" t="str">
        <f ca="1">IFERROR(INDEX($GD$3:$GM$400,MATCH(ROWS($GP$3:GP306),$GM$3:$GM$400,0),9),"")</f>
        <v/>
      </c>
      <c r="GQ306" s="259">
        <f t="shared" ca="1" si="668"/>
        <v>0</v>
      </c>
      <c r="GR306" s="259">
        <f t="shared" ca="1" si="685"/>
        <v>0</v>
      </c>
      <c r="GS306" s="259" t="str">
        <f t="shared" ca="1" si="686"/>
        <v/>
      </c>
      <c r="GT306" s="259" t="str">
        <f ca="1">IFERROR(INDEX($GD$3:$GS$400,MATCH(ROWS($GT$3:GT306),$GM$3:$GM$400,0),16),"")</f>
        <v/>
      </c>
      <c r="GU306" s="259">
        <f ca="1">IF(GQ306&lt;&gt;0,MAX($GU$2:$GU305)+1,0)</f>
        <v>0</v>
      </c>
      <c r="GV306" s="259">
        <f t="shared" ca="1" si="687"/>
        <v>0</v>
      </c>
      <c r="GW306" s="259" t="str">
        <f ca="1">IF(AND(IFERROR(INDEX($GU$3:$GV$400,MATCH(ROWS($GW$3:GW306),$GU$3:$GU$400,0),2),"")&lt;&gt;"",GW307&lt;&gt;""),CONCATENATE(IFERROR(INDEX($GU$3:$GV$400,MATCH(ROWS($GW$3:GW306),$GU$3:$GU$400,0),2),"")," - "),IFERROR(INDEX($GU$3:$GV$400,MATCH(ROWS($GW$3:GW306),$GU$3:$GU$400,0),2),""))</f>
        <v/>
      </c>
      <c r="GX306" s="259">
        <f ca="1">IF(OR(GN306="IVA NS/CREDITO",GN306="IVA NS/DEBITO",GN306="IVA C/ACCONTO",GN306="IMPOSTE C/ACCONTO"),MAX($GX$2:GX305)+1,0)</f>
        <v>0</v>
      </c>
      <c r="GY306" s="259" t="str">
        <f ca="1">IF(AND(IFERROR(INDEX($GN$3:$GX$200,MATCH(ROWS($GY$3:GY306),$GX$3:$GX$200,0),1),"")&lt;&gt;"",GY307&lt;&gt;""),CONCATENATE(IFERROR(INDEX($GN$3:$GX$200,MATCH(ROWS($GY$3:GY306),$GX$3:$GX$200,0),1),"")," - "),IFERROR(INDEX($GN$3:$GX$200,MATCH(ROWS($GY$3:GY306),$GX$3:$GX$200,0),1),""))</f>
        <v/>
      </c>
      <c r="JA306" s="259" t="str">
        <f t="shared" ca="1" si="688"/>
        <v/>
      </c>
      <c r="JB306" s="259">
        <f t="shared" ca="1" si="669"/>
        <v>0</v>
      </c>
      <c r="JC306" s="259">
        <f t="shared" ca="1" si="721"/>
        <v>0</v>
      </c>
      <c r="JD306" s="259">
        <f t="shared" ca="1" si="722"/>
        <v>0</v>
      </c>
      <c r="JM306" s="259">
        <f t="shared" ca="1" si="723"/>
        <v>0</v>
      </c>
    </row>
    <row r="307" spans="52:273">
      <c r="AZ307" s="259" t="str">
        <f t="shared" ca="1" si="689"/>
        <v/>
      </c>
      <c r="BA307" s="259">
        <f t="shared" ca="1" si="713"/>
        <v>0</v>
      </c>
      <c r="BB307" s="259">
        <f t="shared" ca="1" si="690"/>
        <v>0</v>
      </c>
      <c r="BC307" s="259">
        <f t="shared" ca="1" si="691"/>
        <v>0</v>
      </c>
      <c r="BD307" s="259">
        <f t="shared" ca="1" si="692"/>
        <v>0</v>
      </c>
      <c r="BE307" s="259">
        <f t="shared" ca="1" si="693"/>
        <v>0</v>
      </c>
      <c r="BQ307" s="259" t="str">
        <f ca="1">IFERROR(INDEX($BN$3:$BO$200,MATCH(ROWS(BQ$3:BQ307),$BP$3:$BP$220,0),1),"")</f>
        <v/>
      </c>
      <c r="CX307" s="259">
        <f t="shared" ca="1" si="705"/>
        <v>17</v>
      </c>
      <c r="CY307" s="259" t="str">
        <f t="shared" ca="1" si="724"/>
        <v>MASTRO</v>
      </c>
      <c r="CZ307" s="259" t="e">
        <f t="shared" ca="1" si="707"/>
        <v>#N/A</v>
      </c>
      <c r="DA307" s="259" t="str">
        <f t="shared" ca="1" si="712"/>
        <v/>
      </c>
      <c r="DB307" s="259" t="str">
        <f t="shared" ca="1" si="708"/>
        <v/>
      </c>
      <c r="DC307" s="259" t="str">
        <f t="shared" ca="1" si="709"/>
        <v/>
      </c>
      <c r="DD307" s="259" t="str">
        <f t="shared" ca="1" si="710"/>
        <v/>
      </c>
      <c r="DE307" s="259" t="str">
        <f t="shared" ca="1" si="711"/>
        <v/>
      </c>
      <c r="DF307" s="259">
        <f ca="1">IF(AND(CX307=$DE$2,$DF$2&lt;&gt;0),0,IF(AND(DB307&lt;&gt;"",OR(DB306&lt;&gt;"",DB308&lt;&gt;"")),MAX($DF$2:DF306)+1,0))</f>
        <v>0</v>
      </c>
      <c r="DG307" s="259" t="str">
        <f>IF(IF(LIBRO_GIORNALE!E215="","",IFERROR(INDEX(PIANO_DEI_CONTI,MATCH(BB307,DENOMINAZIONE,0),1),0))=0,"",IF(LIBRO_GIORNALE!E215="","",IFERROR(INDEX(PIANO_DEI_CONTI,MATCH(BB307,DENOMINAZIONE,0),1),0)))</f>
        <v/>
      </c>
      <c r="EC307" s="259">
        <f>IF(IF(DG307&lt;&gt;"",REPLACE(DG307,3,1,""),0)&lt;&gt;0,MAX(EC$2:EC306)+1,0)</f>
        <v>0</v>
      </c>
      <c r="ED307" s="259">
        <f t="shared" ca="1" si="662"/>
        <v>0</v>
      </c>
      <c r="EL307" s="259">
        <f t="shared" si="670"/>
        <v>305</v>
      </c>
      <c r="EM307" s="259">
        <f ca="1">IF(AND(BA307&gt;0,BA307&lt;=$EM$1),MAX($EM$2:EM306)+1,0)</f>
        <v>0</v>
      </c>
      <c r="EN307" s="259">
        <f t="shared" ca="1" si="671"/>
        <v>307</v>
      </c>
      <c r="EP307" s="259" t="str">
        <f t="shared" ca="1" si="663"/>
        <v/>
      </c>
      <c r="EQ307" s="259">
        <f t="shared" ca="1" si="664"/>
        <v>0</v>
      </c>
      <c r="ER307" s="259">
        <f ca="1">IF(ISNA(EQ307),MAX(ER$2:ER306)+1,0)</f>
        <v>0</v>
      </c>
      <c r="ES307" s="259" t="str">
        <f t="shared" ca="1" si="672"/>
        <v/>
      </c>
      <c r="ET307" s="259" t="str">
        <f ca="1">IFERROR(UPPER(INDEX($ER$3:$ES$500,MATCH(ROWS(ET$3:ET307),$ER$3:$ER$500,0),2)),"")</f>
        <v/>
      </c>
      <c r="EW307" s="259">
        <f t="shared" ca="1" si="714"/>
        <v>1</v>
      </c>
      <c r="EX307" s="259">
        <v>205</v>
      </c>
      <c r="EY307" s="259">
        <f t="shared" ca="1" si="715"/>
        <v>0</v>
      </c>
      <c r="EZ307" s="259">
        <f t="shared" ca="1" si="716"/>
        <v>0</v>
      </c>
      <c r="FA307" s="259">
        <f t="shared" ca="1" si="717"/>
        <v>0</v>
      </c>
      <c r="FB307" s="259">
        <f t="shared" ca="1" si="718"/>
        <v>0</v>
      </c>
      <c r="FC307" s="259">
        <f t="shared" ca="1" si="719"/>
        <v>0</v>
      </c>
      <c r="FD307" s="259">
        <f t="shared" ca="1" si="665"/>
        <v>0</v>
      </c>
      <c r="FE307" s="259" t="str">
        <f t="shared" ca="1" si="666"/>
        <v/>
      </c>
      <c r="FF307" s="259" t="str">
        <f t="shared" ca="1" si="720"/>
        <v/>
      </c>
      <c r="FM307" s="259">
        <f t="shared" si="667"/>
        <v>0</v>
      </c>
      <c r="FN307" s="259">
        <f>IF(FM307&lt;0,MAX($FN$2:FN306)+1,0)</f>
        <v>0</v>
      </c>
      <c r="FO307" s="259" t="str">
        <f t="shared" si="673"/>
        <v/>
      </c>
      <c r="FP307" s="259" t="str">
        <f ca="1">IFERROR(INDEX($FN$3:$FO$400,MATCH(ROWS($FP$3:FP307),$FN$3:$FN$400,0),2),"")</f>
        <v/>
      </c>
      <c r="FQ307" s="259" t="str">
        <f>IF(AE307="SE AVERE",MAX($FQ$2:FQ306)+1,"")</f>
        <v/>
      </c>
      <c r="FR307" s="259" t="str">
        <f>IF(AE307="SE DARE",MAX($FR$2:FR306)+1,"")</f>
        <v/>
      </c>
      <c r="FS307" s="259" t="str">
        <f ca="1">IF(AND(AE307="SP DARE",AA307&lt;&gt;$FS$1,AA307&lt;&gt;$FT$1),MAX($FS$2:FS306)+1,IF(AND(GQ307="SP DARE",AA307&lt;&gt;$FS$1,AA307&lt;&gt;$FT$1),MAX($FS$2:FS306)+1,""))</f>
        <v/>
      </c>
      <c r="FT307" s="259" t="str">
        <f ca="1">IF(AND(AE307="SP AVERE",AA307&lt;&gt;$FU$1),MAX($FT$2:FT306)+1,IF(AND(GQ307="SP AVERE",AA307&lt;&gt;$FU$1),MAX($FT$2:FT306)+1,""))</f>
        <v/>
      </c>
      <c r="FU307" s="259">
        <f t="shared" ca="1" si="674"/>
        <v>0</v>
      </c>
      <c r="FV307" s="259">
        <f t="shared" si="675"/>
        <v>0</v>
      </c>
      <c r="FW307" s="259">
        <f ca="1">IFERROR(INDEX($FU$3:$FV$500,MATCH(ROWS($FW$3:FW307),$FU$3:$FU$500,0),2),0)</f>
        <v>0</v>
      </c>
      <c r="FX307" s="259">
        <f t="shared" ca="1" si="676"/>
        <v>0</v>
      </c>
      <c r="FY307" s="259">
        <f t="shared" ca="1" si="677"/>
        <v>0</v>
      </c>
      <c r="FZ307" s="259">
        <f ca="1">IF(FY307&gt;0,MAX($FZ$2:FZ306)+1,0)</f>
        <v>0</v>
      </c>
      <c r="GA307" s="259">
        <f ca="1">IFERROR(INDEX($FY$3:$FZ$500,MATCH(ROWS($GA$3:GA307),$FZ$3:$FZ$500,0),1),0)</f>
        <v>0</v>
      </c>
      <c r="GC307" s="259">
        <f t="shared" ca="1" si="678"/>
        <v>0</v>
      </c>
      <c r="GD307" s="259">
        <f t="shared" ca="1" si="679"/>
        <v>0</v>
      </c>
      <c r="GG307" s="259">
        <f t="shared" ca="1" si="680"/>
        <v>0</v>
      </c>
      <c r="GH307" s="259">
        <f t="shared" ca="1" si="681"/>
        <v>0</v>
      </c>
      <c r="GI307" s="259">
        <f t="shared" ca="1" si="682"/>
        <v>0</v>
      </c>
      <c r="GJ307" s="259">
        <f t="shared" ca="1" si="683"/>
        <v>0</v>
      </c>
      <c r="GK307" s="259">
        <f t="shared" ca="1" si="684"/>
        <v>0</v>
      </c>
      <c r="GL307" s="259">
        <f t="shared" ca="1" si="684"/>
        <v>0</v>
      </c>
      <c r="GM307" s="259">
        <f ca="1">IF(OR(GK307&gt;0,GL307&gt;0),MAX($GM$2:GM306)+1,0)</f>
        <v>0</v>
      </c>
      <c r="GN307" s="259" t="str">
        <f ca="1">IFERROR(INDEX($GD$3:$GM$400,MATCH(ROWS($GN$3:GN307),$GM$3:$GM$400,0),1),"")</f>
        <v/>
      </c>
      <c r="GO307" s="259" t="str">
        <f ca="1">IFERROR(INDEX($GD$3:$GM$400,MATCH(ROWS($GO$3:GO307),$GM$3:$GM$400,0),8),"")</f>
        <v/>
      </c>
      <c r="GP307" s="259" t="str">
        <f ca="1">IFERROR(INDEX($GD$3:$GM$400,MATCH(ROWS($GP$3:GP307),$GM$3:$GM$400,0),9),"")</f>
        <v/>
      </c>
      <c r="GQ307" s="259">
        <f t="shared" ca="1" si="668"/>
        <v>0</v>
      </c>
      <c r="GR307" s="259">
        <f t="shared" ca="1" si="685"/>
        <v>0</v>
      </c>
      <c r="GS307" s="259" t="str">
        <f t="shared" ca="1" si="686"/>
        <v/>
      </c>
      <c r="GT307" s="259" t="str">
        <f ca="1">IFERROR(INDEX($GD$3:$GS$400,MATCH(ROWS($GT$3:GT307),$GM$3:$GM$400,0),16),"")</f>
        <v/>
      </c>
      <c r="GU307" s="259">
        <f ca="1">IF(GQ307&lt;&gt;0,MAX($GU$2:$GU306)+1,0)</f>
        <v>0</v>
      </c>
      <c r="GV307" s="259">
        <f t="shared" ca="1" si="687"/>
        <v>0</v>
      </c>
      <c r="GW307" s="259" t="str">
        <f ca="1">IF(AND(IFERROR(INDEX($GU$3:$GV$400,MATCH(ROWS($GW$3:GW307),$GU$3:$GU$400,0),2),"")&lt;&gt;"",GW308&lt;&gt;""),CONCATENATE(IFERROR(INDEX($GU$3:$GV$400,MATCH(ROWS($GW$3:GW307),$GU$3:$GU$400,0),2),"")," - "),IFERROR(INDEX($GU$3:$GV$400,MATCH(ROWS($GW$3:GW307),$GU$3:$GU$400,0),2),""))</f>
        <v/>
      </c>
      <c r="GX307" s="259">
        <f ca="1">IF(OR(GN307="IVA NS/CREDITO",GN307="IVA NS/DEBITO",GN307="IVA C/ACCONTO",GN307="IMPOSTE C/ACCONTO"),MAX($GX$2:GX306)+1,0)</f>
        <v>0</v>
      </c>
      <c r="GY307" s="259" t="str">
        <f ca="1">IF(AND(IFERROR(INDEX($GN$3:$GX$200,MATCH(ROWS($GY$3:GY307),$GX$3:$GX$200,0),1),"")&lt;&gt;"",GY308&lt;&gt;""),CONCATENATE(IFERROR(INDEX($GN$3:$GX$200,MATCH(ROWS($GY$3:GY307),$GX$3:$GX$200,0),1),"")," - "),IFERROR(INDEX($GN$3:$GX$200,MATCH(ROWS($GY$3:GY307),$GX$3:$GX$200,0),1),""))</f>
        <v/>
      </c>
      <c r="JA307" s="259" t="str">
        <f t="shared" ca="1" si="688"/>
        <v/>
      </c>
      <c r="JB307" s="259">
        <f t="shared" ca="1" si="669"/>
        <v>0</v>
      </c>
      <c r="JC307" s="259">
        <f t="shared" ca="1" si="721"/>
        <v>0</v>
      </c>
      <c r="JD307" s="259">
        <f t="shared" ca="1" si="722"/>
        <v>0</v>
      </c>
      <c r="JM307" s="259">
        <f t="shared" ca="1" si="723"/>
        <v>0</v>
      </c>
    </row>
    <row r="308" spans="52:273">
      <c r="AZ308" s="259" t="str">
        <f t="shared" ca="1" si="689"/>
        <v/>
      </c>
      <c r="BA308" s="259">
        <f t="shared" ca="1" si="713"/>
        <v>0</v>
      </c>
      <c r="BB308" s="259">
        <f t="shared" ca="1" si="690"/>
        <v>0</v>
      </c>
      <c r="BC308" s="259">
        <f t="shared" ca="1" si="691"/>
        <v>0</v>
      </c>
      <c r="BD308" s="259">
        <f t="shared" ca="1" si="692"/>
        <v>0</v>
      </c>
      <c r="BE308" s="259">
        <f t="shared" ca="1" si="693"/>
        <v>0</v>
      </c>
      <c r="BQ308" s="259" t="str">
        <f ca="1">IFERROR(INDEX($BN$3:$BO$200,MATCH(ROWS(BQ$3:BQ308),$BP$3:$BP$220,0),1),"")</f>
        <v/>
      </c>
      <c r="CX308" s="259" t="str">
        <f>IFERROR(IF(CX290+1=1,"",(CX290+1)),"")</f>
        <v/>
      </c>
      <c r="CY308" s="259" t="str">
        <f t="shared" ca="1" si="724"/>
        <v>MASTRO</v>
      </c>
      <c r="DB308" s="259" t="str">
        <f t="shared" ref="DB308" ca="1" si="725">CY308</f>
        <v>MASTRO</v>
      </c>
      <c r="DF308" s="259">
        <f ca="1">IF(AND(CX308=$DE$2,$DF$2&lt;&gt;0),0,IF(AND(DB308&lt;&gt;"",OR(DB307&lt;&gt;"",DB309&lt;&gt;"")),MAX($DF$2:DF307)+1,0))</f>
        <v>0</v>
      </c>
      <c r="DG308" s="259" t="str">
        <f>IF(IF(LIBRO_GIORNALE!E216="","",IFERROR(INDEX(PIANO_DEI_CONTI,MATCH(BB308,DENOMINAZIONE,0),1),0))=0,"",IF(LIBRO_GIORNALE!E216="","",IFERROR(INDEX(PIANO_DEI_CONTI,MATCH(BB308,DENOMINAZIONE,0),1),0)))</f>
        <v/>
      </c>
      <c r="EC308" s="259">
        <f>IF(IF(DG308&lt;&gt;"",REPLACE(DG308,3,1,""),0)&lt;&gt;0,MAX(EC$2:EC307)+1,0)</f>
        <v>0</v>
      </c>
      <c r="ED308" s="259">
        <f t="shared" ca="1" si="662"/>
        <v>0</v>
      </c>
      <c r="EL308" s="259">
        <f t="shared" si="670"/>
        <v>306</v>
      </c>
      <c r="EM308" s="259">
        <f ca="1">IF(AND(BA308&gt;0,BA308&lt;=$EM$1),MAX($EM$2:EM307)+1,0)</f>
        <v>0</v>
      </c>
      <c r="EN308" s="259">
        <f t="shared" ca="1" si="671"/>
        <v>308</v>
      </c>
      <c r="EP308" s="259" t="str">
        <f t="shared" ca="1" si="663"/>
        <v/>
      </c>
      <c r="EQ308" s="259">
        <f t="shared" ca="1" si="664"/>
        <v>0</v>
      </c>
      <c r="ER308" s="259">
        <f ca="1">IF(ISNA(EQ308),MAX(ER$2:ER307)+1,0)</f>
        <v>0</v>
      </c>
      <c r="ES308" s="259" t="str">
        <f t="shared" ca="1" si="672"/>
        <v/>
      </c>
      <c r="ET308" s="259" t="str">
        <f ca="1">IFERROR(UPPER(INDEX($ER$3:$ES$500,MATCH(ROWS(ET$3:ET308),$ER$3:$ER$500,0),2)),"")</f>
        <v/>
      </c>
      <c r="EW308" s="259">
        <f t="shared" ca="1" si="714"/>
        <v>1</v>
      </c>
      <c r="EX308" s="259">
        <v>206</v>
      </c>
      <c r="EY308" s="259">
        <f t="shared" ca="1" si="715"/>
        <v>0</v>
      </c>
      <c r="EZ308" s="259">
        <f t="shared" ca="1" si="716"/>
        <v>0</v>
      </c>
      <c r="FA308" s="259">
        <f t="shared" ca="1" si="717"/>
        <v>0</v>
      </c>
      <c r="FB308" s="259">
        <f t="shared" ca="1" si="718"/>
        <v>0</v>
      </c>
      <c r="FC308" s="259">
        <f t="shared" ca="1" si="719"/>
        <v>0</v>
      </c>
      <c r="FD308" s="259">
        <f t="shared" ca="1" si="665"/>
        <v>0</v>
      </c>
      <c r="FE308" s="259" t="str">
        <f t="shared" ca="1" si="666"/>
        <v/>
      </c>
      <c r="FF308" s="259" t="str">
        <f t="shared" ca="1" si="720"/>
        <v/>
      </c>
      <c r="FM308" s="259">
        <f t="shared" si="667"/>
        <v>0</v>
      </c>
      <c r="FN308" s="259">
        <f>IF(FM308&lt;0,MAX($FN$2:FN307)+1,0)</f>
        <v>0</v>
      </c>
      <c r="FO308" s="259" t="str">
        <f t="shared" si="673"/>
        <v/>
      </c>
      <c r="FP308" s="259" t="str">
        <f ca="1">IFERROR(INDEX($FN$3:$FO$400,MATCH(ROWS($FP$3:FP308),$FN$3:$FN$400,0),2),"")</f>
        <v/>
      </c>
      <c r="FQ308" s="259" t="str">
        <f>IF(AE308="SE AVERE",MAX($FQ$2:FQ307)+1,"")</f>
        <v/>
      </c>
      <c r="FR308" s="259" t="str">
        <f>IF(AE308="SE DARE",MAX($FR$2:FR307)+1,"")</f>
        <v/>
      </c>
      <c r="FS308" s="259" t="str">
        <f ca="1">IF(AND(AE308="SP DARE",AA308&lt;&gt;$FS$1,AA308&lt;&gt;$FT$1),MAX($FS$2:FS307)+1,IF(AND(GQ308="SP DARE",AA308&lt;&gt;$FS$1,AA308&lt;&gt;$FT$1),MAX($FS$2:FS307)+1,""))</f>
        <v/>
      </c>
      <c r="FT308" s="259" t="str">
        <f ca="1">IF(AND(AE308="SP AVERE",AA308&lt;&gt;$FU$1),MAX($FT$2:FT307)+1,IF(AND(GQ308="SP AVERE",AA308&lt;&gt;$FU$1),MAX($FT$2:FT307)+1,""))</f>
        <v/>
      </c>
      <c r="FU308" s="259">
        <f t="shared" ca="1" si="674"/>
        <v>0</v>
      </c>
      <c r="FV308" s="259">
        <f t="shared" si="675"/>
        <v>0</v>
      </c>
      <c r="FW308" s="259">
        <f ca="1">IFERROR(INDEX($FU$3:$FV$500,MATCH(ROWS($FW$3:FW308),$FU$3:$FU$500,0),2),0)</f>
        <v>0</v>
      </c>
      <c r="FX308" s="259">
        <f t="shared" ca="1" si="676"/>
        <v>0</v>
      </c>
      <c r="FY308" s="259">
        <f t="shared" ca="1" si="677"/>
        <v>0</v>
      </c>
      <c r="FZ308" s="259">
        <f ca="1">IF(FY308&gt;0,MAX($FZ$2:FZ307)+1,0)</f>
        <v>0</v>
      </c>
      <c r="GA308" s="259">
        <f ca="1">IFERROR(INDEX($FY$3:$FZ$500,MATCH(ROWS($GA$3:GA308),$FZ$3:$FZ$500,0),1),0)</f>
        <v>0</v>
      </c>
      <c r="GC308" s="259">
        <f t="shared" ca="1" si="678"/>
        <v>0</v>
      </c>
      <c r="GD308" s="259">
        <f t="shared" ca="1" si="679"/>
        <v>0</v>
      </c>
      <c r="GG308" s="259">
        <f t="shared" ca="1" si="680"/>
        <v>0</v>
      </c>
      <c r="GH308" s="259">
        <f t="shared" ca="1" si="681"/>
        <v>0</v>
      </c>
      <c r="GI308" s="259">
        <f t="shared" ca="1" si="682"/>
        <v>0</v>
      </c>
      <c r="GJ308" s="259">
        <f t="shared" ca="1" si="683"/>
        <v>0</v>
      </c>
      <c r="GK308" s="259">
        <f t="shared" ca="1" si="684"/>
        <v>0</v>
      </c>
      <c r="GL308" s="259">
        <f t="shared" ca="1" si="684"/>
        <v>0</v>
      </c>
      <c r="GM308" s="259">
        <f ca="1">IF(OR(GK308&gt;0,GL308&gt;0),MAX($GM$2:GM307)+1,0)</f>
        <v>0</v>
      </c>
      <c r="GN308" s="259" t="str">
        <f ca="1">IFERROR(INDEX($GD$3:$GM$400,MATCH(ROWS($GN$3:GN308),$GM$3:$GM$400,0),1),"")</f>
        <v/>
      </c>
      <c r="GO308" s="259" t="str">
        <f ca="1">IFERROR(INDEX($GD$3:$GM$400,MATCH(ROWS($GO$3:GO308),$GM$3:$GM$400,0),8),"")</f>
        <v/>
      </c>
      <c r="GP308" s="259" t="str">
        <f ca="1">IFERROR(INDEX($GD$3:$GM$400,MATCH(ROWS($GP$3:GP308),$GM$3:$GM$400,0),9),"")</f>
        <v/>
      </c>
      <c r="GQ308" s="259">
        <f t="shared" ca="1" si="668"/>
        <v>0</v>
      </c>
      <c r="GR308" s="259">
        <f t="shared" ca="1" si="685"/>
        <v>0</v>
      </c>
      <c r="GS308" s="259" t="str">
        <f t="shared" ca="1" si="686"/>
        <v/>
      </c>
      <c r="GT308" s="259" t="str">
        <f ca="1">IFERROR(INDEX($GD$3:$GS$400,MATCH(ROWS($GT$3:GT308),$GM$3:$GM$400,0),16),"")</f>
        <v/>
      </c>
      <c r="GU308" s="259">
        <f ca="1">IF(GQ308&lt;&gt;0,MAX($GU$2:$GU307)+1,0)</f>
        <v>0</v>
      </c>
      <c r="GV308" s="259">
        <f t="shared" ca="1" si="687"/>
        <v>0</v>
      </c>
      <c r="GW308" s="259" t="str">
        <f ca="1">IF(AND(IFERROR(INDEX($GU$3:$GV$400,MATCH(ROWS($GW$3:GW308),$GU$3:$GU$400,0),2),"")&lt;&gt;"",GW309&lt;&gt;""),CONCATENATE(IFERROR(INDEX($GU$3:$GV$400,MATCH(ROWS($GW$3:GW308),$GU$3:$GU$400,0),2),"")," - "),IFERROR(INDEX($GU$3:$GV$400,MATCH(ROWS($GW$3:GW308),$GU$3:$GU$400,0),2),""))</f>
        <v/>
      </c>
      <c r="GX308" s="259">
        <f ca="1">IF(OR(GN308="IVA NS/CREDITO",GN308="IVA NS/DEBITO",GN308="IVA C/ACCONTO",GN308="IMPOSTE C/ACCONTO"),MAX($GX$2:GX307)+1,0)</f>
        <v>0</v>
      </c>
      <c r="GY308" s="259" t="str">
        <f ca="1">IF(AND(IFERROR(INDEX($GN$3:$GX$200,MATCH(ROWS($GY$3:GY308),$GX$3:$GX$200,0),1),"")&lt;&gt;"",GY309&lt;&gt;""),CONCATENATE(IFERROR(INDEX($GN$3:$GX$200,MATCH(ROWS($GY$3:GY308),$GX$3:$GX$200,0),1),"")," - "),IFERROR(INDEX($GN$3:$GX$200,MATCH(ROWS($GY$3:GY308),$GX$3:$GX$200,0),1),""))</f>
        <v/>
      </c>
      <c r="JA308" s="259" t="str">
        <f t="shared" ca="1" si="688"/>
        <v/>
      </c>
      <c r="JB308" s="259">
        <f t="shared" ca="1" si="669"/>
        <v>0</v>
      </c>
      <c r="JC308" s="259">
        <f t="shared" ca="1" si="721"/>
        <v>0</v>
      </c>
      <c r="JD308" s="259">
        <f t="shared" ca="1" si="722"/>
        <v>0</v>
      </c>
      <c r="JM308" s="259">
        <f t="shared" ca="1" si="723"/>
        <v>0</v>
      </c>
    </row>
    <row r="309" spans="52:273">
      <c r="AZ309" s="259" t="str">
        <f t="shared" ca="1" si="689"/>
        <v/>
      </c>
      <c r="BA309" s="259">
        <f t="shared" ca="1" si="713"/>
        <v>0</v>
      </c>
      <c r="BB309" s="259">
        <f t="shared" ca="1" si="690"/>
        <v>0</v>
      </c>
      <c r="BC309" s="259">
        <f t="shared" ca="1" si="691"/>
        <v>0</v>
      </c>
      <c r="BD309" s="259">
        <f t="shared" ca="1" si="692"/>
        <v>0</v>
      </c>
      <c r="BE309" s="259">
        <f t="shared" ca="1" si="693"/>
        <v>0</v>
      </c>
      <c r="BQ309" s="259" t="str">
        <f ca="1">IFERROR(INDEX($BN$3:$BO$200,MATCH(ROWS(BQ$3:BQ309),$BP$3:$BP$220,0),1),"")</f>
        <v/>
      </c>
      <c r="CX309" s="259">
        <f ca="1">$EA$20</f>
        <v>18</v>
      </c>
      <c r="CY309" s="259" t="str">
        <f t="shared" ca="1" si="724"/>
        <v>MASTRO</v>
      </c>
      <c r="DA309" s="259" t="str">
        <f ca="1">IF(CY308="MASTRO","Conto n.","")</f>
        <v>Conto n.</v>
      </c>
      <c r="DB309" s="259" t="str">
        <f ca="1">IF(CY309=0,"",INDEX(PIANO_DEI_CONTI,MATCH(DC309,DENOMINAZIONE,0),1))</f>
        <v/>
      </c>
      <c r="DC309" s="259" t="str">
        <f ca="1">IF(OR(CY309=0,CY309="mastro"),"",CY309)</f>
        <v/>
      </c>
      <c r="DD309" s="259" t="str">
        <f ca="1">IF(AND($DA$2=TRUE,OR(INDEX(PIANO_DEI_CONTI,MATCH($DC309,DENOMINAZIONE,0),4)="A",INDEX(PIANO_DEI_CONTI,MATCH($DC309,DENOMINAZIONE,0),4)="D/A"),SUMIFS(AVERE,DENOMINAZIONE_GIORNALE,"="&amp;$DC309)&gt;SUMIFS(DARE,DENOMINAZIONE_GIORNALE,"="&amp;$DC309)),CONCATENATE("s ",FIXED(ABS(SUMIFS(AVERE,DENOMINAZIONE_GIORNALE,"="&amp;$DC309)-SUMIFS(DARE,DENOMINAZIONE_GIORNALE,"="&amp;$DC309)),2)),"")</f>
        <v/>
      </c>
      <c r="DE309" s="259" t="str">
        <f ca="1">IF(AND($DA$2=TRUE,OR(INDEX(PIANO_DEI_CONTI,MATCH($DC309,DENOMINAZIONE,0),4)="D",INDEX(PIANO_DEI_CONTI,MATCH($DC309,DENOMINAZIONE,0),4)="D/A"),SUMIFS(DARE,DENOMINAZIONE_GIORNALE,"="&amp;$DC309)&gt;SUMIFS(AVERE,DENOMINAZIONE_GIORNALE,"="&amp;$DC309)),CONCATENATE("s ",FIXED(ABS(SUMIFS(DARE,DENOMINAZIONE_GIORNALE,"="&amp;$DC309)-SUMIFS(AVERE,DENOMINAZIONE_GIORNALE,"="&amp;$DC309)),2)),"")</f>
        <v/>
      </c>
      <c r="DF309" s="259">
        <f ca="1">IF(AND(CX309=$DE$2,$DF$2&lt;&gt;0),0,IF(AND(DB309&lt;&gt;"",OR(DB308&lt;&gt;"",DB310&lt;&gt;"")),MAX($DF$2:DF308)+1,0))</f>
        <v>0</v>
      </c>
      <c r="DG309" s="259" t="str">
        <f>IF(IF(LIBRO_GIORNALE!E217="","",IFERROR(INDEX(PIANO_DEI_CONTI,MATCH(BB309,DENOMINAZIONE,0),1),0))=0,"",IF(LIBRO_GIORNALE!E217="","",IFERROR(INDEX(PIANO_DEI_CONTI,MATCH(BB309,DENOMINAZIONE,0),1),0)))</f>
        <v/>
      </c>
      <c r="EC309" s="259">
        <f>IF(IF(DG309&lt;&gt;"",REPLACE(DG309,3,1,""),0)&lt;&gt;0,MAX(EC$2:EC308)+1,0)</f>
        <v>0</v>
      </c>
      <c r="ED309" s="259">
        <f t="shared" ca="1" si="662"/>
        <v>0</v>
      </c>
      <c r="EL309" s="259">
        <f t="shared" si="670"/>
        <v>307</v>
      </c>
      <c r="EM309" s="259">
        <f ca="1">IF(AND(BA309&gt;0,BA309&lt;=$EM$1),MAX($EM$2:EM308)+1,0)</f>
        <v>0</v>
      </c>
      <c r="EN309" s="259">
        <f t="shared" ca="1" si="671"/>
        <v>309</v>
      </c>
      <c r="EP309" s="259" t="str">
        <f t="shared" ca="1" si="663"/>
        <v/>
      </c>
      <c r="EQ309" s="259">
        <f t="shared" ca="1" si="664"/>
        <v>0</v>
      </c>
      <c r="ER309" s="259">
        <f ca="1">IF(ISNA(EQ309),MAX(ER$2:ER308)+1,0)</f>
        <v>0</v>
      </c>
      <c r="ES309" s="259" t="str">
        <f t="shared" ca="1" si="672"/>
        <v/>
      </c>
      <c r="ET309" s="259" t="str">
        <f ca="1">IFERROR(UPPER(INDEX($ER$3:$ES$500,MATCH(ROWS(ET$3:ET309),$ER$3:$ER$500,0),2)),"")</f>
        <v/>
      </c>
      <c r="EW309" s="259">
        <f t="shared" ca="1" si="714"/>
        <v>1</v>
      </c>
      <c r="EX309" s="259">
        <v>207</v>
      </c>
      <c r="EY309" s="259">
        <f t="shared" ca="1" si="715"/>
        <v>0</v>
      </c>
      <c r="EZ309" s="259">
        <f t="shared" ca="1" si="716"/>
        <v>0</v>
      </c>
      <c r="FA309" s="259">
        <f t="shared" ca="1" si="717"/>
        <v>0</v>
      </c>
      <c r="FB309" s="259">
        <f t="shared" ca="1" si="718"/>
        <v>0</v>
      </c>
      <c r="FC309" s="259">
        <f t="shared" ca="1" si="719"/>
        <v>0</v>
      </c>
      <c r="FD309" s="259">
        <f t="shared" ca="1" si="665"/>
        <v>0</v>
      </c>
      <c r="FE309" s="259" t="str">
        <f t="shared" ca="1" si="666"/>
        <v/>
      </c>
      <c r="FF309" s="259" t="str">
        <f t="shared" ca="1" si="720"/>
        <v/>
      </c>
      <c r="FM309" s="259">
        <f t="shared" si="667"/>
        <v>0</v>
      </c>
      <c r="FN309" s="259">
        <f>IF(FM309&lt;0,MAX($FN$2:FN308)+1,0)</f>
        <v>0</v>
      </c>
      <c r="FO309" s="259" t="str">
        <f t="shared" si="673"/>
        <v/>
      </c>
      <c r="FP309" s="259" t="str">
        <f ca="1">IFERROR(INDEX($FN$3:$FO$400,MATCH(ROWS($FP$3:FP309),$FN$3:$FN$400,0),2),"")</f>
        <v/>
      </c>
      <c r="FQ309" s="259" t="str">
        <f>IF(AE309="SE AVERE",MAX($FQ$2:FQ308)+1,"")</f>
        <v/>
      </c>
      <c r="FR309" s="259" t="str">
        <f>IF(AE309="SE DARE",MAX($FR$2:FR308)+1,"")</f>
        <v/>
      </c>
      <c r="FS309" s="259" t="str">
        <f ca="1">IF(AND(AE309="SP DARE",AA309&lt;&gt;$FS$1,AA309&lt;&gt;$FT$1),MAX($FS$2:FS308)+1,IF(AND(GQ309="SP DARE",AA309&lt;&gt;$FS$1,AA309&lt;&gt;$FT$1),MAX($FS$2:FS308)+1,""))</f>
        <v/>
      </c>
      <c r="FT309" s="259" t="str">
        <f ca="1">IF(AND(AE309="SP AVERE",AA309&lt;&gt;$FU$1),MAX($FT$2:FT308)+1,IF(AND(GQ309="SP AVERE",AA309&lt;&gt;$FU$1),MAX($FT$2:FT308)+1,""))</f>
        <v/>
      </c>
      <c r="FU309" s="259">
        <f t="shared" ca="1" si="674"/>
        <v>0</v>
      </c>
      <c r="FV309" s="259">
        <f t="shared" si="675"/>
        <v>0</v>
      </c>
      <c r="FW309" s="259">
        <f ca="1">IFERROR(INDEX($FU$3:$FV$500,MATCH(ROWS($FW$3:FW309),$FU$3:$FU$500,0),2),0)</f>
        <v>0</v>
      </c>
      <c r="FX309" s="259">
        <f t="shared" ca="1" si="676"/>
        <v>0</v>
      </c>
      <c r="FY309" s="259">
        <f t="shared" ca="1" si="677"/>
        <v>0</v>
      </c>
      <c r="FZ309" s="259">
        <f ca="1">IF(FY309&gt;0,MAX($FZ$2:FZ308)+1,0)</f>
        <v>0</v>
      </c>
      <c r="GA309" s="259">
        <f ca="1">IFERROR(INDEX($FY$3:$FZ$500,MATCH(ROWS($GA$3:GA309),$FZ$3:$FZ$500,0),1),0)</f>
        <v>0</v>
      </c>
      <c r="GC309" s="259">
        <f t="shared" ca="1" si="678"/>
        <v>0</v>
      </c>
      <c r="GD309" s="259">
        <f t="shared" ca="1" si="679"/>
        <v>0</v>
      </c>
      <c r="GG309" s="259">
        <f t="shared" ca="1" si="680"/>
        <v>0</v>
      </c>
      <c r="GH309" s="259">
        <f t="shared" ca="1" si="681"/>
        <v>0</v>
      </c>
      <c r="GI309" s="259">
        <f t="shared" ca="1" si="682"/>
        <v>0</v>
      </c>
      <c r="GJ309" s="259">
        <f t="shared" ca="1" si="683"/>
        <v>0</v>
      </c>
      <c r="GK309" s="259">
        <f t="shared" ca="1" si="684"/>
        <v>0</v>
      </c>
      <c r="GL309" s="259">
        <f t="shared" ca="1" si="684"/>
        <v>0</v>
      </c>
      <c r="GM309" s="259">
        <f ca="1">IF(OR(GK309&gt;0,GL309&gt;0),MAX($GM$2:GM308)+1,0)</f>
        <v>0</v>
      </c>
      <c r="GN309" s="259" t="str">
        <f ca="1">IFERROR(INDEX($GD$3:$GM$400,MATCH(ROWS($GN$3:GN309),$GM$3:$GM$400,0),1),"")</f>
        <v/>
      </c>
      <c r="GO309" s="259" t="str">
        <f ca="1">IFERROR(INDEX($GD$3:$GM$400,MATCH(ROWS($GO$3:GO309),$GM$3:$GM$400,0),8),"")</f>
        <v/>
      </c>
      <c r="GP309" s="259" t="str">
        <f ca="1">IFERROR(INDEX($GD$3:$GM$400,MATCH(ROWS($GP$3:GP309),$GM$3:$GM$400,0),9),"")</f>
        <v/>
      </c>
      <c r="GQ309" s="259">
        <f t="shared" ca="1" si="668"/>
        <v>0</v>
      </c>
      <c r="GR309" s="259">
        <f t="shared" ca="1" si="685"/>
        <v>0</v>
      </c>
      <c r="GS309" s="259" t="str">
        <f t="shared" ca="1" si="686"/>
        <v/>
      </c>
      <c r="GT309" s="259" t="str">
        <f ca="1">IFERROR(INDEX($GD$3:$GS$400,MATCH(ROWS($GT$3:GT309),$GM$3:$GM$400,0),16),"")</f>
        <v/>
      </c>
      <c r="GU309" s="259">
        <f ca="1">IF(GQ309&lt;&gt;0,MAX($GU$2:$GU308)+1,0)</f>
        <v>0</v>
      </c>
      <c r="GV309" s="259">
        <f t="shared" ca="1" si="687"/>
        <v>0</v>
      </c>
      <c r="GW309" s="259" t="str">
        <f ca="1">IF(AND(IFERROR(INDEX($GU$3:$GV$400,MATCH(ROWS($GW$3:GW309),$GU$3:$GU$400,0),2),"")&lt;&gt;"",GW310&lt;&gt;""),CONCATENATE(IFERROR(INDEX($GU$3:$GV$400,MATCH(ROWS($GW$3:GW309),$GU$3:$GU$400,0),2),"")," - "),IFERROR(INDEX($GU$3:$GV$400,MATCH(ROWS($GW$3:GW309),$GU$3:$GU$400,0),2),""))</f>
        <v/>
      </c>
      <c r="GX309" s="259">
        <f ca="1">IF(OR(GN309="IVA NS/CREDITO",GN309="IVA NS/DEBITO",GN309="IVA C/ACCONTO",GN309="IMPOSTE C/ACCONTO"),MAX($GX$2:GX308)+1,0)</f>
        <v>0</v>
      </c>
      <c r="GY309" s="259" t="str">
        <f ca="1">IF(AND(IFERROR(INDEX($GN$3:$GX$200,MATCH(ROWS($GY$3:GY309),$GX$3:$GX$200,0),1),"")&lt;&gt;"",GY310&lt;&gt;""),CONCATENATE(IFERROR(INDEX($GN$3:$GX$200,MATCH(ROWS($GY$3:GY309),$GX$3:$GX$200,0),1),"")," - "),IFERROR(INDEX($GN$3:$GX$200,MATCH(ROWS($GY$3:GY309),$GX$3:$GX$200,0),1),""))</f>
        <v/>
      </c>
      <c r="JA309" s="259" t="str">
        <f t="shared" ca="1" si="688"/>
        <v/>
      </c>
      <c r="JB309" s="259">
        <f t="shared" ca="1" si="669"/>
        <v>0</v>
      </c>
      <c r="JC309" s="259">
        <f t="shared" ca="1" si="721"/>
        <v>0</v>
      </c>
      <c r="JD309" s="259">
        <f t="shared" ca="1" si="722"/>
        <v>0</v>
      </c>
      <c r="JM309" s="259">
        <f t="shared" ca="1" si="723"/>
        <v>0</v>
      </c>
    </row>
    <row r="310" spans="52:273">
      <c r="AZ310" s="259" t="str">
        <f t="shared" ca="1" si="689"/>
        <v/>
      </c>
      <c r="BA310" s="259">
        <f t="shared" ca="1" si="713"/>
        <v>0</v>
      </c>
      <c r="BB310" s="259">
        <f t="shared" ca="1" si="690"/>
        <v>0</v>
      </c>
      <c r="BC310" s="259">
        <f t="shared" ca="1" si="691"/>
        <v>0</v>
      </c>
      <c r="BD310" s="259">
        <f t="shared" ca="1" si="692"/>
        <v>0</v>
      </c>
      <c r="BE310" s="259">
        <f t="shared" ca="1" si="693"/>
        <v>0</v>
      </c>
      <c r="BQ310" s="259" t="str">
        <f ca="1">IFERROR(INDEX($BN$3:$BO$200,MATCH(ROWS(BQ$3:BQ310),$BP$3:$BP$220,0),1),"")</f>
        <v/>
      </c>
      <c r="CX310" s="259">
        <f t="shared" ref="CX310:CX325" ca="1" si="726">$EA$20</f>
        <v>18</v>
      </c>
      <c r="CY310" s="259" t="str">
        <f t="shared" ca="1" si="724"/>
        <v>MASTRO</v>
      </c>
      <c r="DA310" s="259" t="str">
        <f ca="1">IF(DB309="","","Num. riga")</f>
        <v/>
      </c>
      <c r="DB310" s="259" t="str">
        <f t="shared" ref="DB310" ca="1" si="727">IF(DB309="","","Data")</f>
        <v/>
      </c>
      <c r="DC310" s="259" t="str">
        <f ca="1">IF(DB309="","","Operazioni")</f>
        <v/>
      </c>
      <c r="DD310" s="259" t="str">
        <f ca="1">IF(DB309="","","Dare        ")</f>
        <v/>
      </c>
      <c r="DE310" s="259" t="str">
        <f ca="1">IF(DB309="","","Avere        ")</f>
        <v/>
      </c>
      <c r="DF310" s="259">
        <f ca="1">IF(AND(CX310=$DE$2,$DF$2&lt;&gt;0),0,IF(AND(DB310&lt;&gt;"",OR(DB309&lt;&gt;"",DB311&lt;&gt;"")),MAX($DF$2:DF309)+1,0))</f>
        <v>0</v>
      </c>
      <c r="DG310" s="259" t="str">
        <f>IF(IF(LIBRO_GIORNALE!E218="","",IFERROR(INDEX(PIANO_DEI_CONTI,MATCH(BB310,DENOMINAZIONE,0),1),0))=0,"",IF(LIBRO_GIORNALE!E218="","",IFERROR(INDEX(PIANO_DEI_CONTI,MATCH(BB310,DENOMINAZIONE,0),1),0)))</f>
        <v/>
      </c>
      <c r="EC310" s="259">
        <f>IF(IF(DG310&lt;&gt;"",REPLACE(DG310,3,1,""),0)&lt;&gt;0,MAX(EC$2:EC309)+1,0)</f>
        <v>0</v>
      </c>
      <c r="ED310" s="259">
        <f t="shared" ca="1" si="662"/>
        <v>0</v>
      </c>
      <c r="EL310" s="259">
        <f t="shared" si="670"/>
        <v>308</v>
      </c>
      <c r="EM310" s="259">
        <f ca="1">IF(AND(BA310&gt;0,BA310&lt;=$EM$1),MAX($EM$2:EM309)+1,0)</f>
        <v>0</v>
      </c>
      <c r="EN310" s="259">
        <f t="shared" ca="1" si="671"/>
        <v>310</v>
      </c>
      <c r="EP310" s="259" t="str">
        <f t="shared" ca="1" si="663"/>
        <v/>
      </c>
      <c r="EQ310" s="259">
        <f t="shared" ca="1" si="664"/>
        <v>0</v>
      </c>
      <c r="ER310" s="259">
        <f ca="1">IF(ISNA(EQ310),MAX(ER$2:ER309)+1,0)</f>
        <v>0</v>
      </c>
      <c r="ES310" s="259" t="str">
        <f t="shared" ca="1" si="672"/>
        <v/>
      </c>
      <c r="ET310" s="259" t="str">
        <f ca="1">IFERROR(UPPER(INDEX($ER$3:$ES$500,MATCH(ROWS(ET$3:ET310),$ER$3:$ER$500,0),2)),"")</f>
        <v/>
      </c>
      <c r="EW310" s="259">
        <f t="shared" ca="1" si="714"/>
        <v>1</v>
      </c>
      <c r="EX310" s="259">
        <v>208</v>
      </c>
      <c r="EY310" s="259">
        <f t="shared" ca="1" si="715"/>
        <v>0</v>
      </c>
      <c r="EZ310" s="259">
        <f t="shared" ca="1" si="716"/>
        <v>0</v>
      </c>
      <c r="FA310" s="259">
        <f t="shared" ca="1" si="717"/>
        <v>0</v>
      </c>
      <c r="FB310" s="259">
        <f t="shared" ca="1" si="718"/>
        <v>0</v>
      </c>
      <c r="FC310" s="259">
        <f t="shared" ca="1" si="719"/>
        <v>0</v>
      </c>
      <c r="FD310" s="259">
        <f t="shared" ca="1" si="665"/>
        <v>0</v>
      </c>
      <c r="FE310" s="259" t="str">
        <f t="shared" ca="1" si="666"/>
        <v/>
      </c>
      <c r="FF310" s="259" t="str">
        <f t="shared" ca="1" si="720"/>
        <v/>
      </c>
      <c r="FM310" s="259">
        <f t="shared" si="667"/>
        <v>0</v>
      </c>
      <c r="FN310" s="259">
        <f>IF(FM310&lt;0,MAX($FN$2:FN309)+1,0)</f>
        <v>0</v>
      </c>
      <c r="FO310" s="259" t="str">
        <f t="shared" si="673"/>
        <v/>
      </c>
      <c r="FP310" s="259" t="str">
        <f ca="1">IFERROR(INDEX($FN$3:$FO$400,MATCH(ROWS($FP$3:FP310),$FN$3:$FN$400,0),2),"")</f>
        <v/>
      </c>
      <c r="FQ310" s="259" t="str">
        <f>IF(AE310="SE AVERE",MAX($FQ$2:FQ309)+1,"")</f>
        <v/>
      </c>
      <c r="FR310" s="259" t="str">
        <f>IF(AE310="SE DARE",MAX($FR$2:FR309)+1,"")</f>
        <v/>
      </c>
      <c r="FS310" s="259" t="str">
        <f ca="1">IF(AND(AE310="SP DARE",AA310&lt;&gt;$FS$1,AA310&lt;&gt;$FT$1),MAX($FS$2:FS309)+1,IF(AND(GQ310="SP DARE",AA310&lt;&gt;$FS$1,AA310&lt;&gt;$FT$1),MAX($FS$2:FS309)+1,""))</f>
        <v/>
      </c>
      <c r="FT310" s="259" t="str">
        <f ca="1">IF(AND(AE310="SP AVERE",AA310&lt;&gt;$FU$1),MAX($FT$2:FT309)+1,IF(AND(GQ310="SP AVERE",AA310&lt;&gt;$FU$1),MAX($FT$2:FT309)+1,""))</f>
        <v/>
      </c>
      <c r="FU310" s="259">
        <f t="shared" ca="1" si="674"/>
        <v>0</v>
      </c>
      <c r="FV310" s="259">
        <f t="shared" si="675"/>
        <v>0</v>
      </c>
      <c r="FW310" s="259">
        <f ca="1">IFERROR(INDEX($FU$3:$FV$500,MATCH(ROWS($FW$3:FW310),$FU$3:$FU$500,0),2),0)</f>
        <v>0</v>
      </c>
      <c r="FX310" s="259">
        <f t="shared" ca="1" si="676"/>
        <v>0</v>
      </c>
      <c r="FY310" s="259">
        <f t="shared" ca="1" si="677"/>
        <v>0</v>
      </c>
      <c r="FZ310" s="259">
        <f ca="1">IF(FY310&gt;0,MAX($FZ$2:FZ309)+1,0)</f>
        <v>0</v>
      </c>
      <c r="GA310" s="259">
        <f ca="1">IFERROR(INDEX($FY$3:$FZ$500,MATCH(ROWS($GA$3:GA310),$FZ$3:$FZ$500,0),1),0)</f>
        <v>0</v>
      </c>
      <c r="GC310" s="259">
        <f t="shared" ca="1" si="678"/>
        <v>0</v>
      </c>
      <c r="GD310" s="259">
        <f t="shared" ca="1" si="679"/>
        <v>0</v>
      </c>
      <c r="GG310" s="259">
        <f t="shared" ca="1" si="680"/>
        <v>0</v>
      </c>
      <c r="GH310" s="259">
        <f t="shared" ca="1" si="681"/>
        <v>0</v>
      </c>
      <c r="GI310" s="259">
        <f t="shared" ca="1" si="682"/>
        <v>0</v>
      </c>
      <c r="GJ310" s="259">
        <f t="shared" ca="1" si="683"/>
        <v>0</v>
      </c>
      <c r="GK310" s="259">
        <f t="shared" ca="1" si="684"/>
        <v>0</v>
      </c>
      <c r="GL310" s="259">
        <f t="shared" ca="1" si="684"/>
        <v>0</v>
      </c>
      <c r="GM310" s="259">
        <f ca="1">IF(OR(GK310&gt;0,GL310&gt;0),MAX($GM$2:GM309)+1,0)</f>
        <v>0</v>
      </c>
      <c r="GN310" s="259" t="str">
        <f ca="1">IFERROR(INDEX($GD$3:$GM$400,MATCH(ROWS($GN$3:GN310),$GM$3:$GM$400,0),1),"")</f>
        <v/>
      </c>
      <c r="GO310" s="259" t="str">
        <f ca="1">IFERROR(INDEX($GD$3:$GM$400,MATCH(ROWS($GO$3:GO310),$GM$3:$GM$400,0),8),"")</f>
        <v/>
      </c>
      <c r="GP310" s="259" t="str">
        <f ca="1">IFERROR(INDEX($GD$3:$GM$400,MATCH(ROWS($GP$3:GP310),$GM$3:$GM$400,0),9),"")</f>
        <v/>
      </c>
      <c r="GQ310" s="259">
        <f t="shared" ca="1" si="668"/>
        <v>0</v>
      </c>
      <c r="GR310" s="259">
        <f t="shared" ca="1" si="685"/>
        <v>0</v>
      </c>
      <c r="GS310" s="259" t="str">
        <f t="shared" ca="1" si="686"/>
        <v/>
      </c>
      <c r="GT310" s="259" t="str">
        <f ca="1">IFERROR(INDEX($GD$3:$GS$400,MATCH(ROWS($GT$3:GT310),$GM$3:$GM$400,0),16),"")</f>
        <v/>
      </c>
      <c r="GU310" s="259">
        <f ca="1">IF(GQ310&lt;&gt;0,MAX($GU$2:$GU309)+1,0)</f>
        <v>0</v>
      </c>
      <c r="GV310" s="259">
        <f t="shared" ca="1" si="687"/>
        <v>0</v>
      </c>
      <c r="GW310" s="259" t="str">
        <f ca="1">IF(AND(IFERROR(INDEX($GU$3:$GV$400,MATCH(ROWS($GW$3:GW310),$GU$3:$GU$400,0),2),"")&lt;&gt;"",GW311&lt;&gt;""),CONCATENATE(IFERROR(INDEX($GU$3:$GV$400,MATCH(ROWS($GW$3:GW310),$GU$3:$GU$400,0),2),"")," - "),IFERROR(INDEX($GU$3:$GV$400,MATCH(ROWS($GW$3:GW310),$GU$3:$GU$400,0),2),""))</f>
        <v/>
      </c>
      <c r="GX310" s="259">
        <f ca="1">IF(OR(GN310="IVA NS/CREDITO",GN310="IVA NS/DEBITO",GN310="IVA C/ACCONTO",GN310="IMPOSTE C/ACCONTO"),MAX($GX$2:GX309)+1,0)</f>
        <v>0</v>
      </c>
      <c r="GY310" s="259" t="str">
        <f ca="1">IF(AND(IFERROR(INDEX($GN$3:$GX$200,MATCH(ROWS($GY$3:GY310),$GX$3:$GX$200,0),1),"")&lt;&gt;"",GY311&lt;&gt;""),CONCATENATE(IFERROR(INDEX($GN$3:$GX$200,MATCH(ROWS($GY$3:GY310),$GX$3:$GX$200,0),1),"")," - "),IFERROR(INDEX($GN$3:$GX$200,MATCH(ROWS($GY$3:GY310),$GX$3:$GX$200,0),1),""))</f>
        <v/>
      </c>
      <c r="JA310" s="259" t="str">
        <f t="shared" ca="1" si="688"/>
        <v/>
      </c>
      <c r="JB310" s="259">
        <f t="shared" ca="1" si="669"/>
        <v>0</v>
      </c>
      <c r="JC310" s="259">
        <f t="shared" ca="1" si="721"/>
        <v>0</v>
      </c>
      <c r="JD310" s="259">
        <f t="shared" ca="1" si="722"/>
        <v>0</v>
      </c>
      <c r="JM310" s="259">
        <f t="shared" ca="1" si="723"/>
        <v>0</v>
      </c>
    </row>
    <row r="311" spans="52:273">
      <c r="AZ311" s="259" t="str">
        <f t="shared" ca="1" si="689"/>
        <v/>
      </c>
      <c r="BA311" s="259">
        <f t="shared" ca="1" si="713"/>
        <v>0</v>
      </c>
      <c r="BB311" s="259">
        <f t="shared" ca="1" si="690"/>
        <v>0</v>
      </c>
      <c r="BC311" s="259">
        <f t="shared" ca="1" si="691"/>
        <v>0</v>
      </c>
      <c r="BD311" s="259">
        <f t="shared" ca="1" si="692"/>
        <v>0</v>
      </c>
      <c r="BE311" s="259">
        <f t="shared" ca="1" si="693"/>
        <v>0</v>
      </c>
      <c r="BQ311" s="259" t="str">
        <f ca="1">IFERROR(INDEX($BN$3:$BO$200,MATCH(ROWS(BQ$3:BQ311),$BP$3:$BP$220,0),1),"")</f>
        <v/>
      </c>
      <c r="CX311" s="259">
        <f t="shared" ca="1" si="726"/>
        <v>18</v>
      </c>
      <c r="CY311" s="259" t="str">
        <f t="shared" ca="1" si="724"/>
        <v>MASTRO</v>
      </c>
      <c r="CZ311" s="259" t="e">
        <f t="shared" ref="CZ311:CZ325" ca="1" si="728">SUM(MATCH($CY311,INDIRECT(ADDRESS(SUM(CZ310)+3,54)&amp;":"&amp;ADDRESS(400,54)),0),CZ310)</f>
        <v>#N/A</v>
      </c>
      <c r="DA311" s="259" t="str">
        <f ca="1">IFERROR(INDEX(LIBRO_GIORNALE,CZ311,1),"")</f>
        <v/>
      </c>
      <c r="DB311" s="259" t="str">
        <f t="shared" ref="DB311:DB325" ca="1" si="729">IF(RIGHT(TEXT(IFERROR(INDEX(LIBRO_GIORNALE,CZ311,2),""),"gg/mm/aa"),1)="a",TEXT(IFERROR(INDEX(LIBRO_GIORNALE,CZ311,2),""),"dd/mm/yy"),TEXT(IFERROR(INDEX(LIBRO_GIORNALE,CZ311,2),""),"gg/mm/aa"))</f>
        <v/>
      </c>
      <c r="DC311" s="259" t="str">
        <f t="shared" ref="DC311:DC325" ca="1" si="730">IF(IFERROR(INDEX(LIBRO_GIORNALE,CZ311,4),"")=0,"manca la descrizione dell'operazione",IFERROR(INDEX(LIBRO_GIORNALE,CZ311,4),""))</f>
        <v/>
      </c>
      <c r="DD311" s="259" t="str">
        <f t="shared" ref="DD311:DD325" ca="1" si="731">IFERROR(IF(INDEX(LIBRO_GIORNALE,CZ311,5)&gt;0,INDEX(LIBRO_GIORNALE,CZ311,5),""),"")</f>
        <v/>
      </c>
      <c r="DE311" s="259" t="str">
        <f t="shared" ref="DE311:DE325" ca="1" si="732">IFERROR(IF(INDEX(LIBRO_GIORNALE,CZ311,6)&gt;0,INDEX(LIBRO_GIORNALE,CZ311,6),""),"")</f>
        <v/>
      </c>
      <c r="DF311" s="259">
        <f ca="1">IF(AND(CX311=$DE$2,$DF$2&lt;&gt;0),0,IF(AND(DB311&lt;&gt;"",OR(DB310&lt;&gt;"",DB312&lt;&gt;"")),MAX($DF$2:DF310)+1,0))</f>
        <v>0</v>
      </c>
      <c r="DG311" s="259" t="str">
        <f>IF(IF(LIBRO_GIORNALE!E219="","",IFERROR(INDEX(PIANO_DEI_CONTI,MATCH(BB311,DENOMINAZIONE,0),1),0))=0,"",IF(LIBRO_GIORNALE!E219="","",IFERROR(INDEX(PIANO_DEI_CONTI,MATCH(BB311,DENOMINAZIONE,0),1),0)))</f>
        <v/>
      </c>
      <c r="EC311" s="259">
        <f>IF(IF(DG311&lt;&gt;"",REPLACE(DG311,3,1,""),0)&lt;&gt;0,MAX(EC$2:EC310)+1,0)</f>
        <v>0</v>
      </c>
      <c r="ED311" s="259">
        <f t="shared" ca="1" si="662"/>
        <v>0</v>
      </c>
      <c r="EL311" s="259">
        <f t="shared" si="670"/>
        <v>309</v>
      </c>
      <c r="EM311" s="259">
        <f ca="1">IF(AND(BA311&gt;0,BA311&lt;=$EM$1),MAX($EM$2:EM310)+1,0)</f>
        <v>0</v>
      </c>
      <c r="EN311" s="259">
        <f t="shared" ca="1" si="671"/>
        <v>311</v>
      </c>
      <c r="EP311" s="259" t="str">
        <f t="shared" ca="1" si="663"/>
        <v/>
      </c>
      <c r="EQ311" s="259">
        <f t="shared" ca="1" si="664"/>
        <v>0</v>
      </c>
      <c r="ER311" s="259">
        <f ca="1">IF(ISNA(EQ311),MAX(ER$2:ER310)+1,0)</f>
        <v>0</v>
      </c>
      <c r="ES311" s="259" t="str">
        <f t="shared" ca="1" si="672"/>
        <v/>
      </c>
      <c r="ET311" s="259" t="str">
        <f ca="1">IFERROR(UPPER(INDEX($ER$3:$ES$500,MATCH(ROWS(ET$3:ET311),$ER$3:$ER$500,0),2)),"")</f>
        <v/>
      </c>
      <c r="EW311" s="259">
        <f t="shared" ca="1" si="714"/>
        <v>1</v>
      </c>
      <c r="EX311" s="259">
        <v>209</v>
      </c>
      <c r="EY311" s="259">
        <f t="shared" ca="1" si="715"/>
        <v>0</v>
      </c>
      <c r="EZ311" s="259">
        <f t="shared" ca="1" si="716"/>
        <v>0</v>
      </c>
      <c r="FA311" s="259">
        <f t="shared" ca="1" si="717"/>
        <v>0</v>
      </c>
      <c r="FB311" s="259">
        <f t="shared" ca="1" si="718"/>
        <v>0</v>
      </c>
      <c r="FC311" s="259">
        <f t="shared" ca="1" si="719"/>
        <v>0</v>
      </c>
      <c r="FD311" s="259">
        <f t="shared" ca="1" si="665"/>
        <v>0</v>
      </c>
      <c r="FE311" s="259" t="str">
        <f t="shared" ca="1" si="666"/>
        <v/>
      </c>
      <c r="FF311" s="259" t="str">
        <f t="shared" ca="1" si="720"/>
        <v/>
      </c>
      <c r="FM311" s="259">
        <f t="shared" si="667"/>
        <v>0</v>
      </c>
      <c r="FN311" s="259">
        <f>IF(FM311&lt;0,MAX($FN$2:FN310)+1,0)</f>
        <v>0</v>
      </c>
      <c r="FO311" s="259" t="str">
        <f t="shared" si="673"/>
        <v/>
      </c>
      <c r="FP311" s="259" t="str">
        <f ca="1">IFERROR(INDEX($FN$3:$FO$400,MATCH(ROWS($FP$3:FP311),$FN$3:$FN$400,0),2),"")</f>
        <v/>
      </c>
      <c r="FQ311" s="259" t="str">
        <f>IF(AE311="SE AVERE",MAX($FQ$2:FQ310)+1,"")</f>
        <v/>
      </c>
      <c r="FR311" s="259" t="str">
        <f>IF(AE311="SE DARE",MAX($FR$2:FR310)+1,"")</f>
        <v/>
      </c>
      <c r="FS311" s="259" t="str">
        <f ca="1">IF(AND(AE311="SP DARE",AA311&lt;&gt;$FS$1,AA311&lt;&gt;$FT$1),MAX($FS$2:FS310)+1,IF(AND(GQ311="SP DARE",AA311&lt;&gt;$FS$1,AA311&lt;&gt;$FT$1),MAX($FS$2:FS310)+1,""))</f>
        <v/>
      </c>
      <c r="FT311" s="259" t="str">
        <f ca="1">IF(AND(AE311="SP AVERE",AA311&lt;&gt;$FU$1),MAX($FT$2:FT310)+1,IF(AND(GQ311="SP AVERE",AA311&lt;&gt;$FU$1),MAX($FT$2:FT310)+1,""))</f>
        <v/>
      </c>
      <c r="FU311" s="259">
        <f t="shared" ca="1" si="674"/>
        <v>0</v>
      </c>
      <c r="FV311" s="259">
        <f t="shared" si="675"/>
        <v>0</v>
      </c>
      <c r="FW311" s="259">
        <f ca="1">IFERROR(INDEX($FU$3:$FV$500,MATCH(ROWS($FW$3:FW311),$FU$3:$FU$500,0),2),0)</f>
        <v>0</v>
      </c>
      <c r="FX311" s="259">
        <f t="shared" ca="1" si="676"/>
        <v>0</v>
      </c>
      <c r="FY311" s="259">
        <f t="shared" ca="1" si="677"/>
        <v>0</v>
      </c>
      <c r="FZ311" s="259">
        <f ca="1">IF(FY311&gt;0,MAX($FZ$2:FZ310)+1,0)</f>
        <v>0</v>
      </c>
      <c r="GA311" s="259">
        <f ca="1">IFERROR(INDEX($FY$3:$FZ$500,MATCH(ROWS($GA$3:GA311),$FZ$3:$FZ$500,0),1),0)</f>
        <v>0</v>
      </c>
      <c r="GC311" s="259">
        <f t="shared" ca="1" si="678"/>
        <v>0</v>
      </c>
      <c r="GD311" s="259">
        <f t="shared" ca="1" si="679"/>
        <v>0</v>
      </c>
      <c r="GG311" s="259">
        <f t="shared" ca="1" si="680"/>
        <v>0</v>
      </c>
      <c r="GH311" s="259">
        <f t="shared" ca="1" si="681"/>
        <v>0</v>
      </c>
      <c r="GI311" s="259">
        <f t="shared" ca="1" si="682"/>
        <v>0</v>
      </c>
      <c r="GJ311" s="259">
        <f t="shared" ca="1" si="683"/>
        <v>0</v>
      </c>
      <c r="GK311" s="259">
        <f t="shared" ca="1" si="684"/>
        <v>0</v>
      </c>
      <c r="GL311" s="259">
        <f t="shared" ca="1" si="684"/>
        <v>0</v>
      </c>
      <c r="GM311" s="259">
        <f ca="1">IF(OR(GK311&gt;0,GL311&gt;0),MAX($GM$2:GM310)+1,0)</f>
        <v>0</v>
      </c>
      <c r="GN311" s="259" t="str">
        <f ca="1">IFERROR(INDEX($GD$3:$GM$400,MATCH(ROWS($GN$3:GN311),$GM$3:$GM$400,0),1),"")</f>
        <v/>
      </c>
      <c r="GO311" s="259" t="str">
        <f ca="1">IFERROR(INDEX($GD$3:$GM$400,MATCH(ROWS($GO$3:GO311),$GM$3:$GM$400,0),8),"")</f>
        <v/>
      </c>
      <c r="GP311" s="259" t="str">
        <f ca="1">IFERROR(INDEX($GD$3:$GM$400,MATCH(ROWS($GP$3:GP311),$GM$3:$GM$400,0),9),"")</f>
        <v/>
      </c>
      <c r="GQ311" s="259">
        <f t="shared" ca="1" si="668"/>
        <v>0</v>
      </c>
      <c r="GR311" s="259">
        <f t="shared" ca="1" si="685"/>
        <v>0</v>
      </c>
      <c r="GS311" s="259" t="str">
        <f t="shared" ca="1" si="686"/>
        <v/>
      </c>
      <c r="GT311" s="259" t="str">
        <f ca="1">IFERROR(INDEX($GD$3:$GS$400,MATCH(ROWS($GT$3:GT311),$GM$3:$GM$400,0),16),"")</f>
        <v/>
      </c>
      <c r="GU311" s="259">
        <f ca="1">IF(GQ311&lt;&gt;0,MAX($GU$2:$GU310)+1,0)</f>
        <v>0</v>
      </c>
      <c r="GV311" s="259">
        <f t="shared" ca="1" si="687"/>
        <v>0</v>
      </c>
      <c r="GW311" s="259" t="str">
        <f ca="1">IF(AND(IFERROR(INDEX($GU$3:$GV$400,MATCH(ROWS($GW$3:GW311),$GU$3:$GU$400,0),2),"")&lt;&gt;"",GW312&lt;&gt;""),CONCATENATE(IFERROR(INDEX($GU$3:$GV$400,MATCH(ROWS($GW$3:GW311),$GU$3:$GU$400,0),2),"")," - "),IFERROR(INDEX($GU$3:$GV$400,MATCH(ROWS($GW$3:GW311),$GU$3:$GU$400,0),2),""))</f>
        <v/>
      </c>
      <c r="GX311" s="259">
        <f ca="1">IF(OR(GN311="IVA NS/CREDITO",GN311="IVA NS/DEBITO",GN311="IVA C/ACCONTO",GN311="IMPOSTE C/ACCONTO"),MAX($GX$2:GX310)+1,0)</f>
        <v>0</v>
      </c>
      <c r="GY311" s="259" t="str">
        <f ca="1">IF(AND(IFERROR(INDEX($GN$3:$GX$200,MATCH(ROWS($GY$3:GY311),$GX$3:$GX$200,0),1),"")&lt;&gt;"",GY312&lt;&gt;""),CONCATENATE(IFERROR(INDEX($GN$3:$GX$200,MATCH(ROWS($GY$3:GY311),$GX$3:$GX$200,0),1),"")," - "),IFERROR(INDEX($GN$3:$GX$200,MATCH(ROWS($GY$3:GY311),$GX$3:$GX$200,0),1),""))</f>
        <v/>
      </c>
      <c r="JA311" s="259" t="str">
        <f t="shared" ca="1" si="688"/>
        <v/>
      </c>
      <c r="JB311" s="259">
        <f t="shared" ca="1" si="669"/>
        <v>0</v>
      </c>
      <c r="JC311" s="259">
        <f t="shared" ca="1" si="721"/>
        <v>0</v>
      </c>
      <c r="JD311" s="259">
        <f t="shared" ca="1" si="722"/>
        <v>0</v>
      </c>
      <c r="JM311" s="259">
        <f t="shared" ca="1" si="723"/>
        <v>0</v>
      </c>
    </row>
    <row r="312" spans="52:273">
      <c r="AZ312" s="259" t="str">
        <f t="shared" ca="1" si="689"/>
        <v/>
      </c>
      <c r="BA312" s="259">
        <f t="shared" ca="1" si="713"/>
        <v>0</v>
      </c>
      <c r="BB312" s="259">
        <f t="shared" ca="1" si="690"/>
        <v>0</v>
      </c>
      <c r="BC312" s="259">
        <f t="shared" ca="1" si="691"/>
        <v>0</v>
      </c>
      <c r="BD312" s="259">
        <f t="shared" ca="1" si="692"/>
        <v>0</v>
      </c>
      <c r="BE312" s="259">
        <f t="shared" ca="1" si="693"/>
        <v>0</v>
      </c>
      <c r="BQ312" s="259" t="str">
        <f ca="1">IFERROR(INDEX($BN$3:$BO$200,MATCH(ROWS(BQ$3:BQ312),$BP$3:$BP$220,0),1),"")</f>
        <v/>
      </c>
      <c r="CX312" s="259">
        <f t="shared" ca="1" si="726"/>
        <v>18</v>
      </c>
      <c r="CY312" s="259" t="str">
        <f t="shared" ca="1" si="724"/>
        <v>MASTRO</v>
      </c>
      <c r="CZ312" s="259" t="e">
        <f t="shared" ca="1" si="728"/>
        <v>#N/A</v>
      </c>
      <c r="DA312" s="259" t="str">
        <f t="shared" ref="DA312:DA325" ca="1" si="733">IFERROR(INDEX(LIBRO_GIORNALE,CZ312,1),"")</f>
        <v/>
      </c>
      <c r="DB312" s="259" t="str">
        <f t="shared" ca="1" si="729"/>
        <v/>
      </c>
      <c r="DC312" s="259" t="str">
        <f t="shared" ca="1" si="730"/>
        <v/>
      </c>
      <c r="DD312" s="259" t="str">
        <f t="shared" ca="1" si="731"/>
        <v/>
      </c>
      <c r="DE312" s="259" t="str">
        <f t="shared" ca="1" si="732"/>
        <v/>
      </c>
      <c r="DF312" s="259">
        <f ca="1">IF(AND(CX312=$DE$2,$DF$2&lt;&gt;0),0,IF(AND(DB312&lt;&gt;"",OR(DB311&lt;&gt;"",DB313&lt;&gt;"")),MAX($DF$2:DF311)+1,0))</f>
        <v>0</v>
      </c>
      <c r="DG312" s="259" t="str">
        <f>IF(IF(LIBRO_GIORNALE!E220="","",IFERROR(INDEX(PIANO_DEI_CONTI,MATCH(BB312,DENOMINAZIONE,0),1),0))=0,"",IF(LIBRO_GIORNALE!E220="","",IFERROR(INDEX(PIANO_DEI_CONTI,MATCH(BB312,DENOMINAZIONE,0),1),0)))</f>
        <v/>
      </c>
      <c r="EC312" s="259">
        <f>IF(IF(DG312&lt;&gt;"",REPLACE(DG312,3,1,""),0)&lt;&gt;0,MAX(EC$2:EC311)+1,0)</f>
        <v>0</v>
      </c>
      <c r="ED312" s="259">
        <f t="shared" ca="1" si="662"/>
        <v>0</v>
      </c>
      <c r="EL312" s="259">
        <f t="shared" si="670"/>
        <v>310</v>
      </c>
      <c r="EM312" s="259">
        <f ca="1">IF(AND(BA312&gt;0,BA312&lt;=$EM$1),MAX($EM$2:EM311)+1,0)</f>
        <v>0</v>
      </c>
      <c r="EN312" s="259">
        <f t="shared" ca="1" si="671"/>
        <v>312</v>
      </c>
      <c r="EP312" s="259" t="str">
        <f t="shared" ca="1" si="663"/>
        <v/>
      </c>
      <c r="EQ312" s="259">
        <f t="shared" ca="1" si="664"/>
        <v>0</v>
      </c>
      <c r="ER312" s="259">
        <f ca="1">IF(ISNA(EQ312),MAX(ER$2:ER311)+1,0)</f>
        <v>0</v>
      </c>
      <c r="ES312" s="259" t="str">
        <f t="shared" ca="1" si="672"/>
        <v/>
      </c>
      <c r="ET312" s="259" t="str">
        <f ca="1">IFERROR(UPPER(INDEX($ER$3:$ES$500,MATCH(ROWS(ET$3:ET312),$ER$3:$ER$500,0),2)),"")</f>
        <v/>
      </c>
      <c r="EW312" s="259">
        <f t="shared" ca="1" si="714"/>
        <v>1</v>
      </c>
      <c r="EX312" s="259">
        <v>210</v>
      </c>
      <c r="EY312" s="259">
        <f t="shared" ca="1" si="715"/>
        <v>0</v>
      </c>
      <c r="EZ312" s="259">
        <f t="shared" ca="1" si="716"/>
        <v>0</v>
      </c>
      <c r="FA312" s="259">
        <f t="shared" ca="1" si="717"/>
        <v>0</v>
      </c>
      <c r="FB312" s="259">
        <f t="shared" ca="1" si="718"/>
        <v>0</v>
      </c>
      <c r="FC312" s="259">
        <f t="shared" ca="1" si="719"/>
        <v>0</v>
      </c>
      <c r="FD312" s="259">
        <f t="shared" ca="1" si="665"/>
        <v>0</v>
      </c>
      <c r="FE312" s="259" t="str">
        <f t="shared" ca="1" si="666"/>
        <v/>
      </c>
      <c r="FF312" s="259" t="str">
        <f t="shared" ca="1" si="720"/>
        <v/>
      </c>
      <c r="FM312" s="259">
        <f t="shared" si="667"/>
        <v>0</v>
      </c>
      <c r="FN312" s="259">
        <f>IF(FM312&lt;0,MAX($FN$2:FN311)+1,0)</f>
        <v>0</v>
      </c>
      <c r="FO312" s="259" t="str">
        <f t="shared" si="673"/>
        <v/>
      </c>
      <c r="FP312" s="259" t="str">
        <f ca="1">IFERROR(INDEX($FN$3:$FO$400,MATCH(ROWS($FP$3:FP312),$FN$3:$FN$400,0),2),"")</f>
        <v/>
      </c>
      <c r="FQ312" s="259" t="str">
        <f>IF(AE312="SE AVERE",MAX($FQ$2:FQ311)+1,"")</f>
        <v/>
      </c>
      <c r="FR312" s="259" t="str">
        <f>IF(AE312="SE DARE",MAX($FR$2:FR311)+1,"")</f>
        <v/>
      </c>
      <c r="FS312" s="259" t="str">
        <f ca="1">IF(AND(AE312="SP DARE",AA312&lt;&gt;$FS$1,AA312&lt;&gt;$FT$1),MAX($FS$2:FS311)+1,IF(AND(GQ312="SP DARE",AA312&lt;&gt;$FS$1,AA312&lt;&gt;$FT$1),MAX($FS$2:FS311)+1,""))</f>
        <v/>
      </c>
      <c r="FT312" s="259" t="str">
        <f ca="1">IF(AND(AE312="SP AVERE",AA312&lt;&gt;$FU$1),MAX($FT$2:FT311)+1,IF(AND(GQ312="SP AVERE",AA312&lt;&gt;$FU$1),MAX($FT$2:FT311)+1,""))</f>
        <v/>
      </c>
      <c r="FU312" s="259">
        <f t="shared" ca="1" si="674"/>
        <v>0</v>
      </c>
      <c r="FV312" s="259">
        <f t="shared" si="675"/>
        <v>0</v>
      </c>
      <c r="FW312" s="259">
        <f ca="1">IFERROR(INDEX($FU$3:$FV$500,MATCH(ROWS($FW$3:FW312),$FU$3:$FU$500,0),2),0)</f>
        <v>0</v>
      </c>
      <c r="FX312" s="259">
        <f t="shared" ca="1" si="676"/>
        <v>0</v>
      </c>
      <c r="FY312" s="259">
        <f t="shared" ca="1" si="677"/>
        <v>0</v>
      </c>
      <c r="FZ312" s="259">
        <f ca="1">IF(FY312&gt;0,MAX($FZ$2:FZ311)+1,0)</f>
        <v>0</v>
      </c>
      <c r="GA312" s="259">
        <f ca="1">IFERROR(INDEX($FY$3:$FZ$500,MATCH(ROWS($GA$3:GA312),$FZ$3:$FZ$500,0),1),0)</f>
        <v>0</v>
      </c>
      <c r="GC312" s="259">
        <f t="shared" ca="1" si="678"/>
        <v>0</v>
      </c>
      <c r="GD312" s="259">
        <f t="shared" ca="1" si="679"/>
        <v>0</v>
      </c>
      <c r="GG312" s="259">
        <f t="shared" ca="1" si="680"/>
        <v>0</v>
      </c>
      <c r="GH312" s="259">
        <f t="shared" ca="1" si="681"/>
        <v>0</v>
      </c>
      <c r="GI312" s="259">
        <f t="shared" ca="1" si="682"/>
        <v>0</v>
      </c>
      <c r="GJ312" s="259">
        <f t="shared" ca="1" si="683"/>
        <v>0</v>
      </c>
      <c r="GK312" s="259">
        <f t="shared" ca="1" si="684"/>
        <v>0</v>
      </c>
      <c r="GL312" s="259">
        <f t="shared" ca="1" si="684"/>
        <v>0</v>
      </c>
      <c r="GM312" s="259">
        <f ca="1">IF(OR(GK312&gt;0,GL312&gt;0),MAX($GM$2:GM311)+1,0)</f>
        <v>0</v>
      </c>
      <c r="GN312" s="259" t="str">
        <f ca="1">IFERROR(INDEX($GD$3:$GM$400,MATCH(ROWS($GN$3:GN312),$GM$3:$GM$400,0),1),"")</f>
        <v/>
      </c>
      <c r="GO312" s="259" t="str">
        <f ca="1">IFERROR(INDEX($GD$3:$GM$400,MATCH(ROWS($GO$3:GO312),$GM$3:$GM$400,0),8),"")</f>
        <v/>
      </c>
      <c r="GP312" s="259" t="str">
        <f ca="1">IFERROR(INDEX($GD$3:$GM$400,MATCH(ROWS($GP$3:GP312),$GM$3:$GM$400,0),9),"")</f>
        <v/>
      </c>
      <c r="GQ312" s="259">
        <f t="shared" ca="1" si="668"/>
        <v>0</v>
      </c>
      <c r="GR312" s="259">
        <f t="shared" ca="1" si="685"/>
        <v>0</v>
      </c>
      <c r="GS312" s="259" t="str">
        <f t="shared" ca="1" si="686"/>
        <v/>
      </c>
      <c r="GT312" s="259" t="str">
        <f ca="1">IFERROR(INDEX($GD$3:$GS$400,MATCH(ROWS($GT$3:GT312),$GM$3:$GM$400,0),16),"")</f>
        <v/>
      </c>
      <c r="GU312" s="259">
        <f ca="1">IF(GQ312&lt;&gt;0,MAX($GU$2:$GU311)+1,0)</f>
        <v>0</v>
      </c>
      <c r="GV312" s="259">
        <f t="shared" ca="1" si="687"/>
        <v>0</v>
      </c>
      <c r="GW312" s="259" t="str">
        <f ca="1">IF(AND(IFERROR(INDEX($GU$3:$GV$400,MATCH(ROWS($GW$3:GW312),$GU$3:$GU$400,0),2),"")&lt;&gt;"",GW313&lt;&gt;""),CONCATENATE(IFERROR(INDEX($GU$3:$GV$400,MATCH(ROWS($GW$3:GW312),$GU$3:$GU$400,0),2),"")," - "),IFERROR(INDEX($GU$3:$GV$400,MATCH(ROWS($GW$3:GW312),$GU$3:$GU$400,0),2),""))</f>
        <v/>
      </c>
      <c r="GX312" s="259">
        <f ca="1">IF(OR(GN312="IVA NS/CREDITO",GN312="IVA NS/DEBITO",GN312="IVA C/ACCONTO",GN312="IMPOSTE C/ACCONTO"),MAX($GX$2:GX311)+1,0)</f>
        <v>0</v>
      </c>
      <c r="GY312" s="259" t="str">
        <f ca="1">IF(AND(IFERROR(INDEX($GN$3:$GX$200,MATCH(ROWS($GY$3:GY312),$GX$3:$GX$200,0),1),"")&lt;&gt;"",GY313&lt;&gt;""),CONCATENATE(IFERROR(INDEX($GN$3:$GX$200,MATCH(ROWS($GY$3:GY312),$GX$3:$GX$200,0),1),"")," - "),IFERROR(INDEX($GN$3:$GX$200,MATCH(ROWS($GY$3:GY312),$GX$3:$GX$200,0),1),""))</f>
        <v/>
      </c>
      <c r="JA312" s="259" t="str">
        <f t="shared" ca="1" si="688"/>
        <v/>
      </c>
      <c r="JB312" s="259">
        <f t="shared" ca="1" si="669"/>
        <v>0</v>
      </c>
      <c r="JC312" s="259">
        <f t="shared" ca="1" si="721"/>
        <v>0</v>
      </c>
      <c r="JD312" s="259">
        <f t="shared" ca="1" si="722"/>
        <v>0</v>
      </c>
      <c r="JM312" s="259">
        <f t="shared" ca="1" si="723"/>
        <v>0</v>
      </c>
    </row>
    <row r="313" spans="52:273">
      <c r="AZ313" s="259" t="str">
        <f t="shared" ca="1" si="689"/>
        <v/>
      </c>
      <c r="BA313" s="259">
        <f t="shared" ca="1" si="713"/>
        <v>0</v>
      </c>
      <c r="BB313" s="259">
        <f t="shared" ca="1" si="690"/>
        <v>0</v>
      </c>
      <c r="BC313" s="259">
        <f t="shared" ca="1" si="691"/>
        <v>0</v>
      </c>
      <c r="BD313" s="259">
        <f t="shared" ca="1" si="692"/>
        <v>0</v>
      </c>
      <c r="BE313" s="259">
        <f t="shared" ca="1" si="693"/>
        <v>0</v>
      </c>
      <c r="BQ313" s="259" t="str">
        <f ca="1">IFERROR(INDEX($BN$3:$BO$200,MATCH(ROWS(BQ$3:BQ313),$BP$3:$BP$220,0),1),"")</f>
        <v/>
      </c>
      <c r="CX313" s="259">
        <f t="shared" ca="1" si="726"/>
        <v>18</v>
      </c>
      <c r="CY313" s="259" t="str">
        <f t="shared" ca="1" si="724"/>
        <v>MASTRO</v>
      </c>
      <c r="CZ313" s="259" t="e">
        <f t="shared" ca="1" si="728"/>
        <v>#N/A</v>
      </c>
      <c r="DA313" s="259" t="str">
        <f t="shared" ca="1" si="733"/>
        <v/>
      </c>
      <c r="DB313" s="259" t="str">
        <f t="shared" ca="1" si="729"/>
        <v/>
      </c>
      <c r="DC313" s="259" t="str">
        <f t="shared" ca="1" si="730"/>
        <v/>
      </c>
      <c r="DD313" s="259" t="str">
        <f t="shared" ca="1" si="731"/>
        <v/>
      </c>
      <c r="DE313" s="259" t="str">
        <f t="shared" ca="1" si="732"/>
        <v/>
      </c>
      <c r="DF313" s="259">
        <f ca="1">IF(AND(CX313=$DE$2,$DF$2&lt;&gt;0),0,IF(AND(DB313&lt;&gt;"",OR(DB312&lt;&gt;"",DB314&lt;&gt;"")),MAX($DF$2:DF312)+1,0))</f>
        <v>0</v>
      </c>
      <c r="DG313" s="259" t="str">
        <f>IF(IF(LIBRO_GIORNALE!E221="","",IFERROR(INDEX(PIANO_DEI_CONTI,MATCH(BB313,DENOMINAZIONE,0),1),0))=0,"",IF(LIBRO_GIORNALE!E221="","",IFERROR(INDEX(PIANO_DEI_CONTI,MATCH(BB313,DENOMINAZIONE,0),1),0)))</f>
        <v/>
      </c>
      <c r="EC313" s="259">
        <f>IF(IF(DG313&lt;&gt;"",REPLACE(DG313,3,1,""),0)&lt;&gt;0,MAX(EC$2:EC312)+1,0)</f>
        <v>0</v>
      </c>
      <c r="ED313" s="259">
        <f t="shared" ca="1" si="662"/>
        <v>0</v>
      </c>
      <c r="EL313" s="259">
        <f t="shared" si="670"/>
        <v>311</v>
      </c>
      <c r="EM313" s="259">
        <f ca="1">IF(AND(BA313&gt;0,BA313&lt;=$EM$1),MAX($EM$2:EM312)+1,0)</f>
        <v>0</v>
      </c>
      <c r="EN313" s="259">
        <f t="shared" ca="1" si="671"/>
        <v>313</v>
      </c>
      <c r="EP313" s="259" t="str">
        <f t="shared" ca="1" si="663"/>
        <v/>
      </c>
      <c r="EQ313" s="259">
        <f t="shared" ca="1" si="664"/>
        <v>0</v>
      </c>
      <c r="ER313" s="259">
        <f ca="1">IF(ISNA(EQ313),MAX(ER$2:ER312)+1,0)</f>
        <v>0</v>
      </c>
      <c r="ES313" s="259" t="str">
        <f t="shared" ca="1" si="672"/>
        <v/>
      </c>
      <c r="ET313" s="259" t="str">
        <f ca="1">IFERROR(UPPER(INDEX($ER$3:$ES$500,MATCH(ROWS(ET$3:ET313),$ER$3:$ER$500,0),2)),"")</f>
        <v/>
      </c>
      <c r="EW313" s="259">
        <f t="shared" ca="1" si="714"/>
        <v>1</v>
      </c>
      <c r="EX313" s="259">
        <v>211</v>
      </c>
      <c r="EY313" s="259">
        <f t="shared" ca="1" si="715"/>
        <v>0</v>
      </c>
      <c r="EZ313" s="259">
        <f t="shared" ca="1" si="716"/>
        <v>0</v>
      </c>
      <c r="FA313" s="259">
        <f t="shared" ca="1" si="717"/>
        <v>0</v>
      </c>
      <c r="FB313" s="259">
        <f t="shared" ca="1" si="718"/>
        <v>0</v>
      </c>
      <c r="FC313" s="259">
        <f t="shared" ca="1" si="719"/>
        <v>0</v>
      </c>
      <c r="FD313" s="259">
        <f t="shared" ca="1" si="665"/>
        <v>0</v>
      </c>
      <c r="FE313" s="259" t="str">
        <f t="shared" ca="1" si="666"/>
        <v/>
      </c>
      <c r="FF313" s="259" t="str">
        <f t="shared" ca="1" si="720"/>
        <v/>
      </c>
      <c r="FM313" s="259">
        <f t="shared" si="667"/>
        <v>0</v>
      </c>
      <c r="FN313" s="259">
        <f>IF(FM313&lt;0,MAX($FN$2:FN312)+1,0)</f>
        <v>0</v>
      </c>
      <c r="FO313" s="259" t="str">
        <f t="shared" si="673"/>
        <v/>
      </c>
      <c r="FP313" s="259" t="str">
        <f ca="1">IFERROR(INDEX($FN$3:$FO$400,MATCH(ROWS($FP$3:FP313),$FN$3:$FN$400,0),2),"")</f>
        <v/>
      </c>
      <c r="FQ313" s="259" t="str">
        <f>IF(AE313="SE AVERE",MAX($FQ$2:FQ312)+1,"")</f>
        <v/>
      </c>
      <c r="FR313" s="259" t="str">
        <f>IF(AE313="SE DARE",MAX($FR$2:FR312)+1,"")</f>
        <v/>
      </c>
      <c r="FS313" s="259" t="str">
        <f ca="1">IF(AND(AE313="SP DARE",AA313&lt;&gt;$FS$1,AA313&lt;&gt;$FT$1),MAX($FS$2:FS312)+1,IF(AND(GQ313="SP DARE",AA313&lt;&gt;$FS$1,AA313&lt;&gt;$FT$1),MAX($FS$2:FS312)+1,""))</f>
        <v/>
      </c>
      <c r="FT313" s="259" t="str">
        <f ca="1">IF(AND(AE313="SP AVERE",AA313&lt;&gt;$FU$1),MAX($FT$2:FT312)+1,IF(AND(GQ313="SP AVERE",AA313&lt;&gt;$FU$1),MAX($FT$2:FT312)+1,""))</f>
        <v/>
      </c>
      <c r="FU313" s="259">
        <f t="shared" ca="1" si="674"/>
        <v>0</v>
      </c>
      <c r="FV313" s="259">
        <f t="shared" si="675"/>
        <v>0</v>
      </c>
      <c r="FW313" s="259">
        <f ca="1">IFERROR(INDEX($FU$3:$FV$500,MATCH(ROWS($FW$3:FW313),$FU$3:$FU$500,0),2),0)</f>
        <v>0</v>
      </c>
      <c r="FX313" s="259">
        <f t="shared" ca="1" si="676"/>
        <v>0</v>
      </c>
      <c r="FY313" s="259">
        <f t="shared" ca="1" si="677"/>
        <v>0</v>
      </c>
      <c r="FZ313" s="259">
        <f ca="1">IF(FY313&gt;0,MAX($FZ$2:FZ312)+1,0)</f>
        <v>0</v>
      </c>
      <c r="GA313" s="259">
        <f ca="1">IFERROR(INDEX($FY$3:$FZ$500,MATCH(ROWS($GA$3:GA313),$FZ$3:$FZ$500,0),1),0)</f>
        <v>0</v>
      </c>
      <c r="GC313" s="259">
        <f t="shared" ca="1" si="678"/>
        <v>0</v>
      </c>
      <c r="GD313" s="259">
        <f t="shared" ca="1" si="679"/>
        <v>0</v>
      </c>
      <c r="GG313" s="259">
        <f t="shared" ca="1" si="680"/>
        <v>0</v>
      </c>
      <c r="GH313" s="259">
        <f t="shared" ca="1" si="681"/>
        <v>0</v>
      </c>
      <c r="GI313" s="259">
        <f t="shared" ca="1" si="682"/>
        <v>0</v>
      </c>
      <c r="GJ313" s="259">
        <f t="shared" ca="1" si="683"/>
        <v>0</v>
      </c>
      <c r="GK313" s="259">
        <f t="shared" ca="1" si="684"/>
        <v>0</v>
      </c>
      <c r="GL313" s="259">
        <f t="shared" ca="1" si="684"/>
        <v>0</v>
      </c>
      <c r="GM313" s="259">
        <f ca="1">IF(OR(GK313&gt;0,GL313&gt;0),MAX($GM$2:GM312)+1,0)</f>
        <v>0</v>
      </c>
      <c r="GN313" s="259" t="str">
        <f ca="1">IFERROR(INDEX($GD$3:$GM$400,MATCH(ROWS($GN$3:GN313),$GM$3:$GM$400,0),1),"")</f>
        <v/>
      </c>
      <c r="GO313" s="259" t="str">
        <f ca="1">IFERROR(INDEX($GD$3:$GM$400,MATCH(ROWS($GO$3:GO313),$GM$3:$GM$400,0),8),"")</f>
        <v/>
      </c>
      <c r="GP313" s="259" t="str">
        <f ca="1">IFERROR(INDEX($GD$3:$GM$400,MATCH(ROWS($GP$3:GP313),$GM$3:$GM$400,0),9),"")</f>
        <v/>
      </c>
      <c r="GQ313" s="259">
        <f t="shared" ca="1" si="668"/>
        <v>0</v>
      </c>
      <c r="GR313" s="259">
        <f t="shared" ca="1" si="685"/>
        <v>0</v>
      </c>
      <c r="GS313" s="259" t="str">
        <f t="shared" ca="1" si="686"/>
        <v/>
      </c>
      <c r="GT313" s="259" t="str">
        <f ca="1">IFERROR(INDEX($GD$3:$GS$400,MATCH(ROWS($GT$3:GT313),$GM$3:$GM$400,0),16),"")</f>
        <v/>
      </c>
      <c r="GU313" s="259">
        <f ca="1">IF(GQ313&lt;&gt;0,MAX($GU$2:$GU312)+1,0)</f>
        <v>0</v>
      </c>
      <c r="GV313" s="259">
        <f t="shared" ca="1" si="687"/>
        <v>0</v>
      </c>
      <c r="GW313" s="259" t="str">
        <f ca="1">IF(AND(IFERROR(INDEX($GU$3:$GV$400,MATCH(ROWS($GW$3:GW313),$GU$3:$GU$400,0),2),"")&lt;&gt;"",GW314&lt;&gt;""),CONCATENATE(IFERROR(INDEX($GU$3:$GV$400,MATCH(ROWS($GW$3:GW313),$GU$3:$GU$400,0),2),"")," - "),IFERROR(INDEX($GU$3:$GV$400,MATCH(ROWS($GW$3:GW313),$GU$3:$GU$400,0),2),""))</f>
        <v/>
      </c>
      <c r="GX313" s="259">
        <f ca="1">IF(OR(GN313="IVA NS/CREDITO",GN313="IVA NS/DEBITO",GN313="IVA C/ACCONTO",GN313="IMPOSTE C/ACCONTO"),MAX($GX$2:GX312)+1,0)</f>
        <v>0</v>
      </c>
      <c r="GY313" s="259" t="str">
        <f ca="1">IF(AND(IFERROR(INDEX($GN$3:$GX$200,MATCH(ROWS($GY$3:GY313),$GX$3:$GX$200,0),1),"")&lt;&gt;"",GY314&lt;&gt;""),CONCATENATE(IFERROR(INDEX($GN$3:$GX$200,MATCH(ROWS($GY$3:GY313),$GX$3:$GX$200,0),1),"")," - "),IFERROR(INDEX($GN$3:$GX$200,MATCH(ROWS($GY$3:GY313),$GX$3:$GX$200,0),1),""))</f>
        <v/>
      </c>
      <c r="JA313" s="259" t="str">
        <f t="shared" ca="1" si="688"/>
        <v/>
      </c>
      <c r="JB313" s="259">
        <f t="shared" ca="1" si="669"/>
        <v>0</v>
      </c>
      <c r="JC313" s="259">
        <f t="shared" ca="1" si="721"/>
        <v>0</v>
      </c>
      <c r="JD313" s="259">
        <f t="shared" ca="1" si="722"/>
        <v>0</v>
      </c>
      <c r="JM313" s="259">
        <f t="shared" ca="1" si="723"/>
        <v>0</v>
      </c>
    </row>
    <row r="314" spans="52:273">
      <c r="AZ314" s="259" t="str">
        <f t="shared" ca="1" si="689"/>
        <v/>
      </c>
      <c r="BA314" s="259">
        <f t="shared" ca="1" si="713"/>
        <v>0</v>
      </c>
      <c r="BB314" s="259">
        <f t="shared" ca="1" si="690"/>
        <v>0</v>
      </c>
      <c r="BC314" s="259">
        <f t="shared" ca="1" si="691"/>
        <v>0</v>
      </c>
      <c r="BD314" s="259">
        <f t="shared" ca="1" si="692"/>
        <v>0</v>
      </c>
      <c r="BE314" s="259">
        <f t="shared" ca="1" si="693"/>
        <v>0</v>
      </c>
      <c r="BQ314" s="259" t="str">
        <f ca="1">IFERROR(INDEX($BN$3:$BO$200,MATCH(ROWS(BQ$3:BQ314),$BP$3:$BP$220,0),1),"")</f>
        <v/>
      </c>
      <c r="CX314" s="259">
        <f t="shared" ca="1" si="726"/>
        <v>18</v>
      </c>
      <c r="CY314" s="259" t="str">
        <f t="shared" ca="1" si="724"/>
        <v>MASTRO</v>
      </c>
      <c r="CZ314" s="259" t="e">
        <f t="shared" ca="1" si="728"/>
        <v>#N/A</v>
      </c>
      <c r="DA314" s="259" t="str">
        <f t="shared" ca="1" si="733"/>
        <v/>
      </c>
      <c r="DB314" s="259" t="str">
        <f t="shared" ca="1" si="729"/>
        <v/>
      </c>
      <c r="DC314" s="259" t="str">
        <f t="shared" ca="1" si="730"/>
        <v/>
      </c>
      <c r="DD314" s="259" t="str">
        <f t="shared" ca="1" si="731"/>
        <v/>
      </c>
      <c r="DE314" s="259" t="str">
        <f t="shared" ca="1" si="732"/>
        <v/>
      </c>
      <c r="DF314" s="259">
        <f ca="1">IF(AND(CX314=$DE$2,$DF$2&lt;&gt;0),0,IF(AND(DB314&lt;&gt;"",OR(DB313&lt;&gt;"",DB315&lt;&gt;"")),MAX($DF$2:DF313)+1,0))</f>
        <v>0</v>
      </c>
      <c r="DG314" s="259" t="str">
        <f>IF(IF(LIBRO_GIORNALE!E222="","",IFERROR(INDEX(PIANO_DEI_CONTI,MATCH(BB314,DENOMINAZIONE,0),1),0))=0,"",IF(LIBRO_GIORNALE!E222="","",IFERROR(INDEX(PIANO_DEI_CONTI,MATCH(BB314,DENOMINAZIONE,0),1),0)))</f>
        <v/>
      </c>
      <c r="EC314" s="259">
        <f>IF(IF(DG314&lt;&gt;"",REPLACE(DG314,3,1,""),0)&lt;&gt;0,MAX(EC$2:EC313)+1,0)</f>
        <v>0</v>
      </c>
      <c r="ED314" s="259">
        <f t="shared" ca="1" si="662"/>
        <v>0</v>
      </c>
      <c r="EL314" s="259">
        <f t="shared" si="670"/>
        <v>312</v>
      </c>
      <c r="EM314" s="259">
        <f ca="1">IF(AND(BA314&gt;0,BA314&lt;=$EM$1),MAX($EM$2:EM313)+1,0)</f>
        <v>0</v>
      </c>
      <c r="EN314" s="259">
        <f t="shared" ca="1" si="671"/>
        <v>314</v>
      </c>
      <c r="EP314" s="259" t="str">
        <f t="shared" ca="1" si="663"/>
        <v/>
      </c>
      <c r="EQ314" s="259">
        <f t="shared" ca="1" si="664"/>
        <v>0</v>
      </c>
      <c r="ER314" s="259">
        <f ca="1">IF(ISNA(EQ314),MAX(ER$2:ER313)+1,0)</f>
        <v>0</v>
      </c>
      <c r="ES314" s="259" t="str">
        <f t="shared" ca="1" si="672"/>
        <v/>
      </c>
      <c r="ET314" s="259" t="str">
        <f ca="1">IFERROR(UPPER(INDEX($ER$3:$ES$500,MATCH(ROWS(ET$3:ET314),$ER$3:$ER$500,0),2)),"")</f>
        <v/>
      </c>
      <c r="EW314" s="259">
        <f t="shared" ca="1" si="714"/>
        <v>1</v>
      </c>
      <c r="EX314" s="259">
        <v>212</v>
      </c>
      <c r="EY314" s="259">
        <f t="shared" ca="1" si="715"/>
        <v>0</v>
      </c>
      <c r="EZ314" s="259">
        <f t="shared" ca="1" si="716"/>
        <v>0</v>
      </c>
      <c r="FA314" s="259">
        <f t="shared" ca="1" si="717"/>
        <v>0</v>
      </c>
      <c r="FB314" s="259">
        <f t="shared" ca="1" si="718"/>
        <v>0</v>
      </c>
      <c r="FC314" s="259">
        <f t="shared" ca="1" si="719"/>
        <v>0</v>
      </c>
      <c r="FD314" s="259">
        <f t="shared" ca="1" si="665"/>
        <v>0</v>
      </c>
      <c r="FE314" s="259" t="str">
        <f t="shared" ca="1" si="666"/>
        <v/>
      </c>
      <c r="FF314" s="259" t="str">
        <f t="shared" ca="1" si="720"/>
        <v/>
      </c>
      <c r="FM314" s="259">
        <f t="shared" si="667"/>
        <v>0</v>
      </c>
      <c r="FN314" s="259">
        <f>IF(FM314&lt;0,MAX($FN$2:FN313)+1,0)</f>
        <v>0</v>
      </c>
      <c r="FO314" s="259" t="str">
        <f t="shared" si="673"/>
        <v/>
      </c>
      <c r="FP314" s="259" t="str">
        <f ca="1">IFERROR(INDEX($FN$3:$FO$400,MATCH(ROWS($FP$3:FP314),$FN$3:$FN$400,0),2),"")</f>
        <v/>
      </c>
      <c r="FQ314" s="259" t="str">
        <f>IF(AE314="SE AVERE",MAX($FQ$2:FQ313)+1,"")</f>
        <v/>
      </c>
      <c r="FR314" s="259" t="str">
        <f>IF(AE314="SE DARE",MAX($FR$2:FR313)+1,"")</f>
        <v/>
      </c>
      <c r="FS314" s="259" t="str">
        <f ca="1">IF(AND(AE314="SP DARE",AA314&lt;&gt;$FS$1,AA314&lt;&gt;$FT$1),MAX($FS$2:FS313)+1,IF(AND(GQ314="SP DARE",AA314&lt;&gt;$FS$1,AA314&lt;&gt;$FT$1),MAX($FS$2:FS313)+1,""))</f>
        <v/>
      </c>
      <c r="FT314" s="259" t="str">
        <f ca="1">IF(AND(AE314="SP AVERE",AA314&lt;&gt;$FU$1),MAX($FT$2:FT313)+1,IF(AND(GQ314="SP AVERE",AA314&lt;&gt;$FU$1),MAX($FT$2:FT313)+1,""))</f>
        <v/>
      </c>
      <c r="FU314" s="259">
        <f t="shared" ca="1" si="674"/>
        <v>0</v>
      </c>
      <c r="FV314" s="259">
        <f t="shared" si="675"/>
        <v>0</v>
      </c>
      <c r="FW314" s="259">
        <f ca="1">IFERROR(INDEX($FU$3:$FV$500,MATCH(ROWS($FW$3:FW314),$FU$3:$FU$500,0),2),0)</f>
        <v>0</v>
      </c>
      <c r="FX314" s="259">
        <f t="shared" ca="1" si="676"/>
        <v>0</v>
      </c>
      <c r="FY314" s="259">
        <f t="shared" ca="1" si="677"/>
        <v>0</v>
      </c>
      <c r="FZ314" s="259">
        <f ca="1">IF(FY314&gt;0,MAX($FZ$2:FZ313)+1,0)</f>
        <v>0</v>
      </c>
      <c r="GA314" s="259">
        <f ca="1">IFERROR(INDEX($FY$3:$FZ$500,MATCH(ROWS($GA$3:GA314),$FZ$3:$FZ$500,0),1),0)</f>
        <v>0</v>
      </c>
      <c r="GC314" s="259">
        <f t="shared" ca="1" si="678"/>
        <v>0</v>
      </c>
      <c r="GD314" s="259">
        <f t="shared" ca="1" si="679"/>
        <v>0</v>
      </c>
      <c r="GG314" s="259">
        <f t="shared" ca="1" si="680"/>
        <v>0</v>
      </c>
      <c r="GH314" s="259">
        <f t="shared" ca="1" si="681"/>
        <v>0</v>
      </c>
      <c r="GI314" s="259">
        <f t="shared" ca="1" si="682"/>
        <v>0</v>
      </c>
      <c r="GJ314" s="259">
        <f t="shared" ca="1" si="683"/>
        <v>0</v>
      </c>
      <c r="GK314" s="259">
        <f t="shared" ca="1" si="684"/>
        <v>0</v>
      </c>
      <c r="GL314" s="259">
        <f t="shared" ca="1" si="684"/>
        <v>0</v>
      </c>
      <c r="GM314" s="259">
        <f ca="1">IF(OR(GK314&gt;0,GL314&gt;0),MAX($GM$2:GM313)+1,0)</f>
        <v>0</v>
      </c>
      <c r="GN314" s="259" t="str">
        <f ca="1">IFERROR(INDEX($GD$3:$GM$400,MATCH(ROWS($GN$3:GN314),$GM$3:$GM$400,0),1),"")</f>
        <v/>
      </c>
      <c r="GO314" s="259" t="str">
        <f ca="1">IFERROR(INDEX($GD$3:$GM$400,MATCH(ROWS($GO$3:GO314),$GM$3:$GM$400,0),8),"")</f>
        <v/>
      </c>
      <c r="GP314" s="259" t="str">
        <f ca="1">IFERROR(INDEX($GD$3:$GM$400,MATCH(ROWS($GP$3:GP314),$GM$3:$GM$400,0),9),"")</f>
        <v/>
      </c>
      <c r="GQ314" s="259">
        <f t="shared" ca="1" si="668"/>
        <v>0</v>
      </c>
      <c r="GR314" s="259">
        <f t="shared" ca="1" si="685"/>
        <v>0</v>
      </c>
      <c r="GS314" s="259" t="str">
        <f t="shared" ca="1" si="686"/>
        <v/>
      </c>
      <c r="GT314" s="259" t="str">
        <f ca="1">IFERROR(INDEX($GD$3:$GS$400,MATCH(ROWS($GT$3:GT314),$GM$3:$GM$400,0),16),"")</f>
        <v/>
      </c>
      <c r="GU314" s="259">
        <f ca="1">IF(GQ314&lt;&gt;0,MAX($GU$2:$GU313)+1,0)</f>
        <v>0</v>
      </c>
      <c r="GV314" s="259">
        <f t="shared" ca="1" si="687"/>
        <v>0</v>
      </c>
      <c r="GW314" s="259" t="str">
        <f ca="1">IF(AND(IFERROR(INDEX($GU$3:$GV$400,MATCH(ROWS($GW$3:GW314),$GU$3:$GU$400,0),2),"")&lt;&gt;"",GW315&lt;&gt;""),CONCATENATE(IFERROR(INDEX($GU$3:$GV$400,MATCH(ROWS($GW$3:GW314),$GU$3:$GU$400,0),2),"")," - "),IFERROR(INDEX($GU$3:$GV$400,MATCH(ROWS($GW$3:GW314),$GU$3:$GU$400,0),2),""))</f>
        <v/>
      </c>
      <c r="GX314" s="259">
        <f ca="1">IF(OR(GN314="IVA NS/CREDITO",GN314="IVA NS/DEBITO",GN314="IVA C/ACCONTO",GN314="IMPOSTE C/ACCONTO"),MAX($GX$2:GX313)+1,0)</f>
        <v>0</v>
      </c>
      <c r="GY314" s="259" t="str">
        <f ca="1">IF(AND(IFERROR(INDEX($GN$3:$GX$200,MATCH(ROWS($GY$3:GY314),$GX$3:$GX$200,0),1),"")&lt;&gt;"",GY315&lt;&gt;""),CONCATENATE(IFERROR(INDEX($GN$3:$GX$200,MATCH(ROWS($GY$3:GY314),$GX$3:$GX$200,0),1),"")," - "),IFERROR(INDEX($GN$3:$GX$200,MATCH(ROWS($GY$3:GY314),$GX$3:$GX$200,0),1),""))</f>
        <v/>
      </c>
      <c r="JA314" s="259" t="str">
        <f t="shared" ca="1" si="688"/>
        <v/>
      </c>
      <c r="JB314" s="259">
        <f t="shared" ca="1" si="669"/>
        <v>0</v>
      </c>
      <c r="JC314" s="259">
        <f t="shared" ca="1" si="721"/>
        <v>0</v>
      </c>
      <c r="JD314" s="259">
        <f t="shared" ca="1" si="722"/>
        <v>0</v>
      </c>
      <c r="JM314" s="259">
        <f t="shared" ca="1" si="723"/>
        <v>0</v>
      </c>
    </row>
    <row r="315" spans="52:273">
      <c r="AZ315" s="259" t="str">
        <f t="shared" ca="1" si="689"/>
        <v/>
      </c>
      <c r="BA315" s="259">
        <f t="shared" ca="1" si="713"/>
        <v>0</v>
      </c>
      <c r="BB315" s="259">
        <f t="shared" ca="1" si="690"/>
        <v>0</v>
      </c>
      <c r="BC315" s="259">
        <f t="shared" ca="1" si="691"/>
        <v>0</v>
      </c>
      <c r="BD315" s="259">
        <f t="shared" ca="1" si="692"/>
        <v>0</v>
      </c>
      <c r="BE315" s="259">
        <f t="shared" ca="1" si="693"/>
        <v>0</v>
      </c>
      <c r="BQ315" s="259" t="str">
        <f ca="1">IFERROR(INDEX($BN$3:$BO$200,MATCH(ROWS(BQ$3:BQ315),$BP$3:$BP$220,0),1),"")</f>
        <v/>
      </c>
      <c r="CX315" s="259">
        <f t="shared" ca="1" si="726"/>
        <v>18</v>
      </c>
      <c r="CY315" s="259" t="str">
        <f t="shared" ca="1" si="724"/>
        <v>MASTRO</v>
      </c>
      <c r="CZ315" s="259" t="e">
        <f t="shared" ca="1" si="728"/>
        <v>#N/A</v>
      </c>
      <c r="DA315" s="259" t="str">
        <f t="shared" ca="1" si="733"/>
        <v/>
      </c>
      <c r="DB315" s="259" t="str">
        <f t="shared" ca="1" si="729"/>
        <v/>
      </c>
      <c r="DC315" s="259" t="str">
        <f t="shared" ca="1" si="730"/>
        <v/>
      </c>
      <c r="DD315" s="259" t="str">
        <f t="shared" ca="1" si="731"/>
        <v/>
      </c>
      <c r="DE315" s="259" t="str">
        <f t="shared" ca="1" si="732"/>
        <v/>
      </c>
      <c r="DF315" s="259">
        <f ca="1">IF(AND(CX315=$DE$2,$DF$2&lt;&gt;0),0,IF(AND(DB315&lt;&gt;"",OR(DB314&lt;&gt;"",DB316&lt;&gt;"")),MAX($DF$2:DF314)+1,0))</f>
        <v>0</v>
      </c>
      <c r="DG315" s="259" t="str">
        <f>IF(IF(LIBRO_GIORNALE!E223="","",IFERROR(INDEX(PIANO_DEI_CONTI,MATCH(BB315,DENOMINAZIONE,0),1),0))=0,"",IF(LIBRO_GIORNALE!E223="","",IFERROR(INDEX(PIANO_DEI_CONTI,MATCH(BB315,DENOMINAZIONE,0),1),0)))</f>
        <v/>
      </c>
      <c r="EC315" s="259">
        <f>IF(IF(DG315&lt;&gt;"",REPLACE(DG315,3,1,""),0)&lt;&gt;0,MAX(EC$2:EC314)+1,0)</f>
        <v>0</v>
      </c>
      <c r="ED315" s="259">
        <f t="shared" ca="1" si="662"/>
        <v>0</v>
      </c>
      <c r="EL315" s="259">
        <f t="shared" si="670"/>
        <v>313</v>
      </c>
      <c r="EM315" s="259">
        <f ca="1">IF(AND(BA315&gt;0,BA315&lt;=$EM$1),MAX($EM$2:EM314)+1,0)</f>
        <v>0</v>
      </c>
      <c r="EN315" s="259">
        <f t="shared" ca="1" si="671"/>
        <v>315</v>
      </c>
      <c r="EP315" s="259" t="str">
        <f t="shared" ca="1" si="663"/>
        <v/>
      </c>
      <c r="EQ315" s="259">
        <f t="shared" ca="1" si="664"/>
        <v>0</v>
      </c>
      <c r="ER315" s="259">
        <f ca="1">IF(ISNA(EQ315),MAX(ER$2:ER314)+1,0)</f>
        <v>0</v>
      </c>
      <c r="ES315" s="259" t="str">
        <f t="shared" ca="1" si="672"/>
        <v/>
      </c>
      <c r="ET315" s="259" t="str">
        <f ca="1">IFERROR(UPPER(INDEX($ER$3:$ES$500,MATCH(ROWS(ET$3:ET315),$ER$3:$ER$500,0),2)),"")</f>
        <v/>
      </c>
      <c r="EW315" s="259">
        <f t="shared" ca="1" si="714"/>
        <v>1</v>
      </c>
      <c r="EX315" s="259">
        <v>213</v>
      </c>
      <c r="EY315" s="259">
        <f t="shared" ca="1" si="715"/>
        <v>0</v>
      </c>
      <c r="EZ315" s="259">
        <f t="shared" ca="1" si="716"/>
        <v>0</v>
      </c>
      <c r="FA315" s="259">
        <f t="shared" ca="1" si="717"/>
        <v>0</v>
      </c>
      <c r="FB315" s="259">
        <f t="shared" ca="1" si="718"/>
        <v>0</v>
      </c>
      <c r="FC315" s="259">
        <f t="shared" ca="1" si="719"/>
        <v>0</v>
      </c>
      <c r="FD315" s="259">
        <f t="shared" ca="1" si="665"/>
        <v>0</v>
      </c>
      <c r="FE315" s="259" t="str">
        <f t="shared" ca="1" si="666"/>
        <v/>
      </c>
      <c r="FF315" s="259" t="str">
        <f t="shared" ca="1" si="720"/>
        <v/>
      </c>
      <c r="FM315" s="259">
        <f t="shared" si="667"/>
        <v>0</v>
      </c>
      <c r="FN315" s="259">
        <f>IF(FM315&lt;0,MAX($FN$2:FN314)+1,0)</f>
        <v>0</v>
      </c>
      <c r="FO315" s="259" t="str">
        <f t="shared" si="673"/>
        <v/>
      </c>
      <c r="FP315" s="259" t="str">
        <f ca="1">IFERROR(INDEX($FN$3:$FO$400,MATCH(ROWS($FP$3:FP315),$FN$3:$FN$400,0),2),"")</f>
        <v/>
      </c>
      <c r="FQ315" s="259" t="str">
        <f>IF(AE315="SE AVERE",MAX($FQ$2:FQ314)+1,"")</f>
        <v/>
      </c>
      <c r="FR315" s="259" t="str">
        <f>IF(AE315="SE DARE",MAX($FR$2:FR314)+1,"")</f>
        <v/>
      </c>
      <c r="FS315" s="259" t="str">
        <f ca="1">IF(AND(AE315="SP DARE",AA315&lt;&gt;$FS$1,AA315&lt;&gt;$FT$1),MAX($FS$2:FS314)+1,IF(AND(GQ315="SP DARE",AA315&lt;&gt;$FS$1,AA315&lt;&gt;$FT$1),MAX($FS$2:FS314)+1,""))</f>
        <v/>
      </c>
      <c r="FT315" s="259" t="str">
        <f ca="1">IF(AND(AE315="SP AVERE",AA315&lt;&gt;$FU$1),MAX($FT$2:FT314)+1,IF(AND(GQ315="SP AVERE",AA315&lt;&gt;$FU$1),MAX($FT$2:FT314)+1,""))</f>
        <v/>
      </c>
      <c r="FU315" s="259">
        <f t="shared" ca="1" si="674"/>
        <v>0</v>
      </c>
      <c r="FV315" s="259">
        <f t="shared" si="675"/>
        <v>0</v>
      </c>
      <c r="FW315" s="259">
        <f ca="1">IFERROR(INDEX($FU$3:$FV$500,MATCH(ROWS($FW$3:FW315),$FU$3:$FU$500,0),2),0)</f>
        <v>0</v>
      </c>
      <c r="FX315" s="259">
        <f t="shared" ca="1" si="676"/>
        <v>0</v>
      </c>
      <c r="FY315" s="259">
        <f t="shared" ca="1" si="677"/>
        <v>0</v>
      </c>
      <c r="FZ315" s="259">
        <f ca="1">IF(FY315&gt;0,MAX($FZ$2:FZ314)+1,0)</f>
        <v>0</v>
      </c>
      <c r="GA315" s="259">
        <f ca="1">IFERROR(INDEX($FY$3:$FZ$500,MATCH(ROWS($GA$3:GA315),$FZ$3:$FZ$500,0),1),0)</f>
        <v>0</v>
      </c>
      <c r="GC315" s="259">
        <f t="shared" ca="1" si="678"/>
        <v>0</v>
      </c>
      <c r="GD315" s="259">
        <f t="shared" ca="1" si="679"/>
        <v>0</v>
      </c>
      <c r="GG315" s="259">
        <f t="shared" ca="1" si="680"/>
        <v>0</v>
      </c>
      <c r="GH315" s="259">
        <f t="shared" ca="1" si="681"/>
        <v>0</v>
      </c>
      <c r="GI315" s="259">
        <f t="shared" ca="1" si="682"/>
        <v>0</v>
      </c>
      <c r="GJ315" s="259">
        <f t="shared" ca="1" si="683"/>
        <v>0</v>
      </c>
      <c r="GK315" s="259">
        <f t="shared" ca="1" si="684"/>
        <v>0</v>
      </c>
      <c r="GL315" s="259">
        <f t="shared" ca="1" si="684"/>
        <v>0</v>
      </c>
      <c r="GM315" s="259">
        <f ca="1">IF(OR(GK315&gt;0,GL315&gt;0),MAX($GM$2:GM314)+1,0)</f>
        <v>0</v>
      </c>
      <c r="GN315" s="259" t="str">
        <f ca="1">IFERROR(INDEX($GD$3:$GM$400,MATCH(ROWS($GN$3:GN315),$GM$3:$GM$400,0),1),"")</f>
        <v/>
      </c>
      <c r="GO315" s="259" t="str">
        <f ca="1">IFERROR(INDEX($GD$3:$GM$400,MATCH(ROWS($GO$3:GO315),$GM$3:$GM$400,0),8),"")</f>
        <v/>
      </c>
      <c r="GP315" s="259" t="str">
        <f ca="1">IFERROR(INDEX($GD$3:$GM$400,MATCH(ROWS($GP$3:GP315),$GM$3:$GM$400,0),9),"")</f>
        <v/>
      </c>
      <c r="GQ315" s="259">
        <f t="shared" ca="1" si="668"/>
        <v>0</v>
      </c>
      <c r="GR315" s="259">
        <f t="shared" ca="1" si="685"/>
        <v>0</v>
      </c>
      <c r="GS315" s="259" t="str">
        <f t="shared" ca="1" si="686"/>
        <v/>
      </c>
      <c r="GT315" s="259" t="str">
        <f ca="1">IFERROR(INDEX($GD$3:$GS$400,MATCH(ROWS($GT$3:GT315),$GM$3:$GM$400,0),16),"")</f>
        <v/>
      </c>
      <c r="GU315" s="259">
        <f ca="1">IF(GQ315&lt;&gt;0,MAX($GU$2:$GU314)+1,0)</f>
        <v>0</v>
      </c>
      <c r="GV315" s="259">
        <f t="shared" ca="1" si="687"/>
        <v>0</v>
      </c>
      <c r="GW315" s="259" t="str">
        <f ca="1">IF(AND(IFERROR(INDEX($GU$3:$GV$400,MATCH(ROWS($GW$3:GW315),$GU$3:$GU$400,0),2),"")&lt;&gt;"",GW316&lt;&gt;""),CONCATENATE(IFERROR(INDEX($GU$3:$GV$400,MATCH(ROWS($GW$3:GW315),$GU$3:$GU$400,0),2),"")," - "),IFERROR(INDEX($GU$3:$GV$400,MATCH(ROWS($GW$3:GW315),$GU$3:$GU$400,0),2),""))</f>
        <v/>
      </c>
      <c r="GX315" s="259">
        <f ca="1">IF(OR(GN315="IVA NS/CREDITO",GN315="IVA NS/DEBITO",GN315="IVA C/ACCONTO",GN315="IMPOSTE C/ACCONTO"),MAX($GX$2:GX314)+1,0)</f>
        <v>0</v>
      </c>
      <c r="GY315" s="259" t="str">
        <f ca="1">IF(AND(IFERROR(INDEX($GN$3:$GX$200,MATCH(ROWS($GY$3:GY315),$GX$3:$GX$200,0),1),"")&lt;&gt;"",GY316&lt;&gt;""),CONCATENATE(IFERROR(INDEX($GN$3:$GX$200,MATCH(ROWS($GY$3:GY315),$GX$3:$GX$200,0),1),"")," - "),IFERROR(INDEX($GN$3:$GX$200,MATCH(ROWS($GY$3:GY315),$GX$3:$GX$200,0),1),""))</f>
        <v/>
      </c>
      <c r="JA315" s="259" t="str">
        <f t="shared" ca="1" si="688"/>
        <v/>
      </c>
      <c r="JB315" s="259">
        <f t="shared" ca="1" si="669"/>
        <v>0</v>
      </c>
      <c r="JC315" s="259">
        <f t="shared" ca="1" si="721"/>
        <v>0</v>
      </c>
      <c r="JD315" s="259">
        <f t="shared" ca="1" si="722"/>
        <v>0</v>
      </c>
      <c r="JM315" s="259">
        <f t="shared" ca="1" si="723"/>
        <v>0</v>
      </c>
    </row>
    <row r="316" spans="52:273">
      <c r="AZ316" s="259" t="str">
        <f t="shared" ca="1" si="689"/>
        <v/>
      </c>
      <c r="BA316" s="259">
        <f t="shared" ca="1" si="713"/>
        <v>0</v>
      </c>
      <c r="BB316" s="259">
        <f t="shared" ca="1" si="690"/>
        <v>0</v>
      </c>
      <c r="BC316" s="259">
        <f t="shared" ca="1" si="691"/>
        <v>0</v>
      </c>
      <c r="BD316" s="259">
        <f t="shared" ca="1" si="692"/>
        <v>0</v>
      </c>
      <c r="BE316" s="259">
        <f t="shared" ca="1" si="693"/>
        <v>0</v>
      </c>
      <c r="BQ316" s="259" t="str">
        <f ca="1">IFERROR(INDEX($BN$3:$BO$200,MATCH(ROWS(BQ$3:BQ316),$BP$3:$BP$220,0),1),"")</f>
        <v/>
      </c>
      <c r="CX316" s="259">
        <f t="shared" ca="1" si="726"/>
        <v>18</v>
      </c>
      <c r="CY316" s="259" t="str">
        <f t="shared" ca="1" si="724"/>
        <v>MASTRO</v>
      </c>
      <c r="CZ316" s="259" t="e">
        <f t="shared" ca="1" si="728"/>
        <v>#N/A</v>
      </c>
      <c r="DA316" s="259" t="str">
        <f t="shared" ca="1" si="733"/>
        <v/>
      </c>
      <c r="DB316" s="259" t="str">
        <f t="shared" ca="1" si="729"/>
        <v/>
      </c>
      <c r="DC316" s="259" t="str">
        <f t="shared" ca="1" si="730"/>
        <v/>
      </c>
      <c r="DD316" s="259" t="str">
        <f t="shared" ca="1" si="731"/>
        <v/>
      </c>
      <c r="DE316" s="259" t="str">
        <f t="shared" ca="1" si="732"/>
        <v/>
      </c>
      <c r="DF316" s="259">
        <f ca="1">IF(AND(CX316=$DE$2,$DF$2&lt;&gt;0),0,IF(AND(DB316&lt;&gt;"",OR(DB315&lt;&gt;"",DB317&lt;&gt;"")),MAX($DF$2:DF315)+1,0))</f>
        <v>0</v>
      </c>
      <c r="DG316" s="259" t="str">
        <f>IF(IF(LIBRO_GIORNALE!E224="","",IFERROR(INDEX(PIANO_DEI_CONTI,MATCH(BB316,DENOMINAZIONE,0),1),0))=0,"",IF(LIBRO_GIORNALE!E224="","",IFERROR(INDEX(PIANO_DEI_CONTI,MATCH(BB316,DENOMINAZIONE,0),1),0)))</f>
        <v/>
      </c>
      <c r="EC316" s="259">
        <f>IF(IF(DG316&lt;&gt;"",REPLACE(DG316,3,1,""),0)&lt;&gt;0,MAX(EC$2:EC315)+1,0)</f>
        <v>0</v>
      </c>
      <c r="ED316" s="259">
        <f t="shared" ca="1" si="662"/>
        <v>0</v>
      </c>
      <c r="EL316" s="259">
        <f t="shared" si="670"/>
        <v>314</v>
      </c>
      <c r="EM316" s="259">
        <f ca="1">IF(AND(BA316&gt;0,BA316&lt;=$EM$1),MAX($EM$2:EM315)+1,0)</f>
        <v>0</v>
      </c>
      <c r="EN316" s="259">
        <f t="shared" ca="1" si="671"/>
        <v>316</v>
      </c>
      <c r="EP316" s="259" t="str">
        <f t="shared" ca="1" si="663"/>
        <v/>
      </c>
      <c r="EQ316" s="259">
        <f t="shared" ca="1" si="664"/>
        <v>0</v>
      </c>
      <c r="ER316" s="259">
        <f ca="1">IF(ISNA(EQ316),MAX(ER$2:ER315)+1,0)</f>
        <v>0</v>
      </c>
      <c r="ES316" s="259" t="str">
        <f t="shared" ca="1" si="672"/>
        <v/>
      </c>
      <c r="ET316" s="259" t="str">
        <f ca="1">IFERROR(UPPER(INDEX($ER$3:$ES$500,MATCH(ROWS(ET$3:ET316),$ER$3:$ER$500,0),2)),"")</f>
        <v/>
      </c>
      <c r="EW316" s="259">
        <f t="shared" ca="1" si="714"/>
        <v>1</v>
      </c>
      <c r="EX316" s="259">
        <v>214</v>
      </c>
      <c r="EY316" s="259">
        <f t="shared" ca="1" si="715"/>
        <v>0</v>
      </c>
      <c r="EZ316" s="259">
        <f t="shared" ca="1" si="716"/>
        <v>0</v>
      </c>
      <c r="FA316" s="259">
        <f t="shared" ca="1" si="717"/>
        <v>0</v>
      </c>
      <c r="FB316" s="259">
        <f t="shared" ca="1" si="718"/>
        <v>0</v>
      </c>
      <c r="FC316" s="259">
        <f t="shared" ca="1" si="719"/>
        <v>0</v>
      </c>
      <c r="FD316" s="259">
        <f t="shared" ca="1" si="665"/>
        <v>0</v>
      </c>
      <c r="FE316" s="259" t="str">
        <f t="shared" ca="1" si="666"/>
        <v/>
      </c>
      <c r="FF316" s="259" t="str">
        <f t="shared" ca="1" si="720"/>
        <v/>
      </c>
      <c r="FM316" s="259">
        <f t="shared" si="667"/>
        <v>0</v>
      </c>
      <c r="FN316" s="259">
        <f>IF(FM316&lt;0,MAX($FN$2:FN315)+1,0)</f>
        <v>0</v>
      </c>
      <c r="FO316" s="259" t="str">
        <f t="shared" si="673"/>
        <v/>
      </c>
      <c r="FP316" s="259" t="str">
        <f ca="1">IFERROR(INDEX($FN$3:$FO$400,MATCH(ROWS($FP$3:FP316),$FN$3:$FN$400,0),2),"")</f>
        <v/>
      </c>
      <c r="FQ316" s="259" t="str">
        <f>IF(AE316="SE AVERE",MAX($FQ$2:FQ315)+1,"")</f>
        <v/>
      </c>
      <c r="FR316" s="259" t="str">
        <f>IF(AE316="SE DARE",MAX($FR$2:FR315)+1,"")</f>
        <v/>
      </c>
      <c r="FS316" s="259" t="str">
        <f ca="1">IF(AND(AE316="SP DARE",AA316&lt;&gt;$FS$1,AA316&lt;&gt;$FT$1),MAX($FS$2:FS315)+1,IF(AND(GQ316="SP DARE",AA316&lt;&gt;$FS$1,AA316&lt;&gt;$FT$1),MAX($FS$2:FS315)+1,""))</f>
        <v/>
      </c>
      <c r="FT316" s="259" t="str">
        <f ca="1">IF(AND(AE316="SP AVERE",AA316&lt;&gt;$FU$1),MAX($FT$2:FT315)+1,IF(AND(GQ316="SP AVERE",AA316&lt;&gt;$FU$1),MAX($FT$2:FT315)+1,""))</f>
        <v/>
      </c>
      <c r="FU316" s="259">
        <f t="shared" ca="1" si="674"/>
        <v>0</v>
      </c>
      <c r="FV316" s="259">
        <f t="shared" si="675"/>
        <v>0</v>
      </c>
      <c r="FW316" s="259">
        <f ca="1">IFERROR(INDEX($FU$3:$FV$500,MATCH(ROWS($FW$3:FW316),$FU$3:$FU$500,0),2),0)</f>
        <v>0</v>
      </c>
      <c r="FX316" s="259">
        <f t="shared" ca="1" si="676"/>
        <v>0</v>
      </c>
      <c r="FY316" s="259">
        <f t="shared" ca="1" si="677"/>
        <v>0</v>
      </c>
      <c r="FZ316" s="259">
        <f ca="1">IF(FY316&gt;0,MAX($FZ$2:FZ315)+1,0)</f>
        <v>0</v>
      </c>
      <c r="GA316" s="259">
        <f ca="1">IFERROR(INDEX($FY$3:$FZ$500,MATCH(ROWS($GA$3:GA316),$FZ$3:$FZ$500,0),1),0)</f>
        <v>0</v>
      </c>
      <c r="GC316" s="259">
        <f t="shared" ca="1" si="678"/>
        <v>0</v>
      </c>
      <c r="GD316" s="259">
        <f t="shared" ca="1" si="679"/>
        <v>0</v>
      </c>
      <c r="GG316" s="259">
        <f t="shared" ca="1" si="680"/>
        <v>0</v>
      </c>
      <c r="GH316" s="259">
        <f t="shared" ca="1" si="681"/>
        <v>0</v>
      </c>
      <c r="GI316" s="259">
        <f t="shared" ca="1" si="682"/>
        <v>0</v>
      </c>
      <c r="GJ316" s="259">
        <f t="shared" ca="1" si="683"/>
        <v>0</v>
      </c>
      <c r="GK316" s="259">
        <f t="shared" ca="1" si="684"/>
        <v>0</v>
      </c>
      <c r="GL316" s="259">
        <f t="shared" ca="1" si="684"/>
        <v>0</v>
      </c>
      <c r="GM316" s="259">
        <f ca="1">IF(OR(GK316&gt;0,GL316&gt;0),MAX($GM$2:GM315)+1,0)</f>
        <v>0</v>
      </c>
      <c r="GN316" s="259" t="str">
        <f ca="1">IFERROR(INDEX($GD$3:$GM$400,MATCH(ROWS($GN$3:GN316),$GM$3:$GM$400,0),1),"")</f>
        <v/>
      </c>
      <c r="GO316" s="259" t="str">
        <f ca="1">IFERROR(INDEX($GD$3:$GM$400,MATCH(ROWS($GO$3:GO316),$GM$3:$GM$400,0),8),"")</f>
        <v/>
      </c>
      <c r="GP316" s="259" t="str">
        <f ca="1">IFERROR(INDEX($GD$3:$GM$400,MATCH(ROWS($GP$3:GP316),$GM$3:$GM$400,0),9),"")</f>
        <v/>
      </c>
      <c r="GQ316" s="259">
        <f t="shared" ca="1" si="668"/>
        <v>0</v>
      </c>
      <c r="GR316" s="259">
        <f t="shared" ca="1" si="685"/>
        <v>0</v>
      </c>
      <c r="GS316" s="259" t="str">
        <f t="shared" ca="1" si="686"/>
        <v/>
      </c>
      <c r="GT316" s="259" t="str">
        <f ca="1">IFERROR(INDEX($GD$3:$GS$400,MATCH(ROWS($GT$3:GT316),$GM$3:$GM$400,0),16),"")</f>
        <v/>
      </c>
      <c r="GU316" s="259">
        <f ca="1">IF(GQ316&lt;&gt;0,MAX($GU$2:$GU315)+1,0)</f>
        <v>0</v>
      </c>
      <c r="GV316" s="259">
        <f t="shared" ca="1" si="687"/>
        <v>0</v>
      </c>
      <c r="GW316" s="259" t="str">
        <f ca="1">IF(AND(IFERROR(INDEX($GU$3:$GV$400,MATCH(ROWS($GW$3:GW316),$GU$3:$GU$400,0),2),"")&lt;&gt;"",GW317&lt;&gt;""),CONCATENATE(IFERROR(INDEX($GU$3:$GV$400,MATCH(ROWS($GW$3:GW316),$GU$3:$GU$400,0),2),"")," - "),IFERROR(INDEX($GU$3:$GV$400,MATCH(ROWS($GW$3:GW316),$GU$3:$GU$400,0),2),""))</f>
        <v/>
      </c>
      <c r="GX316" s="259">
        <f ca="1">IF(OR(GN316="IVA NS/CREDITO",GN316="IVA NS/DEBITO",GN316="IVA C/ACCONTO",GN316="IMPOSTE C/ACCONTO"),MAX($GX$2:GX315)+1,0)</f>
        <v>0</v>
      </c>
      <c r="GY316" s="259" t="str">
        <f ca="1">IF(AND(IFERROR(INDEX($GN$3:$GX$200,MATCH(ROWS($GY$3:GY316),$GX$3:$GX$200,0),1),"")&lt;&gt;"",GY317&lt;&gt;""),CONCATENATE(IFERROR(INDEX($GN$3:$GX$200,MATCH(ROWS($GY$3:GY316),$GX$3:$GX$200,0),1),"")," - "),IFERROR(INDEX($GN$3:$GX$200,MATCH(ROWS($GY$3:GY316),$GX$3:$GX$200,0),1),""))</f>
        <v/>
      </c>
      <c r="JA316" s="259" t="str">
        <f t="shared" ca="1" si="688"/>
        <v/>
      </c>
      <c r="JB316" s="259">
        <f t="shared" ca="1" si="669"/>
        <v>0</v>
      </c>
      <c r="JC316" s="259">
        <f t="shared" ca="1" si="721"/>
        <v>0</v>
      </c>
      <c r="JD316" s="259">
        <f t="shared" ca="1" si="722"/>
        <v>0</v>
      </c>
      <c r="JM316" s="259">
        <f t="shared" ca="1" si="723"/>
        <v>0</v>
      </c>
    </row>
    <row r="317" spans="52:273">
      <c r="AZ317" s="259" t="str">
        <f t="shared" ca="1" si="689"/>
        <v/>
      </c>
      <c r="BA317" s="259">
        <f t="shared" ca="1" si="713"/>
        <v>0</v>
      </c>
      <c r="BB317" s="259">
        <f t="shared" ca="1" si="690"/>
        <v>0</v>
      </c>
      <c r="BC317" s="259">
        <f t="shared" ca="1" si="691"/>
        <v>0</v>
      </c>
      <c r="BD317" s="259">
        <f t="shared" ca="1" si="692"/>
        <v>0</v>
      </c>
      <c r="BE317" s="259">
        <f t="shared" ca="1" si="693"/>
        <v>0</v>
      </c>
      <c r="BQ317" s="259" t="str">
        <f ca="1">IFERROR(INDEX($BN$3:$BO$200,MATCH(ROWS(BQ$3:BQ317),$BP$3:$BP$220,0),1),"")</f>
        <v/>
      </c>
      <c r="CX317" s="259">
        <f t="shared" ca="1" si="726"/>
        <v>18</v>
      </c>
      <c r="CY317" s="259" t="str">
        <f t="shared" ca="1" si="724"/>
        <v>MASTRO</v>
      </c>
      <c r="CZ317" s="259" t="e">
        <f t="shared" ca="1" si="728"/>
        <v>#N/A</v>
      </c>
      <c r="DA317" s="259" t="str">
        <f t="shared" ca="1" si="733"/>
        <v/>
      </c>
      <c r="DB317" s="259" t="str">
        <f t="shared" ca="1" si="729"/>
        <v/>
      </c>
      <c r="DC317" s="259" t="str">
        <f t="shared" ca="1" si="730"/>
        <v/>
      </c>
      <c r="DD317" s="259" t="str">
        <f t="shared" ca="1" si="731"/>
        <v/>
      </c>
      <c r="DE317" s="259" t="str">
        <f t="shared" ca="1" si="732"/>
        <v/>
      </c>
      <c r="DF317" s="259">
        <f ca="1">IF(AND(CX317=$DE$2,$DF$2&lt;&gt;0),0,IF(AND(DB317&lt;&gt;"",OR(DB316&lt;&gt;"",DB318&lt;&gt;"")),MAX($DF$2:DF316)+1,0))</f>
        <v>0</v>
      </c>
      <c r="DG317" s="259" t="str">
        <f>IF(IF(LIBRO_GIORNALE!E225="","",IFERROR(INDEX(PIANO_DEI_CONTI,MATCH(BB317,DENOMINAZIONE,0),1),0))=0,"",IF(LIBRO_GIORNALE!E225="","",IFERROR(INDEX(PIANO_DEI_CONTI,MATCH(BB317,DENOMINAZIONE,0),1),0)))</f>
        <v/>
      </c>
      <c r="EC317" s="259">
        <f>IF(IF(DG317&lt;&gt;"",REPLACE(DG317,3,1,""),0)&lt;&gt;0,MAX(EC$2:EC316)+1,0)</f>
        <v>0</v>
      </c>
      <c r="ED317" s="259">
        <f t="shared" ca="1" si="662"/>
        <v>0</v>
      </c>
      <c r="EL317" s="259">
        <f t="shared" si="670"/>
        <v>315</v>
      </c>
      <c r="EM317" s="259">
        <f ca="1">IF(AND(BA317&gt;0,BA317&lt;=$EM$1),MAX($EM$2:EM316)+1,0)</f>
        <v>0</v>
      </c>
      <c r="EN317" s="259">
        <f t="shared" ca="1" si="671"/>
        <v>317</v>
      </c>
      <c r="EP317" s="259" t="str">
        <f t="shared" ca="1" si="663"/>
        <v/>
      </c>
      <c r="EQ317" s="259">
        <f t="shared" ca="1" si="664"/>
        <v>0</v>
      </c>
      <c r="ER317" s="259">
        <f ca="1">IF(ISNA(EQ317),MAX(ER$2:ER316)+1,0)</f>
        <v>0</v>
      </c>
      <c r="ES317" s="259" t="str">
        <f t="shared" ca="1" si="672"/>
        <v/>
      </c>
      <c r="ET317" s="259" t="str">
        <f ca="1">IFERROR(UPPER(INDEX($ER$3:$ES$500,MATCH(ROWS(ET$3:ET317),$ER$3:$ER$500,0),2)),"")</f>
        <v/>
      </c>
      <c r="EW317" s="259">
        <f t="shared" ca="1" si="714"/>
        <v>1</v>
      </c>
      <c r="EX317" s="259">
        <v>215</v>
      </c>
      <c r="EY317" s="259">
        <f t="shared" ca="1" si="715"/>
        <v>0</v>
      </c>
      <c r="EZ317" s="259">
        <f t="shared" ca="1" si="716"/>
        <v>0</v>
      </c>
      <c r="FA317" s="259">
        <f t="shared" ca="1" si="717"/>
        <v>0</v>
      </c>
      <c r="FB317" s="259">
        <f t="shared" ca="1" si="718"/>
        <v>0</v>
      </c>
      <c r="FC317" s="259">
        <f t="shared" ca="1" si="719"/>
        <v>0</v>
      </c>
      <c r="FD317" s="259">
        <f t="shared" ca="1" si="665"/>
        <v>0</v>
      </c>
      <c r="FE317" s="259" t="str">
        <f t="shared" ca="1" si="666"/>
        <v/>
      </c>
      <c r="FF317" s="259" t="str">
        <f t="shared" ca="1" si="720"/>
        <v/>
      </c>
      <c r="FM317" s="259">
        <f t="shared" si="667"/>
        <v>0</v>
      </c>
      <c r="FN317" s="259">
        <f>IF(FM317&lt;0,MAX($FN$2:FN316)+1,0)</f>
        <v>0</v>
      </c>
      <c r="FO317" s="259" t="str">
        <f t="shared" si="673"/>
        <v/>
      </c>
      <c r="FP317" s="259" t="str">
        <f ca="1">IFERROR(INDEX($FN$3:$FO$400,MATCH(ROWS($FP$3:FP317),$FN$3:$FN$400,0),2),"")</f>
        <v/>
      </c>
      <c r="FQ317" s="259" t="str">
        <f>IF(AE317="SE AVERE",MAX($FQ$2:FQ316)+1,"")</f>
        <v/>
      </c>
      <c r="FR317" s="259" t="str">
        <f>IF(AE317="SE DARE",MAX($FR$2:FR316)+1,"")</f>
        <v/>
      </c>
      <c r="FS317" s="259" t="str">
        <f ca="1">IF(AND(AE317="SP DARE",AA317&lt;&gt;$FS$1,AA317&lt;&gt;$FT$1),MAX($FS$2:FS316)+1,IF(AND(GQ317="SP DARE",AA317&lt;&gt;$FS$1,AA317&lt;&gt;$FT$1),MAX($FS$2:FS316)+1,""))</f>
        <v/>
      </c>
      <c r="FT317" s="259" t="str">
        <f ca="1">IF(AND(AE317="SP AVERE",AA317&lt;&gt;$FU$1),MAX($FT$2:FT316)+1,IF(AND(GQ317="SP AVERE",AA317&lt;&gt;$FU$1),MAX($FT$2:FT316)+1,""))</f>
        <v/>
      </c>
      <c r="FU317" s="259">
        <f t="shared" ca="1" si="674"/>
        <v>0</v>
      </c>
      <c r="FV317" s="259">
        <f t="shared" si="675"/>
        <v>0</v>
      </c>
      <c r="FW317" s="259">
        <f ca="1">IFERROR(INDEX($FU$3:$FV$500,MATCH(ROWS($FW$3:FW317),$FU$3:$FU$500,0),2),0)</f>
        <v>0</v>
      </c>
      <c r="FX317" s="259">
        <f t="shared" ca="1" si="676"/>
        <v>0</v>
      </c>
      <c r="FY317" s="259">
        <f t="shared" ca="1" si="677"/>
        <v>0</v>
      </c>
      <c r="FZ317" s="259">
        <f ca="1">IF(FY317&gt;0,MAX($FZ$2:FZ316)+1,0)</f>
        <v>0</v>
      </c>
      <c r="GA317" s="259">
        <f ca="1">IFERROR(INDEX($FY$3:$FZ$500,MATCH(ROWS($GA$3:GA317),$FZ$3:$FZ$500,0),1),0)</f>
        <v>0</v>
      </c>
      <c r="GC317" s="259">
        <f t="shared" ca="1" si="678"/>
        <v>0</v>
      </c>
      <c r="GD317" s="259">
        <f t="shared" ca="1" si="679"/>
        <v>0</v>
      </c>
      <c r="GG317" s="259">
        <f t="shared" ca="1" si="680"/>
        <v>0</v>
      </c>
      <c r="GH317" s="259">
        <f t="shared" ca="1" si="681"/>
        <v>0</v>
      </c>
      <c r="GI317" s="259">
        <f t="shared" ca="1" si="682"/>
        <v>0</v>
      </c>
      <c r="GJ317" s="259">
        <f t="shared" ca="1" si="683"/>
        <v>0</v>
      </c>
      <c r="GK317" s="259">
        <f t="shared" ca="1" si="684"/>
        <v>0</v>
      </c>
      <c r="GL317" s="259">
        <f t="shared" ca="1" si="684"/>
        <v>0</v>
      </c>
      <c r="GM317" s="259">
        <f ca="1">IF(OR(GK317&gt;0,GL317&gt;0),MAX($GM$2:GM316)+1,0)</f>
        <v>0</v>
      </c>
      <c r="GN317" s="259" t="str">
        <f ca="1">IFERROR(INDEX($GD$3:$GM$400,MATCH(ROWS($GN$3:GN317),$GM$3:$GM$400,0),1),"")</f>
        <v/>
      </c>
      <c r="GO317" s="259" t="str">
        <f ca="1">IFERROR(INDEX($GD$3:$GM$400,MATCH(ROWS($GO$3:GO317),$GM$3:$GM$400,0),8),"")</f>
        <v/>
      </c>
      <c r="GP317" s="259" t="str">
        <f ca="1">IFERROR(INDEX($GD$3:$GM$400,MATCH(ROWS($GP$3:GP317),$GM$3:$GM$400,0),9),"")</f>
        <v/>
      </c>
      <c r="GQ317" s="259">
        <f t="shared" ca="1" si="668"/>
        <v>0</v>
      </c>
      <c r="GR317" s="259">
        <f t="shared" ca="1" si="685"/>
        <v>0</v>
      </c>
      <c r="GS317" s="259" t="str">
        <f t="shared" ca="1" si="686"/>
        <v/>
      </c>
      <c r="GT317" s="259" t="str">
        <f ca="1">IFERROR(INDEX($GD$3:$GS$400,MATCH(ROWS($GT$3:GT317),$GM$3:$GM$400,0),16),"")</f>
        <v/>
      </c>
      <c r="GU317" s="259">
        <f ca="1">IF(GQ317&lt;&gt;0,MAX($GU$2:$GU316)+1,0)</f>
        <v>0</v>
      </c>
      <c r="GV317" s="259">
        <f t="shared" ca="1" si="687"/>
        <v>0</v>
      </c>
      <c r="GW317" s="259" t="str">
        <f ca="1">IF(AND(IFERROR(INDEX($GU$3:$GV$400,MATCH(ROWS($GW$3:GW317),$GU$3:$GU$400,0),2),"")&lt;&gt;"",GW318&lt;&gt;""),CONCATENATE(IFERROR(INDEX($GU$3:$GV$400,MATCH(ROWS($GW$3:GW317),$GU$3:$GU$400,0),2),"")," - "),IFERROR(INDEX($GU$3:$GV$400,MATCH(ROWS($GW$3:GW317),$GU$3:$GU$400,0),2),""))</f>
        <v/>
      </c>
      <c r="GX317" s="259">
        <f ca="1">IF(OR(GN317="IVA NS/CREDITO",GN317="IVA NS/DEBITO",GN317="IVA C/ACCONTO",GN317="IMPOSTE C/ACCONTO"),MAX($GX$2:GX316)+1,0)</f>
        <v>0</v>
      </c>
      <c r="GY317" s="259" t="str">
        <f ca="1">IF(AND(IFERROR(INDEX($GN$3:$GX$200,MATCH(ROWS($GY$3:GY317),$GX$3:$GX$200,0),1),"")&lt;&gt;"",GY318&lt;&gt;""),CONCATENATE(IFERROR(INDEX($GN$3:$GX$200,MATCH(ROWS($GY$3:GY317),$GX$3:$GX$200,0),1),"")," - "),IFERROR(INDEX($GN$3:$GX$200,MATCH(ROWS($GY$3:GY317),$GX$3:$GX$200,0),1),""))</f>
        <v/>
      </c>
      <c r="JA317" s="259" t="str">
        <f t="shared" ca="1" si="688"/>
        <v/>
      </c>
      <c r="JB317" s="259">
        <f t="shared" ca="1" si="669"/>
        <v>0</v>
      </c>
      <c r="JC317" s="259">
        <f t="shared" ca="1" si="721"/>
        <v>0</v>
      </c>
      <c r="JD317" s="259">
        <f t="shared" ca="1" si="722"/>
        <v>0</v>
      </c>
      <c r="JM317" s="259">
        <f t="shared" ca="1" si="723"/>
        <v>0</v>
      </c>
    </row>
    <row r="318" spans="52:273">
      <c r="AZ318" s="259" t="str">
        <f t="shared" ca="1" si="689"/>
        <v/>
      </c>
      <c r="BA318" s="259">
        <f t="shared" ca="1" si="713"/>
        <v>0</v>
      </c>
      <c r="BB318" s="259">
        <f t="shared" ca="1" si="690"/>
        <v>0</v>
      </c>
      <c r="BC318" s="259">
        <f t="shared" ca="1" si="691"/>
        <v>0</v>
      </c>
      <c r="BD318" s="259">
        <f t="shared" ca="1" si="692"/>
        <v>0</v>
      </c>
      <c r="BE318" s="259">
        <f t="shared" ca="1" si="693"/>
        <v>0</v>
      </c>
      <c r="BQ318" s="259" t="str">
        <f ca="1">IFERROR(INDEX($BN$3:$BO$200,MATCH(ROWS(BQ$3:BQ318),$BP$3:$BP$220,0),1),"")</f>
        <v/>
      </c>
      <c r="CX318" s="259">
        <f t="shared" ca="1" si="726"/>
        <v>18</v>
      </c>
      <c r="CY318" s="259" t="str">
        <f t="shared" ca="1" si="724"/>
        <v>MASTRO</v>
      </c>
      <c r="CZ318" s="259" t="e">
        <f t="shared" ca="1" si="728"/>
        <v>#N/A</v>
      </c>
      <c r="DA318" s="259" t="str">
        <f t="shared" ca="1" si="733"/>
        <v/>
      </c>
      <c r="DB318" s="259" t="str">
        <f t="shared" ca="1" si="729"/>
        <v/>
      </c>
      <c r="DC318" s="259" t="str">
        <f t="shared" ca="1" si="730"/>
        <v/>
      </c>
      <c r="DD318" s="259" t="str">
        <f t="shared" ca="1" si="731"/>
        <v/>
      </c>
      <c r="DE318" s="259" t="str">
        <f t="shared" ca="1" si="732"/>
        <v/>
      </c>
      <c r="DF318" s="259">
        <f ca="1">IF(AND(CX318=$DE$2,$DF$2&lt;&gt;0),0,IF(AND(DB318&lt;&gt;"",OR(DB317&lt;&gt;"",DB319&lt;&gt;"")),MAX($DF$2:DF317)+1,0))</f>
        <v>0</v>
      </c>
      <c r="DG318" s="259" t="str">
        <f>IF(IF(LIBRO_GIORNALE!E226="","",IFERROR(INDEX(PIANO_DEI_CONTI,MATCH(BB318,DENOMINAZIONE,0),1),0))=0,"",IF(LIBRO_GIORNALE!E226="","",IFERROR(INDEX(PIANO_DEI_CONTI,MATCH(BB318,DENOMINAZIONE,0),1),0)))</f>
        <v/>
      </c>
      <c r="EC318" s="259">
        <f>IF(IF(DG318&lt;&gt;"",REPLACE(DG318,3,1,""),0)&lt;&gt;0,MAX(EC$2:EC317)+1,0)</f>
        <v>0</v>
      </c>
      <c r="ED318" s="259">
        <f t="shared" ca="1" si="662"/>
        <v>0</v>
      </c>
      <c r="EL318" s="259">
        <f t="shared" si="670"/>
        <v>316</v>
      </c>
      <c r="EM318" s="259">
        <f ca="1">IF(AND(BA318&gt;0,BA318&lt;=$EM$1),MAX($EM$2:EM317)+1,0)</f>
        <v>0</v>
      </c>
      <c r="EN318" s="259">
        <f t="shared" ca="1" si="671"/>
        <v>318</v>
      </c>
      <c r="EP318" s="259" t="str">
        <f t="shared" ca="1" si="663"/>
        <v/>
      </c>
      <c r="EQ318" s="259">
        <f t="shared" ca="1" si="664"/>
        <v>0</v>
      </c>
      <c r="ER318" s="259">
        <f ca="1">IF(ISNA(EQ318),MAX(ER$2:ER317)+1,0)</f>
        <v>0</v>
      </c>
      <c r="ES318" s="259" t="str">
        <f t="shared" ca="1" si="672"/>
        <v/>
      </c>
      <c r="ET318" s="259" t="str">
        <f ca="1">IFERROR(UPPER(INDEX($ER$3:$ES$500,MATCH(ROWS(ET$3:ET318),$ER$3:$ER$500,0),2)),"")</f>
        <v/>
      </c>
      <c r="EW318" s="259">
        <f t="shared" ca="1" si="714"/>
        <v>1</v>
      </c>
      <c r="EX318" s="259">
        <v>216</v>
      </c>
      <c r="EY318" s="259">
        <f t="shared" ca="1" si="715"/>
        <v>0</v>
      </c>
      <c r="EZ318" s="259">
        <f t="shared" ca="1" si="716"/>
        <v>0</v>
      </c>
      <c r="FA318" s="259">
        <f t="shared" ca="1" si="717"/>
        <v>0</v>
      </c>
      <c r="FB318" s="259">
        <f t="shared" ca="1" si="718"/>
        <v>0</v>
      </c>
      <c r="FC318" s="259">
        <f t="shared" ca="1" si="719"/>
        <v>0</v>
      </c>
      <c r="FD318" s="259">
        <f t="shared" ca="1" si="665"/>
        <v>0</v>
      </c>
      <c r="FE318" s="259" t="str">
        <f t="shared" ca="1" si="666"/>
        <v/>
      </c>
      <c r="FF318" s="259" t="str">
        <f t="shared" ca="1" si="720"/>
        <v/>
      </c>
      <c r="FM318" s="259">
        <f t="shared" si="667"/>
        <v>0</v>
      </c>
      <c r="FN318" s="259">
        <f>IF(FM318&lt;0,MAX($FN$2:FN317)+1,0)</f>
        <v>0</v>
      </c>
      <c r="FO318" s="259" t="str">
        <f t="shared" si="673"/>
        <v/>
      </c>
      <c r="FP318" s="259" t="str">
        <f ca="1">IFERROR(INDEX($FN$3:$FO$400,MATCH(ROWS($FP$3:FP318),$FN$3:$FN$400,0),2),"")</f>
        <v/>
      </c>
      <c r="FQ318" s="259" t="str">
        <f>IF(AE318="SE AVERE",MAX($FQ$2:FQ317)+1,"")</f>
        <v/>
      </c>
      <c r="FR318" s="259" t="str">
        <f>IF(AE318="SE DARE",MAX($FR$2:FR317)+1,"")</f>
        <v/>
      </c>
      <c r="FS318" s="259" t="str">
        <f ca="1">IF(AND(AE318="SP DARE",AA318&lt;&gt;$FS$1,AA318&lt;&gt;$FT$1),MAX($FS$2:FS317)+1,IF(AND(GQ318="SP DARE",AA318&lt;&gt;$FS$1,AA318&lt;&gt;$FT$1),MAX($FS$2:FS317)+1,""))</f>
        <v/>
      </c>
      <c r="FT318" s="259" t="str">
        <f ca="1">IF(AND(AE318="SP AVERE",AA318&lt;&gt;$FU$1),MAX($FT$2:FT317)+1,IF(AND(GQ318="SP AVERE",AA318&lt;&gt;$FU$1),MAX($FT$2:FT317)+1,""))</f>
        <v/>
      </c>
      <c r="FU318" s="259">
        <f t="shared" ca="1" si="674"/>
        <v>0</v>
      </c>
      <c r="FV318" s="259">
        <f t="shared" si="675"/>
        <v>0</v>
      </c>
      <c r="FW318" s="259">
        <f ca="1">IFERROR(INDEX($FU$3:$FV$500,MATCH(ROWS($FW$3:FW318),$FU$3:$FU$500,0),2),0)</f>
        <v>0</v>
      </c>
      <c r="FX318" s="259">
        <f t="shared" ca="1" si="676"/>
        <v>0</v>
      </c>
      <c r="FY318" s="259">
        <f t="shared" ca="1" si="677"/>
        <v>0</v>
      </c>
      <c r="FZ318" s="259">
        <f ca="1">IF(FY318&gt;0,MAX($FZ$2:FZ317)+1,0)</f>
        <v>0</v>
      </c>
      <c r="GA318" s="259">
        <f ca="1">IFERROR(INDEX($FY$3:$FZ$500,MATCH(ROWS($GA$3:GA318),$FZ$3:$FZ$500,0),1),0)</f>
        <v>0</v>
      </c>
      <c r="GC318" s="259">
        <f t="shared" ca="1" si="678"/>
        <v>0</v>
      </c>
      <c r="GD318" s="259">
        <f t="shared" ca="1" si="679"/>
        <v>0</v>
      </c>
      <c r="GG318" s="259">
        <f t="shared" ca="1" si="680"/>
        <v>0</v>
      </c>
      <c r="GH318" s="259">
        <f t="shared" ca="1" si="681"/>
        <v>0</v>
      </c>
      <c r="GI318" s="259">
        <f t="shared" ca="1" si="682"/>
        <v>0</v>
      </c>
      <c r="GJ318" s="259">
        <f t="shared" ca="1" si="683"/>
        <v>0</v>
      </c>
      <c r="GK318" s="259">
        <f t="shared" ca="1" si="684"/>
        <v>0</v>
      </c>
      <c r="GL318" s="259">
        <f t="shared" ca="1" si="684"/>
        <v>0</v>
      </c>
      <c r="GM318" s="259">
        <f ca="1">IF(OR(GK318&gt;0,GL318&gt;0),MAX($GM$2:GM317)+1,0)</f>
        <v>0</v>
      </c>
      <c r="GN318" s="259" t="str">
        <f ca="1">IFERROR(INDEX($GD$3:$GM$400,MATCH(ROWS($GN$3:GN318),$GM$3:$GM$400,0),1),"")</f>
        <v/>
      </c>
      <c r="GO318" s="259" t="str">
        <f ca="1">IFERROR(INDEX($GD$3:$GM$400,MATCH(ROWS($GO$3:GO318),$GM$3:$GM$400,0),8),"")</f>
        <v/>
      </c>
      <c r="GP318" s="259" t="str">
        <f ca="1">IFERROR(INDEX($GD$3:$GM$400,MATCH(ROWS($GP$3:GP318),$GM$3:$GM$400,0),9),"")</f>
        <v/>
      </c>
      <c r="GQ318" s="259">
        <f t="shared" ca="1" si="668"/>
        <v>0</v>
      </c>
      <c r="GR318" s="259">
        <f t="shared" ca="1" si="685"/>
        <v>0</v>
      </c>
      <c r="GS318" s="259" t="str">
        <f t="shared" ca="1" si="686"/>
        <v/>
      </c>
      <c r="GT318" s="259" t="str">
        <f ca="1">IFERROR(INDEX($GD$3:$GS$400,MATCH(ROWS($GT$3:GT318),$GM$3:$GM$400,0),16),"")</f>
        <v/>
      </c>
      <c r="GU318" s="259">
        <f ca="1">IF(GQ318&lt;&gt;0,MAX($GU$2:$GU317)+1,0)</f>
        <v>0</v>
      </c>
      <c r="GV318" s="259">
        <f t="shared" ca="1" si="687"/>
        <v>0</v>
      </c>
      <c r="GW318" s="259" t="str">
        <f ca="1">IF(AND(IFERROR(INDEX($GU$3:$GV$400,MATCH(ROWS($GW$3:GW318),$GU$3:$GU$400,0),2),"")&lt;&gt;"",GW319&lt;&gt;""),CONCATENATE(IFERROR(INDEX($GU$3:$GV$400,MATCH(ROWS($GW$3:GW318),$GU$3:$GU$400,0),2),"")," - "),IFERROR(INDEX($GU$3:$GV$400,MATCH(ROWS($GW$3:GW318),$GU$3:$GU$400,0),2),""))</f>
        <v/>
      </c>
      <c r="GX318" s="259">
        <f ca="1">IF(OR(GN318="IVA NS/CREDITO",GN318="IVA NS/DEBITO",GN318="IVA C/ACCONTO",GN318="IMPOSTE C/ACCONTO"),MAX($GX$2:GX317)+1,0)</f>
        <v>0</v>
      </c>
      <c r="GY318" s="259" t="str">
        <f ca="1">IF(AND(IFERROR(INDEX($GN$3:$GX$200,MATCH(ROWS($GY$3:GY318),$GX$3:$GX$200,0),1),"")&lt;&gt;"",GY319&lt;&gt;""),CONCATENATE(IFERROR(INDEX($GN$3:$GX$200,MATCH(ROWS($GY$3:GY318),$GX$3:$GX$200,0),1),"")," - "),IFERROR(INDEX($GN$3:$GX$200,MATCH(ROWS($GY$3:GY318),$GX$3:$GX$200,0),1),""))</f>
        <v/>
      </c>
      <c r="JA318" s="259" t="str">
        <f t="shared" ca="1" si="688"/>
        <v/>
      </c>
      <c r="JB318" s="259">
        <f t="shared" ca="1" si="669"/>
        <v>0</v>
      </c>
      <c r="JC318" s="259">
        <f t="shared" ca="1" si="721"/>
        <v>0</v>
      </c>
      <c r="JD318" s="259">
        <f t="shared" ca="1" si="722"/>
        <v>0</v>
      </c>
      <c r="JM318" s="259">
        <f t="shared" ca="1" si="723"/>
        <v>0</v>
      </c>
    </row>
    <row r="319" spans="52:273">
      <c r="AZ319" s="259" t="str">
        <f t="shared" ca="1" si="689"/>
        <v/>
      </c>
      <c r="BA319" s="259">
        <f t="shared" ca="1" si="713"/>
        <v>0</v>
      </c>
      <c r="BB319" s="259">
        <f t="shared" ca="1" si="690"/>
        <v>0</v>
      </c>
      <c r="BC319" s="259">
        <f t="shared" ca="1" si="691"/>
        <v>0</v>
      </c>
      <c r="BD319" s="259">
        <f t="shared" ca="1" si="692"/>
        <v>0</v>
      </c>
      <c r="BE319" s="259">
        <f t="shared" ca="1" si="693"/>
        <v>0</v>
      </c>
      <c r="BQ319" s="259" t="str">
        <f ca="1">IFERROR(INDEX($BN$3:$BO$200,MATCH(ROWS(BQ$3:BQ319),$BP$3:$BP$220,0),1),"")</f>
        <v/>
      </c>
      <c r="CX319" s="259">
        <f t="shared" ca="1" si="726"/>
        <v>18</v>
      </c>
      <c r="CY319" s="259" t="str">
        <f t="shared" ca="1" si="724"/>
        <v>MASTRO</v>
      </c>
      <c r="CZ319" s="259" t="e">
        <f t="shared" ca="1" si="728"/>
        <v>#N/A</v>
      </c>
      <c r="DA319" s="259" t="str">
        <f t="shared" ca="1" si="733"/>
        <v/>
      </c>
      <c r="DB319" s="259" t="str">
        <f t="shared" ca="1" si="729"/>
        <v/>
      </c>
      <c r="DC319" s="259" t="str">
        <f t="shared" ca="1" si="730"/>
        <v/>
      </c>
      <c r="DD319" s="259" t="str">
        <f t="shared" ca="1" si="731"/>
        <v/>
      </c>
      <c r="DE319" s="259" t="str">
        <f t="shared" ca="1" si="732"/>
        <v/>
      </c>
      <c r="DF319" s="259">
        <f ca="1">IF(AND(CX319=$DE$2,$DF$2&lt;&gt;0),0,IF(AND(DB319&lt;&gt;"",OR(DB318&lt;&gt;"",DB320&lt;&gt;"")),MAX($DF$2:DF318)+1,0))</f>
        <v>0</v>
      </c>
      <c r="DG319" s="259" t="str">
        <f>IF(IF(LIBRO_GIORNALE!E227="","",IFERROR(INDEX(PIANO_DEI_CONTI,MATCH(BB319,DENOMINAZIONE,0),1),0))=0,"",IF(LIBRO_GIORNALE!E227="","",IFERROR(INDEX(PIANO_DEI_CONTI,MATCH(BB319,DENOMINAZIONE,0),1),0)))</f>
        <v/>
      </c>
      <c r="EC319" s="259">
        <f>IF(IF(DG319&lt;&gt;"",REPLACE(DG319,3,1,""),0)&lt;&gt;0,MAX(EC$2:EC318)+1,0)</f>
        <v>0</v>
      </c>
      <c r="ED319" s="259">
        <f t="shared" ca="1" si="662"/>
        <v>0</v>
      </c>
      <c r="EL319" s="259">
        <f t="shared" si="670"/>
        <v>317</v>
      </c>
      <c r="EM319" s="259">
        <f ca="1">IF(AND(BA319&gt;0,BA319&lt;=$EM$1),MAX($EM$2:EM318)+1,0)</f>
        <v>0</v>
      </c>
      <c r="EN319" s="259">
        <f t="shared" ca="1" si="671"/>
        <v>319</v>
      </c>
      <c r="EP319" s="259" t="str">
        <f t="shared" ca="1" si="663"/>
        <v/>
      </c>
      <c r="EQ319" s="259">
        <f t="shared" ca="1" si="664"/>
        <v>0</v>
      </c>
      <c r="ER319" s="259">
        <f ca="1">IF(ISNA(EQ319),MAX(ER$2:ER318)+1,0)</f>
        <v>0</v>
      </c>
      <c r="ES319" s="259" t="str">
        <f t="shared" ca="1" si="672"/>
        <v/>
      </c>
      <c r="ET319" s="259" t="str">
        <f ca="1">IFERROR(UPPER(INDEX($ER$3:$ES$500,MATCH(ROWS(ET$3:ET319),$ER$3:$ER$500,0),2)),"")</f>
        <v/>
      </c>
      <c r="EW319" s="259">
        <f t="shared" ca="1" si="714"/>
        <v>1</v>
      </c>
      <c r="EX319" s="259">
        <v>217</v>
      </c>
      <c r="EY319" s="259">
        <f t="shared" ca="1" si="715"/>
        <v>0</v>
      </c>
      <c r="EZ319" s="259">
        <f t="shared" ca="1" si="716"/>
        <v>0</v>
      </c>
      <c r="FA319" s="259">
        <f t="shared" ca="1" si="717"/>
        <v>0</v>
      </c>
      <c r="FB319" s="259">
        <f t="shared" ca="1" si="718"/>
        <v>0</v>
      </c>
      <c r="FC319" s="259">
        <f t="shared" ca="1" si="719"/>
        <v>0</v>
      </c>
      <c r="FD319" s="259">
        <f t="shared" ca="1" si="665"/>
        <v>0</v>
      </c>
      <c r="FE319" s="259" t="str">
        <f t="shared" ca="1" si="666"/>
        <v/>
      </c>
      <c r="FF319" s="259" t="str">
        <f t="shared" ca="1" si="720"/>
        <v/>
      </c>
      <c r="FM319" s="259">
        <f t="shared" si="667"/>
        <v>0</v>
      </c>
      <c r="FN319" s="259">
        <f>IF(FM319&lt;0,MAX($FN$2:FN318)+1,0)</f>
        <v>0</v>
      </c>
      <c r="FO319" s="259" t="str">
        <f t="shared" si="673"/>
        <v/>
      </c>
      <c r="FP319" s="259" t="str">
        <f ca="1">IFERROR(INDEX($FN$3:$FO$400,MATCH(ROWS($FP$3:FP319),$FN$3:$FN$400,0),2),"")</f>
        <v/>
      </c>
      <c r="FQ319" s="259" t="str">
        <f>IF(AE319="SE AVERE",MAX($FQ$2:FQ318)+1,"")</f>
        <v/>
      </c>
      <c r="FR319" s="259" t="str">
        <f>IF(AE319="SE DARE",MAX($FR$2:FR318)+1,"")</f>
        <v/>
      </c>
      <c r="FS319" s="259" t="str">
        <f ca="1">IF(AND(AE319="SP DARE",AA319&lt;&gt;$FS$1,AA319&lt;&gt;$FT$1),MAX($FS$2:FS318)+1,IF(AND(GQ319="SP DARE",AA319&lt;&gt;$FS$1,AA319&lt;&gt;$FT$1),MAX($FS$2:FS318)+1,""))</f>
        <v/>
      </c>
      <c r="FT319" s="259" t="str">
        <f ca="1">IF(AND(AE319="SP AVERE",AA319&lt;&gt;$FU$1),MAX($FT$2:FT318)+1,IF(AND(GQ319="SP AVERE",AA319&lt;&gt;$FU$1),MAX($FT$2:FT318)+1,""))</f>
        <v/>
      </c>
      <c r="FU319" s="259">
        <f t="shared" ca="1" si="674"/>
        <v>0</v>
      </c>
      <c r="FV319" s="259">
        <f t="shared" si="675"/>
        <v>0</v>
      </c>
      <c r="FW319" s="259">
        <f ca="1">IFERROR(INDEX($FU$3:$FV$500,MATCH(ROWS($FW$3:FW319),$FU$3:$FU$500,0),2),0)</f>
        <v>0</v>
      </c>
      <c r="FX319" s="259">
        <f t="shared" ca="1" si="676"/>
        <v>0</v>
      </c>
      <c r="FY319" s="259">
        <f t="shared" ca="1" si="677"/>
        <v>0</v>
      </c>
      <c r="FZ319" s="259">
        <f ca="1">IF(FY319&gt;0,MAX($FZ$2:FZ318)+1,0)</f>
        <v>0</v>
      </c>
      <c r="GA319" s="259">
        <f ca="1">IFERROR(INDEX($FY$3:$FZ$500,MATCH(ROWS($GA$3:GA319),$FZ$3:$FZ$500,0),1),0)</f>
        <v>0</v>
      </c>
      <c r="GC319" s="259">
        <f t="shared" ca="1" si="678"/>
        <v>0</v>
      </c>
      <c r="GD319" s="259">
        <f t="shared" ca="1" si="679"/>
        <v>0</v>
      </c>
      <c r="GG319" s="259">
        <f t="shared" ca="1" si="680"/>
        <v>0</v>
      </c>
      <c r="GH319" s="259">
        <f t="shared" ca="1" si="681"/>
        <v>0</v>
      </c>
      <c r="GI319" s="259">
        <f t="shared" ca="1" si="682"/>
        <v>0</v>
      </c>
      <c r="GJ319" s="259">
        <f t="shared" ca="1" si="683"/>
        <v>0</v>
      </c>
      <c r="GK319" s="259">
        <f t="shared" ca="1" si="684"/>
        <v>0</v>
      </c>
      <c r="GL319" s="259">
        <f t="shared" ca="1" si="684"/>
        <v>0</v>
      </c>
      <c r="GM319" s="259">
        <f ca="1">IF(OR(GK319&gt;0,GL319&gt;0),MAX($GM$2:GM318)+1,0)</f>
        <v>0</v>
      </c>
      <c r="GN319" s="259" t="str">
        <f ca="1">IFERROR(INDEX($GD$3:$GM$400,MATCH(ROWS($GN$3:GN319),$GM$3:$GM$400,0),1),"")</f>
        <v/>
      </c>
      <c r="GO319" s="259" t="str">
        <f ca="1">IFERROR(INDEX($GD$3:$GM$400,MATCH(ROWS($GO$3:GO319),$GM$3:$GM$400,0),8),"")</f>
        <v/>
      </c>
      <c r="GP319" s="259" t="str">
        <f ca="1">IFERROR(INDEX($GD$3:$GM$400,MATCH(ROWS($GP$3:GP319),$GM$3:$GM$400,0),9),"")</f>
        <v/>
      </c>
      <c r="GQ319" s="259">
        <f t="shared" ca="1" si="668"/>
        <v>0</v>
      </c>
      <c r="GR319" s="259">
        <f t="shared" ca="1" si="685"/>
        <v>0</v>
      </c>
      <c r="GS319" s="259" t="str">
        <f t="shared" ca="1" si="686"/>
        <v/>
      </c>
      <c r="GT319" s="259" t="str">
        <f ca="1">IFERROR(INDEX($GD$3:$GS$400,MATCH(ROWS($GT$3:GT319),$GM$3:$GM$400,0),16),"")</f>
        <v/>
      </c>
      <c r="GU319" s="259">
        <f ca="1">IF(GQ319&lt;&gt;0,MAX($GU$2:$GU318)+1,0)</f>
        <v>0</v>
      </c>
      <c r="GV319" s="259">
        <f t="shared" ca="1" si="687"/>
        <v>0</v>
      </c>
      <c r="GW319" s="259" t="str">
        <f ca="1">IF(AND(IFERROR(INDEX($GU$3:$GV$400,MATCH(ROWS($GW$3:GW319),$GU$3:$GU$400,0),2),"")&lt;&gt;"",GW320&lt;&gt;""),CONCATENATE(IFERROR(INDEX($GU$3:$GV$400,MATCH(ROWS($GW$3:GW319),$GU$3:$GU$400,0),2),"")," - "),IFERROR(INDEX($GU$3:$GV$400,MATCH(ROWS($GW$3:GW319),$GU$3:$GU$400,0),2),""))</f>
        <v/>
      </c>
      <c r="GX319" s="259">
        <f ca="1">IF(OR(GN319="IVA NS/CREDITO",GN319="IVA NS/DEBITO",GN319="IVA C/ACCONTO",GN319="IMPOSTE C/ACCONTO"),MAX($GX$2:GX318)+1,0)</f>
        <v>0</v>
      </c>
      <c r="GY319" s="259" t="str">
        <f ca="1">IF(AND(IFERROR(INDEX($GN$3:$GX$200,MATCH(ROWS($GY$3:GY319),$GX$3:$GX$200,0),1),"")&lt;&gt;"",GY320&lt;&gt;""),CONCATENATE(IFERROR(INDEX($GN$3:$GX$200,MATCH(ROWS($GY$3:GY319),$GX$3:$GX$200,0),1),"")," - "),IFERROR(INDEX($GN$3:$GX$200,MATCH(ROWS($GY$3:GY319),$GX$3:$GX$200,0),1),""))</f>
        <v/>
      </c>
      <c r="JA319" s="259" t="str">
        <f t="shared" ca="1" si="688"/>
        <v/>
      </c>
      <c r="JB319" s="259">
        <f t="shared" ca="1" si="669"/>
        <v>0</v>
      </c>
      <c r="JC319" s="259">
        <f t="shared" ca="1" si="721"/>
        <v>0</v>
      </c>
      <c r="JD319" s="259">
        <f t="shared" ca="1" si="722"/>
        <v>0</v>
      </c>
      <c r="JM319" s="259">
        <f t="shared" ca="1" si="723"/>
        <v>0</v>
      </c>
    </row>
    <row r="320" spans="52:273">
      <c r="AZ320" s="259" t="str">
        <f t="shared" ca="1" si="689"/>
        <v/>
      </c>
      <c r="BA320" s="259">
        <f t="shared" ca="1" si="713"/>
        <v>0</v>
      </c>
      <c r="BB320" s="259">
        <f t="shared" ca="1" si="690"/>
        <v>0</v>
      </c>
      <c r="BC320" s="259">
        <f t="shared" ca="1" si="691"/>
        <v>0</v>
      </c>
      <c r="BD320" s="259">
        <f t="shared" ca="1" si="692"/>
        <v>0</v>
      </c>
      <c r="BE320" s="259">
        <f t="shared" ca="1" si="693"/>
        <v>0</v>
      </c>
      <c r="BQ320" s="259" t="str">
        <f ca="1">IFERROR(INDEX($BN$3:$BO$200,MATCH(ROWS(BQ$3:BQ320),$BP$3:$BP$220,0),1),"")</f>
        <v/>
      </c>
      <c r="CX320" s="259">
        <f t="shared" ca="1" si="726"/>
        <v>18</v>
      </c>
      <c r="CY320" s="259" t="str">
        <f t="shared" ca="1" si="724"/>
        <v>MASTRO</v>
      </c>
      <c r="CZ320" s="259" t="e">
        <f t="shared" ca="1" si="728"/>
        <v>#N/A</v>
      </c>
      <c r="DA320" s="259" t="str">
        <f t="shared" ca="1" si="733"/>
        <v/>
      </c>
      <c r="DB320" s="259" t="str">
        <f t="shared" ca="1" si="729"/>
        <v/>
      </c>
      <c r="DC320" s="259" t="str">
        <f t="shared" ca="1" si="730"/>
        <v/>
      </c>
      <c r="DD320" s="259" t="str">
        <f t="shared" ca="1" si="731"/>
        <v/>
      </c>
      <c r="DE320" s="259" t="str">
        <f t="shared" ca="1" si="732"/>
        <v/>
      </c>
      <c r="DF320" s="259">
        <f ca="1">IF(AND(CX320=$DE$2,$DF$2&lt;&gt;0),0,IF(AND(DB320&lt;&gt;"",OR(DB319&lt;&gt;"",DB321&lt;&gt;"")),MAX($DF$2:DF319)+1,0))</f>
        <v>0</v>
      </c>
      <c r="DG320" s="259" t="str">
        <f>IF(IF(LIBRO_GIORNALE!E228="","",IFERROR(INDEX(PIANO_DEI_CONTI,MATCH(BB320,DENOMINAZIONE,0),1),0))=0,"",IF(LIBRO_GIORNALE!E228="","",IFERROR(INDEX(PIANO_DEI_CONTI,MATCH(BB320,DENOMINAZIONE,0),1),0)))</f>
        <v/>
      </c>
      <c r="EC320" s="259">
        <f>IF(IF(DG320&lt;&gt;"",REPLACE(DG320,3,1,""),0)&lt;&gt;0,MAX(EC$2:EC319)+1,0)</f>
        <v>0</v>
      </c>
      <c r="ED320" s="259">
        <f t="shared" ca="1" si="662"/>
        <v>0</v>
      </c>
      <c r="EL320" s="259">
        <f t="shared" si="670"/>
        <v>318</v>
      </c>
      <c r="EM320" s="259">
        <f ca="1">IF(AND(BA320&gt;0,BA320&lt;=$EM$1),MAX($EM$2:EM319)+1,0)</f>
        <v>0</v>
      </c>
      <c r="EN320" s="259">
        <f t="shared" ca="1" si="671"/>
        <v>320</v>
      </c>
      <c r="EP320" s="259" t="str">
        <f t="shared" ca="1" si="663"/>
        <v/>
      </c>
      <c r="EQ320" s="259">
        <f t="shared" ca="1" si="664"/>
        <v>0</v>
      </c>
      <c r="ER320" s="259">
        <f ca="1">IF(ISNA(EQ320),MAX(ER$2:ER319)+1,0)</f>
        <v>0</v>
      </c>
      <c r="ES320" s="259" t="str">
        <f t="shared" ca="1" si="672"/>
        <v/>
      </c>
      <c r="ET320" s="259" t="str">
        <f ca="1">IFERROR(UPPER(INDEX($ER$3:$ES$500,MATCH(ROWS(ET$3:ET320),$ER$3:$ER$500,0),2)),"")</f>
        <v/>
      </c>
      <c r="EW320" s="259">
        <f t="shared" ca="1" si="714"/>
        <v>1</v>
      </c>
      <c r="EX320" s="259">
        <v>218</v>
      </c>
      <c r="EY320" s="259">
        <f t="shared" ca="1" si="715"/>
        <v>0</v>
      </c>
      <c r="EZ320" s="259">
        <f t="shared" ca="1" si="716"/>
        <v>0</v>
      </c>
      <c r="FA320" s="259">
        <f t="shared" ca="1" si="717"/>
        <v>0</v>
      </c>
      <c r="FB320" s="259">
        <f t="shared" ca="1" si="718"/>
        <v>0</v>
      </c>
      <c r="FC320" s="259">
        <f t="shared" ca="1" si="719"/>
        <v>0</v>
      </c>
      <c r="FD320" s="259">
        <f t="shared" ca="1" si="665"/>
        <v>0</v>
      </c>
      <c r="FE320" s="259" t="str">
        <f t="shared" ca="1" si="666"/>
        <v/>
      </c>
      <c r="FF320" s="259" t="str">
        <f t="shared" ca="1" si="720"/>
        <v/>
      </c>
      <c r="FM320" s="259">
        <f t="shared" si="667"/>
        <v>0</v>
      </c>
      <c r="FN320" s="259">
        <f>IF(FM320&lt;0,MAX($FN$2:FN319)+1,0)</f>
        <v>0</v>
      </c>
      <c r="FO320" s="259" t="str">
        <f t="shared" si="673"/>
        <v/>
      </c>
      <c r="FP320" s="259" t="str">
        <f ca="1">IFERROR(INDEX($FN$3:$FO$400,MATCH(ROWS($FP$3:FP320),$FN$3:$FN$400,0),2),"")</f>
        <v/>
      </c>
      <c r="FQ320" s="259" t="str">
        <f>IF(AE320="SE AVERE",MAX($FQ$2:FQ319)+1,"")</f>
        <v/>
      </c>
      <c r="FR320" s="259" t="str">
        <f>IF(AE320="SE DARE",MAX($FR$2:FR319)+1,"")</f>
        <v/>
      </c>
      <c r="FS320" s="259" t="str">
        <f ca="1">IF(AND(AE320="SP DARE",AA320&lt;&gt;$FS$1,AA320&lt;&gt;$FT$1),MAX($FS$2:FS319)+1,IF(AND(GQ320="SP DARE",AA320&lt;&gt;$FS$1,AA320&lt;&gt;$FT$1),MAX($FS$2:FS319)+1,""))</f>
        <v/>
      </c>
      <c r="FT320" s="259" t="str">
        <f ca="1">IF(AND(AE320="SP AVERE",AA320&lt;&gt;$FU$1),MAX($FT$2:FT319)+1,IF(AND(GQ320="SP AVERE",AA320&lt;&gt;$FU$1),MAX($FT$2:FT319)+1,""))</f>
        <v/>
      </c>
      <c r="FU320" s="259">
        <f t="shared" ca="1" si="674"/>
        <v>0</v>
      </c>
      <c r="FV320" s="259">
        <f t="shared" si="675"/>
        <v>0</v>
      </c>
      <c r="FW320" s="259">
        <f ca="1">IFERROR(INDEX($FU$3:$FV$500,MATCH(ROWS($FW$3:FW320),$FU$3:$FU$500,0),2),0)</f>
        <v>0</v>
      </c>
      <c r="FX320" s="259">
        <f t="shared" ca="1" si="676"/>
        <v>0</v>
      </c>
      <c r="FY320" s="259">
        <f t="shared" ca="1" si="677"/>
        <v>0</v>
      </c>
      <c r="FZ320" s="259">
        <f ca="1">IF(FY320&gt;0,MAX($FZ$2:FZ319)+1,0)</f>
        <v>0</v>
      </c>
      <c r="GA320" s="259">
        <f ca="1">IFERROR(INDEX($FY$3:$FZ$500,MATCH(ROWS($GA$3:GA320),$FZ$3:$FZ$500,0),1),0)</f>
        <v>0</v>
      </c>
      <c r="GC320" s="259">
        <f t="shared" ca="1" si="678"/>
        <v>0</v>
      </c>
      <c r="GD320" s="259">
        <f t="shared" ca="1" si="679"/>
        <v>0</v>
      </c>
      <c r="GG320" s="259">
        <f t="shared" ca="1" si="680"/>
        <v>0</v>
      </c>
      <c r="GH320" s="259">
        <f t="shared" ca="1" si="681"/>
        <v>0</v>
      </c>
      <c r="GI320" s="259">
        <f t="shared" ca="1" si="682"/>
        <v>0</v>
      </c>
      <c r="GJ320" s="259">
        <f t="shared" ca="1" si="683"/>
        <v>0</v>
      </c>
      <c r="GK320" s="259">
        <f t="shared" ca="1" si="684"/>
        <v>0</v>
      </c>
      <c r="GL320" s="259">
        <f t="shared" ca="1" si="684"/>
        <v>0</v>
      </c>
      <c r="GM320" s="259">
        <f ca="1">IF(OR(GK320&gt;0,GL320&gt;0),MAX($GM$2:GM319)+1,0)</f>
        <v>0</v>
      </c>
      <c r="GN320" s="259" t="str">
        <f ca="1">IFERROR(INDEX($GD$3:$GM$400,MATCH(ROWS($GN$3:GN320),$GM$3:$GM$400,0),1),"")</f>
        <v/>
      </c>
      <c r="GO320" s="259" t="str">
        <f ca="1">IFERROR(INDEX($GD$3:$GM$400,MATCH(ROWS($GO$3:GO320),$GM$3:$GM$400,0),8),"")</f>
        <v/>
      </c>
      <c r="GP320" s="259" t="str">
        <f ca="1">IFERROR(INDEX($GD$3:$GM$400,MATCH(ROWS($GP$3:GP320),$GM$3:$GM$400,0),9),"")</f>
        <v/>
      </c>
      <c r="GQ320" s="259">
        <f t="shared" ca="1" si="668"/>
        <v>0</v>
      </c>
      <c r="GR320" s="259">
        <f t="shared" ca="1" si="685"/>
        <v>0</v>
      </c>
      <c r="GS320" s="259" t="str">
        <f t="shared" ca="1" si="686"/>
        <v/>
      </c>
      <c r="GT320" s="259" t="str">
        <f ca="1">IFERROR(INDEX($GD$3:$GS$400,MATCH(ROWS($GT$3:GT320),$GM$3:$GM$400,0),16),"")</f>
        <v/>
      </c>
      <c r="GU320" s="259">
        <f ca="1">IF(GQ320&lt;&gt;0,MAX($GU$2:$GU319)+1,0)</f>
        <v>0</v>
      </c>
      <c r="GV320" s="259">
        <f t="shared" ca="1" si="687"/>
        <v>0</v>
      </c>
      <c r="GW320" s="259" t="str">
        <f ca="1">IF(AND(IFERROR(INDEX($GU$3:$GV$400,MATCH(ROWS($GW$3:GW320),$GU$3:$GU$400,0),2),"")&lt;&gt;"",GW321&lt;&gt;""),CONCATENATE(IFERROR(INDEX($GU$3:$GV$400,MATCH(ROWS($GW$3:GW320),$GU$3:$GU$400,0),2),"")," - "),IFERROR(INDEX($GU$3:$GV$400,MATCH(ROWS($GW$3:GW320),$GU$3:$GU$400,0),2),""))</f>
        <v/>
      </c>
      <c r="GX320" s="259">
        <f ca="1">IF(OR(GN320="IVA NS/CREDITO",GN320="IVA NS/DEBITO",GN320="IVA C/ACCONTO",GN320="IMPOSTE C/ACCONTO"),MAX($GX$2:GX319)+1,0)</f>
        <v>0</v>
      </c>
      <c r="GY320" s="259" t="str">
        <f ca="1">IF(AND(IFERROR(INDEX($GN$3:$GX$200,MATCH(ROWS($GY$3:GY320),$GX$3:$GX$200,0),1),"")&lt;&gt;"",GY321&lt;&gt;""),CONCATENATE(IFERROR(INDEX($GN$3:$GX$200,MATCH(ROWS($GY$3:GY320),$GX$3:$GX$200,0),1),"")," - "),IFERROR(INDEX($GN$3:$GX$200,MATCH(ROWS($GY$3:GY320),$GX$3:$GX$200,0),1),""))</f>
        <v/>
      </c>
      <c r="JA320" s="259" t="str">
        <f t="shared" ca="1" si="688"/>
        <v/>
      </c>
      <c r="JB320" s="259">
        <f t="shared" ca="1" si="669"/>
        <v>0</v>
      </c>
      <c r="JC320" s="259">
        <f t="shared" ca="1" si="721"/>
        <v>0</v>
      </c>
      <c r="JD320" s="259">
        <f t="shared" ca="1" si="722"/>
        <v>0</v>
      </c>
      <c r="JM320" s="259">
        <f t="shared" ca="1" si="723"/>
        <v>0</v>
      </c>
    </row>
    <row r="321" spans="52:273">
      <c r="AZ321" s="259" t="str">
        <f t="shared" ca="1" si="689"/>
        <v/>
      </c>
      <c r="BA321" s="259">
        <f t="shared" ca="1" si="713"/>
        <v>0</v>
      </c>
      <c r="BB321" s="259">
        <f t="shared" ca="1" si="690"/>
        <v>0</v>
      </c>
      <c r="BC321" s="259">
        <f t="shared" ca="1" si="691"/>
        <v>0</v>
      </c>
      <c r="BD321" s="259">
        <f t="shared" ca="1" si="692"/>
        <v>0</v>
      </c>
      <c r="BE321" s="259">
        <f t="shared" ca="1" si="693"/>
        <v>0</v>
      </c>
      <c r="BQ321" s="259" t="str">
        <f ca="1">IFERROR(INDEX($BN$3:$BO$200,MATCH(ROWS(BQ$3:BQ321),$BP$3:$BP$220,0),1),"")</f>
        <v/>
      </c>
      <c r="CX321" s="259">
        <f t="shared" ca="1" si="726"/>
        <v>18</v>
      </c>
      <c r="CY321" s="259" t="str">
        <f t="shared" ca="1" si="724"/>
        <v>MASTRO</v>
      </c>
      <c r="CZ321" s="259" t="e">
        <f t="shared" ca="1" si="728"/>
        <v>#N/A</v>
      </c>
      <c r="DA321" s="259" t="str">
        <f t="shared" ca="1" si="733"/>
        <v/>
      </c>
      <c r="DB321" s="259" t="str">
        <f t="shared" ca="1" si="729"/>
        <v/>
      </c>
      <c r="DC321" s="259" t="str">
        <f t="shared" ca="1" si="730"/>
        <v/>
      </c>
      <c r="DD321" s="259" t="str">
        <f t="shared" ca="1" si="731"/>
        <v/>
      </c>
      <c r="DE321" s="259" t="str">
        <f t="shared" ca="1" si="732"/>
        <v/>
      </c>
      <c r="DF321" s="259">
        <f ca="1">IF(AND(CX321=$DE$2,$DF$2&lt;&gt;0),0,IF(AND(DB321&lt;&gt;"",OR(DB320&lt;&gt;"",DB322&lt;&gt;"")),MAX($DF$2:DF320)+1,0))</f>
        <v>0</v>
      </c>
      <c r="DG321" s="259" t="str">
        <f>IF(IF(LIBRO_GIORNALE!E229="","",IFERROR(INDEX(PIANO_DEI_CONTI,MATCH(BB321,DENOMINAZIONE,0),1),0))=0,"",IF(LIBRO_GIORNALE!E229="","",IFERROR(INDEX(PIANO_DEI_CONTI,MATCH(BB321,DENOMINAZIONE,0),1),0)))</f>
        <v/>
      </c>
      <c r="EC321" s="259">
        <f>IF(IF(DG321&lt;&gt;"",REPLACE(DG321,3,1,""),0)&lt;&gt;0,MAX(EC$2:EC320)+1,0)</f>
        <v>0</v>
      </c>
      <c r="ED321" s="259">
        <f t="shared" ca="1" si="662"/>
        <v>0</v>
      </c>
      <c r="EL321" s="259">
        <f t="shared" si="670"/>
        <v>319</v>
      </c>
      <c r="EM321" s="259">
        <f ca="1">IF(AND(BA321&gt;0,BA321&lt;=$EM$1),MAX($EM$2:EM320)+1,0)</f>
        <v>0</v>
      </c>
      <c r="EN321" s="259">
        <f t="shared" ca="1" si="671"/>
        <v>321</v>
      </c>
      <c r="EP321" s="259" t="str">
        <f t="shared" ca="1" si="663"/>
        <v/>
      </c>
      <c r="EQ321" s="259">
        <f t="shared" ca="1" si="664"/>
        <v>0</v>
      </c>
      <c r="ER321" s="259">
        <f ca="1">IF(ISNA(EQ321),MAX(ER$2:ER320)+1,0)</f>
        <v>0</v>
      </c>
      <c r="ES321" s="259" t="str">
        <f t="shared" ca="1" si="672"/>
        <v/>
      </c>
      <c r="ET321" s="259" t="str">
        <f ca="1">IFERROR(UPPER(INDEX($ER$3:$ES$500,MATCH(ROWS(ET$3:ET321),$ER$3:$ER$500,0),2)),"")</f>
        <v/>
      </c>
      <c r="EW321" s="259">
        <f t="shared" ca="1" si="714"/>
        <v>1</v>
      </c>
      <c r="EX321" s="259">
        <v>219</v>
      </c>
      <c r="EY321" s="259">
        <f t="shared" ca="1" si="715"/>
        <v>0</v>
      </c>
      <c r="EZ321" s="259">
        <f t="shared" ca="1" si="716"/>
        <v>0</v>
      </c>
      <c r="FA321" s="259">
        <f t="shared" ca="1" si="717"/>
        <v>0</v>
      </c>
      <c r="FB321" s="259">
        <f t="shared" ca="1" si="718"/>
        <v>0</v>
      </c>
      <c r="FC321" s="259">
        <f t="shared" ca="1" si="719"/>
        <v>0</v>
      </c>
      <c r="FD321" s="259">
        <f t="shared" ca="1" si="665"/>
        <v>0</v>
      </c>
      <c r="FE321" s="259" t="str">
        <f t="shared" ca="1" si="666"/>
        <v/>
      </c>
      <c r="FF321" s="259" t="str">
        <f t="shared" ca="1" si="720"/>
        <v/>
      </c>
      <c r="FM321" s="259">
        <f t="shared" si="667"/>
        <v>0</v>
      </c>
      <c r="FN321" s="259">
        <f>IF(FM321&lt;0,MAX($FN$2:FN320)+1,0)</f>
        <v>0</v>
      </c>
      <c r="FO321" s="259" t="str">
        <f t="shared" si="673"/>
        <v/>
      </c>
      <c r="FP321" s="259" t="str">
        <f ca="1">IFERROR(INDEX($FN$3:$FO$400,MATCH(ROWS($FP$3:FP321),$FN$3:$FN$400,0),2),"")</f>
        <v/>
      </c>
      <c r="FQ321" s="259" t="str">
        <f>IF(AE321="SE AVERE",MAX($FQ$2:FQ320)+1,"")</f>
        <v/>
      </c>
      <c r="FR321" s="259" t="str">
        <f>IF(AE321="SE DARE",MAX($FR$2:FR320)+1,"")</f>
        <v/>
      </c>
      <c r="FS321" s="259" t="str">
        <f ca="1">IF(AND(AE321="SP DARE",AA321&lt;&gt;$FS$1,AA321&lt;&gt;$FT$1),MAX($FS$2:FS320)+1,IF(AND(GQ321="SP DARE",AA321&lt;&gt;$FS$1,AA321&lt;&gt;$FT$1),MAX($FS$2:FS320)+1,""))</f>
        <v/>
      </c>
      <c r="FT321" s="259" t="str">
        <f ca="1">IF(AND(AE321="SP AVERE",AA321&lt;&gt;$FU$1),MAX($FT$2:FT320)+1,IF(AND(GQ321="SP AVERE",AA321&lt;&gt;$FU$1),MAX($FT$2:FT320)+1,""))</f>
        <v/>
      </c>
      <c r="FU321" s="259">
        <f t="shared" ca="1" si="674"/>
        <v>0</v>
      </c>
      <c r="FV321" s="259">
        <f t="shared" si="675"/>
        <v>0</v>
      </c>
      <c r="FW321" s="259">
        <f ca="1">IFERROR(INDEX($FU$3:$FV$500,MATCH(ROWS($FW$3:FW321),$FU$3:$FU$500,0),2),0)</f>
        <v>0</v>
      </c>
      <c r="FX321" s="259">
        <f t="shared" ca="1" si="676"/>
        <v>0</v>
      </c>
      <c r="FY321" s="259">
        <f t="shared" ca="1" si="677"/>
        <v>0</v>
      </c>
      <c r="FZ321" s="259">
        <f ca="1">IF(FY321&gt;0,MAX($FZ$2:FZ320)+1,0)</f>
        <v>0</v>
      </c>
      <c r="GA321" s="259">
        <f ca="1">IFERROR(INDEX($FY$3:$FZ$500,MATCH(ROWS($GA$3:GA321),$FZ$3:$FZ$500,0),1),0)</f>
        <v>0</v>
      </c>
      <c r="GC321" s="259">
        <f t="shared" ca="1" si="678"/>
        <v>0</v>
      </c>
      <c r="GD321" s="259">
        <f t="shared" ca="1" si="679"/>
        <v>0</v>
      </c>
      <c r="GG321" s="259">
        <f t="shared" ca="1" si="680"/>
        <v>0</v>
      </c>
      <c r="GH321" s="259">
        <f t="shared" ca="1" si="681"/>
        <v>0</v>
      </c>
      <c r="GI321" s="259">
        <f t="shared" ca="1" si="682"/>
        <v>0</v>
      </c>
      <c r="GJ321" s="259">
        <f t="shared" ca="1" si="683"/>
        <v>0</v>
      </c>
      <c r="GK321" s="259">
        <f t="shared" ca="1" si="684"/>
        <v>0</v>
      </c>
      <c r="GL321" s="259">
        <f t="shared" ca="1" si="684"/>
        <v>0</v>
      </c>
      <c r="GM321" s="259">
        <f ca="1">IF(OR(GK321&gt;0,GL321&gt;0),MAX($GM$2:GM320)+1,0)</f>
        <v>0</v>
      </c>
      <c r="GN321" s="259" t="str">
        <f ca="1">IFERROR(INDEX($GD$3:$GM$400,MATCH(ROWS($GN$3:GN321),$GM$3:$GM$400,0),1),"")</f>
        <v/>
      </c>
      <c r="GO321" s="259" t="str">
        <f ca="1">IFERROR(INDEX($GD$3:$GM$400,MATCH(ROWS($GO$3:GO321),$GM$3:$GM$400,0),8),"")</f>
        <v/>
      </c>
      <c r="GP321" s="259" t="str">
        <f ca="1">IFERROR(INDEX($GD$3:$GM$400,MATCH(ROWS($GP$3:GP321),$GM$3:$GM$400,0),9),"")</f>
        <v/>
      </c>
      <c r="GQ321" s="259">
        <f t="shared" ca="1" si="668"/>
        <v>0</v>
      </c>
      <c r="GR321" s="259">
        <f t="shared" ca="1" si="685"/>
        <v>0</v>
      </c>
      <c r="GS321" s="259" t="str">
        <f t="shared" ca="1" si="686"/>
        <v/>
      </c>
      <c r="GT321" s="259" t="str">
        <f ca="1">IFERROR(INDEX($GD$3:$GS$400,MATCH(ROWS($GT$3:GT321),$GM$3:$GM$400,0),16),"")</f>
        <v/>
      </c>
      <c r="GU321" s="259">
        <f ca="1">IF(GQ321&lt;&gt;0,MAX($GU$2:$GU320)+1,0)</f>
        <v>0</v>
      </c>
      <c r="GV321" s="259">
        <f t="shared" ca="1" si="687"/>
        <v>0</v>
      </c>
      <c r="GW321" s="259" t="str">
        <f ca="1">IF(AND(IFERROR(INDEX($GU$3:$GV$400,MATCH(ROWS($GW$3:GW321),$GU$3:$GU$400,0),2),"")&lt;&gt;"",GW322&lt;&gt;""),CONCATENATE(IFERROR(INDEX($GU$3:$GV$400,MATCH(ROWS($GW$3:GW321),$GU$3:$GU$400,0),2),"")," - "),IFERROR(INDEX($GU$3:$GV$400,MATCH(ROWS($GW$3:GW321),$GU$3:$GU$400,0),2),""))</f>
        <v/>
      </c>
      <c r="GX321" s="259">
        <f ca="1">IF(OR(GN321="IVA NS/CREDITO",GN321="IVA NS/DEBITO",GN321="IVA C/ACCONTO",GN321="IMPOSTE C/ACCONTO"),MAX($GX$2:GX320)+1,0)</f>
        <v>0</v>
      </c>
      <c r="GY321" s="259" t="str">
        <f ca="1">IF(AND(IFERROR(INDEX($GN$3:$GX$200,MATCH(ROWS($GY$3:GY321),$GX$3:$GX$200,0),1),"")&lt;&gt;"",GY322&lt;&gt;""),CONCATENATE(IFERROR(INDEX($GN$3:$GX$200,MATCH(ROWS($GY$3:GY321),$GX$3:$GX$200,0),1),"")," - "),IFERROR(INDEX($GN$3:$GX$200,MATCH(ROWS($GY$3:GY321),$GX$3:$GX$200,0),1),""))</f>
        <v/>
      </c>
      <c r="JA321" s="259" t="str">
        <f t="shared" ca="1" si="688"/>
        <v/>
      </c>
      <c r="JB321" s="259">
        <f t="shared" ca="1" si="669"/>
        <v>0</v>
      </c>
      <c r="JC321" s="259">
        <f t="shared" ca="1" si="721"/>
        <v>0</v>
      </c>
      <c r="JD321" s="259">
        <f t="shared" ca="1" si="722"/>
        <v>0</v>
      </c>
      <c r="JM321" s="259">
        <f t="shared" ca="1" si="723"/>
        <v>0</v>
      </c>
    </row>
    <row r="322" spans="52:273">
      <c r="AZ322" s="259" t="str">
        <f t="shared" ca="1" si="689"/>
        <v/>
      </c>
      <c r="BA322" s="259">
        <f t="shared" ca="1" si="713"/>
        <v>0</v>
      </c>
      <c r="BB322" s="259">
        <f t="shared" ca="1" si="690"/>
        <v>0</v>
      </c>
      <c r="BC322" s="259">
        <f t="shared" ca="1" si="691"/>
        <v>0</v>
      </c>
      <c r="BD322" s="259">
        <f t="shared" ca="1" si="692"/>
        <v>0</v>
      </c>
      <c r="BE322" s="259">
        <f t="shared" ca="1" si="693"/>
        <v>0</v>
      </c>
      <c r="BQ322" s="259" t="str">
        <f ca="1">IFERROR(INDEX($BN$3:$BO$200,MATCH(ROWS(BQ$3:BQ322),$BP$3:$BP$220,0),1),"")</f>
        <v/>
      </c>
      <c r="CX322" s="259">
        <f t="shared" ca="1" si="726"/>
        <v>18</v>
      </c>
      <c r="CY322" s="259" t="str">
        <f t="shared" ca="1" si="724"/>
        <v>MASTRO</v>
      </c>
      <c r="CZ322" s="259" t="e">
        <f t="shared" ca="1" si="728"/>
        <v>#N/A</v>
      </c>
      <c r="DA322" s="259" t="str">
        <f t="shared" ca="1" si="733"/>
        <v/>
      </c>
      <c r="DB322" s="259" t="str">
        <f t="shared" ca="1" si="729"/>
        <v/>
      </c>
      <c r="DC322" s="259" t="str">
        <f t="shared" ca="1" si="730"/>
        <v/>
      </c>
      <c r="DD322" s="259" t="str">
        <f t="shared" ca="1" si="731"/>
        <v/>
      </c>
      <c r="DE322" s="259" t="str">
        <f t="shared" ca="1" si="732"/>
        <v/>
      </c>
      <c r="DF322" s="259">
        <f ca="1">IF(AND(CX322=$DE$2,$DF$2&lt;&gt;0),0,IF(AND(DB322&lt;&gt;"",OR(DB321&lt;&gt;"",DB323&lt;&gt;"")),MAX($DF$2:DF321)+1,0))</f>
        <v>0</v>
      </c>
      <c r="DG322" s="259" t="str">
        <f>IF(IF(LIBRO_GIORNALE!E230="","",IFERROR(INDEX(PIANO_DEI_CONTI,MATCH(BB322,DENOMINAZIONE,0),1),0))=0,"",IF(LIBRO_GIORNALE!E230="","",IFERROR(INDEX(PIANO_DEI_CONTI,MATCH(BB322,DENOMINAZIONE,0),1),0)))</f>
        <v/>
      </c>
      <c r="EC322" s="259">
        <f>IF(IF(DG322&lt;&gt;"",REPLACE(DG322,3,1,""),0)&lt;&gt;0,MAX(EC$2:EC321)+1,0)</f>
        <v>0</v>
      </c>
      <c r="ED322" s="259">
        <f t="shared" ca="1" si="662"/>
        <v>0</v>
      </c>
      <c r="EL322" s="259">
        <f t="shared" si="670"/>
        <v>320</v>
      </c>
      <c r="EM322" s="259">
        <f ca="1">IF(AND(BA322&gt;0,BA322&lt;=$EM$1),MAX($EM$2:EM321)+1,0)</f>
        <v>0</v>
      </c>
      <c r="EN322" s="259">
        <f t="shared" ca="1" si="671"/>
        <v>322</v>
      </c>
      <c r="EP322" s="259" t="str">
        <f t="shared" ca="1" si="663"/>
        <v/>
      </c>
      <c r="EQ322" s="259">
        <f t="shared" ca="1" si="664"/>
        <v>0</v>
      </c>
      <c r="ER322" s="259">
        <f ca="1">IF(ISNA(EQ322),MAX(ER$2:ER321)+1,0)</f>
        <v>0</v>
      </c>
      <c r="ES322" s="259" t="str">
        <f t="shared" ca="1" si="672"/>
        <v/>
      </c>
      <c r="ET322" s="259" t="str">
        <f ca="1">IFERROR(UPPER(INDEX($ER$3:$ES$500,MATCH(ROWS(ET$3:ET322),$ER$3:$ER$500,0),2)),"")</f>
        <v/>
      </c>
      <c r="EW322" s="259">
        <f t="shared" ca="1" si="714"/>
        <v>1</v>
      </c>
      <c r="EX322" s="259">
        <v>220</v>
      </c>
      <c r="EY322" s="259">
        <f t="shared" ca="1" si="715"/>
        <v>0</v>
      </c>
      <c r="EZ322" s="259">
        <f t="shared" ca="1" si="716"/>
        <v>0</v>
      </c>
      <c r="FA322" s="259">
        <f t="shared" ca="1" si="717"/>
        <v>0</v>
      </c>
      <c r="FB322" s="259">
        <f t="shared" ca="1" si="718"/>
        <v>0</v>
      </c>
      <c r="FC322" s="259">
        <f t="shared" ca="1" si="719"/>
        <v>0</v>
      </c>
      <c r="FD322" s="259">
        <f t="shared" ca="1" si="665"/>
        <v>0</v>
      </c>
      <c r="FE322" s="259" t="str">
        <f t="shared" ca="1" si="666"/>
        <v/>
      </c>
      <c r="FF322" s="259" t="str">
        <f t="shared" ca="1" si="720"/>
        <v/>
      </c>
      <c r="FM322" s="259">
        <f t="shared" si="667"/>
        <v>0</v>
      </c>
      <c r="FN322" s="259">
        <f>IF(FM322&lt;0,MAX($FN$2:FN321)+1,0)</f>
        <v>0</v>
      </c>
      <c r="FO322" s="259" t="str">
        <f t="shared" si="673"/>
        <v/>
      </c>
      <c r="FP322" s="259" t="str">
        <f ca="1">IFERROR(INDEX($FN$3:$FO$400,MATCH(ROWS($FP$3:FP322),$FN$3:$FN$400,0),2),"")</f>
        <v/>
      </c>
      <c r="FQ322" s="259" t="str">
        <f>IF(AE322="SE AVERE",MAX($FQ$2:FQ321)+1,"")</f>
        <v/>
      </c>
      <c r="FR322" s="259" t="str">
        <f>IF(AE322="SE DARE",MAX($FR$2:FR321)+1,"")</f>
        <v/>
      </c>
      <c r="FS322" s="259" t="str">
        <f ca="1">IF(AND(AE322="SP DARE",AA322&lt;&gt;$FS$1,AA322&lt;&gt;$FT$1),MAX($FS$2:FS321)+1,IF(AND(GQ322="SP DARE",AA322&lt;&gt;$FS$1,AA322&lt;&gt;$FT$1),MAX($FS$2:FS321)+1,""))</f>
        <v/>
      </c>
      <c r="FT322" s="259" t="str">
        <f ca="1">IF(AND(AE322="SP AVERE",AA322&lt;&gt;$FU$1),MAX($FT$2:FT321)+1,IF(AND(GQ322="SP AVERE",AA322&lt;&gt;$FU$1),MAX($FT$2:FT321)+1,""))</f>
        <v/>
      </c>
      <c r="FU322" s="259">
        <f t="shared" ca="1" si="674"/>
        <v>0</v>
      </c>
      <c r="FV322" s="259">
        <f t="shared" si="675"/>
        <v>0</v>
      </c>
      <c r="FW322" s="259">
        <f ca="1">IFERROR(INDEX($FU$3:$FV$500,MATCH(ROWS($FW$3:FW322),$FU$3:$FU$500,0),2),0)</f>
        <v>0</v>
      </c>
      <c r="FX322" s="259">
        <f t="shared" ca="1" si="676"/>
        <v>0</v>
      </c>
      <c r="FY322" s="259">
        <f t="shared" ca="1" si="677"/>
        <v>0</v>
      </c>
      <c r="FZ322" s="259">
        <f ca="1">IF(FY322&gt;0,MAX($FZ$2:FZ321)+1,0)</f>
        <v>0</v>
      </c>
      <c r="GA322" s="259">
        <f ca="1">IFERROR(INDEX($FY$3:$FZ$500,MATCH(ROWS($GA$3:GA322),$FZ$3:$FZ$500,0),1),0)</f>
        <v>0</v>
      </c>
      <c r="GC322" s="259">
        <f t="shared" ca="1" si="678"/>
        <v>0</v>
      </c>
      <c r="GD322" s="259">
        <f t="shared" ca="1" si="679"/>
        <v>0</v>
      </c>
      <c r="GG322" s="259">
        <f t="shared" ca="1" si="680"/>
        <v>0</v>
      </c>
      <c r="GH322" s="259">
        <f t="shared" ca="1" si="681"/>
        <v>0</v>
      </c>
      <c r="GI322" s="259">
        <f t="shared" ca="1" si="682"/>
        <v>0</v>
      </c>
      <c r="GJ322" s="259">
        <f t="shared" ca="1" si="683"/>
        <v>0</v>
      </c>
      <c r="GK322" s="259">
        <f t="shared" ca="1" si="684"/>
        <v>0</v>
      </c>
      <c r="GL322" s="259">
        <f t="shared" ca="1" si="684"/>
        <v>0</v>
      </c>
      <c r="GM322" s="259">
        <f ca="1">IF(OR(GK322&gt;0,GL322&gt;0),MAX($GM$2:GM321)+1,0)</f>
        <v>0</v>
      </c>
      <c r="GN322" s="259" t="str">
        <f ca="1">IFERROR(INDEX($GD$3:$GM$400,MATCH(ROWS($GN$3:GN322),$GM$3:$GM$400,0),1),"")</f>
        <v/>
      </c>
      <c r="GO322" s="259" t="str">
        <f ca="1">IFERROR(INDEX($GD$3:$GM$400,MATCH(ROWS($GO$3:GO322),$GM$3:$GM$400,0),8),"")</f>
        <v/>
      </c>
      <c r="GP322" s="259" t="str">
        <f ca="1">IFERROR(INDEX($GD$3:$GM$400,MATCH(ROWS($GP$3:GP322),$GM$3:$GM$400,0),9),"")</f>
        <v/>
      </c>
      <c r="GQ322" s="259">
        <f t="shared" ca="1" si="668"/>
        <v>0</v>
      </c>
      <c r="GR322" s="259">
        <f t="shared" ca="1" si="685"/>
        <v>0</v>
      </c>
      <c r="GS322" s="259" t="str">
        <f t="shared" ca="1" si="686"/>
        <v/>
      </c>
      <c r="GT322" s="259" t="str">
        <f ca="1">IFERROR(INDEX($GD$3:$GS$400,MATCH(ROWS($GT$3:GT322),$GM$3:$GM$400,0),16),"")</f>
        <v/>
      </c>
      <c r="GU322" s="259">
        <f ca="1">IF(GQ322&lt;&gt;0,MAX($GU$2:$GU321)+1,0)</f>
        <v>0</v>
      </c>
      <c r="GV322" s="259">
        <f t="shared" ca="1" si="687"/>
        <v>0</v>
      </c>
      <c r="GW322" s="259" t="str">
        <f ca="1">IF(AND(IFERROR(INDEX($GU$3:$GV$400,MATCH(ROWS($GW$3:GW322),$GU$3:$GU$400,0),2),"")&lt;&gt;"",GW323&lt;&gt;""),CONCATENATE(IFERROR(INDEX($GU$3:$GV$400,MATCH(ROWS($GW$3:GW322),$GU$3:$GU$400,0),2),"")," - "),IFERROR(INDEX($GU$3:$GV$400,MATCH(ROWS($GW$3:GW322),$GU$3:$GU$400,0),2),""))</f>
        <v/>
      </c>
      <c r="GX322" s="259">
        <f ca="1">IF(OR(GN322="IVA NS/CREDITO",GN322="IVA NS/DEBITO",GN322="IVA C/ACCONTO",GN322="IMPOSTE C/ACCONTO"),MAX($GX$2:GX321)+1,0)</f>
        <v>0</v>
      </c>
      <c r="GY322" s="259" t="str">
        <f ca="1">IF(AND(IFERROR(INDEX($GN$3:$GX$200,MATCH(ROWS($GY$3:GY322),$GX$3:$GX$200,0),1),"")&lt;&gt;"",GY323&lt;&gt;""),CONCATENATE(IFERROR(INDEX($GN$3:$GX$200,MATCH(ROWS($GY$3:GY322),$GX$3:$GX$200,0),1),"")," - "),IFERROR(INDEX($GN$3:$GX$200,MATCH(ROWS($GY$3:GY322),$GX$3:$GX$200,0),1),""))</f>
        <v/>
      </c>
      <c r="JA322" s="259" t="str">
        <f t="shared" ca="1" si="688"/>
        <v/>
      </c>
      <c r="JB322" s="259">
        <f t="shared" ca="1" si="669"/>
        <v>0</v>
      </c>
      <c r="JC322" s="259">
        <f t="shared" ca="1" si="721"/>
        <v>0</v>
      </c>
      <c r="JD322" s="259">
        <f t="shared" ca="1" si="722"/>
        <v>0</v>
      </c>
      <c r="JM322" s="259">
        <f t="shared" ca="1" si="723"/>
        <v>0</v>
      </c>
    </row>
    <row r="323" spans="52:273">
      <c r="AZ323" s="259" t="str">
        <f t="shared" ca="1" si="689"/>
        <v/>
      </c>
      <c r="BA323" s="259">
        <f t="shared" ca="1" si="713"/>
        <v>0</v>
      </c>
      <c r="BB323" s="259">
        <f t="shared" ca="1" si="690"/>
        <v>0</v>
      </c>
      <c r="BC323" s="259">
        <f t="shared" ca="1" si="691"/>
        <v>0</v>
      </c>
      <c r="BD323" s="259">
        <f t="shared" ca="1" si="692"/>
        <v>0</v>
      </c>
      <c r="BE323" s="259">
        <f t="shared" ca="1" si="693"/>
        <v>0</v>
      </c>
      <c r="BQ323" s="259" t="str">
        <f ca="1">IFERROR(INDEX($BN$3:$BO$200,MATCH(ROWS(BQ$3:BQ323),$BP$3:$BP$220,0),1),"")</f>
        <v/>
      </c>
      <c r="CX323" s="259">
        <f t="shared" ca="1" si="726"/>
        <v>18</v>
      </c>
      <c r="CY323" s="259" t="str">
        <f t="shared" ca="1" si="724"/>
        <v>MASTRO</v>
      </c>
      <c r="CZ323" s="259" t="e">
        <f t="shared" ca="1" si="728"/>
        <v>#N/A</v>
      </c>
      <c r="DA323" s="259" t="str">
        <f t="shared" ca="1" si="733"/>
        <v/>
      </c>
      <c r="DB323" s="259" t="str">
        <f t="shared" ca="1" si="729"/>
        <v/>
      </c>
      <c r="DC323" s="259" t="str">
        <f t="shared" ca="1" si="730"/>
        <v/>
      </c>
      <c r="DD323" s="259" t="str">
        <f t="shared" ca="1" si="731"/>
        <v/>
      </c>
      <c r="DE323" s="259" t="str">
        <f t="shared" ca="1" si="732"/>
        <v/>
      </c>
      <c r="DF323" s="259">
        <f ca="1">IF(AND(CX323=$DE$2,$DF$2&lt;&gt;0),0,IF(AND(DB323&lt;&gt;"",OR(DB322&lt;&gt;"",DB324&lt;&gt;"")),MAX($DF$2:DF322)+1,0))</f>
        <v>0</v>
      </c>
      <c r="DG323" s="259" t="str">
        <f>IF(IF(LIBRO_GIORNALE!E231="","",IFERROR(INDEX(PIANO_DEI_CONTI,MATCH(BB323,DENOMINAZIONE,0),1),0))=0,"",IF(LIBRO_GIORNALE!E231="","",IFERROR(INDEX(PIANO_DEI_CONTI,MATCH(BB323,DENOMINAZIONE,0),1),0)))</f>
        <v/>
      </c>
      <c r="EC323" s="259">
        <f>IF(IF(DG323&lt;&gt;"",REPLACE(DG323,3,1,""),0)&lt;&gt;0,MAX(EC$2:EC322)+1,0)</f>
        <v>0</v>
      </c>
      <c r="ED323" s="259">
        <f t="shared" ref="ED323:ED386" ca="1" si="734">IFERROR(INDEX(PIANO_DEI_CONTI,MATCH(BB323,DENOMINAZIONE,0),5),"")</f>
        <v>0</v>
      </c>
      <c r="EL323" s="259">
        <f t="shared" si="670"/>
        <v>321</v>
      </c>
      <c r="EM323" s="259">
        <f ca="1">IF(AND(BA323&gt;0,BA323&lt;=$EM$1),MAX($EM$2:EM322)+1,0)</f>
        <v>0</v>
      </c>
      <c r="EN323" s="259">
        <f t="shared" ca="1" si="671"/>
        <v>323</v>
      </c>
      <c r="EP323" s="259" t="str">
        <f t="shared" ref="EP323:EP386" ca="1" si="735">IFERROR(INDEX(PIANO_DEI_CONTI,MATCH(EZ323,DENOMINAZIONE,0),7),"")</f>
        <v/>
      </c>
      <c r="EQ323" s="259">
        <f t="shared" ref="EQ323:EQ363" ca="1" si="736">IF(AND(EZ323&lt;&gt;0,EY323&lt;=FINE_AC),INDEX(PIANO_DEI_CONTI,MATCH(EZ323,DENOMINAZIONE,0),1),0)</f>
        <v>0</v>
      </c>
      <c r="ER323" s="259">
        <f ca="1">IF(ISNA(EQ323),MAX(ER$2:ER322)+1,0)</f>
        <v>0</v>
      </c>
      <c r="ES323" s="259" t="str">
        <f t="shared" ca="1" si="672"/>
        <v/>
      </c>
      <c r="ET323" s="259" t="str">
        <f ca="1">IFERROR(UPPER(INDEX($ER$3:$ES$500,MATCH(ROWS(ET$3:ET323),$ER$3:$ER$500,0),2)),"")</f>
        <v/>
      </c>
      <c r="EW323" s="259">
        <f t="shared" ca="1" si="714"/>
        <v>1</v>
      </c>
      <c r="EX323" s="259">
        <v>221</v>
      </c>
      <c r="EY323" s="259">
        <f t="shared" ca="1" si="715"/>
        <v>0</v>
      </c>
      <c r="EZ323" s="259">
        <f t="shared" ca="1" si="716"/>
        <v>0</v>
      </c>
      <c r="FA323" s="259">
        <f t="shared" ca="1" si="717"/>
        <v>0</v>
      </c>
      <c r="FB323" s="259">
        <f t="shared" ca="1" si="718"/>
        <v>0</v>
      </c>
      <c r="FC323" s="259">
        <f t="shared" ca="1" si="719"/>
        <v>0</v>
      </c>
      <c r="FD323" s="259">
        <f t="shared" ref="FD323:FD386" ca="1" si="737">IFERROR(INDEX(PIANO_DEI_CONTI,MATCH(EZ323,DENOMINAZIONE,0),6),"")</f>
        <v>0</v>
      </c>
      <c r="FE323" s="259" t="str">
        <f t="shared" ref="FE323:FE386" ca="1" si="738">IFERROR(IF(EZ323&lt;&gt;0,INDEX(PIANO_DEI_CONTI,MATCH(EZ323,DENOMINAZIONE,0),1),""),"")</f>
        <v/>
      </c>
      <c r="FF323" s="259" t="str">
        <f t="shared" ca="1" si="720"/>
        <v/>
      </c>
      <c r="FM323" s="259">
        <f t="shared" ref="FM323:FM386" si="739">IF(AND(AC323="d",AE323="SP DARE"),SUMIFS(dare_grezzo,den_grezzo,AA323,data_grezzo,"&lt;="&amp;FINE_AC,data_grezzo,"&gt;="&amp;INIZIO_A_PC)-SUMIFS(avere_grezzo,den_grezzo,AA323,data_grezzo,"&lt;="&amp;FINE_AC,data_grezzo,"&gt;="&amp;INIZIO_A_PC),IF(AND(AC323="a",AE323="SP AVERE"),SUMIFS(avere_grezzo,den_grezzo,AA323,data_grezzo,"&lt;="&amp;FINE_AC,data_grezzo,"&gt;="&amp;INIZIO_A_PC)-SUMIFS(dare_grezzo,den_grezzo,AA323,data_grezzo,"&lt;="&amp;FINE_AC,data_grezzo,"&gt;="&amp;INIZIO_A_PC),IF(AND(AC323="d",AE323="SE DARE"),SUMIFS(dare_grezzo,den_grezzo,AA323,data_grezzo,"&lt;="&amp;FINE_AC,data_grezzo,"&gt;="&amp;INIZIO_A_PC)-SUMIFS(avere_grezzo,den_grezzo,AA323,data_grezzo,"&lt;="&amp;FINE_AC,data_grezzo,"&gt;="&amp;INIZIO_A_PC),IF(AND(AC323="a",AE323="SE AVERE"),SUMIFS(avere_grezzo,den_grezzo,AA323,data_grezzo,"&lt;="&amp;FINE_AC,data_grezzo,"&gt;="&amp;INIZIO_A_PC)-SUMIFS(dare_grezzo,den_grezzo,AA323,data_grezzo,"&lt;="&amp;FINE_AC,data_grezzo,"&gt;="&amp;INIZIO_A_PC),0))))</f>
        <v>0</v>
      </c>
      <c r="FN323" s="259">
        <f>IF(FM323&lt;0,MAX($FN$2:FN322)+1,0)</f>
        <v>0</v>
      </c>
      <c r="FO323" s="259" t="str">
        <f t="shared" si="673"/>
        <v/>
      </c>
      <c r="FP323" s="259" t="str">
        <f ca="1">IFERROR(INDEX($FN$3:$FO$400,MATCH(ROWS($FP$3:FP323),$FN$3:$FN$400,0),2),"")</f>
        <v/>
      </c>
      <c r="FQ323" s="259" t="str">
        <f>IF(AE323="SE AVERE",MAX($FQ$2:FQ322)+1,"")</f>
        <v/>
      </c>
      <c r="FR323" s="259" t="str">
        <f>IF(AE323="SE DARE",MAX($FR$2:FR322)+1,"")</f>
        <v/>
      </c>
      <c r="FS323" s="259" t="str">
        <f ca="1">IF(AND(AE323="SP DARE",AA323&lt;&gt;$FS$1,AA323&lt;&gt;$FT$1),MAX($FS$2:FS322)+1,IF(AND(GQ323="SP DARE",AA323&lt;&gt;$FS$1,AA323&lt;&gt;$FT$1),MAX($FS$2:FS322)+1,""))</f>
        <v/>
      </c>
      <c r="FT323" s="259" t="str">
        <f ca="1">IF(AND(AE323="SP AVERE",AA323&lt;&gt;$FU$1),MAX($FT$2:FT322)+1,IF(AND(GQ323="SP AVERE",AA323&lt;&gt;$FU$1),MAX($FT$2:FT322)+1,""))</f>
        <v/>
      </c>
      <c r="FU323" s="259">
        <f t="shared" ca="1" si="674"/>
        <v>0</v>
      </c>
      <c r="FV323" s="259">
        <f t="shared" si="675"/>
        <v>0</v>
      </c>
      <c r="FW323" s="259">
        <f ca="1">IFERROR(INDEX($FU$3:$FV$500,MATCH(ROWS($FW$3:FW323),$FU$3:$FU$500,0),2),0)</f>
        <v>0</v>
      </c>
      <c r="FX323" s="259">
        <f t="shared" ca="1" si="676"/>
        <v>0</v>
      </c>
      <c r="FY323" s="259">
        <f t="shared" ca="1" si="677"/>
        <v>0</v>
      </c>
      <c r="FZ323" s="259">
        <f ca="1">IF(FY323&gt;0,MAX($FZ$2:FZ322)+1,0)</f>
        <v>0</v>
      </c>
      <c r="GA323" s="259">
        <f ca="1">IFERROR(INDEX($FY$3:$FZ$500,MATCH(ROWS($GA$3:GA323),$FZ$3:$FZ$500,0),1),0)</f>
        <v>0</v>
      </c>
      <c r="GC323" s="259">
        <f t="shared" ca="1" si="678"/>
        <v>0</v>
      </c>
      <c r="GD323" s="259">
        <f t="shared" ca="1" si="679"/>
        <v>0</v>
      </c>
      <c r="GG323" s="259">
        <f t="shared" ca="1" si="680"/>
        <v>0</v>
      </c>
      <c r="GH323" s="259">
        <f t="shared" ca="1" si="681"/>
        <v>0</v>
      </c>
      <c r="GI323" s="259">
        <f t="shared" ca="1" si="682"/>
        <v>0</v>
      </c>
      <c r="GJ323" s="259">
        <f t="shared" ca="1" si="683"/>
        <v>0</v>
      </c>
      <c r="GK323" s="259">
        <f t="shared" ca="1" si="684"/>
        <v>0</v>
      </c>
      <c r="GL323" s="259">
        <f t="shared" ca="1" si="684"/>
        <v>0</v>
      </c>
      <c r="GM323" s="259">
        <f ca="1">IF(OR(GK323&gt;0,GL323&gt;0),MAX($GM$2:GM322)+1,0)</f>
        <v>0</v>
      </c>
      <c r="GN323" s="259" t="str">
        <f ca="1">IFERROR(INDEX($GD$3:$GM$400,MATCH(ROWS($GN$3:GN323),$GM$3:$GM$400,0),1),"")</f>
        <v/>
      </c>
      <c r="GO323" s="259" t="str">
        <f ca="1">IFERROR(INDEX($GD$3:$GM$400,MATCH(ROWS($GO$3:GO323),$GM$3:$GM$400,0),8),"")</f>
        <v/>
      </c>
      <c r="GP323" s="259" t="str">
        <f ca="1">IFERROR(INDEX($GD$3:$GM$400,MATCH(ROWS($GP$3:GP323),$GM$3:$GM$400,0),9),"")</f>
        <v/>
      </c>
      <c r="GQ323" s="259">
        <f t="shared" ref="GQ323:GQ386" ca="1" si="740">IF(AND(AE323="sp dare/avere",SUMIFS(dare_grezzo,den_grezzo,"="&amp;AA323,data_grezzo,"&gt;="&amp;INIZIO_A_PC,data_grezzo,"&lt;="&amp;FINE_AC)&gt;SUMIFS(avere_grezzo,den_grezzo,"="&amp;AA323,data_grezzo,"&gt;="&amp;INIZIO_A_PC,data_grezzo,"&lt;="&amp;FINE_AC)),"SP DARE",IF(AND(AE323="sp dare/avere",SUMIFS(dare_grezzo,den_grezzo,"="&amp;AA323,data_grezzo,"&gt;="&amp;INIZIO_A_PC,data_grezzo,"&lt;="&amp;FINE_AC)&lt;SUMIFS(avere_grezzo,den_grezzo,"="&amp;AA323,data_grezzo,"&gt;="&amp;INIZIO_A_PC,data_grezzo,"&lt;="&amp;FINE_AC)),"SP AVERE",0))</f>
        <v>0</v>
      </c>
      <c r="GR323" s="259">
        <f t="shared" ca="1" si="685"/>
        <v>0</v>
      </c>
      <c r="GS323" s="259" t="str">
        <f t="shared" ca="1" si="686"/>
        <v/>
      </c>
      <c r="GT323" s="259" t="str">
        <f ca="1">IFERROR(INDEX($GD$3:$GS$400,MATCH(ROWS($GT$3:GT323),$GM$3:$GM$400,0),16),"")</f>
        <v/>
      </c>
      <c r="GU323" s="259">
        <f ca="1">IF(GQ323&lt;&gt;0,MAX($GU$2:$GU322)+1,0)</f>
        <v>0</v>
      </c>
      <c r="GV323" s="259">
        <f t="shared" ca="1" si="687"/>
        <v>0</v>
      </c>
      <c r="GW323" s="259" t="str">
        <f ca="1">IF(AND(IFERROR(INDEX($GU$3:$GV$400,MATCH(ROWS($GW$3:GW323),$GU$3:$GU$400,0),2),"")&lt;&gt;"",GW324&lt;&gt;""),CONCATENATE(IFERROR(INDEX($GU$3:$GV$400,MATCH(ROWS($GW$3:GW323),$GU$3:$GU$400,0),2),"")," - "),IFERROR(INDEX($GU$3:$GV$400,MATCH(ROWS($GW$3:GW323),$GU$3:$GU$400,0),2),""))</f>
        <v/>
      </c>
      <c r="GX323" s="259">
        <f ca="1">IF(OR(GN323="IVA NS/CREDITO",GN323="IVA NS/DEBITO",GN323="IVA C/ACCONTO",GN323="IMPOSTE C/ACCONTO"),MAX($GX$2:GX322)+1,0)</f>
        <v>0</v>
      </c>
      <c r="GY323" s="259" t="str">
        <f ca="1">IF(AND(IFERROR(INDEX($GN$3:$GX$200,MATCH(ROWS($GY$3:GY323),$GX$3:$GX$200,0),1),"")&lt;&gt;"",GY324&lt;&gt;""),CONCATENATE(IFERROR(INDEX($GN$3:$GX$200,MATCH(ROWS($GY$3:GY323),$GX$3:$GX$200,0),1),"")," - "),IFERROR(INDEX($GN$3:$GX$200,MATCH(ROWS($GY$3:GY323),$GX$3:$GX$200,0),1),""))</f>
        <v/>
      </c>
      <c r="JA323" s="259" t="str">
        <f t="shared" ca="1" si="688"/>
        <v/>
      </c>
      <c r="JB323" s="259">
        <f t="shared" ref="JB323:JB386" ca="1" si="741">IFERROR(INDEX(PIANO_DEI_CONTI,MATCH(EZ323,DENOMINAZIONE,0),5),"")</f>
        <v>0</v>
      </c>
      <c r="JC323" s="259">
        <f t="shared" ca="1" si="721"/>
        <v>0</v>
      </c>
      <c r="JD323" s="259">
        <f t="shared" ca="1" si="722"/>
        <v>0</v>
      </c>
      <c r="JM323" s="259">
        <f t="shared" ca="1" si="723"/>
        <v>0</v>
      </c>
    </row>
    <row r="324" spans="52:273">
      <c r="AZ324" s="259" t="str">
        <f t="shared" ca="1" si="689"/>
        <v/>
      </c>
      <c r="BA324" s="259">
        <f t="shared" ca="1" si="713"/>
        <v>0</v>
      </c>
      <c r="BB324" s="259">
        <f t="shared" ca="1" si="690"/>
        <v>0</v>
      </c>
      <c r="BC324" s="259">
        <f t="shared" ca="1" si="691"/>
        <v>0</v>
      </c>
      <c r="BD324" s="259">
        <f t="shared" ca="1" si="692"/>
        <v>0</v>
      </c>
      <c r="BE324" s="259">
        <f t="shared" ca="1" si="693"/>
        <v>0</v>
      </c>
      <c r="BQ324" s="259" t="str">
        <f ca="1">IFERROR(INDEX($BN$3:$BO$200,MATCH(ROWS(BQ$3:BQ324),$BP$3:$BP$220,0),1),"")</f>
        <v/>
      </c>
      <c r="CX324" s="259">
        <f t="shared" ca="1" si="726"/>
        <v>18</v>
      </c>
      <c r="CY324" s="259" t="str">
        <f t="shared" ca="1" si="724"/>
        <v>MASTRO</v>
      </c>
      <c r="CZ324" s="259" t="e">
        <f t="shared" ca="1" si="728"/>
        <v>#N/A</v>
      </c>
      <c r="DA324" s="259" t="str">
        <f t="shared" ca="1" si="733"/>
        <v/>
      </c>
      <c r="DB324" s="259" t="str">
        <f t="shared" ca="1" si="729"/>
        <v/>
      </c>
      <c r="DC324" s="259" t="str">
        <f t="shared" ca="1" si="730"/>
        <v/>
      </c>
      <c r="DD324" s="259" t="str">
        <f t="shared" ca="1" si="731"/>
        <v/>
      </c>
      <c r="DE324" s="259" t="str">
        <f t="shared" ca="1" si="732"/>
        <v/>
      </c>
      <c r="DF324" s="259">
        <f ca="1">IF(AND(CX324=$DE$2,$DF$2&lt;&gt;0),0,IF(AND(DB324&lt;&gt;"",OR(DB323&lt;&gt;"",DB325&lt;&gt;"")),MAX($DF$2:DF323)+1,0))</f>
        <v>0</v>
      </c>
      <c r="DG324" s="259" t="str">
        <f>IF(IF(LIBRO_GIORNALE!E232="","",IFERROR(INDEX(PIANO_DEI_CONTI,MATCH(BB324,DENOMINAZIONE,0),1),0))=0,"",IF(LIBRO_GIORNALE!E232="","",IFERROR(INDEX(PIANO_DEI_CONTI,MATCH(BB324,DENOMINAZIONE,0),1),0)))</f>
        <v/>
      </c>
      <c r="EC324" s="259">
        <f>IF(IF(DG324&lt;&gt;"",REPLACE(DG324,3,1,""),0)&lt;&gt;0,MAX(EC$2:EC323)+1,0)</f>
        <v>0</v>
      </c>
      <c r="ED324" s="259">
        <f t="shared" ca="1" si="734"/>
        <v>0</v>
      </c>
      <c r="EL324" s="259">
        <f t="shared" ref="EL324:EL387" si="742">ROW()-2</f>
        <v>322</v>
      </c>
      <c r="EM324" s="259">
        <f ca="1">IF(AND(BA324&gt;0,BA324&lt;=$EM$1),MAX($EM$2:EM323)+1,0)</f>
        <v>0</v>
      </c>
      <c r="EN324" s="259">
        <f t="shared" ref="EN324:EN387" ca="1" si="743">IF(EM324=$EL$1,ROW(),0)</f>
        <v>324</v>
      </c>
      <c r="EP324" s="259" t="str">
        <f t="shared" ca="1" si="735"/>
        <v/>
      </c>
      <c r="EQ324" s="259">
        <f t="shared" ca="1" si="736"/>
        <v>0</v>
      </c>
      <c r="ER324" s="259">
        <f ca="1">IF(ISNA(EQ324),MAX(ER$2:ER323)+1,0)</f>
        <v>0</v>
      </c>
      <c r="ES324" s="259" t="str">
        <f t="shared" ref="ES324:ES363" ca="1" si="744">IF(ER324&gt;=1,EZ324,"")</f>
        <v/>
      </c>
      <c r="ET324" s="259" t="str">
        <f ca="1">IFERROR(UPPER(INDEX($ER$3:$ES$500,MATCH(ROWS(ET$3:ET324),$ER$3:$ER$500,0),2)),"")</f>
        <v/>
      </c>
      <c r="EW324" s="259">
        <f t="shared" ca="1" si="714"/>
        <v>1</v>
      </c>
      <c r="EX324" s="259">
        <v>222</v>
      </c>
      <c r="EY324" s="259">
        <f t="shared" ca="1" si="715"/>
        <v>0</v>
      </c>
      <c r="EZ324" s="259">
        <f t="shared" ca="1" si="716"/>
        <v>0</v>
      </c>
      <c r="FA324" s="259">
        <f t="shared" ca="1" si="717"/>
        <v>0</v>
      </c>
      <c r="FB324" s="259">
        <f t="shared" ca="1" si="718"/>
        <v>0</v>
      </c>
      <c r="FC324" s="259">
        <f t="shared" ca="1" si="719"/>
        <v>0</v>
      </c>
      <c r="FD324" s="259">
        <f t="shared" ca="1" si="737"/>
        <v>0</v>
      </c>
      <c r="FE324" s="259" t="str">
        <f t="shared" ca="1" si="738"/>
        <v/>
      </c>
      <c r="FF324" s="259" t="str">
        <f t="shared" ca="1" si="720"/>
        <v/>
      </c>
      <c r="FM324" s="259">
        <f t="shared" si="739"/>
        <v>0</v>
      </c>
      <c r="FN324" s="259">
        <f>IF(FM324&lt;0,MAX($FN$2:FN323)+1,0)</f>
        <v>0</v>
      </c>
      <c r="FO324" s="259" t="str">
        <f t="shared" ref="FO324:FO387" si="745">IF(FM324&lt;0,AA324,"")</f>
        <v/>
      </c>
      <c r="FP324" s="259" t="str">
        <f ca="1">IFERROR(INDEX($FN$3:$FO$400,MATCH(ROWS($FP$3:FP324),$FN$3:$FN$400,0),2),"")</f>
        <v/>
      </c>
      <c r="FQ324" s="259" t="str">
        <f>IF(AE324="SE AVERE",MAX($FQ$2:FQ323)+1,"")</f>
        <v/>
      </c>
      <c r="FR324" s="259" t="str">
        <f>IF(AE324="SE DARE",MAX($FR$2:FR323)+1,"")</f>
        <v/>
      </c>
      <c r="FS324" s="259" t="str">
        <f ca="1">IF(AND(AE324="SP DARE",AA324&lt;&gt;$FS$1,AA324&lt;&gt;$FT$1),MAX($FS$2:FS323)+1,IF(AND(GQ324="SP DARE",AA324&lt;&gt;$FS$1,AA324&lt;&gt;$FT$1),MAX($FS$2:FS323)+1,""))</f>
        <v/>
      </c>
      <c r="FT324" s="259" t="str">
        <f ca="1">IF(AND(AE324="SP AVERE",AA324&lt;&gt;$FU$1),MAX($FT$2:FT323)+1,IF(AND(GQ324="SP AVERE",AA324&lt;&gt;$FU$1),MAX($FT$2:FT323)+1,""))</f>
        <v/>
      </c>
      <c r="FU324" s="259">
        <f t="shared" ref="FU324:FU387" ca="1" si="746">SUM(FQ324:FT324)</f>
        <v>0</v>
      </c>
      <c r="FV324" s="259">
        <f t="shared" ref="FV324:FV387" si="747">AA324</f>
        <v>0</v>
      </c>
      <c r="FW324" s="259">
        <f ca="1">IFERROR(INDEX($FU$3:$FV$500,MATCH(ROWS($FW$3:FW324),$FU$3:$FU$500,0),2),0)</f>
        <v>0</v>
      </c>
      <c r="FX324" s="259">
        <f t="shared" ref="FX324:FX387" ca="1" si="748">IF(FW324&lt;&gt;0,ROW()-2,0)</f>
        <v>0</v>
      </c>
      <c r="FY324" s="259">
        <f t="shared" ref="FY324:FY387" ca="1" si="749">IF(AND(ROW()&lt;=$FX$1,FX324=0),ROW()-2,0)</f>
        <v>0</v>
      </c>
      <c r="FZ324" s="259">
        <f ca="1">IF(FY324&gt;0,MAX($FZ$2:FZ323)+1,0)</f>
        <v>0</v>
      </c>
      <c r="GA324" s="259">
        <f ca="1">IFERROR(INDEX($FY$3:$FZ$500,MATCH(ROWS($GA$3:GA324),$FZ$3:$FZ$500,0),1),0)</f>
        <v>0</v>
      </c>
      <c r="GC324" s="259">
        <f t="shared" ref="GC324:GC387" ca="1" si="750">FX324+FY324</f>
        <v>0</v>
      </c>
      <c r="GD324" s="259">
        <f t="shared" ref="GD324:GD387" ca="1" si="751">IFERROR(IF(FX324&gt;0,FW324,INDEX($GA$3:$GB$400,MATCH(ROW()-2,$GA$3:$GA$400,0),2)),0)</f>
        <v>0</v>
      </c>
      <c r="GG324" s="259">
        <f t="shared" ref="GG324:GG387" ca="1" si="752">IFERROR(INDEX($GA$3:$GF$400,MATCH(ROW()-2,$GA$3:$GA$400,0),5),0)</f>
        <v>0</v>
      </c>
      <c r="GH324" s="259">
        <f t="shared" ref="GH324:GH387" ca="1" si="753">IFERROR(INDEX($GA$3:$GF$400,MATCH(ROW()-2,$GA$3:$GA$400,0),6),0)</f>
        <v>0</v>
      </c>
      <c r="GI324" s="259">
        <f t="shared" ref="GI324:GI387" ca="1" si="754">IFERROR(INDEX($DL$3:$DP$400,MATCH($FW324,$DL$3:$DL$400,0),5),0)</f>
        <v>0</v>
      </c>
      <c r="GJ324" s="259">
        <f t="shared" ref="GJ324:GJ387" ca="1" si="755">IFERROR(INDEX($DL$3:$DP$400,MATCH($FW324,$DL$3:$DL$400,0),4),0)</f>
        <v>0</v>
      </c>
      <c r="GK324" s="259">
        <f t="shared" ref="GK324:GL387" ca="1" si="756">GG324+GI324</f>
        <v>0</v>
      </c>
      <c r="GL324" s="259">
        <f t="shared" ca="1" si="756"/>
        <v>0</v>
      </c>
      <c r="GM324" s="259">
        <f ca="1">IF(OR(GK324&gt;0,GL324&gt;0),MAX($GM$2:GM323)+1,0)</f>
        <v>0</v>
      </c>
      <c r="GN324" s="259" t="str">
        <f ca="1">IFERROR(INDEX($GD$3:$GM$400,MATCH(ROWS($GN$3:GN324),$GM$3:$GM$400,0),1),"")</f>
        <v/>
      </c>
      <c r="GO324" s="259" t="str">
        <f ca="1">IFERROR(INDEX($GD$3:$GM$400,MATCH(ROWS($GO$3:GO324),$GM$3:$GM$400,0),8),"")</f>
        <v/>
      </c>
      <c r="GP324" s="259" t="str">
        <f ca="1">IFERROR(INDEX($GD$3:$GM$400,MATCH(ROWS($GP$3:GP324),$GM$3:$GM$400,0),9),"")</f>
        <v/>
      </c>
      <c r="GQ324" s="259">
        <f t="shared" ca="1" si="740"/>
        <v>0</v>
      </c>
      <c r="GR324" s="259">
        <f t="shared" ref="GR324:GR387" ca="1" si="757">IF(AND(FQ324&gt;0,ROW()=FU324),"epilogo a Conto economico",0)</f>
        <v>0</v>
      </c>
      <c r="GS324" s="259" t="str">
        <f t="shared" ref="GS324:GS387" ca="1" si="758">IF(AND(ROW()-2&gt;=$GC$1,ROW()-2&lt;=$GK$1),"epilogo a Conto economico",IF(AND(ROW()-2&gt;=$GD$1,ROW()-2&lt;=$GL$1),"epilogo a Conto economico",IF(AND(ROW()-2&gt;=$GE$1,ROW()-2&lt;=$GN$1),"chiusura del conto",IF(AND(ROW()-2&gt;=$GF$1,ROW()-2&lt;=$GL$1),"epilogo a Conto economico",IF(ROW()-2=$GA$3,"epilogo componenti positivi",IF(ROW()-2=$GA$4,"epilogo componenti negativi",IF(AND(ROW()-2&gt;=$GA$7,ROW()-2&lt;=$GA$8),"rilevato utile d'esercizio",IF(AND(ROW()-2&gt;=$GA$5,ROW()-2&lt;=$GA$6),"rilevata perdita d'esercizio",IF(AND(ROW()-2&gt;=$GA$9,ROW()-2&lt;=$GA$10),"capitalizzato l'utile conseguito",IF(AND(ROW()-2&gt;=$GA$11,ROW()-2&lt;=$GA$12),"coperta perdita d'esercizio",IF(ROW()-2=$GA$13,"prelevamenti extragestione",IF(ROW()-2=$GA$15,"giro ritenute subite",IF(OR(ROW()-2=$GA$14,ROW()-2=$GA$16),"giro a patrimonio netto",IF(ROW()-2=$GA$17,"totale attività",IF(ROW()-2=$GA$18,"totale passività",IF(ROW()-2=$GA$19,"chiusura del conto",IF(ROW()-2=$GA$20,"patrimonio netto finale","")))))))))))))))))</f>
        <v/>
      </c>
      <c r="GT324" s="259" t="str">
        <f ca="1">IFERROR(INDEX($GD$3:$GS$400,MATCH(ROWS($GT$3:GT324),$GM$3:$GM$400,0),16),"")</f>
        <v/>
      </c>
      <c r="GU324" s="259">
        <f ca="1">IF(GQ324&lt;&gt;0,MAX($GU$2:$GU323)+1,0)</f>
        <v>0</v>
      </c>
      <c r="GV324" s="259">
        <f t="shared" ref="GV324:GV387" ca="1" si="759">IF(GU324&lt;&gt;0,AA324,0)</f>
        <v>0</v>
      </c>
      <c r="GW324" s="259" t="str">
        <f ca="1">IF(AND(IFERROR(INDEX($GU$3:$GV$400,MATCH(ROWS($GW$3:GW324),$GU$3:$GU$400,0),2),"")&lt;&gt;"",GW325&lt;&gt;""),CONCATENATE(IFERROR(INDEX($GU$3:$GV$400,MATCH(ROWS($GW$3:GW324),$GU$3:$GU$400,0),2),"")," - "),IFERROR(INDEX($GU$3:$GV$400,MATCH(ROWS($GW$3:GW324),$GU$3:$GU$400,0),2),""))</f>
        <v/>
      </c>
      <c r="GX324" s="259">
        <f ca="1">IF(OR(GN324="IVA NS/CREDITO",GN324="IVA NS/DEBITO",GN324="IVA C/ACCONTO",GN324="IMPOSTE C/ACCONTO"),MAX($GX$2:GX323)+1,0)</f>
        <v>0</v>
      </c>
      <c r="GY324" s="259" t="str">
        <f ca="1">IF(AND(IFERROR(INDEX($GN$3:$GX$200,MATCH(ROWS($GY$3:GY324),$GX$3:$GX$200,0),1),"")&lt;&gt;"",GY325&lt;&gt;""),CONCATENATE(IFERROR(INDEX($GN$3:$GX$200,MATCH(ROWS($GY$3:GY324),$GX$3:$GX$200,0),1),"")," - "),IFERROR(INDEX($GN$3:$GX$200,MATCH(ROWS($GY$3:GY324),$GX$3:$GX$200,0),1),""))</f>
        <v/>
      </c>
      <c r="JA324" s="259" t="str">
        <f t="shared" ref="JA324:JA387" ca="1" si="760">IF(EY324&gt;0,YEAR(EY324),"")</f>
        <v/>
      </c>
      <c r="JB324" s="259">
        <f t="shared" ca="1" si="741"/>
        <v>0</v>
      </c>
      <c r="JC324" s="259">
        <f t="shared" ca="1" si="721"/>
        <v>0</v>
      </c>
      <c r="JD324" s="259">
        <f t="shared" ca="1" si="722"/>
        <v>0</v>
      </c>
      <c r="JM324" s="259">
        <f t="shared" ca="1" si="723"/>
        <v>0</v>
      </c>
    </row>
    <row r="325" spans="52:273">
      <c r="AZ325" s="259" t="str">
        <f t="shared" ca="1" si="689"/>
        <v/>
      </c>
      <c r="BA325" s="259">
        <f t="shared" ca="1" si="713"/>
        <v>0</v>
      </c>
      <c r="BB325" s="259">
        <f t="shared" ca="1" si="690"/>
        <v>0</v>
      </c>
      <c r="BC325" s="259">
        <f t="shared" ca="1" si="691"/>
        <v>0</v>
      </c>
      <c r="BD325" s="259">
        <f t="shared" ca="1" si="692"/>
        <v>0</v>
      </c>
      <c r="BE325" s="259">
        <f t="shared" ca="1" si="693"/>
        <v>0</v>
      </c>
      <c r="BQ325" s="259" t="str">
        <f ca="1">IFERROR(INDEX($BN$3:$BO$200,MATCH(ROWS(BQ$3:BQ325),$BP$3:$BP$220,0),1),"")</f>
        <v/>
      </c>
      <c r="CX325" s="259">
        <f t="shared" ca="1" si="726"/>
        <v>18</v>
      </c>
      <c r="CY325" s="259" t="str">
        <f t="shared" ca="1" si="724"/>
        <v>MASTRO</v>
      </c>
      <c r="CZ325" s="259" t="e">
        <f t="shared" ca="1" si="728"/>
        <v>#N/A</v>
      </c>
      <c r="DA325" s="259" t="str">
        <f t="shared" ca="1" si="733"/>
        <v/>
      </c>
      <c r="DB325" s="259" t="str">
        <f t="shared" ca="1" si="729"/>
        <v/>
      </c>
      <c r="DC325" s="259" t="str">
        <f t="shared" ca="1" si="730"/>
        <v/>
      </c>
      <c r="DD325" s="259" t="str">
        <f t="shared" ca="1" si="731"/>
        <v/>
      </c>
      <c r="DE325" s="259" t="str">
        <f t="shared" ca="1" si="732"/>
        <v/>
      </c>
      <c r="DF325" s="259">
        <f ca="1">IF(AND(CX325=$DE$2,$DF$2&lt;&gt;0),0,IF(AND(DB325&lt;&gt;"",OR(DB324&lt;&gt;"",DB326&lt;&gt;"")),MAX($DF$2:DF324)+1,0))</f>
        <v>0</v>
      </c>
      <c r="DG325" s="259" t="str">
        <f>IF(IF(LIBRO_GIORNALE!E233="","",IFERROR(INDEX(PIANO_DEI_CONTI,MATCH(BB325,DENOMINAZIONE,0),1),0))=0,"",IF(LIBRO_GIORNALE!E233="","",IFERROR(INDEX(PIANO_DEI_CONTI,MATCH(BB325,DENOMINAZIONE,0),1),0)))</f>
        <v/>
      </c>
      <c r="EC325" s="259">
        <f>IF(IF(DG325&lt;&gt;"",REPLACE(DG325,3,1,""),0)&lt;&gt;0,MAX(EC$2:EC324)+1,0)</f>
        <v>0</v>
      </c>
      <c r="ED325" s="259">
        <f t="shared" ca="1" si="734"/>
        <v>0</v>
      </c>
      <c r="EL325" s="259">
        <f t="shared" si="742"/>
        <v>323</v>
      </c>
      <c r="EM325" s="259">
        <f ca="1">IF(AND(BA325&gt;0,BA325&lt;=$EM$1),MAX($EM$2:EM324)+1,0)</f>
        <v>0</v>
      </c>
      <c r="EN325" s="259">
        <f t="shared" ca="1" si="743"/>
        <v>325</v>
      </c>
      <c r="EP325" s="259" t="str">
        <f t="shared" ca="1" si="735"/>
        <v/>
      </c>
      <c r="EQ325" s="259">
        <f t="shared" ca="1" si="736"/>
        <v>0</v>
      </c>
      <c r="ER325" s="259">
        <f ca="1">IF(ISNA(EQ325),MAX(ER$2:ER324)+1,0)</f>
        <v>0</v>
      </c>
      <c r="ES325" s="259" t="str">
        <f t="shared" ca="1" si="744"/>
        <v/>
      </c>
      <c r="ET325" s="259" t="str">
        <f ca="1">IFERROR(UPPER(INDEX($ER$3:$ES$500,MATCH(ROWS(ET$3:ET325),$ER$3:$ER$500,0),2)),"")</f>
        <v/>
      </c>
      <c r="EW325" s="259">
        <f t="shared" ca="1" si="714"/>
        <v>1</v>
      </c>
      <c r="EX325" s="259">
        <v>223</v>
      </c>
      <c r="EY325" s="259">
        <f t="shared" ca="1" si="715"/>
        <v>0</v>
      </c>
      <c r="EZ325" s="259">
        <f t="shared" ca="1" si="716"/>
        <v>0</v>
      </c>
      <c r="FA325" s="259">
        <f t="shared" ca="1" si="717"/>
        <v>0</v>
      </c>
      <c r="FB325" s="259">
        <f t="shared" ca="1" si="718"/>
        <v>0</v>
      </c>
      <c r="FC325" s="259">
        <f t="shared" ca="1" si="719"/>
        <v>0</v>
      </c>
      <c r="FD325" s="259">
        <f t="shared" ca="1" si="737"/>
        <v>0</v>
      </c>
      <c r="FE325" s="259" t="str">
        <f t="shared" ca="1" si="738"/>
        <v/>
      </c>
      <c r="FF325" s="259" t="str">
        <f t="shared" ca="1" si="720"/>
        <v/>
      </c>
      <c r="FM325" s="259">
        <f t="shared" si="739"/>
        <v>0</v>
      </c>
      <c r="FN325" s="259">
        <f>IF(FM325&lt;0,MAX($FN$2:FN324)+1,0)</f>
        <v>0</v>
      </c>
      <c r="FO325" s="259" t="str">
        <f t="shared" si="745"/>
        <v/>
      </c>
      <c r="FP325" s="259" t="str">
        <f ca="1">IFERROR(INDEX($FN$3:$FO$400,MATCH(ROWS($FP$3:FP325),$FN$3:$FN$400,0),2),"")</f>
        <v/>
      </c>
      <c r="FQ325" s="259" t="str">
        <f>IF(AE325="SE AVERE",MAX($FQ$2:FQ324)+1,"")</f>
        <v/>
      </c>
      <c r="FR325" s="259" t="str">
        <f>IF(AE325="SE DARE",MAX($FR$2:FR324)+1,"")</f>
        <v/>
      </c>
      <c r="FS325" s="259" t="str">
        <f ca="1">IF(AND(AE325="SP DARE",AA325&lt;&gt;$FS$1,AA325&lt;&gt;$FT$1),MAX($FS$2:FS324)+1,IF(AND(GQ325="SP DARE",AA325&lt;&gt;$FS$1,AA325&lt;&gt;$FT$1),MAX($FS$2:FS324)+1,""))</f>
        <v/>
      </c>
      <c r="FT325" s="259" t="str">
        <f ca="1">IF(AND(AE325="SP AVERE",AA325&lt;&gt;$FU$1),MAX($FT$2:FT324)+1,IF(AND(GQ325="SP AVERE",AA325&lt;&gt;$FU$1),MAX($FT$2:FT324)+1,""))</f>
        <v/>
      </c>
      <c r="FU325" s="259">
        <f t="shared" ca="1" si="746"/>
        <v>0</v>
      </c>
      <c r="FV325" s="259">
        <f t="shared" si="747"/>
        <v>0</v>
      </c>
      <c r="FW325" s="259">
        <f ca="1">IFERROR(INDEX($FU$3:$FV$500,MATCH(ROWS($FW$3:FW325),$FU$3:$FU$500,0),2),0)</f>
        <v>0</v>
      </c>
      <c r="FX325" s="259">
        <f t="shared" ca="1" si="748"/>
        <v>0</v>
      </c>
      <c r="FY325" s="259">
        <f t="shared" ca="1" si="749"/>
        <v>0</v>
      </c>
      <c r="FZ325" s="259">
        <f ca="1">IF(FY325&gt;0,MAX($FZ$2:FZ324)+1,0)</f>
        <v>0</v>
      </c>
      <c r="GA325" s="259">
        <f ca="1">IFERROR(INDEX($FY$3:$FZ$500,MATCH(ROWS($GA$3:GA325),$FZ$3:$FZ$500,0),1),0)</f>
        <v>0</v>
      </c>
      <c r="GC325" s="259">
        <f t="shared" ca="1" si="750"/>
        <v>0</v>
      </c>
      <c r="GD325" s="259">
        <f t="shared" ca="1" si="751"/>
        <v>0</v>
      </c>
      <c r="GG325" s="259">
        <f t="shared" ca="1" si="752"/>
        <v>0</v>
      </c>
      <c r="GH325" s="259">
        <f t="shared" ca="1" si="753"/>
        <v>0</v>
      </c>
      <c r="GI325" s="259">
        <f t="shared" ca="1" si="754"/>
        <v>0</v>
      </c>
      <c r="GJ325" s="259">
        <f t="shared" ca="1" si="755"/>
        <v>0</v>
      </c>
      <c r="GK325" s="259">
        <f t="shared" ca="1" si="756"/>
        <v>0</v>
      </c>
      <c r="GL325" s="259">
        <f t="shared" ca="1" si="756"/>
        <v>0</v>
      </c>
      <c r="GM325" s="259">
        <f ca="1">IF(OR(GK325&gt;0,GL325&gt;0),MAX($GM$2:GM324)+1,0)</f>
        <v>0</v>
      </c>
      <c r="GN325" s="259" t="str">
        <f ca="1">IFERROR(INDEX($GD$3:$GM$400,MATCH(ROWS($GN$3:GN325),$GM$3:$GM$400,0),1),"")</f>
        <v/>
      </c>
      <c r="GO325" s="259" t="str">
        <f ca="1">IFERROR(INDEX($GD$3:$GM$400,MATCH(ROWS($GO$3:GO325),$GM$3:$GM$400,0),8),"")</f>
        <v/>
      </c>
      <c r="GP325" s="259" t="str">
        <f ca="1">IFERROR(INDEX($GD$3:$GM$400,MATCH(ROWS($GP$3:GP325),$GM$3:$GM$400,0),9),"")</f>
        <v/>
      </c>
      <c r="GQ325" s="259">
        <f t="shared" ca="1" si="740"/>
        <v>0</v>
      </c>
      <c r="GR325" s="259">
        <f t="shared" ca="1" si="757"/>
        <v>0</v>
      </c>
      <c r="GS325" s="259" t="str">
        <f t="shared" ca="1" si="758"/>
        <v/>
      </c>
      <c r="GT325" s="259" t="str">
        <f ca="1">IFERROR(INDEX($GD$3:$GS$400,MATCH(ROWS($GT$3:GT325),$GM$3:$GM$400,0),16),"")</f>
        <v/>
      </c>
      <c r="GU325" s="259">
        <f ca="1">IF(GQ325&lt;&gt;0,MAX($GU$2:$GU324)+1,0)</f>
        <v>0</v>
      </c>
      <c r="GV325" s="259">
        <f t="shared" ca="1" si="759"/>
        <v>0</v>
      </c>
      <c r="GW325" s="259" t="str">
        <f ca="1">IF(AND(IFERROR(INDEX($GU$3:$GV$400,MATCH(ROWS($GW$3:GW325),$GU$3:$GU$400,0),2),"")&lt;&gt;"",GW326&lt;&gt;""),CONCATENATE(IFERROR(INDEX($GU$3:$GV$400,MATCH(ROWS($GW$3:GW325),$GU$3:$GU$400,0),2),"")," - "),IFERROR(INDEX($GU$3:$GV$400,MATCH(ROWS($GW$3:GW325),$GU$3:$GU$400,0),2),""))</f>
        <v/>
      </c>
      <c r="GX325" s="259">
        <f ca="1">IF(OR(GN325="IVA NS/CREDITO",GN325="IVA NS/DEBITO",GN325="IVA C/ACCONTO",GN325="IMPOSTE C/ACCONTO"),MAX($GX$2:GX324)+1,0)</f>
        <v>0</v>
      </c>
      <c r="GY325" s="259" t="str">
        <f ca="1">IF(AND(IFERROR(INDEX($GN$3:$GX$200,MATCH(ROWS($GY$3:GY325),$GX$3:$GX$200,0),1),"")&lt;&gt;"",GY326&lt;&gt;""),CONCATENATE(IFERROR(INDEX($GN$3:$GX$200,MATCH(ROWS($GY$3:GY325),$GX$3:$GX$200,0),1),"")," - "),IFERROR(INDEX($GN$3:$GX$200,MATCH(ROWS($GY$3:GY325),$GX$3:$GX$200,0),1),""))</f>
        <v/>
      </c>
      <c r="JA325" s="259" t="str">
        <f t="shared" ca="1" si="760"/>
        <v/>
      </c>
      <c r="JB325" s="259">
        <f t="shared" ca="1" si="741"/>
        <v>0</v>
      </c>
      <c r="JC325" s="259">
        <f t="shared" ca="1" si="721"/>
        <v>0</v>
      </c>
      <c r="JD325" s="259">
        <f t="shared" ca="1" si="722"/>
        <v>0</v>
      </c>
      <c r="JM325" s="259">
        <f t="shared" ca="1" si="723"/>
        <v>0</v>
      </c>
    </row>
    <row r="326" spans="52:273">
      <c r="AZ326" s="259" t="str">
        <f t="shared" ca="1" si="689"/>
        <v/>
      </c>
      <c r="BA326" s="259">
        <f t="shared" ca="1" si="713"/>
        <v>0</v>
      </c>
      <c r="BB326" s="259">
        <f t="shared" ca="1" si="690"/>
        <v>0</v>
      </c>
      <c r="BC326" s="259">
        <f t="shared" ca="1" si="691"/>
        <v>0</v>
      </c>
      <c r="BD326" s="259">
        <f t="shared" ca="1" si="692"/>
        <v>0</v>
      </c>
      <c r="BE326" s="259">
        <f t="shared" ca="1" si="693"/>
        <v>0</v>
      </c>
      <c r="BQ326" s="259" t="str">
        <f ca="1">IFERROR(INDEX($BN$3:$BO$200,MATCH(ROWS(BQ$3:BQ326),$BP$3:$BP$220,0),1),"")</f>
        <v/>
      </c>
      <c r="CX326" s="259" t="str">
        <f>IFERROR(IF(CX308+1=1,"",(CX308+1)),"")</f>
        <v/>
      </c>
      <c r="CY326" s="259" t="str">
        <f t="shared" ca="1" si="724"/>
        <v>MASTRO</v>
      </c>
      <c r="DB326" s="259" t="str">
        <f t="shared" ref="DB326" ca="1" si="761">CY326</f>
        <v>MASTRO</v>
      </c>
      <c r="DF326" s="259">
        <f ca="1">IF(AND(CX326=$DE$2,$DF$2&lt;&gt;0),0,IF(AND(DB326&lt;&gt;"",OR(DB325&lt;&gt;"",DB327&lt;&gt;"")),MAX($DF$2:DF325)+1,0))</f>
        <v>0</v>
      </c>
      <c r="DG326" s="259" t="str">
        <f>IF(IF(LIBRO_GIORNALE!E234="","",IFERROR(INDEX(PIANO_DEI_CONTI,MATCH(BB326,DENOMINAZIONE,0),1),0))=0,"",IF(LIBRO_GIORNALE!E234="","",IFERROR(INDEX(PIANO_DEI_CONTI,MATCH(BB326,DENOMINAZIONE,0),1),0)))</f>
        <v/>
      </c>
      <c r="EC326" s="259">
        <f>IF(IF(DG326&lt;&gt;"",REPLACE(DG326,3,1,""),0)&lt;&gt;0,MAX(EC$2:EC325)+1,0)</f>
        <v>0</v>
      </c>
      <c r="ED326" s="259">
        <f t="shared" ca="1" si="734"/>
        <v>0</v>
      </c>
      <c r="EL326" s="259">
        <f t="shared" si="742"/>
        <v>324</v>
      </c>
      <c r="EM326" s="259">
        <f ca="1">IF(AND(BA326&gt;0,BA326&lt;=$EM$1),MAX($EM$2:EM325)+1,0)</f>
        <v>0</v>
      </c>
      <c r="EN326" s="259">
        <f t="shared" ca="1" si="743"/>
        <v>326</v>
      </c>
      <c r="EP326" s="259" t="str">
        <f t="shared" ca="1" si="735"/>
        <v/>
      </c>
      <c r="EQ326" s="259">
        <f t="shared" ca="1" si="736"/>
        <v>0</v>
      </c>
      <c r="ER326" s="259">
        <f ca="1">IF(ISNA(EQ326),MAX(ER$2:ER325)+1,0)</f>
        <v>0</v>
      </c>
      <c r="ES326" s="259" t="str">
        <f t="shared" ca="1" si="744"/>
        <v/>
      </c>
      <c r="ET326" s="259" t="str">
        <f ca="1">IFERROR(UPPER(INDEX($ER$3:$ES$500,MATCH(ROWS(ET$3:ET326),$ER$3:$ER$500,0),2)),"")</f>
        <v/>
      </c>
      <c r="EW326" s="259">
        <f t="shared" ca="1" si="714"/>
        <v>1</v>
      </c>
      <c r="EX326" s="259">
        <v>224</v>
      </c>
      <c r="EY326" s="259">
        <f t="shared" ca="1" si="715"/>
        <v>0</v>
      </c>
      <c r="EZ326" s="259">
        <f t="shared" ca="1" si="716"/>
        <v>0</v>
      </c>
      <c r="FA326" s="259">
        <f t="shared" ca="1" si="717"/>
        <v>0</v>
      </c>
      <c r="FB326" s="259">
        <f t="shared" ca="1" si="718"/>
        <v>0</v>
      </c>
      <c r="FC326" s="259">
        <f t="shared" ca="1" si="719"/>
        <v>0</v>
      </c>
      <c r="FD326" s="259">
        <f t="shared" ca="1" si="737"/>
        <v>0</v>
      </c>
      <c r="FE326" s="259" t="str">
        <f t="shared" ca="1" si="738"/>
        <v/>
      </c>
      <c r="FF326" s="259" t="str">
        <f t="shared" ca="1" si="720"/>
        <v/>
      </c>
      <c r="FM326" s="259">
        <f t="shared" si="739"/>
        <v>0</v>
      </c>
      <c r="FN326" s="259">
        <f>IF(FM326&lt;0,MAX($FN$2:FN325)+1,0)</f>
        <v>0</v>
      </c>
      <c r="FO326" s="259" t="str">
        <f t="shared" si="745"/>
        <v/>
      </c>
      <c r="FP326" s="259" t="str">
        <f ca="1">IFERROR(INDEX($FN$3:$FO$400,MATCH(ROWS($FP$3:FP326),$FN$3:$FN$400,0),2),"")</f>
        <v/>
      </c>
      <c r="FQ326" s="259" t="str">
        <f>IF(AE326="SE AVERE",MAX($FQ$2:FQ325)+1,"")</f>
        <v/>
      </c>
      <c r="FR326" s="259" t="str">
        <f>IF(AE326="SE DARE",MAX($FR$2:FR325)+1,"")</f>
        <v/>
      </c>
      <c r="FS326" s="259" t="str">
        <f ca="1">IF(AND(AE326="SP DARE",AA326&lt;&gt;$FS$1,AA326&lt;&gt;$FT$1),MAX($FS$2:FS325)+1,IF(AND(GQ326="SP DARE",AA326&lt;&gt;$FS$1,AA326&lt;&gt;$FT$1),MAX($FS$2:FS325)+1,""))</f>
        <v/>
      </c>
      <c r="FT326" s="259" t="str">
        <f ca="1">IF(AND(AE326="SP AVERE",AA326&lt;&gt;$FU$1),MAX($FT$2:FT325)+1,IF(AND(GQ326="SP AVERE",AA326&lt;&gt;$FU$1),MAX($FT$2:FT325)+1,""))</f>
        <v/>
      </c>
      <c r="FU326" s="259">
        <f t="shared" ca="1" si="746"/>
        <v>0</v>
      </c>
      <c r="FV326" s="259">
        <f t="shared" si="747"/>
        <v>0</v>
      </c>
      <c r="FW326" s="259">
        <f ca="1">IFERROR(INDEX($FU$3:$FV$500,MATCH(ROWS($FW$3:FW326),$FU$3:$FU$500,0),2),0)</f>
        <v>0</v>
      </c>
      <c r="FX326" s="259">
        <f t="shared" ca="1" si="748"/>
        <v>0</v>
      </c>
      <c r="FY326" s="259">
        <f t="shared" ca="1" si="749"/>
        <v>0</v>
      </c>
      <c r="FZ326" s="259">
        <f ca="1">IF(FY326&gt;0,MAX($FZ$2:FZ325)+1,0)</f>
        <v>0</v>
      </c>
      <c r="GA326" s="259">
        <f ca="1">IFERROR(INDEX($FY$3:$FZ$500,MATCH(ROWS($GA$3:GA326),$FZ$3:$FZ$500,0),1),0)</f>
        <v>0</v>
      </c>
      <c r="GC326" s="259">
        <f t="shared" ca="1" si="750"/>
        <v>0</v>
      </c>
      <c r="GD326" s="259">
        <f t="shared" ca="1" si="751"/>
        <v>0</v>
      </c>
      <c r="GG326" s="259">
        <f t="shared" ca="1" si="752"/>
        <v>0</v>
      </c>
      <c r="GH326" s="259">
        <f t="shared" ca="1" si="753"/>
        <v>0</v>
      </c>
      <c r="GI326" s="259">
        <f t="shared" ca="1" si="754"/>
        <v>0</v>
      </c>
      <c r="GJ326" s="259">
        <f t="shared" ca="1" si="755"/>
        <v>0</v>
      </c>
      <c r="GK326" s="259">
        <f t="shared" ca="1" si="756"/>
        <v>0</v>
      </c>
      <c r="GL326" s="259">
        <f t="shared" ca="1" si="756"/>
        <v>0</v>
      </c>
      <c r="GM326" s="259">
        <f ca="1">IF(OR(GK326&gt;0,GL326&gt;0),MAX($GM$2:GM325)+1,0)</f>
        <v>0</v>
      </c>
      <c r="GN326" s="259" t="str">
        <f ca="1">IFERROR(INDEX($GD$3:$GM$400,MATCH(ROWS($GN$3:GN326),$GM$3:$GM$400,0),1),"")</f>
        <v/>
      </c>
      <c r="GO326" s="259" t="str">
        <f ca="1">IFERROR(INDEX($GD$3:$GM$400,MATCH(ROWS($GO$3:GO326),$GM$3:$GM$400,0),8),"")</f>
        <v/>
      </c>
      <c r="GP326" s="259" t="str">
        <f ca="1">IFERROR(INDEX($GD$3:$GM$400,MATCH(ROWS($GP$3:GP326),$GM$3:$GM$400,0),9),"")</f>
        <v/>
      </c>
      <c r="GQ326" s="259">
        <f t="shared" ca="1" si="740"/>
        <v>0</v>
      </c>
      <c r="GR326" s="259">
        <f t="shared" ca="1" si="757"/>
        <v>0</v>
      </c>
      <c r="GS326" s="259" t="str">
        <f t="shared" ca="1" si="758"/>
        <v/>
      </c>
      <c r="GT326" s="259" t="str">
        <f ca="1">IFERROR(INDEX($GD$3:$GS$400,MATCH(ROWS($GT$3:GT326),$GM$3:$GM$400,0),16),"")</f>
        <v/>
      </c>
      <c r="GU326" s="259">
        <f ca="1">IF(GQ326&lt;&gt;0,MAX($GU$2:$GU325)+1,0)</f>
        <v>0</v>
      </c>
      <c r="GV326" s="259">
        <f t="shared" ca="1" si="759"/>
        <v>0</v>
      </c>
      <c r="GW326" s="259" t="str">
        <f ca="1">IF(AND(IFERROR(INDEX($GU$3:$GV$400,MATCH(ROWS($GW$3:GW326),$GU$3:$GU$400,0),2),"")&lt;&gt;"",GW327&lt;&gt;""),CONCATENATE(IFERROR(INDEX($GU$3:$GV$400,MATCH(ROWS($GW$3:GW326),$GU$3:$GU$400,0),2),"")," - "),IFERROR(INDEX($GU$3:$GV$400,MATCH(ROWS($GW$3:GW326),$GU$3:$GU$400,0),2),""))</f>
        <v/>
      </c>
      <c r="GX326" s="259">
        <f ca="1">IF(OR(GN326="IVA NS/CREDITO",GN326="IVA NS/DEBITO",GN326="IVA C/ACCONTO",GN326="IMPOSTE C/ACCONTO"),MAX($GX$2:GX325)+1,0)</f>
        <v>0</v>
      </c>
      <c r="GY326" s="259" t="str">
        <f ca="1">IF(AND(IFERROR(INDEX($GN$3:$GX$200,MATCH(ROWS($GY$3:GY326),$GX$3:$GX$200,0),1),"")&lt;&gt;"",GY327&lt;&gt;""),CONCATENATE(IFERROR(INDEX($GN$3:$GX$200,MATCH(ROWS($GY$3:GY326),$GX$3:$GX$200,0),1),"")," - "),IFERROR(INDEX($GN$3:$GX$200,MATCH(ROWS($GY$3:GY326),$GX$3:$GX$200,0),1),""))</f>
        <v/>
      </c>
      <c r="JA326" s="259" t="str">
        <f t="shared" ca="1" si="760"/>
        <v/>
      </c>
      <c r="JB326" s="259">
        <f t="shared" ca="1" si="741"/>
        <v>0</v>
      </c>
      <c r="JC326" s="259">
        <f t="shared" ca="1" si="721"/>
        <v>0</v>
      </c>
      <c r="JD326" s="259">
        <f t="shared" ca="1" si="722"/>
        <v>0</v>
      </c>
      <c r="JM326" s="259">
        <f t="shared" ca="1" si="723"/>
        <v>0</v>
      </c>
    </row>
    <row r="327" spans="52:273">
      <c r="AZ327" s="259" t="str">
        <f t="shared" ca="1" si="689"/>
        <v/>
      </c>
      <c r="BA327" s="259">
        <f t="shared" ca="1" si="713"/>
        <v>0</v>
      </c>
      <c r="BB327" s="259">
        <f t="shared" ca="1" si="690"/>
        <v>0</v>
      </c>
      <c r="BC327" s="259">
        <f t="shared" ca="1" si="691"/>
        <v>0</v>
      </c>
      <c r="BD327" s="259">
        <f t="shared" ca="1" si="692"/>
        <v>0</v>
      </c>
      <c r="BE327" s="259">
        <f t="shared" ca="1" si="693"/>
        <v>0</v>
      </c>
      <c r="BQ327" s="259" t="str">
        <f ca="1">IFERROR(INDEX($BN$3:$BO$200,MATCH(ROWS(BQ$3:BQ327),$BP$3:$BP$220,0),1),"")</f>
        <v/>
      </c>
      <c r="CX327" s="259">
        <f ca="1">$EA$21</f>
        <v>19</v>
      </c>
      <c r="CY327" s="259" t="str">
        <f t="shared" ca="1" si="724"/>
        <v>MASTRO</v>
      </c>
      <c r="DA327" s="259" t="str">
        <f ca="1">IF(CY326="MASTRO","Conto n.","")</f>
        <v>Conto n.</v>
      </c>
      <c r="DB327" s="259" t="str">
        <f ca="1">IF(CY327=0,"",INDEX(PIANO_DEI_CONTI,MATCH(DC327,DENOMINAZIONE,0),1))</f>
        <v/>
      </c>
      <c r="DC327" s="259" t="str">
        <f ca="1">IF(OR(CY327=0,CY327="mastro"),"",CY327)</f>
        <v/>
      </c>
      <c r="DD327" s="259" t="str">
        <f ca="1">IF(AND($DA$2=TRUE,OR(INDEX(PIANO_DEI_CONTI,MATCH($DC327,DENOMINAZIONE,0),4)="A",INDEX(PIANO_DEI_CONTI,MATCH($DC327,DENOMINAZIONE,0),4)="D/A"),SUMIFS(AVERE,DENOMINAZIONE_GIORNALE,"="&amp;$DC327)&gt;SUMIFS(DARE,DENOMINAZIONE_GIORNALE,"="&amp;$DC327)),CONCATENATE("s ",FIXED(ABS(SUMIFS(AVERE,DENOMINAZIONE_GIORNALE,"="&amp;$DC327)-SUMIFS(DARE,DENOMINAZIONE_GIORNALE,"="&amp;$DC327)),2)),"")</f>
        <v/>
      </c>
      <c r="DE327" s="259" t="str">
        <f ca="1">IF(AND($DA$2=TRUE,OR(INDEX(PIANO_DEI_CONTI,MATCH($DC327,DENOMINAZIONE,0),4)="D",INDEX(PIANO_DEI_CONTI,MATCH($DC327,DENOMINAZIONE,0),4)="D/A"),SUMIFS(DARE,DENOMINAZIONE_GIORNALE,"="&amp;$DC327)&gt;SUMIFS(AVERE,DENOMINAZIONE_GIORNALE,"="&amp;$DC327)),CONCATENATE("s ",FIXED(ABS(SUMIFS(DARE,DENOMINAZIONE_GIORNALE,"="&amp;$DC327)-SUMIFS(AVERE,DENOMINAZIONE_GIORNALE,"="&amp;$DC327)),2)),"")</f>
        <v/>
      </c>
      <c r="DF327" s="259">
        <f ca="1">IF(AND(CX327=$DE$2,$DF$2&lt;&gt;0),0,IF(AND(DB327&lt;&gt;"",OR(DB326&lt;&gt;"",DB328&lt;&gt;"")),MAX($DF$2:DF326)+1,0))</f>
        <v>0</v>
      </c>
      <c r="DG327" s="259" t="str">
        <f>IF(IF(LIBRO_GIORNALE!E235="","",IFERROR(INDEX(PIANO_DEI_CONTI,MATCH(BB327,DENOMINAZIONE,0),1),0))=0,"",IF(LIBRO_GIORNALE!E235="","",IFERROR(INDEX(PIANO_DEI_CONTI,MATCH(BB327,DENOMINAZIONE,0),1),0)))</f>
        <v/>
      </c>
      <c r="EC327" s="259">
        <f>IF(IF(DG327&lt;&gt;"",REPLACE(DG327,3,1,""),0)&lt;&gt;0,MAX(EC$2:EC326)+1,0)</f>
        <v>0</v>
      </c>
      <c r="ED327" s="259">
        <f t="shared" ca="1" si="734"/>
        <v>0</v>
      </c>
      <c r="EL327" s="259">
        <f t="shared" si="742"/>
        <v>325</v>
      </c>
      <c r="EM327" s="259">
        <f ca="1">IF(AND(BA327&gt;0,BA327&lt;=$EM$1),MAX($EM$2:EM326)+1,0)</f>
        <v>0</v>
      </c>
      <c r="EN327" s="259">
        <f t="shared" ca="1" si="743"/>
        <v>327</v>
      </c>
      <c r="EP327" s="259" t="str">
        <f t="shared" ca="1" si="735"/>
        <v/>
      </c>
      <c r="EQ327" s="259">
        <f t="shared" ca="1" si="736"/>
        <v>0</v>
      </c>
      <c r="ER327" s="259">
        <f ca="1">IF(ISNA(EQ327),MAX(ER$2:ER326)+1,0)</f>
        <v>0</v>
      </c>
      <c r="ES327" s="259" t="str">
        <f t="shared" ca="1" si="744"/>
        <v/>
      </c>
      <c r="ET327" s="259" t="str">
        <f ca="1">IFERROR(UPPER(INDEX($ER$3:$ES$500,MATCH(ROWS(ET$3:ET327),$ER$3:$ER$500,0),2)),"")</f>
        <v/>
      </c>
      <c r="EW327" s="259">
        <f t="shared" ca="1" si="714"/>
        <v>1</v>
      </c>
      <c r="EX327" s="259">
        <v>225</v>
      </c>
      <c r="EY327" s="259">
        <f t="shared" ca="1" si="715"/>
        <v>0</v>
      </c>
      <c r="EZ327" s="259">
        <f t="shared" ca="1" si="716"/>
        <v>0</v>
      </c>
      <c r="FA327" s="259">
        <f t="shared" ca="1" si="717"/>
        <v>0</v>
      </c>
      <c r="FB327" s="259">
        <f t="shared" ca="1" si="718"/>
        <v>0</v>
      </c>
      <c r="FC327" s="259">
        <f t="shared" ca="1" si="719"/>
        <v>0</v>
      </c>
      <c r="FD327" s="259">
        <f t="shared" ca="1" si="737"/>
        <v>0</v>
      </c>
      <c r="FE327" s="259" t="str">
        <f t="shared" ca="1" si="738"/>
        <v/>
      </c>
      <c r="FF327" s="259" t="str">
        <f t="shared" ca="1" si="720"/>
        <v/>
      </c>
      <c r="FM327" s="259">
        <f t="shared" si="739"/>
        <v>0</v>
      </c>
      <c r="FN327" s="259">
        <f>IF(FM327&lt;0,MAX($FN$2:FN326)+1,0)</f>
        <v>0</v>
      </c>
      <c r="FO327" s="259" t="str">
        <f t="shared" si="745"/>
        <v/>
      </c>
      <c r="FP327" s="259" t="str">
        <f ca="1">IFERROR(INDEX($FN$3:$FO$400,MATCH(ROWS($FP$3:FP327),$FN$3:$FN$400,0),2),"")</f>
        <v/>
      </c>
      <c r="FQ327" s="259" t="str">
        <f>IF(AE327="SE AVERE",MAX($FQ$2:FQ326)+1,"")</f>
        <v/>
      </c>
      <c r="FR327" s="259" t="str">
        <f>IF(AE327="SE DARE",MAX($FR$2:FR326)+1,"")</f>
        <v/>
      </c>
      <c r="FS327" s="259" t="str">
        <f ca="1">IF(AND(AE327="SP DARE",AA327&lt;&gt;$FS$1,AA327&lt;&gt;$FT$1),MAX($FS$2:FS326)+1,IF(AND(GQ327="SP DARE",AA327&lt;&gt;$FS$1,AA327&lt;&gt;$FT$1),MAX($FS$2:FS326)+1,""))</f>
        <v/>
      </c>
      <c r="FT327" s="259" t="str">
        <f ca="1">IF(AND(AE327="SP AVERE",AA327&lt;&gt;$FU$1),MAX($FT$2:FT326)+1,IF(AND(GQ327="SP AVERE",AA327&lt;&gt;$FU$1),MAX($FT$2:FT326)+1,""))</f>
        <v/>
      </c>
      <c r="FU327" s="259">
        <f t="shared" ca="1" si="746"/>
        <v>0</v>
      </c>
      <c r="FV327" s="259">
        <f t="shared" si="747"/>
        <v>0</v>
      </c>
      <c r="FW327" s="259">
        <f ca="1">IFERROR(INDEX($FU$3:$FV$500,MATCH(ROWS($FW$3:FW327),$FU$3:$FU$500,0),2),0)</f>
        <v>0</v>
      </c>
      <c r="FX327" s="259">
        <f t="shared" ca="1" si="748"/>
        <v>0</v>
      </c>
      <c r="FY327" s="259">
        <f t="shared" ca="1" si="749"/>
        <v>0</v>
      </c>
      <c r="FZ327" s="259">
        <f ca="1">IF(FY327&gt;0,MAX($FZ$2:FZ326)+1,0)</f>
        <v>0</v>
      </c>
      <c r="GA327" s="259">
        <f ca="1">IFERROR(INDEX($FY$3:$FZ$500,MATCH(ROWS($GA$3:GA327),$FZ$3:$FZ$500,0),1),0)</f>
        <v>0</v>
      </c>
      <c r="GC327" s="259">
        <f t="shared" ca="1" si="750"/>
        <v>0</v>
      </c>
      <c r="GD327" s="259">
        <f t="shared" ca="1" si="751"/>
        <v>0</v>
      </c>
      <c r="GG327" s="259">
        <f t="shared" ca="1" si="752"/>
        <v>0</v>
      </c>
      <c r="GH327" s="259">
        <f t="shared" ca="1" si="753"/>
        <v>0</v>
      </c>
      <c r="GI327" s="259">
        <f t="shared" ca="1" si="754"/>
        <v>0</v>
      </c>
      <c r="GJ327" s="259">
        <f t="shared" ca="1" si="755"/>
        <v>0</v>
      </c>
      <c r="GK327" s="259">
        <f t="shared" ca="1" si="756"/>
        <v>0</v>
      </c>
      <c r="GL327" s="259">
        <f t="shared" ca="1" si="756"/>
        <v>0</v>
      </c>
      <c r="GM327" s="259">
        <f ca="1">IF(OR(GK327&gt;0,GL327&gt;0),MAX($GM$2:GM326)+1,0)</f>
        <v>0</v>
      </c>
      <c r="GN327" s="259" t="str">
        <f ca="1">IFERROR(INDEX($GD$3:$GM$400,MATCH(ROWS($GN$3:GN327),$GM$3:$GM$400,0),1),"")</f>
        <v/>
      </c>
      <c r="GO327" s="259" t="str">
        <f ca="1">IFERROR(INDEX($GD$3:$GM$400,MATCH(ROWS($GO$3:GO327),$GM$3:$GM$400,0),8),"")</f>
        <v/>
      </c>
      <c r="GP327" s="259" t="str">
        <f ca="1">IFERROR(INDEX($GD$3:$GM$400,MATCH(ROWS($GP$3:GP327),$GM$3:$GM$400,0),9),"")</f>
        <v/>
      </c>
      <c r="GQ327" s="259">
        <f t="shared" ca="1" si="740"/>
        <v>0</v>
      </c>
      <c r="GR327" s="259">
        <f t="shared" ca="1" si="757"/>
        <v>0</v>
      </c>
      <c r="GS327" s="259" t="str">
        <f t="shared" ca="1" si="758"/>
        <v/>
      </c>
      <c r="GT327" s="259" t="str">
        <f ca="1">IFERROR(INDEX($GD$3:$GS$400,MATCH(ROWS($GT$3:GT327),$GM$3:$GM$400,0),16),"")</f>
        <v/>
      </c>
      <c r="GU327" s="259">
        <f ca="1">IF(GQ327&lt;&gt;0,MAX($GU$2:$GU326)+1,0)</f>
        <v>0</v>
      </c>
      <c r="GV327" s="259">
        <f t="shared" ca="1" si="759"/>
        <v>0</v>
      </c>
      <c r="GW327" s="259" t="str">
        <f ca="1">IF(AND(IFERROR(INDEX($GU$3:$GV$400,MATCH(ROWS($GW$3:GW327),$GU$3:$GU$400,0),2),"")&lt;&gt;"",GW328&lt;&gt;""),CONCATENATE(IFERROR(INDEX($GU$3:$GV$400,MATCH(ROWS($GW$3:GW327),$GU$3:$GU$400,0),2),"")," - "),IFERROR(INDEX($GU$3:$GV$400,MATCH(ROWS($GW$3:GW327),$GU$3:$GU$400,0),2),""))</f>
        <v/>
      </c>
      <c r="GX327" s="259">
        <f ca="1">IF(OR(GN327="IVA NS/CREDITO",GN327="IVA NS/DEBITO",GN327="IVA C/ACCONTO",GN327="IMPOSTE C/ACCONTO"),MAX($GX$2:GX326)+1,0)</f>
        <v>0</v>
      </c>
      <c r="GY327" s="259" t="str">
        <f ca="1">IF(AND(IFERROR(INDEX($GN$3:$GX$200,MATCH(ROWS($GY$3:GY327),$GX$3:$GX$200,0),1),"")&lt;&gt;"",GY328&lt;&gt;""),CONCATENATE(IFERROR(INDEX($GN$3:$GX$200,MATCH(ROWS($GY$3:GY327),$GX$3:$GX$200,0),1),"")," - "),IFERROR(INDEX($GN$3:$GX$200,MATCH(ROWS($GY$3:GY327),$GX$3:$GX$200,0),1),""))</f>
        <v/>
      </c>
      <c r="JA327" s="259" t="str">
        <f t="shared" ca="1" si="760"/>
        <v/>
      </c>
      <c r="JB327" s="259">
        <f t="shared" ca="1" si="741"/>
        <v>0</v>
      </c>
      <c r="JC327" s="259">
        <f t="shared" ca="1" si="721"/>
        <v>0</v>
      </c>
      <c r="JD327" s="259">
        <f t="shared" ca="1" si="722"/>
        <v>0</v>
      </c>
      <c r="JM327" s="259">
        <f t="shared" ca="1" si="723"/>
        <v>0</v>
      </c>
    </row>
    <row r="328" spans="52:273">
      <c r="AZ328" s="259" t="str">
        <f t="shared" ca="1" si="689"/>
        <v/>
      </c>
      <c r="BA328" s="259">
        <f t="shared" ca="1" si="713"/>
        <v>0</v>
      </c>
      <c r="BB328" s="259">
        <f t="shared" ca="1" si="690"/>
        <v>0</v>
      </c>
      <c r="BC328" s="259">
        <f t="shared" ca="1" si="691"/>
        <v>0</v>
      </c>
      <c r="BD328" s="259">
        <f t="shared" ca="1" si="692"/>
        <v>0</v>
      </c>
      <c r="BE328" s="259">
        <f t="shared" ca="1" si="693"/>
        <v>0</v>
      </c>
      <c r="BQ328" s="259" t="str">
        <f ca="1">IFERROR(INDEX($BN$3:$BO$200,MATCH(ROWS(BQ$3:BQ328),$BP$3:$BP$220,0),1),"")</f>
        <v/>
      </c>
      <c r="CX328" s="259">
        <f t="shared" ref="CX328:CX343" ca="1" si="762">$EA$21</f>
        <v>19</v>
      </c>
      <c r="CY328" s="259" t="str">
        <f t="shared" ca="1" si="724"/>
        <v>MASTRO</v>
      </c>
      <c r="DA328" s="259" t="str">
        <f ca="1">IF(DB327="","","Num. riga")</f>
        <v/>
      </c>
      <c r="DB328" s="259" t="str">
        <f t="shared" ref="DB328" ca="1" si="763">IF(DB327="","","Data")</f>
        <v/>
      </c>
      <c r="DC328" s="259" t="str">
        <f ca="1">IF(DB327="","","Operazioni")</f>
        <v/>
      </c>
      <c r="DD328" s="259" t="str">
        <f ca="1">IF(DB327="","","Dare        ")</f>
        <v/>
      </c>
      <c r="DE328" s="259" t="str">
        <f ca="1">IF(DB327="","","Avere        ")</f>
        <v/>
      </c>
      <c r="DF328" s="259">
        <f ca="1">IF(AND(CX328=$DE$2,$DF$2&lt;&gt;0),0,IF(AND(DB328&lt;&gt;"",OR(DB327&lt;&gt;"",DB329&lt;&gt;"")),MAX($DF$2:DF327)+1,0))</f>
        <v>0</v>
      </c>
      <c r="DG328" s="259" t="str">
        <f>IF(IF(LIBRO_GIORNALE!E236="","",IFERROR(INDEX(PIANO_DEI_CONTI,MATCH(BB328,DENOMINAZIONE,0),1),0))=0,"",IF(LIBRO_GIORNALE!E236="","",IFERROR(INDEX(PIANO_DEI_CONTI,MATCH(BB328,DENOMINAZIONE,0),1),0)))</f>
        <v/>
      </c>
      <c r="EC328" s="259">
        <f>IF(IF(DG328&lt;&gt;"",REPLACE(DG328,3,1,""),0)&lt;&gt;0,MAX(EC$2:EC327)+1,0)</f>
        <v>0</v>
      </c>
      <c r="ED328" s="259">
        <f t="shared" ca="1" si="734"/>
        <v>0</v>
      </c>
      <c r="EL328" s="259">
        <f t="shared" si="742"/>
        <v>326</v>
      </c>
      <c r="EM328" s="259">
        <f ca="1">IF(AND(BA328&gt;0,BA328&lt;=$EM$1),MAX($EM$2:EM327)+1,0)</f>
        <v>0</v>
      </c>
      <c r="EN328" s="259">
        <f t="shared" ca="1" si="743"/>
        <v>328</v>
      </c>
      <c r="EP328" s="259" t="str">
        <f t="shared" ca="1" si="735"/>
        <v/>
      </c>
      <c r="EQ328" s="259">
        <f t="shared" ca="1" si="736"/>
        <v>0</v>
      </c>
      <c r="ER328" s="259">
        <f ca="1">IF(ISNA(EQ328),MAX(ER$2:ER327)+1,0)</f>
        <v>0</v>
      </c>
      <c r="ES328" s="259" t="str">
        <f t="shared" ca="1" si="744"/>
        <v/>
      </c>
      <c r="ET328" s="259" t="str">
        <f ca="1">IFERROR(UPPER(INDEX($ER$3:$ES$500,MATCH(ROWS(ET$3:ET328),$ER$3:$ER$500,0),2)),"")</f>
        <v/>
      </c>
      <c r="EW328" s="259">
        <f t="shared" ca="1" si="714"/>
        <v>1</v>
      </c>
      <c r="EX328" s="259">
        <v>226</v>
      </c>
      <c r="EY328" s="259">
        <f t="shared" ca="1" si="715"/>
        <v>0</v>
      </c>
      <c r="EZ328" s="259">
        <f t="shared" ca="1" si="716"/>
        <v>0</v>
      </c>
      <c r="FA328" s="259">
        <f t="shared" ca="1" si="717"/>
        <v>0</v>
      </c>
      <c r="FB328" s="259">
        <f t="shared" ca="1" si="718"/>
        <v>0</v>
      </c>
      <c r="FC328" s="259">
        <f t="shared" ca="1" si="719"/>
        <v>0</v>
      </c>
      <c r="FD328" s="259">
        <f t="shared" ca="1" si="737"/>
        <v>0</v>
      </c>
      <c r="FE328" s="259" t="str">
        <f t="shared" ca="1" si="738"/>
        <v/>
      </c>
      <c r="FF328" s="259" t="str">
        <f t="shared" ca="1" si="720"/>
        <v/>
      </c>
      <c r="FM328" s="259">
        <f t="shared" si="739"/>
        <v>0</v>
      </c>
      <c r="FN328" s="259">
        <f>IF(FM328&lt;0,MAX($FN$2:FN327)+1,0)</f>
        <v>0</v>
      </c>
      <c r="FO328" s="259" t="str">
        <f t="shared" si="745"/>
        <v/>
      </c>
      <c r="FP328" s="259" t="str">
        <f ca="1">IFERROR(INDEX($FN$3:$FO$400,MATCH(ROWS($FP$3:FP328),$FN$3:$FN$400,0),2),"")</f>
        <v/>
      </c>
      <c r="FQ328" s="259" t="str">
        <f>IF(AE328="SE AVERE",MAX($FQ$2:FQ327)+1,"")</f>
        <v/>
      </c>
      <c r="FR328" s="259" t="str">
        <f>IF(AE328="SE DARE",MAX($FR$2:FR327)+1,"")</f>
        <v/>
      </c>
      <c r="FS328" s="259" t="str">
        <f ca="1">IF(AND(AE328="SP DARE",AA328&lt;&gt;$FS$1,AA328&lt;&gt;$FT$1),MAX($FS$2:FS327)+1,IF(AND(GQ328="SP DARE",AA328&lt;&gt;$FS$1,AA328&lt;&gt;$FT$1),MAX($FS$2:FS327)+1,""))</f>
        <v/>
      </c>
      <c r="FT328" s="259" t="str">
        <f ca="1">IF(AND(AE328="SP AVERE",AA328&lt;&gt;$FU$1),MAX($FT$2:FT327)+1,IF(AND(GQ328="SP AVERE",AA328&lt;&gt;$FU$1),MAX($FT$2:FT327)+1,""))</f>
        <v/>
      </c>
      <c r="FU328" s="259">
        <f t="shared" ca="1" si="746"/>
        <v>0</v>
      </c>
      <c r="FV328" s="259">
        <f t="shared" si="747"/>
        <v>0</v>
      </c>
      <c r="FW328" s="259">
        <f ca="1">IFERROR(INDEX($FU$3:$FV$500,MATCH(ROWS($FW$3:FW328),$FU$3:$FU$500,0),2),0)</f>
        <v>0</v>
      </c>
      <c r="FX328" s="259">
        <f t="shared" ca="1" si="748"/>
        <v>0</v>
      </c>
      <c r="FY328" s="259">
        <f t="shared" ca="1" si="749"/>
        <v>0</v>
      </c>
      <c r="FZ328" s="259">
        <f ca="1">IF(FY328&gt;0,MAX($FZ$2:FZ327)+1,0)</f>
        <v>0</v>
      </c>
      <c r="GA328" s="259">
        <f ca="1">IFERROR(INDEX($FY$3:$FZ$500,MATCH(ROWS($GA$3:GA328),$FZ$3:$FZ$500,0),1),0)</f>
        <v>0</v>
      </c>
      <c r="GC328" s="259">
        <f t="shared" ca="1" si="750"/>
        <v>0</v>
      </c>
      <c r="GD328" s="259">
        <f t="shared" ca="1" si="751"/>
        <v>0</v>
      </c>
      <c r="GG328" s="259">
        <f t="shared" ca="1" si="752"/>
        <v>0</v>
      </c>
      <c r="GH328" s="259">
        <f t="shared" ca="1" si="753"/>
        <v>0</v>
      </c>
      <c r="GI328" s="259">
        <f t="shared" ca="1" si="754"/>
        <v>0</v>
      </c>
      <c r="GJ328" s="259">
        <f t="shared" ca="1" si="755"/>
        <v>0</v>
      </c>
      <c r="GK328" s="259">
        <f t="shared" ca="1" si="756"/>
        <v>0</v>
      </c>
      <c r="GL328" s="259">
        <f t="shared" ca="1" si="756"/>
        <v>0</v>
      </c>
      <c r="GM328" s="259">
        <f ca="1">IF(OR(GK328&gt;0,GL328&gt;0),MAX($GM$2:GM327)+1,0)</f>
        <v>0</v>
      </c>
      <c r="GN328" s="259" t="str">
        <f ca="1">IFERROR(INDEX($GD$3:$GM$400,MATCH(ROWS($GN$3:GN328),$GM$3:$GM$400,0),1),"")</f>
        <v/>
      </c>
      <c r="GO328" s="259" t="str">
        <f ca="1">IFERROR(INDEX($GD$3:$GM$400,MATCH(ROWS($GO$3:GO328),$GM$3:$GM$400,0),8),"")</f>
        <v/>
      </c>
      <c r="GP328" s="259" t="str">
        <f ca="1">IFERROR(INDEX($GD$3:$GM$400,MATCH(ROWS($GP$3:GP328),$GM$3:$GM$400,0),9),"")</f>
        <v/>
      </c>
      <c r="GQ328" s="259">
        <f t="shared" ca="1" si="740"/>
        <v>0</v>
      </c>
      <c r="GR328" s="259">
        <f t="shared" ca="1" si="757"/>
        <v>0</v>
      </c>
      <c r="GS328" s="259" t="str">
        <f t="shared" ca="1" si="758"/>
        <v/>
      </c>
      <c r="GT328" s="259" t="str">
        <f ca="1">IFERROR(INDEX($GD$3:$GS$400,MATCH(ROWS($GT$3:GT328),$GM$3:$GM$400,0),16),"")</f>
        <v/>
      </c>
      <c r="GU328" s="259">
        <f ca="1">IF(GQ328&lt;&gt;0,MAX($GU$2:$GU327)+1,0)</f>
        <v>0</v>
      </c>
      <c r="GV328" s="259">
        <f t="shared" ca="1" si="759"/>
        <v>0</v>
      </c>
      <c r="GW328" s="259" t="str">
        <f ca="1">IF(AND(IFERROR(INDEX($GU$3:$GV$400,MATCH(ROWS($GW$3:GW328),$GU$3:$GU$400,0),2),"")&lt;&gt;"",GW329&lt;&gt;""),CONCATENATE(IFERROR(INDEX($GU$3:$GV$400,MATCH(ROWS($GW$3:GW328),$GU$3:$GU$400,0),2),"")," - "),IFERROR(INDEX($GU$3:$GV$400,MATCH(ROWS($GW$3:GW328),$GU$3:$GU$400,0),2),""))</f>
        <v/>
      </c>
      <c r="GX328" s="259">
        <f ca="1">IF(OR(GN328="IVA NS/CREDITO",GN328="IVA NS/DEBITO",GN328="IVA C/ACCONTO",GN328="IMPOSTE C/ACCONTO"),MAX($GX$2:GX327)+1,0)</f>
        <v>0</v>
      </c>
      <c r="GY328" s="259" t="str">
        <f ca="1">IF(AND(IFERROR(INDEX($GN$3:$GX$200,MATCH(ROWS($GY$3:GY328),$GX$3:$GX$200,0),1),"")&lt;&gt;"",GY329&lt;&gt;""),CONCATENATE(IFERROR(INDEX($GN$3:$GX$200,MATCH(ROWS($GY$3:GY328),$GX$3:$GX$200,0),1),"")," - "),IFERROR(INDEX($GN$3:$GX$200,MATCH(ROWS($GY$3:GY328),$GX$3:$GX$200,0),1),""))</f>
        <v/>
      </c>
      <c r="JA328" s="259" t="str">
        <f t="shared" ca="1" si="760"/>
        <v/>
      </c>
      <c r="JB328" s="259">
        <f t="shared" ca="1" si="741"/>
        <v>0</v>
      </c>
      <c r="JC328" s="259">
        <f t="shared" ca="1" si="721"/>
        <v>0</v>
      </c>
      <c r="JD328" s="259">
        <f t="shared" ca="1" si="722"/>
        <v>0</v>
      </c>
      <c r="JM328" s="259">
        <f t="shared" ca="1" si="723"/>
        <v>0</v>
      </c>
    </row>
    <row r="329" spans="52:273">
      <c r="AZ329" s="259" t="str">
        <f t="shared" ca="1" si="689"/>
        <v/>
      </c>
      <c r="BA329" s="259">
        <f t="shared" ca="1" si="713"/>
        <v>0</v>
      </c>
      <c r="BB329" s="259">
        <f t="shared" ca="1" si="690"/>
        <v>0</v>
      </c>
      <c r="BC329" s="259">
        <f t="shared" ca="1" si="691"/>
        <v>0</v>
      </c>
      <c r="BD329" s="259">
        <f t="shared" ca="1" si="692"/>
        <v>0</v>
      </c>
      <c r="BE329" s="259">
        <f t="shared" ca="1" si="693"/>
        <v>0</v>
      </c>
      <c r="BQ329" s="259" t="str">
        <f ca="1">IFERROR(INDEX($BN$3:$BO$200,MATCH(ROWS(BQ$3:BQ329),$BP$3:$BP$220,0),1),"")</f>
        <v/>
      </c>
      <c r="CX329" s="259">
        <f t="shared" ca="1" si="762"/>
        <v>19</v>
      </c>
      <c r="CY329" s="259" t="str">
        <f t="shared" ca="1" si="724"/>
        <v>MASTRO</v>
      </c>
      <c r="CZ329" s="259" t="e">
        <f t="shared" ref="CZ329:CZ343" ca="1" si="764">SUM(MATCH($CY329,INDIRECT(ADDRESS(SUM(CZ328)+3,54)&amp;":"&amp;ADDRESS(400,54)),0),CZ328)</f>
        <v>#N/A</v>
      </c>
      <c r="DA329" s="259" t="str">
        <f ca="1">IFERROR(INDEX(LIBRO_GIORNALE,CZ329,1),"")</f>
        <v/>
      </c>
      <c r="DB329" s="259" t="str">
        <f t="shared" ref="DB329:DB343" ca="1" si="765">IF(RIGHT(TEXT(IFERROR(INDEX(LIBRO_GIORNALE,CZ329,2),""),"gg/mm/aa"),1)="a",TEXT(IFERROR(INDEX(LIBRO_GIORNALE,CZ329,2),""),"dd/mm/yy"),TEXT(IFERROR(INDEX(LIBRO_GIORNALE,CZ329,2),""),"gg/mm/aa"))</f>
        <v/>
      </c>
      <c r="DC329" s="259" t="str">
        <f t="shared" ref="DC329:DC343" ca="1" si="766">IF(IFERROR(INDEX(LIBRO_GIORNALE,CZ329,4),"")=0,"manca la descrizione dell'operazione",IFERROR(INDEX(LIBRO_GIORNALE,CZ329,4),""))</f>
        <v/>
      </c>
      <c r="DD329" s="259" t="str">
        <f t="shared" ref="DD329:DD343" ca="1" si="767">IFERROR(IF(INDEX(LIBRO_GIORNALE,CZ329,5)&gt;0,INDEX(LIBRO_GIORNALE,CZ329,5),""),"")</f>
        <v/>
      </c>
      <c r="DE329" s="259" t="str">
        <f t="shared" ref="DE329:DE343" ca="1" si="768">IFERROR(IF(INDEX(LIBRO_GIORNALE,CZ329,6)&gt;0,INDEX(LIBRO_GIORNALE,CZ329,6),""),"")</f>
        <v/>
      </c>
      <c r="DF329" s="259">
        <f ca="1">IF(AND(CX329=$DE$2,$DF$2&lt;&gt;0),0,IF(AND(DB329&lt;&gt;"",OR(DB328&lt;&gt;"",DB330&lt;&gt;"")),MAX($DF$2:DF328)+1,0))</f>
        <v>0</v>
      </c>
      <c r="DG329" s="259" t="str">
        <f>IF(IF(LIBRO_GIORNALE!E237="","",IFERROR(INDEX(PIANO_DEI_CONTI,MATCH(BB329,DENOMINAZIONE,0),1),0))=0,"",IF(LIBRO_GIORNALE!E237="","",IFERROR(INDEX(PIANO_DEI_CONTI,MATCH(BB329,DENOMINAZIONE,0),1),0)))</f>
        <v/>
      </c>
      <c r="EC329" s="259">
        <f>IF(IF(DG329&lt;&gt;"",REPLACE(DG329,3,1,""),0)&lt;&gt;0,MAX(EC$2:EC328)+1,0)</f>
        <v>0</v>
      </c>
      <c r="ED329" s="259">
        <f t="shared" ca="1" si="734"/>
        <v>0</v>
      </c>
      <c r="EL329" s="259">
        <f t="shared" si="742"/>
        <v>327</v>
      </c>
      <c r="EM329" s="259">
        <f ca="1">IF(AND(BA329&gt;0,BA329&lt;=$EM$1),MAX($EM$2:EM328)+1,0)</f>
        <v>0</v>
      </c>
      <c r="EN329" s="259">
        <f t="shared" ca="1" si="743"/>
        <v>329</v>
      </c>
      <c r="EP329" s="259" t="str">
        <f t="shared" ca="1" si="735"/>
        <v/>
      </c>
      <c r="EQ329" s="259">
        <f t="shared" ca="1" si="736"/>
        <v>0</v>
      </c>
      <c r="ER329" s="259">
        <f ca="1">IF(ISNA(EQ329),MAX(ER$2:ER328)+1,0)</f>
        <v>0</v>
      </c>
      <c r="ES329" s="259" t="str">
        <f t="shared" ca="1" si="744"/>
        <v/>
      </c>
      <c r="ET329" s="259" t="str">
        <f ca="1">IFERROR(UPPER(INDEX($ER$3:$ES$500,MATCH(ROWS(ET$3:ET329),$ER$3:$ER$500,0),2)),"")</f>
        <v/>
      </c>
      <c r="EW329" s="259">
        <f t="shared" ca="1" si="714"/>
        <v>1</v>
      </c>
      <c r="EX329" s="259">
        <v>227</v>
      </c>
      <c r="EY329" s="259">
        <f t="shared" ca="1" si="715"/>
        <v>0</v>
      </c>
      <c r="EZ329" s="259">
        <f t="shared" ca="1" si="716"/>
        <v>0</v>
      </c>
      <c r="FA329" s="259">
        <f t="shared" ca="1" si="717"/>
        <v>0</v>
      </c>
      <c r="FB329" s="259">
        <f t="shared" ca="1" si="718"/>
        <v>0</v>
      </c>
      <c r="FC329" s="259">
        <f t="shared" ca="1" si="719"/>
        <v>0</v>
      </c>
      <c r="FD329" s="259">
        <f t="shared" ca="1" si="737"/>
        <v>0</v>
      </c>
      <c r="FE329" s="259" t="str">
        <f t="shared" ca="1" si="738"/>
        <v/>
      </c>
      <c r="FF329" s="259" t="str">
        <f t="shared" ca="1" si="720"/>
        <v/>
      </c>
      <c r="FM329" s="259">
        <f t="shared" si="739"/>
        <v>0</v>
      </c>
      <c r="FN329" s="259">
        <f>IF(FM329&lt;0,MAX($FN$2:FN328)+1,0)</f>
        <v>0</v>
      </c>
      <c r="FO329" s="259" t="str">
        <f t="shared" si="745"/>
        <v/>
      </c>
      <c r="FP329" s="259" t="str">
        <f ca="1">IFERROR(INDEX($FN$3:$FO$400,MATCH(ROWS($FP$3:FP329),$FN$3:$FN$400,0),2),"")</f>
        <v/>
      </c>
      <c r="FQ329" s="259" t="str">
        <f>IF(AE329="SE AVERE",MAX($FQ$2:FQ328)+1,"")</f>
        <v/>
      </c>
      <c r="FR329" s="259" t="str">
        <f>IF(AE329="SE DARE",MAX($FR$2:FR328)+1,"")</f>
        <v/>
      </c>
      <c r="FS329" s="259" t="str">
        <f ca="1">IF(AND(AE329="SP DARE",AA329&lt;&gt;$FS$1,AA329&lt;&gt;$FT$1),MAX($FS$2:FS328)+1,IF(AND(GQ329="SP DARE",AA329&lt;&gt;$FS$1,AA329&lt;&gt;$FT$1),MAX($FS$2:FS328)+1,""))</f>
        <v/>
      </c>
      <c r="FT329" s="259" t="str">
        <f ca="1">IF(AND(AE329="SP AVERE",AA329&lt;&gt;$FU$1),MAX($FT$2:FT328)+1,IF(AND(GQ329="SP AVERE",AA329&lt;&gt;$FU$1),MAX($FT$2:FT328)+1,""))</f>
        <v/>
      </c>
      <c r="FU329" s="259">
        <f t="shared" ca="1" si="746"/>
        <v>0</v>
      </c>
      <c r="FV329" s="259">
        <f t="shared" si="747"/>
        <v>0</v>
      </c>
      <c r="FW329" s="259">
        <f ca="1">IFERROR(INDEX($FU$3:$FV$500,MATCH(ROWS($FW$3:FW329),$FU$3:$FU$500,0),2),0)</f>
        <v>0</v>
      </c>
      <c r="FX329" s="259">
        <f t="shared" ca="1" si="748"/>
        <v>0</v>
      </c>
      <c r="FY329" s="259">
        <f t="shared" ca="1" si="749"/>
        <v>0</v>
      </c>
      <c r="FZ329" s="259">
        <f ca="1">IF(FY329&gt;0,MAX($FZ$2:FZ328)+1,0)</f>
        <v>0</v>
      </c>
      <c r="GA329" s="259">
        <f ca="1">IFERROR(INDEX($FY$3:$FZ$500,MATCH(ROWS($GA$3:GA329),$FZ$3:$FZ$500,0),1),0)</f>
        <v>0</v>
      </c>
      <c r="GC329" s="259">
        <f t="shared" ca="1" si="750"/>
        <v>0</v>
      </c>
      <c r="GD329" s="259">
        <f t="shared" ca="1" si="751"/>
        <v>0</v>
      </c>
      <c r="GG329" s="259">
        <f t="shared" ca="1" si="752"/>
        <v>0</v>
      </c>
      <c r="GH329" s="259">
        <f t="shared" ca="1" si="753"/>
        <v>0</v>
      </c>
      <c r="GI329" s="259">
        <f t="shared" ca="1" si="754"/>
        <v>0</v>
      </c>
      <c r="GJ329" s="259">
        <f t="shared" ca="1" si="755"/>
        <v>0</v>
      </c>
      <c r="GK329" s="259">
        <f t="shared" ca="1" si="756"/>
        <v>0</v>
      </c>
      <c r="GL329" s="259">
        <f t="shared" ca="1" si="756"/>
        <v>0</v>
      </c>
      <c r="GM329" s="259">
        <f ca="1">IF(OR(GK329&gt;0,GL329&gt;0),MAX($GM$2:GM328)+1,0)</f>
        <v>0</v>
      </c>
      <c r="GN329" s="259" t="str">
        <f ca="1">IFERROR(INDEX($GD$3:$GM$400,MATCH(ROWS($GN$3:GN329),$GM$3:$GM$400,0),1),"")</f>
        <v/>
      </c>
      <c r="GO329" s="259" t="str">
        <f ca="1">IFERROR(INDEX($GD$3:$GM$400,MATCH(ROWS($GO$3:GO329),$GM$3:$GM$400,0),8),"")</f>
        <v/>
      </c>
      <c r="GP329" s="259" t="str">
        <f ca="1">IFERROR(INDEX($GD$3:$GM$400,MATCH(ROWS($GP$3:GP329),$GM$3:$GM$400,0),9),"")</f>
        <v/>
      </c>
      <c r="GQ329" s="259">
        <f t="shared" ca="1" si="740"/>
        <v>0</v>
      </c>
      <c r="GR329" s="259">
        <f t="shared" ca="1" si="757"/>
        <v>0</v>
      </c>
      <c r="GS329" s="259" t="str">
        <f t="shared" ca="1" si="758"/>
        <v/>
      </c>
      <c r="GT329" s="259" t="str">
        <f ca="1">IFERROR(INDEX($GD$3:$GS$400,MATCH(ROWS($GT$3:GT329),$GM$3:$GM$400,0),16),"")</f>
        <v/>
      </c>
      <c r="GU329" s="259">
        <f ca="1">IF(GQ329&lt;&gt;0,MAX($GU$2:$GU328)+1,0)</f>
        <v>0</v>
      </c>
      <c r="GV329" s="259">
        <f t="shared" ca="1" si="759"/>
        <v>0</v>
      </c>
      <c r="GW329" s="259" t="str">
        <f ca="1">IF(AND(IFERROR(INDEX($GU$3:$GV$400,MATCH(ROWS($GW$3:GW329),$GU$3:$GU$400,0),2),"")&lt;&gt;"",GW330&lt;&gt;""),CONCATENATE(IFERROR(INDEX($GU$3:$GV$400,MATCH(ROWS($GW$3:GW329),$GU$3:$GU$400,0),2),"")," - "),IFERROR(INDEX($GU$3:$GV$400,MATCH(ROWS($GW$3:GW329),$GU$3:$GU$400,0),2),""))</f>
        <v/>
      </c>
      <c r="GX329" s="259">
        <f ca="1">IF(OR(GN329="IVA NS/CREDITO",GN329="IVA NS/DEBITO",GN329="IVA C/ACCONTO",GN329="IMPOSTE C/ACCONTO"),MAX($GX$2:GX328)+1,0)</f>
        <v>0</v>
      </c>
      <c r="GY329" s="259" t="str">
        <f ca="1">IF(AND(IFERROR(INDEX($GN$3:$GX$200,MATCH(ROWS($GY$3:GY329),$GX$3:$GX$200,0),1),"")&lt;&gt;"",GY330&lt;&gt;""),CONCATENATE(IFERROR(INDEX($GN$3:$GX$200,MATCH(ROWS($GY$3:GY329),$GX$3:$GX$200,0),1),"")," - "),IFERROR(INDEX($GN$3:$GX$200,MATCH(ROWS($GY$3:GY329),$GX$3:$GX$200,0),1),""))</f>
        <v/>
      </c>
      <c r="JA329" s="259" t="str">
        <f t="shared" ca="1" si="760"/>
        <v/>
      </c>
      <c r="JB329" s="259">
        <f t="shared" ca="1" si="741"/>
        <v>0</v>
      </c>
      <c r="JC329" s="259">
        <f t="shared" ca="1" si="721"/>
        <v>0</v>
      </c>
      <c r="JD329" s="259">
        <f t="shared" ca="1" si="722"/>
        <v>0</v>
      </c>
      <c r="JM329" s="259">
        <f t="shared" ca="1" si="723"/>
        <v>0</v>
      </c>
    </row>
    <row r="330" spans="52:273">
      <c r="AZ330" s="259" t="str">
        <f t="shared" ca="1" si="689"/>
        <v/>
      </c>
      <c r="BA330" s="259">
        <f t="shared" ca="1" si="713"/>
        <v>0</v>
      </c>
      <c r="BB330" s="259">
        <f t="shared" ca="1" si="690"/>
        <v>0</v>
      </c>
      <c r="BC330" s="259">
        <f t="shared" ca="1" si="691"/>
        <v>0</v>
      </c>
      <c r="BD330" s="259">
        <f t="shared" ca="1" si="692"/>
        <v>0</v>
      </c>
      <c r="BE330" s="259">
        <f t="shared" ca="1" si="693"/>
        <v>0</v>
      </c>
      <c r="BQ330" s="259" t="str">
        <f ca="1">IFERROR(INDEX($BN$3:$BO$200,MATCH(ROWS(BQ$3:BQ330),$BP$3:$BP$220,0),1),"")</f>
        <v/>
      </c>
      <c r="CX330" s="259">
        <f t="shared" ca="1" si="762"/>
        <v>19</v>
      </c>
      <c r="CY330" s="259" t="str">
        <f t="shared" ca="1" si="724"/>
        <v>MASTRO</v>
      </c>
      <c r="CZ330" s="259" t="e">
        <f t="shared" ca="1" si="764"/>
        <v>#N/A</v>
      </c>
      <c r="DA330" s="259" t="str">
        <f t="shared" ref="DA330:DA343" ca="1" si="769">IFERROR(INDEX(LIBRO_GIORNALE,CZ330,1),"")</f>
        <v/>
      </c>
      <c r="DB330" s="259" t="str">
        <f t="shared" ca="1" si="765"/>
        <v/>
      </c>
      <c r="DC330" s="259" t="str">
        <f t="shared" ca="1" si="766"/>
        <v/>
      </c>
      <c r="DD330" s="259" t="str">
        <f t="shared" ca="1" si="767"/>
        <v/>
      </c>
      <c r="DE330" s="259" t="str">
        <f t="shared" ca="1" si="768"/>
        <v/>
      </c>
      <c r="DF330" s="259">
        <f ca="1">IF(AND(CX330=$DE$2,$DF$2&lt;&gt;0),0,IF(AND(DB330&lt;&gt;"",OR(DB329&lt;&gt;"",DB331&lt;&gt;"")),MAX($DF$2:DF329)+1,0))</f>
        <v>0</v>
      </c>
      <c r="DG330" s="259" t="str">
        <f>IF(IF(LIBRO_GIORNALE!E238="","",IFERROR(INDEX(PIANO_DEI_CONTI,MATCH(BB330,DENOMINAZIONE,0),1),0))=0,"",IF(LIBRO_GIORNALE!E238="","",IFERROR(INDEX(PIANO_DEI_CONTI,MATCH(BB330,DENOMINAZIONE,0),1),0)))</f>
        <v/>
      </c>
      <c r="EC330" s="259">
        <f>IF(IF(DG330&lt;&gt;"",REPLACE(DG330,3,1,""),0)&lt;&gt;0,MAX(EC$2:EC329)+1,0)</f>
        <v>0</v>
      </c>
      <c r="ED330" s="259">
        <f t="shared" ca="1" si="734"/>
        <v>0</v>
      </c>
      <c r="EL330" s="259">
        <f t="shared" si="742"/>
        <v>328</v>
      </c>
      <c r="EM330" s="259">
        <f ca="1">IF(AND(BA330&gt;0,BA330&lt;=$EM$1),MAX($EM$2:EM329)+1,0)</f>
        <v>0</v>
      </c>
      <c r="EN330" s="259">
        <f t="shared" ca="1" si="743"/>
        <v>330</v>
      </c>
      <c r="EP330" s="259" t="str">
        <f t="shared" ca="1" si="735"/>
        <v/>
      </c>
      <c r="EQ330" s="259">
        <f t="shared" ca="1" si="736"/>
        <v>0</v>
      </c>
      <c r="ER330" s="259">
        <f ca="1">IF(ISNA(EQ330),MAX(ER$2:ER329)+1,0)</f>
        <v>0</v>
      </c>
      <c r="ES330" s="259" t="str">
        <f t="shared" ca="1" si="744"/>
        <v/>
      </c>
      <c r="ET330" s="259" t="str">
        <f ca="1">IFERROR(UPPER(INDEX($ER$3:$ES$500,MATCH(ROWS(ET$3:ET330),$ER$3:$ER$500,0),2)),"")</f>
        <v/>
      </c>
      <c r="EW330" s="259">
        <f t="shared" ca="1" si="714"/>
        <v>1</v>
      </c>
      <c r="EX330" s="259">
        <v>228</v>
      </c>
      <c r="EY330" s="259">
        <f t="shared" ca="1" si="715"/>
        <v>0</v>
      </c>
      <c r="EZ330" s="259">
        <f t="shared" ca="1" si="716"/>
        <v>0</v>
      </c>
      <c r="FA330" s="259">
        <f t="shared" ca="1" si="717"/>
        <v>0</v>
      </c>
      <c r="FB330" s="259">
        <f t="shared" ca="1" si="718"/>
        <v>0</v>
      </c>
      <c r="FC330" s="259">
        <f t="shared" ca="1" si="719"/>
        <v>0</v>
      </c>
      <c r="FD330" s="259">
        <f t="shared" ca="1" si="737"/>
        <v>0</v>
      </c>
      <c r="FE330" s="259" t="str">
        <f t="shared" ca="1" si="738"/>
        <v/>
      </c>
      <c r="FF330" s="259" t="str">
        <f t="shared" ca="1" si="720"/>
        <v/>
      </c>
      <c r="FM330" s="259">
        <f t="shared" si="739"/>
        <v>0</v>
      </c>
      <c r="FN330" s="259">
        <f>IF(FM330&lt;0,MAX($FN$2:FN329)+1,0)</f>
        <v>0</v>
      </c>
      <c r="FO330" s="259" t="str">
        <f t="shared" si="745"/>
        <v/>
      </c>
      <c r="FP330" s="259" t="str">
        <f ca="1">IFERROR(INDEX($FN$3:$FO$400,MATCH(ROWS($FP$3:FP330),$FN$3:$FN$400,0),2),"")</f>
        <v/>
      </c>
      <c r="FQ330" s="259" t="str">
        <f>IF(AE330="SE AVERE",MAX($FQ$2:FQ329)+1,"")</f>
        <v/>
      </c>
      <c r="FR330" s="259" t="str">
        <f>IF(AE330="SE DARE",MAX($FR$2:FR329)+1,"")</f>
        <v/>
      </c>
      <c r="FS330" s="259" t="str">
        <f ca="1">IF(AND(AE330="SP DARE",AA330&lt;&gt;$FS$1,AA330&lt;&gt;$FT$1),MAX($FS$2:FS329)+1,IF(AND(GQ330="SP DARE",AA330&lt;&gt;$FS$1,AA330&lt;&gt;$FT$1),MAX($FS$2:FS329)+1,""))</f>
        <v/>
      </c>
      <c r="FT330" s="259" t="str">
        <f ca="1">IF(AND(AE330="SP AVERE",AA330&lt;&gt;$FU$1),MAX($FT$2:FT329)+1,IF(AND(GQ330="SP AVERE",AA330&lt;&gt;$FU$1),MAX($FT$2:FT329)+1,""))</f>
        <v/>
      </c>
      <c r="FU330" s="259">
        <f t="shared" ca="1" si="746"/>
        <v>0</v>
      </c>
      <c r="FV330" s="259">
        <f t="shared" si="747"/>
        <v>0</v>
      </c>
      <c r="FW330" s="259">
        <f ca="1">IFERROR(INDEX($FU$3:$FV$500,MATCH(ROWS($FW$3:FW330),$FU$3:$FU$500,0),2),0)</f>
        <v>0</v>
      </c>
      <c r="FX330" s="259">
        <f t="shared" ca="1" si="748"/>
        <v>0</v>
      </c>
      <c r="FY330" s="259">
        <f t="shared" ca="1" si="749"/>
        <v>0</v>
      </c>
      <c r="FZ330" s="259">
        <f ca="1">IF(FY330&gt;0,MAX($FZ$2:FZ329)+1,0)</f>
        <v>0</v>
      </c>
      <c r="GA330" s="259">
        <f ca="1">IFERROR(INDEX($FY$3:$FZ$500,MATCH(ROWS($GA$3:GA330),$FZ$3:$FZ$500,0),1),0)</f>
        <v>0</v>
      </c>
      <c r="GC330" s="259">
        <f t="shared" ca="1" si="750"/>
        <v>0</v>
      </c>
      <c r="GD330" s="259">
        <f t="shared" ca="1" si="751"/>
        <v>0</v>
      </c>
      <c r="GG330" s="259">
        <f t="shared" ca="1" si="752"/>
        <v>0</v>
      </c>
      <c r="GH330" s="259">
        <f t="shared" ca="1" si="753"/>
        <v>0</v>
      </c>
      <c r="GI330" s="259">
        <f t="shared" ca="1" si="754"/>
        <v>0</v>
      </c>
      <c r="GJ330" s="259">
        <f t="shared" ca="1" si="755"/>
        <v>0</v>
      </c>
      <c r="GK330" s="259">
        <f t="shared" ca="1" si="756"/>
        <v>0</v>
      </c>
      <c r="GL330" s="259">
        <f t="shared" ca="1" si="756"/>
        <v>0</v>
      </c>
      <c r="GM330" s="259">
        <f ca="1">IF(OR(GK330&gt;0,GL330&gt;0),MAX($GM$2:GM329)+1,0)</f>
        <v>0</v>
      </c>
      <c r="GN330" s="259" t="str">
        <f ca="1">IFERROR(INDEX($GD$3:$GM$400,MATCH(ROWS($GN$3:GN330),$GM$3:$GM$400,0),1),"")</f>
        <v/>
      </c>
      <c r="GO330" s="259" t="str">
        <f ca="1">IFERROR(INDEX($GD$3:$GM$400,MATCH(ROWS($GO$3:GO330),$GM$3:$GM$400,0),8),"")</f>
        <v/>
      </c>
      <c r="GP330" s="259" t="str">
        <f ca="1">IFERROR(INDEX($GD$3:$GM$400,MATCH(ROWS($GP$3:GP330),$GM$3:$GM$400,0),9),"")</f>
        <v/>
      </c>
      <c r="GQ330" s="259">
        <f t="shared" ca="1" si="740"/>
        <v>0</v>
      </c>
      <c r="GR330" s="259">
        <f t="shared" ca="1" si="757"/>
        <v>0</v>
      </c>
      <c r="GS330" s="259" t="str">
        <f t="shared" ca="1" si="758"/>
        <v/>
      </c>
      <c r="GT330" s="259" t="str">
        <f ca="1">IFERROR(INDEX($GD$3:$GS$400,MATCH(ROWS($GT$3:GT330),$GM$3:$GM$400,0),16),"")</f>
        <v/>
      </c>
      <c r="GU330" s="259">
        <f ca="1">IF(GQ330&lt;&gt;0,MAX($GU$2:$GU329)+1,0)</f>
        <v>0</v>
      </c>
      <c r="GV330" s="259">
        <f t="shared" ca="1" si="759"/>
        <v>0</v>
      </c>
      <c r="GW330" s="259" t="str">
        <f ca="1">IF(AND(IFERROR(INDEX($GU$3:$GV$400,MATCH(ROWS($GW$3:GW330),$GU$3:$GU$400,0),2),"")&lt;&gt;"",GW331&lt;&gt;""),CONCATENATE(IFERROR(INDEX($GU$3:$GV$400,MATCH(ROWS($GW$3:GW330),$GU$3:$GU$400,0),2),"")," - "),IFERROR(INDEX($GU$3:$GV$400,MATCH(ROWS($GW$3:GW330),$GU$3:$GU$400,0),2),""))</f>
        <v/>
      </c>
      <c r="GX330" s="259">
        <f ca="1">IF(OR(GN330="IVA NS/CREDITO",GN330="IVA NS/DEBITO",GN330="IVA C/ACCONTO",GN330="IMPOSTE C/ACCONTO"),MAX($GX$2:GX329)+1,0)</f>
        <v>0</v>
      </c>
      <c r="GY330" s="259" t="str">
        <f ca="1">IF(AND(IFERROR(INDEX($GN$3:$GX$200,MATCH(ROWS($GY$3:GY330),$GX$3:$GX$200,0),1),"")&lt;&gt;"",GY331&lt;&gt;""),CONCATENATE(IFERROR(INDEX($GN$3:$GX$200,MATCH(ROWS($GY$3:GY330),$GX$3:$GX$200,0),1),"")," - "),IFERROR(INDEX($GN$3:$GX$200,MATCH(ROWS($GY$3:GY330),$GX$3:$GX$200,0),1),""))</f>
        <v/>
      </c>
      <c r="JA330" s="259" t="str">
        <f t="shared" ca="1" si="760"/>
        <v/>
      </c>
      <c r="JB330" s="259">
        <f t="shared" ca="1" si="741"/>
        <v>0</v>
      </c>
      <c r="JC330" s="259">
        <f t="shared" ca="1" si="721"/>
        <v>0</v>
      </c>
      <c r="JD330" s="259">
        <f t="shared" ca="1" si="722"/>
        <v>0</v>
      </c>
      <c r="JM330" s="259">
        <f t="shared" ca="1" si="723"/>
        <v>0</v>
      </c>
    </row>
    <row r="331" spans="52:273">
      <c r="AZ331" s="259" t="str">
        <f t="shared" ca="1" si="689"/>
        <v/>
      </c>
      <c r="BA331" s="259">
        <f t="shared" ca="1" si="713"/>
        <v>0</v>
      </c>
      <c r="BB331" s="259">
        <f t="shared" ca="1" si="690"/>
        <v>0</v>
      </c>
      <c r="BC331" s="259">
        <f t="shared" ca="1" si="691"/>
        <v>0</v>
      </c>
      <c r="BD331" s="259">
        <f t="shared" ca="1" si="692"/>
        <v>0</v>
      </c>
      <c r="BE331" s="259">
        <f t="shared" ca="1" si="693"/>
        <v>0</v>
      </c>
      <c r="BQ331" s="259" t="str">
        <f ca="1">IFERROR(INDEX($BN$3:$BO$200,MATCH(ROWS(BQ$3:BQ331),$BP$3:$BP$220,0),1),"")</f>
        <v/>
      </c>
      <c r="CX331" s="259">
        <f t="shared" ca="1" si="762"/>
        <v>19</v>
      </c>
      <c r="CY331" s="259" t="str">
        <f t="shared" ca="1" si="724"/>
        <v>MASTRO</v>
      </c>
      <c r="CZ331" s="259" t="e">
        <f t="shared" ca="1" si="764"/>
        <v>#N/A</v>
      </c>
      <c r="DA331" s="259" t="str">
        <f t="shared" ca="1" si="769"/>
        <v/>
      </c>
      <c r="DB331" s="259" t="str">
        <f t="shared" ca="1" si="765"/>
        <v/>
      </c>
      <c r="DC331" s="259" t="str">
        <f t="shared" ca="1" si="766"/>
        <v/>
      </c>
      <c r="DD331" s="259" t="str">
        <f t="shared" ca="1" si="767"/>
        <v/>
      </c>
      <c r="DE331" s="259" t="str">
        <f t="shared" ca="1" si="768"/>
        <v/>
      </c>
      <c r="DF331" s="259">
        <f ca="1">IF(AND(CX331=$DE$2,$DF$2&lt;&gt;0),0,IF(AND(DB331&lt;&gt;"",OR(DB330&lt;&gt;"",DB332&lt;&gt;"")),MAX($DF$2:DF330)+1,0))</f>
        <v>0</v>
      </c>
      <c r="DG331" s="259" t="str">
        <f>IF(IF(LIBRO_GIORNALE!E239="","",IFERROR(INDEX(PIANO_DEI_CONTI,MATCH(BB331,DENOMINAZIONE,0),1),0))=0,"",IF(LIBRO_GIORNALE!E239="","",IFERROR(INDEX(PIANO_DEI_CONTI,MATCH(BB331,DENOMINAZIONE,0),1),0)))</f>
        <v/>
      </c>
      <c r="EC331" s="259">
        <f>IF(IF(DG331&lt;&gt;"",REPLACE(DG331,3,1,""),0)&lt;&gt;0,MAX(EC$2:EC330)+1,0)</f>
        <v>0</v>
      </c>
      <c r="ED331" s="259">
        <f t="shared" ca="1" si="734"/>
        <v>0</v>
      </c>
      <c r="EL331" s="259">
        <f t="shared" si="742"/>
        <v>329</v>
      </c>
      <c r="EM331" s="259">
        <f ca="1">IF(AND(BA331&gt;0,BA331&lt;=$EM$1),MAX($EM$2:EM330)+1,0)</f>
        <v>0</v>
      </c>
      <c r="EN331" s="259">
        <f t="shared" ca="1" si="743"/>
        <v>331</v>
      </c>
      <c r="EP331" s="259" t="str">
        <f t="shared" ca="1" si="735"/>
        <v/>
      </c>
      <c r="EQ331" s="259">
        <f t="shared" ca="1" si="736"/>
        <v>0</v>
      </c>
      <c r="ER331" s="259">
        <f ca="1">IF(ISNA(EQ331),MAX(ER$2:ER330)+1,0)</f>
        <v>0</v>
      </c>
      <c r="ES331" s="259" t="str">
        <f t="shared" ca="1" si="744"/>
        <v/>
      </c>
      <c r="ET331" s="259" t="str">
        <f ca="1">IFERROR(UPPER(INDEX($ER$3:$ES$500,MATCH(ROWS(ET$3:ET331),$ER$3:$ER$500,0),2)),"")</f>
        <v/>
      </c>
      <c r="EW331" s="259">
        <f t="shared" ca="1" si="714"/>
        <v>1</v>
      </c>
      <c r="EX331" s="259">
        <v>229</v>
      </c>
      <c r="EY331" s="259">
        <f t="shared" ca="1" si="715"/>
        <v>0</v>
      </c>
      <c r="EZ331" s="259">
        <f t="shared" ca="1" si="716"/>
        <v>0</v>
      </c>
      <c r="FA331" s="259">
        <f t="shared" ca="1" si="717"/>
        <v>0</v>
      </c>
      <c r="FB331" s="259">
        <f t="shared" ca="1" si="718"/>
        <v>0</v>
      </c>
      <c r="FC331" s="259">
        <f t="shared" ca="1" si="719"/>
        <v>0</v>
      </c>
      <c r="FD331" s="259">
        <f t="shared" ca="1" si="737"/>
        <v>0</v>
      </c>
      <c r="FE331" s="259" t="str">
        <f t="shared" ca="1" si="738"/>
        <v/>
      </c>
      <c r="FF331" s="259" t="str">
        <f t="shared" ca="1" si="720"/>
        <v/>
      </c>
      <c r="FM331" s="259">
        <f t="shared" si="739"/>
        <v>0</v>
      </c>
      <c r="FN331" s="259">
        <f>IF(FM331&lt;0,MAX($FN$2:FN330)+1,0)</f>
        <v>0</v>
      </c>
      <c r="FO331" s="259" t="str">
        <f t="shared" si="745"/>
        <v/>
      </c>
      <c r="FP331" s="259" t="str">
        <f ca="1">IFERROR(INDEX($FN$3:$FO$400,MATCH(ROWS($FP$3:FP331),$FN$3:$FN$400,0),2),"")</f>
        <v/>
      </c>
      <c r="FQ331" s="259" t="str">
        <f>IF(AE331="SE AVERE",MAX($FQ$2:FQ330)+1,"")</f>
        <v/>
      </c>
      <c r="FR331" s="259" t="str">
        <f>IF(AE331="SE DARE",MAX($FR$2:FR330)+1,"")</f>
        <v/>
      </c>
      <c r="FS331" s="259" t="str">
        <f ca="1">IF(AND(AE331="SP DARE",AA331&lt;&gt;$FS$1,AA331&lt;&gt;$FT$1),MAX($FS$2:FS330)+1,IF(AND(GQ331="SP DARE",AA331&lt;&gt;$FS$1,AA331&lt;&gt;$FT$1),MAX($FS$2:FS330)+1,""))</f>
        <v/>
      </c>
      <c r="FT331" s="259" t="str">
        <f ca="1">IF(AND(AE331="SP AVERE",AA331&lt;&gt;$FU$1),MAX($FT$2:FT330)+1,IF(AND(GQ331="SP AVERE",AA331&lt;&gt;$FU$1),MAX($FT$2:FT330)+1,""))</f>
        <v/>
      </c>
      <c r="FU331" s="259">
        <f t="shared" ca="1" si="746"/>
        <v>0</v>
      </c>
      <c r="FV331" s="259">
        <f t="shared" si="747"/>
        <v>0</v>
      </c>
      <c r="FW331" s="259">
        <f ca="1">IFERROR(INDEX($FU$3:$FV$500,MATCH(ROWS($FW$3:FW331),$FU$3:$FU$500,0),2),0)</f>
        <v>0</v>
      </c>
      <c r="FX331" s="259">
        <f t="shared" ca="1" si="748"/>
        <v>0</v>
      </c>
      <c r="FY331" s="259">
        <f t="shared" ca="1" si="749"/>
        <v>0</v>
      </c>
      <c r="FZ331" s="259">
        <f ca="1">IF(FY331&gt;0,MAX($FZ$2:FZ330)+1,0)</f>
        <v>0</v>
      </c>
      <c r="GA331" s="259">
        <f ca="1">IFERROR(INDEX($FY$3:$FZ$500,MATCH(ROWS($GA$3:GA331),$FZ$3:$FZ$500,0),1),0)</f>
        <v>0</v>
      </c>
      <c r="GC331" s="259">
        <f t="shared" ca="1" si="750"/>
        <v>0</v>
      </c>
      <c r="GD331" s="259">
        <f t="shared" ca="1" si="751"/>
        <v>0</v>
      </c>
      <c r="GG331" s="259">
        <f t="shared" ca="1" si="752"/>
        <v>0</v>
      </c>
      <c r="GH331" s="259">
        <f t="shared" ca="1" si="753"/>
        <v>0</v>
      </c>
      <c r="GI331" s="259">
        <f t="shared" ca="1" si="754"/>
        <v>0</v>
      </c>
      <c r="GJ331" s="259">
        <f t="shared" ca="1" si="755"/>
        <v>0</v>
      </c>
      <c r="GK331" s="259">
        <f t="shared" ca="1" si="756"/>
        <v>0</v>
      </c>
      <c r="GL331" s="259">
        <f t="shared" ca="1" si="756"/>
        <v>0</v>
      </c>
      <c r="GM331" s="259">
        <f ca="1">IF(OR(GK331&gt;0,GL331&gt;0),MAX($GM$2:GM330)+1,0)</f>
        <v>0</v>
      </c>
      <c r="GN331" s="259" t="str">
        <f ca="1">IFERROR(INDEX($GD$3:$GM$400,MATCH(ROWS($GN$3:GN331),$GM$3:$GM$400,0),1),"")</f>
        <v/>
      </c>
      <c r="GO331" s="259" t="str">
        <f ca="1">IFERROR(INDEX($GD$3:$GM$400,MATCH(ROWS($GO$3:GO331),$GM$3:$GM$400,0),8),"")</f>
        <v/>
      </c>
      <c r="GP331" s="259" t="str">
        <f ca="1">IFERROR(INDEX($GD$3:$GM$400,MATCH(ROWS($GP$3:GP331),$GM$3:$GM$400,0),9),"")</f>
        <v/>
      </c>
      <c r="GQ331" s="259">
        <f t="shared" ca="1" si="740"/>
        <v>0</v>
      </c>
      <c r="GR331" s="259">
        <f t="shared" ca="1" si="757"/>
        <v>0</v>
      </c>
      <c r="GS331" s="259" t="str">
        <f t="shared" ca="1" si="758"/>
        <v/>
      </c>
      <c r="GT331" s="259" t="str">
        <f ca="1">IFERROR(INDEX($GD$3:$GS$400,MATCH(ROWS($GT$3:GT331),$GM$3:$GM$400,0),16),"")</f>
        <v/>
      </c>
      <c r="GU331" s="259">
        <f ca="1">IF(GQ331&lt;&gt;0,MAX($GU$2:$GU330)+1,0)</f>
        <v>0</v>
      </c>
      <c r="GV331" s="259">
        <f t="shared" ca="1" si="759"/>
        <v>0</v>
      </c>
      <c r="GW331" s="259" t="str">
        <f ca="1">IF(AND(IFERROR(INDEX($GU$3:$GV$400,MATCH(ROWS($GW$3:GW331),$GU$3:$GU$400,0),2),"")&lt;&gt;"",GW332&lt;&gt;""),CONCATENATE(IFERROR(INDEX($GU$3:$GV$400,MATCH(ROWS($GW$3:GW331),$GU$3:$GU$400,0),2),"")," - "),IFERROR(INDEX($GU$3:$GV$400,MATCH(ROWS($GW$3:GW331),$GU$3:$GU$400,0),2),""))</f>
        <v/>
      </c>
      <c r="GX331" s="259">
        <f ca="1">IF(OR(GN331="IVA NS/CREDITO",GN331="IVA NS/DEBITO",GN331="IVA C/ACCONTO",GN331="IMPOSTE C/ACCONTO"),MAX($GX$2:GX330)+1,0)</f>
        <v>0</v>
      </c>
      <c r="GY331" s="259" t="str">
        <f ca="1">IF(AND(IFERROR(INDEX($GN$3:$GX$200,MATCH(ROWS($GY$3:GY331),$GX$3:$GX$200,0),1),"")&lt;&gt;"",GY332&lt;&gt;""),CONCATENATE(IFERROR(INDEX($GN$3:$GX$200,MATCH(ROWS($GY$3:GY331),$GX$3:$GX$200,0),1),"")," - "),IFERROR(INDEX($GN$3:$GX$200,MATCH(ROWS($GY$3:GY331),$GX$3:$GX$200,0),1),""))</f>
        <v/>
      </c>
      <c r="JA331" s="259" t="str">
        <f t="shared" ca="1" si="760"/>
        <v/>
      </c>
      <c r="JB331" s="259">
        <f t="shared" ca="1" si="741"/>
        <v>0</v>
      </c>
      <c r="JC331" s="259">
        <f t="shared" ca="1" si="721"/>
        <v>0</v>
      </c>
      <c r="JD331" s="259">
        <f t="shared" ca="1" si="722"/>
        <v>0</v>
      </c>
      <c r="JM331" s="259">
        <f t="shared" ca="1" si="723"/>
        <v>0</v>
      </c>
    </row>
    <row r="332" spans="52:273">
      <c r="AZ332" s="259" t="str">
        <f t="shared" ref="AZ332:AZ395" ca="1" si="770">IF(BA332&lt;&gt;0,ROW()-202,"")</f>
        <v/>
      </c>
      <c r="BA332" s="259">
        <f t="shared" ca="1" si="713"/>
        <v>0</v>
      </c>
      <c r="BB332" s="259">
        <f t="shared" ref="BB332:BB395" ca="1" si="771">IF($BA332=0,0,EZ232)</f>
        <v>0</v>
      </c>
      <c r="BC332" s="259">
        <f t="shared" ref="BC332:BC395" ca="1" si="772">IF($BA332=0,0,FA232)</f>
        <v>0</v>
      </c>
      <c r="BD332" s="259">
        <f t="shared" ref="BD332:BD395" ca="1" si="773">IF($BA332=0,0,FB232)</f>
        <v>0</v>
      </c>
      <c r="BE332" s="259">
        <f t="shared" ref="BE332:BE395" ca="1" si="774">IF($BA332=0,0,FC232)</f>
        <v>0</v>
      </c>
      <c r="BQ332" s="259" t="str">
        <f ca="1">IFERROR(INDEX($BN$3:$BO$200,MATCH(ROWS(BQ$3:BQ332),$BP$3:$BP$220,0),1),"")</f>
        <v/>
      </c>
      <c r="CX332" s="259">
        <f t="shared" ca="1" si="762"/>
        <v>19</v>
      </c>
      <c r="CY332" s="259" t="str">
        <f t="shared" ca="1" si="724"/>
        <v>MASTRO</v>
      </c>
      <c r="CZ332" s="259" t="e">
        <f t="shared" ca="1" si="764"/>
        <v>#N/A</v>
      </c>
      <c r="DA332" s="259" t="str">
        <f t="shared" ca="1" si="769"/>
        <v/>
      </c>
      <c r="DB332" s="259" t="str">
        <f t="shared" ca="1" si="765"/>
        <v/>
      </c>
      <c r="DC332" s="259" t="str">
        <f t="shared" ca="1" si="766"/>
        <v/>
      </c>
      <c r="DD332" s="259" t="str">
        <f t="shared" ca="1" si="767"/>
        <v/>
      </c>
      <c r="DE332" s="259" t="str">
        <f t="shared" ca="1" si="768"/>
        <v/>
      </c>
      <c r="DF332" s="259">
        <f ca="1">IF(AND(CX332=$DE$2,$DF$2&lt;&gt;0),0,IF(AND(DB332&lt;&gt;"",OR(DB331&lt;&gt;"",DB333&lt;&gt;"")),MAX($DF$2:DF331)+1,0))</f>
        <v>0</v>
      </c>
      <c r="DG332" s="259" t="str">
        <f>IF(IF(LIBRO_GIORNALE!E240="","",IFERROR(INDEX(PIANO_DEI_CONTI,MATCH(BB332,DENOMINAZIONE,0),1),0))=0,"",IF(LIBRO_GIORNALE!E240="","",IFERROR(INDEX(PIANO_DEI_CONTI,MATCH(BB332,DENOMINAZIONE,0),1),0)))</f>
        <v/>
      </c>
      <c r="EC332" s="259">
        <f>IF(IF(DG332&lt;&gt;"",REPLACE(DG332,3,1,""),0)&lt;&gt;0,MAX(EC$2:EC331)+1,0)</f>
        <v>0</v>
      </c>
      <c r="ED332" s="259">
        <f t="shared" ca="1" si="734"/>
        <v>0</v>
      </c>
      <c r="EL332" s="259">
        <f t="shared" si="742"/>
        <v>330</v>
      </c>
      <c r="EM332" s="259">
        <f ca="1">IF(AND(BA332&gt;0,BA332&lt;=$EM$1),MAX($EM$2:EM331)+1,0)</f>
        <v>0</v>
      </c>
      <c r="EN332" s="259">
        <f t="shared" ca="1" si="743"/>
        <v>332</v>
      </c>
      <c r="EP332" s="259" t="str">
        <f t="shared" ca="1" si="735"/>
        <v/>
      </c>
      <c r="EQ332" s="259">
        <f t="shared" ca="1" si="736"/>
        <v>0</v>
      </c>
      <c r="ER332" s="259">
        <f ca="1">IF(ISNA(EQ332),MAX(ER$2:ER331)+1,0)</f>
        <v>0</v>
      </c>
      <c r="ES332" s="259" t="str">
        <f t="shared" ca="1" si="744"/>
        <v/>
      </c>
      <c r="ET332" s="259" t="str">
        <f ca="1">IFERROR(UPPER(INDEX($ER$3:$ES$500,MATCH(ROWS(ET$3:ET332),$ER$3:$ER$500,0),2)),"")</f>
        <v/>
      </c>
      <c r="EW332" s="259">
        <f t="shared" ca="1" si="714"/>
        <v>1</v>
      </c>
      <c r="EX332" s="259">
        <v>230</v>
      </c>
      <c r="EY332" s="259">
        <f t="shared" ca="1" si="715"/>
        <v>0</v>
      </c>
      <c r="EZ332" s="259">
        <f t="shared" ca="1" si="716"/>
        <v>0</v>
      </c>
      <c r="FA332" s="259">
        <f t="shared" ca="1" si="717"/>
        <v>0</v>
      </c>
      <c r="FB332" s="259">
        <f t="shared" ca="1" si="718"/>
        <v>0</v>
      </c>
      <c r="FC332" s="259">
        <f t="shared" ca="1" si="719"/>
        <v>0</v>
      </c>
      <c r="FD332" s="259">
        <f t="shared" ca="1" si="737"/>
        <v>0</v>
      </c>
      <c r="FE332" s="259" t="str">
        <f t="shared" ca="1" si="738"/>
        <v/>
      </c>
      <c r="FF332" s="259" t="str">
        <f t="shared" ca="1" si="720"/>
        <v/>
      </c>
      <c r="FM332" s="259">
        <f t="shared" si="739"/>
        <v>0</v>
      </c>
      <c r="FN332" s="259">
        <f>IF(FM332&lt;0,MAX($FN$2:FN331)+1,0)</f>
        <v>0</v>
      </c>
      <c r="FO332" s="259" t="str">
        <f t="shared" si="745"/>
        <v/>
      </c>
      <c r="FP332" s="259" t="str">
        <f ca="1">IFERROR(INDEX($FN$3:$FO$400,MATCH(ROWS($FP$3:FP332),$FN$3:$FN$400,0),2),"")</f>
        <v/>
      </c>
      <c r="FQ332" s="259" t="str">
        <f>IF(AE332="SE AVERE",MAX($FQ$2:FQ331)+1,"")</f>
        <v/>
      </c>
      <c r="FR332" s="259" t="str">
        <f>IF(AE332="SE DARE",MAX($FR$2:FR331)+1,"")</f>
        <v/>
      </c>
      <c r="FS332" s="259" t="str">
        <f ca="1">IF(AND(AE332="SP DARE",AA332&lt;&gt;$FS$1,AA332&lt;&gt;$FT$1),MAX($FS$2:FS331)+1,IF(AND(GQ332="SP DARE",AA332&lt;&gt;$FS$1,AA332&lt;&gt;$FT$1),MAX($FS$2:FS331)+1,""))</f>
        <v/>
      </c>
      <c r="FT332" s="259" t="str">
        <f ca="1">IF(AND(AE332="SP AVERE",AA332&lt;&gt;$FU$1),MAX($FT$2:FT331)+1,IF(AND(GQ332="SP AVERE",AA332&lt;&gt;$FU$1),MAX($FT$2:FT331)+1,""))</f>
        <v/>
      </c>
      <c r="FU332" s="259">
        <f t="shared" ca="1" si="746"/>
        <v>0</v>
      </c>
      <c r="FV332" s="259">
        <f t="shared" si="747"/>
        <v>0</v>
      </c>
      <c r="FW332" s="259">
        <f ca="1">IFERROR(INDEX($FU$3:$FV$500,MATCH(ROWS($FW$3:FW332),$FU$3:$FU$500,0),2),0)</f>
        <v>0</v>
      </c>
      <c r="FX332" s="259">
        <f t="shared" ca="1" si="748"/>
        <v>0</v>
      </c>
      <c r="FY332" s="259">
        <f t="shared" ca="1" si="749"/>
        <v>0</v>
      </c>
      <c r="FZ332" s="259">
        <f ca="1">IF(FY332&gt;0,MAX($FZ$2:FZ331)+1,0)</f>
        <v>0</v>
      </c>
      <c r="GA332" s="259">
        <f ca="1">IFERROR(INDEX($FY$3:$FZ$500,MATCH(ROWS($GA$3:GA332),$FZ$3:$FZ$500,0),1),0)</f>
        <v>0</v>
      </c>
      <c r="GC332" s="259">
        <f t="shared" ca="1" si="750"/>
        <v>0</v>
      </c>
      <c r="GD332" s="259">
        <f t="shared" ca="1" si="751"/>
        <v>0</v>
      </c>
      <c r="GG332" s="259">
        <f t="shared" ca="1" si="752"/>
        <v>0</v>
      </c>
      <c r="GH332" s="259">
        <f t="shared" ca="1" si="753"/>
        <v>0</v>
      </c>
      <c r="GI332" s="259">
        <f t="shared" ca="1" si="754"/>
        <v>0</v>
      </c>
      <c r="GJ332" s="259">
        <f t="shared" ca="1" si="755"/>
        <v>0</v>
      </c>
      <c r="GK332" s="259">
        <f t="shared" ca="1" si="756"/>
        <v>0</v>
      </c>
      <c r="GL332" s="259">
        <f t="shared" ca="1" si="756"/>
        <v>0</v>
      </c>
      <c r="GM332" s="259">
        <f ca="1">IF(OR(GK332&gt;0,GL332&gt;0),MAX($GM$2:GM331)+1,0)</f>
        <v>0</v>
      </c>
      <c r="GN332" s="259" t="str">
        <f ca="1">IFERROR(INDEX($GD$3:$GM$400,MATCH(ROWS($GN$3:GN332),$GM$3:$GM$400,0),1),"")</f>
        <v/>
      </c>
      <c r="GO332" s="259" t="str">
        <f ca="1">IFERROR(INDEX($GD$3:$GM$400,MATCH(ROWS($GO$3:GO332),$GM$3:$GM$400,0),8),"")</f>
        <v/>
      </c>
      <c r="GP332" s="259" t="str">
        <f ca="1">IFERROR(INDEX($GD$3:$GM$400,MATCH(ROWS($GP$3:GP332),$GM$3:$GM$400,0),9),"")</f>
        <v/>
      </c>
      <c r="GQ332" s="259">
        <f t="shared" ca="1" si="740"/>
        <v>0</v>
      </c>
      <c r="GR332" s="259">
        <f t="shared" ca="1" si="757"/>
        <v>0</v>
      </c>
      <c r="GS332" s="259" t="str">
        <f t="shared" ca="1" si="758"/>
        <v/>
      </c>
      <c r="GT332" s="259" t="str">
        <f ca="1">IFERROR(INDEX($GD$3:$GS$400,MATCH(ROWS($GT$3:GT332),$GM$3:$GM$400,0),16),"")</f>
        <v/>
      </c>
      <c r="GU332" s="259">
        <f ca="1">IF(GQ332&lt;&gt;0,MAX($GU$2:$GU331)+1,0)</f>
        <v>0</v>
      </c>
      <c r="GV332" s="259">
        <f t="shared" ca="1" si="759"/>
        <v>0</v>
      </c>
      <c r="GW332" s="259" t="str">
        <f ca="1">IF(AND(IFERROR(INDEX($GU$3:$GV$400,MATCH(ROWS($GW$3:GW332),$GU$3:$GU$400,0),2),"")&lt;&gt;"",GW333&lt;&gt;""),CONCATENATE(IFERROR(INDEX($GU$3:$GV$400,MATCH(ROWS($GW$3:GW332),$GU$3:$GU$400,0),2),"")," - "),IFERROR(INDEX($GU$3:$GV$400,MATCH(ROWS($GW$3:GW332),$GU$3:$GU$400,0),2),""))</f>
        <v/>
      </c>
      <c r="GX332" s="259">
        <f ca="1">IF(OR(GN332="IVA NS/CREDITO",GN332="IVA NS/DEBITO",GN332="IVA C/ACCONTO",GN332="IMPOSTE C/ACCONTO"),MAX($GX$2:GX331)+1,0)</f>
        <v>0</v>
      </c>
      <c r="GY332" s="259" t="str">
        <f ca="1">IF(AND(IFERROR(INDEX($GN$3:$GX$200,MATCH(ROWS($GY$3:GY332),$GX$3:$GX$200,0),1),"")&lt;&gt;"",GY333&lt;&gt;""),CONCATENATE(IFERROR(INDEX($GN$3:$GX$200,MATCH(ROWS($GY$3:GY332),$GX$3:$GX$200,0),1),"")," - "),IFERROR(INDEX($GN$3:$GX$200,MATCH(ROWS($GY$3:GY332),$GX$3:$GX$200,0),1),""))</f>
        <v/>
      </c>
      <c r="JA332" s="259" t="str">
        <f t="shared" ca="1" si="760"/>
        <v/>
      </c>
      <c r="JB332" s="259">
        <f t="shared" ca="1" si="741"/>
        <v>0</v>
      </c>
      <c r="JC332" s="259">
        <f t="shared" ca="1" si="721"/>
        <v>0</v>
      </c>
      <c r="JD332" s="259">
        <f t="shared" ca="1" si="722"/>
        <v>0</v>
      </c>
      <c r="JM332" s="259">
        <f t="shared" ca="1" si="723"/>
        <v>0</v>
      </c>
    </row>
    <row r="333" spans="52:273">
      <c r="AZ333" s="259" t="str">
        <f t="shared" ca="1" si="770"/>
        <v/>
      </c>
      <c r="BA333" s="259">
        <f t="shared" ca="1" si="713"/>
        <v>0</v>
      </c>
      <c r="BB333" s="259">
        <f t="shared" ca="1" si="771"/>
        <v>0</v>
      </c>
      <c r="BC333" s="259">
        <f t="shared" ca="1" si="772"/>
        <v>0</v>
      </c>
      <c r="BD333" s="259">
        <f t="shared" ca="1" si="773"/>
        <v>0</v>
      </c>
      <c r="BE333" s="259">
        <f t="shared" ca="1" si="774"/>
        <v>0</v>
      </c>
      <c r="BQ333" s="259" t="str">
        <f ca="1">IFERROR(INDEX($BN$3:$BO$200,MATCH(ROWS(BQ$3:BQ333),$BP$3:$BP$220,0),1),"")</f>
        <v/>
      </c>
      <c r="CX333" s="259">
        <f t="shared" ca="1" si="762"/>
        <v>19</v>
      </c>
      <c r="CY333" s="259" t="str">
        <f t="shared" ca="1" si="724"/>
        <v>MASTRO</v>
      </c>
      <c r="CZ333" s="259" t="e">
        <f t="shared" ca="1" si="764"/>
        <v>#N/A</v>
      </c>
      <c r="DA333" s="259" t="str">
        <f t="shared" ca="1" si="769"/>
        <v/>
      </c>
      <c r="DB333" s="259" t="str">
        <f t="shared" ca="1" si="765"/>
        <v/>
      </c>
      <c r="DC333" s="259" t="str">
        <f t="shared" ca="1" si="766"/>
        <v/>
      </c>
      <c r="DD333" s="259" t="str">
        <f t="shared" ca="1" si="767"/>
        <v/>
      </c>
      <c r="DE333" s="259" t="str">
        <f t="shared" ca="1" si="768"/>
        <v/>
      </c>
      <c r="DF333" s="259">
        <f ca="1">IF(AND(CX333=$DE$2,$DF$2&lt;&gt;0),0,IF(AND(DB333&lt;&gt;"",OR(DB332&lt;&gt;"",DB334&lt;&gt;"")),MAX($DF$2:DF332)+1,0))</f>
        <v>0</v>
      </c>
      <c r="DG333" s="259" t="str">
        <f>IF(IF(LIBRO_GIORNALE!E241="","",IFERROR(INDEX(PIANO_DEI_CONTI,MATCH(BB333,DENOMINAZIONE,0),1),0))=0,"",IF(LIBRO_GIORNALE!E241="","",IFERROR(INDEX(PIANO_DEI_CONTI,MATCH(BB333,DENOMINAZIONE,0),1),0)))</f>
        <v/>
      </c>
      <c r="EC333" s="259">
        <f>IF(IF(DG333&lt;&gt;"",REPLACE(DG333,3,1,""),0)&lt;&gt;0,MAX(EC$2:EC332)+1,0)</f>
        <v>0</v>
      </c>
      <c r="ED333" s="259">
        <f t="shared" ca="1" si="734"/>
        <v>0</v>
      </c>
      <c r="EL333" s="259">
        <f t="shared" si="742"/>
        <v>331</v>
      </c>
      <c r="EM333" s="259">
        <f ca="1">IF(AND(BA333&gt;0,BA333&lt;=$EM$1),MAX($EM$2:EM332)+1,0)</f>
        <v>0</v>
      </c>
      <c r="EN333" s="259">
        <f t="shared" ca="1" si="743"/>
        <v>333</v>
      </c>
      <c r="EP333" s="259" t="str">
        <f t="shared" ca="1" si="735"/>
        <v/>
      </c>
      <c r="EQ333" s="259">
        <f t="shared" ca="1" si="736"/>
        <v>0</v>
      </c>
      <c r="ER333" s="259">
        <f ca="1">IF(ISNA(EQ333),MAX(ER$2:ER332)+1,0)</f>
        <v>0</v>
      </c>
      <c r="ES333" s="259" t="str">
        <f t="shared" ca="1" si="744"/>
        <v/>
      </c>
      <c r="ET333" s="259" t="str">
        <f ca="1">IFERROR(UPPER(INDEX($ER$3:$ES$500,MATCH(ROWS(ET$3:ET333),$ER$3:$ER$500,0),2)),"")</f>
        <v/>
      </c>
      <c r="EW333" s="259">
        <f t="shared" ca="1" si="714"/>
        <v>1</v>
      </c>
      <c r="EX333" s="259">
        <v>231</v>
      </c>
      <c r="EY333" s="259">
        <f t="shared" ca="1" si="715"/>
        <v>0</v>
      </c>
      <c r="EZ333" s="259">
        <f t="shared" ca="1" si="716"/>
        <v>0</v>
      </c>
      <c r="FA333" s="259">
        <f t="shared" ca="1" si="717"/>
        <v>0</v>
      </c>
      <c r="FB333" s="259">
        <f t="shared" ca="1" si="718"/>
        <v>0</v>
      </c>
      <c r="FC333" s="259">
        <f t="shared" ca="1" si="719"/>
        <v>0</v>
      </c>
      <c r="FD333" s="259">
        <f t="shared" ca="1" si="737"/>
        <v>0</v>
      </c>
      <c r="FE333" s="259" t="str">
        <f t="shared" ca="1" si="738"/>
        <v/>
      </c>
      <c r="FF333" s="259" t="str">
        <f t="shared" ca="1" si="720"/>
        <v/>
      </c>
      <c r="FM333" s="259">
        <f t="shared" si="739"/>
        <v>0</v>
      </c>
      <c r="FN333" s="259">
        <f>IF(FM333&lt;0,MAX($FN$2:FN332)+1,0)</f>
        <v>0</v>
      </c>
      <c r="FO333" s="259" t="str">
        <f t="shared" si="745"/>
        <v/>
      </c>
      <c r="FP333" s="259" t="str">
        <f ca="1">IFERROR(INDEX($FN$3:$FO$400,MATCH(ROWS($FP$3:FP333),$FN$3:$FN$400,0),2),"")</f>
        <v/>
      </c>
      <c r="FQ333" s="259" t="str">
        <f>IF(AE333="SE AVERE",MAX($FQ$2:FQ332)+1,"")</f>
        <v/>
      </c>
      <c r="FR333" s="259" t="str">
        <f>IF(AE333="SE DARE",MAX($FR$2:FR332)+1,"")</f>
        <v/>
      </c>
      <c r="FS333" s="259" t="str">
        <f ca="1">IF(AND(AE333="SP DARE",AA333&lt;&gt;$FS$1,AA333&lt;&gt;$FT$1),MAX($FS$2:FS332)+1,IF(AND(GQ333="SP DARE",AA333&lt;&gt;$FS$1,AA333&lt;&gt;$FT$1),MAX($FS$2:FS332)+1,""))</f>
        <v/>
      </c>
      <c r="FT333" s="259" t="str">
        <f ca="1">IF(AND(AE333="SP AVERE",AA333&lt;&gt;$FU$1),MAX($FT$2:FT332)+1,IF(AND(GQ333="SP AVERE",AA333&lt;&gt;$FU$1),MAX($FT$2:FT332)+1,""))</f>
        <v/>
      </c>
      <c r="FU333" s="259">
        <f t="shared" ca="1" si="746"/>
        <v>0</v>
      </c>
      <c r="FV333" s="259">
        <f t="shared" si="747"/>
        <v>0</v>
      </c>
      <c r="FW333" s="259">
        <f ca="1">IFERROR(INDEX($FU$3:$FV$500,MATCH(ROWS($FW$3:FW333),$FU$3:$FU$500,0),2),0)</f>
        <v>0</v>
      </c>
      <c r="FX333" s="259">
        <f t="shared" ca="1" si="748"/>
        <v>0</v>
      </c>
      <c r="FY333" s="259">
        <f t="shared" ca="1" si="749"/>
        <v>0</v>
      </c>
      <c r="FZ333" s="259">
        <f ca="1">IF(FY333&gt;0,MAX($FZ$2:FZ332)+1,0)</f>
        <v>0</v>
      </c>
      <c r="GA333" s="259">
        <f ca="1">IFERROR(INDEX($FY$3:$FZ$500,MATCH(ROWS($GA$3:GA333),$FZ$3:$FZ$500,0),1),0)</f>
        <v>0</v>
      </c>
      <c r="GC333" s="259">
        <f t="shared" ca="1" si="750"/>
        <v>0</v>
      </c>
      <c r="GD333" s="259">
        <f t="shared" ca="1" si="751"/>
        <v>0</v>
      </c>
      <c r="GG333" s="259">
        <f t="shared" ca="1" si="752"/>
        <v>0</v>
      </c>
      <c r="GH333" s="259">
        <f t="shared" ca="1" si="753"/>
        <v>0</v>
      </c>
      <c r="GI333" s="259">
        <f t="shared" ca="1" si="754"/>
        <v>0</v>
      </c>
      <c r="GJ333" s="259">
        <f t="shared" ca="1" si="755"/>
        <v>0</v>
      </c>
      <c r="GK333" s="259">
        <f t="shared" ca="1" si="756"/>
        <v>0</v>
      </c>
      <c r="GL333" s="259">
        <f t="shared" ca="1" si="756"/>
        <v>0</v>
      </c>
      <c r="GM333" s="259">
        <f ca="1">IF(OR(GK333&gt;0,GL333&gt;0),MAX($GM$2:GM332)+1,0)</f>
        <v>0</v>
      </c>
      <c r="GN333" s="259" t="str">
        <f ca="1">IFERROR(INDEX($GD$3:$GM$400,MATCH(ROWS($GN$3:GN333),$GM$3:$GM$400,0),1),"")</f>
        <v/>
      </c>
      <c r="GO333" s="259" t="str">
        <f ca="1">IFERROR(INDEX($GD$3:$GM$400,MATCH(ROWS($GO$3:GO333),$GM$3:$GM$400,0),8),"")</f>
        <v/>
      </c>
      <c r="GP333" s="259" t="str">
        <f ca="1">IFERROR(INDEX($GD$3:$GM$400,MATCH(ROWS($GP$3:GP333),$GM$3:$GM$400,0),9),"")</f>
        <v/>
      </c>
      <c r="GQ333" s="259">
        <f t="shared" ca="1" si="740"/>
        <v>0</v>
      </c>
      <c r="GR333" s="259">
        <f t="shared" ca="1" si="757"/>
        <v>0</v>
      </c>
      <c r="GS333" s="259" t="str">
        <f t="shared" ca="1" si="758"/>
        <v/>
      </c>
      <c r="GT333" s="259" t="str">
        <f ca="1">IFERROR(INDEX($GD$3:$GS$400,MATCH(ROWS($GT$3:GT333),$GM$3:$GM$400,0),16),"")</f>
        <v/>
      </c>
      <c r="GU333" s="259">
        <f ca="1">IF(GQ333&lt;&gt;0,MAX($GU$2:$GU332)+1,0)</f>
        <v>0</v>
      </c>
      <c r="GV333" s="259">
        <f t="shared" ca="1" si="759"/>
        <v>0</v>
      </c>
      <c r="GW333" s="259" t="str">
        <f ca="1">IF(AND(IFERROR(INDEX($GU$3:$GV$400,MATCH(ROWS($GW$3:GW333),$GU$3:$GU$400,0),2),"")&lt;&gt;"",GW334&lt;&gt;""),CONCATENATE(IFERROR(INDEX($GU$3:$GV$400,MATCH(ROWS($GW$3:GW333),$GU$3:$GU$400,0),2),"")," - "),IFERROR(INDEX($GU$3:$GV$400,MATCH(ROWS($GW$3:GW333),$GU$3:$GU$400,0),2),""))</f>
        <v/>
      </c>
      <c r="GX333" s="259">
        <f ca="1">IF(OR(GN333="IVA NS/CREDITO",GN333="IVA NS/DEBITO",GN333="IVA C/ACCONTO",GN333="IMPOSTE C/ACCONTO"),MAX($GX$2:GX332)+1,0)</f>
        <v>0</v>
      </c>
      <c r="GY333" s="259" t="str">
        <f ca="1">IF(AND(IFERROR(INDEX($GN$3:$GX$200,MATCH(ROWS($GY$3:GY333),$GX$3:$GX$200,0),1),"")&lt;&gt;"",GY334&lt;&gt;""),CONCATENATE(IFERROR(INDEX($GN$3:$GX$200,MATCH(ROWS($GY$3:GY333),$GX$3:$GX$200,0),1),"")," - "),IFERROR(INDEX($GN$3:$GX$200,MATCH(ROWS($GY$3:GY333),$GX$3:$GX$200,0),1),""))</f>
        <v/>
      </c>
      <c r="JA333" s="259" t="str">
        <f t="shared" ca="1" si="760"/>
        <v/>
      </c>
      <c r="JB333" s="259">
        <f t="shared" ca="1" si="741"/>
        <v>0</v>
      </c>
      <c r="JC333" s="259">
        <f t="shared" ca="1" si="721"/>
        <v>0</v>
      </c>
      <c r="JD333" s="259">
        <f t="shared" ca="1" si="722"/>
        <v>0</v>
      </c>
      <c r="JM333" s="259">
        <f t="shared" ca="1" si="723"/>
        <v>0</v>
      </c>
    </row>
    <row r="334" spans="52:273">
      <c r="AZ334" s="259" t="str">
        <f t="shared" ca="1" si="770"/>
        <v/>
      </c>
      <c r="BA334" s="259">
        <f t="shared" ca="1" si="713"/>
        <v>0</v>
      </c>
      <c r="BB334" s="259">
        <f t="shared" ca="1" si="771"/>
        <v>0</v>
      </c>
      <c r="BC334" s="259">
        <f t="shared" ca="1" si="772"/>
        <v>0</v>
      </c>
      <c r="BD334" s="259">
        <f t="shared" ca="1" si="773"/>
        <v>0</v>
      </c>
      <c r="BE334" s="259">
        <f t="shared" ca="1" si="774"/>
        <v>0</v>
      </c>
      <c r="BQ334" s="259" t="str">
        <f ca="1">IFERROR(INDEX($BN$3:$BO$200,MATCH(ROWS(BQ$3:BQ334),$BP$3:$BP$220,0),1),"")</f>
        <v/>
      </c>
      <c r="CX334" s="259">
        <f t="shared" ca="1" si="762"/>
        <v>19</v>
      </c>
      <c r="CY334" s="259" t="str">
        <f t="shared" ca="1" si="724"/>
        <v>MASTRO</v>
      </c>
      <c r="CZ334" s="259" t="e">
        <f t="shared" ca="1" si="764"/>
        <v>#N/A</v>
      </c>
      <c r="DA334" s="259" t="str">
        <f t="shared" ca="1" si="769"/>
        <v/>
      </c>
      <c r="DB334" s="259" t="str">
        <f t="shared" ca="1" si="765"/>
        <v/>
      </c>
      <c r="DC334" s="259" t="str">
        <f t="shared" ca="1" si="766"/>
        <v/>
      </c>
      <c r="DD334" s="259" t="str">
        <f t="shared" ca="1" si="767"/>
        <v/>
      </c>
      <c r="DE334" s="259" t="str">
        <f t="shared" ca="1" si="768"/>
        <v/>
      </c>
      <c r="DF334" s="259">
        <f ca="1">IF(AND(CX334=$DE$2,$DF$2&lt;&gt;0),0,IF(AND(DB334&lt;&gt;"",OR(DB333&lt;&gt;"",DB335&lt;&gt;"")),MAX($DF$2:DF333)+1,0))</f>
        <v>0</v>
      </c>
      <c r="DG334" s="259" t="str">
        <f>IF(IF(LIBRO_GIORNALE!E242="","",IFERROR(INDEX(PIANO_DEI_CONTI,MATCH(BB334,DENOMINAZIONE,0),1),0))=0,"",IF(LIBRO_GIORNALE!E242="","",IFERROR(INDEX(PIANO_DEI_CONTI,MATCH(BB334,DENOMINAZIONE,0),1),0)))</f>
        <v/>
      </c>
      <c r="EC334" s="259">
        <f>IF(IF(DG334&lt;&gt;"",REPLACE(DG334,3,1,""),0)&lt;&gt;0,MAX(EC$2:EC333)+1,0)</f>
        <v>0</v>
      </c>
      <c r="ED334" s="259">
        <f t="shared" ca="1" si="734"/>
        <v>0</v>
      </c>
      <c r="EL334" s="259">
        <f t="shared" si="742"/>
        <v>332</v>
      </c>
      <c r="EM334" s="259">
        <f ca="1">IF(AND(BA334&gt;0,BA334&lt;=$EM$1),MAX($EM$2:EM333)+1,0)</f>
        <v>0</v>
      </c>
      <c r="EN334" s="259">
        <f t="shared" ca="1" si="743"/>
        <v>334</v>
      </c>
      <c r="EP334" s="259" t="str">
        <f t="shared" ca="1" si="735"/>
        <v/>
      </c>
      <c r="EQ334" s="259">
        <f t="shared" ca="1" si="736"/>
        <v>0</v>
      </c>
      <c r="ER334" s="259">
        <f ca="1">IF(ISNA(EQ334),MAX(ER$2:ER333)+1,0)</f>
        <v>0</v>
      </c>
      <c r="ES334" s="259" t="str">
        <f t="shared" ca="1" si="744"/>
        <v/>
      </c>
      <c r="ET334" s="259" t="str">
        <f ca="1">IFERROR(UPPER(INDEX($ER$3:$ES$500,MATCH(ROWS(ET$3:ET334),$ER$3:$ER$500,0),2)),"")</f>
        <v/>
      </c>
      <c r="EW334" s="259">
        <f t="shared" ca="1" si="714"/>
        <v>1</v>
      </c>
      <c r="EX334" s="259">
        <v>232</v>
      </c>
      <c r="EY334" s="259">
        <f t="shared" ca="1" si="715"/>
        <v>0</v>
      </c>
      <c r="EZ334" s="259">
        <f t="shared" ca="1" si="716"/>
        <v>0</v>
      </c>
      <c r="FA334" s="259">
        <f t="shared" ca="1" si="717"/>
        <v>0</v>
      </c>
      <c r="FB334" s="259">
        <f t="shared" ca="1" si="718"/>
        <v>0</v>
      </c>
      <c r="FC334" s="259">
        <f t="shared" ca="1" si="719"/>
        <v>0</v>
      </c>
      <c r="FD334" s="259">
        <f t="shared" ca="1" si="737"/>
        <v>0</v>
      </c>
      <c r="FE334" s="259" t="str">
        <f t="shared" ca="1" si="738"/>
        <v/>
      </c>
      <c r="FF334" s="259" t="str">
        <f t="shared" ca="1" si="720"/>
        <v/>
      </c>
      <c r="FM334" s="259">
        <f t="shared" si="739"/>
        <v>0</v>
      </c>
      <c r="FN334" s="259">
        <f>IF(FM334&lt;0,MAX($FN$2:FN333)+1,0)</f>
        <v>0</v>
      </c>
      <c r="FO334" s="259" t="str">
        <f t="shared" si="745"/>
        <v/>
      </c>
      <c r="FP334" s="259" t="str">
        <f ca="1">IFERROR(INDEX($FN$3:$FO$400,MATCH(ROWS($FP$3:FP334),$FN$3:$FN$400,0),2),"")</f>
        <v/>
      </c>
      <c r="FQ334" s="259" t="str">
        <f>IF(AE334="SE AVERE",MAX($FQ$2:FQ333)+1,"")</f>
        <v/>
      </c>
      <c r="FR334" s="259" t="str">
        <f>IF(AE334="SE DARE",MAX($FR$2:FR333)+1,"")</f>
        <v/>
      </c>
      <c r="FS334" s="259" t="str">
        <f ca="1">IF(AND(AE334="SP DARE",AA334&lt;&gt;$FS$1,AA334&lt;&gt;$FT$1),MAX($FS$2:FS333)+1,IF(AND(GQ334="SP DARE",AA334&lt;&gt;$FS$1,AA334&lt;&gt;$FT$1),MAX($FS$2:FS333)+1,""))</f>
        <v/>
      </c>
      <c r="FT334" s="259" t="str">
        <f ca="1">IF(AND(AE334="SP AVERE",AA334&lt;&gt;$FU$1),MAX($FT$2:FT333)+1,IF(AND(GQ334="SP AVERE",AA334&lt;&gt;$FU$1),MAX($FT$2:FT333)+1,""))</f>
        <v/>
      </c>
      <c r="FU334" s="259">
        <f t="shared" ca="1" si="746"/>
        <v>0</v>
      </c>
      <c r="FV334" s="259">
        <f t="shared" si="747"/>
        <v>0</v>
      </c>
      <c r="FW334" s="259">
        <f ca="1">IFERROR(INDEX($FU$3:$FV$500,MATCH(ROWS($FW$3:FW334),$FU$3:$FU$500,0),2),0)</f>
        <v>0</v>
      </c>
      <c r="FX334" s="259">
        <f t="shared" ca="1" si="748"/>
        <v>0</v>
      </c>
      <c r="FY334" s="259">
        <f t="shared" ca="1" si="749"/>
        <v>0</v>
      </c>
      <c r="FZ334" s="259">
        <f ca="1">IF(FY334&gt;0,MAX($FZ$2:FZ333)+1,0)</f>
        <v>0</v>
      </c>
      <c r="GA334" s="259">
        <f ca="1">IFERROR(INDEX($FY$3:$FZ$500,MATCH(ROWS($GA$3:GA334),$FZ$3:$FZ$500,0),1),0)</f>
        <v>0</v>
      </c>
      <c r="GC334" s="259">
        <f t="shared" ca="1" si="750"/>
        <v>0</v>
      </c>
      <c r="GD334" s="259">
        <f t="shared" ca="1" si="751"/>
        <v>0</v>
      </c>
      <c r="GG334" s="259">
        <f t="shared" ca="1" si="752"/>
        <v>0</v>
      </c>
      <c r="GH334" s="259">
        <f t="shared" ca="1" si="753"/>
        <v>0</v>
      </c>
      <c r="GI334" s="259">
        <f t="shared" ca="1" si="754"/>
        <v>0</v>
      </c>
      <c r="GJ334" s="259">
        <f t="shared" ca="1" si="755"/>
        <v>0</v>
      </c>
      <c r="GK334" s="259">
        <f t="shared" ca="1" si="756"/>
        <v>0</v>
      </c>
      <c r="GL334" s="259">
        <f t="shared" ca="1" si="756"/>
        <v>0</v>
      </c>
      <c r="GM334" s="259">
        <f ca="1">IF(OR(GK334&gt;0,GL334&gt;0),MAX($GM$2:GM333)+1,0)</f>
        <v>0</v>
      </c>
      <c r="GN334" s="259" t="str">
        <f ca="1">IFERROR(INDEX($GD$3:$GM$400,MATCH(ROWS($GN$3:GN334),$GM$3:$GM$400,0),1),"")</f>
        <v/>
      </c>
      <c r="GO334" s="259" t="str">
        <f ca="1">IFERROR(INDEX($GD$3:$GM$400,MATCH(ROWS($GO$3:GO334),$GM$3:$GM$400,0),8),"")</f>
        <v/>
      </c>
      <c r="GP334" s="259" t="str">
        <f ca="1">IFERROR(INDEX($GD$3:$GM$400,MATCH(ROWS($GP$3:GP334),$GM$3:$GM$400,0),9),"")</f>
        <v/>
      </c>
      <c r="GQ334" s="259">
        <f t="shared" ca="1" si="740"/>
        <v>0</v>
      </c>
      <c r="GR334" s="259">
        <f t="shared" ca="1" si="757"/>
        <v>0</v>
      </c>
      <c r="GS334" s="259" t="str">
        <f t="shared" ca="1" si="758"/>
        <v/>
      </c>
      <c r="GT334" s="259" t="str">
        <f ca="1">IFERROR(INDEX($GD$3:$GS$400,MATCH(ROWS($GT$3:GT334),$GM$3:$GM$400,0),16),"")</f>
        <v/>
      </c>
      <c r="GU334" s="259">
        <f ca="1">IF(GQ334&lt;&gt;0,MAX($GU$2:$GU333)+1,0)</f>
        <v>0</v>
      </c>
      <c r="GV334" s="259">
        <f t="shared" ca="1" si="759"/>
        <v>0</v>
      </c>
      <c r="GW334" s="259" t="str">
        <f ca="1">IF(AND(IFERROR(INDEX($GU$3:$GV$400,MATCH(ROWS($GW$3:GW334),$GU$3:$GU$400,0),2),"")&lt;&gt;"",GW335&lt;&gt;""),CONCATENATE(IFERROR(INDEX($GU$3:$GV$400,MATCH(ROWS($GW$3:GW334),$GU$3:$GU$400,0),2),"")," - "),IFERROR(INDEX($GU$3:$GV$400,MATCH(ROWS($GW$3:GW334),$GU$3:$GU$400,0),2),""))</f>
        <v/>
      </c>
      <c r="GX334" s="259">
        <f ca="1">IF(OR(GN334="IVA NS/CREDITO",GN334="IVA NS/DEBITO",GN334="IVA C/ACCONTO",GN334="IMPOSTE C/ACCONTO"),MAX($GX$2:GX333)+1,0)</f>
        <v>0</v>
      </c>
      <c r="GY334" s="259" t="str">
        <f ca="1">IF(AND(IFERROR(INDEX($GN$3:$GX$200,MATCH(ROWS($GY$3:GY334),$GX$3:$GX$200,0),1),"")&lt;&gt;"",GY335&lt;&gt;""),CONCATENATE(IFERROR(INDEX($GN$3:$GX$200,MATCH(ROWS($GY$3:GY334),$GX$3:$GX$200,0),1),"")," - "),IFERROR(INDEX($GN$3:$GX$200,MATCH(ROWS($GY$3:GY334),$GX$3:$GX$200,0),1),""))</f>
        <v/>
      </c>
      <c r="JA334" s="259" t="str">
        <f t="shared" ca="1" si="760"/>
        <v/>
      </c>
      <c r="JB334" s="259">
        <f t="shared" ca="1" si="741"/>
        <v>0</v>
      </c>
      <c r="JC334" s="259">
        <f t="shared" ca="1" si="721"/>
        <v>0</v>
      </c>
      <c r="JD334" s="259">
        <f t="shared" ca="1" si="722"/>
        <v>0</v>
      </c>
      <c r="JM334" s="259">
        <f t="shared" ca="1" si="723"/>
        <v>0</v>
      </c>
    </row>
    <row r="335" spans="52:273">
      <c r="AZ335" s="259" t="str">
        <f t="shared" ca="1" si="770"/>
        <v/>
      </c>
      <c r="BA335" s="259">
        <f t="shared" ca="1" si="713"/>
        <v>0</v>
      </c>
      <c r="BB335" s="259">
        <f t="shared" ca="1" si="771"/>
        <v>0</v>
      </c>
      <c r="BC335" s="259">
        <f t="shared" ca="1" si="772"/>
        <v>0</v>
      </c>
      <c r="BD335" s="259">
        <f t="shared" ca="1" si="773"/>
        <v>0</v>
      </c>
      <c r="BE335" s="259">
        <f t="shared" ca="1" si="774"/>
        <v>0</v>
      </c>
      <c r="BQ335" s="259" t="str">
        <f ca="1">IFERROR(INDEX($BN$3:$BO$200,MATCH(ROWS(BQ$3:BQ335),$BP$3:$BP$220,0),1),"")</f>
        <v/>
      </c>
      <c r="CX335" s="259">
        <f t="shared" ca="1" si="762"/>
        <v>19</v>
      </c>
      <c r="CY335" s="259" t="str">
        <f t="shared" ca="1" si="724"/>
        <v>MASTRO</v>
      </c>
      <c r="CZ335" s="259" t="e">
        <f t="shared" ca="1" si="764"/>
        <v>#N/A</v>
      </c>
      <c r="DA335" s="259" t="str">
        <f t="shared" ca="1" si="769"/>
        <v/>
      </c>
      <c r="DB335" s="259" t="str">
        <f t="shared" ca="1" si="765"/>
        <v/>
      </c>
      <c r="DC335" s="259" t="str">
        <f t="shared" ca="1" si="766"/>
        <v/>
      </c>
      <c r="DD335" s="259" t="str">
        <f t="shared" ca="1" si="767"/>
        <v/>
      </c>
      <c r="DE335" s="259" t="str">
        <f t="shared" ca="1" si="768"/>
        <v/>
      </c>
      <c r="DF335" s="259">
        <f ca="1">IF(AND(CX335=$DE$2,$DF$2&lt;&gt;0),0,IF(AND(DB335&lt;&gt;"",OR(DB334&lt;&gt;"",DB336&lt;&gt;"")),MAX($DF$2:DF334)+1,0))</f>
        <v>0</v>
      </c>
      <c r="DG335" s="259" t="str">
        <f>IF(IF(LIBRO_GIORNALE!E243="","",IFERROR(INDEX(PIANO_DEI_CONTI,MATCH(BB335,DENOMINAZIONE,0),1),0))=0,"",IF(LIBRO_GIORNALE!E243="","",IFERROR(INDEX(PIANO_DEI_CONTI,MATCH(BB335,DENOMINAZIONE,0),1),0)))</f>
        <v/>
      </c>
      <c r="EC335" s="259">
        <f>IF(IF(DG335&lt;&gt;"",REPLACE(DG335,3,1,""),0)&lt;&gt;0,MAX(EC$2:EC334)+1,0)</f>
        <v>0</v>
      </c>
      <c r="ED335" s="259">
        <f t="shared" ca="1" si="734"/>
        <v>0</v>
      </c>
      <c r="EL335" s="259">
        <f t="shared" si="742"/>
        <v>333</v>
      </c>
      <c r="EM335" s="259">
        <f ca="1">IF(AND(BA335&gt;0,BA335&lt;=$EM$1),MAX($EM$2:EM334)+1,0)</f>
        <v>0</v>
      </c>
      <c r="EN335" s="259">
        <f t="shared" ca="1" si="743"/>
        <v>335</v>
      </c>
      <c r="EP335" s="259" t="str">
        <f t="shared" ca="1" si="735"/>
        <v/>
      </c>
      <c r="EQ335" s="259">
        <f t="shared" ca="1" si="736"/>
        <v>0</v>
      </c>
      <c r="ER335" s="259">
        <f ca="1">IF(ISNA(EQ335),MAX(ER$2:ER334)+1,0)</f>
        <v>0</v>
      </c>
      <c r="ES335" s="259" t="str">
        <f t="shared" ca="1" si="744"/>
        <v/>
      </c>
      <c r="ET335" s="259" t="str">
        <f ca="1">IFERROR(UPPER(INDEX($ER$3:$ES$500,MATCH(ROWS(ET$3:ET335),$ER$3:$ER$500,0),2)),"")</f>
        <v/>
      </c>
      <c r="EW335" s="259">
        <f t="shared" ca="1" si="714"/>
        <v>1</v>
      </c>
      <c r="EX335" s="259">
        <v>233</v>
      </c>
      <c r="EY335" s="259">
        <f t="shared" ca="1" si="715"/>
        <v>0</v>
      </c>
      <c r="EZ335" s="259">
        <f t="shared" ca="1" si="716"/>
        <v>0</v>
      </c>
      <c r="FA335" s="259">
        <f t="shared" ca="1" si="717"/>
        <v>0</v>
      </c>
      <c r="FB335" s="259">
        <f t="shared" ca="1" si="718"/>
        <v>0</v>
      </c>
      <c r="FC335" s="259">
        <f t="shared" ca="1" si="719"/>
        <v>0</v>
      </c>
      <c r="FD335" s="259">
        <f t="shared" ca="1" si="737"/>
        <v>0</v>
      </c>
      <c r="FE335" s="259" t="str">
        <f t="shared" ca="1" si="738"/>
        <v/>
      </c>
      <c r="FF335" s="259" t="str">
        <f t="shared" ca="1" si="720"/>
        <v/>
      </c>
      <c r="FM335" s="259">
        <f t="shared" si="739"/>
        <v>0</v>
      </c>
      <c r="FN335" s="259">
        <f>IF(FM335&lt;0,MAX($FN$2:FN334)+1,0)</f>
        <v>0</v>
      </c>
      <c r="FO335" s="259" t="str">
        <f t="shared" si="745"/>
        <v/>
      </c>
      <c r="FP335" s="259" t="str">
        <f ca="1">IFERROR(INDEX($FN$3:$FO$400,MATCH(ROWS($FP$3:FP335),$FN$3:$FN$400,0),2),"")</f>
        <v/>
      </c>
      <c r="FQ335" s="259" t="str">
        <f>IF(AE335="SE AVERE",MAX($FQ$2:FQ334)+1,"")</f>
        <v/>
      </c>
      <c r="FR335" s="259" t="str">
        <f>IF(AE335="SE DARE",MAX($FR$2:FR334)+1,"")</f>
        <v/>
      </c>
      <c r="FS335" s="259" t="str">
        <f ca="1">IF(AND(AE335="SP DARE",AA335&lt;&gt;$FS$1,AA335&lt;&gt;$FT$1),MAX($FS$2:FS334)+1,IF(AND(GQ335="SP DARE",AA335&lt;&gt;$FS$1,AA335&lt;&gt;$FT$1),MAX($FS$2:FS334)+1,""))</f>
        <v/>
      </c>
      <c r="FT335" s="259" t="str">
        <f ca="1">IF(AND(AE335="SP AVERE",AA335&lt;&gt;$FU$1),MAX($FT$2:FT334)+1,IF(AND(GQ335="SP AVERE",AA335&lt;&gt;$FU$1),MAX($FT$2:FT334)+1,""))</f>
        <v/>
      </c>
      <c r="FU335" s="259">
        <f t="shared" ca="1" si="746"/>
        <v>0</v>
      </c>
      <c r="FV335" s="259">
        <f t="shared" si="747"/>
        <v>0</v>
      </c>
      <c r="FW335" s="259">
        <f ca="1">IFERROR(INDEX($FU$3:$FV$500,MATCH(ROWS($FW$3:FW335),$FU$3:$FU$500,0),2),0)</f>
        <v>0</v>
      </c>
      <c r="FX335" s="259">
        <f t="shared" ca="1" si="748"/>
        <v>0</v>
      </c>
      <c r="FY335" s="259">
        <f t="shared" ca="1" si="749"/>
        <v>0</v>
      </c>
      <c r="FZ335" s="259">
        <f ca="1">IF(FY335&gt;0,MAX($FZ$2:FZ334)+1,0)</f>
        <v>0</v>
      </c>
      <c r="GA335" s="259">
        <f ca="1">IFERROR(INDEX($FY$3:$FZ$500,MATCH(ROWS($GA$3:GA335),$FZ$3:$FZ$500,0),1),0)</f>
        <v>0</v>
      </c>
      <c r="GC335" s="259">
        <f t="shared" ca="1" si="750"/>
        <v>0</v>
      </c>
      <c r="GD335" s="259">
        <f t="shared" ca="1" si="751"/>
        <v>0</v>
      </c>
      <c r="GG335" s="259">
        <f t="shared" ca="1" si="752"/>
        <v>0</v>
      </c>
      <c r="GH335" s="259">
        <f t="shared" ca="1" si="753"/>
        <v>0</v>
      </c>
      <c r="GI335" s="259">
        <f t="shared" ca="1" si="754"/>
        <v>0</v>
      </c>
      <c r="GJ335" s="259">
        <f t="shared" ca="1" si="755"/>
        <v>0</v>
      </c>
      <c r="GK335" s="259">
        <f t="shared" ca="1" si="756"/>
        <v>0</v>
      </c>
      <c r="GL335" s="259">
        <f t="shared" ca="1" si="756"/>
        <v>0</v>
      </c>
      <c r="GM335" s="259">
        <f ca="1">IF(OR(GK335&gt;0,GL335&gt;0),MAX($GM$2:GM334)+1,0)</f>
        <v>0</v>
      </c>
      <c r="GN335" s="259" t="str">
        <f ca="1">IFERROR(INDEX($GD$3:$GM$400,MATCH(ROWS($GN$3:GN335),$GM$3:$GM$400,0),1),"")</f>
        <v/>
      </c>
      <c r="GO335" s="259" t="str">
        <f ca="1">IFERROR(INDEX($GD$3:$GM$400,MATCH(ROWS($GO$3:GO335),$GM$3:$GM$400,0),8),"")</f>
        <v/>
      </c>
      <c r="GP335" s="259" t="str">
        <f ca="1">IFERROR(INDEX($GD$3:$GM$400,MATCH(ROWS($GP$3:GP335),$GM$3:$GM$400,0),9),"")</f>
        <v/>
      </c>
      <c r="GQ335" s="259">
        <f t="shared" ca="1" si="740"/>
        <v>0</v>
      </c>
      <c r="GR335" s="259">
        <f t="shared" ca="1" si="757"/>
        <v>0</v>
      </c>
      <c r="GS335" s="259" t="str">
        <f t="shared" ca="1" si="758"/>
        <v/>
      </c>
      <c r="GT335" s="259" t="str">
        <f ca="1">IFERROR(INDEX($GD$3:$GS$400,MATCH(ROWS($GT$3:GT335),$GM$3:$GM$400,0),16),"")</f>
        <v/>
      </c>
      <c r="GU335" s="259">
        <f ca="1">IF(GQ335&lt;&gt;0,MAX($GU$2:$GU334)+1,0)</f>
        <v>0</v>
      </c>
      <c r="GV335" s="259">
        <f t="shared" ca="1" si="759"/>
        <v>0</v>
      </c>
      <c r="GW335" s="259" t="str">
        <f ca="1">IF(AND(IFERROR(INDEX($GU$3:$GV$400,MATCH(ROWS($GW$3:GW335),$GU$3:$GU$400,0),2),"")&lt;&gt;"",GW336&lt;&gt;""),CONCATENATE(IFERROR(INDEX($GU$3:$GV$400,MATCH(ROWS($GW$3:GW335),$GU$3:$GU$400,0),2),"")," - "),IFERROR(INDEX($GU$3:$GV$400,MATCH(ROWS($GW$3:GW335),$GU$3:$GU$400,0),2),""))</f>
        <v/>
      </c>
      <c r="GX335" s="259">
        <f ca="1">IF(OR(GN335="IVA NS/CREDITO",GN335="IVA NS/DEBITO",GN335="IVA C/ACCONTO",GN335="IMPOSTE C/ACCONTO"),MAX($GX$2:GX334)+1,0)</f>
        <v>0</v>
      </c>
      <c r="GY335" s="259" t="str">
        <f ca="1">IF(AND(IFERROR(INDEX($GN$3:$GX$200,MATCH(ROWS($GY$3:GY335),$GX$3:$GX$200,0),1),"")&lt;&gt;"",GY336&lt;&gt;""),CONCATENATE(IFERROR(INDEX($GN$3:$GX$200,MATCH(ROWS($GY$3:GY335),$GX$3:$GX$200,0),1),"")," - "),IFERROR(INDEX($GN$3:$GX$200,MATCH(ROWS($GY$3:GY335),$GX$3:$GX$200,0),1),""))</f>
        <v/>
      </c>
      <c r="JA335" s="259" t="str">
        <f t="shared" ca="1" si="760"/>
        <v/>
      </c>
      <c r="JB335" s="259">
        <f t="shared" ca="1" si="741"/>
        <v>0</v>
      </c>
      <c r="JC335" s="259">
        <f t="shared" ca="1" si="721"/>
        <v>0</v>
      </c>
      <c r="JD335" s="259">
        <f t="shared" ca="1" si="722"/>
        <v>0</v>
      </c>
      <c r="JM335" s="259">
        <f t="shared" ca="1" si="723"/>
        <v>0</v>
      </c>
    </row>
    <row r="336" spans="52:273">
      <c r="AZ336" s="259" t="str">
        <f t="shared" ca="1" si="770"/>
        <v/>
      </c>
      <c r="BA336" s="259">
        <f t="shared" ca="1" si="713"/>
        <v>0</v>
      </c>
      <c r="BB336" s="259">
        <f t="shared" ca="1" si="771"/>
        <v>0</v>
      </c>
      <c r="BC336" s="259">
        <f t="shared" ca="1" si="772"/>
        <v>0</v>
      </c>
      <c r="BD336" s="259">
        <f t="shared" ca="1" si="773"/>
        <v>0</v>
      </c>
      <c r="BE336" s="259">
        <f t="shared" ca="1" si="774"/>
        <v>0</v>
      </c>
      <c r="BQ336" s="259" t="str">
        <f ca="1">IFERROR(INDEX($BN$3:$BO$200,MATCH(ROWS(BQ$3:BQ336),$BP$3:$BP$220,0),1),"")</f>
        <v/>
      </c>
      <c r="CX336" s="259">
        <f t="shared" ca="1" si="762"/>
        <v>19</v>
      </c>
      <c r="CY336" s="259" t="str">
        <f t="shared" ca="1" si="724"/>
        <v>MASTRO</v>
      </c>
      <c r="CZ336" s="259" t="e">
        <f t="shared" ca="1" si="764"/>
        <v>#N/A</v>
      </c>
      <c r="DA336" s="259" t="str">
        <f t="shared" ca="1" si="769"/>
        <v/>
      </c>
      <c r="DB336" s="259" t="str">
        <f t="shared" ca="1" si="765"/>
        <v/>
      </c>
      <c r="DC336" s="259" t="str">
        <f t="shared" ca="1" si="766"/>
        <v/>
      </c>
      <c r="DD336" s="259" t="str">
        <f t="shared" ca="1" si="767"/>
        <v/>
      </c>
      <c r="DE336" s="259" t="str">
        <f t="shared" ca="1" si="768"/>
        <v/>
      </c>
      <c r="DF336" s="259">
        <f ca="1">IF(AND(CX336=$DE$2,$DF$2&lt;&gt;0),0,IF(AND(DB336&lt;&gt;"",OR(DB335&lt;&gt;"",DB337&lt;&gt;"")),MAX($DF$2:DF335)+1,0))</f>
        <v>0</v>
      </c>
      <c r="DG336" s="259" t="str">
        <f>IF(IF(LIBRO_GIORNALE!E244="","",IFERROR(INDEX(PIANO_DEI_CONTI,MATCH(BB336,DENOMINAZIONE,0),1),0))=0,"",IF(LIBRO_GIORNALE!E244="","",IFERROR(INDEX(PIANO_DEI_CONTI,MATCH(BB336,DENOMINAZIONE,0),1),0)))</f>
        <v/>
      </c>
      <c r="EC336" s="259">
        <f>IF(IF(DG336&lt;&gt;"",REPLACE(DG336,3,1,""),0)&lt;&gt;0,MAX(EC$2:EC335)+1,0)</f>
        <v>0</v>
      </c>
      <c r="ED336" s="259">
        <f t="shared" ca="1" si="734"/>
        <v>0</v>
      </c>
      <c r="EL336" s="259">
        <f t="shared" si="742"/>
        <v>334</v>
      </c>
      <c r="EM336" s="259">
        <f ca="1">IF(AND(BA336&gt;0,BA336&lt;=$EM$1),MAX($EM$2:EM335)+1,0)</f>
        <v>0</v>
      </c>
      <c r="EN336" s="259">
        <f t="shared" ca="1" si="743"/>
        <v>336</v>
      </c>
      <c r="EP336" s="259" t="str">
        <f t="shared" ca="1" si="735"/>
        <v/>
      </c>
      <c r="EQ336" s="259">
        <f t="shared" ca="1" si="736"/>
        <v>0</v>
      </c>
      <c r="ER336" s="259">
        <f ca="1">IF(ISNA(EQ336),MAX(ER$2:ER335)+1,0)</f>
        <v>0</v>
      </c>
      <c r="ES336" s="259" t="str">
        <f t="shared" ca="1" si="744"/>
        <v/>
      </c>
      <c r="ET336" s="259" t="str">
        <f ca="1">IFERROR(UPPER(INDEX($ER$3:$ES$500,MATCH(ROWS(ET$3:ET336),$ER$3:$ER$500,0),2)),"")</f>
        <v/>
      </c>
      <c r="EW336" s="259">
        <f t="shared" ca="1" si="714"/>
        <v>1</v>
      </c>
      <c r="EX336" s="259">
        <v>234</v>
      </c>
      <c r="EY336" s="259">
        <f t="shared" ca="1" si="715"/>
        <v>0</v>
      </c>
      <c r="EZ336" s="259">
        <f t="shared" ca="1" si="716"/>
        <v>0</v>
      </c>
      <c r="FA336" s="259">
        <f t="shared" ca="1" si="717"/>
        <v>0</v>
      </c>
      <c r="FB336" s="259">
        <f t="shared" ca="1" si="718"/>
        <v>0</v>
      </c>
      <c r="FC336" s="259">
        <f t="shared" ca="1" si="719"/>
        <v>0</v>
      </c>
      <c r="FD336" s="259">
        <f t="shared" ca="1" si="737"/>
        <v>0</v>
      </c>
      <c r="FE336" s="259" t="str">
        <f t="shared" ca="1" si="738"/>
        <v/>
      </c>
      <c r="FF336" s="259" t="str">
        <f t="shared" ca="1" si="720"/>
        <v/>
      </c>
      <c r="FM336" s="259">
        <f t="shared" si="739"/>
        <v>0</v>
      </c>
      <c r="FN336" s="259">
        <f>IF(FM336&lt;0,MAX($FN$2:FN335)+1,0)</f>
        <v>0</v>
      </c>
      <c r="FO336" s="259" t="str">
        <f t="shared" si="745"/>
        <v/>
      </c>
      <c r="FP336" s="259" t="str">
        <f ca="1">IFERROR(INDEX($FN$3:$FO$400,MATCH(ROWS($FP$3:FP336),$FN$3:$FN$400,0),2),"")</f>
        <v/>
      </c>
      <c r="FQ336" s="259" t="str">
        <f>IF(AE336="SE AVERE",MAX($FQ$2:FQ335)+1,"")</f>
        <v/>
      </c>
      <c r="FR336" s="259" t="str">
        <f>IF(AE336="SE DARE",MAX($FR$2:FR335)+1,"")</f>
        <v/>
      </c>
      <c r="FS336" s="259" t="str">
        <f ca="1">IF(AND(AE336="SP DARE",AA336&lt;&gt;$FS$1,AA336&lt;&gt;$FT$1),MAX($FS$2:FS335)+1,IF(AND(GQ336="SP DARE",AA336&lt;&gt;$FS$1,AA336&lt;&gt;$FT$1),MAX($FS$2:FS335)+1,""))</f>
        <v/>
      </c>
      <c r="FT336" s="259" t="str">
        <f ca="1">IF(AND(AE336="SP AVERE",AA336&lt;&gt;$FU$1),MAX($FT$2:FT335)+1,IF(AND(GQ336="SP AVERE",AA336&lt;&gt;$FU$1),MAX($FT$2:FT335)+1,""))</f>
        <v/>
      </c>
      <c r="FU336" s="259">
        <f t="shared" ca="1" si="746"/>
        <v>0</v>
      </c>
      <c r="FV336" s="259">
        <f t="shared" si="747"/>
        <v>0</v>
      </c>
      <c r="FW336" s="259">
        <f ca="1">IFERROR(INDEX($FU$3:$FV$500,MATCH(ROWS($FW$3:FW336),$FU$3:$FU$500,0),2),0)</f>
        <v>0</v>
      </c>
      <c r="FX336" s="259">
        <f t="shared" ca="1" si="748"/>
        <v>0</v>
      </c>
      <c r="FY336" s="259">
        <f t="shared" ca="1" si="749"/>
        <v>0</v>
      </c>
      <c r="FZ336" s="259">
        <f ca="1">IF(FY336&gt;0,MAX($FZ$2:FZ335)+1,0)</f>
        <v>0</v>
      </c>
      <c r="GA336" s="259">
        <f ca="1">IFERROR(INDEX($FY$3:$FZ$500,MATCH(ROWS($GA$3:GA336),$FZ$3:$FZ$500,0),1),0)</f>
        <v>0</v>
      </c>
      <c r="GC336" s="259">
        <f t="shared" ca="1" si="750"/>
        <v>0</v>
      </c>
      <c r="GD336" s="259">
        <f t="shared" ca="1" si="751"/>
        <v>0</v>
      </c>
      <c r="GG336" s="259">
        <f t="shared" ca="1" si="752"/>
        <v>0</v>
      </c>
      <c r="GH336" s="259">
        <f t="shared" ca="1" si="753"/>
        <v>0</v>
      </c>
      <c r="GI336" s="259">
        <f t="shared" ca="1" si="754"/>
        <v>0</v>
      </c>
      <c r="GJ336" s="259">
        <f t="shared" ca="1" si="755"/>
        <v>0</v>
      </c>
      <c r="GK336" s="259">
        <f t="shared" ca="1" si="756"/>
        <v>0</v>
      </c>
      <c r="GL336" s="259">
        <f t="shared" ca="1" si="756"/>
        <v>0</v>
      </c>
      <c r="GM336" s="259">
        <f ca="1">IF(OR(GK336&gt;0,GL336&gt;0),MAX($GM$2:GM335)+1,0)</f>
        <v>0</v>
      </c>
      <c r="GN336" s="259" t="str">
        <f ca="1">IFERROR(INDEX($GD$3:$GM$400,MATCH(ROWS($GN$3:GN336),$GM$3:$GM$400,0),1),"")</f>
        <v/>
      </c>
      <c r="GO336" s="259" t="str">
        <f ca="1">IFERROR(INDEX($GD$3:$GM$400,MATCH(ROWS($GO$3:GO336),$GM$3:$GM$400,0),8),"")</f>
        <v/>
      </c>
      <c r="GP336" s="259" t="str">
        <f ca="1">IFERROR(INDEX($GD$3:$GM$400,MATCH(ROWS($GP$3:GP336),$GM$3:$GM$400,0),9),"")</f>
        <v/>
      </c>
      <c r="GQ336" s="259">
        <f t="shared" ca="1" si="740"/>
        <v>0</v>
      </c>
      <c r="GR336" s="259">
        <f t="shared" ca="1" si="757"/>
        <v>0</v>
      </c>
      <c r="GS336" s="259" t="str">
        <f t="shared" ca="1" si="758"/>
        <v/>
      </c>
      <c r="GT336" s="259" t="str">
        <f ca="1">IFERROR(INDEX($GD$3:$GS$400,MATCH(ROWS($GT$3:GT336),$GM$3:$GM$400,0),16),"")</f>
        <v/>
      </c>
      <c r="GU336" s="259">
        <f ca="1">IF(GQ336&lt;&gt;0,MAX($GU$2:$GU335)+1,0)</f>
        <v>0</v>
      </c>
      <c r="GV336" s="259">
        <f t="shared" ca="1" si="759"/>
        <v>0</v>
      </c>
      <c r="GW336" s="259" t="str">
        <f ca="1">IF(AND(IFERROR(INDEX($GU$3:$GV$400,MATCH(ROWS($GW$3:GW336),$GU$3:$GU$400,0),2),"")&lt;&gt;"",GW337&lt;&gt;""),CONCATENATE(IFERROR(INDEX($GU$3:$GV$400,MATCH(ROWS($GW$3:GW336),$GU$3:$GU$400,0),2),"")," - "),IFERROR(INDEX($GU$3:$GV$400,MATCH(ROWS($GW$3:GW336),$GU$3:$GU$400,0),2),""))</f>
        <v/>
      </c>
      <c r="GX336" s="259">
        <f ca="1">IF(OR(GN336="IVA NS/CREDITO",GN336="IVA NS/DEBITO",GN336="IVA C/ACCONTO",GN336="IMPOSTE C/ACCONTO"),MAX($GX$2:GX335)+1,0)</f>
        <v>0</v>
      </c>
      <c r="GY336" s="259" t="str">
        <f ca="1">IF(AND(IFERROR(INDEX($GN$3:$GX$200,MATCH(ROWS($GY$3:GY336),$GX$3:$GX$200,0),1),"")&lt;&gt;"",GY337&lt;&gt;""),CONCATENATE(IFERROR(INDEX($GN$3:$GX$200,MATCH(ROWS($GY$3:GY336),$GX$3:$GX$200,0),1),"")," - "),IFERROR(INDEX($GN$3:$GX$200,MATCH(ROWS($GY$3:GY336),$GX$3:$GX$200,0),1),""))</f>
        <v/>
      </c>
      <c r="JA336" s="259" t="str">
        <f t="shared" ca="1" si="760"/>
        <v/>
      </c>
      <c r="JB336" s="259">
        <f t="shared" ca="1" si="741"/>
        <v>0</v>
      </c>
      <c r="JC336" s="259">
        <f t="shared" ca="1" si="721"/>
        <v>0</v>
      </c>
      <c r="JD336" s="259">
        <f t="shared" ca="1" si="722"/>
        <v>0</v>
      </c>
      <c r="JM336" s="259">
        <f t="shared" ca="1" si="723"/>
        <v>0</v>
      </c>
    </row>
    <row r="337" spans="52:273">
      <c r="AZ337" s="259" t="str">
        <f t="shared" ca="1" si="770"/>
        <v/>
      </c>
      <c r="BA337" s="259">
        <f t="shared" ca="1" si="713"/>
        <v>0</v>
      </c>
      <c r="BB337" s="259">
        <f t="shared" ca="1" si="771"/>
        <v>0</v>
      </c>
      <c r="BC337" s="259">
        <f t="shared" ca="1" si="772"/>
        <v>0</v>
      </c>
      <c r="BD337" s="259">
        <f t="shared" ca="1" si="773"/>
        <v>0</v>
      </c>
      <c r="BE337" s="259">
        <f t="shared" ca="1" si="774"/>
        <v>0</v>
      </c>
      <c r="BQ337" s="259" t="str">
        <f ca="1">IFERROR(INDEX($BN$3:$BO$200,MATCH(ROWS(BQ$3:BQ337),$BP$3:$BP$220,0),1),"")</f>
        <v/>
      </c>
      <c r="CX337" s="259">
        <f t="shared" ca="1" si="762"/>
        <v>19</v>
      </c>
      <c r="CY337" s="259" t="str">
        <f t="shared" ca="1" si="724"/>
        <v>MASTRO</v>
      </c>
      <c r="CZ337" s="259" t="e">
        <f t="shared" ca="1" si="764"/>
        <v>#N/A</v>
      </c>
      <c r="DA337" s="259" t="str">
        <f t="shared" ca="1" si="769"/>
        <v/>
      </c>
      <c r="DB337" s="259" t="str">
        <f t="shared" ca="1" si="765"/>
        <v/>
      </c>
      <c r="DC337" s="259" t="str">
        <f t="shared" ca="1" si="766"/>
        <v/>
      </c>
      <c r="DD337" s="259" t="str">
        <f t="shared" ca="1" si="767"/>
        <v/>
      </c>
      <c r="DE337" s="259" t="str">
        <f t="shared" ca="1" si="768"/>
        <v/>
      </c>
      <c r="DF337" s="259">
        <f ca="1">IF(AND(CX337=$DE$2,$DF$2&lt;&gt;0),0,IF(AND(DB337&lt;&gt;"",OR(DB336&lt;&gt;"",DB338&lt;&gt;"")),MAX($DF$2:DF336)+1,0))</f>
        <v>0</v>
      </c>
      <c r="DG337" s="259" t="str">
        <f>IF(IF(LIBRO_GIORNALE!E245="","",IFERROR(INDEX(PIANO_DEI_CONTI,MATCH(BB337,DENOMINAZIONE,0),1),0))=0,"",IF(LIBRO_GIORNALE!E245="","",IFERROR(INDEX(PIANO_DEI_CONTI,MATCH(BB337,DENOMINAZIONE,0),1),0)))</f>
        <v/>
      </c>
      <c r="EC337" s="259">
        <f>IF(IF(DG337&lt;&gt;"",REPLACE(DG337,3,1,""),0)&lt;&gt;0,MAX(EC$2:EC336)+1,0)</f>
        <v>0</v>
      </c>
      <c r="ED337" s="259">
        <f t="shared" ca="1" si="734"/>
        <v>0</v>
      </c>
      <c r="EL337" s="259">
        <f t="shared" si="742"/>
        <v>335</v>
      </c>
      <c r="EM337" s="259">
        <f ca="1">IF(AND(BA337&gt;0,BA337&lt;=$EM$1),MAX($EM$2:EM336)+1,0)</f>
        <v>0</v>
      </c>
      <c r="EN337" s="259">
        <f t="shared" ca="1" si="743"/>
        <v>337</v>
      </c>
      <c r="EP337" s="259" t="str">
        <f t="shared" ca="1" si="735"/>
        <v/>
      </c>
      <c r="EQ337" s="259">
        <f t="shared" ca="1" si="736"/>
        <v>0</v>
      </c>
      <c r="ER337" s="259">
        <f ca="1">IF(ISNA(EQ337),MAX(ER$2:ER336)+1,0)</f>
        <v>0</v>
      </c>
      <c r="ES337" s="259" t="str">
        <f t="shared" ca="1" si="744"/>
        <v/>
      </c>
      <c r="ET337" s="259" t="str">
        <f ca="1">IFERROR(UPPER(INDEX($ER$3:$ES$500,MATCH(ROWS(ET$3:ET337),$ER$3:$ER$500,0),2)),"")</f>
        <v/>
      </c>
      <c r="EW337" s="259">
        <f t="shared" ca="1" si="714"/>
        <v>1</v>
      </c>
      <c r="EX337" s="259">
        <v>235</v>
      </c>
      <c r="EY337" s="259">
        <f t="shared" ca="1" si="715"/>
        <v>0</v>
      </c>
      <c r="EZ337" s="259">
        <f t="shared" ca="1" si="716"/>
        <v>0</v>
      </c>
      <c r="FA337" s="259">
        <f t="shared" ca="1" si="717"/>
        <v>0</v>
      </c>
      <c r="FB337" s="259">
        <f t="shared" ca="1" si="718"/>
        <v>0</v>
      </c>
      <c r="FC337" s="259">
        <f t="shared" ca="1" si="719"/>
        <v>0</v>
      </c>
      <c r="FD337" s="259">
        <f t="shared" ca="1" si="737"/>
        <v>0</v>
      </c>
      <c r="FE337" s="259" t="str">
        <f t="shared" ca="1" si="738"/>
        <v/>
      </c>
      <c r="FF337" s="259" t="str">
        <f t="shared" ca="1" si="720"/>
        <v/>
      </c>
      <c r="FM337" s="259">
        <f t="shared" si="739"/>
        <v>0</v>
      </c>
      <c r="FN337" s="259">
        <f>IF(FM337&lt;0,MAX($FN$2:FN336)+1,0)</f>
        <v>0</v>
      </c>
      <c r="FO337" s="259" t="str">
        <f t="shared" si="745"/>
        <v/>
      </c>
      <c r="FP337" s="259" t="str">
        <f ca="1">IFERROR(INDEX($FN$3:$FO$400,MATCH(ROWS($FP$3:FP337),$FN$3:$FN$400,0),2),"")</f>
        <v/>
      </c>
      <c r="FQ337" s="259" t="str">
        <f>IF(AE337="SE AVERE",MAX($FQ$2:FQ336)+1,"")</f>
        <v/>
      </c>
      <c r="FR337" s="259" t="str">
        <f>IF(AE337="SE DARE",MAX($FR$2:FR336)+1,"")</f>
        <v/>
      </c>
      <c r="FS337" s="259" t="str">
        <f ca="1">IF(AND(AE337="SP DARE",AA337&lt;&gt;$FS$1,AA337&lt;&gt;$FT$1),MAX($FS$2:FS336)+1,IF(AND(GQ337="SP DARE",AA337&lt;&gt;$FS$1,AA337&lt;&gt;$FT$1),MAX($FS$2:FS336)+1,""))</f>
        <v/>
      </c>
      <c r="FT337" s="259" t="str">
        <f ca="1">IF(AND(AE337="SP AVERE",AA337&lt;&gt;$FU$1),MAX($FT$2:FT336)+1,IF(AND(GQ337="SP AVERE",AA337&lt;&gt;$FU$1),MAX($FT$2:FT336)+1,""))</f>
        <v/>
      </c>
      <c r="FU337" s="259">
        <f t="shared" ca="1" si="746"/>
        <v>0</v>
      </c>
      <c r="FV337" s="259">
        <f t="shared" si="747"/>
        <v>0</v>
      </c>
      <c r="FW337" s="259">
        <f ca="1">IFERROR(INDEX($FU$3:$FV$500,MATCH(ROWS($FW$3:FW337),$FU$3:$FU$500,0),2),0)</f>
        <v>0</v>
      </c>
      <c r="FX337" s="259">
        <f t="shared" ca="1" si="748"/>
        <v>0</v>
      </c>
      <c r="FY337" s="259">
        <f t="shared" ca="1" si="749"/>
        <v>0</v>
      </c>
      <c r="FZ337" s="259">
        <f ca="1">IF(FY337&gt;0,MAX($FZ$2:FZ336)+1,0)</f>
        <v>0</v>
      </c>
      <c r="GA337" s="259">
        <f ca="1">IFERROR(INDEX($FY$3:$FZ$500,MATCH(ROWS($GA$3:GA337),$FZ$3:$FZ$500,0),1),0)</f>
        <v>0</v>
      </c>
      <c r="GC337" s="259">
        <f t="shared" ca="1" si="750"/>
        <v>0</v>
      </c>
      <c r="GD337" s="259">
        <f t="shared" ca="1" si="751"/>
        <v>0</v>
      </c>
      <c r="GG337" s="259">
        <f t="shared" ca="1" si="752"/>
        <v>0</v>
      </c>
      <c r="GH337" s="259">
        <f t="shared" ca="1" si="753"/>
        <v>0</v>
      </c>
      <c r="GI337" s="259">
        <f t="shared" ca="1" si="754"/>
        <v>0</v>
      </c>
      <c r="GJ337" s="259">
        <f t="shared" ca="1" si="755"/>
        <v>0</v>
      </c>
      <c r="GK337" s="259">
        <f t="shared" ca="1" si="756"/>
        <v>0</v>
      </c>
      <c r="GL337" s="259">
        <f t="shared" ca="1" si="756"/>
        <v>0</v>
      </c>
      <c r="GM337" s="259">
        <f ca="1">IF(OR(GK337&gt;0,GL337&gt;0),MAX($GM$2:GM336)+1,0)</f>
        <v>0</v>
      </c>
      <c r="GN337" s="259" t="str">
        <f ca="1">IFERROR(INDEX($GD$3:$GM$400,MATCH(ROWS($GN$3:GN337),$GM$3:$GM$400,0),1),"")</f>
        <v/>
      </c>
      <c r="GO337" s="259" t="str">
        <f ca="1">IFERROR(INDEX($GD$3:$GM$400,MATCH(ROWS($GO$3:GO337),$GM$3:$GM$400,0),8),"")</f>
        <v/>
      </c>
      <c r="GP337" s="259" t="str">
        <f ca="1">IFERROR(INDEX($GD$3:$GM$400,MATCH(ROWS($GP$3:GP337),$GM$3:$GM$400,0),9),"")</f>
        <v/>
      </c>
      <c r="GQ337" s="259">
        <f t="shared" ca="1" si="740"/>
        <v>0</v>
      </c>
      <c r="GR337" s="259">
        <f t="shared" ca="1" si="757"/>
        <v>0</v>
      </c>
      <c r="GS337" s="259" t="str">
        <f t="shared" ca="1" si="758"/>
        <v/>
      </c>
      <c r="GT337" s="259" t="str">
        <f ca="1">IFERROR(INDEX($GD$3:$GS$400,MATCH(ROWS($GT$3:GT337),$GM$3:$GM$400,0),16),"")</f>
        <v/>
      </c>
      <c r="GU337" s="259">
        <f ca="1">IF(GQ337&lt;&gt;0,MAX($GU$2:$GU336)+1,0)</f>
        <v>0</v>
      </c>
      <c r="GV337" s="259">
        <f t="shared" ca="1" si="759"/>
        <v>0</v>
      </c>
      <c r="GW337" s="259" t="str">
        <f ca="1">IF(AND(IFERROR(INDEX($GU$3:$GV$400,MATCH(ROWS($GW$3:GW337),$GU$3:$GU$400,0),2),"")&lt;&gt;"",GW338&lt;&gt;""),CONCATENATE(IFERROR(INDEX($GU$3:$GV$400,MATCH(ROWS($GW$3:GW337),$GU$3:$GU$400,0),2),"")," - "),IFERROR(INDEX($GU$3:$GV$400,MATCH(ROWS($GW$3:GW337),$GU$3:$GU$400,0),2),""))</f>
        <v/>
      </c>
      <c r="GX337" s="259">
        <f ca="1">IF(OR(GN337="IVA NS/CREDITO",GN337="IVA NS/DEBITO",GN337="IVA C/ACCONTO",GN337="IMPOSTE C/ACCONTO"),MAX($GX$2:GX336)+1,0)</f>
        <v>0</v>
      </c>
      <c r="GY337" s="259" t="str">
        <f ca="1">IF(AND(IFERROR(INDEX($GN$3:$GX$200,MATCH(ROWS($GY$3:GY337),$GX$3:$GX$200,0),1),"")&lt;&gt;"",GY338&lt;&gt;""),CONCATENATE(IFERROR(INDEX($GN$3:$GX$200,MATCH(ROWS($GY$3:GY337),$GX$3:$GX$200,0),1),"")," - "),IFERROR(INDEX($GN$3:$GX$200,MATCH(ROWS($GY$3:GY337),$GX$3:$GX$200,0),1),""))</f>
        <v/>
      </c>
      <c r="JA337" s="259" t="str">
        <f t="shared" ca="1" si="760"/>
        <v/>
      </c>
      <c r="JB337" s="259">
        <f t="shared" ca="1" si="741"/>
        <v>0</v>
      </c>
      <c r="JC337" s="259">
        <f t="shared" ca="1" si="721"/>
        <v>0</v>
      </c>
      <c r="JD337" s="259">
        <f t="shared" ca="1" si="722"/>
        <v>0</v>
      </c>
      <c r="JM337" s="259">
        <f t="shared" ca="1" si="723"/>
        <v>0</v>
      </c>
    </row>
    <row r="338" spans="52:273">
      <c r="AZ338" s="259" t="str">
        <f t="shared" ca="1" si="770"/>
        <v/>
      </c>
      <c r="BA338" s="259">
        <f t="shared" ca="1" si="713"/>
        <v>0</v>
      </c>
      <c r="BB338" s="259">
        <f t="shared" ca="1" si="771"/>
        <v>0</v>
      </c>
      <c r="BC338" s="259">
        <f t="shared" ca="1" si="772"/>
        <v>0</v>
      </c>
      <c r="BD338" s="259">
        <f t="shared" ca="1" si="773"/>
        <v>0</v>
      </c>
      <c r="BE338" s="259">
        <f t="shared" ca="1" si="774"/>
        <v>0</v>
      </c>
      <c r="BQ338" s="259" t="str">
        <f ca="1">IFERROR(INDEX($BN$3:$BO$200,MATCH(ROWS(BQ$3:BQ338),$BP$3:$BP$220,0),1),"")</f>
        <v/>
      </c>
      <c r="CX338" s="259">
        <f t="shared" ca="1" si="762"/>
        <v>19</v>
      </c>
      <c r="CY338" s="259" t="str">
        <f t="shared" ref="CY338:CY366" ca="1" si="775">IF(ISERROR(INDEX($CV$3:$CX$2300,MATCH(CX338,$CW$3:$CW$2300,0),1)),"MASTRO",INDEX($CV$3:$CX$2300,MATCH(CX338,$CW$3:$CW$2300,0),1))</f>
        <v>MASTRO</v>
      </c>
      <c r="CZ338" s="259" t="e">
        <f t="shared" ca="1" si="764"/>
        <v>#N/A</v>
      </c>
      <c r="DA338" s="259" t="str">
        <f t="shared" ca="1" si="769"/>
        <v/>
      </c>
      <c r="DB338" s="259" t="str">
        <f t="shared" ca="1" si="765"/>
        <v/>
      </c>
      <c r="DC338" s="259" t="str">
        <f t="shared" ca="1" si="766"/>
        <v/>
      </c>
      <c r="DD338" s="259" t="str">
        <f t="shared" ca="1" si="767"/>
        <v/>
      </c>
      <c r="DE338" s="259" t="str">
        <f t="shared" ca="1" si="768"/>
        <v/>
      </c>
      <c r="DF338" s="259">
        <f ca="1">IF(AND(CX338=$DE$2,$DF$2&lt;&gt;0),0,IF(AND(DB338&lt;&gt;"",OR(DB337&lt;&gt;"",DB339&lt;&gt;"")),MAX($DF$2:DF337)+1,0))</f>
        <v>0</v>
      </c>
      <c r="DG338" s="259" t="str">
        <f>IF(IF(LIBRO_GIORNALE!E246="","",IFERROR(INDEX(PIANO_DEI_CONTI,MATCH(BB338,DENOMINAZIONE,0),1),0))=0,"",IF(LIBRO_GIORNALE!E246="","",IFERROR(INDEX(PIANO_DEI_CONTI,MATCH(BB338,DENOMINAZIONE,0),1),0)))</f>
        <v/>
      </c>
      <c r="EC338" s="259">
        <f>IF(IF(DG338&lt;&gt;"",REPLACE(DG338,3,1,""),0)&lt;&gt;0,MAX(EC$2:EC337)+1,0)</f>
        <v>0</v>
      </c>
      <c r="ED338" s="259">
        <f t="shared" ca="1" si="734"/>
        <v>0</v>
      </c>
      <c r="EL338" s="259">
        <f t="shared" si="742"/>
        <v>336</v>
      </c>
      <c r="EM338" s="259">
        <f ca="1">IF(AND(BA338&gt;0,BA338&lt;=$EM$1),MAX($EM$2:EM337)+1,0)</f>
        <v>0</v>
      </c>
      <c r="EN338" s="259">
        <f t="shared" ca="1" si="743"/>
        <v>338</v>
      </c>
      <c r="EP338" s="259" t="str">
        <f t="shared" ca="1" si="735"/>
        <v/>
      </c>
      <c r="EQ338" s="259">
        <f t="shared" ca="1" si="736"/>
        <v>0</v>
      </c>
      <c r="ER338" s="259">
        <f ca="1">IF(ISNA(EQ338),MAX(ER$2:ER337)+1,0)</f>
        <v>0</v>
      </c>
      <c r="ES338" s="259" t="str">
        <f t="shared" ca="1" si="744"/>
        <v/>
      </c>
      <c r="ET338" s="259" t="str">
        <f ca="1">IFERROR(UPPER(INDEX($ER$3:$ES$500,MATCH(ROWS(ET$3:ET338),$ER$3:$ER$500,0),2)),"")</f>
        <v/>
      </c>
      <c r="EW338" s="259">
        <f t="shared" ca="1" si="714"/>
        <v>1</v>
      </c>
      <c r="EX338" s="259">
        <v>236</v>
      </c>
      <c r="EY338" s="259">
        <f t="shared" ca="1" si="715"/>
        <v>0</v>
      </c>
      <c r="EZ338" s="259">
        <f t="shared" ca="1" si="716"/>
        <v>0</v>
      </c>
      <c r="FA338" s="259">
        <f t="shared" ca="1" si="717"/>
        <v>0</v>
      </c>
      <c r="FB338" s="259">
        <f t="shared" ca="1" si="718"/>
        <v>0</v>
      </c>
      <c r="FC338" s="259">
        <f t="shared" ca="1" si="719"/>
        <v>0</v>
      </c>
      <c r="FD338" s="259">
        <f t="shared" ca="1" si="737"/>
        <v>0</v>
      </c>
      <c r="FE338" s="259" t="str">
        <f t="shared" ca="1" si="738"/>
        <v/>
      </c>
      <c r="FF338" s="259" t="str">
        <f t="shared" ca="1" si="720"/>
        <v/>
      </c>
      <c r="FM338" s="259">
        <f t="shared" si="739"/>
        <v>0</v>
      </c>
      <c r="FN338" s="259">
        <f>IF(FM338&lt;0,MAX($FN$2:FN337)+1,0)</f>
        <v>0</v>
      </c>
      <c r="FO338" s="259" t="str">
        <f t="shared" si="745"/>
        <v/>
      </c>
      <c r="FP338" s="259" t="str">
        <f ca="1">IFERROR(INDEX($FN$3:$FO$400,MATCH(ROWS($FP$3:FP338),$FN$3:$FN$400,0),2),"")</f>
        <v/>
      </c>
      <c r="FQ338" s="259" t="str">
        <f>IF(AE338="SE AVERE",MAX($FQ$2:FQ337)+1,"")</f>
        <v/>
      </c>
      <c r="FR338" s="259" t="str">
        <f>IF(AE338="SE DARE",MAX($FR$2:FR337)+1,"")</f>
        <v/>
      </c>
      <c r="FS338" s="259" t="str">
        <f ca="1">IF(AND(AE338="SP DARE",AA338&lt;&gt;$FS$1,AA338&lt;&gt;$FT$1),MAX($FS$2:FS337)+1,IF(AND(GQ338="SP DARE",AA338&lt;&gt;$FS$1,AA338&lt;&gt;$FT$1),MAX($FS$2:FS337)+1,""))</f>
        <v/>
      </c>
      <c r="FT338" s="259" t="str">
        <f ca="1">IF(AND(AE338="SP AVERE",AA338&lt;&gt;$FU$1),MAX($FT$2:FT337)+1,IF(AND(GQ338="SP AVERE",AA338&lt;&gt;$FU$1),MAX($FT$2:FT337)+1,""))</f>
        <v/>
      </c>
      <c r="FU338" s="259">
        <f t="shared" ca="1" si="746"/>
        <v>0</v>
      </c>
      <c r="FV338" s="259">
        <f t="shared" si="747"/>
        <v>0</v>
      </c>
      <c r="FW338" s="259">
        <f ca="1">IFERROR(INDEX($FU$3:$FV$500,MATCH(ROWS($FW$3:FW338),$FU$3:$FU$500,0),2),0)</f>
        <v>0</v>
      </c>
      <c r="FX338" s="259">
        <f t="shared" ca="1" si="748"/>
        <v>0</v>
      </c>
      <c r="FY338" s="259">
        <f t="shared" ca="1" si="749"/>
        <v>0</v>
      </c>
      <c r="FZ338" s="259">
        <f ca="1">IF(FY338&gt;0,MAX($FZ$2:FZ337)+1,0)</f>
        <v>0</v>
      </c>
      <c r="GA338" s="259">
        <f ca="1">IFERROR(INDEX($FY$3:$FZ$500,MATCH(ROWS($GA$3:GA338),$FZ$3:$FZ$500,0),1),0)</f>
        <v>0</v>
      </c>
      <c r="GC338" s="259">
        <f t="shared" ca="1" si="750"/>
        <v>0</v>
      </c>
      <c r="GD338" s="259">
        <f t="shared" ca="1" si="751"/>
        <v>0</v>
      </c>
      <c r="GG338" s="259">
        <f t="shared" ca="1" si="752"/>
        <v>0</v>
      </c>
      <c r="GH338" s="259">
        <f t="shared" ca="1" si="753"/>
        <v>0</v>
      </c>
      <c r="GI338" s="259">
        <f t="shared" ca="1" si="754"/>
        <v>0</v>
      </c>
      <c r="GJ338" s="259">
        <f t="shared" ca="1" si="755"/>
        <v>0</v>
      </c>
      <c r="GK338" s="259">
        <f t="shared" ca="1" si="756"/>
        <v>0</v>
      </c>
      <c r="GL338" s="259">
        <f t="shared" ca="1" si="756"/>
        <v>0</v>
      </c>
      <c r="GM338" s="259">
        <f ca="1">IF(OR(GK338&gt;0,GL338&gt;0),MAX($GM$2:GM337)+1,0)</f>
        <v>0</v>
      </c>
      <c r="GN338" s="259" t="str">
        <f ca="1">IFERROR(INDEX($GD$3:$GM$400,MATCH(ROWS($GN$3:GN338),$GM$3:$GM$400,0),1),"")</f>
        <v/>
      </c>
      <c r="GO338" s="259" t="str">
        <f ca="1">IFERROR(INDEX($GD$3:$GM$400,MATCH(ROWS($GO$3:GO338),$GM$3:$GM$400,0),8),"")</f>
        <v/>
      </c>
      <c r="GP338" s="259" t="str">
        <f ca="1">IFERROR(INDEX($GD$3:$GM$400,MATCH(ROWS($GP$3:GP338),$GM$3:$GM$400,0),9),"")</f>
        <v/>
      </c>
      <c r="GQ338" s="259">
        <f t="shared" ca="1" si="740"/>
        <v>0</v>
      </c>
      <c r="GR338" s="259">
        <f t="shared" ca="1" si="757"/>
        <v>0</v>
      </c>
      <c r="GS338" s="259" t="str">
        <f t="shared" ca="1" si="758"/>
        <v/>
      </c>
      <c r="GT338" s="259" t="str">
        <f ca="1">IFERROR(INDEX($GD$3:$GS$400,MATCH(ROWS($GT$3:GT338),$GM$3:$GM$400,0),16),"")</f>
        <v/>
      </c>
      <c r="GU338" s="259">
        <f ca="1">IF(GQ338&lt;&gt;0,MAX($GU$2:$GU337)+1,0)</f>
        <v>0</v>
      </c>
      <c r="GV338" s="259">
        <f t="shared" ca="1" si="759"/>
        <v>0</v>
      </c>
      <c r="GW338" s="259" t="str">
        <f ca="1">IF(AND(IFERROR(INDEX($GU$3:$GV$400,MATCH(ROWS($GW$3:GW338),$GU$3:$GU$400,0),2),"")&lt;&gt;"",GW339&lt;&gt;""),CONCATENATE(IFERROR(INDEX($GU$3:$GV$400,MATCH(ROWS($GW$3:GW338),$GU$3:$GU$400,0),2),"")," - "),IFERROR(INDEX($GU$3:$GV$400,MATCH(ROWS($GW$3:GW338),$GU$3:$GU$400,0),2),""))</f>
        <v/>
      </c>
      <c r="GX338" s="259">
        <f ca="1">IF(OR(GN338="IVA NS/CREDITO",GN338="IVA NS/DEBITO",GN338="IVA C/ACCONTO",GN338="IMPOSTE C/ACCONTO"),MAX($GX$2:GX337)+1,0)</f>
        <v>0</v>
      </c>
      <c r="GY338" s="259" t="str">
        <f ca="1">IF(AND(IFERROR(INDEX($GN$3:$GX$200,MATCH(ROWS($GY$3:GY338),$GX$3:$GX$200,0),1),"")&lt;&gt;"",GY339&lt;&gt;""),CONCATENATE(IFERROR(INDEX($GN$3:$GX$200,MATCH(ROWS($GY$3:GY338),$GX$3:$GX$200,0),1),"")," - "),IFERROR(INDEX($GN$3:$GX$200,MATCH(ROWS($GY$3:GY338),$GX$3:$GX$200,0),1),""))</f>
        <v/>
      </c>
      <c r="JA338" s="259" t="str">
        <f t="shared" ca="1" si="760"/>
        <v/>
      </c>
      <c r="JB338" s="259">
        <f t="shared" ca="1" si="741"/>
        <v>0</v>
      </c>
      <c r="JC338" s="259">
        <f t="shared" ca="1" si="721"/>
        <v>0</v>
      </c>
      <c r="JD338" s="259">
        <f t="shared" ca="1" si="722"/>
        <v>0</v>
      </c>
      <c r="JM338" s="259">
        <f t="shared" ca="1" si="723"/>
        <v>0</v>
      </c>
    </row>
    <row r="339" spans="52:273">
      <c r="AZ339" s="259" t="str">
        <f t="shared" ca="1" si="770"/>
        <v/>
      </c>
      <c r="BA339" s="259">
        <f t="shared" ca="1" si="713"/>
        <v>0</v>
      </c>
      <c r="BB339" s="259">
        <f t="shared" ca="1" si="771"/>
        <v>0</v>
      </c>
      <c r="BC339" s="259">
        <f t="shared" ca="1" si="772"/>
        <v>0</v>
      </c>
      <c r="BD339" s="259">
        <f t="shared" ca="1" si="773"/>
        <v>0</v>
      </c>
      <c r="BE339" s="259">
        <f t="shared" ca="1" si="774"/>
        <v>0</v>
      </c>
      <c r="BQ339" s="259" t="str">
        <f ca="1">IFERROR(INDEX($BN$3:$BO$200,MATCH(ROWS(BQ$3:BQ339),$BP$3:$BP$220,0),1),"")</f>
        <v/>
      </c>
      <c r="CX339" s="259">
        <f t="shared" ca="1" si="762"/>
        <v>19</v>
      </c>
      <c r="CY339" s="259" t="str">
        <f t="shared" ca="1" si="775"/>
        <v>MASTRO</v>
      </c>
      <c r="CZ339" s="259" t="e">
        <f t="shared" ca="1" si="764"/>
        <v>#N/A</v>
      </c>
      <c r="DA339" s="259" t="str">
        <f t="shared" ca="1" si="769"/>
        <v/>
      </c>
      <c r="DB339" s="259" t="str">
        <f t="shared" ca="1" si="765"/>
        <v/>
      </c>
      <c r="DC339" s="259" t="str">
        <f t="shared" ca="1" si="766"/>
        <v/>
      </c>
      <c r="DD339" s="259" t="str">
        <f t="shared" ca="1" si="767"/>
        <v/>
      </c>
      <c r="DE339" s="259" t="str">
        <f t="shared" ca="1" si="768"/>
        <v/>
      </c>
      <c r="DF339" s="259">
        <f ca="1">IF(AND(CX339=$DE$2,$DF$2&lt;&gt;0),0,IF(AND(DB339&lt;&gt;"",OR(DB338&lt;&gt;"",DB340&lt;&gt;"")),MAX($DF$2:DF338)+1,0))</f>
        <v>0</v>
      </c>
      <c r="DG339" s="259" t="str">
        <f>IF(IF(LIBRO_GIORNALE!E247="","",IFERROR(INDEX(PIANO_DEI_CONTI,MATCH(BB339,DENOMINAZIONE,0),1),0))=0,"",IF(LIBRO_GIORNALE!E247="","",IFERROR(INDEX(PIANO_DEI_CONTI,MATCH(BB339,DENOMINAZIONE,0),1),0)))</f>
        <v/>
      </c>
      <c r="EC339" s="259">
        <f>IF(IF(DG339&lt;&gt;"",REPLACE(DG339,3,1,""),0)&lt;&gt;0,MAX(EC$2:EC338)+1,0)</f>
        <v>0</v>
      </c>
      <c r="ED339" s="259">
        <f t="shared" ca="1" si="734"/>
        <v>0</v>
      </c>
      <c r="EL339" s="259">
        <f t="shared" si="742"/>
        <v>337</v>
      </c>
      <c r="EM339" s="259">
        <f ca="1">IF(AND(BA339&gt;0,BA339&lt;=$EM$1),MAX($EM$2:EM338)+1,0)</f>
        <v>0</v>
      </c>
      <c r="EN339" s="259">
        <f t="shared" ca="1" si="743"/>
        <v>339</v>
      </c>
      <c r="EP339" s="259" t="str">
        <f t="shared" ca="1" si="735"/>
        <v/>
      </c>
      <c r="EQ339" s="259">
        <f t="shared" ca="1" si="736"/>
        <v>0</v>
      </c>
      <c r="ER339" s="259">
        <f ca="1">IF(ISNA(EQ339),MAX(ER$2:ER338)+1,0)</f>
        <v>0</v>
      </c>
      <c r="ES339" s="259" t="str">
        <f t="shared" ca="1" si="744"/>
        <v/>
      </c>
      <c r="ET339" s="259" t="str">
        <f ca="1">IFERROR(UPPER(INDEX($ER$3:$ES$500,MATCH(ROWS(ET$3:ET339),$ER$3:$ER$500,0),2)),"")</f>
        <v/>
      </c>
      <c r="EW339" s="259">
        <f t="shared" ca="1" si="714"/>
        <v>1</v>
      </c>
      <c r="EX339" s="259">
        <v>237</v>
      </c>
      <c r="EY339" s="259">
        <f t="shared" ca="1" si="715"/>
        <v>0</v>
      </c>
      <c r="EZ339" s="259">
        <f t="shared" ca="1" si="716"/>
        <v>0</v>
      </c>
      <c r="FA339" s="259">
        <f t="shared" ca="1" si="717"/>
        <v>0</v>
      </c>
      <c r="FB339" s="259">
        <f t="shared" ca="1" si="718"/>
        <v>0</v>
      </c>
      <c r="FC339" s="259">
        <f t="shared" ca="1" si="719"/>
        <v>0</v>
      </c>
      <c r="FD339" s="259">
        <f t="shared" ca="1" si="737"/>
        <v>0</v>
      </c>
      <c r="FE339" s="259" t="str">
        <f t="shared" ca="1" si="738"/>
        <v/>
      </c>
      <c r="FF339" s="259" t="str">
        <f t="shared" ca="1" si="720"/>
        <v/>
      </c>
      <c r="FM339" s="259">
        <f t="shared" si="739"/>
        <v>0</v>
      </c>
      <c r="FN339" s="259">
        <f>IF(FM339&lt;0,MAX($FN$2:FN338)+1,0)</f>
        <v>0</v>
      </c>
      <c r="FO339" s="259" t="str">
        <f t="shared" si="745"/>
        <v/>
      </c>
      <c r="FP339" s="259" t="str">
        <f ca="1">IFERROR(INDEX($FN$3:$FO$400,MATCH(ROWS($FP$3:FP339),$FN$3:$FN$400,0),2),"")</f>
        <v/>
      </c>
      <c r="FQ339" s="259" t="str">
        <f>IF(AE339="SE AVERE",MAX($FQ$2:FQ338)+1,"")</f>
        <v/>
      </c>
      <c r="FR339" s="259" t="str">
        <f>IF(AE339="SE DARE",MAX($FR$2:FR338)+1,"")</f>
        <v/>
      </c>
      <c r="FS339" s="259" t="str">
        <f ca="1">IF(AND(AE339="SP DARE",AA339&lt;&gt;$FS$1,AA339&lt;&gt;$FT$1),MAX($FS$2:FS338)+1,IF(AND(GQ339="SP DARE",AA339&lt;&gt;$FS$1,AA339&lt;&gt;$FT$1),MAX($FS$2:FS338)+1,""))</f>
        <v/>
      </c>
      <c r="FT339" s="259" t="str">
        <f ca="1">IF(AND(AE339="SP AVERE",AA339&lt;&gt;$FU$1),MAX($FT$2:FT338)+1,IF(AND(GQ339="SP AVERE",AA339&lt;&gt;$FU$1),MAX($FT$2:FT338)+1,""))</f>
        <v/>
      </c>
      <c r="FU339" s="259">
        <f t="shared" ca="1" si="746"/>
        <v>0</v>
      </c>
      <c r="FV339" s="259">
        <f t="shared" si="747"/>
        <v>0</v>
      </c>
      <c r="FW339" s="259">
        <f ca="1">IFERROR(INDEX($FU$3:$FV$500,MATCH(ROWS($FW$3:FW339),$FU$3:$FU$500,0),2),0)</f>
        <v>0</v>
      </c>
      <c r="FX339" s="259">
        <f t="shared" ca="1" si="748"/>
        <v>0</v>
      </c>
      <c r="FY339" s="259">
        <f t="shared" ca="1" si="749"/>
        <v>0</v>
      </c>
      <c r="FZ339" s="259">
        <f ca="1">IF(FY339&gt;0,MAX($FZ$2:FZ338)+1,0)</f>
        <v>0</v>
      </c>
      <c r="GA339" s="259">
        <f ca="1">IFERROR(INDEX($FY$3:$FZ$500,MATCH(ROWS($GA$3:GA339),$FZ$3:$FZ$500,0),1),0)</f>
        <v>0</v>
      </c>
      <c r="GC339" s="259">
        <f t="shared" ca="1" si="750"/>
        <v>0</v>
      </c>
      <c r="GD339" s="259">
        <f t="shared" ca="1" si="751"/>
        <v>0</v>
      </c>
      <c r="GG339" s="259">
        <f t="shared" ca="1" si="752"/>
        <v>0</v>
      </c>
      <c r="GH339" s="259">
        <f t="shared" ca="1" si="753"/>
        <v>0</v>
      </c>
      <c r="GI339" s="259">
        <f t="shared" ca="1" si="754"/>
        <v>0</v>
      </c>
      <c r="GJ339" s="259">
        <f t="shared" ca="1" si="755"/>
        <v>0</v>
      </c>
      <c r="GK339" s="259">
        <f t="shared" ca="1" si="756"/>
        <v>0</v>
      </c>
      <c r="GL339" s="259">
        <f t="shared" ca="1" si="756"/>
        <v>0</v>
      </c>
      <c r="GM339" s="259">
        <f ca="1">IF(OR(GK339&gt;0,GL339&gt;0),MAX($GM$2:GM338)+1,0)</f>
        <v>0</v>
      </c>
      <c r="GN339" s="259" t="str">
        <f ca="1">IFERROR(INDEX($GD$3:$GM$400,MATCH(ROWS($GN$3:GN339),$GM$3:$GM$400,0),1),"")</f>
        <v/>
      </c>
      <c r="GO339" s="259" t="str">
        <f ca="1">IFERROR(INDEX($GD$3:$GM$400,MATCH(ROWS($GO$3:GO339),$GM$3:$GM$400,0),8),"")</f>
        <v/>
      </c>
      <c r="GP339" s="259" t="str">
        <f ca="1">IFERROR(INDEX($GD$3:$GM$400,MATCH(ROWS($GP$3:GP339),$GM$3:$GM$400,0),9),"")</f>
        <v/>
      </c>
      <c r="GQ339" s="259">
        <f t="shared" ca="1" si="740"/>
        <v>0</v>
      </c>
      <c r="GR339" s="259">
        <f t="shared" ca="1" si="757"/>
        <v>0</v>
      </c>
      <c r="GS339" s="259" t="str">
        <f t="shared" ca="1" si="758"/>
        <v/>
      </c>
      <c r="GT339" s="259" t="str">
        <f ca="1">IFERROR(INDEX($GD$3:$GS$400,MATCH(ROWS($GT$3:GT339),$GM$3:$GM$400,0),16),"")</f>
        <v/>
      </c>
      <c r="GU339" s="259">
        <f ca="1">IF(GQ339&lt;&gt;0,MAX($GU$2:$GU338)+1,0)</f>
        <v>0</v>
      </c>
      <c r="GV339" s="259">
        <f t="shared" ca="1" si="759"/>
        <v>0</v>
      </c>
      <c r="GW339" s="259" t="str">
        <f ca="1">IF(AND(IFERROR(INDEX($GU$3:$GV$400,MATCH(ROWS($GW$3:GW339),$GU$3:$GU$400,0),2),"")&lt;&gt;"",GW340&lt;&gt;""),CONCATENATE(IFERROR(INDEX($GU$3:$GV$400,MATCH(ROWS($GW$3:GW339),$GU$3:$GU$400,0),2),"")," - "),IFERROR(INDEX($GU$3:$GV$400,MATCH(ROWS($GW$3:GW339),$GU$3:$GU$400,0),2),""))</f>
        <v/>
      </c>
      <c r="GX339" s="259">
        <f ca="1">IF(OR(GN339="IVA NS/CREDITO",GN339="IVA NS/DEBITO",GN339="IVA C/ACCONTO",GN339="IMPOSTE C/ACCONTO"),MAX($GX$2:GX338)+1,0)</f>
        <v>0</v>
      </c>
      <c r="GY339" s="259" t="str">
        <f ca="1">IF(AND(IFERROR(INDEX($GN$3:$GX$200,MATCH(ROWS($GY$3:GY339),$GX$3:$GX$200,0),1),"")&lt;&gt;"",GY340&lt;&gt;""),CONCATENATE(IFERROR(INDEX($GN$3:$GX$200,MATCH(ROWS($GY$3:GY339),$GX$3:$GX$200,0),1),"")," - "),IFERROR(INDEX($GN$3:$GX$200,MATCH(ROWS($GY$3:GY339),$GX$3:$GX$200,0),1),""))</f>
        <v/>
      </c>
      <c r="JA339" s="259" t="str">
        <f t="shared" ca="1" si="760"/>
        <v/>
      </c>
      <c r="JB339" s="259">
        <f t="shared" ca="1" si="741"/>
        <v>0</v>
      </c>
      <c r="JC339" s="259">
        <f t="shared" ca="1" si="721"/>
        <v>0</v>
      </c>
      <c r="JD339" s="259">
        <f t="shared" ca="1" si="722"/>
        <v>0</v>
      </c>
      <c r="JM339" s="259">
        <f t="shared" ca="1" si="723"/>
        <v>0</v>
      </c>
    </row>
    <row r="340" spans="52:273">
      <c r="AZ340" s="259" t="str">
        <f t="shared" ca="1" si="770"/>
        <v/>
      </c>
      <c r="BA340" s="259">
        <f t="shared" ca="1" si="713"/>
        <v>0</v>
      </c>
      <c r="BB340" s="259">
        <f t="shared" ca="1" si="771"/>
        <v>0</v>
      </c>
      <c r="BC340" s="259">
        <f t="shared" ca="1" si="772"/>
        <v>0</v>
      </c>
      <c r="BD340" s="259">
        <f t="shared" ca="1" si="773"/>
        <v>0</v>
      </c>
      <c r="BE340" s="259">
        <f t="shared" ca="1" si="774"/>
        <v>0</v>
      </c>
      <c r="BQ340" s="259" t="str">
        <f ca="1">IFERROR(INDEX($BN$3:$BO$200,MATCH(ROWS(BQ$3:BQ340),$BP$3:$BP$220,0),1),"")</f>
        <v/>
      </c>
      <c r="CX340" s="259">
        <f t="shared" ca="1" si="762"/>
        <v>19</v>
      </c>
      <c r="CY340" s="259" t="str">
        <f t="shared" ca="1" si="775"/>
        <v>MASTRO</v>
      </c>
      <c r="CZ340" s="259" t="e">
        <f t="shared" ca="1" si="764"/>
        <v>#N/A</v>
      </c>
      <c r="DA340" s="259" t="str">
        <f t="shared" ca="1" si="769"/>
        <v/>
      </c>
      <c r="DB340" s="259" t="str">
        <f t="shared" ca="1" si="765"/>
        <v/>
      </c>
      <c r="DC340" s="259" t="str">
        <f t="shared" ca="1" si="766"/>
        <v/>
      </c>
      <c r="DD340" s="259" t="str">
        <f t="shared" ca="1" si="767"/>
        <v/>
      </c>
      <c r="DE340" s="259" t="str">
        <f t="shared" ca="1" si="768"/>
        <v/>
      </c>
      <c r="DF340" s="259">
        <f ca="1">IF(AND(CX340=$DE$2,$DF$2&lt;&gt;0),0,IF(AND(DB340&lt;&gt;"",OR(DB339&lt;&gt;"",DB341&lt;&gt;"")),MAX($DF$2:DF339)+1,0))</f>
        <v>0</v>
      </c>
      <c r="DG340" s="259" t="str">
        <f>IF(IF(LIBRO_GIORNALE!E248="","",IFERROR(INDEX(PIANO_DEI_CONTI,MATCH(BB340,DENOMINAZIONE,0),1),0))=0,"",IF(LIBRO_GIORNALE!E248="","",IFERROR(INDEX(PIANO_DEI_CONTI,MATCH(BB340,DENOMINAZIONE,0),1),0)))</f>
        <v/>
      </c>
      <c r="EC340" s="259">
        <f>IF(IF(DG340&lt;&gt;"",REPLACE(DG340,3,1,""),0)&lt;&gt;0,MAX(EC$2:EC339)+1,0)</f>
        <v>0</v>
      </c>
      <c r="ED340" s="259">
        <f t="shared" ca="1" si="734"/>
        <v>0</v>
      </c>
      <c r="EL340" s="259">
        <f t="shared" si="742"/>
        <v>338</v>
      </c>
      <c r="EM340" s="259">
        <f ca="1">IF(AND(BA340&gt;0,BA340&lt;=$EM$1),MAX($EM$2:EM339)+1,0)</f>
        <v>0</v>
      </c>
      <c r="EN340" s="259">
        <f t="shared" ca="1" si="743"/>
        <v>340</v>
      </c>
      <c r="EP340" s="259" t="str">
        <f t="shared" ca="1" si="735"/>
        <v/>
      </c>
      <c r="EQ340" s="259">
        <f t="shared" ca="1" si="736"/>
        <v>0</v>
      </c>
      <c r="ER340" s="259">
        <f ca="1">IF(ISNA(EQ340),MAX(ER$2:ER339)+1,0)</f>
        <v>0</v>
      </c>
      <c r="ES340" s="259" t="str">
        <f t="shared" ca="1" si="744"/>
        <v/>
      </c>
      <c r="ET340" s="259" t="str">
        <f ca="1">IFERROR(UPPER(INDEX($ER$3:$ES$500,MATCH(ROWS(ET$3:ET340),$ER$3:$ER$500,0),2)),"")</f>
        <v/>
      </c>
      <c r="EW340" s="259">
        <f t="shared" ca="1" si="714"/>
        <v>1</v>
      </c>
      <c r="EX340" s="259">
        <v>238</v>
      </c>
      <c r="EY340" s="259">
        <f t="shared" ca="1" si="715"/>
        <v>0</v>
      </c>
      <c r="EZ340" s="259">
        <f t="shared" ca="1" si="716"/>
        <v>0</v>
      </c>
      <c r="FA340" s="259">
        <f t="shared" ca="1" si="717"/>
        <v>0</v>
      </c>
      <c r="FB340" s="259">
        <f t="shared" ca="1" si="718"/>
        <v>0</v>
      </c>
      <c r="FC340" s="259">
        <f t="shared" ca="1" si="719"/>
        <v>0</v>
      </c>
      <c r="FD340" s="259">
        <f t="shared" ca="1" si="737"/>
        <v>0</v>
      </c>
      <c r="FE340" s="259" t="str">
        <f t="shared" ca="1" si="738"/>
        <v/>
      </c>
      <c r="FF340" s="259" t="str">
        <f t="shared" ca="1" si="720"/>
        <v/>
      </c>
      <c r="FM340" s="259">
        <f t="shared" si="739"/>
        <v>0</v>
      </c>
      <c r="FN340" s="259">
        <f>IF(FM340&lt;0,MAX($FN$2:FN339)+1,0)</f>
        <v>0</v>
      </c>
      <c r="FO340" s="259" t="str">
        <f t="shared" si="745"/>
        <v/>
      </c>
      <c r="FP340" s="259" t="str">
        <f ca="1">IFERROR(INDEX($FN$3:$FO$400,MATCH(ROWS($FP$3:FP340),$FN$3:$FN$400,0),2),"")</f>
        <v/>
      </c>
      <c r="FQ340" s="259" t="str">
        <f>IF(AE340="SE AVERE",MAX($FQ$2:FQ339)+1,"")</f>
        <v/>
      </c>
      <c r="FR340" s="259" t="str">
        <f>IF(AE340="SE DARE",MAX($FR$2:FR339)+1,"")</f>
        <v/>
      </c>
      <c r="FS340" s="259" t="str">
        <f ca="1">IF(AND(AE340="SP DARE",AA340&lt;&gt;$FS$1,AA340&lt;&gt;$FT$1),MAX($FS$2:FS339)+1,IF(AND(GQ340="SP DARE",AA340&lt;&gt;$FS$1,AA340&lt;&gt;$FT$1),MAX($FS$2:FS339)+1,""))</f>
        <v/>
      </c>
      <c r="FT340" s="259" t="str">
        <f ca="1">IF(AND(AE340="SP AVERE",AA340&lt;&gt;$FU$1),MAX($FT$2:FT339)+1,IF(AND(GQ340="SP AVERE",AA340&lt;&gt;$FU$1),MAX($FT$2:FT339)+1,""))</f>
        <v/>
      </c>
      <c r="FU340" s="259">
        <f t="shared" ca="1" si="746"/>
        <v>0</v>
      </c>
      <c r="FV340" s="259">
        <f t="shared" si="747"/>
        <v>0</v>
      </c>
      <c r="FW340" s="259">
        <f ca="1">IFERROR(INDEX($FU$3:$FV$500,MATCH(ROWS($FW$3:FW340),$FU$3:$FU$500,0),2),0)</f>
        <v>0</v>
      </c>
      <c r="FX340" s="259">
        <f t="shared" ca="1" si="748"/>
        <v>0</v>
      </c>
      <c r="FY340" s="259">
        <f t="shared" ca="1" si="749"/>
        <v>0</v>
      </c>
      <c r="FZ340" s="259">
        <f ca="1">IF(FY340&gt;0,MAX($FZ$2:FZ339)+1,0)</f>
        <v>0</v>
      </c>
      <c r="GA340" s="259">
        <f ca="1">IFERROR(INDEX($FY$3:$FZ$500,MATCH(ROWS($GA$3:GA340),$FZ$3:$FZ$500,0),1),0)</f>
        <v>0</v>
      </c>
      <c r="GC340" s="259">
        <f t="shared" ca="1" si="750"/>
        <v>0</v>
      </c>
      <c r="GD340" s="259">
        <f t="shared" ca="1" si="751"/>
        <v>0</v>
      </c>
      <c r="GG340" s="259">
        <f t="shared" ca="1" si="752"/>
        <v>0</v>
      </c>
      <c r="GH340" s="259">
        <f t="shared" ca="1" si="753"/>
        <v>0</v>
      </c>
      <c r="GI340" s="259">
        <f t="shared" ca="1" si="754"/>
        <v>0</v>
      </c>
      <c r="GJ340" s="259">
        <f t="shared" ca="1" si="755"/>
        <v>0</v>
      </c>
      <c r="GK340" s="259">
        <f t="shared" ca="1" si="756"/>
        <v>0</v>
      </c>
      <c r="GL340" s="259">
        <f t="shared" ca="1" si="756"/>
        <v>0</v>
      </c>
      <c r="GM340" s="259">
        <f ca="1">IF(OR(GK340&gt;0,GL340&gt;0),MAX($GM$2:GM339)+1,0)</f>
        <v>0</v>
      </c>
      <c r="GN340" s="259" t="str">
        <f ca="1">IFERROR(INDEX($GD$3:$GM$400,MATCH(ROWS($GN$3:GN340),$GM$3:$GM$400,0),1),"")</f>
        <v/>
      </c>
      <c r="GO340" s="259" t="str">
        <f ca="1">IFERROR(INDEX($GD$3:$GM$400,MATCH(ROWS($GO$3:GO340),$GM$3:$GM$400,0),8),"")</f>
        <v/>
      </c>
      <c r="GP340" s="259" t="str">
        <f ca="1">IFERROR(INDEX($GD$3:$GM$400,MATCH(ROWS($GP$3:GP340),$GM$3:$GM$400,0),9),"")</f>
        <v/>
      </c>
      <c r="GQ340" s="259">
        <f t="shared" ca="1" si="740"/>
        <v>0</v>
      </c>
      <c r="GR340" s="259">
        <f t="shared" ca="1" si="757"/>
        <v>0</v>
      </c>
      <c r="GS340" s="259" t="str">
        <f t="shared" ca="1" si="758"/>
        <v/>
      </c>
      <c r="GT340" s="259" t="str">
        <f ca="1">IFERROR(INDEX($GD$3:$GS$400,MATCH(ROWS($GT$3:GT340),$GM$3:$GM$400,0),16),"")</f>
        <v/>
      </c>
      <c r="GU340" s="259">
        <f ca="1">IF(GQ340&lt;&gt;0,MAX($GU$2:$GU339)+1,0)</f>
        <v>0</v>
      </c>
      <c r="GV340" s="259">
        <f t="shared" ca="1" si="759"/>
        <v>0</v>
      </c>
      <c r="GW340" s="259" t="str">
        <f ca="1">IF(AND(IFERROR(INDEX($GU$3:$GV$400,MATCH(ROWS($GW$3:GW340),$GU$3:$GU$400,0),2),"")&lt;&gt;"",GW341&lt;&gt;""),CONCATENATE(IFERROR(INDEX($GU$3:$GV$400,MATCH(ROWS($GW$3:GW340),$GU$3:$GU$400,0),2),"")," - "),IFERROR(INDEX($GU$3:$GV$400,MATCH(ROWS($GW$3:GW340),$GU$3:$GU$400,0),2),""))</f>
        <v/>
      </c>
      <c r="GX340" s="259">
        <f ca="1">IF(OR(GN340="IVA NS/CREDITO",GN340="IVA NS/DEBITO",GN340="IVA C/ACCONTO",GN340="IMPOSTE C/ACCONTO"),MAX($GX$2:GX339)+1,0)</f>
        <v>0</v>
      </c>
      <c r="GY340" s="259" t="str">
        <f ca="1">IF(AND(IFERROR(INDEX($GN$3:$GX$200,MATCH(ROWS($GY$3:GY340),$GX$3:$GX$200,0),1),"")&lt;&gt;"",GY341&lt;&gt;""),CONCATENATE(IFERROR(INDEX($GN$3:$GX$200,MATCH(ROWS($GY$3:GY340),$GX$3:$GX$200,0),1),"")," - "),IFERROR(INDEX($GN$3:$GX$200,MATCH(ROWS($GY$3:GY340),$GX$3:$GX$200,0),1),""))</f>
        <v/>
      </c>
      <c r="JA340" s="259" t="str">
        <f t="shared" ca="1" si="760"/>
        <v/>
      </c>
      <c r="JB340" s="259">
        <f t="shared" ca="1" si="741"/>
        <v>0</v>
      </c>
      <c r="JC340" s="259">
        <f t="shared" ca="1" si="721"/>
        <v>0</v>
      </c>
      <c r="JD340" s="259">
        <f t="shared" ca="1" si="722"/>
        <v>0</v>
      </c>
      <c r="JM340" s="259">
        <f t="shared" ca="1" si="723"/>
        <v>0</v>
      </c>
    </row>
    <row r="341" spans="52:273">
      <c r="AZ341" s="259" t="str">
        <f t="shared" ca="1" si="770"/>
        <v/>
      </c>
      <c r="BA341" s="259">
        <f t="shared" ca="1" si="713"/>
        <v>0</v>
      </c>
      <c r="BB341" s="259">
        <f t="shared" ca="1" si="771"/>
        <v>0</v>
      </c>
      <c r="BC341" s="259">
        <f t="shared" ca="1" si="772"/>
        <v>0</v>
      </c>
      <c r="BD341" s="259">
        <f t="shared" ca="1" si="773"/>
        <v>0</v>
      </c>
      <c r="BE341" s="259">
        <f t="shared" ca="1" si="774"/>
        <v>0</v>
      </c>
      <c r="BQ341" s="259" t="str">
        <f ca="1">IFERROR(INDEX($BN$3:$BO$200,MATCH(ROWS(BQ$3:BQ341),$BP$3:$BP$220,0),1),"")</f>
        <v/>
      </c>
      <c r="CX341" s="259">
        <f t="shared" ca="1" si="762"/>
        <v>19</v>
      </c>
      <c r="CY341" s="259" t="str">
        <f t="shared" ca="1" si="775"/>
        <v>MASTRO</v>
      </c>
      <c r="CZ341" s="259" t="e">
        <f t="shared" ca="1" si="764"/>
        <v>#N/A</v>
      </c>
      <c r="DA341" s="259" t="str">
        <f t="shared" ca="1" si="769"/>
        <v/>
      </c>
      <c r="DB341" s="259" t="str">
        <f t="shared" ca="1" si="765"/>
        <v/>
      </c>
      <c r="DC341" s="259" t="str">
        <f t="shared" ca="1" si="766"/>
        <v/>
      </c>
      <c r="DD341" s="259" t="str">
        <f t="shared" ca="1" si="767"/>
        <v/>
      </c>
      <c r="DE341" s="259" t="str">
        <f t="shared" ca="1" si="768"/>
        <v/>
      </c>
      <c r="DF341" s="259">
        <f ca="1">IF(AND(CX341=$DE$2,$DF$2&lt;&gt;0),0,IF(AND(DB341&lt;&gt;"",OR(DB340&lt;&gt;"",DB342&lt;&gt;"")),MAX($DF$2:DF340)+1,0))</f>
        <v>0</v>
      </c>
      <c r="DG341" s="259" t="str">
        <f>IF(IF(LIBRO_GIORNALE!E249="","",IFERROR(INDEX(PIANO_DEI_CONTI,MATCH(BB341,DENOMINAZIONE,0),1),0))=0,"",IF(LIBRO_GIORNALE!E249="","",IFERROR(INDEX(PIANO_DEI_CONTI,MATCH(BB341,DENOMINAZIONE,0),1),0)))</f>
        <v/>
      </c>
      <c r="EC341" s="259">
        <f>IF(IF(DG341&lt;&gt;"",REPLACE(DG341,3,1,""),0)&lt;&gt;0,MAX(EC$2:EC340)+1,0)</f>
        <v>0</v>
      </c>
      <c r="ED341" s="259">
        <f t="shared" ca="1" si="734"/>
        <v>0</v>
      </c>
      <c r="EL341" s="259">
        <f t="shared" si="742"/>
        <v>339</v>
      </c>
      <c r="EM341" s="259">
        <f ca="1">IF(AND(BA341&gt;0,BA341&lt;=$EM$1),MAX($EM$2:EM340)+1,0)</f>
        <v>0</v>
      </c>
      <c r="EN341" s="259">
        <f t="shared" ca="1" si="743"/>
        <v>341</v>
      </c>
      <c r="EP341" s="259" t="str">
        <f t="shared" ca="1" si="735"/>
        <v/>
      </c>
      <c r="EQ341" s="259">
        <f t="shared" ca="1" si="736"/>
        <v>0</v>
      </c>
      <c r="ER341" s="259">
        <f ca="1">IF(ISNA(EQ341),MAX(ER$2:ER340)+1,0)</f>
        <v>0</v>
      </c>
      <c r="ES341" s="259" t="str">
        <f t="shared" ca="1" si="744"/>
        <v/>
      </c>
      <c r="ET341" s="259" t="str">
        <f ca="1">IFERROR(UPPER(INDEX($ER$3:$ES$500,MATCH(ROWS(ET$3:ET341),$ER$3:$ER$500,0),2)),"")</f>
        <v/>
      </c>
      <c r="EW341" s="259">
        <f t="shared" ca="1" si="714"/>
        <v>1</v>
      </c>
      <c r="EX341" s="259">
        <v>239</v>
      </c>
      <c r="EY341" s="259">
        <f t="shared" ca="1" si="715"/>
        <v>0</v>
      </c>
      <c r="EZ341" s="259">
        <f t="shared" ca="1" si="716"/>
        <v>0</v>
      </c>
      <c r="FA341" s="259">
        <f t="shared" ca="1" si="717"/>
        <v>0</v>
      </c>
      <c r="FB341" s="259">
        <f t="shared" ca="1" si="718"/>
        <v>0</v>
      </c>
      <c r="FC341" s="259">
        <f t="shared" ca="1" si="719"/>
        <v>0</v>
      </c>
      <c r="FD341" s="259">
        <f t="shared" ca="1" si="737"/>
        <v>0</v>
      </c>
      <c r="FE341" s="259" t="str">
        <f t="shared" ca="1" si="738"/>
        <v/>
      </c>
      <c r="FF341" s="259" t="str">
        <f t="shared" ca="1" si="720"/>
        <v/>
      </c>
      <c r="FM341" s="259">
        <f t="shared" si="739"/>
        <v>0</v>
      </c>
      <c r="FN341" s="259">
        <f>IF(FM341&lt;0,MAX($FN$2:FN340)+1,0)</f>
        <v>0</v>
      </c>
      <c r="FO341" s="259" t="str">
        <f t="shared" si="745"/>
        <v/>
      </c>
      <c r="FP341" s="259" t="str">
        <f ca="1">IFERROR(INDEX($FN$3:$FO$400,MATCH(ROWS($FP$3:FP341),$FN$3:$FN$400,0),2),"")</f>
        <v/>
      </c>
      <c r="FQ341" s="259" t="str">
        <f>IF(AE341="SE AVERE",MAX($FQ$2:FQ340)+1,"")</f>
        <v/>
      </c>
      <c r="FR341" s="259" t="str">
        <f>IF(AE341="SE DARE",MAX($FR$2:FR340)+1,"")</f>
        <v/>
      </c>
      <c r="FS341" s="259" t="str">
        <f ca="1">IF(AND(AE341="SP DARE",AA341&lt;&gt;$FS$1,AA341&lt;&gt;$FT$1),MAX($FS$2:FS340)+1,IF(AND(GQ341="SP DARE",AA341&lt;&gt;$FS$1,AA341&lt;&gt;$FT$1),MAX($FS$2:FS340)+1,""))</f>
        <v/>
      </c>
      <c r="FT341" s="259" t="str">
        <f ca="1">IF(AND(AE341="SP AVERE",AA341&lt;&gt;$FU$1),MAX($FT$2:FT340)+1,IF(AND(GQ341="SP AVERE",AA341&lt;&gt;$FU$1),MAX($FT$2:FT340)+1,""))</f>
        <v/>
      </c>
      <c r="FU341" s="259">
        <f t="shared" ca="1" si="746"/>
        <v>0</v>
      </c>
      <c r="FV341" s="259">
        <f t="shared" si="747"/>
        <v>0</v>
      </c>
      <c r="FW341" s="259">
        <f ca="1">IFERROR(INDEX($FU$3:$FV$500,MATCH(ROWS($FW$3:FW341),$FU$3:$FU$500,0),2),0)</f>
        <v>0</v>
      </c>
      <c r="FX341" s="259">
        <f t="shared" ca="1" si="748"/>
        <v>0</v>
      </c>
      <c r="FY341" s="259">
        <f t="shared" ca="1" si="749"/>
        <v>0</v>
      </c>
      <c r="FZ341" s="259">
        <f ca="1">IF(FY341&gt;0,MAX($FZ$2:FZ340)+1,0)</f>
        <v>0</v>
      </c>
      <c r="GA341" s="259">
        <f ca="1">IFERROR(INDEX($FY$3:$FZ$500,MATCH(ROWS($GA$3:GA341),$FZ$3:$FZ$500,0),1),0)</f>
        <v>0</v>
      </c>
      <c r="GC341" s="259">
        <f t="shared" ca="1" si="750"/>
        <v>0</v>
      </c>
      <c r="GD341" s="259">
        <f t="shared" ca="1" si="751"/>
        <v>0</v>
      </c>
      <c r="GG341" s="259">
        <f t="shared" ca="1" si="752"/>
        <v>0</v>
      </c>
      <c r="GH341" s="259">
        <f t="shared" ca="1" si="753"/>
        <v>0</v>
      </c>
      <c r="GI341" s="259">
        <f t="shared" ca="1" si="754"/>
        <v>0</v>
      </c>
      <c r="GJ341" s="259">
        <f t="shared" ca="1" si="755"/>
        <v>0</v>
      </c>
      <c r="GK341" s="259">
        <f t="shared" ca="1" si="756"/>
        <v>0</v>
      </c>
      <c r="GL341" s="259">
        <f t="shared" ca="1" si="756"/>
        <v>0</v>
      </c>
      <c r="GM341" s="259">
        <f ca="1">IF(OR(GK341&gt;0,GL341&gt;0),MAX($GM$2:GM340)+1,0)</f>
        <v>0</v>
      </c>
      <c r="GN341" s="259" t="str">
        <f ca="1">IFERROR(INDEX($GD$3:$GM$400,MATCH(ROWS($GN$3:GN341),$GM$3:$GM$400,0),1),"")</f>
        <v/>
      </c>
      <c r="GO341" s="259" t="str">
        <f ca="1">IFERROR(INDEX($GD$3:$GM$400,MATCH(ROWS($GO$3:GO341),$GM$3:$GM$400,0),8),"")</f>
        <v/>
      </c>
      <c r="GP341" s="259" t="str">
        <f ca="1">IFERROR(INDEX($GD$3:$GM$400,MATCH(ROWS($GP$3:GP341),$GM$3:$GM$400,0),9),"")</f>
        <v/>
      </c>
      <c r="GQ341" s="259">
        <f t="shared" ca="1" si="740"/>
        <v>0</v>
      </c>
      <c r="GR341" s="259">
        <f t="shared" ca="1" si="757"/>
        <v>0</v>
      </c>
      <c r="GS341" s="259" t="str">
        <f t="shared" ca="1" si="758"/>
        <v/>
      </c>
      <c r="GT341" s="259" t="str">
        <f ca="1">IFERROR(INDEX($GD$3:$GS$400,MATCH(ROWS($GT$3:GT341),$GM$3:$GM$400,0),16),"")</f>
        <v/>
      </c>
      <c r="GU341" s="259">
        <f ca="1">IF(GQ341&lt;&gt;0,MAX($GU$2:$GU340)+1,0)</f>
        <v>0</v>
      </c>
      <c r="GV341" s="259">
        <f t="shared" ca="1" si="759"/>
        <v>0</v>
      </c>
      <c r="GW341" s="259" t="str">
        <f ca="1">IF(AND(IFERROR(INDEX($GU$3:$GV$400,MATCH(ROWS($GW$3:GW341),$GU$3:$GU$400,0),2),"")&lt;&gt;"",GW342&lt;&gt;""),CONCATENATE(IFERROR(INDEX($GU$3:$GV$400,MATCH(ROWS($GW$3:GW341),$GU$3:$GU$400,0),2),"")," - "),IFERROR(INDEX($GU$3:$GV$400,MATCH(ROWS($GW$3:GW341),$GU$3:$GU$400,0),2),""))</f>
        <v/>
      </c>
      <c r="GX341" s="259">
        <f ca="1">IF(OR(GN341="IVA NS/CREDITO",GN341="IVA NS/DEBITO",GN341="IVA C/ACCONTO",GN341="IMPOSTE C/ACCONTO"),MAX($GX$2:GX340)+1,0)</f>
        <v>0</v>
      </c>
      <c r="GY341" s="259" t="str">
        <f ca="1">IF(AND(IFERROR(INDEX($GN$3:$GX$200,MATCH(ROWS($GY$3:GY341),$GX$3:$GX$200,0),1),"")&lt;&gt;"",GY342&lt;&gt;""),CONCATENATE(IFERROR(INDEX($GN$3:$GX$200,MATCH(ROWS($GY$3:GY341),$GX$3:$GX$200,0),1),"")," - "),IFERROR(INDEX($GN$3:$GX$200,MATCH(ROWS($GY$3:GY341),$GX$3:$GX$200,0),1),""))</f>
        <v/>
      </c>
      <c r="JA341" s="259" t="str">
        <f t="shared" ca="1" si="760"/>
        <v/>
      </c>
      <c r="JB341" s="259">
        <f t="shared" ca="1" si="741"/>
        <v>0</v>
      </c>
      <c r="JC341" s="259">
        <f t="shared" ca="1" si="721"/>
        <v>0</v>
      </c>
      <c r="JD341" s="259">
        <f t="shared" ca="1" si="722"/>
        <v>0</v>
      </c>
      <c r="JM341" s="259">
        <f t="shared" ca="1" si="723"/>
        <v>0</v>
      </c>
    </row>
    <row r="342" spans="52:273">
      <c r="AZ342" s="259" t="str">
        <f t="shared" ca="1" si="770"/>
        <v/>
      </c>
      <c r="BA342" s="259">
        <f t="shared" ca="1" si="713"/>
        <v>0</v>
      </c>
      <c r="BB342" s="259">
        <f t="shared" ca="1" si="771"/>
        <v>0</v>
      </c>
      <c r="BC342" s="259">
        <f t="shared" ca="1" si="772"/>
        <v>0</v>
      </c>
      <c r="BD342" s="259">
        <f t="shared" ca="1" si="773"/>
        <v>0</v>
      </c>
      <c r="BE342" s="259">
        <f t="shared" ca="1" si="774"/>
        <v>0</v>
      </c>
      <c r="BQ342" s="259" t="str">
        <f ca="1">IFERROR(INDEX($BN$3:$BO$200,MATCH(ROWS(BQ$3:BQ342),$BP$3:$BP$220,0),1),"")</f>
        <v/>
      </c>
      <c r="CX342" s="259">
        <f t="shared" ca="1" si="762"/>
        <v>19</v>
      </c>
      <c r="CY342" s="259" t="str">
        <f t="shared" ca="1" si="775"/>
        <v>MASTRO</v>
      </c>
      <c r="CZ342" s="259" t="e">
        <f t="shared" ca="1" si="764"/>
        <v>#N/A</v>
      </c>
      <c r="DA342" s="259" t="str">
        <f t="shared" ca="1" si="769"/>
        <v/>
      </c>
      <c r="DB342" s="259" t="str">
        <f t="shared" ca="1" si="765"/>
        <v/>
      </c>
      <c r="DC342" s="259" t="str">
        <f t="shared" ca="1" si="766"/>
        <v/>
      </c>
      <c r="DD342" s="259" t="str">
        <f t="shared" ca="1" si="767"/>
        <v/>
      </c>
      <c r="DE342" s="259" t="str">
        <f t="shared" ca="1" si="768"/>
        <v/>
      </c>
      <c r="DF342" s="259">
        <f ca="1">IF(AND(CX342=$DE$2,$DF$2&lt;&gt;0),0,IF(AND(DB342&lt;&gt;"",OR(DB341&lt;&gt;"",DB343&lt;&gt;"")),MAX($DF$2:DF341)+1,0))</f>
        <v>0</v>
      </c>
      <c r="DG342" s="259" t="str">
        <f>IF(IF(LIBRO_GIORNALE!E250="","",IFERROR(INDEX(PIANO_DEI_CONTI,MATCH(BB342,DENOMINAZIONE,0),1),0))=0,"",IF(LIBRO_GIORNALE!E250="","",IFERROR(INDEX(PIANO_DEI_CONTI,MATCH(BB342,DENOMINAZIONE,0),1),0)))</f>
        <v/>
      </c>
      <c r="EC342" s="259">
        <f>IF(IF(DG342&lt;&gt;"",REPLACE(DG342,3,1,""),0)&lt;&gt;0,MAX(EC$2:EC341)+1,0)</f>
        <v>0</v>
      </c>
      <c r="ED342" s="259">
        <f t="shared" ca="1" si="734"/>
        <v>0</v>
      </c>
      <c r="EL342" s="259">
        <f t="shared" si="742"/>
        <v>340</v>
      </c>
      <c r="EM342" s="259">
        <f ca="1">IF(AND(BA342&gt;0,BA342&lt;=$EM$1),MAX($EM$2:EM341)+1,0)</f>
        <v>0</v>
      </c>
      <c r="EN342" s="259">
        <f t="shared" ca="1" si="743"/>
        <v>342</v>
      </c>
      <c r="EP342" s="259" t="str">
        <f t="shared" ca="1" si="735"/>
        <v/>
      </c>
      <c r="EQ342" s="259">
        <f t="shared" ca="1" si="736"/>
        <v>0</v>
      </c>
      <c r="ER342" s="259">
        <f ca="1">IF(ISNA(EQ342),MAX(ER$2:ER341)+1,0)</f>
        <v>0</v>
      </c>
      <c r="ES342" s="259" t="str">
        <f t="shared" ca="1" si="744"/>
        <v/>
      </c>
      <c r="ET342" s="259" t="str">
        <f ca="1">IFERROR(UPPER(INDEX($ER$3:$ES$500,MATCH(ROWS(ET$3:ET342),$ER$3:$ER$500,0),2)),"")</f>
        <v/>
      </c>
      <c r="EW342" s="259">
        <f t="shared" ca="1" si="714"/>
        <v>1</v>
      </c>
      <c r="EX342" s="259">
        <v>240</v>
      </c>
      <c r="EY342" s="259">
        <f t="shared" ca="1" si="715"/>
        <v>0</v>
      </c>
      <c r="EZ342" s="259">
        <f t="shared" ca="1" si="716"/>
        <v>0</v>
      </c>
      <c r="FA342" s="259">
        <f t="shared" ca="1" si="717"/>
        <v>0</v>
      </c>
      <c r="FB342" s="259">
        <f t="shared" ca="1" si="718"/>
        <v>0</v>
      </c>
      <c r="FC342" s="259">
        <f t="shared" ca="1" si="719"/>
        <v>0</v>
      </c>
      <c r="FD342" s="259">
        <f t="shared" ca="1" si="737"/>
        <v>0</v>
      </c>
      <c r="FE342" s="259" t="str">
        <f t="shared" ca="1" si="738"/>
        <v/>
      </c>
      <c r="FF342" s="259" t="str">
        <f t="shared" ca="1" si="720"/>
        <v/>
      </c>
      <c r="FM342" s="259">
        <f t="shared" si="739"/>
        <v>0</v>
      </c>
      <c r="FN342" s="259">
        <f>IF(FM342&lt;0,MAX($FN$2:FN341)+1,0)</f>
        <v>0</v>
      </c>
      <c r="FO342" s="259" t="str">
        <f t="shared" si="745"/>
        <v/>
      </c>
      <c r="FP342" s="259" t="str">
        <f ca="1">IFERROR(INDEX($FN$3:$FO$400,MATCH(ROWS($FP$3:FP342),$FN$3:$FN$400,0),2),"")</f>
        <v/>
      </c>
      <c r="FQ342" s="259" t="str">
        <f>IF(AE342="SE AVERE",MAX($FQ$2:FQ341)+1,"")</f>
        <v/>
      </c>
      <c r="FR342" s="259" t="str">
        <f>IF(AE342="SE DARE",MAX($FR$2:FR341)+1,"")</f>
        <v/>
      </c>
      <c r="FS342" s="259" t="str">
        <f ca="1">IF(AND(AE342="SP DARE",AA342&lt;&gt;$FS$1,AA342&lt;&gt;$FT$1),MAX($FS$2:FS341)+1,IF(AND(GQ342="SP DARE",AA342&lt;&gt;$FS$1,AA342&lt;&gt;$FT$1),MAX($FS$2:FS341)+1,""))</f>
        <v/>
      </c>
      <c r="FT342" s="259" t="str">
        <f ca="1">IF(AND(AE342="SP AVERE",AA342&lt;&gt;$FU$1),MAX($FT$2:FT341)+1,IF(AND(GQ342="SP AVERE",AA342&lt;&gt;$FU$1),MAX($FT$2:FT341)+1,""))</f>
        <v/>
      </c>
      <c r="FU342" s="259">
        <f t="shared" ca="1" si="746"/>
        <v>0</v>
      </c>
      <c r="FV342" s="259">
        <f t="shared" si="747"/>
        <v>0</v>
      </c>
      <c r="FW342" s="259">
        <f ca="1">IFERROR(INDEX($FU$3:$FV$500,MATCH(ROWS($FW$3:FW342),$FU$3:$FU$500,0),2),0)</f>
        <v>0</v>
      </c>
      <c r="FX342" s="259">
        <f t="shared" ca="1" si="748"/>
        <v>0</v>
      </c>
      <c r="FY342" s="259">
        <f t="shared" ca="1" si="749"/>
        <v>0</v>
      </c>
      <c r="FZ342" s="259">
        <f ca="1">IF(FY342&gt;0,MAX($FZ$2:FZ341)+1,0)</f>
        <v>0</v>
      </c>
      <c r="GA342" s="259">
        <f ca="1">IFERROR(INDEX($FY$3:$FZ$500,MATCH(ROWS($GA$3:GA342),$FZ$3:$FZ$500,0),1),0)</f>
        <v>0</v>
      </c>
      <c r="GC342" s="259">
        <f t="shared" ca="1" si="750"/>
        <v>0</v>
      </c>
      <c r="GD342" s="259">
        <f t="shared" ca="1" si="751"/>
        <v>0</v>
      </c>
      <c r="GG342" s="259">
        <f t="shared" ca="1" si="752"/>
        <v>0</v>
      </c>
      <c r="GH342" s="259">
        <f t="shared" ca="1" si="753"/>
        <v>0</v>
      </c>
      <c r="GI342" s="259">
        <f t="shared" ca="1" si="754"/>
        <v>0</v>
      </c>
      <c r="GJ342" s="259">
        <f t="shared" ca="1" si="755"/>
        <v>0</v>
      </c>
      <c r="GK342" s="259">
        <f t="shared" ca="1" si="756"/>
        <v>0</v>
      </c>
      <c r="GL342" s="259">
        <f t="shared" ca="1" si="756"/>
        <v>0</v>
      </c>
      <c r="GM342" s="259">
        <f ca="1">IF(OR(GK342&gt;0,GL342&gt;0),MAX($GM$2:GM341)+1,0)</f>
        <v>0</v>
      </c>
      <c r="GN342" s="259" t="str">
        <f ca="1">IFERROR(INDEX($GD$3:$GM$400,MATCH(ROWS($GN$3:GN342),$GM$3:$GM$400,0),1),"")</f>
        <v/>
      </c>
      <c r="GO342" s="259" t="str">
        <f ca="1">IFERROR(INDEX($GD$3:$GM$400,MATCH(ROWS($GO$3:GO342),$GM$3:$GM$400,0),8),"")</f>
        <v/>
      </c>
      <c r="GP342" s="259" t="str">
        <f ca="1">IFERROR(INDEX($GD$3:$GM$400,MATCH(ROWS($GP$3:GP342),$GM$3:$GM$400,0),9),"")</f>
        <v/>
      </c>
      <c r="GQ342" s="259">
        <f t="shared" ca="1" si="740"/>
        <v>0</v>
      </c>
      <c r="GR342" s="259">
        <f t="shared" ca="1" si="757"/>
        <v>0</v>
      </c>
      <c r="GS342" s="259" t="str">
        <f t="shared" ca="1" si="758"/>
        <v/>
      </c>
      <c r="GT342" s="259" t="str">
        <f ca="1">IFERROR(INDEX($GD$3:$GS$400,MATCH(ROWS($GT$3:GT342),$GM$3:$GM$400,0),16),"")</f>
        <v/>
      </c>
      <c r="GU342" s="259">
        <f ca="1">IF(GQ342&lt;&gt;0,MAX($GU$2:$GU341)+1,0)</f>
        <v>0</v>
      </c>
      <c r="GV342" s="259">
        <f t="shared" ca="1" si="759"/>
        <v>0</v>
      </c>
      <c r="GW342" s="259" t="str">
        <f ca="1">IF(AND(IFERROR(INDEX($GU$3:$GV$400,MATCH(ROWS($GW$3:GW342),$GU$3:$GU$400,0),2),"")&lt;&gt;"",GW343&lt;&gt;""),CONCATENATE(IFERROR(INDEX($GU$3:$GV$400,MATCH(ROWS($GW$3:GW342),$GU$3:$GU$400,0),2),"")," - "),IFERROR(INDEX($GU$3:$GV$400,MATCH(ROWS($GW$3:GW342),$GU$3:$GU$400,0),2),""))</f>
        <v/>
      </c>
      <c r="GX342" s="259">
        <f ca="1">IF(OR(GN342="IVA NS/CREDITO",GN342="IVA NS/DEBITO",GN342="IVA C/ACCONTO",GN342="IMPOSTE C/ACCONTO"),MAX($GX$2:GX341)+1,0)</f>
        <v>0</v>
      </c>
      <c r="GY342" s="259" t="str">
        <f ca="1">IF(AND(IFERROR(INDEX($GN$3:$GX$200,MATCH(ROWS($GY$3:GY342),$GX$3:$GX$200,0),1),"")&lt;&gt;"",GY343&lt;&gt;""),CONCATENATE(IFERROR(INDEX($GN$3:$GX$200,MATCH(ROWS($GY$3:GY342),$GX$3:$GX$200,0),1),"")," - "),IFERROR(INDEX($GN$3:$GX$200,MATCH(ROWS($GY$3:GY342),$GX$3:$GX$200,0),1),""))</f>
        <v/>
      </c>
      <c r="JA342" s="259" t="str">
        <f t="shared" ca="1" si="760"/>
        <v/>
      </c>
      <c r="JB342" s="259">
        <f t="shared" ca="1" si="741"/>
        <v>0</v>
      </c>
      <c r="JC342" s="259">
        <f t="shared" ca="1" si="721"/>
        <v>0</v>
      </c>
      <c r="JD342" s="259">
        <f t="shared" ca="1" si="722"/>
        <v>0</v>
      </c>
      <c r="JM342" s="259">
        <f t="shared" ca="1" si="723"/>
        <v>0</v>
      </c>
    </row>
    <row r="343" spans="52:273">
      <c r="AZ343" s="259" t="str">
        <f t="shared" ca="1" si="770"/>
        <v/>
      </c>
      <c r="BA343" s="259">
        <f t="shared" ca="1" si="713"/>
        <v>0</v>
      </c>
      <c r="BB343" s="259">
        <f t="shared" ca="1" si="771"/>
        <v>0</v>
      </c>
      <c r="BC343" s="259">
        <f t="shared" ca="1" si="772"/>
        <v>0</v>
      </c>
      <c r="BD343" s="259">
        <f t="shared" ca="1" si="773"/>
        <v>0</v>
      </c>
      <c r="BE343" s="259">
        <f t="shared" ca="1" si="774"/>
        <v>0</v>
      </c>
      <c r="BQ343" s="259" t="str">
        <f ca="1">IFERROR(INDEX($BN$3:$BO$200,MATCH(ROWS(BQ$3:BQ343),$BP$3:$BP$220,0),1),"")</f>
        <v/>
      </c>
      <c r="CX343" s="259">
        <f t="shared" ca="1" si="762"/>
        <v>19</v>
      </c>
      <c r="CY343" s="259" t="str">
        <f t="shared" ca="1" si="775"/>
        <v>MASTRO</v>
      </c>
      <c r="CZ343" s="259" t="e">
        <f t="shared" ca="1" si="764"/>
        <v>#N/A</v>
      </c>
      <c r="DA343" s="259" t="str">
        <f t="shared" ca="1" si="769"/>
        <v/>
      </c>
      <c r="DB343" s="259" t="str">
        <f t="shared" ca="1" si="765"/>
        <v/>
      </c>
      <c r="DC343" s="259" t="str">
        <f t="shared" ca="1" si="766"/>
        <v/>
      </c>
      <c r="DD343" s="259" t="str">
        <f t="shared" ca="1" si="767"/>
        <v/>
      </c>
      <c r="DE343" s="259" t="str">
        <f t="shared" ca="1" si="768"/>
        <v/>
      </c>
      <c r="DF343" s="259">
        <f ca="1">IF(AND(CX343=$DE$2,$DF$2&lt;&gt;0),0,IF(AND(DB343&lt;&gt;"",OR(DB342&lt;&gt;"",DB344&lt;&gt;"")),MAX($DF$2:DF342)+1,0))</f>
        <v>0</v>
      </c>
      <c r="DG343" s="259" t="str">
        <f>IF(IF(LIBRO_GIORNALE!E251="","",IFERROR(INDEX(PIANO_DEI_CONTI,MATCH(BB343,DENOMINAZIONE,0),1),0))=0,"",IF(LIBRO_GIORNALE!E251="","",IFERROR(INDEX(PIANO_DEI_CONTI,MATCH(BB343,DENOMINAZIONE,0),1),0)))</f>
        <v/>
      </c>
      <c r="EC343" s="259">
        <f>IF(IF(DG343&lt;&gt;"",REPLACE(DG343,3,1,""),0)&lt;&gt;0,MAX(EC$2:EC342)+1,0)</f>
        <v>0</v>
      </c>
      <c r="ED343" s="259">
        <f t="shared" ca="1" si="734"/>
        <v>0</v>
      </c>
      <c r="EL343" s="259">
        <f t="shared" si="742"/>
        <v>341</v>
      </c>
      <c r="EM343" s="259">
        <f ca="1">IF(AND(BA343&gt;0,BA343&lt;=$EM$1),MAX($EM$2:EM342)+1,0)</f>
        <v>0</v>
      </c>
      <c r="EN343" s="259">
        <f t="shared" ca="1" si="743"/>
        <v>343</v>
      </c>
      <c r="EP343" s="259" t="str">
        <f t="shared" ca="1" si="735"/>
        <v/>
      </c>
      <c r="EQ343" s="259">
        <f t="shared" ca="1" si="736"/>
        <v>0</v>
      </c>
      <c r="ER343" s="259">
        <f ca="1">IF(ISNA(EQ343),MAX(ER$2:ER342)+1,0)</f>
        <v>0</v>
      </c>
      <c r="ES343" s="259" t="str">
        <f t="shared" ca="1" si="744"/>
        <v/>
      </c>
      <c r="ET343" s="259" t="str">
        <f ca="1">IFERROR(UPPER(INDEX($ER$3:$ES$500,MATCH(ROWS(ET$3:ET343),$ER$3:$ER$500,0),2)),"")</f>
        <v/>
      </c>
      <c r="EW343" s="259">
        <f t="shared" ca="1" si="714"/>
        <v>1</v>
      </c>
      <c r="EX343" s="259">
        <v>241</v>
      </c>
      <c r="EY343" s="259">
        <f t="shared" ca="1" si="715"/>
        <v>0</v>
      </c>
      <c r="EZ343" s="259">
        <f t="shared" ca="1" si="716"/>
        <v>0</v>
      </c>
      <c r="FA343" s="259">
        <f t="shared" ca="1" si="717"/>
        <v>0</v>
      </c>
      <c r="FB343" s="259">
        <f t="shared" ca="1" si="718"/>
        <v>0</v>
      </c>
      <c r="FC343" s="259">
        <f t="shared" ca="1" si="719"/>
        <v>0</v>
      </c>
      <c r="FD343" s="259">
        <f t="shared" ca="1" si="737"/>
        <v>0</v>
      </c>
      <c r="FE343" s="259" t="str">
        <f t="shared" ca="1" si="738"/>
        <v/>
      </c>
      <c r="FF343" s="259" t="str">
        <f t="shared" ca="1" si="720"/>
        <v/>
      </c>
      <c r="FM343" s="259">
        <f t="shared" si="739"/>
        <v>0</v>
      </c>
      <c r="FN343" s="259">
        <f>IF(FM343&lt;0,MAX($FN$2:FN342)+1,0)</f>
        <v>0</v>
      </c>
      <c r="FO343" s="259" t="str">
        <f t="shared" si="745"/>
        <v/>
      </c>
      <c r="FP343" s="259" t="str">
        <f ca="1">IFERROR(INDEX($FN$3:$FO$400,MATCH(ROWS($FP$3:FP343),$FN$3:$FN$400,0),2),"")</f>
        <v/>
      </c>
      <c r="FQ343" s="259" t="str">
        <f>IF(AE343="SE AVERE",MAX($FQ$2:FQ342)+1,"")</f>
        <v/>
      </c>
      <c r="FR343" s="259" t="str">
        <f>IF(AE343="SE DARE",MAX($FR$2:FR342)+1,"")</f>
        <v/>
      </c>
      <c r="FS343" s="259" t="str">
        <f ca="1">IF(AND(AE343="SP DARE",AA343&lt;&gt;$FS$1,AA343&lt;&gt;$FT$1),MAX($FS$2:FS342)+1,IF(AND(GQ343="SP DARE",AA343&lt;&gt;$FS$1,AA343&lt;&gt;$FT$1),MAX($FS$2:FS342)+1,""))</f>
        <v/>
      </c>
      <c r="FT343" s="259" t="str">
        <f ca="1">IF(AND(AE343="SP AVERE",AA343&lt;&gt;$FU$1),MAX($FT$2:FT342)+1,IF(AND(GQ343="SP AVERE",AA343&lt;&gt;$FU$1),MAX($FT$2:FT342)+1,""))</f>
        <v/>
      </c>
      <c r="FU343" s="259">
        <f t="shared" ca="1" si="746"/>
        <v>0</v>
      </c>
      <c r="FV343" s="259">
        <f t="shared" si="747"/>
        <v>0</v>
      </c>
      <c r="FW343" s="259">
        <f ca="1">IFERROR(INDEX($FU$3:$FV$500,MATCH(ROWS($FW$3:FW343),$FU$3:$FU$500,0),2),0)</f>
        <v>0</v>
      </c>
      <c r="FX343" s="259">
        <f t="shared" ca="1" si="748"/>
        <v>0</v>
      </c>
      <c r="FY343" s="259">
        <f t="shared" ca="1" si="749"/>
        <v>0</v>
      </c>
      <c r="FZ343" s="259">
        <f ca="1">IF(FY343&gt;0,MAX($FZ$2:FZ342)+1,0)</f>
        <v>0</v>
      </c>
      <c r="GA343" s="259">
        <f ca="1">IFERROR(INDEX($FY$3:$FZ$500,MATCH(ROWS($GA$3:GA343),$FZ$3:$FZ$500,0),1),0)</f>
        <v>0</v>
      </c>
      <c r="GC343" s="259">
        <f t="shared" ca="1" si="750"/>
        <v>0</v>
      </c>
      <c r="GD343" s="259">
        <f t="shared" ca="1" si="751"/>
        <v>0</v>
      </c>
      <c r="GG343" s="259">
        <f t="shared" ca="1" si="752"/>
        <v>0</v>
      </c>
      <c r="GH343" s="259">
        <f t="shared" ca="1" si="753"/>
        <v>0</v>
      </c>
      <c r="GI343" s="259">
        <f t="shared" ca="1" si="754"/>
        <v>0</v>
      </c>
      <c r="GJ343" s="259">
        <f t="shared" ca="1" si="755"/>
        <v>0</v>
      </c>
      <c r="GK343" s="259">
        <f t="shared" ca="1" si="756"/>
        <v>0</v>
      </c>
      <c r="GL343" s="259">
        <f t="shared" ca="1" si="756"/>
        <v>0</v>
      </c>
      <c r="GM343" s="259">
        <f ca="1">IF(OR(GK343&gt;0,GL343&gt;0),MAX($GM$2:GM342)+1,0)</f>
        <v>0</v>
      </c>
      <c r="GN343" s="259" t="str">
        <f ca="1">IFERROR(INDEX($GD$3:$GM$400,MATCH(ROWS($GN$3:GN343),$GM$3:$GM$400,0),1),"")</f>
        <v/>
      </c>
      <c r="GO343" s="259" t="str">
        <f ca="1">IFERROR(INDEX($GD$3:$GM$400,MATCH(ROWS($GO$3:GO343),$GM$3:$GM$400,0),8),"")</f>
        <v/>
      </c>
      <c r="GP343" s="259" t="str">
        <f ca="1">IFERROR(INDEX($GD$3:$GM$400,MATCH(ROWS($GP$3:GP343),$GM$3:$GM$400,0),9),"")</f>
        <v/>
      </c>
      <c r="GQ343" s="259">
        <f t="shared" ca="1" si="740"/>
        <v>0</v>
      </c>
      <c r="GR343" s="259">
        <f t="shared" ca="1" si="757"/>
        <v>0</v>
      </c>
      <c r="GS343" s="259" t="str">
        <f t="shared" ca="1" si="758"/>
        <v/>
      </c>
      <c r="GT343" s="259" t="str">
        <f ca="1">IFERROR(INDEX($GD$3:$GS$400,MATCH(ROWS($GT$3:GT343),$GM$3:$GM$400,0),16),"")</f>
        <v/>
      </c>
      <c r="GU343" s="259">
        <f ca="1">IF(GQ343&lt;&gt;0,MAX($GU$2:$GU342)+1,0)</f>
        <v>0</v>
      </c>
      <c r="GV343" s="259">
        <f t="shared" ca="1" si="759"/>
        <v>0</v>
      </c>
      <c r="GW343" s="259" t="str">
        <f ca="1">IF(AND(IFERROR(INDEX($GU$3:$GV$400,MATCH(ROWS($GW$3:GW343),$GU$3:$GU$400,0),2),"")&lt;&gt;"",GW344&lt;&gt;""),CONCATENATE(IFERROR(INDEX($GU$3:$GV$400,MATCH(ROWS($GW$3:GW343),$GU$3:$GU$400,0),2),"")," - "),IFERROR(INDEX($GU$3:$GV$400,MATCH(ROWS($GW$3:GW343),$GU$3:$GU$400,0),2),""))</f>
        <v/>
      </c>
      <c r="GX343" s="259">
        <f ca="1">IF(OR(GN343="IVA NS/CREDITO",GN343="IVA NS/DEBITO",GN343="IVA C/ACCONTO",GN343="IMPOSTE C/ACCONTO"),MAX($GX$2:GX342)+1,0)</f>
        <v>0</v>
      </c>
      <c r="GY343" s="259" t="str">
        <f ca="1">IF(AND(IFERROR(INDEX($GN$3:$GX$200,MATCH(ROWS($GY$3:GY343),$GX$3:$GX$200,0),1),"")&lt;&gt;"",GY344&lt;&gt;""),CONCATENATE(IFERROR(INDEX($GN$3:$GX$200,MATCH(ROWS($GY$3:GY343),$GX$3:$GX$200,0),1),"")," - "),IFERROR(INDEX($GN$3:$GX$200,MATCH(ROWS($GY$3:GY343),$GX$3:$GX$200,0),1),""))</f>
        <v/>
      </c>
      <c r="JA343" s="259" t="str">
        <f t="shared" ca="1" si="760"/>
        <v/>
      </c>
      <c r="JB343" s="259">
        <f t="shared" ca="1" si="741"/>
        <v>0</v>
      </c>
      <c r="JC343" s="259">
        <f t="shared" ca="1" si="721"/>
        <v>0</v>
      </c>
      <c r="JD343" s="259">
        <f t="shared" ca="1" si="722"/>
        <v>0</v>
      </c>
      <c r="JM343" s="259">
        <f t="shared" ca="1" si="723"/>
        <v>0</v>
      </c>
    </row>
    <row r="344" spans="52:273">
      <c r="AZ344" s="259" t="str">
        <f t="shared" ca="1" si="770"/>
        <v/>
      </c>
      <c r="BA344" s="259">
        <f t="shared" ca="1" si="713"/>
        <v>0</v>
      </c>
      <c r="BB344" s="259">
        <f t="shared" ca="1" si="771"/>
        <v>0</v>
      </c>
      <c r="BC344" s="259">
        <f t="shared" ca="1" si="772"/>
        <v>0</v>
      </c>
      <c r="BD344" s="259">
        <f t="shared" ca="1" si="773"/>
        <v>0</v>
      </c>
      <c r="BE344" s="259">
        <f t="shared" ca="1" si="774"/>
        <v>0</v>
      </c>
      <c r="BQ344" s="259" t="str">
        <f ca="1">IFERROR(INDEX($BN$3:$BO$200,MATCH(ROWS(BQ$3:BQ344),$BP$3:$BP$220,0),1),"")</f>
        <v/>
      </c>
      <c r="CX344" s="259" t="str">
        <f>IFERROR(IF(CX326+1=1,"",(CX326+1)),"")</f>
        <v/>
      </c>
      <c r="CY344" s="259" t="str">
        <f t="shared" ca="1" si="775"/>
        <v>MASTRO</v>
      </c>
      <c r="DB344" s="259" t="str">
        <f t="shared" ref="DB344" ca="1" si="776">CY344</f>
        <v>MASTRO</v>
      </c>
      <c r="DF344" s="259">
        <f ca="1">IF(AND(CX344=$DE$2,$DF$2&lt;&gt;0),0,IF(AND(DB344&lt;&gt;"",OR(DB343&lt;&gt;"",DB345&lt;&gt;"")),MAX($DF$2:DF343)+1,0))</f>
        <v>0</v>
      </c>
      <c r="DG344" s="259" t="str">
        <f>IF(IF(LIBRO_GIORNALE!E252="","",IFERROR(INDEX(PIANO_DEI_CONTI,MATCH(BB344,DENOMINAZIONE,0),1),0))=0,"",IF(LIBRO_GIORNALE!E252="","",IFERROR(INDEX(PIANO_DEI_CONTI,MATCH(BB344,DENOMINAZIONE,0),1),0)))</f>
        <v/>
      </c>
      <c r="EC344" s="259">
        <f>IF(IF(DG344&lt;&gt;"",REPLACE(DG344,3,1,""),0)&lt;&gt;0,MAX(EC$2:EC343)+1,0)</f>
        <v>0</v>
      </c>
      <c r="ED344" s="259">
        <f t="shared" ca="1" si="734"/>
        <v>0</v>
      </c>
      <c r="EL344" s="259">
        <f t="shared" si="742"/>
        <v>342</v>
      </c>
      <c r="EM344" s="259">
        <f ca="1">IF(AND(BA344&gt;0,BA344&lt;=$EM$1),MAX($EM$2:EM343)+1,0)</f>
        <v>0</v>
      </c>
      <c r="EN344" s="259">
        <f t="shared" ca="1" si="743"/>
        <v>344</v>
      </c>
      <c r="EP344" s="259" t="str">
        <f t="shared" ca="1" si="735"/>
        <v/>
      </c>
      <c r="EQ344" s="259">
        <f t="shared" ca="1" si="736"/>
        <v>0</v>
      </c>
      <c r="ER344" s="259">
        <f ca="1">IF(ISNA(EQ344),MAX(ER$2:ER343)+1,0)</f>
        <v>0</v>
      </c>
      <c r="ES344" s="259" t="str">
        <f t="shared" ca="1" si="744"/>
        <v/>
      </c>
      <c r="ET344" s="259" t="str">
        <f ca="1">IFERROR(UPPER(INDEX($ER$3:$ES$500,MATCH(ROWS(ET$3:ET344),$ER$3:$ER$500,0),2)),"")</f>
        <v/>
      </c>
      <c r="EW344" s="259">
        <f t="shared" ca="1" si="714"/>
        <v>1</v>
      </c>
      <c r="EX344" s="259">
        <v>242</v>
      </c>
      <c r="EY344" s="259">
        <f t="shared" ca="1" si="715"/>
        <v>0</v>
      </c>
      <c r="EZ344" s="259">
        <f t="shared" ca="1" si="716"/>
        <v>0</v>
      </c>
      <c r="FA344" s="259">
        <f t="shared" ca="1" si="717"/>
        <v>0</v>
      </c>
      <c r="FB344" s="259">
        <f t="shared" ca="1" si="718"/>
        <v>0</v>
      </c>
      <c r="FC344" s="259">
        <f t="shared" ca="1" si="719"/>
        <v>0</v>
      </c>
      <c r="FD344" s="259">
        <f t="shared" ca="1" si="737"/>
        <v>0</v>
      </c>
      <c r="FE344" s="259" t="str">
        <f t="shared" ca="1" si="738"/>
        <v/>
      </c>
      <c r="FF344" s="259" t="str">
        <f t="shared" ca="1" si="720"/>
        <v/>
      </c>
      <c r="FM344" s="259">
        <f t="shared" si="739"/>
        <v>0</v>
      </c>
      <c r="FN344" s="259">
        <f>IF(FM344&lt;0,MAX($FN$2:FN343)+1,0)</f>
        <v>0</v>
      </c>
      <c r="FO344" s="259" t="str">
        <f t="shared" si="745"/>
        <v/>
      </c>
      <c r="FP344" s="259" t="str">
        <f ca="1">IFERROR(INDEX($FN$3:$FO$400,MATCH(ROWS($FP$3:FP344),$FN$3:$FN$400,0),2),"")</f>
        <v/>
      </c>
      <c r="FQ344" s="259" t="str">
        <f>IF(AE344="SE AVERE",MAX($FQ$2:FQ343)+1,"")</f>
        <v/>
      </c>
      <c r="FR344" s="259" t="str">
        <f>IF(AE344="SE DARE",MAX($FR$2:FR343)+1,"")</f>
        <v/>
      </c>
      <c r="FS344" s="259" t="str">
        <f ca="1">IF(AND(AE344="SP DARE",AA344&lt;&gt;$FS$1,AA344&lt;&gt;$FT$1),MAX($FS$2:FS343)+1,IF(AND(GQ344="SP DARE",AA344&lt;&gt;$FS$1,AA344&lt;&gt;$FT$1),MAX($FS$2:FS343)+1,""))</f>
        <v/>
      </c>
      <c r="FT344" s="259" t="str">
        <f ca="1">IF(AND(AE344="SP AVERE",AA344&lt;&gt;$FU$1),MAX($FT$2:FT343)+1,IF(AND(GQ344="SP AVERE",AA344&lt;&gt;$FU$1),MAX($FT$2:FT343)+1,""))</f>
        <v/>
      </c>
      <c r="FU344" s="259">
        <f t="shared" ca="1" si="746"/>
        <v>0</v>
      </c>
      <c r="FV344" s="259">
        <f t="shared" si="747"/>
        <v>0</v>
      </c>
      <c r="FW344" s="259">
        <f ca="1">IFERROR(INDEX($FU$3:$FV$500,MATCH(ROWS($FW$3:FW344),$FU$3:$FU$500,0),2),0)</f>
        <v>0</v>
      </c>
      <c r="FX344" s="259">
        <f t="shared" ca="1" si="748"/>
        <v>0</v>
      </c>
      <c r="FY344" s="259">
        <f t="shared" ca="1" si="749"/>
        <v>0</v>
      </c>
      <c r="FZ344" s="259">
        <f ca="1">IF(FY344&gt;0,MAX($FZ$2:FZ343)+1,0)</f>
        <v>0</v>
      </c>
      <c r="GA344" s="259">
        <f ca="1">IFERROR(INDEX($FY$3:$FZ$500,MATCH(ROWS($GA$3:GA344),$FZ$3:$FZ$500,0),1),0)</f>
        <v>0</v>
      </c>
      <c r="GC344" s="259">
        <f t="shared" ca="1" si="750"/>
        <v>0</v>
      </c>
      <c r="GD344" s="259">
        <f t="shared" ca="1" si="751"/>
        <v>0</v>
      </c>
      <c r="GG344" s="259">
        <f t="shared" ca="1" si="752"/>
        <v>0</v>
      </c>
      <c r="GH344" s="259">
        <f t="shared" ca="1" si="753"/>
        <v>0</v>
      </c>
      <c r="GI344" s="259">
        <f t="shared" ca="1" si="754"/>
        <v>0</v>
      </c>
      <c r="GJ344" s="259">
        <f t="shared" ca="1" si="755"/>
        <v>0</v>
      </c>
      <c r="GK344" s="259">
        <f t="shared" ca="1" si="756"/>
        <v>0</v>
      </c>
      <c r="GL344" s="259">
        <f t="shared" ca="1" si="756"/>
        <v>0</v>
      </c>
      <c r="GM344" s="259">
        <f ca="1">IF(OR(GK344&gt;0,GL344&gt;0),MAX($GM$2:GM343)+1,0)</f>
        <v>0</v>
      </c>
      <c r="GN344" s="259" t="str">
        <f ca="1">IFERROR(INDEX($GD$3:$GM$400,MATCH(ROWS($GN$3:GN344),$GM$3:$GM$400,0),1),"")</f>
        <v/>
      </c>
      <c r="GO344" s="259" t="str">
        <f ca="1">IFERROR(INDEX($GD$3:$GM$400,MATCH(ROWS($GO$3:GO344),$GM$3:$GM$400,0),8),"")</f>
        <v/>
      </c>
      <c r="GP344" s="259" t="str">
        <f ca="1">IFERROR(INDEX($GD$3:$GM$400,MATCH(ROWS($GP$3:GP344),$GM$3:$GM$400,0),9),"")</f>
        <v/>
      </c>
      <c r="GQ344" s="259">
        <f t="shared" ca="1" si="740"/>
        <v>0</v>
      </c>
      <c r="GR344" s="259">
        <f t="shared" ca="1" si="757"/>
        <v>0</v>
      </c>
      <c r="GS344" s="259" t="str">
        <f t="shared" ca="1" si="758"/>
        <v/>
      </c>
      <c r="GT344" s="259" t="str">
        <f ca="1">IFERROR(INDEX($GD$3:$GS$400,MATCH(ROWS($GT$3:GT344),$GM$3:$GM$400,0),16),"")</f>
        <v/>
      </c>
      <c r="GU344" s="259">
        <f ca="1">IF(GQ344&lt;&gt;0,MAX($GU$2:$GU343)+1,0)</f>
        <v>0</v>
      </c>
      <c r="GV344" s="259">
        <f t="shared" ca="1" si="759"/>
        <v>0</v>
      </c>
      <c r="GW344" s="259" t="str">
        <f ca="1">IF(AND(IFERROR(INDEX($GU$3:$GV$400,MATCH(ROWS($GW$3:GW344),$GU$3:$GU$400,0),2),"")&lt;&gt;"",GW345&lt;&gt;""),CONCATENATE(IFERROR(INDEX($GU$3:$GV$400,MATCH(ROWS($GW$3:GW344),$GU$3:$GU$400,0),2),"")," - "),IFERROR(INDEX($GU$3:$GV$400,MATCH(ROWS($GW$3:GW344),$GU$3:$GU$400,0),2),""))</f>
        <v/>
      </c>
      <c r="GX344" s="259">
        <f ca="1">IF(OR(GN344="IVA NS/CREDITO",GN344="IVA NS/DEBITO",GN344="IVA C/ACCONTO",GN344="IMPOSTE C/ACCONTO"),MAX($GX$2:GX343)+1,0)</f>
        <v>0</v>
      </c>
      <c r="GY344" s="259" t="str">
        <f ca="1">IF(AND(IFERROR(INDEX($GN$3:$GX$200,MATCH(ROWS($GY$3:GY344),$GX$3:$GX$200,0),1),"")&lt;&gt;"",GY345&lt;&gt;""),CONCATENATE(IFERROR(INDEX($GN$3:$GX$200,MATCH(ROWS($GY$3:GY344),$GX$3:$GX$200,0),1),"")," - "),IFERROR(INDEX($GN$3:$GX$200,MATCH(ROWS($GY$3:GY344),$GX$3:$GX$200,0),1),""))</f>
        <v/>
      </c>
      <c r="JA344" s="259" t="str">
        <f t="shared" ca="1" si="760"/>
        <v/>
      </c>
      <c r="JB344" s="259">
        <f t="shared" ca="1" si="741"/>
        <v>0</v>
      </c>
      <c r="JC344" s="259">
        <f t="shared" ca="1" si="721"/>
        <v>0</v>
      </c>
      <c r="JD344" s="259">
        <f t="shared" ca="1" si="722"/>
        <v>0</v>
      </c>
      <c r="JM344" s="259">
        <f t="shared" ca="1" si="723"/>
        <v>0</v>
      </c>
    </row>
    <row r="345" spans="52:273">
      <c r="AZ345" s="259" t="str">
        <f t="shared" ca="1" si="770"/>
        <v/>
      </c>
      <c r="BA345" s="259">
        <f t="shared" ca="1" si="713"/>
        <v>0</v>
      </c>
      <c r="BB345" s="259">
        <f t="shared" ca="1" si="771"/>
        <v>0</v>
      </c>
      <c r="BC345" s="259">
        <f t="shared" ca="1" si="772"/>
        <v>0</v>
      </c>
      <c r="BD345" s="259">
        <f t="shared" ca="1" si="773"/>
        <v>0</v>
      </c>
      <c r="BE345" s="259">
        <f t="shared" ca="1" si="774"/>
        <v>0</v>
      </c>
      <c r="BQ345" s="259" t="str">
        <f ca="1">IFERROR(INDEX($BN$3:$BO$200,MATCH(ROWS(BQ$3:BQ345),$BP$3:$BP$220,0),1),"")</f>
        <v/>
      </c>
      <c r="CX345" s="259">
        <f ca="1">$EA$22</f>
        <v>20</v>
      </c>
      <c r="CY345" s="259" t="str">
        <f t="shared" ca="1" si="775"/>
        <v>MASTRO</v>
      </c>
      <c r="DA345" s="259" t="str">
        <f ca="1">IF(CY344="MASTRO","Conto n.","")</f>
        <v>Conto n.</v>
      </c>
      <c r="DB345" s="259" t="str">
        <f ca="1">IF(CY345=0,"",INDEX(PIANO_DEI_CONTI,MATCH(DC345,DENOMINAZIONE,0),1))</f>
        <v/>
      </c>
      <c r="DC345" s="259" t="str">
        <f ca="1">IF(OR(CY345=0,CY345="mastro"),"",CY345)</f>
        <v/>
      </c>
      <c r="DD345" s="259" t="str">
        <f ca="1">IF(AND($DA$2=TRUE,OR(INDEX(PIANO_DEI_CONTI,MATCH($DC345,DENOMINAZIONE,0),4)="A",INDEX(PIANO_DEI_CONTI,MATCH($DC345,DENOMINAZIONE,0),4)="D/A"),SUMIFS(AVERE,DENOMINAZIONE_GIORNALE,"="&amp;$DC345)&gt;SUMIFS(DARE,DENOMINAZIONE_GIORNALE,"="&amp;$DC345)),CONCATENATE("s ",FIXED(ABS(SUMIFS(AVERE,DENOMINAZIONE_GIORNALE,"="&amp;$DC345)-SUMIFS(DARE,DENOMINAZIONE_GIORNALE,"="&amp;$DC345)),2)),"")</f>
        <v/>
      </c>
      <c r="DE345" s="259" t="str">
        <f ca="1">IF(AND($DA$2=TRUE,OR(INDEX(PIANO_DEI_CONTI,MATCH($DC345,DENOMINAZIONE,0),4)="D",INDEX(PIANO_DEI_CONTI,MATCH($DC345,DENOMINAZIONE,0),4)="D/A"),SUMIFS(DARE,DENOMINAZIONE_GIORNALE,"="&amp;$DC345)&gt;SUMIFS(AVERE,DENOMINAZIONE_GIORNALE,"="&amp;$DC345)),CONCATENATE("s ",FIXED(ABS(SUMIFS(DARE,DENOMINAZIONE_GIORNALE,"="&amp;$DC345)-SUMIFS(AVERE,DENOMINAZIONE_GIORNALE,"="&amp;$DC345)),2)),"")</f>
        <v/>
      </c>
      <c r="DF345" s="259">
        <f ca="1">IF(AND(CX345=$DE$2,$DF$2&lt;&gt;0),0,IF(AND(DB345&lt;&gt;"",OR(DB344&lt;&gt;"",DB346&lt;&gt;"")),MAX($DF$2:DF344)+1,0))</f>
        <v>0</v>
      </c>
      <c r="DG345" s="259" t="str">
        <f>IF(IF(LIBRO_GIORNALE!E253="","",IFERROR(INDEX(PIANO_DEI_CONTI,MATCH(BB345,DENOMINAZIONE,0),1),0))=0,"",IF(LIBRO_GIORNALE!E253="","",IFERROR(INDEX(PIANO_DEI_CONTI,MATCH(BB345,DENOMINAZIONE,0),1),0)))</f>
        <v/>
      </c>
      <c r="EC345" s="259">
        <f>IF(IF(DG345&lt;&gt;"",REPLACE(DG345,3,1,""),0)&lt;&gt;0,MAX(EC$2:EC344)+1,0)</f>
        <v>0</v>
      </c>
      <c r="ED345" s="259">
        <f t="shared" ca="1" si="734"/>
        <v>0</v>
      </c>
      <c r="EL345" s="259">
        <f t="shared" si="742"/>
        <v>343</v>
      </c>
      <c r="EM345" s="259">
        <f ca="1">IF(AND(BA345&gt;0,BA345&lt;=$EM$1),MAX($EM$2:EM344)+1,0)</f>
        <v>0</v>
      </c>
      <c r="EN345" s="259">
        <f t="shared" ca="1" si="743"/>
        <v>345</v>
      </c>
      <c r="EP345" s="259" t="str">
        <f t="shared" ca="1" si="735"/>
        <v/>
      </c>
      <c r="EQ345" s="259">
        <f t="shared" ca="1" si="736"/>
        <v>0</v>
      </c>
      <c r="ER345" s="259">
        <f ca="1">IF(ISNA(EQ345),MAX(ER$2:ER344)+1,0)</f>
        <v>0</v>
      </c>
      <c r="ES345" s="259" t="str">
        <f t="shared" ca="1" si="744"/>
        <v/>
      </c>
      <c r="ET345" s="259" t="str">
        <f ca="1">IFERROR(UPPER(INDEX($ER$3:$ES$500,MATCH(ROWS(ET$3:ET345),$ER$3:$ER$500,0),2)),"")</f>
        <v/>
      </c>
      <c r="EW345" s="259">
        <f t="shared" ca="1" si="714"/>
        <v>1</v>
      </c>
      <c r="EX345" s="259">
        <v>243</v>
      </c>
      <c r="EY345" s="259">
        <f t="shared" ca="1" si="715"/>
        <v>0</v>
      </c>
      <c r="EZ345" s="259">
        <f t="shared" ca="1" si="716"/>
        <v>0</v>
      </c>
      <c r="FA345" s="259">
        <f t="shared" ca="1" si="717"/>
        <v>0</v>
      </c>
      <c r="FB345" s="259">
        <f t="shared" ca="1" si="718"/>
        <v>0</v>
      </c>
      <c r="FC345" s="259">
        <f t="shared" ca="1" si="719"/>
        <v>0</v>
      </c>
      <c r="FD345" s="259">
        <f t="shared" ca="1" si="737"/>
        <v>0</v>
      </c>
      <c r="FE345" s="259" t="str">
        <f t="shared" ca="1" si="738"/>
        <v/>
      </c>
      <c r="FF345" s="259" t="str">
        <f t="shared" ca="1" si="720"/>
        <v/>
      </c>
      <c r="FM345" s="259">
        <f t="shared" si="739"/>
        <v>0</v>
      </c>
      <c r="FN345" s="259">
        <f>IF(FM345&lt;0,MAX($FN$2:FN344)+1,0)</f>
        <v>0</v>
      </c>
      <c r="FO345" s="259" t="str">
        <f t="shared" si="745"/>
        <v/>
      </c>
      <c r="FP345" s="259" t="str">
        <f ca="1">IFERROR(INDEX($FN$3:$FO$400,MATCH(ROWS($FP$3:FP345),$FN$3:$FN$400,0),2),"")</f>
        <v/>
      </c>
      <c r="FQ345" s="259" t="str">
        <f>IF(AE345="SE AVERE",MAX($FQ$2:FQ344)+1,"")</f>
        <v/>
      </c>
      <c r="FR345" s="259" t="str">
        <f>IF(AE345="SE DARE",MAX($FR$2:FR344)+1,"")</f>
        <v/>
      </c>
      <c r="FS345" s="259" t="str">
        <f ca="1">IF(AND(AE345="SP DARE",AA345&lt;&gt;$FS$1,AA345&lt;&gt;$FT$1),MAX($FS$2:FS344)+1,IF(AND(GQ345="SP DARE",AA345&lt;&gt;$FS$1,AA345&lt;&gt;$FT$1),MAX($FS$2:FS344)+1,""))</f>
        <v/>
      </c>
      <c r="FT345" s="259" t="str">
        <f ca="1">IF(AND(AE345="SP AVERE",AA345&lt;&gt;$FU$1),MAX($FT$2:FT344)+1,IF(AND(GQ345="SP AVERE",AA345&lt;&gt;$FU$1),MAX($FT$2:FT344)+1,""))</f>
        <v/>
      </c>
      <c r="FU345" s="259">
        <f t="shared" ca="1" si="746"/>
        <v>0</v>
      </c>
      <c r="FV345" s="259">
        <f t="shared" si="747"/>
        <v>0</v>
      </c>
      <c r="FW345" s="259">
        <f ca="1">IFERROR(INDEX($FU$3:$FV$500,MATCH(ROWS($FW$3:FW345),$FU$3:$FU$500,0),2),0)</f>
        <v>0</v>
      </c>
      <c r="FX345" s="259">
        <f t="shared" ca="1" si="748"/>
        <v>0</v>
      </c>
      <c r="FY345" s="259">
        <f t="shared" ca="1" si="749"/>
        <v>0</v>
      </c>
      <c r="FZ345" s="259">
        <f ca="1">IF(FY345&gt;0,MAX($FZ$2:FZ344)+1,0)</f>
        <v>0</v>
      </c>
      <c r="GA345" s="259">
        <f ca="1">IFERROR(INDEX($FY$3:$FZ$500,MATCH(ROWS($GA$3:GA345),$FZ$3:$FZ$500,0),1),0)</f>
        <v>0</v>
      </c>
      <c r="GC345" s="259">
        <f t="shared" ca="1" si="750"/>
        <v>0</v>
      </c>
      <c r="GD345" s="259">
        <f t="shared" ca="1" si="751"/>
        <v>0</v>
      </c>
      <c r="GG345" s="259">
        <f t="shared" ca="1" si="752"/>
        <v>0</v>
      </c>
      <c r="GH345" s="259">
        <f t="shared" ca="1" si="753"/>
        <v>0</v>
      </c>
      <c r="GI345" s="259">
        <f t="shared" ca="1" si="754"/>
        <v>0</v>
      </c>
      <c r="GJ345" s="259">
        <f t="shared" ca="1" si="755"/>
        <v>0</v>
      </c>
      <c r="GK345" s="259">
        <f t="shared" ca="1" si="756"/>
        <v>0</v>
      </c>
      <c r="GL345" s="259">
        <f t="shared" ca="1" si="756"/>
        <v>0</v>
      </c>
      <c r="GM345" s="259">
        <f ca="1">IF(OR(GK345&gt;0,GL345&gt;0),MAX($GM$2:GM344)+1,0)</f>
        <v>0</v>
      </c>
      <c r="GN345" s="259" t="str">
        <f ca="1">IFERROR(INDEX($GD$3:$GM$400,MATCH(ROWS($GN$3:GN345),$GM$3:$GM$400,0),1),"")</f>
        <v/>
      </c>
      <c r="GO345" s="259" t="str">
        <f ca="1">IFERROR(INDEX($GD$3:$GM$400,MATCH(ROWS($GO$3:GO345),$GM$3:$GM$400,0),8),"")</f>
        <v/>
      </c>
      <c r="GP345" s="259" t="str">
        <f ca="1">IFERROR(INDEX($GD$3:$GM$400,MATCH(ROWS($GP$3:GP345),$GM$3:$GM$400,0),9),"")</f>
        <v/>
      </c>
      <c r="GQ345" s="259">
        <f t="shared" ca="1" si="740"/>
        <v>0</v>
      </c>
      <c r="GR345" s="259">
        <f t="shared" ca="1" si="757"/>
        <v>0</v>
      </c>
      <c r="GS345" s="259" t="str">
        <f t="shared" ca="1" si="758"/>
        <v/>
      </c>
      <c r="GT345" s="259" t="str">
        <f ca="1">IFERROR(INDEX($GD$3:$GS$400,MATCH(ROWS($GT$3:GT345),$GM$3:$GM$400,0),16),"")</f>
        <v/>
      </c>
      <c r="GU345" s="259">
        <f ca="1">IF(GQ345&lt;&gt;0,MAX($GU$2:$GU344)+1,0)</f>
        <v>0</v>
      </c>
      <c r="GV345" s="259">
        <f t="shared" ca="1" si="759"/>
        <v>0</v>
      </c>
      <c r="GW345" s="259" t="str">
        <f ca="1">IF(AND(IFERROR(INDEX($GU$3:$GV$400,MATCH(ROWS($GW$3:GW345),$GU$3:$GU$400,0),2),"")&lt;&gt;"",GW346&lt;&gt;""),CONCATENATE(IFERROR(INDEX($GU$3:$GV$400,MATCH(ROWS($GW$3:GW345),$GU$3:$GU$400,0),2),"")," - "),IFERROR(INDEX($GU$3:$GV$400,MATCH(ROWS($GW$3:GW345),$GU$3:$GU$400,0),2),""))</f>
        <v/>
      </c>
      <c r="GX345" s="259">
        <f ca="1">IF(OR(GN345="IVA NS/CREDITO",GN345="IVA NS/DEBITO",GN345="IVA C/ACCONTO",GN345="IMPOSTE C/ACCONTO"),MAX($GX$2:GX344)+1,0)</f>
        <v>0</v>
      </c>
      <c r="GY345" s="259" t="str">
        <f ca="1">IF(AND(IFERROR(INDEX($GN$3:$GX$200,MATCH(ROWS($GY$3:GY345),$GX$3:$GX$200,0),1),"")&lt;&gt;"",GY346&lt;&gt;""),CONCATENATE(IFERROR(INDEX($GN$3:$GX$200,MATCH(ROWS($GY$3:GY345),$GX$3:$GX$200,0),1),"")," - "),IFERROR(INDEX($GN$3:$GX$200,MATCH(ROWS($GY$3:GY345),$GX$3:$GX$200,0),1),""))</f>
        <v/>
      </c>
      <c r="JA345" s="259" t="str">
        <f t="shared" ca="1" si="760"/>
        <v/>
      </c>
      <c r="JB345" s="259">
        <f t="shared" ca="1" si="741"/>
        <v>0</v>
      </c>
      <c r="JC345" s="259">
        <f t="shared" ca="1" si="721"/>
        <v>0</v>
      </c>
      <c r="JD345" s="259">
        <f t="shared" ca="1" si="722"/>
        <v>0</v>
      </c>
      <c r="JM345" s="259">
        <f t="shared" ca="1" si="723"/>
        <v>0</v>
      </c>
    </row>
    <row r="346" spans="52:273">
      <c r="AZ346" s="259" t="str">
        <f t="shared" ca="1" si="770"/>
        <v/>
      </c>
      <c r="BA346" s="259">
        <f t="shared" ca="1" si="713"/>
        <v>0</v>
      </c>
      <c r="BB346" s="259">
        <f t="shared" ca="1" si="771"/>
        <v>0</v>
      </c>
      <c r="BC346" s="259">
        <f t="shared" ca="1" si="772"/>
        <v>0</v>
      </c>
      <c r="BD346" s="259">
        <f t="shared" ca="1" si="773"/>
        <v>0</v>
      </c>
      <c r="BE346" s="259">
        <f t="shared" ca="1" si="774"/>
        <v>0</v>
      </c>
      <c r="BQ346" s="259" t="str">
        <f ca="1">IFERROR(INDEX($BN$3:$BO$200,MATCH(ROWS(BQ$3:BQ346),$BP$3:$BP$220,0),1),"")</f>
        <v/>
      </c>
      <c r="CX346" s="259">
        <f t="shared" ref="CX346:CX361" ca="1" si="777">$EA$22</f>
        <v>20</v>
      </c>
      <c r="CY346" s="259" t="str">
        <f t="shared" ca="1" si="775"/>
        <v>MASTRO</v>
      </c>
      <c r="DA346" s="259" t="str">
        <f ca="1">IF(DB345="","","Num. riga")</f>
        <v/>
      </c>
      <c r="DB346" s="259" t="str">
        <f t="shared" ref="DB346" ca="1" si="778">IF(DB345="","","Data")</f>
        <v/>
      </c>
      <c r="DC346" s="259" t="str">
        <f ca="1">IF(DB345="","","Operazioni")</f>
        <v/>
      </c>
      <c r="DD346" s="259" t="str">
        <f ca="1">IF(DB345="","","Dare        ")</f>
        <v/>
      </c>
      <c r="DE346" s="259" t="str">
        <f ca="1">IF(DB345="","","Avere        ")</f>
        <v/>
      </c>
      <c r="DF346" s="259">
        <f ca="1">IF(AND(CX346=$DE$2,$DF$2&lt;&gt;0),0,IF(AND(DB346&lt;&gt;"",OR(DB345&lt;&gt;"",DB347&lt;&gt;"")),MAX($DF$2:DF345)+1,0))</f>
        <v>0</v>
      </c>
      <c r="DG346" s="259" t="str">
        <f>IF(IF(LIBRO_GIORNALE!E254="","",IFERROR(INDEX(PIANO_DEI_CONTI,MATCH(BB346,DENOMINAZIONE,0),1),0))=0,"",IF(LIBRO_GIORNALE!E254="","",IFERROR(INDEX(PIANO_DEI_CONTI,MATCH(BB346,DENOMINAZIONE,0),1),0)))</f>
        <v/>
      </c>
      <c r="EC346" s="259">
        <f>IF(IF(DG346&lt;&gt;"",REPLACE(DG346,3,1,""),0)&lt;&gt;0,MAX(EC$2:EC345)+1,0)</f>
        <v>0</v>
      </c>
      <c r="ED346" s="259">
        <f t="shared" ca="1" si="734"/>
        <v>0</v>
      </c>
      <c r="EL346" s="259">
        <f t="shared" si="742"/>
        <v>344</v>
      </c>
      <c r="EM346" s="259">
        <f ca="1">IF(AND(BA346&gt;0,BA346&lt;=$EM$1),MAX($EM$2:EM345)+1,0)</f>
        <v>0</v>
      </c>
      <c r="EN346" s="259">
        <f t="shared" ca="1" si="743"/>
        <v>346</v>
      </c>
      <c r="EP346" s="259" t="str">
        <f t="shared" ca="1" si="735"/>
        <v/>
      </c>
      <c r="EQ346" s="259">
        <f t="shared" ca="1" si="736"/>
        <v>0</v>
      </c>
      <c r="ER346" s="259">
        <f ca="1">IF(ISNA(EQ346),MAX(ER$2:ER345)+1,0)</f>
        <v>0</v>
      </c>
      <c r="ES346" s="259" t="str">
        <f t="shared" ca="1" si="744"/>
        <v/>
      </c>
      <c r="ET346" s="259" t="str">
        <f ca="1">IFERROR(UPPER(INDEX($ER$3:$ES$500,MATCH(ROWS(ET$3:ET346),$ER$3:$ER$500,0),2)),"")</f>
        <v/>
      </c>
      <c r="EW346" s="259">
        <f t="shared" ca="1" si="714"/>
        <v>1</v>
      </c>
      <c r="EX346" s="259">
        <v>244</v>
      </c>
      <c r="EY346" s="259">
        <f t="shared" ca="1" si="715"/>
        <v>0</v>
      </c>
      <c r="EZ346" s="259">
        <f t="shared" ca="1" si="716"/>
        <v>0</v>
      </c>
      <c r="FA346" s="259">
        <f t="shared" ca="1" si="717"/>
        <v>0</v>
      </c>
      <c r="FB346" s="259">
        <f t="shared" ca="1" si="718"/>
        <v>0</v>
      </c>
      <c r="FC346" s="259">
        <f t="shared" ca="1" si="719"/>
        <v>0</v>
      </c>
      <c r="FD346" s="259">
        <f t="shared" ca="1" si="737"/>
        <v>0</v>
      </c>
      <c r="FE346" s="259" t="str">
        <f t="shared" ca="1" si="738"/>
        <v/>
      </c>
      <c r="FF346" s="259" t="str">
        <f t="shared" ca="1" si="720"/>
        <v/>
      </c>
      <c r="FM346" s="259">
        <f t="shared" si="739"/>
        <v>0</v>
      </c>
      <c r="FN346" s="259">
        <f>IF(FM346&lt;0,MAX($FN$2:FN345)+1,0)</f>
        <v>0</v>
      </c>
      <c r="FO346" s="259" t="str">
        <f t="shared" si="745"/>
        <v/>
      </c>
      <c r="FP346" s="259" t="str">
        <f ca="1">IFERROR(INDEX($FN$3:$FO$400,MATCH(ROWS($FP$3:FP346),$FN$3:$FN$400,0),2),"")</f>
        <v/>
      </c>
      <c r="FQ346" s="259" t="str">
        <f>IF(AE346="SE AVERE",MAX($FQ$2:FQ345)+1,"")</f>
        <v/>
      </c>
      <c r="FR346" s="259" t="str">
        <f>IF(AE346="SE DARE",MAX($FR$2:FR345)+1,"")</f>
        <v/>
      </c>
      <c r="FS346" s="259" t="str">
        <f ca="1">IF(AND(AE346="SP DARE",AA346&lt;&gt;$FS$1,AA346&lt;&gt;$FT$1),MAX($FS$2:FS345)+1,IF(AND(GQ346="SP DARE",AA346&lt;&gt;$FS$1,AA346&lt;&gt;$FT$1),MAX($FS$2:FS345)+1,""))</f>
        <v/>
      </c>
      <c r="FT346" s="259" t="str">
        <f ca="1">IF(AND(AE346="SP AVERE",AA346&lt;&gt;$FU$1),MAX($FT$2:FT345)+1,IF(AND(GQ346="SP AVERE",AA346&lt;&gt;$FU$1),MAX($FT$2:FT345)+1,""))</f>
        <v/>
      </c>
      <c r="FU346" s="259">
        <f t="shared" ca="1" si="746"/>
        <v>0</v>
      </c>
      <c r="FV346" s="259">
        <f t="shared" si="747"/>
        <v>0</v>
      </c>
      <c r="FW346" s="259">
        <f ca="1">IFERROR(INDEX($FU$3:$FV$500,MATCH(ROWS($FW$3:FW346),$FU$3:$FU$500,0),2),0)</f>
        <v>0</v>
      </c>
      <c r="FX346" s="259">
        <f t="shared" ca="1" si="748"/>
        <v>0</v>
      </c>
      <c r="FY346" s="259">
        <f t="shared" ca="1" si="749"/>
        <v>0</v>
      </c>
      <c r="FZ346" s="259">
        <f ca="1">IF(FY346&gt;0,MAX($FZ$2:FZ345)+1,0)</f>
        <v>0</v>
      </c>
      <c r="GA346" s="259">
        <f ca="1">IFERROR(INDEX($FY$3:$FZ$500,MATCH(ROWS($GA$3:GA346),$FZ$3:$FZ$500,0),1),0)</f>
        <v>0</v>
      </c>
      <c r="GC346" s="259">
        <f t="shared" ca="1" si="750"/>
        <v>0</v>
      </c>
      <c r="GD346" s="259">
        <f t="shared" ca="1" si="751"/>
        <v>0</v>
      </c>
      <c r="GG346" s="259">
        <f t="shared" ca="1" si="752"/>
        <v>0</v>
      </c>
      <c r="GH346" s="259">
        <f t="shared" ca="1" si="753"/>
        <v>0</v>
      </c>
      <c r="GI346" s="259">
        <f t="shared" ca="1" si="754"/>
        <v>0</v>
      </c>
      <c r="GJ346" s="259">
        <f t="shared" ca="1" si="755"/>
        <v>0</v>
      </c>
      <c r="GK346" s="259">
        <f t="shared" ca="1" si="756"/>
        <v>0</v>
      </c>
      <c r="GL346" s="259">
        <f t="shared" ca="1" si="756"/>
        <v>0</v>
      </c>
      <c r="GM346" s="259">
        <f ca="1">IF(OR(GK346&gt;0,GL346&gt;0),MAX($GM$2:GM345)+1,0)</f>
        <v>0</v>
      </c>
      <c r="GN346" s="259" t="str">
        <f ca="1">IFERROR(INDEX($GD$3:$GM$400,MATCH(ROWS($GN$3:GN346),$GM$3:$GM$400,0),1),"")</f>
        <v/>
      </c>
      <c r="GO346" s="259" t="str">
        <f ca="1">IFERROR(INDEX($GD$3:$GM$400,MATCH(ROWS($GO$3:GO346),$GM$3:$GM$400,0),8),"")</f>
        <v/>
      </c>
      <c r="GP346" s="259" t="str">
        <f ca="1">IFERROR(INDEX($GD$3:$GM$400,MATCH(ROWS($GP$3:GP346),$GM$3:$GM$400,0),9),"")</f>
        <v/>
      </c>
      <c r="GQ346" s="259">
        <f t="shared" ca="1" si="740"/>
        <v>0</v>
      </c>
      <c r="GR346" s="259">
        <f t="shared" ca="1" si="757"/>
        <v>0</v>
      </c>
      <c r="GS346" s="259" t="str">
        <f t="shared" ca="1" si="758"/>
        <v/>
      </c>
      <c r="GT346" s="259" t="str">
        <f ca="1">IFERROR(INDEX($GD$3:$GS$400,MATCH(ROWS($GT$3:GT346),$GM$3:$GM$400,0),16),"")</f>
        <v/>
      </c>
      <c r="GU346" s="259">
        <f ca="1">IF(GQ346&lt;&gt;0,MAX($GU$2:$GU345)+1,0)</f>
        <v>0</v>
      </c>
      <c r="GV346" s="259">
        <f t="shared" ca="1" si="759"/>
        <v>0</v>
      </c>
      <c r="GW346" s="259" t="str">
        <f ca="1">IF(AND(IFERROR(INDEX($GU$3:$GV$400,MATCH(ROWS($GW$3:GW346),$GU$3:$GU$400,0),2),"")&lt;&gt;"",GW347&lt;&gt;""),CONCATENATE(IFERROR(INDEX($GU$3:$GV$400,MATCH(ROWS($GW$3:GW346),$GU$3:$GU$400,0),2),"")," - "),IFERROR(INDEX($GU$3:$GV$400,MATCH(ROWS($GW$3:GW346),$GU$3:$GU$400,0),2),""))</f>
        <v/>
      </c>
      <c r="GX346" s="259">
        <f ca="1">IF(OR(GN346="IVA NS/CREDITO",GN346="IVA NS/DEBITO",GN346="IVA C/ACCONTO",GN346="IMPOSTE C/ACCONTO"),MAX($GX$2:GX345)+1,0)</f>
        <v>0</v>
      </c>
      <c r="GY346" s="259" t="str">
        <f ca="1">IF(AND(IFERROR(INDEX($GN$3:$GX$200,MATCH(ROWS($GY$3:GY346),$GX$3:$GX$200,0),1),"")&lt;&gt;"",GY347&lt;&gt;""),CONCATENATE(IFERROR(INDEX($GN$3:$GX$200,MATCH(ROWS($GY$3:GY346),$GX$3:$GX$200,0),1),"")," - "),IFERROR(INDEX($GN$3:$GX$200,MATCH(ROWS($GY$3:GY346),$GX$3:$GX$200,0),1),""))</f>
        <v/>
      </c>
      <c r="JA346" s="259" t="str">
        <f t="shared" ca="1" si="760"/>
        <v/>
      </c>
      <c r="JB346" s="259">
        <f t="shared" ca="1" si="741"/>
        <v>0</v>
      </c>
      <c r="JC346" s="259">
        <f t="shared" ca="1" si="721"/>
        <v>0</v>
      </c>
      <c r="JD346" s="259">
        <f t="shared" ca="1" si="722"/>
        <v>0</v>
      </c>
      <c r="JM346" s="259">
        <f t="shared" ca="1" si="723"/>
        <v>0</v>
      </c>
    </row>
    <row r="347" spans="52:273">
      <c r="AZ347" s="259" t="str">
        <f t="shared" ca="1" si="770"/>
        <v/>
      </c>
      <c r="BA347" s="259">
        <f t="shared" ca="1" si="713"/>
        <v>0</v>
      </c>
      <c r="BB347" s="259">
        <f t="shared" ca="1" si="771"/>
        <v>0</v>
      </c>
      <c r="BC347" s="259">
        <f t="shared" ca="1" si="772"/>
        <v>0</v>
      </c>
      <c r="BD347" s="259">
        <f t="shared" ca="1" si="773"/>
        <v>0</v>
      </c>
      <c r="BE347" s="259">
        <f t="shared" ca="1" si="774"/>
        <v>0</v>
      </c>
      <c r="BQ347" s="259" t="str">
        <f ca="1">IFERROR(INDEX($BN$3:$BO$200,MATCH(ROWS(BQ$3:BQ347),$BP$3:$BP$220,0),1),"")</f>
        <v/>
      </c>
      <c r="CX347" s="259">
        <f t="shared" ca="1" si="777"/>
        <v>20</v>
      </c>
      <c r="CY347" s="259" t="str">
        <f t="shared" ca="1" si="775"/>
        <v>MASTRO</v>
      </c>
      <c r="CZ347" s="259" t="e">
        <f t="shared" ref="CZ347:CZ361" ca="1" si="779">SUM(MATCH($CY347,INDIRECT(ADDRESS(SUM(CZ346)+3,54)&amp;":"&amp;ADDRESS(400,54)),0),CZ346)</f>
        <v>#N/A</v>
      </c>
      <c r="DA347" s="259" t="str">
        <f ca="1">IFERROR(INDEX(LIBRO_GIORNALE,CZ347,1),"")</f>
        <v/>
      </c>
      <c r="DB347" s="259" t="str">
        <f t="shared" ref="DB347:DB361" ca="1" si="780">IF(RIGHT(TEXT(IFERROR(INDEX(LIBRO_GIORNALE,CZ347,2),""),"gg/mm/aa"),1)="a",TEXT(IFERROR(INDEX(LIBRO_GIORNALE,CZ347,2),""),"dd/mm/yy"),TEXT(IFERROR(INDEX(LIBRO_GIORNALE,CZ347,2),""),"gg/mm/aa"))</f>
        <v/>
      </c>
      <c r="DC347" s="259" t="str">
        <f t="shared" ref="DC347:DC361" ca="1" si="781">IF(IFERROR(INDEX(LIBRO_GIORNALE,CZ347,4),"")=0,"manca la descrizione dell'operazione",IFERROR(INDEX(LIBRO_GIORNALE,CZ347,4),""))</f>
        <v/>
      </c>
      <c r="DD347" s="259" t="str">
        <f t="shared" ref="DD347:DD361" ca="1" si="782">IFERROR(IF(INDEX(LIBRO_GIORNALE,CZ347,5)&gt;0,INDEX(LIBRO_GIORNALE,CZ347,5),""),"")</f>
        <v/>
      </c>
      <c r="DE347" s="259" t="str">
        <f t="shared" ref="DE347:DE361" ca="1" si="783">IFERROR(IF(INDEX(LIBRO_GIORNALE,CZ347,6)&gt;0,INDEX(LIBRO_GIORNALE,CZ347,6),""),"")</f>
        <v/>
      </c>
      <c r="DF347" s="259">
        <f ca="1">IF(AND(CX347=$DE$2,$DF$2&lt;&gt;0),0,IF(AND(DB347&lt;&gt;"",OR(DB346&lt;&gt;"",DB348&lt;&gt;"")),MAX($DF$2:DF346)+1,0))</f>
        <v>0</v>
      </c>
      <c r="DG347" s="259" t="str">
        <f>IF(IF(LIBRO_GIORNALE!E255="","",IFERROR(INDEX(PIANO_DEI_CONTI,MATCH(BB347,DENOMINAZIONE,0),1),0))=0,"",IF(LIBRO_GIORNALE!E255="","",IFERROR(INDEX(PIANO_DEI_CONTI,MATCH(BB347,DENOMINAZIONE,0),1),0)))</f>
        <v/>
      </c>
      <c r="EC347" s="259">
        <f>IF(IF(DG347&lt;&gt;"",REPLACE(DG347,3,1,""),0)&lt;&gt;0,MAX(EC$2:EC346)+1,0)</f>
        <v>0</v>
      </c>
      <c r="ED347" s="259">
        <f t="shared" ca="1" si="734"/>
        <v>0</v>
      </c>
      <c r="EL347" s="259">
        <f t="shared" si="742"/>
        <v>345</v>
      </c>
      <c r="EM347" s="259">
        <f ca="1">IF(AND(BA347&gt;0,BA347&lt;=$EM$1),MAX($EM$2:EM346)+1,0)</f>
        <v>0</v>
      </c>
      <c r="EN347" s="259">
        <f t="shared" ca="1" si="743"/>
        <v>347</v>
      </c>
      <c r="EP347" s="259" t="str">
        <f t="shared" ca="1" si="735"/>
        <v/>
      </c>
      <c r="EQ347" s="259">
        <f t="shared" ca="1" si="736"/>
        <v>0</v>
      </c>
      <c r="ER347" s="259">
        <f ca="1">IF(ISNA(EQ347),MAX(ER$2:ER346)+1,0)</f>
        <v>0</v>
      </c>
      <c r="ES347" s="259" t="str">
        <f t="shared" ca="1" si="744"/>
        <v/>
      </c>
      <c r="ET347" s="259" t="str">
        <f ca="1">IFERROR(UPPER(INDEX($ER$3:$ES$500,MATCH(ROWS(ET$3:ET347),$ER$3:$ER$500,0),2)),"")</f>
        <v/>
      </c>
      <c r="EW347" s="259">
        <f t="shared" ca="1" si="714"/>
        <v>1</v>
      </c>
      <c r="EX347" s="259">
        <v>245</v>
      </c>
      <c r="EY347" s="259">
        <f t="shared" ca="1" si="715"/>
        <v>0</v>
      </c>
      <c r="EZ347" s="259">
        <f t="shared" ca="1" si="716"/>
        <v>0</v>
      </c>
      <c r="FA347" s="259">
        <f t="shared" ca="1" si="717"/>
        <v>0</v>
      </c>
      <c r="FB347" s="259">
        <f t="shared" ca="1" si="718"/>
        <v>0</v>
      </c>
      <c r="FC347" s="259">
        <f t="shared" ca="1" si="719"/>
        <v>0</v>
      </c>
      <c r="FD347" s="259">
        <f t="shared" ca="1" si="737"/>
        <v>0</v>
      </c>
      <c r="FE347" s="259" t="str">
        <f t="shared" ca="1" si="738"/>
        <v/>
      </c>
      <c r="FF347" s="259" t="str">
        <f t="shared" ca="1" si="720"/>
        <v/>
      </c>
      <c r="FM347" s="259">
        <f t="shared" si="739"/>
        <v>0</v>
      </c>
      <c r="FN347" s="259">
        <f>IF(FM347&lt;0,MAX($FN$2:FN346)+1,0)</f>
        <v>0</v>
      </c>
      <c r="FO347" s="259" t="str">
        <f t="shared" si="745"/>
        <v/>
      </c>
      <c r="FP347" s="259" t="str">
        <f ca="1">IFERROR(INDEX($FN$3:$FO$400,MATCH(ROWS($FP$3:FP347),$FN$3:$FN$400,0),2),"")</f>
        <v/>
      </c>
      <c r="FQ347" s="259" t="str">
        <f>IF(AE347="SE AVERE",MAX($FQ$2:FQ346)+1,"")</f>
        <v/>
      </c>
      <c r="FR347" s="259" t="str">
        <f>IF(AE347="SE DARE",MAX($FR$2:FR346)+1,"")</f>
        <v/>
      </c>
      <c r="FS347" s="259" t="str">
        <f ca="1">IF(AND(AE347="SP DARE",AA347&lt;&gt;$FS$1,AA347&lt;&gt;$FT$1),MAX($FS$2:FS346)+1,IF(AND(GQ347="SP DARE",AA347&lt;&gt;$FS$1,AA347&lt;&gt;$FT$1),MAX($FS$2:FS346)+1,""))</f>
        <v/>
      </c>
      <c r="FT347" s="259" t="str">
        <f ca="1">IF(AND(AE347="SP AVERE",AA347&lt;&gt;$FU$1),MAX($FT$2:FT346)+1,IF(AND(GQ347="SP AVERE",AA347&lt;&gt;$FU$1),MAX($FT$2:FT346)+1,""))</f>
        <v/>
      </c>
      <c r="FU347" s="259">
        <f t="shared" ca="1" si="746"/>
        <v>0</v>
      </c>
      <c r="FV347" s="259">
        <f t="shared" si="747"/>
        <v>0</v>
      </c>
      <c r="FW347" s="259">
        <f ca="1">IFERROR(INDEX($FU$3:$FV$500,MATCH(ROWS($FW$3:FW347),$FU$3:$FU$500,0),2),0)</f>
        <v>0</v>
      </c>
      <c r="FX347" s="259">
        <f t="shared" ca="1" si="748"/>
        <v>0</v>
      </c>
      <c r="FY347" s="259">
        <f t="shared" ca="1" si="749"/>
        <v>0</v>
      </c>
      <c r="FZ347" s="259">
        <f ca="1">IF(FY347&gt;0,MAX($FZ$2:FZ346)+1,0)</f>
        <v>0</v>
      </c>
      <c r="GA347" s="259">
        <f ca="1">IFERROR(INDEX($FY$3:$FZ$500,MATCH(ROWS($GA$3:GA347),$FZ$3:$FZ$500,0),1),0)</f>
        <v>0</v>
      </c>
      <c r="GC347" s="259">
        <f t="shared" ca="1" si="750"/>
        <v>0</v>
      </c>
      <c r="GD347" s="259">
        <f t="shared" ca="1" si="751"/>
        <v>0</v>
      </c>
      <c r="GG347" s="259">
        <f t="shared" ca="1" si="752"/>
        <v>0</v>
      </c>
      <c r="GH347" s="259">
        <f t="shared" ca="1" si="753"/>
        <v>0</v>
      </c>
      <c r="GI347" s="259">
        <f t="shared" ca="1" si="754"/>
        <v>0</v>
      </c>
      <c r="GJ347" s="259">
        <f t="shared" ca="1" si="755"/>
        <v>0</v>
      </c>
      <c r="GK347" s="259">
        <f t="shared" ca="1" si="756"/>
        <v>0</v>
      </c>
      <c r="GL347" s="259">
        <f t="shared" ca="1" si="756"/>
        <v>0</v>
      </c>
      <c r="GM347" s="259">
        <f ca="1">IF(OR(GK347&gt;0,GL347&gt;0),MAX($GM$2:GM346)+1,0)</f>
        <v>0</v>
      </c>
      <c r="GN347" s="259" t="str">
        <f ca="1">IFERROR(INDEX($GD$3:$GM$400,MATCH(ROWS($GN$3:GN347),$GM$3:$GM$400,0),1),"")</f>
        <v/>
      </c>
      <c r="GO347" s="259" t="str">
        <f ca="1">IFERROR(INDEX($GD$3:$GM$400,MATCH(ROWS($GO$3:GO347),$GM$3:$GM$400,0),8),"")</f>
        <v/>
      </c>
      <c r="GP347" s="259" t="str">
        <f ca="1">IFERROR(INDEX($GD$3:$GM$400,MATCH(ROWS($GP$3:GP347),$GM$3:$GM$400,0),9),"")</f>
        <v/>
      </c>
      <c r="GQ347" s="259">
        <f t="shared" ca="1" si="740"/>
        <v>0</v>
      </c>
      <c r="GR347" s="259">
        <f t="shared" ca="1" si="757"/>
        <v>0</v>
      </c>
      <c r="GS347" s="259" t="str">
        <f t="shared" ca="1" si="758"/>
        <v/>
      </c>
      <c r="GT347" s="259" t="str">
        <f ca="1">IFERROR(INDEX($GD$3:$GS$400,MATCH(ROWS($GT$3:GT347),$GM$3:$GM$400,0),16),"")</f>
        <v/>
      </c>
      <c r="GU347" s="259">
        <f ca="1">IF(GQ347&lt;&gt;0,MAX($GU$2:$GU346)+1,0)</f>
        <v>0</v>
      </c>
      <c r="GV347" s="259">
        <f t="shared" ca="1" si="759"/>
        <v>0</v>
      </c>
      <c r="GW347" s="259" t="str">
        <f ca="1">IF(AND(IFERROR(INDEX($GU$3:$GV$400,MATCH(ROWS($GW$3:GW347),$GU$3:$GU$400,0),2),"")&lt;&gt;"",GW348&lt;&gt;""),CONCATENATE(IFERROR(INDEX($GU$3:$GV$400,MATCH(ROWS($GW$3:GW347),$GU$3:$GU$400,0),2),"")," - "),IFERROR(INDEX($GU$3:$GV$400,MATCH(ROWS($GW$3:GW347),$GU$3:$GU$400,0),2),""))</f>
        <v/>
      </c>
      <c r="GX347" s="259">
        <f ca="1">IF(OR(GN347="IVA NS/CREDITO",GN347="IVA NS/DEBITO",GN347="IVA C/ACCONTO",GN347="IMPOSTE C/ACCONTO"),MAX($GX$2:GX346)+1,0)</f>
        <v>0</v>
      </c>
      <c r="GY347" s="259" t="str">
        <f ca="1">IF(AND(IFERROR(INDEX($GN$3:$GX$200,MATCH(ROWS($GY$3:GY347),$GX$3:$GX$200,0),1),"")&lt;&gt;"",GY348&lt;&gt;""),CONCATENATE(IFERROR(INDEX($GN$3:$GX$200,MATCH(ROWS($GY$3:GY347),$GX$3:$GX$200,0),1),"")," - "),IFERROR(INDEX($GN$3:$GX$200,MATCH(ROWS($GY$3:GY347),$GX$3:$GX$200,0),1),""))</f>
        <v/>
      </c>
      <c r="JA347" s="259" t="str">
        <f t="shared" ca="1" si="760"/>
        <v/>
      </c>
      <c r="JB347" s="259">
        <f t="shared" ca="1" si="741"/>
        <v>0</v>
      </c>
      <c r="JC347" s="259">
        <f t="shared" ca="1" si="721"/>
        <v>0</v>
      </c>
      <c r="JD347" s="259">
        <f t="shared" ca="1" si="722"/>
        <v>0</v>
      </c>
      <c r="JM347" s="259">
        <f t="shared" ca="1" si="723"/>
        <v>0</v>
      </c>
    </row>
    <row r="348" spans="52:273">
      <c r="AZ348" s="259" t="str">
        <f t="shared" ca="1" si="770"/>
        <v/>
      </c>
      <c r="BA348" s="259">
        <f t="shared" ca="1" si="713"/>
        <v>0</v>
      </c>
      <c r="BB348" s="259">
        <f t="shared" ca="1" si="771"/>
        <v>0</v>
      </c>
      <c r="BC348" s="259">
        <f t="shared" ca="1" si="772"/>
        <v>0</v>
      </c>
      <c r="BD348" s="259">
        <f t="shared" ca="1" si="773"/>
        <v>0</v>
      </c>
      <c r="BE348" s="259">
        <f t="shared" ca="1" si="774"/>
        <v>0</v>
      </c>
      <c r="BQ348" s="259" t="str">
        <f ca="1">IFERROR(INDEX($BN$3:$BO$200,MATCH(ROWS(BQ$3:BQ348),$BP$3:$BP$220,0),1),"")</f>
        <v/>
      </c>
      <c r="CX348" s="259">
        <f t="shared" ca="1" si="777"/>
        <v>20</v>
      </c>
      <c r="CY348" s="259" t="str">
        <f t="shared" ca="1" si="775"/>
        <v>MASTRO</v>
      </c>
      <c r="CZ348" s="259" t="e">
        <f t="shared" ca="1" si="779"/>
        <v>#N/A</v>
      </c>
      <c r="DA348" s="259" t="str">
        <f t="shared" ref="DA348:DA361" ca="1" si="784">IFERROR(INDEX(LIBRO_GIORNALE,CZ348,1),"")</f>
        <v/>
      </c>
      <c r="DB348" s="259" t="str">
        <f t="shared" ca="1" si="780"/>
        <v/>
      </c>
      <c r="DC348" s="259" t="str">
        <f t="shared" ca="1" si="781"/>
        <v/>
      </c>
      <c r="DD348" s="259" t="str">
        <f t="shared" ca="1" si="782"/>
        <v/>
      </c>
      <c r="DE348" s="259" t="str">
        <f t="shared" ca="1" si="783"/>
        <v/>
      </c>
      <c r="DF348" s="259">
        <f ca="1">IF(AND(CX348=$DE$2,$DF$2&lt;&gt;0),0,IF(AND(DB348&lt;&gt;"",OR(DB347&lt;&gt;"",DB349&lt;&gt;"")),MAX($DF$2:DF347)+1,0))</f>
        <v>0</v>
      </c>
      <c r="DG348" s="259" t="str">
        <f>IF(IF(LIBRO_GIORNALE!E256="","",IFERROR(INDEX(PIANO_DEI_CONTI,MATCH(BB348,DENOMINAZIONE,0),1),0))=0,"",IF(LIBRO_GIORNALE!E256="","",IFERROR(INDEX(PIANO_DEI_CONTI,MATCH(BB348,DENOMINAZIONE,0),1),0)))</f>
        <v/>
      </c>
      <c r="EC348" s="259">
        <f>IF(IF(DG348&lt;&gt;"",REPLACE(DG348,3,1,""),0)&lt;&gt;0,MAX(EC$2:EC347)+1,0)</f>
        <v>0</v>
      </c>
      <c r="ED348" s="259">
        <f t="shared" ca="1" si="734"/>
        <v>0</v>
      </c>
      <c r="EL348" s="259">
        <f t="shared" si="742"/>
        <v>346</v>
      </c>
      <c r="EM348" s="259">
        <f ca="1">IF(AND(BA348&gt;0,BA348&lt;=$EM$1),MAX($EM$2:EM347)+1,0)</f>
        <v>0</v>
      </c>
      <c r="EN348" s="259">
        <f t="shared" ca="1" si="743"/>
        <v>348</v>
      </c>
      <c r="EP348" s="259" t="str">
        <f t="shared" ca="1" si="735"/>
        <v/>
      </c>
      <c r="EQ348" s="259">
        <f t="shared" ca="1" si="736"/>
        <v>0</v>
      </c>
      <c r="ER348" s="259">
        <f ca="1">IF(ISNA(EQ348),MAX(ER$2:ER347)+1,0)</f>
        <v>0</v>
      </c>
      <c r="ES348" s="259" t="str">
        <f t="shared" ca="1" si="744"/>
        <v/>
      </c>
      <c r="ET348" s="259" t="str">
        <f ca="1">IFERROR(UPPER(INDEX($ER$3:$ES$500,MATCH(ROWS(ET$3:ET348),$ER$3:$ER$500,0),2)),"")</f>
        <v/>
      </c>
      <c r="EW348" s="259">
        <f t="shared" ca="1" si="714"/>
        <v>1</v>
      </c>
      <c r="EX348" s="259">
        <v>246</v>
      </c>
      <c r="EY348" s="259">
        <f t="shared" ca="1" si="715"/>
        <v>0</v>
      </c>
      <c r="EZ348" s="259">
        <f t="shared" ca="1" si="716"/>
        <v>0</v>
      </c>
      <c r="FA348" s="259">
        <f t="shared" ca="1" si="717"/>
        <v>0</v>
      </c>
      <c r="FB348" s="259">
        <f t="shared" ca="1" si="718"/>
        <v>0</v>
      </c>
      <c r="FC348" s="259">
        <f t="shared" ca="1" si="719"/>
        <v>0</v>
      </c>
      <c r="FD348" s="259">
        <f t="shared" ca="1" si="737"/>
        <v>0</v>
      </c>
      <c r="FE348" s="259" t="str">
        <f t="shared" ca="1" si="738"/>
        <v/>
      </c>
      <c r="FF348" s="259" t="str">
        <f t="shared" ca="1" si="720"/>
        <v/>
      </c>
      <c r="FM348" s="259">
        <f t="shared" si="739"/>
        <v>0</v>
      </c>
      <c r="FN348" s="259">
        <f>IF(FM348&lt;0,MAX($FN$2:FN347)+1,0)</f>
        <v>0</v>
      </c>
      <c r="FO348" s="259" t="str">
        <f t="shared" si="745"/>
        <v/>
      </c>
      <c r="FP348" s="259" t="str">
        <f ca="1">IFERROR(INDEX($FN$3:$FO$400,MATCH(ROWS($FP$3:FP348),$FN$3:$FN$400,0),2),"")</f>
        <v/>
      </c>
      <c r="FQ348" s="259" t="str">
        <f>IF(AE348="SE AVERE",MAX($FQ$2:FQ347)+1,"")</f>
        <v/>
      </c>
      <c r="FR348" s="259" t="str">
        <f>IF(AE348="SE DARE",MAX($FR$2:FR347)+1,"")</f>
        <v/>
      </c>
      <c r="FS348" s="259" t="str">
        <f ca="1">IF(AND(AE348="SP DARE",AA348&lt;&gt;$FS$1,AA348&lt;&gt;$FT$1),MAX($FS$2:FS347)+1,IF(AND(GQ348="SP DARE",AA348&lt;&gt;$FS$1,AA348&lt;&gt;$FT$1),MAX($FS$2:FS347)+1,""))</f>
        <v/>
      </c>
      <c r="FT348" s="259" t="str">
        <f ca="1">IF(AND(AE348="SP AVERE",AA348&lt;&gt;$FU$1),MAX($FT$2:FT347)+1,IF(AND(GQ348="SP AVERE",AA348&lt;&gt;$FU$1),MAX($FT$2:FT347)+1,""))</f>
        <v/>
      </c>
      <c r="FU348" s="259">
        <f t="shared" ca="1" si="746"/>
        <v>0</v>
      </c>
      <c r="FV348" s="259">
        <f t="shared" si="747"/>
        <v>0</v>
      </c>
      <c r="FW348" s="259">
        <f ca="1">IFERROR(INDEX($FU$3:$FV$500,MATCH(ROWS($FW$3:FW348),$FU$3:$FU$500,0),2),0)</f>
        <v>0</v>
      </c>
      <c r="FX348" s="259">
        <f t="shared" ca="1" si="748"/>
        <v>0</v>
      </c>
      <c r="FY348" s="259">
        <f t="shared" ca="1" si="749"/>
        <v>0</v>
      </c>
      <c r="FZ348" s="259">
        <f ca="1">IF(FY348&gt;0,MAX($FZ$2:FZ347)+1,0)</f>
        <v>0</v>
      </c>
      <c r="GA348" s="259">
        <f ca="1">IFERROR(INDEX($FY$3:$FZ$500,MATCH(ROWS($GA$3:GA348),$FZ$3:$FZ$500,0),1),0)</f>
        <v>0</v>
      </c>
      <c r="GC348" s="259">
        <f t="shared" ca="1" si="750"/>
        <v>0</v>
      </c>
      <c r="GD348" s="259">
        <f t="shared" ca="1" si="751"/>
        <v>0</v>
      </c>
      <c r="GG348" s="259">
        <f t="shared" ca="1" si="752"/>
        <v>0</v>
      </c>
      <c r="GH348" s="259">
        <f t="shared" ca="1" si="753"/>
        <v>0</v>
      </c>
      <c r="GI348" s="259">
        <f t="shared" ca="1" si="754"/>
        <v>0</v>
      </c>
      <c r="GJ348" s="259">
        <f t="shared" ca="1" si="755"/>
        <v>0</v>
      </c>
      <c r="GK348" s="259">
        <f t="shared" ca="1" si="756"/>
        <v>0</v>
      </c>
      <c r="GL348" s="259">
        <f t="shared" ca="1" si="756"/>
        <v>0</v>
      </c>
      <c r="GM348" s="259">
        <f ca="1">IF(OR(GK348&gt;0,GL348&gt;0),MAX($GM$2:GM347)+1,0)</f>
        <v>0</v>
      </c>
      <c r="GN348" s="259" t="str">
        <f ca="1">IFERROR(INDEX($GD$3:$GM$400,MATCH(ROWS($GN$3:GN348),$GM$3:$GM$400,0),1),"")</f>
        <v/>
      </c>
      <c r="GO348" s="259" t="str">
        <f ca="1">IFERROR(INDEX($GD$3:$GM$400,MATCH(ROWS($GO$3:GO348),$GM$3:$GM$400,0),8),"")</f>
        <v/>
      </c>
      <c r="GP348" s="259" t="str">
        <f ca="1">IFERROR(INDEX($GD$3:$GM$400,MATCH(ROWS($GP$3:GP348),$GM$3:$GM$400,0),9),"")</f>
        <v/>
      </c>
      <c r="GQ348" s="259">
        <f t="shared" ca="1" si="740"/>
        <v>0</v>
      </c>
      <c r="GR348" s="259">
        <f t="shared" ca="1" si="757"/>
        <v>0</v>
      </c>
      <c r="GS348" s="259" t="str">
        <f t="shared" ca="1" si="758"/>
        <v/>
      </c>
      <c r="GT348" s="259" t="str">
        <f ca="1">IFERROR(INDEX($GD$3:$GS$400,MATCH(ROWS($GT$3:GT348),$GM$3:$GM$400,0),16),"")</f>
        <v/>
      </c>
      <c r="GU348" s="259">
        <f ca="1">IF(GQ348&lt;&gt;0,MAX($GU$2:$GU347)+1,0)</f>
        <v>0</v>
      </c>
      <c r="GV348" s="259">
        <f t="shared" ca="1" si="759"/>
        <v>0</v>
      </c>
      <c r="GW348" s="259" t="str">
        <f ca="1">IF(AND(IFERROR(INDEX($GU$3:$GV$400,MATCH(ROWS($GW$3:GW348),$GU$3:$GU$400,0),2),"")&lt;&gt;"",GW349&lt;&gt;""),CONCATENATE(IFERROR(INDEX($GU$3:$GV$400,MATCH(ROWS($GW$3:GW348),$GU$3:$GU$400,0),2),"")," - "),IFERROR(INDEX($GU$3:$GV$400,MATCH(ROWS($GW$3:GW348),$GU$3:$GU$400,0),2),""))</f>
        <v/>
      </c>
      <c r="GX348" s="259">
        <f ca="1">IF(OR(GN348="IVA NS/CREDITO",GN348="IVA NS/DEBITO",GN348="IVA C/ACCONTO",GN348="IMPOSTE C/ACCONTO"),MAX($GX$2:GX347)+1,0)</f>
        <v>0</v>
      </c>
      <c r="GY348" s="259" t="str">
        <f ca="1">IF(AND(IFERROR(INDEX($GN$3:$GX$200,MATCH(ROWS($GY$3:GY348),$GX$3:$GX$200,0),1),"")&lt;&gt;"",GY349&lt;&gt;""),CONCATENATE(IFERROR(INDEX($GN$3:$GX$200,MATCH(ROWS($GY$3:GY348),$GX$3:$GX$200,0),1),"")," - "),IFERROR(INDEX($GN$3:$GX$200,MATCH(ROWS($GY$3:GY348),$GX$3:$GX$200,0),1),""))</f>
        <v/>
      </c>
      <c r="JA348" s="259" t="str">
        <f t="shared" ca="1" si="760"/>
        <v/>
      </c>
      <c r="JB348" s="259">
        <f t="shared" ca="1" si="741"/>
        <v>0</v>
      </c>
      <c r="JC348" s="259">
        <f t="shared" ca="1" si="721"/>
        <v>0</v>
      </c>
      <c r="JD348" s="259">
        <f t="shared" ca="1" si="722"/>
        <v>0</v>
      </c>
      <c r="JM348" s="259">
        <f t="shared" ca="1" si="723"/>
        <v>0</v>
      </c>
    </row>
    <row r="349" spans="52:273">
      <c r="AZ349" s="259" t="str">
        <f t="shared" ca="1" si="770"/>
        <v/>
      </c>
      <c r="BA349" s="259">
        <f t="shared" ca="1" si="713"/>
        <v>0</v>
      </c>
      <c r="BB349" s="259">
        <f t="shared" ca="1" si="771"/>
        <v>0</v>
      </c>
      <c r="BC349" s="259">
        <f t="shared" ca="1" si="772"/>
        <v>0</v>
      </c>
      <c r="BD349" s="259">
        <f t="shared" ca="1" si="773"/>
        <v>0</v>
      </c>
      <c r="BE349" s="259">
        <f t="shared" ca="1" si="774"/>
        <v>0</v>
      </c>
      <c r="BQ349" s="259" t="str">
        <f ca="1">IFERROR(INDEX($BN$3:$BO$200,MATCH(ROWS(BQ$3:BQ349),$BP$3:$BP$220,0),1),"")</f>
        <v/>
      </c>
      <c r="CX349" s="259">
        <f t="shared" ca="1" si="777"/>
        <v>20</v>
      </c>
      <c r="CY349" s="259" t="str">
        <f t="shared" ca="1" si="775"/>
        <v>MASTRO</v>
      </c>
      <c r="CZ349" s="259" t="e">
        <f t="shared" ca="1" si="779"/>
        <v>#N/A</v>
      </c>
      <c r="DA349" s="259" t="str">
        <f t="shared" ca="1" si="784"/>
        <v/>
      </c>
      <c r="DB349" s="259" t="str">
        <f t="shared" ca="1" si="780"/>
        <v/>
      </c>
      <c r="DC349" s="259" t="str">
        <f t="shared" ca="1" si="781"/>
        <v/>
      </c>
      <c r="DD349" s="259" t="str">
        <f t="shared" ca="1" si="782"/>
        <v/>
      </c>
      <c r="DE349" s="259" t="str">
        <f t="shared" ca="1" si="783"/>
        <v/>
      </c>
      <c r="DF349" s="259">
        <f ca="1">IF(AND(CX349=$DE$2,$DF$2&lt;&gt;0),0,IF(AND(DB349&lt;&gt;"",OR(DB348&lt;&gt;"",DB350&lt;&gt;"")),MAX($DF$2:DF348)+1,0))</f>
        <v>0</v>
      </c>
      <c r="DG349" s="259" t="str">
        <f>IF(IF(LIBRO_GIORNALE!E257="","",IFERROR(INDEX(PIANO_DEI_CONTI,MATCH(BB349,DENOMINAZIONE,0),1),0))=0,"",IF(LIBRO_GIORNALE!E257="","",IFERROR(INDEX(PIANO_DEI_CONTI,MATCH(BB349,DENOMINAZIONE,0),1),0)))</f>
        <v/>
      </c>
      <c r="EC349" s="259">
        <f>IF(IF(DG349&lt;&gt;"",REPLACE(DG349,3,1,""),0)&lt;&gt;0,MAX(EC$2:EC348)+1,0)</f>
        <v>0</v>
      </c>
      <c r="ED349" s="259">
        <f t="shared" ca="1" si="734"/>
        <v>0</v>
      </c>
      <c r="EL349" s="259">
        <f t="shared" si="742"/>
        <v>347</v>
      </c>
      <c r="EM349" s="259">
        <f ca="1">IF(AND(BA349&gt;0,BA349&lt;=$EM$1),MAX($EM$2:EM348)+1,0)</f>
        <v>0</v>
      </c>
      <c r="EN349" s="259">
        <f t="shared" ca="1" si="743"/>
        <v>349</v>
      </c>
      <c r="EP349" s="259" t="str">
        <f t="shared" ca="1" si="735"/>
        <v/>
      </c>
      <c r="EQ349" s="259">
        <f t="shared" ca="1" si="736"/>
        <v>0</v>
      </c>
      <c r="ER349" s="259">
        <f ca="1">IF(ISNA(EQ349),MAX(ER$2:ER348)+1,0)</f>
        <v>0</v>
      </c>
      <c r="ES349" s="259" t="str">
        <f t="shared" ca="1" si="744"/>
        <v/>
      </c>
      <c r="ET349" s="259" t="str">
        <f ca="1">IFERROR(UPPER(INDEX($ER$3:$ES$500,MATCH(ROWS(ET$3:ET349),$ER$3:$ER$500,0),2)),"")</f>
        <v/>
      </c>
      <c r="EW349" s="259">
        <f t="shared" ca="1" si="714"/>
        <v>1</v>
      </c>
      <c r="EX349" s="259">
        <v>247</v>
      </c>
      <c r="EY349" s="259">
        <f t="shared" ca="1" si="715"/>
        <v>0</v>
      </c>
      <c r="EZ349" s="259">
        <f t="shared" ca="1" si="716"/>
        <v>0</v>
      </c>
      <c r="FA349" s="259">
        <f t="shared" ca="1" si="717"/>
        <v>0</v>
      </c>
      <c r="FB349" s="259">
        <f t="shared" ca="1" si="718"/>
        <v>0</v>
      </c>
      <c r="FC349" s="259">
        <f t="shared" ca="1" si="719"/>
        <v>0</v>
      </c>
      <c r="FD349" s="259">
        <f t="shared" ca="1" si="737"/>
        <v>0</v>
      </c>
      <c r="FE349" s="259" t="str">
        <f t="shared" ca="1" si="738"/>
        <v/>
      </c>
      <c r="FF349" s="259" t="str">
        <f t="shared" ca="1" si="720"/>
        <v/>
      </c>
      <c r="FM349" s="259">
        <f t="shared" si="739"/>
        <v>0</v>
      </c>
      <c r="FN349" s="259">
        <f>IF(FM349&lt;0,MAX($FN$2:FN348)+1,0)</f>
        <v>0</v>
      </c>
      <c r="FO349" s="259" t="str">
        <f t="shared" si="745"/>
        <v/>
      </c>
      <c r="FP349" s="259" t="str">
        <f ca="1">IFERROR(INDEX($FN$3:$FO$400,MATCH(ROWS($FP$3:FP349),$FN$3:$FN$400,0),2),"")</f>
        <v/>
      </c>
      <c r="FQ349" s="259" t="str">
        <f>IF(AE349="SE AVERE",MAX($FQ$2:FQ348)+1,"")</f>
        <v/>
      </c>
      <c r="FR349" s="259" t="str">
        <f>IF(AE349="SE DARE",MAX($FR$2:FR348)+1,"")</f>
        <v/>
      </c>
      <c r="FS349" s="259" t="str">
        <f ca="1">IF(AND(AE349="SP DARE",AA349&lt;&gt;$FS$1,AA349&lt;&gt;$FT$1),MAX($FS$2:FS348)+1,IF(AND(GQ349="SP DARE",AA349&lt;&gt;$FS$1,AA349&lt;&gt;$FT$1),MAX($FS$2:FS348)+1,""))</f>
        <v/>
      </c>
      <c r="FT349" s="259" t="str">
        <f ca="1">IF(AND(AE349="SP AVERE",AA349&lt;&gt;$FU$1),MAX($FT$2:FT348)+1,IF(AND(GQ349="SP AVERE",AA349&lt;&gt;$FU$1),MAX($FT$2:FT348)+1,""))</f>
        <v/>
      </c>
      <c r="FU349" s="259">
        <f t="shared" ca="1" si="746"/>
        <v>0</v>
      </c>
      <c r="FV349" s="259">
        <f t="shared" si="747"/>
        <v>0</v>
      </c>
      <c r="FW349" s="259">
        <f ca="1">IFERROR(INDEX($FU$3:$FV$500,MATCH(ROWS($FW$3:FW349),$FU$3:$FU$500,0),2),0)</f>
        <v>0</v>
      </c>
      <c r="FX349" s="259">
        <f t="shared" ca="1" si="748"/>
        <v>0</v>
      </c>
      <c r="FY349" s="259">
        <f t="shared" ca="1" si="749"/>
        <v>0</v>
      </c>
      <c r="FZ349" s="259">
        <f ca="1">IF(FY349&gt;0,MAX($FZ$2:FZ348)+1,0)</f>
        <v>0</v>
      </c>
      <c r="GA349" s="259">
        <f ca="1">IFERROR(INDEX($FY$3:$FZ$500,MATCH(ROWS($GA$3:GA349),$FZ$3:$FZ$500,0),1),0)</f>
        <v>0</v>
      </c>
      <c r="GC349" s="259">
        <f t="shared" ca="1" si="750"/>
        <v>0</v>
      </c>
      <c r="GD349" s="259">
        <f t="shared" ca="1" si="751"/>
        <v>0</v>
      </c>
      <c r="GG349" s="259">
        <f t="shared" ca="1" si="752"/>
        <v>0</v>
      </c>
      <c r="GH349" s="259">
        <f t="shared" ca="1" si="753"/>
        <v>0</v>
      </c>
      <c r="GI349" s="259">
        <f t="shared" ca="1" si="754"/>
        <v>0</v>
      </c>
      <c r="GJ349" s="259">
        <f t="shared" ca="1" si="755"/>
        <v>0</v>
      </c>
      <c r="GK349" s="259">
        <f t="shared" ca="1" si="756"/>
        <v>0</v>
      </c>
      <c r="GL349" s="259">
        <f t="shared" ca="1" si="756"/>
        <v>0</v>
      </c>
      <c r="GM349" s="259">
        <f ca="1">IF(OR(GK349&gt;0,GL349&gt;0),MAX($GM$2:GM348)+1,0)</f>
        <v>0</v>
      </c>
      <c r="GN349" s="259" t="str">
        <f ca="1">IFERROR(INDEX($GD$3:$GM$400,MATCH(ROWS($GN$3:GN349),$GM$3:$GM$400,0),1),"")</f>
        <v/>
      </c>
      <c r="GO349" s="259" t="str">
        <f ca="1">IFERROR(INDEX($GD$3:$GM$400,MATCH(ROWS($GO$3:GO349),$GM$3:$GM$400,0),8),"")</f>
        <v/>
      </c>
      <c r="GP349" s="259" t="str">
        <f ca="1">IFERROR(INDEX($GD$3:$GM$400,MATCH(ROWS($GP$3:GP349),$GM$3:$GM$400,0),9),"")</f>
        <v/>
      </c>
      <c r="GQ349" s="259">
        <f t="shared" ca="1" si="740"/>
        <v>0</v>
      </c>
      <c r="GR349" s="259">
        <f t="shared" ca="1" si="757"/>
        <v>0</v>
      </c>
      <c r="GS349" s="259" t="str">
        <f t="shared" ca="1" si="758"/>
        <v/>
      </c>
      <c r="GT349" s="259" t="str">
        <f ca="1">IFERROR(INDEX($GD$3:$GS$400,MATCH(ROWS($GT$3:GT349),$GM$3:$GM$400,0),16),"")</f>
        <v/>
      </c>
      <c r="GU349" s="259">
        <f ca="1">IF(GQ349&lt;&gt;0,MAX($GU$2:$GU348)+1,0)</f>
        <v>0</v>
      </c>
      <c r="GV349" s="259">
        <f t="shared" ca="1" si="759"/>
        <v>0</v>
      </c>
      <c r="GW349" s="259" t="str">
        <f ca="1">IF(AND(IFERROR(INDEX($GU$3:$GV$400,MATCH(ROWS($GW$3:GW349),$GU$3:$GU$400,0),2),"")&lt;&gt;"",GW350&lt;&gt;""),CONCATENATE(IFERROR(INDEX($GU$3:$GV$400,MATCH(ROWS($GW$3:GW349),$GU$3:$GU$400,0),2),"")," - "),IFERROR(INDEX($GU$3:$GV$400,MATCH(ROWS($GW$3:GW349),$GU$3:$GU$400,0),2),""))</f>
        <v/>
      </c>
      <c r="GX349" s="259">
        <f ca="1">IF(OR(GN349="IVA NS/CREDITO",GN349="IVA NS/DEBITO",GN349="IVA C/ACCONTO",GN349="IMPOSTE C/ACCONTO"),MAX($GX$2:GX348)+1,0)</f>
        <v>0</v>
      </c>
      <c r="GY349" s="259" t="str">
        <f ca="1">IF(AND(IFERROR(INDEX($GN$3:$GX$200,MATCH(ROWS($GY$3:GY349),$GX$3:$GX$200,0),1),"")&lt;&gt;"",GY350&lt;&gt;""),CONCATENATE(IFERROR(INDEX($GN$3:$GX$200,MATCH(ROWS($GY$3:GY349),$GX$3:$GX$200,0),1),"")," - "),IFERROR(INDEX($GN$3:$GX$200,MATCH(ROWS($GY$3:GY349),$GX$3:$GX$200,0),1),""))</f>
        <v/>
      </c>
      <c r="JA349" s="259" t="str">
        <f t="shared" ca="1" si="760"/>
        <v/>
      </c>
      <c r="JB349" s="259">
        <f t="shared" ca="1" si="741"/>
        <v>0</v>
      </c>
      <c r="JC349" s="259">
        <f t="shared" ca="1" si="721"/>
        <v>0</v>
      </c>
      <c r="JD349" s="259">
        <f t="shared" ca="1" si="722"/>
        <v>0</v>
      </c>
      <c r="JM349" s="259">
        <f t="shared" ca="1" si="723"/>
        <v>0</v>
      </c>
    </row>
    <row r="350" spans="52:273">
      <c r="AZ350" s="259" t="str">
        <f t="shared" ca="1" si="770"/>
        <v/>
      </c>
      <c r="BA350" s="259">
        <f t="shared" ca="1" si="713"/>
        <v>0</v>
      </c>
      <c r="BB350" s="259">
        <f t="shared" ca="1" si="771"/>
        <v>0</v>
      </c>
      <c r="BC350" s="259">
        <f t="shared" ca="1" si="772"/>
        <v>0</v>
      </c>
      <c r="BD350" s="259">
        <f t="shared" ca="1" si="773"/>
        <v>0</v>
      </c>
      <c r="BE350" s="259">
        <f t="shared" ca="1" si="774"/>
        <v>0</v>
      </c>
      <c r="BQ350" s="259" t="str">
        <f ca="1">IFERROR(INDEX($BN$3:$BO$200,MATCH(ROWS(BQ$3:BQ350),$BP$3:$BP$220,0),1),"")</f>
        <v/>
      </c>
      <c r="CX350" s="259">
        <f t="shared" ca="1" si="777"/>
        <v>20</v>
      </c>
      <c r="CY350" s="259" t="str">
        <f t="shared" ca="1" si="775"/>
        <v>MASTRO</v>
      </c>
      <c r="CZ350" s="259" t="e">
        <f t="shared" ca="1" si="779"/>
        <v>#N/A</v>
      </c>
      <c r="DA350" s="259" t="str">
        <f t="shared" ca="1" si="784"/>
        <v/>
      </c>
      <c r="DB350" s="259" t="str">
        <f t="shared" ca="1" si="780"/>
        <v/>
      </c>
      <c r="DC350" s="259" t="str">
        <f t="shared" ca="1" si="781"/>
        <v/>
      </c>
      <c r="DD350" s="259" t="str">
        <f t="shared" ca="1" si="782"/>
        <v/>
      </c>
      <c r="DE350" s="259" t="str">
        <f t="shared" ca="1" si="783"/>
        <v/>
      </c>
      <c r="DF350" s="259">
        <f ca="1">IF(AND(CX350=$DE$2,$DF$2&lt;&gt;0),0,IF(AND(DB350&lt;&gt;"",OR(DB349&lt;&gt;"",DB351&lt;&gt;"")),MAX($DF$2:DF349)+1,0))</f>
        <v>0</v>
      </c>
      <c r="DG350" s="259" t="str">
        <f>IF(IF(LIBRO_GIORNALE!E258="","",IFERROR(INDEX(PIANO_DEI_CONTI,MATCH(BB350,DENOMINAZIONE,0),1),0))=0,"",IF(LIBRO_GIORNALE!E258="","",IFERROR(INDEX(PIANO_DEI_CONTI,MATCH(BB350,DENOMINAZIONE,0),1),0)))</f>
        <v/>
      </c>
      <c r="EC350" s="259">
        <f>IF(IF(DG350&lt;&gt;"",REPLACE(DG350,3,1,""),0)&lt;&gt;0,MAX(EC$2:EC349)+1,0)</f>
        <v>0</v>
      </c>
      <c r="ED350" s="259">
        <f t="shared" ca="1" si="734"/>
        <v>0</v>
      </c>
      <c r="EL350" s="259">
        <f t="shared" si="742"/>
        <v>348</v>
      </c>
      <c r="EM350" s="259">
        <f ca="1">IF(AND(BA350&gt;0,BA350&lt;=$EM$1),MAX($EM$2:EM349)+1,0)</f>
        <v>0</v>
      </c>
      <c r="EN350" s="259">
        <f t="shared" ca="1" si="743"/>
        <v>350</v>
      </c>
      <c r="EP350" s="259" t="str">
        <f t="shared" ca="1" si="735"/>
        <v/>
      </c>
      <c r="EQ350" s="259">
        <f t="shared" ca="1" si="736"/>
        <v>0</v>
      </c>
      <c r="ER350" s="259">
        <f ca="1">IF(ISNA(EQ350),MAX(ER$2:ER349)+1,0)</f>
        <v>0</v>
      </c>
      <c r="ES350" s="259" t="str">
        <f t="shared" ca="1" si="744"/>
        <v/>
      </c>
      <c r="ET350" s="259" t="str">
        <f ca="1">IFERROR(UPPER(INDEX($ER$3:$ES$500,MATCH(ROWS(ET$3:ET350),$ER$3:$ER$500,0),2)),"")</f>
        <v/>
      </c>
      <c r="EW350" s="259">
        <f t="shared" ca="1" si="714"/>
        <v>1</v>
      </c>
      <c r="EX350" s="259">
        <v>248</v>
      </c>
      <c r="EY350" s="259">
        <f t="shared" ca="1" si="715"/>
        <v>0</v>
      </c>
      <c r="EZ350" s="259">
        <f t="shared" ca="1" si="716"/>
        <v>0</v>
      </c>
      <c r="FA350" s="259">
        <f t="shared" ca="1" si="717"/>
        <v>0</v>
      </c>
      <c r="FB350" s="259">
        <f t="shared" ca="1" si="718"/>
        <v>0</v>
      </c>
      <c r="FC350" s="259">
        <f t="shared" ca="1" si="719"/>
        <v>0</v>
      </c>
      <c r="FD350" s="259">
        <f t="shared" ca="1" si="737"/>
        <v>0</v>
      </c>
      <c r="FE350" s="259" t="str">
        <f t="shared" ca="1" si="738"/>
        <v/>
      </c>
      <c r="FF350" s="259" t="str">
        <f t="shared" ca="1" si="720"/>
        <v/>
      </c>
      <c r="FM350" s="259">
        <f t="shared" si="739"/>
        <v>0</v>
      </c>
      <c r="FN350" s="259">
        <f>IF(FM350&lt;0,MAX($FN$2:FN349)+1,0)</f>
        <v>0</v>
      </c>
      <c r="FO350" s="259" t="str">
        <f t="shared" si="745"/>
        <v/>
      </c>
      <c r="FP350" s="259" t="str">
        <f ca="1">IFERROR(INDEX($FN$3:$FO$400,MATCH(ROWS($FP$3:FP350),$FN$3:$FN$400,0),2),"")</f>
        <v/>
      </c>
      <c r="FQ350" s="259" t="str">
        <f>IF(AE350="SE AVERE",MAX($FQ$2:FQ349)+1,"")</f>
        <v/>
      </c>
      <c r="FR350" s="259" t="str">
        <f>IF(AE350="SE DARE",MAX($FR$2:FR349)+1,"")</f>
        <v/>
      </c>
      <c r="FS350" s="259" t="str">
        <f ca="1">IF(AND(AE350="SP DARE",AA350&lt;&gt;$FS$1,AA350&lt;&gt;$FT$1),MAX($FS$2:FS349)+1,IF(AND(GQ350="SP DARE",AA350&lt;&gt;$FS$1,AA350&lt;&gt;$FT$1),MAX($FS$2:FS349)+1,""))</f>
        <v/>
      </c>
      <c r="FT350" s="259" t="str">
        <f ca="1">IF(AND(AE350="SP AVERE",AA350&lt;&gt;$FU$1),MAX($FT$2:FT349)+1,IF(AND(GQ350="SP AVERE",AA350&lt;&gt;$FU$1),MAX($FT$2:FT349)+1,""))</f>
        <v/>
      </c>
      <c r="FU350" s="259">
        <f t="shared" ca="1" si="746"/>
        <v>0</v>
      </c>
      <c r="FV350" s="259">
        <f t="shared" si="747"/>
        <v>0</v>
      </c>
      <c r="FW350" s="259">
        <f ca="1">IFERROR(INDEX($FU$3:$FV$500,MATCH(ROWS($FW$3:FW350),$FU$3:$FU$500,0),2),0)</f>
        <v>0</v>
      </c>
      <c r="FX350" s="259">
        <f t="shared" ca="1" si="748"/>
        <v>0</v>
      </c>
      <c r="FY350" s="259">
        <f t="shared" ca="1" si="749"/>
        <v>0</v>
      </c>
      <c r="FZ350" s="259">
        <f ca="1">IF(FY350&gt;0,MAX($FZ$2:FZ349)+1,0)</f>
        <v>0</v>
      </c>
      <c r="GA350" s="259">
        <f ca="1">IFERROR(INDEX($FY$3:$FZ$500,MATCH(ROWS($GA$3:GA350),$FZ$3:$FZ$500,0),1),0)</f>
        <v>0</v>
      </c>
      <c r="GC350" s="259">
        <f t="shared" ca="1" si="750"/>
        <v>0</v>
      </c>
      <c r="GD350" s="259">
        <f t="shared" ca="1" si="751"/>
        <v>0</v>
      </c>
      <c r="GG350" s="259">
        <f t="shared" ca="1" si="752"/>
        <v>0</v>
      </c>
      <c r="GH350" s="259">
        <f t="shared" ca="1" si="753"/>
        <v>0</v>
      </c>
      <c r="GI350" s="259">
        <f t="shared" ca="1" si="754"/>
        <v>0</v>
      </c>
      <c r="GJ350" s="259">
        <f t="shared" ca="1" si="755"/>
        <v>0</v>
      </c>
      <c r="GK350" s="259">
        <f t="shared" ca="1" si="756"/>
        <v>0</v>
      </c>
      <c r="GL350" s="259">
        <f t="shared" ca="1" si="756"/>
        <v>0</v>
      </c>
      <c r="GM350" s="259">
        <f ca="1">IF(OR(GK350&gt;0,GL350&gt;0),MAX($GM$2:GM349)+1,0)</f>
        <v>0</v>
      </c>
      <c r="GN350" s="259" t="str">
        <f ca="1">IFERROR(INDEX($GD$3:$GM$400,MATCH(ROWS($GN$3:GN350),$GM$3:$GM$400,0),1),"")</f>
        <v/>
      </c>
      <c r="GO350" s="259" t="str">
        <f ca="1">IFERROR(INDEX($GD$3:$GM$400,MATCH(ROWS($GO$3:GO350),$GM$3:$GM$400,0),8),"")</f>
        <v/>
      </c>
      <c r="GP350" s="259" t="str">
        <f ca="1">IFERROR(INDEX($GD$3:$GM$400,MATCH(ROWS($GP$3:GP350),$GM$3:$GM$400,0),9),"")</f>
        <v/>
      </c>
      <c r="GQ350" s="259">
        <f t="shared" ca="1" si="740"/>
        <v>0</v>
      </c>
      <c r="GR350" s="259">
        <f t="shared" ca="1" si="757"/>
        <v>0</v>
      </c>
      <c r="GS350" s="259" t="str">
        <f t="shared" ca="1" si="758"/>
        <v/>
      </c>
      <c r="GT350" s="259" t="str">
        <f ca="1">IFERROR(INDEX($GD$3:$GS$400,MATCH(ROWS($GT$3:GT350),$GM$3:$GM$400,0),16),"")</f>
        <v/>
      </c>
      <c r="GU350" s="259">
        <f ca="1">IF(GQ350&lt;&gt;0,MAX($GU$2:$GU349)+1,0)</f>
        <v>0</v>
      </c>
      <c r="GV350" s="259">
        <f t="shared" ca="1" si="759"/>
        <v>0</v>
      </c>
      <c r="GW350" s="259" t="str">
        <f ca="1">IF(AND(IFERROR(INDEX($GU$3:$GV$400,MATCH(ROWS($GW$3:GW350),$GU$3:$GU$400,0),2),"")&lt;&gt;"",GW351&lt;&gt;""),CONCATENATE(IFERROR(INDEX($GU$3:$GV$400,MATCH(ROWS($GW$3:GW350),$GU$3:$GU$400,0),2),"")," - "),IFERROR(INDEX($GU$3:$GV$400,MATCH(ROWS($GW$3:GW350),$GU$3:$GU$400,0),2),""))</f>
        <v/>
      </c>
      <c r="GX350" s="259">
        <f ca="1">IF(OR(GN350="IVA NS/CREDITO",GN350="IVA NS/DEBITO",GN350="IVA C/ACCONTO",GN350="IMPOSTE C/ACCONTO"),MAX($GX$2:GX349)+1,0)</f>
        <v>0</v>
      </c>
      <c r="GY350" s="259" t="str">
        <f ca="1">IF(AND(IFERROR(INDEX($GN$3:$GX$200,MATCH(ROWS($GY$3:GY350),$GX$3:$GX$200,0),1),"")&lt;&gt;"",GY351&lt;&gt;""),CONCATENATE(IFERROR(INDEX($GN$3:$GX$200,MATCH(ROWS($GY$3:GY350),$GX$3:$GX$200,0),1),"")," - "),IFERROR(INDEX($GN$3:$GX$200,MATCH(ROWS($GY$3:GY350),$GX$3:$GX$200,0),1),""))</f>
        <v/>
      </c>
      <c r="JA350" s="259" t="str">
        <f t="shared" ca="1" si="760"/>
        <v/>
      </c>
      <c r="JB350" s="259">
        <f t="shared" ca="1" si="741"/>
        <v>0</v>
      </c>
      <c r="JC350" s="259">
        <f t="shared" ca="1" si="721"/>
        <v>0</v>
      </c>
      <c r="JD350" s="259">
        <f t="shared" ca="1" si="722"/>
        <v>0</v>
      </c>
      <c r="JM350" s="259">
        <f t="shared" ca="1" si="723"/>
        <v>0</v>
      </c>
    </row>
    <row r="351" spans="52:273">
      <c r="AZ351" s="259" t="str">
        <f t="shared" ca="1" si="770"/>
        <v/>
      </c>
      <c r="BA351" s="259">
        <f t="shared" ca="1" si="713"/>
        <v>0</v>
      </c>
      <c r="BB351" s="259">
        <f t="shared" ca="1" si="771"/>
        <v>0</v>
      </c>
      <c r="BC351" s="259">
        <f t="shared" ca="1" si="772"/>
        <v>0</v>
      </c>
      <c r="BD351" s="259">
        <f t="shared" ca="1" si="773"/>
        <v>0</v>
      </c>
      <c r="BE351" s="259">
        <f t="shared" ca="1" si="774"/>
        <v>0</v>
      </c>
      <c r="BQ351" s="259" t="str">
        <f ca="1">IFERROR(INDEX($BN$3:$BO$200,MATCH(ROWS(BQ$3:BQ351),$BP$3:$BP$220,0),1),"")</f>
        <v/>
      </c>
      <c r="CX351" s="259">
        <f t="shared" ca="1" si="777"/>
        <v>20</v>
      </c>
      <c r="CY351" s="259" t="str">
        <f t="shared" ca="1" si="775"/>
        <v>MASTRO</v>
      </c>
      <c r="CZ351" s="259" t="e">
        <f t="shared" ca="1" si="779"/>
        <v>#N/A</v>
      </c>
      <c r="DA351" s="259" t="str">
        <f t="shared" ca="1" si="784"/>
        <v/>
      </c>
      <c r="DB351" s="259" t="str">
        <f t="shared" ca="1" si="780"/>
        <v/>
      </c>
      <c r="DC351" s="259" t="str">
        <f t="shared" ca="1" si="781"/>
        <v/>
      </c>
      <c r="DD351" s="259" t="str">
        <f t="shared" ca="1" si="782"/>
        <v/>
      </c>
      <c r="DE351" s="259" t="str">
        <f t="shared" ca="1" si="783"/>
        <v/>
      </c>
      <c r="DF351" s="259">
        <f ca="1">IF(AND(CX351=$DE$2,$DF$2&lt;&gt;0),0,IF(AND(DB351&lt;&gt;"",OR(DB350&lt;&gt;"",DB352&lt;&gt;"")),MAX($DF$2:DF350)+1,0))</f>
        <v>0</v>
      </c>
      <c r="DG351" s="259" t="str">
        <f>IF(IF(LIBRO_GIORNALE!E259="","",IFERROR(INDEX(PIANO_DEI_CONTI,MATCH(BB351,DENOMINAZIONE,0),1),0))=0,"",IF(LIBRO_GIORNALE!E259="","",IFERROR(INDEX(PIANO_DEI_CONTI,MATCH(BB351,DENOMINAZIONE,0),1),0)))</f>
        <v/>
      </c>
      <c r="EC351" s="259">
        <f>IF(IF(DG351&lt;&gt;"",REPLACE(DG351,3,1,""),0)&lt;&gt;0,MAX(EC$2:EC350)+1,0)</f>
        <v>0</v>
      </c>
      <c r="ED351" s="259">
        <f t="shared" ca="1" si="734"/>
        <v>0</v>
      </c>
      <c r="EL351" s="259">
        <f t="shared" si="742"/>
        <v>349</v>
      </c>
      <c r="EM351" s="259">
        <f ca="1">IF(AND(BA351&gt;0,BA351&lt;=$EM$1),MAX($EM$2:EM350)+1,0)</f>
        <v>0</v>
      </c>
      <c r="EN351" s="259">
        <f t="shared" ca="1" si="743"/>
        <v>351</v>
      </c>
      <c r="EP351" s="259" t="str">
        <f t="shared" ca="1" si="735"/>
        <v/>
      </c>
      <c r="EQ351" s="259">
        <f t="shared" ca="1" si="736"/>
        <v>0</v>
      </c>
      <c r="ER351" s="259">
        <f ca="1">IF(ISNA(EQ351),MAX(ER$2:ER350)+1,0)</f>
        <v>0</v>
      </c>
      <c r="ES351" s="259" t="str">
        <f t="shared" ca="1" si="744"/>
        <v/>
      </c>
      <c r="ET351" s="259" t="str">
        <f ca="1">IFERROR(UPPER(INDEX($ER$3:$ES$500,MATCH(ROWS(ET$3:ET351),$ER$3:$ER$500,0),2)),"")</f>
        <v/>
      </c>
      <c r="EW351" s="259">
        <f t="shared" ca="1" si="714"/>
        <v>1</v>
      </c>
      <c r="EX351" s="259">
        <v>249</v>
      </c>
      <c r="EY351" s="259">
        <f t="shared" ca="1" si="715"/>
        <v>0</v>
      </c>
      <c r="EZ351" s="259">
        <f t="shared" ca="1" si="716"/>
        <v>0</v>
      </c>
      <c r="FA351" s="259">
        <f t="shared" ca="1" si="717"/>
        <v>0</v>
      </c>
      <c r="FB351" s="259">
        <f t="shared" ca="1" si="718"/>
        <v>0</v>
      </c>
      <c r="FC351" s="259">
        <f t="shared" ca="1" si="719"/>
        <v>0</v>
      </c>
      <c r="FD351" s="259">
        <f t="shared" ca="1" si="737"/>
        <v>0</v>
      </c>
      <c r="FE351" s="259" t="str">
        <f t="shared" ca="1" si="738"/>
        <v/>
      </c>
      <c r="FF351" s="259" t="str">
        <f t="shared" ca="1" si="720"/>
        <v/>
      </c>
      <c r="FM351" s="259">
        <f t="shared" si="739"/>
        <v>0</v>
      </c>
      <c r="FN351" s="259">
        <f>IF(FM351&lt;0,MAX($FN$2:FN350)+1,0)</f>
        <v>0</v>
      </c>
      <c r="FO351" s="259" t="str">
        <f t="shared" si="745"/>
        <v/>
      </c>
      <c r="FP351" s="259" t="str">
        <f ca="1">IFERROR(INDEX($FN$3:$FO$400,MATCH(ROWS($FP$3:FP351),$FN$3:$FN$400,0),2),"")</f>
        <v/>
      </c>
      <c r="FQ351" s="259" t="str">
        <f>IF(AE351="SE AVERE",MAX($FQ$2:FQ350)+1,"")</f>
        <v/>
      </c>
      <c r="FR351" s="259" t="str">
        <f>IF(AE351="SE DARE",MAX($FR$2:FR350)+1,"")</f>
        <v/>
      </c>
      <c r="FS351" s="259" t="str">
        <f ca="1">IF(AND(AE351="SP DARE",AA351&lt;&gt;$FS$1,AA351&lt;&gt;$FT$1),MAX($FS$2:FS350)+1,IF(AND(GQ351="SP DARE",AA351&lt;&gt;$FS$1,AA351&lt;&gt;$FT$1),MAX($FS$2:FS350)+1,""))</f>
        <v/>
      </c>
      <c r="FT351" s="259" t="str">
        <f ca="1">IF(AND(AE351="SP AVERE",AA351&lt;&gt;$FU$1),MAX($FT$2:FT350)+1,IF(AND(GQ351="SP AVERE",AA351&lt;&gt;$FU$1),MAX($FT$2:FT350)+1,""))</f>
        <v/>
      </c>
      <c r="FU351" s="259">
        <f t="shared" ca="1" si="746"/>
        <v>0</v>
      </c>
      <c r="FV351" s="259">
        <f t="shared" si="747"/>
        <v>0</v>
      </c>
      <c r="FW351" s="259">
        <f ca="1">IFERROR(INDEX($FU$3:$FV$500,MATCH(ROWS($FW$3:FW351),$FU$3:$FU$500,0),2),0)</f>
        <v>0</v>
      </c>
      <c r="FX351" s="259">
        <f t="shared" ca="1" si="748"/>
        <v>0</v>
      </c>
      <c r="FY351" s="259">
        <f t="shared" ca="1" si="749"/>
        <v>0</v>
      </c>
      <c r="FZ351" s="259">
        <f ca="1">IF(FY351&gt;0,MAX($FZ$2:FZ350)+1,0)</f>
        <v>0</v>
      </c>
      <c r="GA351" s="259">
        <f ca="1">IFERROR(INDEX($FY$3:$FZ$500,MATCH(ROWS($GA$3:GA351),$FZ$3:$FZ$500,0),1),0)</f>
        <v>0</v>
      </c>
      <c r="GC351" s="259">
        <f t="shared" ca="1" si="750"/>
        <v>0</v>
      </c>
      <c r="GD351" s="259">
        <f t="shared" ca="1" si="751"/>
        <v>0</v>
      </c>
      <c r="GG351" s="259">
        <f t="shared" ca="1" si="752"/>
        <v>0</v>
      </c>
      <c r="GH351" s="259">
        <f t="shared" ca="1" si="753"/>
        <v>0</v>
      </c>
      <c r="GI351" s="259">
        <f t="shared" ca="1" si="754"/>
        <v>0</v>
      </c>
      <c r="GJ351" s="259">
        <f t="shared" ca="1" si="755"/>
        <v>0</v>
      </c>
      <c r="GK351" s="259">
        <f t="shared" ca="1" si="756"/>
        <v>0</v>
      </c>
      <c r="GL351" s="259">
        <f t="shared" ca="1" si="756"/>
        <v>0</v>
      </c>
      <c r="GM351" s="259">
        <f ca="1">IF(OR(GK351&gt;0,GL351&gt;0),MAX($GM$2:GM350)+1,0)</f>
        <v>0</v>
      </c>
      <c r="GN351" s="259" t="str">
        <f ca="1">IFERROR(INDEX($GD$3:$GM$400,MATCH(ROWS($GN$3:GN351),$GM$3:$GM$400,0),1),"")</f>
        <v/>
      </c>
      <c r="GO351" s="259" t="str">
        <f ca="1">IFERROR(INDEX($GD$3:$GM$400,MATCH(ROWS($GO$3:GO351),$GM$3:$GM$400,0),8),"")</f>
        <v/>
      </c>
      <c r="GP351" s="259" t="str">
        <f ca="1">IFERROR(INDEX($GD$3:$GM$400,MATCH(ROWS($GP$3:GP351),$GM$3:$GM$400,0),9),"")</f>
        <v/>
      </c>
      <c r="GQ351" s="259">
        <f t="shared" ca="1" si="740"/>
        <v>0</v>
      </c>
      <c r="GR351" s="259">
        <f t="shared" ca="1" si="757"/>
        <v>0</v>
      </c>
      <c r="GS351" s="259" t="str">
        <f t="shared" ca="1" si="758"/>
        <v/>
      </c>
      <c r="GT351" s="259" t="str">
        <f ca="1">IFERROR(INDEX($GD$3:$GS$400,MATCH(ROWS($GT$3:GT351),$GM$3:$GM$400,0),16),"")</f>
        <v/>
      </c>
      <c r="GU351" s="259">
        <f ca="1">IF(GQ351&lt;&gt;0,MAX($GU$2:$GU350)+1,0)</f>
        <v>0</v>
      </c>
      <c r="GV351" s="259">
        <f t="shared" ca="1" si="759"/>
        <v>0</v>
      </c>
      <c r="GW351" s="259" t="str">
        <f ca="1">IF(AND(IFERROR(INDEX($GU$3:$GV$400,MATCH(ROWS($GW$3:GW351),$GU$3:$GU$400,0),2),"")&lt;&gt;"",GW352&lt;&gt;""),CONCATENATE(IFERROR(INDEX($GU$3:$GV$400,MATCH(ROWS($GW$3:GW351),$GU$3:$GU$400,0),2),"")," - "),IFERROR(INDEX($GU$3:$GV$400,MATCH(ROWS($GW$3:GW351),$GU$3:$GU$400,0),2),""))</f>
        <v/>
      </c>
      <c r="GX351" s="259">
        <f ca="1">IF(OR(GN351="IVA NS/CREDITO",GN351="IVA NS/DEBITO",GN351="IVA C/ACCONTO",GN351="IMPOSTE C/ACCONTO"),MAX($GX$2:GX350)+1,0)</f>
        <v>0</v>
      </c>
      <c r="GY351" s="259" t="str">
        <f ca="1">IF(AND(IFERROR(INDEX($GN$3:$GX$200,MATCH(ROWS($GY$3:GY351),$GX$3:$GX$200,0),1),"")&lt;&gt;"",GY352&lt;&gt;""),CONCATENATE(IFERROR(INDEX($GN$3:$GX$200,MATCH(ROWS($GY$3:GY351),$GX$3:$GX$200,0),1),"")," - "),IFERROR(INDEX($GN$3:$GX$200,MATCH(ROWS($GY$3:GY351),$GX$3:$GX$200,0),1),""))</f>
        <v/>
      </c>
      <c r="JA351" s="259" t="str">
        <f t="shared" ca="1" si="760"/>
        <v/>
      </c>
      <c r="JB351" s="259">
        <f t="shared" ca="1" si="741"/>
        <v>0</v>
      </c>
      <c r="JC351" s="259">
        <f t="shared" ca="1" si="721"/>
        <v>0</v>
      </c>
      <c r="JD351" s="259">
        <f t="shared" ca="1" si="722"/>
        <v>0</v>
      </c>
      <c r="JM351" s="259">
        <f t="shared" ca="1" si="723"/>
        <v>0</v>
      </c>
    </row>
    <row r="352" spans="52:273">
      <c r="AZ352" s="259" t="str">
        <f t="shared" ca="1" si="770"/>
        <v/>
      </c>
      <c r="BA352" s="259">
        <f t="shared" ca="1" si="713"/>
        <v>0</v>
      </c>
      <c r="BB352" s="259">
        <f t="shared" ca="1" si="771"/>
        <v>0</v>
      </c>
      <c r="BC352" s="259">
        <f t="shared" ca="1" si="772"/>
        <v>0</v>
      </c>
      <c r="BD352" s="259">
        <f t="shared" ca="1" si="773"/>
        <v>0</v>
      </c>
      <c r="BE352" s="259">
        <f t="shared" ca="1" si="774"/>
        <v>0</v>
      </c>
      <c r="BQ352" s="259" t="str">
        <f ca="1">IFERROR(INDEX($BN$3:$BO$200,MATCH(ROWS(BQ$3:BQ352),$BP$3:$BP$220,0),1),"")</f>
        <v/>
      </c>
      <c r="CX352" s="259">
        <f t="shared" ca="1" si="777"/>
        <v>20</v>
      </c>
      <c r="CY352" s="259" t="str">
        <f t="shared" ca="1" si="775"/>
        <v>MASTRO</v>
      </c>
      <c r="CZ352" s="259" t="e">
        <f t="shared" ca="1" si="779"/>
        <v>#N/A</v>
      </c>
      <c r="DA352" s="259" t="str">
        <f t="shared" ca="1" si="784"/>
        <v/>
      </c>
      <c r="DB352" s="259" t="str">
        <f t="shared" ca="1" si="780"/>
        <v/>
      </c>
      <c r="DC352" s="259" t="str">
        <f t="shared" ca="1" si="781"/>
        <v/>
      </c>
      <c r="DD352" s="259" t="str">
        <f t="shared" ca="1" si="782"/>
        <v/>
      </c>
      <c r="DE352" s="259" t="str">
        <f t="shared" ca="1" si="783"/>
        <v/>
      </c>
      <c r="DF352" s="259">
        <f ca="1">IF(AND(CX352=$DE$2,$DF$2&lt;&gt;0),0,IF(AND(DB352&lt;&gt;"",OR(DB351&lt;&gt;"",DB353&lt;&gt;"")),MAX($DF$2:DF351)+1,0))</f>
        <v>0</v>
      </c>
      <c r="DG352" s="259" t="str">
        <f>IF(IF(LIBRO_GIORNALE!E260="","",IFERROR(INDEX(PIANO_DEI_CONTI,MATCH(BB352,DENOMINAZIONE,0),1),0))=0,"",IF(LIBRO_GIORNALE!E260="","",IFERROR(INDEX(PIANO_DEI_CONTI,MATCH(BB352,DENOMINAZIONE,0),1),0)))</f>
        <v/>
      </c>
      <c r="EC352" s="259">
        <f>IF(IF(DG352&lt;&gt;"",REPLACE(DG352,3,1,""),0)&lt;&gt;0,MAX(EC$2:EC351)+1,0)</f>
        <v>0</v>
      </c>
      <c r="ED352" s="259">
        <f t="shared" ca="1" si="734"/>
        <v>0</v>
      </c>
      <c r="EL352" s="259">
        <f t="shared" si="742"/>
        <v>350</v>
      </c>
      <c r="EM352" s="259">
        <f ca="1">IF(AND(BA352&gt;0,BA352&lt;=$EM$1),MAX($EM$2:EM351)+1,0)</f>
        <v>0</v>
      </c>
      <c r="EN352" s="259">
        <f t="shared" ca="1" si="743"/>
        <v>352</v>
      </c>
      <c r="EP352" s="259" t="str">
        <f t="shared" ca="1" si="735"/>
        <v/>
      </c>
      <c r="EQ352" s="259">
        <f t="shared" ca="1" si="736"/>
        <v>0</v>
      </c>
      <c r="ER352" s="259">
        <f ca="1">IF(ISNA(EQ352),MAX(ER$2:ER351)+1,0)</f>
        <v>0</v>
      </c>
      <c r="ES352" s="259" t="str">
        <f t="shared" ca="1" si="744"/>
        <v/>
      </c>
      <c r="ET352" s="259" t="str">
        <f ca="1">IFERROR(UPPER(INDEX($ER$3:$ES$500,MATCH(ROWS(ET$3:ET352),$ER$3:$ER$500,0),2)),"")</f>
        <v/>
      </c>
      <c r="EW352" s="259">
        <f t="shared" ca="1" si="714"/>
        <v>1</v>
      </c>
      <c r="EX352" s="259">
        <v>250</v>
      </c>
      <c r="EY352" s="259">
        <f t="shared" ca="1" si="715"/>
        <v>0</v>
      </c>
      <c r="EZ352" s="259">
        <f t="shared" ca="1" si="716"/>
        <v>0</v>
      </c>
      <c r="FA352" s="259">
        <f t="shared" ca="1" si="717"/>
        <v>0</v>
      </c>
      <c r="FB352" s="259">
        <f t="shared" ca="1" si="718"/>
        <v>0</v>
      </c>
      <c r="FC352" s="259">
        <f t="shared" ca="1" si="719"/>
        <v>0</v>
      </c>
      <c r="FD352" s="259">
        <f t="shared" ca="1" si="737"/>
        <v>0</v>
      </c>
      <c r="FE352" s="259" t="str">
        <f t="shared" ca="1" si="738"/>
        <v/>
      </c>
      <c r="FF352" s="259" t="str">
        <f t="shared" ca="1" si="720"/>
        <v/>
      </c>
      <c r="FM352" s="259">
        <f t="shared" si="739"/>
        <v>0</v>
      </c>
      <c r="FN352" s="259">
        <f>IF(FM352&lt;0,MAX($FN$2:FN351)+1,0)</f>
        <v>0</v>
      </c>
      <c r="FO352" s="259" t="str">
        <f t="shared" si="745"/>
        <v/>
      </c>
      <c r="FP352" s="259" t="str">
        <f ca="1">IFERROR(INDEX($FN$3:$FO$400,MATCH(ROWS($FP$3:FP352),$FN$3:$FN$400,0),2),"")</f>
        <v/>
      </c>
      <c r="FQ352" s="259" t="str">
        <f>IF(AE352="SE AVERE",MAX($FQ$2:FQ351)+1,"")</f>
        <v/>
      </c>
      <c r="FR352" s="259" t="str">
        <f>IF(AE352="SE DARE",MAX($FR$2:FR351)+1,"")</f>
        <v/>
      </c>
      <c r="FS352" s="259" t="str">
        <f ca="1">IF(AND(AE352="SP DARE",AA352&lt;&gt;$FS$1,AA352&lt;&gt;$FT$1),MAX($FS$2:FS351)+1,IF(AND(GQ352="SP DARE",AA352&lt;&gt;$FS$1,AA352&lt;&gt;$FT$1),MAX($FS$2:FS351)+1,""))</f>
        <v/>
      </c>
      <c r="FT352" s="259" t="str">
        <f ca="1">IF(AND(AE352="SP AVERE",AA352&lt;&gt;$FU$1),MAX($FT$2:FT351)+1,IF(AND(GQ352="SP AVERE",AA352&lt;&gt;$FU$1),MAX($FT$2:FT351)+1,""))</f>
        <v/>
      </c>
      <c r="FU352" s="259">
        <f t="shared" ca="1" si="746"/>
        <v>0</v>
      </c>
      <c r="FV352" s="259">
        <f t="shared" si="747"/>
        <v>0</v>
      </c>
      <c r="FW352" s="259">
        <f ca="1">IFERROR(INDEX($FU$3:$FV$500,MATCH(ROWS($FW$3:FW352),$FU$3:$FU$500,0),2),0)</f>
        <v>0</v>
      </c>
      <c r="FX352" s="259">
        <f t="shared" ca="1" si="748"/>
        <v>0</v>
      </c>
      <c r="FY352" s="259">
        <f t="shared" ca="1" si="749"/>
        <v>0</v>
      </c>
      <c r="FZ352" s="259">
        <f ca="1">IF(FY352&gt;0,MAX($FZ$2:FZ351)+1,0)</f>
        <v>0</v>
      </c>
      <c r="GA352" s="259">
        <f ca="1">IFERROR(INDEX($FY$3:$FZ$500,MATCH(ROWS($GA$3:GA352),$FZ$3:$FZ$500,0),1),0)</f>
        <v>0</v>
      </c>
      <c r="GC352" s="259">
        <f t="shared" ca="1" si="750"/>
        <v>0</v>
      </c>
      <c r="GD352" s="259">
        <f t="shared" ca="1" si="751"/>
        <v>0</v>
      </c>
      <c r="GG352" s="259">
        <f t="shared" ca="1" si="752"/>
        <v>0</v>
      </c>
      <c r="GH352" s="259">
        <f t="shared" ca="1" si="753"/>
        <v>0</v>
      </c>
      <c r="GI352" s="259">
        <f t="shared" ca="1" si="754"/>
        <v>0</v>
      </c>
      <c r="GJ352" s="259">
        <f t="shared" ca="1" si="755"/>
        <v>0</v>
      </c>
      <c r="GK352" s="259">
        <f t="shared" ca="1" si="756"/>
        <v>0</v>
      </c>
      <c r="GL352" s="259">
        <f t="shared" ca="1" si="756"/>
        <v>0</v>
      </c>
      <c r="GM352" s="259">
        <f ca="1">IF(OR(GK352&gt;0,GL352&gt;0),MAX($GM$2:GM351)+1,0)</f>
        <v>0</v>
      </c>
      <c r="GN352" s="259" t="str">
        <f ca="1">IFERROR(INDEX($GD$3:$GM$400,MATCH(ROWS($GN$3:GN352),$GM$3:$GM$400,0),1),"")</f>
        <v/>
      </c>
      <c r="GO352" s="259" t="str">
        <f ca="1">IFERROR(INDEX($GD$3:$GM$400,MATCH(ROWS($GO$3:GO352),$GM$3:$GM$400,0),8),"")</f>
        <v/>
      </c>
      <c r="GP352" s="259" t="str">
        <f ca="1">IFERROR(INDEX($GD$3:$GM$400,MATCH(ROWS($GP$3:GP352),$GM$3:$GM$400,0),9),"")</f>
        <v/>
      </c>
      <c r="GQ352" s="259">
        <f t="shared" ca="1" si="740"/>
        <v>0</v>
      </c>
      <c r="GR352" s="259">
        <f t="shared" ca="1" si="757"/>
        <v>0</v>
      </c>
      <c r="GS352" s="259" t="str">
        <f t="shared" ca="1" si="758"/>
        <v/>
      </c>
      <c r="GT352" s="259" t="str">
        <f ca="1">IFERROR(INDEX($GD$3:$GS$400,MATCH(ROWS($GT$3:GT352),$GM$3:$GM$400,0),16),"")</f>
        <v/>
      </c>
      <c r="GU352" s="259">
        <f ca="1">IF(GQ352&lt;&gt;0,MAX($GU$2:$GU351)+1,0)</f>
        <v>0</v>
      </c>
      <c r="GV352" s="259">
        <f t="shared" ca="1" si="759"/>
        <v>0</v>
      </c>
      <c r="GW352" s="259" t="str">
        <f ca="1">IF(AND(IFERROR(INDEX($GU$3:$GV$400,MATCH(ROWS($GW$3:GW352),$GU$3:$GU$400,0),2),"")&lt;&gt;"",GW353&lt;&gt;""),CONCATENATE(IFERROR(INDEX($GU$3:$GV$400,MATCH(ROWS($GW$3:GW352),$GU$3:$GU$400,0),2),"")," - "),IFERROR(INDEX($GU$3:$GV$400,MATCH(ROWS($GW$3:GW352),$GU$3:$GU$400,0),2),""))</f>
        <v/>
      </c>
      <c r="GX352" s="259">
        <f ca="1">IF(OR(GN352="IVA NS/CREDITO",GN352="IVA NS/DEBITO",GN352="IVA C/ACCONTO",GN352="IMPOSTE C/ACCONTO"),MAX($GX$2:GX351)+1,0)</f>
        <v>0</v>
      </c>
      <c r="GY352" s="259" t="str">
        <f ca="1">IF(AND(IFERROR(INDEX($GN$3:$GX$200,MATCH(ROWS($GY$3:GY352),$GX$3:$GX$200,0),1),"")&lt;&gt;"",GY353&lt;&gt;""),CONCATENATE(IFERROR(INDEX($GN$3:$GX$200,MATCH(ROWS($GY$3:GY352),$GX$3:$GX$200,0),1),"")," - "),IFERROR(INDEX($GN$3:$GX$200,MATCH(ROWS($GY$3:GY352),$GX$3:$GX$200,0),1),""))</f>
        <v/>
      </c>
      <c r="JA352" s="259" t="str">
        <f t="shared" ca="1" si="760"/>
        <v/>
      </c>
      <c r="JB352" s="259">
        <f t="shared" ca="1" si="741"/>
        <v>0</v>
      </c>
      <c r="JC352" s="259">
        <f t="shared" ca="1" si="721"/>
        <v>0</v>
      </c>
      <c r="JD352" s="259">
        <f t="shared" ca="1" si="722"/>
        <v>0</v>
      </c>
      <c r="JM352" s="259">
        <f t="shared" ca="1" si="723"/>
        <v>0</v>
      </c>
    </row>
    <row r="353" spans="52:273">
      <c r="AZ353" s="259" t="str">
        <f t="shared" ca="1" si="770"/>
        <v/>
      </c>
      <c r="BA353" s="259">
        <f t="shared" ca="1" si="713"/>
        <v>0</v>
      </c>
      <c r="BB353" s="259">
        <f t="shared" ca="1" si="771"/>
        <v>0</v>
      </c>
      <c r="BC353" s="259">
        <f t="shared" ca="1" si="772"/>
        <v>0</v>
      </c>
      <c r="BD353" s="259">
        <f t="shared" ca="1" si="773"/>
        <v>0</v>
      </c>
      <c r="BE353" s="259">
        <f t="shared" ca="1" si="774"/>
        <v>0</v>
      </c>
      <c r="BQ353" s="259" t="str">
        <f ca="1">IFERROR(INDEX($BN$3:$BO$200,MATCH(ROWS(BQ$3:BQ353),$BP$3:$BP$220,0),1),"")</f>
        <v/>
      </c>
      <c r="CX353" s="259">
        <f t="shared" ca="1" si="777"/>
        <v>20</v>
      </c>
      <c r="CY353" s="259" t="str">
        <f t="shared" ca="1" si="775"/>
        <v>MASTRO</v>
      </c>
      <c r="CZ353" s="259" t="e">
        <f t="shared" ca="1" si="779"/>
        <v>#N/A</v>
      </c>
      <c r="DA353" s="259" t="str">
        <f t="shared" ca="1" si="784"/>
        <v/>
      </c>
      <c r="DB353" s="259" t="str">
        <f t="shared" ca="1" si="780"/>
        <v/>
      </c>
      <c r="DC353" s="259" t="str">
        <f t="shared" ca="1" si="781"/>
        <v/>
      </c>
      <c r="DD353" s="259" t="str">
        <f t="shared" ca="1" si="782"/>
        <v/>
      </c>
      <c r="DE353" s="259" t="str">
        <f t="shared" ca="1" si="783"/>
        <v/>
      </c>
      <c r="DF353" s="259">
        <f ca="1">IF(AND(CX353=$DE$2,$DF$2&lt;&gt;0),0,IF(AND(DB353&lt;&gt;"",OR(DB352&lt;&gt;"",DB354&lt;&gt;"")),MAX($DF$2:DF352)+1,0))</f>
        <v>0</v>
      </c>
      <c r="DG353" s="259" t="str">
        <f>IF(IF(LIBRO_GIORNALE!E261="","",IFERROR(INDEX(PIANO_DEI_CONTI,MATCH(BB353,DENOMINAZIONE,0),1),0))=0,"",IF(LIBRO_GIORNALE!E261="","",IFERROR(INDEX(PIANO_DEI_CONTI,MATCH(BB353,DENOMINAZIONE,0),1),0)))</f>
        <v/>
      </c>
      <c r="EC353" s="259">
        <f>IF(IF(DG353&lt;&gt;"",REPLACE(DG353,3,1,""),0)&lt;&gt;0,MAX(EC$2:EC352)+1,0)</f>
        <v>0</v>
      </c>
      <c r="ED353" s="259">
        <f t="shared" ca="1" si="734"/>
        <v>0</v>
      </c>
      <c r="EL353" s="259">
        <f t="shared" si="742"/>
        <v>351</v>
      </c>
      <c r="EM353" s="259">
        <f ca="1">IF(AND(BA353&gt;0,BA353&lt;=$EM$1),MAX($EM$2:EM352)+1,0)</f>
        <v>0</v>
      </c>
      <c r="EN353" s="259">
        <f t="shared" ca="1" si="743"/>
        <v>353</v>
      </c>
      <c r="EP353" s="259" t="str">
        <f t="shared" ca="1" si="735"/>
        <v/>
      </c>
      <c r="EQ353" s="259">
        <f t="shared" ca="1" si="736"/>
        <v>0</v>
      </c>
      <c r="ER353" s="259">
        <f ca="1">IF(ISNA(EQ353),MAX(ER$2:ER352)+1,0)</f>
        <v>0</v>
      </c>
      <c r="ES353" s="259" t="str">
        <f t="shared" ca="1" si="744"/>
        <v/>
      </c>
      <c r="ET353" s="259" t="str">
        <f ca="1">IFERROR(UPPER(INDEX($ER$3:$ES$500,MATCH(ROWS(ET$3:ET353),$ER$3:$ER$500,0),2)),"")</f>
        <v/>
      </c>
      <c r="EW353" s="259">
        <f t="shared" ca="1" si="714"/>
        <v>1</v>
      </c>
      <c r="EX353" s="259">
        <v>251</v>
      </c>
      <c r="EY353" s="259">
        <f t="shared" ca="1" si="715"/>
        <v>0</v>
      </c>
      <c r="EZ353" s="259">
        <f t="shared" ca="1" si="716"/>
        <v>0</v>
      </c>
      <c r="FA353" s="259">
        <f t="shared" ca="1" si="717"/>
        <v>0</v>
      </c>
      <c r="FB353" s="259">
        <f t="shared" ca="1" si="718"/>
        <v>0</v>
      </c>
      <c r="FC353" s="259">
        <f t="shared" ca="1" si="719"/>
        <v>0</v>
      </c>
      <c r="FD353" s="259">
        <f t="shared" ca="1" si="737"/>
        <v>0</v>
      </c>
      <c r="FE353" s="259" t="str">
        <f t="shared" ca="1" si="738"/>
        <v/>
      </c>
      <c r="FF353" s="259" t="str">
        <f t="shared" ca="1" si="720"/>
        <v/>
      </c>
      <c r="FM353" s="259">
        <f t="shared" si="739"/>
        <v>0</v>
      </c>
      <c r="FN353" s="259">
        <f>IF(FM353&lt;0,MAX($FN$2:FN352)+1,0)</f>
        <v>0</v>
      </c>
      <c r="FO353" s="259" t="str">
        <f t="shared" si="745"/>
        <v/>
      </c>
      <c r="FP353" s="259" t="str">
        <f ca="1">IFERROR(INDEX($FN$3:$FO$400,MATCH(ROWS($FP$3:FP353),$FN$3:$FN$400,0),2),"")</f>
        <v/>
      </c>
      <c r="FQ353" s="259" t="str">
        <f>IF(AE353="SE AVERE",MAX($FQ$2:FQ352)+1,"")</f>
        <v/>
      </c>
      <c r="FR353" s="259" t="str">
        <f>IF(AE353="SE DARE",MAX($FR$2:FR352)+1,"")</f>
        <v/>
      </c>
      <c r="FS353" s="259" t="str">
        <f ca="1">IF(AND(AE353="SP DARE",AA353&lt;&gt;$FS$1,AA353&lt;&gt;$FT$1),MAX($FS$2:FS352)+1,IF(AND(GQ353="SP DARE",AA353&lt;&gt;$FS$1,AA353&lt;&gt;$FT$1),MAX($FS$2:FS352)+1,""))</f>
        <v/>
      </c>
      <c r="FT353" s="259" t="str">
        <f ca="1">IF(AND(AE353="SP AVERE",AA353&lt;&gt;$FU$1),MAX($FT$2:FT352)+1,IF(AND(GQ353="SP AVERE",AA353&lt;&gt;$FU$1),MAX($FT$2:FT352)+1,""))</f>
        <v/>
      </c>
      <c r="FU353" s="259">
        <f t="shared" ca="1" si="746"/>
        <v>0</v>
      </c>
      <c r="FV353" s="259">
        <f t="shared" si="747"/>
        <v>0</v>
      </c>
      <c r="FW353" s="259">
        <f ca="1">IFERROR(INDEX($FU$3:$FV$500,MATCH(ROWS($FW$3:FW353),$FU$3:$FU$500,0),2),0)</f>
        <v>0</v>
      </c>
      <c r="FX353" s="259">
        <f t="shared" ca="1" si="748"/>
        <v>0</v>
      </c>
      <c r="FY353" s="259">
        <f t="shared" ca="1" si="749"/>
        <v>0</v>
      </c>
      <c r="FZ353" s="259">
        <f ca="1">IF(FY353&gt;0,MAX($FZ$2:FZ352)+1,0)</f>
        <v>0</v>
      </c>
      <c r="GA353" s="259">
        <f ca="1">IFERROR(INDEX($FY$3:$FZ$500,MATCH(ROWS($GA$3:GA353),$FZ$3:$FZ$500,0),1),0)</f>
        <v>0</v>
      </c>
      <c r="GC353" s="259">
        <f t="shared" ca="1" si="750"/>
        <v>0</v>
      </c>
      <c r="GD353" s="259">
        <f t="shared" ca="1" si="751"/>
        <v>0</v>
      </c>
      <c r="GG353" s="259">
        <f t="shared" ca="1" si="752"/>
        <v>0</v>
      </c>
      <c r="GH353" s="259">
        <f t="shared" ca="1" si="753"/>
        <v>0</v>
      </c>
      <c r="GI353" s="259">
        <f t="shared" ca="1" si="754"/>
        <v>0</v>
      </c>
      <c r="GJ353" s="259">
        <f t="shared" ca="1" si="755"/>
        <v>0</v>
      </c>
      <c r="GK353" s="259">
        <f t="shared" ca="1" si="756"/>
        <v>0</v>
      </c>
      <c r="GL353" s="259">
        <f t="shared" ca="1" si="756"/>
        <v>0</v>
      </c>
      <c r="GM353" s="259">
        <f ca="1">IF(OR(GK353&gt;0,GL353&gt;0),MAX($GM$2:GM352)+1,0)</f>
        <v>0</v>
      </c>
      <c r="GN353" s="259" t="str">
        <f ca="1">IFERROR(INDEX($GD$3:$GM$400,MATCH(ROWS($GN$3:GN353),$GM$3:$GM$400,0),1),"")</f>
        <v/>
      </c>
      <c r="GO353" s="259" t="str">
        <f ca="1">IFERROR(INDEX($GD$3:$GM$400,MATCH(ROWS($GO$3:GO353),$GM$3:$GM$400,0),8),"")</f>
        <v/>
      </c>
      <c r="GP353" s="259" t="str">
        <f ca="1">IFERROR(INDEX($GD$3:$GM$400,MATCH(ROWS($GP$3:GP353),$GM$3:$GM$400,0),9),"")</f>
        <v/>
      </c>
      <c r="GQ353" s="259">
        <f t="shared" ca="1" si="740"/>
        <v>0</v>
      </c>
      <c r="GR353" s="259">
        <f t="shared" ca="1" si="757"/>
        <v>0</v>
      </c>
      <c r="GS353" s="259" t="str">
        <f t="shared" ca="1" si="758"/>
        <v/>
      </c>
      <c r="GT353" s="259" t="str">
        <f ca="1">IFERROR(INDEX($GD$3:$GS$400,MATCH(ROWS($GT$3:GT353),$GM$3:$GM$400,0),16),"")</f>
        <v/>
      </c>
      <c r="GU353" s="259">
        <f ca="1">IF(GQ353&lt;&gt;0,MAX($GU$2:$GU352)+1,0)</f>
        <v>0</v>
      </c>
      <c r="GV353" s="259">
        <f t="shared" ca="1" si="759"/>
        <v>0</v>
      </c>
      <c r="GW353" s="259" t="str">
        <f ca="1">IF(AND(IFERROR(INDEX($GU$3:$GV$400,MATCH(ROWS($GW$3:GW353),$GU$3:$GU$400,0),2),"")&lt;&gt;"",GW354&lt;&gt;""),CONCATENATE(IFERROR(INDEX($GU$3:$GV$400,MATCH(ROWS($GW$3:GW353),$GU$3:$GU$400,0),2),"")," - "),IFERROR(INDEX($GU$3:$GV$400,MATCH(ROWS($GW$3:GW353),$GU$3:$GU$400,0),2),""))</f>
        <v/>
      </c>
      <c r="GX353" s="259">
        <f ca="1">IF(OR(GN353="IVA NS/CREDITO",GN353="IVA NS/DEBITO",GN353="IVA C/ACCONTO",GN353="IMPOSTE C/ACCONTO"),MAX($GX$2:GX352)+1,0)</f>
        <v>0</v>
      </c>
      <c r="GY353" s="259" t="str">
        <f ca="1">IF(AND(IFERROR(INDEX($GN$3:$GX$200,MATCH(ROWS($GY$3:GY353),$GX$3:$GX$200,0),1),"")&lt;&gt;"",GY354&lt;&gt;""),CONCATENATE(IFERROR(INDEX($GN$3:$GX$200,MATCH(ROWS($GY$3:GY353),$GX$3:$GX$200,0),1),"")," - "),IFERROR(INDEX($GN$3:$GX$200,MATCH(ROWS($GY$3:GY353),$GX$3:$GX$200,0),1),""))</f>
        <v/>
      </c>
      <c r="JA353" s="259" t="str">
        <f t="shared" ca="1" si="760"/>
        <v/>
      </c>
      <c r="JB353" s="259">
        <f t="shared" ca="1" si="741"/>
        <v>0</v>
      </c>
      <c r="JC353" s="259">
        <f t="shared" ca="1" si="721"/>
        <v>0</v>
      </c>
      <c r="JD353" s="259">
        <f t="shared" ca="1" si="722"/>
        <v>0</v>
      </c>
      <c r="JM353" s="259">
        <f t="shared" ca="1" si="723"/>
        <v>0</v>
      </c>
    </row>
    <row r="354" spans="52:273">
      <c r="AZ354" s="259" t="str">
        <f t="shared" ca="1" si="770"/>
        <v/>
      </c>
      <c r="BA354" s="259">
        <f t="shared" ca="1" si="713"/>
        <v>0</v>
      </c>
      <c r="BB354" s="259">
        <f t="shared" ca="1" si="771"/>
        <v>0</v>
      </c>
      <c r="BC354" s="259">
        <f t="shared" ca="1" si="772"/>
        <v>0</v>
      </c>
      <c r="BD354" s="259">
        <f t="shared" ca="1" si="773"/>
        <v>0</v>
      </c>
      <c r="BE354" s="259">
        <f t="shared" ca="1" si="774"/>
        <v>0</v>
      </c>
      <c r="BQ354" s="259" t="str">
        <f ca="1">IFERROR(INDEX($BN$3:$BO$200,MATCH(ROWS(BQ$3:BQ354),$BP$3:$BP$220,0),1),"")</f>
        <v/>
      </c>
      <c r="CX354" s="259">
        <f t="shared" ca="1" si="777"/>
        <v>20</v>
      </c>
      <c r="CY354" s="259" t="str">
        <f t="shared" ca="1" si="775"/>
        <v>MASTRO</v>
      </c>
      <c r="CZ354" s="259" t="e">
        <f t="shared" ca="1" si="779"/>
        <v>#N/A</v>
      </c>
      <c r="DA354" s="259" t="str">
        <f t="shared" ca="1" si="784"/>
        <v/>
      </c>
      <c r="DB354" s="259" t="str">
        <f t="shared" ca="1" si="780"/>
        <v/>
      </c>
      <c r="DC354" s="259" t="str">
        <f t="shared" ca="1" si="781"/>
        <v/>
      </c>
      <c r="DD354" s="259" t="str">
        <f t="shared" ca="1" si="782"/>
        <v/>
      </c>
      <c r="DE354" s="259" t="str">
        <f t="shared" ca="1" si="783"/>
        <v/>
      </c>
      <c r="DF354" s="259">
        <f ca="1">IF(AND(CX354=$DE$2,$DF$2&lt;&gt;0),0,IF(AND(DB354&lt;&gt;"",OR(DB353&lt;&gt;"",DB355&lt;&gt;"")),MAX($DF$2:DF353)+1,0))</f>
        <v>0</v>
      </c>
      <c r="DG354" s="259" t="str">
        <f>IF(IF(LIBRO_GIORNALE!E262="","",IFERROR(INDEX(PIANO_DEI_CONTI,MATCH(BB354,DENOMINAZIONE,0),1),0))=0,"",IF(LIBRO_GIORNALE!E262="","",IFERROR(INDEX(PIANO_DEI_CONTI,MATCH(BB354,DENOMINAZIONE,0),1),0)))</f>
        <v/>
      </c>
      <c r="EC354" s="259">
        <f>IF(IF(DG354&lt;&gt;"",REPLACE(DG354,3,1,""),0)&lt;&gt;0,MAX(EC$2:EC353)+1,0)</f>
        <v>0</v>
      </c>
      <c r="ED354" s="259">
        <f t="shared" ca="1" si="734"/>
        <v>0</v>
      </c>
      <c r="EL354" s="259">
        <f t="shared" si="742"/>
        <v>352</v>
      </c>
      <c r="EM354" s="259">
        <f ca="1">IF(AND(BA354&gt;0,BA354&lt;=$EM$1),MAX($EM$2:EM353)+1,0)</f>
        <v>0</v>
      </c>
      <c r="EN354" s="259">
        <f t="shared" ca="1" si="743"/>
        <v>354</v>
      </c>
      <c r="EP354" s="259" t="str">
        <f t="shared" ca="1" si="735"/>
        <v/>
      </c>
      <c r="EQ354" s="259">
        <f t="shared" ca="1" si="736"/>
        <v>0</v>
      </c>
      <c r="ER354" s="259">
        <f ca="1">IF(ISNA(EQ354),MAX(ER$2:ER353)+1,0)</f>
        <v>0</v>
      </c>
      <c r="ES354" s="259" t="str">
        <f t="shared" ca="1" si="744"/>
        <v/>
      </c>
      <c r="ET354" s="259" t="str">
        <f ca="1">IFERROR(UPPER(INDEX($ER$3:$ES$500,MATCH(ROWS(ET$3:ET354),$ER$3:$ER$500,0),2)),"")</f>
        <v/>
      </c>
      <c r="EW354" s="259">
        <f t="shared" ca="1" si="714"/>
        <v>1</v>
      </c>
      <c r="EX354" s="259">
        <v>252</v>
      </c>
      <c r="EY354" s="259">
        <f t="shared" ca="1" si="715"/>
        <v>0</v>
      </c>
      <c r="EZ354" s="259">
        <f t="shared" ca="1" si="716"/>
        <v>0</v>
      </c>
      <c r="FA354" s="259">
        <f t="shared" ca="1" si="717"/>
        <v>0</v>
      </c>
      <c r="FB354" s="259">
        <f t="shared" ca="1" si="718"/>
        <v>0</v>
      </c>
      <c r="FC354" s="259">
        <f t="shared" ca="1" si="719"/>
        <v>0</v>
      </c>
      <c r="FD354" s="259">
        <f t="shared" ca="1" si="737"/>
        <v>0</v>
      </c>
      <c r="FE354" s="259" t="str">
        <f t="shared" ca="1" si="738"/>
        <v/>
      </c>
      <c r="FF354" s="259" t="str">
        <f t="shared" ca="1" si="720"/>
        <v/>
      </c>
      <c r="FM354" s="259">
        <f t="shared" si="739"/>
        <v>0</v>
      </c>
      <c r="FN354" s="259">
        <f>IF(FM354&lt;0,MAX($FN$2:FN353)+1,0)</f>
        <v>0</v>
      </c>
      <c r="FO354" s="259" t="str">
        <f t="shared" si="745"/>
        <v/>
      </c>
      <c r="FP354" s="259" t="str">
        <f ca="1">IFERROR(INDEX($FN$3:$FO$400,MATCH(ROWS($FP$3:FP354),$FN$3:$FN$400,0),2),"")</f>
        <v/>
      </c>
      <c r="FQ354" s="259" t="str">
        <f>IF(AE354="SE AVERE",MAX($FQ$2:FQ353)+1,"")</f>
        <v/>
      </c>
      <c r="FR354" s="259" t="str">
        <f>IF(AE354="SE DARE",MAX($FR$2:FR353)+1,"")</f>
        <v/>
      </c>
      <c r="FS354" s="259" t="str">
        <f ca="1">IF(AND(AE354="SP DARE",AA354&lt;&gt;$FS$1,AA354&lt;&gt;$FT$1),MAX($FS$2:FS353)+1,IF(AND(GQ354="SP DARE",AA354&lt;&gt;$FS$1,AA354&lt;&gt;$FT$1),MAX($FS$2:FS353)+1,""))</f>
        <v/>
      </c>
      <c r="FT354" s="259" t="str">
        <f ca="1">IF(AND(AE354="SP AVERE",AA354&lt;&gt;$FU$1),MAX($FT$2:FT353)+1,IF(AND(GQ354="SP AVERE",AA354&lt;&gt;$FU$1),MAX($FT$2:FT353)+1,""))</f>
        <v/>
      </c>
      <c r="FU354" s="259">
        <f t="shared" ca="1" si="746"/>
        <v>0</v>
      </c>
      <c r="FV354" s="259">
        <f t="shared" si="747"/>
        <v>0</v>
      </c>
      <c r="FW354" s="259">
        <f ca="1">IFERROR(INDEX($FU$3:$FV$500,MATCH(ROWS($FW$3:FW354),$FU$3:$FU$500,0),2),0)</f>
        <v>0</v>
      </c>
      <c r="FX354" s="259">
        <f t="shared" ca="1" si="748"/>
        <v>0</v>
      </c>
      <c r="FY354" s="259">
        <f t="shared" ca="1" si="749"/>
        <v>0</v>
      </c>
      <c r="FZ354" s="259">
        <f ca="1">IF(FY354&gt;0,MAX($FZ$2:FZ353)+1,0)</f>
        <v>0</v>
      </c>
      <c r="GA354" s="259">
        <f ca="1">IFERROR(INDEX($FY$3:$FZ$500,MATCH(ROWS($GA$3:GA354),$FZ$3:$FZ$500,0),1),0)</f>
        <v>0</v>
      </c>
      <c r="GC354" s="259">
        <f t="shared" ca="1" si="750"/>
        <v>0</v>
      </c>
      <c r="GD354" s="259">
        <f t="shared" ca="1" si="751"/>
        <v>0</v>
      </c>
      <c r="GG354" s="259">
        <f t="shared" ca="1" si="752"/>
        <v>0</v>
      </c>
      <c r="GH354" s="259">
        <f t="shared" ca="1" si="753"/>
        <v>0</v>
      </c>
      <c r="GI354" s="259">
        <f t="shared" ca="1" si="754"/>
        <v>0</v>
      </c>
      <c r="GJ354" s="259">
        <f t="shared" ca="1" si="755"/>
        <v>0</v>
      </c>
      <c r="GK354" s="259">
        <f t="shared" ca="1" si="756"/>
        <v>0</v>
      </c>
      <c r="GL354" s="259">
        <f t="shared" ca="1" si="756"/>
        <v>0</v>
      </c>
      <c r="GM354" s="259">
        <f ca="1">IF(OR(GK354&gt;0,GL354&gt;0),MAX($GM$2:GM353)+1,0)</f>
        <v>0</v>
      </c>
      <c r="GN354" s="259" t="str">
        <f ca="1">IFERROR(INDEX($GD$3:$GM$400,MATCH(ROWS($GN$3:GN354),$GM$3:$GM$400,0),1),"")</f>
        <v/>
      </c>
      <c r="GO354" s="259" t="str">
        <f ca="1">IFERROR(INDEX($GD$3:$GM$400,MATCH(ROWS($GO$3:GO354),$GM$3:$GM$400,0),8),"")</f>
        <v/>
      </c>
      <c r="GP354" s="259" t="str">
        <f ca="1">IFERROR(INDEX($GD$3:$GM$400,MATCH(ROWS($GP$3:GP354),$GM$3:$GM$400,0),9),"")</f>
        <v/>
      </c>
      <c r="GQ354" s="259">
        <f t="shared" ca="1" si="740"/>
        <v>0</v>
      </c>
      <c r="GR354" s="259">
        <f t="shared" ca="1" si="757"/>
        <v>0</v>
      </c>
      <c r="GS354" s="259" t="str">
        <f t="shared" ca="1" si="758"/>
        <v/>
      </c>
      <c r="GT354" s="259" t="str">
        <f ca="1">IFERROR(INDEX($GD$3:$GS$400,MATCH(ROWS($GT$3:GT354),$GM$3:$GM$400,0),16),"")</f>
        <v/>
      </c>
      <c r="GU354" s="259">
        <f ca="1">IF(GQ354&lt;&gt;0,MAX($GU$2:$GU353)+1,0)</f>
        <v>0</v>
      </c>
      <c r="GV354" s="259">
        <f t="shared" ca="1" si="759"/>
        <v>0</v>
      </c>
      <c r="GW354" s="259" t="str">
        <f ca="1">IF(AND(IFERROR(INDEX($GU$3:$GV$400,MATCH(ROWS($GW$3:GW354),$GU$3:$GU$400,0),2),"")&lt;&gt;"",GW355&lt;&gt;""),CONCATENATE(IFERROR(INDEX($GU$3:$GV$400,MATCH(ROWS($GW$3:GW354),$GU$3:$GU$400,0),2),"")," - "),IFERROR(INDEX($GU$3:$GV$400,MATCH(ROWS($GW$3:GW354),$GU$3:$GU$400,0),2),""))</f>
        <v/>
      </c>
      <c r="GX354" s="259">
        <f ca="1">IF(OR(GN354="IVA NS/CREDITO",GN354="IVA NS/DEBITO",GN354="IVA C/ACCONTO",GN354="IMPOSTE C/ACCONTO"),MAX($GX$2:GX353)+1,0)</f>
        <v>0</v>
      </c>
      <c r="GY354" s="259" t="str">
        <f ca="1">IF(AND(IFERROR(INDEX($GN$3:$GX$200,MATCH(ROWS($GY$3:GY354),$GX$3:$GX$200,0),1),"")&lt;&gt;"",GY355&lt;&gt;""),CONCATENATE(IFERROR(INDEX($GN$3:$GX$200,MATCH(ROWS($GY$3:GY354),$GX$3:$GX$200,0),1),"")," - "),IFERROR(INDEX($GN$3:$GX$200,MATCH(ROWS($GY$3:GY354),$GX$3:$GX$200,0),1),""))</f>
        <v/>
      </c>
      <c r="JA354" s="259" t="str">
        <f t="shared" ca="1" si="760"/>
        <v/>
      </c>
      <c r="JB354" s="259">
        <f t="shared" ca="1" si="741"/>
        <v>0</v>
      </c>
      <c r="JC354" s="259">
        <f t="shared" ca="1" si="721"/>
        <v>0</v>
      </c>
      <c r="JD354" s="259">
        <f t="shared" ca="1" si="722"/>
        <v>0</v>
      </c>
      <c r="JM354" s="259">
        <f t="shared" ca="1" si="723"/>
        <v>0</v>
      </c>
    </row>
    <row r="355" spans="52:273">
      <c r="AZ355" s="259" t="str">
        <f t="shared" ca="1" si="770"/>
        <v/>
      </c>
      <c r="BA355" s="259">
        <f t="shared" ca="1" si="713"/>
        <v>0</v>
      </c>
      <c r="BB355" s="259">
        <f t="shared" ca="1" si="771"/>
        <v>0</v>
      </c>
      <c r="BC355" s="259">
        <f t="shared" ca="1" si="772"/>
        <v>0</v>
      </c>
      <c r="BD355" s="259">
        <f t="shared" ca="1" si="773"/>
        <v>0</v>
      </c>
      <c r="BE355" s="259">
        <f t="shared" ca="1" si="774"/>
        <v>0</v>
      </c>
      <c r="BQ355" s="259" t="str">
        <f ca="1">IFERROR(INDEX($BN$3:$BO$200,MATCH(ROWS(BQ$3:BQ355),$BP$3:$BP$220,0),1),"")</f>
        <v/>
      </c>
      <c r="CX355" s="259">
        <f t="shared" ca="1" si="777"/>
        <v>20</v>
      </c>
      <c r="CY355" s="259" t="str">
        <f t="shared" ca="1" si="775"/>
        <v>MASTRO</v>
      </c>
      <c r="CZ355" s="259" t="e">
        <f t="shared" ca="1" si="779"/>
        <v>#N/A</v>
      </c>
      <c r="DA355" s="259" t="str">
        <f t="shared" ca="1" si="784"/>
        <v/>
      </c>
      <c r="DB355" s="259" t="str">
        <f t="shared" ca="1" si="780"/>
        <v/>
      </c>
      <c r="DC355" s="259" t="str">
        <f t="shared" ca="1" si="781"/>
        <v/>
      </c>
      <c r="DD355" s="259" t="str">
        <f t="shared" ca="1" si="782"/>
        <v/>
      </c>
      <c r="DE355" s="259" t="str">
        <f t="shared" ca="1" si="783"/>
        <v/>
      </c>
      <c r="DF355" s="259">
        <f ca="1">IF(AND(CX355=$DE$2,$DF$2&lt;&gt;0),0,IF(AND(DB355&lt;&gt;"",OR(DB354&lt;&gt;"",DB356&lt;&gt;"")),MAX($DF$2:DF354)+1,0))</f>
        <v>0</v>
      </c>
      <c r="DG355" s="259" t="str">
        <f>IF(IF(LIBRO_GIORNALE!E263="","",IFERROR(INDEX(PIANO_DEI_CONTI,MATCH(BB355,DENOMINAZIONE,0),1),0))=0,"",IF(LIBRO_GIORNALE!E263="","",IFERROR(INDEX(PIANO_DEI_CONTI,MATCH(BB355,DENOMINAZIONE,0),1),0)))</f>
        <v/>
      </c>
      <c r="EC355" s="259">
        <f>IF(IF(DG355&lt;&gt;"",REPLACE(DG355,3,1,""),0)&lt;&gt;0,MAX(EC$2:EC354)+1,0)</f>
        <v>0</v>
      </c>
      <c r="ED355" s="259">
        <f t="shared" ca="1" si="734"/>
        <v>0</v>
      </c>
      <c r="EL355" s="259">
        <f t="shared" si="742"/>
        <v>353</v>
      </c>
      <c r="EM355" s="259">
        <f ca="1">IF(AND(BA355&gt;0,BA355&lt;=$EM$1),MAX($EM$2:EM354)+1,0)</f>
        <v>0</v>
      </c>
      <c r="EN355" s="259">
        <f t="shared" ca="1" si="743"/>
        <v>355</v>
      </c>
      <c r="EP355" s="259" t="str">
        <f t="shared" ca="1" si="735"/>
        <v/>
      </c>
      <c r="EQ355" s="259">
        <f t="shared" ca="1" si="736"/>
        <v>0</v>
      </c>
      <c r="ER355" s="259">
        <f ca="1">IF(ISNA(EQ355),MAX(ER$2:ER354)+1,0)</f>
        <v>0</v>
      </c>
      <c r="ES355" s="259" t="str">
        <f t="shared" ca="1" si="744"/>
        <v/>
      </c>
      <c r="ET355" s="259" t="str">
        <f ca="1">IFERROR(UPPER(INDEX($ER$3:$ES$500,MATCH(ROWS(ET$3:ET355),$ER$3:$ER$500,0),2)),"")</f>
        <v/>
      </c>
      <c r="EW355" s="259">
        <f t="shared" ca="1" si="714"/>
        <v>1</v>
      </c>
      <c r="EX355" s="259">
        <v>253</v>
      </c>
      <c r="EY355" s="259">
        <f t="shared" ca="1" si="715"/>
        <v>0</v>
      </c>
      <c r="EZ355" s="259">
        <f t="shared" ca="1" si="716"/>
        <v>0</v>
      </c>
      <c r="FA355" s="259">
        <f t="shared" ca="1" si="717"/>
        <v>0</v>
      </c>
      <c r="FB355" s="259">
        <f t="shared" ca="1" si="718"/>
        <v>0</v>
      </c>
      <c r="FC355" s="259">
        <f t="shared" ca="1" si="719"/>
        <v>0</v>
      </c>
      <c r="FD355" s="259">
        <f t="shared" ca="1" si="737"/>
        <v>0</v>
      </c>
      <c r="FE355" s="259" t="str">
        <f t="shared" ca="1" si="738"/>
        <v/>
      </c>
      <c r="FF355" s="259" t="str">
        <f t="shared" ca="1" si="720"/>
        <v/>
      </c>
      <c r="FM355" s="259">
        <f t="shared" si="739"/>
        <v>0</v>
      </c>
      <c r="FN355" s="259">
        <f>IF(FM355&lt;0,MAX($FN$2:FN354)+1,0)</f>
        <v>0</v>
      </c>
      <c r="FO355" s="259" t="str">
        <f t="shared" si="745"/>
        <v/>
      </c>
      <c r="FP355" s="259" t="str">
        <f ca="1">IFERROR(INDEX($FN$3:$FO$400,MATCH(ROWS($FP$3:FP355),$FN$3:$FN$400,0),2),"")</f>
        <v/>
      </c>
      <c r="FQ355" s="259" t="str">
        <f>IF(AE355="SE AVERE",MAX($FQ$2:FQ354)+1,"")</f>
        <v/>
      </c>
      <c r="FR355" s="259" t="str">
        <f>IF(AE355="SE DARE",MAX($FR$2:FR354)+1,"")</f>
        <v/>
      </c>
      <c r="FS355" s="259" t="str">
        <f ca="1">IF(AND(AE355="SP DARE",AA355&lt;&gt;$FS$1,AA355&lt;&gt;$FT$1),MAX($FS$2:FS354)+1,IF(AND(GQ355="SP DARE",AA355&lt;&gt;$FS$1,AA355&lt;&gt;$FT$1),MAX($FS$2:FS354)+1,""))</f>
        <v/>
      </c>
      <c r="FT355" s="259" t="str">
        <f ca="1">IF(AND(AE355="SP AVERE",AA355&lt;&gt;$FU$1),MAX($FT$2:FT354)+1,IF(AND(GQ355="SP AVERE",AA355&lt;&gt;$FU$1),MAX($FT$2:FT354)+1,""))</f>
        <v/>
      </c>
      <c r="FU355" s="259">
        <f t="shared" ca="1" si="746"/>
        <v>0</v>
      </c>
      <c r="FV355" s="259">
        <f t="shared" si="747"/>
        <v>0</v>
      </c>
      <c r="FW355" s="259">
        <f ca="1">IFERROR(INDEX($FU$3:$FV$500,MATCH(ROWS($FW$3:FW355),$FU$3:$FU$500,0),2),0)</f>
        <v>0</v>
      </c>
      <c r="FX355" s="259">
        <f t="shared" ca="1" si="748"/>
        <v>0</v>
      </c>
      <c r="FY355" s="259">
        <f t="shared" ca="1" si="749"/>
        <v>0</v>
      </c>
      <c r="FZ355" s="259">
        <f ca="1">IF(FY355&gt;0,MAX($FZ$2:FZ354)+1,0)</f>
        <v>0</v>
      </c>
      <c r="GA355" s="259">
        <f ca="1">IFERROR(INDEX($FY$3:$FZ$500,MATCH(ROWS($GA$3:GA355),$FZ$3:$FZ$500,0),1),0)</f>
        <v>0</v>
      </c>
      <c r="GC355" s="259">
        <f t="shared" ca="1" si="750"/>
        <v>0</v>
      </c>
      <c r="GD355" s="259">
        <f t="shared" ca="1" si="751"/>
        <v>0</v>
      </c>
      <c r="GG355" s="259">
        <f t="shared" ca="1" si="752"/>
        <v>0</v>
      </c>
      <c r="GH355" s="259">
        <f t="shared" ca="1" si="753"/>
        <v>0</v>
      </c>
      <c r="GI355" s="259">
        <f t="shared" ca="1" si="754"/>
        <v>0</v>
      </c>
      <c r="GJ355" s="259">
        <f t="shared" ca="1" si="755"/>
        <v>0</v>
      </c>
      <c r="GK355" s="259">
        <f t="shared" ca="1" si="756"/>
        <v>0</v>
      </c>
      <c r="GL355" s="259">
        <f t="shared" ca="1" si="756"/>
        <v>0</v>
      </c>
      <c r="GM355" s="259">
        <f ca="1">IF(OR(GK355&gt;0,GL355&gt;0),MAX($GM$2:GM354)+1,0)</f>
        <v>0</v>
      </c>
      <c r="GN355" s="259" t="str">
        <f ca="1">IFERROR(INDEX($GD$3:$GM$400,MATCH(ROWS($GN$3:GN355),$GM$3:$GM$400,0),1),"")</f>
        <v/>
      </c>
      <c r="GO355" s="259" t="str">
        <f ca="1">IFERROR(INDEX($GD$3:$GM$400,MATCH(ROWS($GO$3:GO355),$GM$3:$GM$400,0),8),"")</f>
        <v/>
      </c>
      <c r="GP355" s="259" t="str">
        <f ca="1">IFERROR(INDEX($GD$3:$GM$400,MATCH(ROWS($GP$3:GP355),$GM$3:$GM$400,0),9),"")</f>
        <v/>
      </c>
      <c r="GQ355" s="259">
        <f t="shared" ca="1" si="740"/>
        <v>0</v>
      </c>
      <c r="GR355" s="259">
        <f t="shared" ca="1" si="757"/>
        <v>0</v>
      </c>
      <c r="GS355" s="259" t="str">
        <f t="shared" ca="1" si="758"/>
        <v/>
      </c>
      <c r="GT355" s="259" t="str">
        <f ca="1">IFERROR(INDEX($GD$3:$GS$400,MATCH(ROWS($GT$3:GT355),$GM$3:$GM$400,0),16),"")</f>
        <v/>
      </c>
      <c r="GU355" s="259">
        <f ca="1">IF(GQ355&lt;&gt;0,MAX($GU$2:$GU354)+1,0)</f>
        <v>0</v>
      </c>
      <c r="GV355" s="259">
        <f t="shared" ca="1" si="759"/>
        <v>0</v>
      </c>
      <c r="GW355" s="259" t="str">
        <f ca="1">IF(AND(IFERROR(INDEX($GU$3:$GV$400,MATCH(ROWS($GW$3:GW355),$GU$3:$GU$400,0),2),"")&lt;&gt;"",GW356&lt;&gt;""),CONCATENATE(IFERROR(INDEX($GU$3:$GV$400,MATCH(ROWS($GW$3:GW355),$GU$3:$GU$400,0),2),"")," - "),IFERROR(INDEX($GU$3:$GV$400,MATCH(ROWS($GW$3:GW355),$GU$3:$GU$400,0),2),""))</f>
        <v/>
      </c>
      <c r="GX355" s="259">
        <f ca="1">IF(OR(GN355="IVA NS/CREDITO",GN355="IVA NS/DEBITO",GN355="IVA C/ACCONTO",GN355="IMPOSTE C/ACCONTO"),MAX($GX$2:GX354)+1,0)</f>
        <v>0</v>
      </c>
      <c r="GY355" s="259" t="str">
        <f ca="1">IF(AND(IFERROR(INDEX($GN$3:$GX$200,MATCH(ROWS($GY$3:GY355),$GX$3:$GX$200,0),1),"")&lt;&gt;"",GY356&lt;&gt;""),CONCATENATE(IFERROR(INDEX($GN$3:$GX$200,MATCH(ROWS($GY$3:GY355),$GX$3:$GX$200,0),1),"")," - "),IFERROR(INDEX($GN$3:$GX$200,MATCH(ROWS($GY$3:GY355),$GX$3:$GX$200,0),1),""))</f>
        <v/>
      </c>
      <c r="JA355" s="259" t="str">
        <f t="shared" ca="1" si="760"/>
        <v/>
      </c>
      <c r="JB355" s="259">
        <f t="shared" ca="1" si="741"/>
        <v>0</v>
      </c>
      <c r="JC355" s="259">
        <f t="shared" ca="1" si="721"/>
        <v>0</v>
      </c>
      <c r="JD355" s="259">
        <f t="shared" ca="1" si="722"/>
        <v>0</v>
      </c>
      <c r="JM355" s="259">
        <f t="shared" ca="1" si="723"/>
        <v>0</v>
      </c>
    </row>
    <row r="356" spans="52:273">
      <c r="AZ356" s="259" t="str">
        <f t="shared" ca="1" si="770"/>
        <v/>
      </c>
      <c r="BA356" s="259">
        <f t="shared" ca="1" si="713"/>
        <v>0</v>
      </c>
      <c r="BB356" s="259">
        <f t="shared" ca="1" si="771"/>
        <v>0</v>
      </c>
      <c r="BC356" s="259">
        <f t="shared" ca="1" si="772"/>
        <v>0</v>
      </c>
      <c r="BD356" s="259">
        <f t="shared" ca="1" si="773"/>
        <v>0</v>
      </c>
      <c r="BE356" s="259">
        <f t="shared" ca="1" si="774"/>
        <v>0</v>
      </c>
      <c r="BQ356" s="259" t="str">
        <f ca="1">IFERROR(INDEX($BN$3:$BO$200,MATCH(ROWS(BQ$3:BQ356),$BP$3:$BP$220,0),1),"")</f>
        <v/>
      </c>
      <c r="CX356" s="259">
        <f t="shared" ca="1" si="777"/>
        <v>20</v>
      </c>
      <c r="CY356" s="259" t="str">
        <f t="shared" ca="1" si="775"/>
        <v>MASTRO</v>
      </c>
      <c r="CZ356" s="259" t="e">
        <f t="shared" ca="1" si="779"/>
        <v>#N/A</v>
      </c>
      <c r="DA356" s="259" t="str">
        <f t="shared" ca="1" si="784"/>
        <v/>
      </c>
      <c r="DB356" s="259" t="str">
        <f t="shared" ca="1" si="780"/>
        <v/>
      </c>
      <c r="DC356" s="259" t="str">
        <f t="shared" ca="1" si="781"/>
        <v/>
      </c>
      <c r="DD356" s="259" t="str">
        <f t="shared" ca="1" si="782"/>
        <v/>
      </c>
      <c r="DE356" s="259" t="str">
        <f t="shared" ca="1" si="783"/>
        <v/>
      </c>
      <c r="DF356" s="259">
        <f ca="1">IF(AND(CX356=$DE$2,$DF$2&lt;&gt;0),0,IF(AND(DB356&lt;&gt;"",OR(DB355&lt;&gt;"",DB357&lt;&gt;"")),MAX($DF$2:DF355)+1,0))</f>
        <v>0</v>
      </c>
      <c r="DG356" s="259" t="str">
        <f>IF(IF(LIBRO_GIORNALE!E264="","",IFERROR(INDEX(PIANO_DEI_CONTI,MATCH(BB356,DENOMINAZIONE,0),1),0))=0,"",IF(LIBRO_GIORNALE!E264="","",IFERROR(INDEX(PIANO_DEI_CONTI,MATCH(BB356,DENOMINAZIONE,0),1),0)))</f>
        <v/>
      </c>
      <c r="EC356" s="259">
        <f>IF(IF(DG356&lt;&gt;"",REPLACE(DG356,3,1,""),0)&lt;&gt;0,MAX(EC$2:EC355)+1,0)</f>
        <v>0</v>
      </c>
      <c r="ED356" s="259">
        <f t="shared" ca="1" si="734"/>
        <v>0</v>
      </c>
      <c r="EL356" s="259">
        <f t="shared" si="742"/>
        <v>354</v>
      </c>
      <c r="EM356" s="259">
        <f ca="1">IF(AND(BA356&gt;0,BA356&lt;=$EM$1),MAX($EM$2:EM355)+1,0)</f>
        <v>0</v>
      </c>
      <c r="EN356" s="259">
        <f t="shared" ca="1" si="743"/>
        <v>356</v>
      </c>
      <c r="EP356" s="259" t="str">
        <f t="shared" ca="1" si="735"/>
        <v/>
      </c>
      <c r="EQ356" s="259">
        <f t="shared" ca="1" si="736"/>
        <v>0</v>
      </c>
      <c r="ER356" s="259">
        <f ca="1">IF(ISNA(EQ356),MAX(ER$2:ER355)+1,0)</f>
        <v>0</v>
      </c>
      <c r="ES356" s="259" t="str">
        <f t="shared" ca="1" si="744"/>
        <v/>
      </c>
      <c r="ET356" s="259" t="str">
        <f ca="1">IFERROR(UPPER(INDEX($ER$3:$ES$500,MATCH(ROWS(ET$3:ET356),$ER$3:$ER$500,0),2)),"")</f>
        <v/>
      </c>
      <c r="EW356" s="259">
        <f t="shared" ca="1" si="714"/>
        <v>1</v>
      </c>
      <c r="EX356" s="259">
        <v>254</v>
      </c>
      <c r="EY356" s="259">
        <f t="shared" ca="1" si="715"/>
        <v>0</v>
      </c>
      <c r="EZ356" s="259">
        <f t="shared" ca="1" si="716"/>
        <v>0</v>
      </c>
      <c r="FA356" s="259">
        <f t="shared" ca="1" si="717"/>
        <v>0</v>
      </c>
      <c r="FB356" s="259">
        <f t="shared" ca="1" si="718"/>
        <v>0</v>
      </c>
      <c r="FC356" s="259">
        <f t="shared" ca="1" si="719"/>
        <v>0</v>
      </c>
      <c r="FD356" s="259">
        <f t="shared" ca="1" si="737"/>
        <v>0</v>
      </c>
      <c r="FE356" s="259" t="str">
        <f t="shared" ca="1" si="738"/>
        <v/>
      </c>
      <c r="FF356" s="259" t="str">
        <f t="shared" ca="1" si="720"/>
        <v/>
      </c>
      <c r="FM356" s="259">
        <f t="shared" si="739"/>
        <v>0</v>
      </c>
      <c r="FN356" s="259">
        <f>IF(FM356&lt;0,MAX($FN$2:FN355)+1,0)</f>
        <v>0</v>
      </c>
      <c r="FO356" s="259" t="str">
        <f t="shared" si="745"/>
        <v/>
      </c>
      <c r="FP356" s="259" t="str">
        <f ca="1">IFERROR(INDEX($FN$3:$FO$400,MATCH(ROWS($FP$3:FP356),$FN$3:$FN$400,0),2),"")</f>
        <v/>
      </c>
      <c r="FQ356" s="259" t="str">
        <f>IF(AE356="SE AVERE",MAX($FQ$2:FQ355)+1,"")</f>
        <v/>
      </c>
      <c r="FR356" s="259" t="str">
        <f>IF(AE356="SE DARE",MAX($FR$2:FR355)+1,"")</f>
        <v/>
      </c>
      <c r="FS356" s="259" t="str">
        <f ca="1">IF(AND(AE356="SP DARE",AA356&lt;&gt;$FS$1,AA356&lt;&gt;$FT$1),MAX($FS$2:FS355)+1,IF(AND(GQ356="SP DARE",AA356&lt;&gt;$FS$1,AA356&lt;&gt;$FT$1),MAX($FS$2:FS355)+1,""))</f>
        <v/>
      </c>
      <c r="FT356" s="259" t="str">
        <f ca="1">IF(AND(AE356="SP AVERE",AA356&lt;&gt;$FU$1),MAX($FT$2:FT355)+1,IF(AND(GQ356="SP AVERE",AA356&lt;&gt;$FU$1),MAX($FT$2:FT355)+1,""))</f>
        <v/>
      </c>
      <c r="FU356" s="259">
        <f t="shared" ca="1" si="746"/>
        <v>0</v>
      </c>
      <c r="FV356" s="259">
        <f t="shared" si="747"/>
        <v>0</v>
      </c>
      <c r="FW356" s="259">
        <f ca="1">IFERROR(INDEX($FU$3:$FV$500,MATCH(ROWS($FW$3:FW356),$FU$3:$FU$500,0),2),0)</f>
        <v>0</v>
      </c>
      <c r="FX356" s="259">
        <f t="shared" ca="1" si="748"/>
        <v>0</v>
      </c>
      <c r="FY356" s="259">
        <f t="shared" ca="1" si="749"/>
        <v>0</v>
      </c>
      <c r="FZ356" s="259">
        <f ca="1">IF(FY356&gt;0,MAX($FZ$2:FZ355)+1,0)</f>
        <v>0</v>
      </c>
      <c r="GA356" s="259">
        <f ca="1">IFERROR(INDEX($FY$3:$FZ$500,MATCH(ROWS($GA$3:GA356),$FZ$3:$FZ$500,0),1),0)</f>
        <v>0</v>
      </c>
      <c r="GC356" s="259">
        <f t="shared" ca="1" si="750"/>
        <v>0</v>
      </c>
      <c r="GD356" s="259">
        <f t="shared" ca="1" si="751"/>
        <v>0</v>
      </c>
      <c r="GG356" s="259">
        <f t="shared" ca="1" si="752"/>
        <v>0</v>
      </c>
      <c r="GH356" s="259">
        <f t="shared" ca="1" si="753"/>
        <v>0</v>
      </c>
      <c r="GI356" s="259">
        <f t="shared" ca="1" si="754"/>
        <v>0</v>
      </c>
      <c r="GJ356" s="259">
        <f t="shared" ca="1" si="755"/>
        <v>0</v>
      </c>
      <c r="GK356" s="259">
        <f t="shared" ca="1" si="756"/>
        <v>0</v>
      </c>
      <c r="GL356" s="259">
        <f t="shared" ca="1" si="756"/>
        <v>0</v>
      </c>
      <c r="GM356" s="259">
        <f ca="1">IF(OR(GK356&gt;0,GL356&gt;0),MAX($GM$2:GM355)+1,0)</f>
        <v>0</v>
      </c>
      <c r="GN356" s="259" t="str">
        <f ca="1">IFERROR(INDEX($GD$3:$GM$400,MATCH(ROWS($GN$3:GN356),$GM$3:$GM$400,0),1),"")</f>
        <v/>
      </c>
      <c r="GO356" s="259" t="str">
        <f ca="1">IFERROR(INDEX($GD$3:$GM$400,MATCH(ROWS($GO$3:GO356),$GM$3:$GM$400,0),8),"")</f>
        <v/>
      </c>
      <c r="GP356" s="259" t="str">
        <f ca="1">IFERROR(INDEX($GD$3:$GM$400,MATCH(ROWS($GP$3:GP356),$GM$3:$GM$400,0),9),"")</f>
        <v/>
      </c>
      <c r="GQ356" s="259">
        <f t="shared" ca="1" si="740"/>
        <v>0</v>
      </c>
      <c r="GR356" s="259">
        <f t="shared" ca="1" si="757"/>
        <v>0</v>
      </c>
      <c r="GS356" s="259" t="str">
        <f t="shared" ca="1" si="758"/>
        <v/>
      </c>
      <c r="GT356" s="259" t="str">
        <f ca="1">IFERROR(INDEX($GD$3:$GS$400,MATCH(ROWS($GT$3:GT356),$GM$3:$GM$400,0),16),"")</f>
        <v/>
      </c>
      <c r="GU356" s="259">
        <f ca="1">IF(GQ356&lt;&gt;0,MAX($GU$2:$GU355)+1,0)</f>
        <v>0</v>
      </c>
      <c r="GV356" s="259">
        <f t="shared" ca="1" si="759"/>
        <v>0</v>
      </c>
      <c r="GW356" s="259" t="str">
        <f ca="1">IF(AND(IFERROR(INDEX($GU$3:$GV$400,MATCH(ROWS($GW$3:GW356),$GU$3:$GU$400,0),2),"")&lt;&gt;"",GW357&lt;&gt;""),CONCATENATE(IFERROR(INDEX($GU$3:$GV$400,MATCH(ROWS($GW$3:GW356),$GU$3:$GU$400,0),2),"")," - "),IFERROR(INDEX($GU$3:$GV$400,MATCH(ROWS($GW$3:GW356),$GU$3:$GU$400,0),2),""))</f>
        <v/>
      </c>
      <c r="GX356" s="259">
        <f ca="1">IF(OR(GN356="IVA NS/CREDITO",GN356="IVA NS/DEBITO",GN356="IVA C/ACCONTO",GN356="IMPOSTE C/ACCONTO"),MAX($GX$2:GX355)+1,0)</f>
        <v>0</v>
      </c>
      <c r="GY356" s="259" t="str">
        <f ca="1">IF(AND(IFERROR(INDEX($GN$3:$GX$200,MATCH(ROWS($GY$3:GY356),$GX$3:$GX$200,0),1),"")&lt;&gt;"",GY357&lt;&gt;""),CONCATENATE(IFERROR(INDEX($GN$3:$GX$200,MATCH(ROWS($GY$3:GY356),$GX$3:$GX$200,0),1),"")," - "),IFERROR(INDEX($GN$3:$GX$200,MATCH(ROWS($GY$3:GY356),$GX$3:$GX$200,0),1),""))</f>
        <v/>
      </c>
      <c r="JA356" s="259" t="str">
        <f t="shared" ca="1" si="760"/>
        <v/>
      </c>
      <c r="JB356" s="259">
        <f t="shared" ca="1" si="741"/>
        <v>0</v>
      </c>
      <c r="JC356" s="259">
        <f t="shared" ca="1" si="721"/>
        <v>0</v>
      </c>
      <c r="JD356" s="259">
        <f t="shared" ca="1" si="722"/>
        <v>0</v>
      </c>
      <c r="JM356" s="259">
        <f t="shared" ca="1" si="723"/>
        <v>0</v>
      </c>
    </row>
    <row r="357" spans="52:273">
      <c r="AZ357" s="259" t="str">
        <f t="shared" ca="1" si="770"/>
        <v/>
      </c>
      <c r="BA357" s="259">
        <f t="shared" ca="1" si="713"/>
        <v>0</v>
      </c>
      <c r="BB357" s="259">
        <f t="shared" ca="1" si="771"/>
        <v>0</v>
      </c>
      <c r="BC357" s="259">
        <f t="shared" ca="1" si="772"/>
        <v>0</v>
      </c>
      <c r="BD357" s="259">
        <f t="shared" ca="1" si="773"/>
        <v>0</v>
      </c>
      <c r="BE357" s="259">
        <f t="shared" ca="1" si="774"/>
        <v>0</v>
      </c>
      <c r="BQ357" s="259" t="str">
        <f ca="1">IFERROR(INDEX($BN$3:$BO$200,MATCH(ROWS(BQ$3:BQ357),$BP$3:$BP$220,0),1),"")</f>
        <v/>
      </c>
      <c r="CX357" s="259">
        <f t="shared" ca="1" si="777"/>
        <v>20</v>
      </c>
      <c r="CY357" s="259" t="str">
        <f t="shared" ca="1" si="775"/>
        <v>MASTRO</v>
      </c>
      <c r="CZ357" s="259" t="e">
        <f t="shared" ca="1" si="779"/>
        <v>#N/A</v>
      </c>
      <c r="DA357" s="259" t="str">
        <f t="shared" ca="1" si="784"/>
        <v/>
      </c>
      <c r="DB357" s="259" t="str">
        <f t="shared" ca="1" si="780"/>
        <v/>
      </c>
      <c r="DC357" s="259" t="str">
        <f t="shared" ca="1" si="781"/>
        <v/>
      </c>
      <c r="DD357" s="259" t="str">
        <f t="shared" ca="1" si="782"/>
        <v/>
      </c>
      <c r="DE357" s="259" t="str">
        <f t="shared" ca="1" si="783"/>
        <v/>
      </c>
      <c r="DF357" s="259">
        <f ca="1">IF(AND(CX357=$DE$2,$DF$2&lt;&gt;0),0,IF(AND(DB357&lt;&gt;"",OR(DB356&lt;&gt;"",DB358&lt;&gt;"")),MAX($DF$2:DF356)+1,0))</f>
        <v>0</v>
      </c>
      <c r="DG357" s="259" t="str">
        <f>IF(IF(LIBRO_GIORNALE!E265="","",IFERROR(INDEX(PIANO_DEI_CONTI,MATCH(BB357,DENOMINAZIONE,0),1),0))=0,"",IF(LIBRO_GIORNALE!E265="","",IFERROR(INDEX(PIANO_DEI_CONTI,MATCH(BB357,DENOMINAZIONE,0),1),0)))</f>
        <v/>
      </c>
      <c r="EC357" s="259">
        <f>IF(IF(DG357&lt;&gt;"",REPLACE(DG357,3,1,""),0)&lt;&gt;0,MAX(EC$2:EC356)+1,0)</f>
        <v>0</v>
      </c>
      <c r="ED357" s="259">
        <f t="shared" ca="1" si="734"/>
        <v>0</v>
      </c>
      <c r="EL357" s="259">
        <f t="shared" si="742"/>
        <v>355</v>
      </c>
      <c r="EM357" s="259">
        <f ca="1">IF(AND(BA357&gt;0,BA357&lt;=$EM$1),MAX($EM$2:EM356)+1,0)</f>
        <v>0</v>
      </c>
      <c r="EN357" s="259">
        <f t="shared" ca="1" si="743"/>
        <v>357</v>
      </c>
      <c r="EP357" s="259" t="str">
        <f t="shared" ca="1" si="735"/>
        <v/>
      </c>
      <c r="EQ357" s="259">
        <f t="shared" ca="1" si="736"/>
        <v>0</v>
      </c>
      <c r="ER357" s="259">
        <f ca="1">IF(ISNA(EQ357),MAX(ER$2:ER356)+1,0)</f>
        <v>0</v>
      </c>
      <c r="ES357" s="259" t="str">
        <f t="shared" ca="1" si="744"/>
        <v/>
      </c>
      <c r="ET357" s="259" t="str">
        <f ca="1">IFERROR(UPPER(INDEX($ER$3:$ES$500,MATCH(ROWS(ET$3:ET357),$ER$3:$ER$500,0),2)),"")</f>
        <v/>
      </c>
      <c r="EW357" s="259">
        <f t="shared" ca="1" si="714"/>
        <v>1</v>
      </c>
      <c r="EX357" s="259">
        <v>255</v>
      </c>
      <c r="EY357" s="259">
        <f t="shared" ca="1" si="715"/>
        <v>0</v>
      </c>
      <c r="EZ357" s="259">
        <f t="shared" ca="1" si="716"/>
        <v>0</v>
      </c>
      <c r="FA357" s="259">
        <f t="shared" ca="1" si="717"/>
        <v>0</v>
      </c>
      <c r="FB357" s="259">
        <f t="shared" ca="1" si="718"/>
        <v>0</v>
      </c>
      <c r="FC357" s="259">
        <f t="shared" ca="1" si="719"/>
        <v>0</v>
      </c>
      <c r="FD357" s="259">
        <f t="shared" ca="1" si="737"/>
        <v>0</v>
      </c>
      <c r="FE357" s="259" t="str">
        <f t="shared" ca="1" si="738"/>
        <v/>
      </c>
      <c r="FF357" s="259" t="str">
        <f t="shared" ca="1" si="720"/>
        <v/>
      </c>
      <c r="FM357" s="259">
        <f t="shared" si="739"/>
        <v>0</v>
      </c>
      <c r="FN357" s="259">
        <f>IF(FM357&lt;0,MAX($FN$2:FN356)+1,0)</f>
        <v>0</v>
      </c>
      <c r="FO357" s="259" t="str">
        <f t="shared" si="745"/>
        <v/>
      </c>
      <c r="FP357" s="259" t="str">
        <f ca="1">IFERROR(INDEX($FN$3:$FO$400,MATCH(ROWS($FP$3:FP357),$FN$3:$FN$400,0),2),"")</f>
        <v/>
      </c>
      <c r="FQ357" s="259" t="str">
        <f>IF(AE357="SE AVERE",MAX($FQ$2:FQ356)+1,"")</f>
        <v/>
      </c>
      <c r="FR357" s="259" t="str">
        <f>IF(AE357="SE DARE",MAX($FR$2:FR356)+1,"")</f>
        <v/>
      </c>
      <c r="FS357" s="259" t="str">
        <f ca="1">IF(AND(AE357="SP DARE",AA357&lt;&gt;$FS$1,AA357&lt;&gt;$FT$1),MAX($FS$2:FS356)+1,IF(AND(GQ357="SP DARE",AA357&lt;&gt;$FS$1,AA357&lt;&gt;$FT$1),MAX($FS$2:FS356)+1,""))</f>
        <v/>
      </c>
      <c r="FT357" s="259" t="str">
        <f ca="1">IF(AND(AE357="SP AVERE",AA357&lt;&gt;$FU$1),MAX($FT$2:FT356)+1,IF(AND(GQ357="SP AVERE",AA357&lt;&gt;$FU$1),MAX($FT$2:FT356)+1,""))</f>
        <v/>
      </c>
      <c r="FU357" s="259">
        <f t="shared" ca="1" si="746"/>
        <v>0</v>
      </c>
      <c r="FV357" s="259">
        <f t="shared" si="747"/>
        <v>0</v>
      </c>
      <c r="FW357" s="259">
        <f ca="1">IFERROR(INDEX($FU$3:$FV$500,MATCH(ROWS($FW$3:FW357),$FU$3:$FU$500,0),2),0)</f>
        <v>0</v>
      </c>
      <c r="FX357" s="259">
        <f t="shared" ca="1" si="748"/>
        <v>0</v>
      </c>
      <c r="FY357" s="259">
        <f t="shared" ca="1" si="749"/>
        <v>0</v>
      </c>
      <c r="FZ357" s="259">
        <f ca="1">IF(FY357&gt;0,MAX($FZ$2:FZ356)+1,0)</f>
        <v>0</v>
      </c>
      <c r="GA357" s="259">
        <f ca="1">IFERROR(INDEX($FY$3:$FZ$500,MATCH(ROWS($GA$3:GA357),$FZ$3:$FZ$500,0),1),0)</f>
        <v>0</v>
      </c>
      <c r="GC357" s="259">
        <f t="shared" ca="1" si="750"/>
        <v>0</v>
      </c>
      <c r="GD357" s="259">
        <f t="shared" ca="1" si="751"/>
        <v>0</v>
      </c>
      <c r="GG357" s="259">
        <f t="shared" ca="1" si="752"/>
        <v>0</v>
      </c>
      <c r="GH357" s="259">
        <f t="shared" ca="1" si="753"/>
        <v>0</v>
      </c>
      <c r="GI357" s="259">
        <f t="shared" ca="1" si="754"/>
        <v>0</v>
      </c>
      <c r="GJ357" s="259">
        <f t="shared" ca="1" si="755"/>
        <v>0</v>
      </c>
      <c r="GK357" s="259">
        <f t="shared" ca="1" si="756"/>
        <v>0</v>
      </c>
      <c r="GL357" s="259">
        <f t="shared" ca="1" si="756"/>
        <v>0</v>
      </c>
      <c r="GM357" s="259">
        <f ca="1">IF(OR(GK357&gt;0,GL357&gt;0),MAX($GM$2:GM356)+1,0)</f>
        <v>0</v>
      </c>
      <c r="GN357" s="259" t="str">
        <f ca="1">IFERROR(INDEX($GD$3:$GM$400,MATCH(ROWS($GN$3:GN357),$GM$3:$GM$400,0),1),"")</f>
        <v/>
      </c>
      <c r="GO357" s="259" t="str">
        <f ca="1">IFERROR(INDEX($GD$3:$GM$400,MATCH(ROWS($GO$3:GO357),$GM$3:$GM$400,0),8),"")</f>
        <v/>
      </c>
      <c r="GP357" s="259" t="str">
        <f ca="1">IFERROR(INDEX($GD$3:$GM$400,MATCH(ROWS($GP$3:GP357),$GM$3:$GM$400,0),9),"")</f>
        <v/>
      </c>
      <c r="GQ357" s="259">
        <f t="shared" ca="1" si="740"/>
        <v>0</v>
      </c>
      <c r="GR357" s="259">
        <f t="shared" ca="1" si="757"/>
        <v>0</v>
      </c>
      <c r="GS357" s="259" t="str">
        <f t="shared" ca="1" si="758"/>
        <v/>
      </c>
      <c r="GT357" s="259" t="str">
        <f ca="1">IFERROR(INDEX($GD$3:$GS$400,MATCH(ROWS($GT$3:GT357),$GM$3:$GM$400,0),16),"")</f>
        <v/>
      </c>
      <c r="GU357" s="259">
        <f ca="1">IF(GQ357&lt;&gt;0,MAX($GU$2:$GU356)+1,0)</f>
        <v>0</v>
      </c>
      <c r="GV357" s="259">
        <f t="shared" ca="1" si="759"/>
        <v>0</v>
      </c>
      <c r="GW357" s="259" t="str">
        <f ca="1">IF(AND(IFERROR(INDEX($GU$3:$GV$400,MATCH(ROWS($GW$3:GW357),$GU$3:$GU$400,0),2),"")&lt;&gt;"",GW358&lt;&gt;""),CONCATENATE(IFERROR(INDEX($GU$3:$GV$400,MATCH(ROWS($GW$3:GW357),$GU$3:$GU$400,0),2),"")," - "),IFERROR(INDEX($GU$3:$GV$400,MATCH(ROWS($GW$3:GW357),$GU$3:$GU$400,0),2),""))</f>
        <v/>
      </c>
      <c r="GX357" s="259">
        <f ca="1">IF(OR(GN357="IVA NS/CREDITO",GN357="IVA NS/DEBITO",GN357="IVA C/ACCONTO",GN357="IMPOSTE C/ACCONTO"),MAX($GX$2:GX356)+1,0)</f>
        <v>0</v>
      </c>
      <c r="GY357" s="259" t="str">
        <f ca="1">IF(AND(IFERROR(INDEX($GN$3:$GX$200,MATCH(ROWS($GY$3:GY357),$GX$3:$GX$200,0),1),"")&lt;&gt;"",GY358&lt;&gt;""),CONCATENATE(IFERROR(INDEX($GN$3:$GX$200,MATCH(ROWS($GY$3:GY357),$GX$3:$GX$200,0),1),"")," - "),IFERROR(INDEX($GN$3:$GX$200,MATCH(ROWS($GY$3:GY357),$GX$3:$GX$200,0),1),""))</f>
        <v/>
      </c>
      <c r="JA357" s="259" t="str">
        <f t="shared" ca="1" si="760"/>
        <v/>
      </c>
      <c r="JB357" s="259">
        <f t="shared" ca="1" si="741"/>
        <v>0</v>
      </c>
      <c r="JC357" s="259">
        <f t="shared" ca="1" si="721"/>
        <v>0</v>
      </c>
      <c r="JD357" s="259">
        <f t="shared" ca="1" si="722"/>
        <v>0</v>
      </c>
      <c r="JM357" s="259">
        <f t="shared" ca="1" si="723"/>
        <v>0</v>
      </c>
    </row>
    <row r="358" spans="52:273">
      <c r="AZ358" s="259" t="str">
        <f t="shared" ca="1" si="770"/>
        <v/>
      </c>
      <c r="BA358" s="259">
        <f t="shared" ca="1" si="713"/>
        <v>0</v>
      </c>
      <c r="BB358" s="259">
        <f t="shared" ca="1" si="771"/>
        <v>0</v>
      </c>
      <c r="BC358" s="259">
        <f t="shared" ca="1" si="772"/>
        <v>0</v>
      </c>
      <c r="BD358" s="259">
        <f t="shared" ca="1" si="773"/>
        <v>0</v>
      </c>
      <c r="BE358" s="259">
        <f t="shared" ca="1" si="774"/>
        <v>0</v>
      </c>
      <c r="BQ358" s="259" t="str">
        <f ca="1">IFERROR(INDEX($BN$3:$BO$200,MATCH(ROWS(BQ$3:BQ358),$BP$3:$BP$220,0),1),"")</f>
        <v/>
      </c>
      <c r="CX358" s="259">
        <f t="shared" ca="1" si="777"/>
        <v>20</v>
      </c>
      <c r="CY358" s="259" t="str">
        <f t="shared" ca="1" si="775"/>
        <v>MASTRO</v>
      </c>
      <c r="CZ358" s="259" t="e">
        <f t="shared" ca="1" si="779"/>
        <v>#N/A</v>
      </c>
      <c r="DA358" s="259" t="str">
        <f t="shared" ca="1" si="784"/>
        <v/>
      </c>
      <c r="DB358" s="259" t="str">
        <f t="shared" ca="1" si="780"/>
        <v/>
      </c>
      <c r="DC358" s="259" t="str">
        <f t="shared" ca="1" si="781"/>
        <v/>
      </c>
      <c r="DD358" s="259" t="str">
        <f t="shared" ca="1" si="782"/>
        <v/>
      </c>
      <c r="DE358" s="259" t="str">
        <f t="shared" ca="1" si="783"/>
        <v/>
      </c>
      <c r="DF358" s="259">
        <f ca="1">IF(AND(CX358=$DE$2,$DF$2&lt;&gt;0),0,IF(AND(DB358&lt;&gt;"",OR(DB357&lt;&gt;"",DB359&lt;&gt;"")),MAX($DF$2:DF357)+1,0))</f>
        <v>0</v>
      </c>
      <c r="DG358" s="259" t="str">
        <f>IF(IF(LIBRO_GIORNALE!E266="","",IFERROR(INDEX(PIANO_DEI_CONTI,MATCH(BB358,DENOMINAZIONE,0),1),0))=0,"",IF(LIBRO_GIORNALE!E266="","",IFERROR(INDEX(PIANO_DEI_CONTI,MATCH(BB358,DENOMINAZIONE,0),1),0)))</f>
        <v/>
      </c>
      <c r="EC358" s="259">
        <f>IF(IF(DG358&lt;&gt;"",REPLACE(DG358,3,1,""),0)&lt;&gt;0,MAX(EC$2:EC357)+1,0)</f>
        <v>0</v>
      </c>
      <c r="ED358" s="259">
        <f t="shared" ca="1" si="734"/>
        <v>0</v>
      </c>
      <c r="EL358" s="259">
        <f t="shared" si="742"/>
        <v>356</v>
      </c>
      <c r="EM358" s="259">
        <f ca="1">IF(AND(BA358&gt;0,BA358&lt;=$EM$1),MAX($EM$2:EM357)+1,0)</f>
        <v>0</v>
      </c>
      <c r="EN358" s="259">
        <f t="shared" ca="1" si="743"/>
        <v>358</v>
      </c>
      <c r="EP358" s="259" t="str">
        <f t="shared" ca="1" si="735"/>
        <v/>
      </c>
      <c r="EQ358" s="259">
        <f t="shared" ca="1" si="736"/>
        <v>0</v>
      </c>
      <c r="ER358" s="259">
        <f ca="1">IF(ISNA(EQ358),MAX(ER$2:ER357)+1,0)</f>
        <v>0</v>
      </c>
      <c r="ES358" s="259" t="str">
        <f t="shared" ca="1" si="744"/>
        <v/>
      </c>
      <c r="ET358" s="259" t="str">
        <f ca="1">IFERROR(UPPER(INDEX($ER$3:$ES$500,MATCH(ROWS(ET$3:ET358),$ER$3:$ER$500,0),2)),"")</f>
        <v/>
      </c>
      <c r="EW358" s="259">
        <f t="shared" ca="1" si="714"/>
        <v>1</v>
      </c>
      <c r="EX358" s="259">
        <v>256</v>
      </c>
      <c r="EY358" s="259">
        <f t="shared" ca="1" si="715"/>
        <v>0</v>
      </c>
      <c r="EZ358" s="259">
        <f t="shared" ca="1" si="716"/>
        <v>0</v>
      </c>
      <c r="FA358" s="259">
        <f t="shared" ca="1" si="717"/>
        <v>0</v>
      </c>
      <c r="FB358" s="259">
        <f t="shared" ca="1" si="718"/>
        <v>0</v>
      </c>
      <c r="FC358" s="259">
        <f t="shared" ca="1" si="719"/>
        <v>0</v>
      </c>
      <c r="FD358" s="259">
        <f t="shared" ca="1" si="737"/>
        <v>0</v>
      </c>
      <c r="FE358" s="259" t="str">
        <f t="shared" ca="1" si="738"/>
        <v/>
      </c>
      <c r="FF358" s="259" t="str">
        <f t="shared" ca="1" si="720"/>
        <v/>
      </c>
      <c r="FM358" s="259">
        <f t="shared" si="739"/>
        <v>0</v>
      </c>
      <c r="FN358" s="259">
        <f>IF(FM358&lt;0,MAX($FN$2:FN357)+1,0)</f>
        <v>0</v>
      </c>
      <c r="FO358" s="259" t="str">
        <f t="shared" si="745"/>
        <v/>
      </c>
      <c r="FP358" s="259" t="str">
        <f ca="1">IFERROR(INDEX($FN$3:$FO$400,MATCH(ROWS($FP$3:FP358),$FN$3:$FN$400,0),2),"")</f>
        <v/>
      </c>
      <c r="FQ358" s="259" t="str">
        <f>IF(AE358="SE AVERE",MAX($FQ$2:FQ357)+1,"")</f>
        <v/>
      </c>
      <c r="FR358" s="259" t="str">
        <f>IF(AE358="SE DARE",MAX($FR$2:FR357)+1,"")</f>
        <v/>
      </c>
      <c r="FS358" s="259" t="str">
        <f ca="1">IF(AND(AE358="SP DARE",AA358&lt;&gt;$FS$1,AA358&lt;&gt;$FT$1),MAX($FS$2:FS357)+1,IF(AND(GQ358="SP DARE",AA358&lt;&gt;$FS$1,AA358&lt;&gt;$FT$1),MAX($FS$2:FS357)+1,""))</f>
        <v/>
      </c>
      <c r="FT358" s="259" t="str">
        <f ca="1">IF(AND(AE358="SP AVERE",AA358&lt;&gt;$FU$1),MAX($FT$2:FT357)+1,IF(AND(GQ358="SP AVERE",AA358&lt;&gt;$FU$1),MAX($FT$2:FT357)+1,""))</f>
        <v/>
      </c>
      <c r="FU358" s="259">
        <f t="shared" ca="1" si="746"/>
        <v>0</v>
      </c>
      <c r="FV358" s="259">
        <f t="shared" si="747"/>
        <v>0</v>
      </c>
      <c r="FW358" s="259">
        <f ca="1">IFERROR(INDEX($FU$3:$FV$500,MATCH(ROWS($FW$3:FW358),$FU$3:$FU$500,0),2),0)</f>
        <v>0</v>
      </c>
      <c r="FX358" s="259">
        <f t="shared" ca="1" si="748"/>
        <v>0</v>
      </c>
      <c r="FY358" s="259">
        <f t="shared" ca="1" si="749"/>
        <v>0</v>
      </c>
      <c r="FZ358" s="259">
        <f ca="1">IF(FY358&gt;0,MAX($FZ$2:FZ357)+1,0)</f>
        <v>0</v>
      </c>
      <c r="GA358" s="259">
        <f ca="1">IFERROR(INDEX($FY$3:$FZ$500,MATCH(ROWS($GA$3:GA358),$FZ$3:$FZ$500,0),1),0)</f>
        <v>0</v>
      </c>
      <c r="GC358" s="259">
        <f t="shared" ca="1" si="750"/>
        <v>0</v>
      </c>
      <c r="GD358" s="259">
        <f t="shared" ca="1" si="751"/>
        <v>0</v>
      </c>
      <c r="GG358" s="259">
        <f t="shared" ca="1" si="752"/>
        <v>0</v>
      </c>
      <c r="GH358" s="259">
        <f t="shared" ca="1" si="753"/>
        <v>0</v>
      </c>
      <c r="GI358" s="259">
        <f t="shared" ca="1" si="754"/>
        <v>0</v>
      </c>
      <c r="GJ358" s="259">
        <f t="shared" ca="1" si="755"/>
        <v>0</v>
      </c>
      <c r="GK358" s="259">
        <f t="shared" ca="1" si="756"/>
        <v>0</v>
      </c>
      <c r="GL358" s="259">
        <f t="shared" ca="1" si="756"/>
        <v>0</v>
      </c>
      <c r="GM358" s="259">
        <f ca="1">IF(OR(GK358&gt;0,GL358&gt;0),MAX($GM$2:GM357)+1,0)</f>
        <v>0</v>
      </c>
      <c r="GN358" s="259" t="str">
        <f ca="1">IFERROR(INDEX($GD$3:$GM$400,MATCH(ROWS($GN$3:GN358),$GM$3:$GM$400,0),1),"")</f>
        <v/>
      </c>
      <c r="GO358" s="259" t="str">
        <f ca="1">IFERROR(INDEX($GD$3:$GM$400,MATCH(ROWS($GO$3:GO358),$GM$3:$GM$400,0),8),"")</f>
        <v/>
      </c>
      <c r="GP358" s="259" t="str">
        <f ca="1">IFERROR(INDEX($GD$3:$GM$400,MATCH(ROWS($GP$3:GP358),$GM$3:$GM$400,0),9),"")</f>
        <v/>
      </c>
      <c r="GQ358" s="259">
        <f t="shared" ca="1" si="740"/>
        <v>0</v>
      </c>
      <c r="GR358" s="259">
        <f t="shared" ca="1" si="757"/>
        <v>0</v>
      </c>
      <c r="GS358" s="259" t="str">
        <f t="shared" ca="1" si="758"/>
        <v/>
      </c>
      <c r="GT358" s="259" t="str">
        <f ca="1">IFERROR(INDEX($GD$3:$GS$400,MATCH(ROWS($GT$3:GT358),$GM$3:$GM$400,0),16),"")</f>
        <v/>
      </c>
      <c r="GU358" s="259">
        <f ca="1">IF(GQ358&lt;&gt;0,MAX($GU$2:$GU357)+1,0)</f>
        <v>0</v>
      </c>
      <c r="GV358" s="259">
        <f t="shared" ca="1" si="759"/>
        <v>0</v>
      </c>
      <c r="GW358" s="259" t="str">
        <f ca="1">IF(AND(IFERROR(INDEX($GU$3:$GV$400,MATCH(ROWS($GW$3:GW358),$GU$3:$GU$400,0),2),"")&lt;&gt;"",GW359&lt;&gt;""),CONCATENATE(IFERROR(INDEX($GU$3:$GV$400,MATCH(ROWS($GW$3:GW358),$GU$3:$GU$400,0),2),"")," - "),IFERROR(INDEX($GU$3:$GV$400,MATCH(ROWS($GW$3:GW358),$GU$3:$GU$400,0),2),""))</f>
        <v/>
      </c>
      <c r="GX358" s="259">
        <f ca="1">IF(OR(GN358="IVA NS/CREDITO",GN358="IVA NS/DEBITO",GN358="IVA C/ACCONTO",GN358="IMPOSTE C/ACCONTO"),MAX($GX$2:GX357)+1,0)</f>
        <v>0</v>
      </c>
      <c r="GY358" s="259" t="str">
        <f ca="1">IF(AND(IFERROR(INDEX($GN$3:$GX$200,MATCH(ROWS($GY$3:GY358),$GX$3:$GX$200,0),1),"")&lt;&gt;"",GY359&lt;&gt;""),CONCATENATE(IFERROR(INDEX($GN$3:$GX$200,MATCH(ROWS($GY$3:GY358),$GX$3:$GX$200,0),1),"")," - "),IFERROR(INDEX($GN$3:$GX$200,MATCH(ROWS($GY$3:GY358),$GX$3:$GX$200,0),1),""))</f>
        <v/>
      </c>
      <c r="JA358" s="259" t="str">
        <f t="shared" ca="1" si="760"/>
        <v/>
      </c>
      <c r="JB358" s="259">
        <f t="shared" ca="1" si="741"/>
        <v>0</v>
      </c>
      <c r="JC358" s="259">
        <f t="shared" ca="1" si="721"/>
        <v>0</v>
      </c>
      <c r="JD358" s="259">
        <f t="shared" ca="1" si="722"/>
        <v>0</v>
      </c>
      <c r="JM358" s="259">
        <f t="shared" ca="1" si="723"/>
        <v>0</v>
      </c>
    </row>
    <row r="359" spans="52:273">
      <c r="AZ359" s="259" t="str">
        <f t="shared" ca="1" si="770"/>
        <v/>
      </c>
      <c r="BA359" s="259">
        <f t="shared" ref="BA359:BA422" ca="1" si="785">IF(AND(EY259&gt;=INIZIO_AC,EY259&gt;=INIZIO_A_PC,EY259&lt;=FINE_AC),EY259,0)</f>
        <v>0</v>
      </c>
      <c r="BB359" s="259">
        <f t="shared" ca="1" si="771"/>
        <v>0</v>
      </c>
      <c r="BC359" s="259">
        <f t="shared" ca="1" si="772"/>
        <v>0</v>
      </c>
      <c r="BD359" s="259">
        <f t="shared" ca="1" si="773"/>
        <v>0</v>
      </c>
      <c r="BE359" s="259">
        <f t="shared" ca="1" si="774"/>
        <v>0</v>
      </c>
      <c r="BQ359" s="259" t="str">
        <f ca="1">IFERROR(INDEX($BN$3:$BO$200,MATCH(ROWS(BQ$3:BQ359),$BP$3:$BP$220,0),1),"")</f>
        <v/>
      </c>
      <c r="CX359" s="259">
        <f t="shared" ca="1" si="777"/>
        <v>20</v>
      </c>
      <c r="CY359" s="259" t="str">
        <f t="shared" ca="1" si="775"/>
        <v>MASTRO</v>
      </c>
      <c r="CZ359" s="259" t="e">
        <f t="shared" ca="1" si="779"/>
        <v>#N/A</v>
      </c>
      <c r="DA359" s="259" t="str">
        <f t="shared" ca="1" si="784"/>
        <v/>
      </c>
      <c r="DB359" s="259" t="str">
        <f t="shared" ca="1" si="780"/>
        <v/>
      </c>
      <c r="DC359" s="259" t="str">
        <f t="shared" ca="1" si="781"/>
        <v/>
      </c>
      <c r="DD359" s="259" t="str">
        <f t="shared" ca="1" si="782"/>
        <v/>
      </c>
      <c r="DE359" s="259" t="str">
        <f t="shared" ca="1" si="783"/>
        <v/>
      </c>
      <c r="DF359" s="259">
        <f ca="1">IF(AND(CX359=$DE$2,$DF$2&lt;&gt;0),0,IF(AND(DB359&lt;&gt;"",OR(DB358&lt;&gt;"",DB360&lt;&gt;"")),MAX($DF$2:DF358)+1,0))</f>
        <v>0</v>
      </c>
      <c r="DG359" s="259" t="str">
        <f>IF(IF(LIBRO_GIORNALE!E267="","",IFERROR(INDEX(PIANO_DEI_CONTI,MATCH(BB359,DENOMINAZIONE,0),1),0))=0,"",IF(LIBRO_GIORNALE!E267="","",IFERROR(INDEX(PIANO_DEI_CONTI,MATCH(BB359,DENOMINAZIONE,0),1),0)))</f>
        <v/>
      </c>
      <c r="EC359" s="259">
        <f>IF(IF(DG359&lt;&gt;"",REPLACE(DG359,3,1,""),0)&lt;&gt;0,MAX(EC$2:EC358)+1,0)</f>
        <v>0</v>
      </c>
      <c r="ED359" s="259">
        <f t="shared" ca="1" si="734"/>
        <v>0</v>
      </c>
      <c r="EL359" s="259">
        <f t="shared" si="742"/>
        <v>357</v>
      </c>
      <c r="EM359" s="259">
        <f ca="1">IF(AND(BA359&gt;0,BA359&lt;=$EM$1),MAX($EM$2:EM358)+1,0)</f>
        <v>0</v>
      </c>
      <c r="EN359" s="259">
        <f t="shared" ca="1" si="743"/>
        <v>359</v>
      </c>
      <c r="EP359" s="259" t="str">
        <f t="shared" ca="1" si="735"/>
        <v/>
      </c>
      <c r="EQ359" s="259">
        <f t="shared" ca="1" si="736"/>
        <v>0</v>
      </c>
      <c r="ER359" s="259">
        <f ca="1">IF(ISNA(EQ359),MAX(ER$2:ER358)+1,0)</f>
        <v>0</v>
      </c>
      <c r="ES359" s="259" t="str">
        <f t="shared" ca="1" si="744"/>
        <v/>
      </c>
      <c r="ET359" s="259" t="str">
        <f ca="1">IFERROR(UPPER(INDEX($ER$3:$ES$500,MATCH(ROWS(ET$3:ET359),$ER$3:$ER$500,0),2)),"")</f>
        <v/>
      </c>
      <c r="EW359" s="259">
        <f t="shared" ca="1" si="714"/>
        <v>1</v>
      </c>
      <c r="EX359" s="259">
        <v>257</v>
      </c>
      <c r="EY359" s="259">
        <f t="shared" ca="1" si="715"/>
        <v>0</v>
      </c>
      <c r="EZ359" s="259">
        <f t="shared" ca="1" si="716"/>
        <v>0</v>
      </c>
      <c r="FA359" s="259">
        <f t="shared" ca="1" si="717"/>
        <v>0</v>
      </c>
      <c r="FB359" s="259">
        <f t="shared" ca="1" si="718"/>
        <v>0</v>
      </c>
      <c r="FC359" s="259">
        <f t="shared" ca="1" si="719"/>
        <v>0</v>
      </c>
      <c r="FD359" s="259">
        <f t="shared" ca="1" si="737"/>
        <v>0</v>
      </c>
      <c r="FE359" s="259" t="str">
        <f t="shared" ca="1" si="738"/>
        <v/>
      </c>
      <c r="FF359" s="259" t="str">
        <f t="shared" ca="1" si="720"/>
        <v/>
      </c>
      <c r="FM359" s="259">
        <f t="shared" si="739"/>
        <v>0</v>
      </c>
      <c r="FN359" s="259">
        <f>IF(FM359&lt;0,MAX($FN$2:FN358)+1,0)</f>
        <v>0</v>
      </c>
      <c r="FO359" s="259" t="str">
        <f t="shared" si="745"/>
        <v/>
      </c>
      <c r="FP359" s="259" t="str">
        <f ca="1">IFERROR(INDEX($FN$3:$FO$400,MATCH(ROWS($FP$3:FP359),$FN$3:$FN$400,0),2),"")</f>
        <v/>
      </c>
      <c r="FQ359" s="259" t="str">
        <f>IF(AE359="SE AVERE",MAX($FQ$2:FQ358)+1,"")</f>
        <v/>
      </c>
      <c r="FR359" s="259" t="str">
        <f>IF(AE359="SE DARE",MAX($FR$2:FR358)+1,"")</f>
        <v/>
      </c>
      <c r="FS359" s="259" t="str">
        <f ca="1">IF(AND(AE359="SP DARE",AA359&lt;&gt;$FS$1,AA359&lt;&gt;$FT$1),MAX($FS$2:FS358)+1,IF(AND(GQ359="SP DARE",AA359&lt;&gt;$FS$1,AA359&lt;&gt;$FT$1),MAX($FS$2:FS358)+1,""))</f>
        <v/>
      </c>
      <c r="FT359" s="259" t="str">
        <f ca="1">IF(AND(AE359="SP AVERE",AA359&lt;&gt;$FU$1),MAX($FT$2:FT358)+1,IF(AND(GQ359="SP AVERE",AA359&lt;&gt;$FU$1),MAX($FT$2:FT358)+1,""))</f>
        <v/>
      </c>
      <c r="FU359" s="259">
        <f t="shared" ca="1" si="746"/>
        <v>0</v>
      </c>
      <c r="FV359" s="259">
        <f t="shared" si="747"/>
        <v>0</v>
      </c>
      <c r="FW359" s="259">
        <f ca="1">IFERROR(INDEX($FU$3:$FV$500,MATCH(ROWS($FW$3:FW359),$FU$3:$FU$500,0),2),0)</f>
        <v>0</v>
      </c>
      <c r="FX359" s="259">
        <f t="shared" ca="1" si="748"/>
        <v>0</v>
      </c>
      <c r="FY359" s="259">
        <f t="shared" ca="1" si="749"/>
        <v>0</v>
      </c>
      <c r="FZ359" s="259">
        <f ca="1">IF(FY359&gt;0,MAX($FZ$2:FZ358)+1,0)</f>
        <v>0</v>
      </c>
      <c r="GA359" s="259">
        <f ca="1">IFERROR(INDEX($FY$3:$FZ$500,MATCH(ROWS($GA$3:GA359),$FZ$3:$FZ$500,0),1),0)</f>
        <v>0</v>
      </c>
      <c r="GC359" s="259">
        <f t="shared" ca="1" si="750"/>
        <v>0</v>
      </c>
      <c r="GD359" s="259">
        <f t="shared" ca="1" si="751"/>
        <v>0</v>
      </c>
      <c r="GG359" s="259">
        <f t="shared" ca="1" si="752"/>
        <v>0</v>
      </c>
      <c r="GH359" s="259">
        <f t="shared" ca="1" si="753"/>
        <v>0</v>
      </c>
      <c r="GI359" s="259">
        <f t="shared" ca="1" si="754"/>
        <v>0</v>
      </c>
      <c r="GJ359" s="259">
        <f t="shared" ca="1" si="755"/>
        <v>0</v>
      </c>
      <c r="GK359" s="259">
        <f t="shared" ca="1" si="756"/>
        <v>0</v>
      </c>
      <c r="GL359" s="259">
        <f t="shared" ca="1" si="756"/>
        <v>0</v>
      </c>
      <c r="GM359" s="259">
        <f ca="1">IF(OR(GK359&gt;0,GL359&gt;0),MAX($GM$2:GM358)+1,0)</f>
        <v>0</v>
      </c>
      <c r="GN359" s="259" t="str">
        <f ca="1">IFERROR(INDEX($GD$3:$GM$400,MATCH(ROWS($GN$3:GN359),$GM$3:$GM$400,0),1),"")</f>
        <v/>
      </c>
      <c r="GO359" s="259" t="str">
        <f ca="1">IFERROR(INDEX($GD$3:$GM$400,MATCH(ROWS($GO$3:GO359),$GM$3:$GM$400,0),8),"")</f>
        <v/>
      </c>
      <c r="GP359" s="259" t="str">
        <f ca="1">IFERROR(INDEX($GD$3:$GM$400,MATCH(ROWS($GP$3:GP359),$GM$3:$GM$400,0),9),"")</f>
        <v/>
      </c>
      <c r="GQ359" s="259">
        <f t="shared" ca="1" si="740"/>
        <v>0</v>
      </c>
      <c r="GR359" s="259">
        <f t="shared" ca="1" si="757"/>
        <v>0</v>
      </c>
      <c r="GS359" s="259" t="str">
        <f t="shared" ca="1" si="758"/>
        <v/>
      </c>
      <c r="GT359" s="259" t="str">
        <f ca="1">IFERROR(INDEX($GD$3:$GS$400,MATCH(ROWS($GT$3:GT359),$GM$3:$GM$400,0),16),"")</f>
        <v/>
      </c>
      <c r="GU359" s="259">
        <f ca="1">IF(GQ359&lt;&gt;0,MAX($GU$2:$GU358)+1,0)</f>
        <v>0</v>
      </c>
      <c r="GV359" s="259">
        <f t="shared" ca="1" si="759"/>
        <v>0</v>
      </c>
      <c r="GW359" s="259" t="str">
        <f ca="1">IF(AND(IFERROR(INDEX($GU$3:$GV$400,MATCH(ROWS($GW$3:GW359),$GU$3:$GU$400,0),2),"")&lt;&gt;"",GW360&lt;&gt;""),CONCATENATE(IFERROR(INDEX($GU$3:$GV$400,MATCH(ROWS($GW$3:GW359),$GU$3:$GU$400,0),2),"")," - "),IFERROR(INDEX($GU$3:$GV$400,MATCH(ROWS($GW$3:GW359),$GU$3:$GU$400,0),2),""))</f>
        <v/>
      </c>
      <c r="GX359" s="259">
        <f ca="1">IF(OR(GN359="IVA NS/CREDITO",GN359="IVA NS/DEBITO",GN359="IVA C/ACCONTO",GN359="IMPOSTE C/ACCONTO"),MAX($GX$2:GX358)+1,0)</f>
        <v>0</v>
      </c>
      <c r="GY359" s="259" t="str">
        <f ca="1">IF(AND(IFERROR(INDEX($GN$3:$GX$200,MATCH(ROWS($GY$3:GY359),$GX$3:$GX$200,0),1),"")&lt;&gt;"",GY360&lt;&gt;""),CONCATENATE(IFERROR(INDEX($GN$3:$GX$200,MATCH(ROWS($GY$3:GY359),$GX$3:$GX$200,0),1),"")," - "),IFERROR(INDEX($GN$3:$GX$200,MATCH(ROWS($GY$3:GY359),$GX$3:$GX$200,0),1),""))</f>
        <v/>
      </c>
      <c r="JA359" s="259" t="str">
        <f t="shared" ca="1" si="760"/>
        <v/>
      </c>
      <c r="JB359" s="259">
        <f t="shared" ca="1" si="741"/>
        <v>0</v>
      </c>
      <c r="JC359" s="259">
        <f t="shared" ca="1" si="721"/>
        <v>0</v>
      </c>
      <c r="JD359" s="259">
        <f t="shared" ca="1" si="722"/>
        <v>0</v>
      </c>
      <c r="JM359" s="259">
        <f t="shared" ca="1" si="723"/>
        <v>0</v>
      </c>
    </row>
    <row r="360" spans="52:273">
      <c r="AZ360" s="259" t="str">
        <f t="shared" ca="1" si="770"/>
        <v/>
      </c>
      <c r="BA360" s="259">
        <f t="shared" ca="1" si="785"/>
        <v>0</v>
      </c>
      <c r="BB360" s="259">
        <f t="shared" ca="1" si="771"/>
        <v>0</v>
      </c>
      <c r="BC360" s="259">
        <f t="shared" ca="1" si="772"/>
        <v>0</v>
      </c>
      <c r="BD360" s="259">
        <f t="shared" ca="1" si="773"/>
        <v>0</v>
      </c>
      <c r="BE360" s="259">
        <f t="shared" ca="1" si="774"/>
        <v>0</v>
      </c>
      <c r="BQ360" s="259" t="str">
        <f ca="1">IFERROR(INDEX($BN$3:$BO$200,MATCH(ROWS(BQ$3:BQ360),$BP$3:$BP$220,0),1),"")</f>
        <v/>
      </c>
      <c r="CX360" s="259">
        <f t="shared" ca="1" si="777"/>
        <v>20</v>
      </c>
      <c r="CY360" s="259" t="str">
        <f t="shared" ca="1" si="775"/>
        <v>MASTRO</v>
      </c>
      <c r="CZ360" s="259" t="e">
        <f t="shared" ca="1" si="779"/>
        <v>#N/A</v>
      </c>
      <c r="DA360" s="259" t="str">
        <f t="shared" ca="1" si="784"/>
        <v/>
      </c>
      <c r="DB360" s="259" t="str">
        <f t="shared" ca="1" si="780"/>
        <v/>
      </c>
      <c r="DC360" s="259" t="str">
        <f t="shared" ca="1" si="781"/>
        <v/>
      </c>
      <c r="DD360" s="259" t="str">
        <f t="shared" ca="1" si="782"/>
        <v/>
      </c>
      <c r="DE360" s="259" t="str">
        <f t="shared" ca="1" si="783"/>
        <v/>
      </c>
      <c r="DF360" s="259">
        <f ca="1">IF(AND(CX360=$DE$2,$DF$2&lt;&gt;0),0,IF(AND(DB360&lt;&gt;"",OR(DB359&lt;&gt;"",DB361&lt;&gt;"")),MAX($DF$2:DF359)+1,0))</f>
        <v>0</v>
      </c>
      <c r="DG360" s="259" t="str">
        <f>IF(IF(LIBRO_GIORNALE!E268="","",IFERROR(INDEX(PIANO_DEI_CONTI,MATCH(BB360,DENOMINAZIONE,0),1),0))=0,"",IF(LIBRO_GIORNALE!E268="","",IFERROR(INDEX(PIANO_DEI_CONTI,MATCH(BB360,DENOMINAZIONE,0),1),0)))</f>
        <v/>
      </c>
      <c r="EC360" s="259">
        <f>IF(IF(DG360&lt;&gt;"",REPLACE(DG360,3,1,""),0)&lt;&gt;0,MAX(EC$2:EC359)+1,0)</f>
        <v>0</v>
      </c>
      <c r="ED360" s="259">
        <f t="shared" ca="1" si="734"/>
        <v>0</v>
      </c>
      <c r="EL360" s="259">
        <f t="shared" si="742"/>
        <v>358</v>
      </c>
      <c r="EM360" s="259">
        <f ca="1">IF(AND(BA360&gt;0,BA360&lt;=$EM$1),MAX($EM$2:EM359)+1,0)</f>
        <v>0</v>
      </c>
      <c r="EN360" s="259">
        <f t="shared" ca="1" si="743"/>
        <v>360</v>
      </c>
      <c r="EP360" s="259" t="str">
        <f t="shared" ca="1" si="735"/>
        <v/>
      </c>
      <c r="EQ360" s="259">
        <f t="shared" ca="1" si="736"/>
        <v>0</v>
      </c>
      <c r="ER360" s="259">
        <f ca="1">IF(ISNA(EQ360),MAX(ER$2:ER359)+1,0)</f>
        <v>0</v>
      </c>
      <c r="ES360" s="259" t="str">
        <f t="shared" ca="1" si="744"/>
        <v/>
      </c>
      <c r="ET360" s="259" t="str">
        <f ca="1">IFERROR(UPPER(INDEX($ER$3:$ES$500,MATCH(ROWS(ET$3:ET360),$ER$3:$ER$500,0),2)),"")</f>
        <v/>
      </c>
      <c r="EW360" s="259">
        <f t="shared" ref="EW360:EW400" ca="1" si="786">IF(AND($EX$3&lt;&gt;0,EX360&gt;=$EX$3),0,1)</f>
        <v>1</v>
      </c>
      <c r="EX360" s="259">
        <v>258</v>
      </c>
      <c r="EY360" s="259">
        <f t="shared" ref="EY360:EY400" ca="1" si="787">IF(EW360=0,0,INDIRECT(ADDRESS(ROW()-92,COLUMN()-151,,,"LIBRO_GIORNALE")))</f>
        <v>0</v>
      </c>
      <c r="EZ360" s="259">
        <f t="shared" ref="EZ360:EZ400" ca="1" si="788">IF(EW360=0,0,INDIRECT(ADDRESS(ROW()-92,COLUMN()-151,,,"LIBRO_GIORNALE")))</f>
        <v>0</v>
      </c>
      <c r="FA360" s="259">
        <f t="shared" ref="FA360:FA400" ca="1" si="789">IF(EW360=0,0,INDIRECT(ADDRESS(ROW()-92,COLUMN()-151,,,"LIBRO_GIORNALE")))</f>
        <v>0</v>
      </c>
      <c r="FB360" s="259">
        <f t="shared" ref="FB360:FB400" ca="1" si="790">IF(EZ360=0,0,ROUND(IF(EW360=0,0,INDIRECT(ADDRESS(ROW()-92,COLUMN()-151,,,"LIBRO_GIORNALE"))),2))</f>
        <v>0</v>
      </c>
      <c r="FC360" s="259">
        <f t="shared" ref="FC360:FC400" ca="1" si="791">IF(EZ360=0,0,ROUND(IF(EW360=0,0,INDIRECT(ADDRESS(ROW()-92,COLUMN()-151,,,"LIBRO_GIORNALE"))),2))</f>
        <v>0</v>
      </c>
      <c r="FD360" s="259">
        <f t="shared" ca="1" si="737"/>
        <v>0</v>
      </c>
      <c r="FE360" s="259" t="str">
        <f t="shared" ca="1" si="738"/>
        <v/>
      </c>
      <c r="FF360" s="259" t="str">
        <f t="shared" ref="FF360:FF400" ca="1" si="792">IF(EZ360&lt;&gt;0,ROW()-102,"")</f>
        <v/>
      </c>
      <c r="FM360" s="259">
        <f t="shared" si="739"/>
        <v>0</v>
      </c>
      <c r="FN360" s="259">
        <f>IF(FM360&lt;0,MAX($FN$2:FN359)+1,0)</f>
        <v>0</v>
      </c>
      <c r="FO360" s="259" t="str">
        <f t="shared" si="745"/>
        <v/>
      </c>
      <c r="FP360" s="259" t="str">
        <f ca="1">IFERROR(INDEX($FN$3:$FO$400,MATCH(ROWS($FP$3:FP360),$FN$3:$FN$400,0),2),"")</f>
        <v/>
      </c>
      <c r="FQ360" s="259" t="str">
        <f>IF(AE360="SE AVERE",MAX($FQ$2:FQ359)+1,"")</f>
        <v/>
      </c>
      <c r="FR360" s="259" t="str">
        <f>IF(AE360="SE DARE",MAX($FR$2:FR359)+1,"")</f>
        <v/>
      </c>
      <c r="FS360" s="259" t="str">
        <f ca="1">IF(AND(AE360="SP DARE",AA360&lt;&gt;$FS$1,AA360&lt;&gt;$FT$1),MAX($FS$2:FS359)+1,IF(AND(GQ360="SP DARE",AA360&lt;&gt;$FS$1,AA360&lt;&gt;$FT$1),MAX($FS$2:FS359)+1,""))</f>
        <v/>
      </c>
      <c r="FT360" s="259" t="str">
        <f ca="1">IF(AND(AE360="SP AVERE",AA360&lt;&gt;$FU$1),MAX($FT$2:FT359)+1,IF(AND(GQ360="SP AVERE",AA360&lt;&gt;$FU$1),MAX($FT$2:FT359)+1,""))</f>
        <v/>
      </c>
      <c r="FU360" s="259">
        <f t="shared" ca="1" si="746"/>
        <v>0</v>
      </c>
      <c r="FV360" s="259">
        <f t="shared" si="747"/>
        <v>0</v>
      </c>
      <c r="FW360" s="259">
        <f ca="1">IFERROR(INDEX($FU$3:$FV$500,MATCH(ROWS($FW$3:FW360),$FU$3:$FU$500,0),2),0)</f>
        <v>0</v>
      </c>
      <c r="FX360" s="259">
        <f t="shared" ca="1" si="748"/>
        <v>0</v>
      </c>
      <c r="FY360" s="259">
        <f t="shared" ca="1" si="749"/>
        <v>0</v>
      </c>
      <c r="FZ360" s="259">
        <f ca="1">IF(FY360&gt;0,MAX($FZ$2:FZ359)+1,0)</f>
        <v>0</v>
      </c>
      <c r="GA360" s="259">
        <f ca="1">IFERROR(INDEX($FY$3:$FZ$500,MATCH(ROWS($GA$3:GA360),$FZ$3:$FZ$500,0),1),0)</f>
        <v>0</v>
      </c>
      <c r="GC360" s="259">
        <f t="shared" ca="1" si="750"/>
        <v>0</v>
      </c>
      <c r="GD360" s="259">
        <f t="shared" ca="1" si="751"/>
        <v>0</v>
      </c>
      <c r="GG360" s="259">
        <f t="shared" ca="1" si="752"/>
        <v>0</v>
      </c>
      <c r="GH360" s="259">
        <f t="shared" ca="1" si="753"/>
        <v>0</v>
      </c>
      <c r="GI360" s="259">
        <f t="shared" ca="1" si="754"/>
        <v>0</v>
      </c>
      <c r="GJ360" s="259">
        <f t="shared" ca="1" si="755"/>
        <v>0</v>
      </c>
      <c r="GK360" s="259">
        <f t="shared" ca="1" si="756"/>
        <v>0</v>
      </c>
      <c r="GL360" s="259">
        <f t="shared" ca="1" si="756"/>
        <v>0</v>
      </c>
      <c r="GM360" s="259">
        <f ca="1">IF(OR(GK360&gt;0,GL360&gt;0),MAX($GM$2:GM359)+1,0)</f>
        <v>0</v>
      </c>
      <c r="GN360" s="259" t="str">
        <f ca="1">IFERROR(INDEX($GD$3:$GM$400,MATCH(ROWS($GN$3:GN360),$GM$3:$GM$400,0),1),"")</f>
        <v/>
      </c>
      <c r="GO360" s="259" t="str">
        <f ca="1">IFERROR(INDEX($GD$3:$GM$400,MATCH(ROWS($GO$3:GO360),$GM$3:$GM$400,0),8),"")</f>
        <v/>
      </c>
      <c r="GP360" s="259" t="str">
        <f ca="1">IFERROR(INDEX($GD$3:$GM$400,MATCH(ROWS($GP$3:GP360),$GM$3:$GM$400,0),9),"")</f>
        <v/>
      </c>
      <c r="GQ360" s="259">
        <f t="shared" ca="1" si="740"/>
        <v>0</v>
      </c>
      <c r="GR360" s="259">
        <f t="shared" ca="1" si="757"/>
        <v>0</v>
      </c>
      <c r="GS360" s="259" t="str">
        <f t="shared" ca="1" si="758"/>
        <v/>
      </c>
      <c r="GT360" s="259" t="str">
        <f ca="1">IFERROR(INDEX($GD$3:$GS$400,MATCH(ROWS($GT$3:GT360),$GM$3:$GM$400,0),16),"")</f>
        <v/>
      </c>
      <c r="GU360" s="259">
        <f ca="1">IF(GQ360&lt;&gt;0,MAX($GU$2:$GU359)+1,0)</f>
        <v>0</v>
      </c>
      <c r="GV360" s="259">
        <f t="shared" ca="1" si="759"/>
        <v>0</v>
      </c>
      <c r="GW360" s="259" t="str">
        <f ca="1">IF(AND(IFERROR(INDEX($GU$3:$GV$400,MATCH(ROWS($GW$3:GW360),$GU$3:$GU$400,0),2),"")&lt;&gt;"",GW361&lt;&gt;""),CONCATENATE(IFERROR(INDEX($GU$3:$GV$400,MATCH(ROWS($GW$3:GW360),$GU$3:$GU$400,0),2),"")," - "),IFERROR(INDEX($GU$3:$GV$400,MATCH(ROWS($GW$3:GW360),$GU$3:$GU$400,0),2),""))</f>
        <v/>
      </c>
      <c r="GX360" s="259">
        <f ca="1">IF(OR(GN360="IVA NS/CREDITO",GN360="IVA NS/DEBITO",GN360="IVA C/ACCONTO",GN360="IMPOSTE C/ACCONTO"),MAX($GX$2:GX359)+1,0)</f>
        <v>0</v>
      </c>
      <c r="GY360" s="259" t="str">
        <f ca="1">IF(AND(IFERROR(INDEX($GN$3:$GX$200,MATCH(ROWS($GY$3:GY360),$GX$3:$GX$200,0),1),"")&lt;&gt;"",GY361&lt;&gt;""),CONCATENATE(IFERROR(INDEX($GN$3:$GX$200,MATCH(ROWS($GY$3:GY360),$GX$3:$GX$200,0),1),"")," - "),IFERROR(INDEX($GN$3:$GX$200,MATCH(ROWS($GY$3:GY360),$GX$3:$GX$200,0),1),""))</f>
        <v/>
      </c>
      <c r="JA360" s="259" t="str">
        <f t="shared" ca="1" si="760"/>
        <v/>
      </c>
      <c r="JB360" s="259">
        <f t="shared" ca="1" si="741"/>
        <v>0</v>
      </c>
      <c r="JC360" s="259">
        <f t="shared" ref="JC360:JC400" ca="1" si="793">IF(OR(FB360&lt;0,FC360&lt;0),1,0)</f>
        <v>0</v>
      </c>
      <c r="JD360" s="259">
        <f t="shared" ref="JD360:JD400" ca="1" si="794">IF(AND(FB360&lt;&gt;0,FC360&lt;&gt;0),1,0)</f>
        <v>0</v>
      </c>
      <c r="JM360" s="259">
        <f t="shared" ref="JM360:JM400" ca="1" si="795">IF(AND(EY360&gt;0,EY360&gt;EY361,EY361&lt;&gt;0),1,0)</f>
        <v>0</v>
      </c>
    </row>
    <row r="361" spans="52:273">
      <c r="AZ361" s="259" t="str">
        <f t="shared" ca="1" si="770"/>
        <v/>
      </c>
      <c r="BA361" s="259">
        <f t="shared" ca="1" si="785"/>
        <v>0</v>
      </c>
      <c r="BB361" s="259">
        <f t="shared" ca="1" si="771"/>
        <v>0</v>
      </c>
      <c r="BC361" s="259">
        <f t="shared" ca="1" si="772"/>
        <v>0</v>
      </c>
      <c r="BD361" s="259">
        <f t="shared" ca="1" si="773"/>
        <v>0</v>
      </c>
      <c r="BE361" s="259">
        <f t="shared" ca="1" si="774"/>
        <v>0</v>
      </c>
      <c r="BQ361" s="259" t="str">
        <f ca="1">IFERROR(INDEX($BN$3:$BO$200,MATCH(ROWS(BQ$3:BQ361),$BP$3:$BP$220,0),1),"")</f>
        <v/>
      </c>
      <c r="CX361" s="259">
        <f t="shared" ca="1" si="777"/>
        <v>20</v>
      </c>
      <c r="CY361" s="259" t="str">
        <f t="shared" ca="1" si="775"/>
        <v>MASTRO</v>
      </c>
      <c r="CZ361" s="259" t="e">
        <f t="shared" ca="1" si="779"/>
        <v>#N/A</v>
      </c>
      <c r="DA361" s="259" t="str">
        <f t="shared" ca="1" si="784"/>
        <v/>
      </c>
      <c r="DB361" s="259" t="str">
        <f t="shared" ca="1" si="780"/>
        <v/>
      </c>
      <c r="DC361" s="259" t="str">
        <f t="shared" ca="1" si="781"/>
        <v/>
      </c>
      <c r="DD361" s="259" t="str">
        <f t="shared" ca="1" si="782"/>
        <v/>
      </c>
      <c r="DE361" s="259" t="str">
        <f t="shared" ca="1" si="783"/>
        <v/>
      </c>
      <c r="DF361" s="259">
        <f ca="1">IF(AND(CX361=$DE$2,$DF$2&lt;&gt;0),0,IF(AND(DB361&lt;&gt;"",OR(DB360&lt;&gt;"",DB362&lt;&gt;"")),MAX($DF$2:DF360)+1,0))</f>
        <v>0</v>
      </c>
      <c r="DG361" s="259" t="str">
        <f>IF(IF(LIBRO_GIORNALE!E269="","",IFERROR(INDEX(PIANO_DEI_CONTI,MATCH(BB361,DENOMINAZIONE,0),1),0))=0,"",IF(LIBRO_GIORNALE!E269="","",IFERROR(INDEX(PIANO_DEI_CONTI,MATCH(BB361,DENOMINAZIONE,0),1),0)))</f>
        <v/>
      </c>
      <c r="EC361" s="259">
        <f>IF(IF(DG361&lt;&gt;"",REPLACE(DG361,3,1,""),0)&lt;&gt;0,MAX(EC$2:EC360)+1,0)</f>
        <v>0</v>
      </c>
      <c r="ED361" s="259">
        <f t="shared" ca="1" si="734"/>
        <v>0</v>
      </c>
      <c r="EL361" s="259">
        <f t="shared" si="742"/>
        <v>359</v>
      </c>
      <c r="EM361" s="259">
        <f ca="1">IF(AND(BA361&gt;0,BA361&lt;=$EM$1),MAX($EM$2:EM360)+1,0)</f>
        <v>0</v>
      </c>
      <c r="EN361" s="259">
        <f t="shared" ca="1" si="743"/>
        <v>361</v>
      </c>
      <c r="EP361" s="259" t="str">
        <f t="shared" ca="1" si="735"/>
        <v/>
      </c>
      <c r="EQ361" s="259">
        <f t="shared" ca="1" si="736"/>
        <v>0</v>
      </c>
      <c r="ER361" s="259">
        <f ca="1">IF(ISNA(EQ361),MAX(ER$2:ER360)+1,0)</f>
        <v>0</v>
      </c>
      <c r="ES361" s="259" t="str">
        <f t="shared" ca="1" si="744"/>
        <v/>
      </c>
      <c r="ET361" s="259" t="str">
        <f ca="1">IFERROR(UPPER(INDEX($ER$3:$ES$500,MATCH(ROWS(ET$3:ET361),$ER$3:$ER$500,0),2)),"")</f>
        <v/>
      </c>
      <c r="EW361" s="259">
        <f t="shared" ca="1" si="786"/>
        <v>1</v>
      </c>
      <c r="EX361" s="259">
        <v>259</v>
      </c>
      <c r="EY361" s="259">
        <f t="shared" ca="1" si="787"/>
        <v>0</v>
      </c>
      <c r="EZ361" s="259">
        <f t="shared" ca="1" si="788"/>
        <v>0</v>
      </c>
      <c r="FA361" s="259">
        <f t="shared" ca="1" si="789"/>
        <v>0</v>
      </c>
      <c r="FB361" s="259">
        <f t="shared" ca="1" si="790"/>
        <v>0</v>
      </c>
      <c r="FC361" s="259">
        <f t="shared" ca="1" si="791"/>
        <v>0</v>
      </c>
      <c r="FD361" s="259">
        <f t="shared" ca="1" si="737"/>
        <v>0</v>
      </c>
      <c r="FE361" s="259" t="str">
        <f t="shared" ca="1" si="738"/>
        <v/>
      </c>
      <c r="FF361" s="259" t="str">
        <f t="shared" ca="1" si="792"/>
        <v/>
      </c>
      <c r="FM361" s="259">
        <f t="shared" si="739"/>
        <v>0</v>
      </c>
      <c r="FN361" s="259">
        <f>IF(FM361&lt;0,MAX($FN$2:FN360)+1,0)</f>
        <v>0</v>
      </c>
      <c r="FO361" s="259" t="str">
        <f t="shared" si="745"/>
        <v/>
      </c>
      <c r="FP361" s="259" t="str">
        <f ca="1">IFERROR(INDEX($FN$3:$FO$400,MATCH(ROWS($FP$3:FP361),$FN$3:$FN$400,0),2),"")</f>
        <v/>
      </c>
      <c r="FQ361" s="259" t="str">
        <f>IF(AE361="SE AVERE",MAX($FQ$2:FQ360)+1,"")</f>
        <v/>
      </c>
      <c r="FR361" s="259" t="str">
        <f>IF(AE361="SE DARE",MAX($FR$2:FR360)+1,"")</f>
        <v/>
      </c>
      <c r="FS361" s="259" t="str">
        <f ca="1">IF(AND(AE361="SP DARE",AA361&lt;&gt;$FS$1,AA361&lt;&gt;$FT$1),MAX($FS$2:FS360)+1,IF(AND(GQ361="SP DARE",AA361&lt;&gt;$FS$1,AA361&lt;&gt;$FT$1),MAX($FS$2:FS360)+1,""))</f>
        <v/>
      </c>
      <c r="FT361" s="259" t="str">
        <f ca="1">IF(AND(AE361="SP AVERE",AA361&lt;&gt;$FU$1),MAX($FT$2:FT360)+1,IF(AND(GQ361="SP AVERE",AA361&lt;&gt;$FU$1),MAX($FT$2:FT360)+1,""))</f>
        <v/>
      </c>
      <c r="FU361" s="259">
        <f t="shared" ca="1" si="746"/>
        <v>0</v>
      </c>
      <c r="FV361" s="259">
        <f t="shared" si="747"/>
        <v>0</v>
      </c>
      <c r="FW361" s="259">
        <f ca="1">IFERROR(INDEX($FU$3:$FV$500,MATCH(ROWS($FW$3:FW361),$FU$3:$FU$500,0),2),0)</f>
        <v>0</v>
      </c>
      <c r="FX361" s="259">
        <f t="shared" ca="1" si="748"/>
        <v>0</v>
      </c>
      <c r="FY361" s="259">
        <f t="shared" ca="1" si="749"/>
        <v>0</v>
      </c>
      <c r="FZ361" s="259">
        <f ca="1">IF(FY361&gt;0,MAX($FZ$2:FZ360)+1,0)</f>
        <v>0</v>
      </c>
      <c r="GA361" s="259">
        <f ca="1">IFERROR(INDEX($FY$3:$FZ$500,MATCH(ROWS($GA$3:GA361),$FZ$3:$FZ$500,0),1),0)</f>
        <v>0</v>
      </c>
      <c r="GC361" s="259">
        <f t="shared" ca="1" si="750"/>
        <v>0</v>
      </c>
      <c r="GD361" s="259">
        <f t="shared" ca="1" si="751"/>
        <v>0</v>
      </c>
      <c r="GG361" s="259">
        <f t="shared" ca="1" si="752"/>
        <v>0</v>
      </c>
      <c r="GH361" s="259">
        <f t="shared" ca="1" si="753"/>
        <v>0</v>
      </c>
      <c r="GI361" s="259">
        <f t="shared" ca="1" si="754"/>
        <v>0</v>
      </c>
      <c r="GJ361" s="259">
        <f t="shared" ca="1" si="755"/>
        <v>0</v>
      </c>
      <c r="GK361" s="259">
        <f t="shared" ca="1" si="756"/>
        <v>0</v>
      </c>
      <c r="GL361" s="259">
        <f t="shared" ca="1" si="756"/>
        <v>0</v>
      </c>
      <c r="GM361" s="259">
        <f ca="1">IF(OR(GK361&gt;0,GL361&gt;0),MAX($GM$2:GM360)+1,0)</f>
        <v>0</v>
      </c>
      <c r="GN361" s="259" t="str">
        <f ca="1">IFERROR(INDEX($GD$3:$GM$400,MATCH(ROWS($GN$3:GN361),$GM$3:$GM$400,0),1),"")</f>
        <v/>
      </c>
      <c r="GO361" s="259" t="str">
        <f ca="1">IFERROR(INDEX($GD$3:$GM$400,MATCH(ROWS($GO$3:GO361),$GM$3:$GM$400,0),8),"")</f>
        <v/>
      </c>
      <c r="GP361" s="259" t="str">
        <f ca="1">IFERROR(INDEX($GD$3:$GM$400,MATCH(ROWS($GP$3:GP361),$GM$3:$GM$400,0),9),"")</f>
        <v/>
      </c>
      <c r="GQ361" s="259">
        <f t="shared" ca="1" si="740"/>
        <v>0</v>
      </c>
      <c r="GR361" s="259">
        <f t="shared" ca="1" si="757"/>
        <v>0</v>
      </c>
      <c r="GS361" s="259" t="str">
        <f t="shared" ca="1" si="758"/>
        <v/>
      </c>
      <c r="GT361" s="259" t="str">
        <f ca="1">IFERROR(INDEX($GD$3:$GS$400,MATCH(ROWS($GT$3:GT361),$GM$3:$GM$400,0),16),"")</f>
        <v/>
      </c>
      <c r="GU361" s="259">
        <f ca="1">IF(GQ361&lt;&gt;0,MAX($GU$2:$GU360)+1,0)</f>
        <v>0</v>
      </c>
      <c r="GV361" s="259">
        <f t="shared" ca="1" si="759"/>
        <v>0</v>
      </c>
      <c r="GW361" s="259" t="str">
        <f ca="1">IF(AND(IFERROR(INDEX($GU$3:$GV$400,MATCH(ROWS($GW$3:GW361),$GU$3:$GU$400,0),2),"")&lt;&gt;"",GW362&lt;&gt;""),CONCATENATE(IFERROR(INDEX($GU$3:$GV$400,MATCH(ROWS($GW$3:GW361),$GU$3:$GU$400,0),2),"")," - "),IFERROR(INDEX($GU$3:$GV$400,MATCH(ROWS($GW$3:GW361),$GU$3:$GU$400,0),2),""))</f>
        <v/>
      </c>
      <c r="GX361" s="259">
        <f ca="1">IF(OR(GN361="IVA NS/CREDITO",GN361="IVA NS/DEBITO",GN361="IVA C/ACCONTO",GN361="IMPOSTE C/ACCONTO"),MAX($GX$2:GX360)+1,0)</f>
        <v>0</v>
      </c>
      <c r="GY361" s="259" t="str">
        <f ca="1">IF(AND(IFERROR(INDEX($GN$3:$GX$200,MATCH(ROWS($GY$3:GY361),$GX$3:$GX$200,0),1),"")&lt;&gt;"",GY362&lt;&gt;""),CONCATENATE(IFERROR(INDEX($GN$3:$GX$200,MATCH(ROWS($GY$3:GY361),$GX$3:$GX$200,0),1),"")," - "),IFERROR(INDEX($GN$3:$GX$200,MATCH(ROWS($GY$3:GY361),$GX$3:$GX$200,0),1),""))</f>
        <v/>
      </c>
      <c r="JA361" s="259" t="str">
        <f t="shared" ca="1" si="760"/>
        <v/>
      </c>
      <c r="JB361" s="259">
        <f t="shared" ca="1" si="741"/>
        <v>0</v>
      </c>
      <c r="JC361" s="259">
        <f t="shared" ca="1" si="793"/>
        <v>0</v>
      </c>
      <c r="JD361" s="259">
        <f t="shared" ca="1" si="794"/>
        <v>0</v>
      </c>
      <c r="JM361" s="259">
        <f t="shared" ca="1" si="795"/>
        <v>0</v>
      </c>
    </row>
    <row r="362" spans="52:273">
      <c r="AZ362" s="259" t="str">
        <f t="shared" ca="1" si="770"/>
        <v/>
      </c>
      <c r="BA362" s="259">
        <f t="shared" ca="1" si="785"/>
        <v>0</v>
      </c>
      <c r="BB362" s="259">
        <f t="shared" ca="1" si="771"/>
        <v>0</v>
      </c>
      <c r="BC362" s="259">
        <f t="shared" ca="1" si="772"/>
        <v>0</v>
      </c>
      <c r="BD362" s="259">
        <f t="shared" ca="1" si="773"/>
        <v>0</v>
      </c>
      <c r="BE362" s="259">
        <f t="shared" ca="1" si="774"/>
        <v>0</v>
      </c>
      <c r="BQ362" s="259" t="str">
        <f ca="1">IFERROR(INDEX($BN$3:$BO$200,MATCH(ROWS(BQ$3:BQ362),$BP$3:$BP$220,0),1),"")</f>
        <v/>
      </c>
      <c r="CX362" s="259" t="str">
        <f>IFERROR(IF(CX344+1=1,"",(CX344+1)),"")</f>
        <v/>
      </c>
      <c r="CY362" s="259" t="str">
        <f t="shared" ca="1" si="775"/>
        <v>MASTRO</v>
      </c>
      <c r="DB362" s="259" t="str">
        <f t="shared" ref="DB362" ca="1" si="796">CY362</f>
        <v>MASTRO</v>
      </c>
      <c r="DF362" s="259">
        <f ca="1">IF(AND(CX362=$DE$2,$DF$2&lt;&gt;0),0,IF(AND(DB362&lt;&gt;"",OR(DB361&lt;&gt;"",DB363&lt;&gt;"")),MAX($DF$2:DF361)+1,0))</f>
        <v>0</v>
      </c>
      <c r="DG362" s="259" t="str">
        <f>IF(IF(LIBRO_GIORNALE!E270="","",IFERROR(INDEX(PIANO_DEI_CONTI,MATCH(BB362,DENOMINAZIONE,0),1),0))=0,"",IF(LIBRO_GIORNALE!E270="","",IFERROR(INDEX(PIANO_DEI_CONTI,MATCH(BB362,DENOMINAZIONE,0),1),0)))</f>
        <v/>
      </c>
      <c r="EC362" s="259">
        <f>IF(IF(DG362&lt;&gt;"",REPLACE(DG362,3,1,""),0)&lt;&gt;0,MAX(EC$2:EC361)+1,0)</f>
        <v>0</v>
      </c>
      <c r="ED362" s="259">
        <f t="shared" ca="1" si="734"/>
        <v>0</v>
      </c>
      <c r="EL362" s="259">
        <f t="shared" si="742"/>
        <v>360</v>
      </c>
      <c r="EM362" s="259">
        <f ca="1">IF(AND(BA362&gt;0,BA362&lt;=$EM$1),MAX($EM$2:EM361)+1,0)</f>
        <v>0</v>
      </c>
      <c r="EN362" s="259">
        <f t="shared" ca="1" si="743"/>
        <v>362</v>
      </c>
      <c r="EP362" s="259" t="str">
        <f t="shared" ca="1" si="735"/>
        <v/>
      </c>
      <c r="EQ362" s="259">
        <f t="shared" ca="1" si="736"/>
        <v>0</v>
      </c>
      <c r="ER362" s="259">
        <f ca="1">IF(ISNA(EQ362),MAX(ER$2:ER361)+1,0)</f>
        <v>0</v>
      </c>
      <c r="ES362" s="259" t="str">
        <f t="shared" ca="1" si="744"/>
        <v/>
      </c>
      <c r="ET362" s="259" t="str">
        <f ca="1">IFERROR(UPPER(INDEX($ER$3:$ES$500,MATCH(ROWS(ET$3:ET362),$ER$3:$ER$500,0),2)),"")</f>
        <v/>
      </c>
      <c r="EW362" s="259">
        <f t="shared" ca="1" si="786"/>
        <v>1</v>
      </c>
      <c r="EX362" s="259">
        <v>260</v>
      </c>
      <c r="EY362" s="259">
        <f t="shared" ca="1" si="787"/>
        <v>0</v>
      </c>
      <c r="EZ362" s="259">
        <f t="shared" ca="1" si="788"/>
        <v>0</v>
      </c>
      <c r="FA362" s="259">
        <f t="shared" ca="1" si="789"/>
        <v>0</v>
      </c>
      <c r="FB362" s="259">
        <f t="shared" ca="1" si="790"/>
        <v>0</v>
      </c>
      <c r="FC362" s="259">
        <f t="shared" ca="1" si="791"/>
        <v>0</v>
      </c>
      <c r="FD362" s="259">
        <f t="shared" ca="1" si="737"/>
        <v>0</v>
      </c>
      <c r="FE362" s="259" t="str">
        <f t="shared" ca="1" si="738"/>
        <v/>
      </c>
      <c r="FF362" s="259" t="str">
        <f t="shared" ca="1" si="792"/>
        <v/>
      </c>
      <c r="FM362" s="259">
        <f t="shared" si="739"/>
        <v>0</v>
      </c>
      <c r="FN362" s="259">
        <f>IF(FM362&lt;0,MAX($FN$2:FN361)+1,0)</f>
        <v>0</v>
      </c>
      <c r="FO362" s="259" t="str">
        <f t="shared" si="745"/>
        <v/>
      </c>
      <c r="FP362" s="259" t="str">
        <f ca="1">IFERROR(INDEX($FN$3:$FO$400,MATCH(ROWS($FP$3:FP362),$FN$3:$FN$400,0),2),"")</f>
        <v/>
      </c>
      <c r="FQ362" s="259" t="str">
        <f>IF(AE362="SE AVERE",MAX($FQ$2:FQ361)+1,"")</f>
        <v/>
      </c>
      <c r="FR362" s="259" t="str">
        <f>IF(AE362="SE DARE",MAX($FR$2:FR361)+1,"")</f>
        <v/>
      </c>
      <c r="FS362" s="259" t="str">
        <f ca="1">IF(AND(AE362="SP DARE",AA362&lt;&gt;$FS$1,AA362&lt;&gt;$FT$1),MAX($FS$2:FS361)+1,IF(AND(GQ362="SP DARE",AA362&lt;&gt;$FS$1,AA362&lt;&gt;$FT$1),MAX($FS$2:FS361)+1,""))</f>
        <v/>
      </c>
      <c r="FT362" s="259" t="str">
        <f ca="1">IF(AND(AE362="SP AVERE",AA362&lt;&gt;$FU$1),MAX($FT$2:FT361)+1,IF(AND(GQ362="SP AVERE",AA362&lt;&gt;$FU$1),MAX($FT$2:FT361)+1,""))</f>
        <v/>
      </c>
      <c r="FU362" s="259">
        <f t="shared" ca="1" si="746"/>
        <v>0</v>
      </c>
      <c r="FV362" s="259">
        <f t="shared" si="747"/>
        <v>0</v>
      </c>
      <c r="FW362" s="259">
        <f ca="1">IFERROR(INDEX($FU$3:$FV$500,MATCH(ROWS($FW$3:FW362),$FU$3:$FU$500,0),2),0)</f>
        <v>0</v>
      </c>
      <c r="FX362" s="259">
        <f t="shared" ca="1" si="748"/>
        <v>0</v>
      </c>
      <c r="FY362" s="259">
        <f t="shared" ca="1" si="749"/>
        <v>0</v>
      </c>
      <c r="FZ362" s="259">
        <f ca="1">IF(FY362&gt;0,MAX($FZ$2:FZ361)+1,0)</f>
        <v>0</v>
      </c>
      <c r="GA362" s="259">
        <f ca="1">IFERROR(INDEX($FY$3:$FZ$500,MATCH(ROWS($GA$3:GA362),$FZ$3:$FZ$500,0),1),0)</f>
        <v>0</v>
      </c>
      <c r="GC362" s="259">
        <f t="shared" ca="1" si="750"/>
        <v>0</v>
      </c>
      <c r="GD362" s="259">
        <f t="shared" ca="1" si="751"/>
        <v>0</v>
      </c>
      <c r="GG362" s="259">
        <f t="shared" ca="1" si="752"/>
        <v>0</v>
      </c>
      <c r="GH362" s="259">
        <f t="shared" ca="1" si="753"/>
        <v>0</v>
      </c>
      <c r="GI362" s="259">
        <f t="shared" ca="1" si="754"/>
        <v>0</v>
      </c>
      <c r="GJ362" s="259">
        <f t="shared" ca="1" si="755"/>
        <v>0</v>
      </c>
      <c r="GK362" s="259">
        <f t="shared" ca="1" si="756"/>
        <v>0</v>
      </c>
      <c r="GL362" s="259">
        <f t="shared" ca="1" si="756"/>
        <v>0</v>
      </c>
      <c r="GM362" s="259">
        <f ca="1">IF(OR(GK362&gt;0,GL362&gt;0),MAX($GM$2:GM361)+1,0)</f>
        <v>0</v>
      </c>
      <c r="GN362" s="259" t="str">
        <f ca="1">IFERROR(INDEX($GD$3:$GM$400,MATCH(ROWS($GN$3:GN362),$GM$3:$GM$400,0),1),"")</f>
        <v/>
      </c>
      <c r="GO362" s="259" t="str">
        <f ca="1">IFERROR(INDEX($GD$3:$GM$400,MATCH(ROWS($GO$3:GO362),$GM$3:$GM$400,0),8),"")</f>
        <v/>
      </c>
      <c r="GP362" s="259" t="str">
        <f ca="1">IFERROR(INDEX($GD$3:$GM$400,MATCH(ROWS($GP$3:GP362),$GM$3:$GM$400,0),9),"")</f>
        <v/>
      </c>
      <c r="GQ362" s="259">
        <f t="shared" ca="1" si="740"/>
        <v>0</v>
      </c>
      <c r="GR362" s="259">
        <f t="shared" ca="1" si="757"/>
        <v>0</v>
      </c>
      <c r="GS362" s="259" t="str">
        <f t="shared" ca="1" si="758"/>
        <v/>
      </c>
      <c r="GT362" s="259" t="str">
        <f ca="1">IFERROR(INDEX($GD$3:$GS$400,MATCH(ROWS($GT$3:GT362),$GM$3:$GM$400,0),16),"")</f>
        <v/>
      </c>
      <c r="GU362" s="259">
        <f ca="1">IF(GQ362&lt;&gt;0,MAX($GU$2:$GU361)+1,0)</f>
        <v>0</v>
      </c>
      <c r="GV362" s="259">
        <f t="shared" ca="1" si="759"/>
        <v>0</v>
      </c>
      <c r="GW362" s="259" t="str">
        <f ca="1">IF(AND(IFERROR(INDEX($GU$3:$GV$400,MATCH(ROWS($GW$3:GW362),$GU$3:$GU$400,0),2),"")&lt;&gt;"",GW363&lt;&gt;""),CONCATENATE(IFERROR(INDEX($GU$3:$GV$400,MATCH(ROWS($GW$3:GW362),$GU$3:$GU$400,0),2),"")," - "),IFERROR(INDEX($GU$3:$GV$400,MATCH(ROWS($GW$3:GW362),$GU$3:$GU$400,0),2),""))</f>
        <v/>
      </c>
      <c r="GX362" s="259">
        <f ca="1">IF(OR(GN362="IVA NS/CREDITO",GN362="IVA NS/DEBITO",GN362="IVA C/ACCONTO",GN362="IMPOSTE C/ACCONTO"),MAX($GX$2:GX361)+1,0)</f>
        <v>0</v>
      </c>
      <c r="GY362" s="259" t="str">
        <f ca="1">IF(AND(IFERROR(INDEX($GN$3:$GX$200,MATCH(ROWS($GY$3:GY362),$GX$3:$GX$200,0),1),"")&lt;&gt;"",GY363&lt;&gt;""),CONCATENATE(IFERROR(INDEX($GN$3:$GX$200,MATCH(ROWS($GY$3:GY362),$GX$3:$GX$200,0),1),"")," - "),IFERROR(INDEX($GN$3:$GX$200,MATCH(ROWS($GY$3:GY362),$GX$3:$GX$200,0),1),""))</f>
        <v/>
      </c>
      <c r="JA362" s="259" t="str">
        <f t="shared" ca="1" si="760"/>
        <v/>
      </c>
      <c r="JB362" s="259">
        <f t="shared" ca="1" si="741"/>
        <v>0</v>
      </c>
      <c r="JC362" s="259">
        <f t="shared" ca="1" si="793"/>
        <v>0</v>
      </c>
      <c r="JD362" s="259">
        <f t="shared" ca="1" si="794"/>
        <v>0</v>
      </c>
      <c r="JM362" s="259">
        <f t="shared" ca="1" si="795"/>
        <v>0</v>
      </c>
    </row>
    <row r="363" spans="52:273">
      <c r="AZ363" s="259" t="str">
        <f t="shared" ca="1" si="770"/>
        <v/>
      </c>
      <c r="BA363" s="259">
        <f t="shared" ca="1" si="785"/>
        <v>0</v>
      </c>
      <c r="BB363" s="259">
        <f t="shared" ca="1" si="771"/>
        <v>0</v>
      </c>
      <c r="BC363" s="259">
        <f t="shared" ca="1" si="772"/>
        <v>0</v>
      </c>
      <c r="BD363" s="259">
        <f t="shared" ca="1" si="773"/>
        <v>0</v>
      </c>
      <c r="BE363" s="259">
        <f t="shared" ca="1" si="774"/>
        <v>0</v>
      </c>
      <c r="BQ363" s="259" t="str">
        <f ca="1">IFERROR(INDEX($BN$3:$BO$200,MATCH(ROWS(BQ$3:BQ363),$BP$3:$BP$220,0),1),"")</f>
        <v/>
      </c>
      <c r="CX363" s="259">
        <f ca="1">$EA$23</f>
        <v>21</v>
      </c>
      <c r="CY363" s="259" t="str">
        <f t="shared" ca="1" si="775"/>
        <v>MASTRO</v>
      </c>
      <c r="DA363" s="259" t="str">
        <f ca="1">IF(CY362="MASTRO","Conto n.","")</f>
        <v>Conto n.</v>
      </c>
      <c r="DB363" s="259" t="str">
        <f ca="1">IF(CY363=0,"",INDEX(PIANO_DEI_CONTI,MATCH(DC363,DENOMINAZIONE,0),1))</f>
        <v/>
      </c>
      <c r="DC363" s="259" t="str">
        <f ca="1">IF(OR(CY363=0,CY363="mastro"),"",CY363)</f>
        <v/>
      </c>
      <c r="DD363" s="259" t="str">
        <f ca="1">IF(AND($DA$2=TRUE,OR(INDEX(PIANO_DEI_CONTI,MATCH($DC363,DENOMINAZIONE,0),4)="A",INDEX(PIANO_DEI_CONTI,MATCH($DC363,DENOMINAZIONE,0),4)="D/A"),SUMIFS(AVERE,DENOMINAZIONE_GIORNALE,"="&amp;$DC363)&gt;SUMIFS(DARE,DENOMINAZIONE_GIORNALE,"="&amp;$DC363)),CONCATENATE("s ",FIXED(ABS(SUMIFS(AVERE,DENOMINAZIONE_GIORNALE,"="&amp;$DC363)-SUMIFS(DARE,DENOMINAZIONE_GIORNALE,"="&amp;$DC363)),2)),"")</f>
        <v/>
      </c>
      <c r="DE363" s="259" t="str">
        <f ca="1">IF(AND($DA$2=TRUE,OR(INDEX(PIANO_DEI_CONTI,MATCH($DC363,DENOMINAZIONE,0),4)="D",INDEX(PIANO_DEI_CONTI,MATCH($DC363,DENOMINAZIONE,0),4)="D/A"),SUMIFS(DARE,DENOMINAZIONE_GIORNALE,"="&amp;$DC363)&gt;SUMIFS(AVERE,DENOMINAZIONE_GIORNALE,"="&amp;$DC363)),CONCATENATE("s ",FIXED(ABS(SUMIFS(DARE,DENOMINAZIONE_GIORNALE,"="&amp;$DC363)-SUMIFS(AVERE,DENOMINAZIONE_GIORNALE,"="&amp;$DC363)),2)),"")</f>
        <v/>
      </c>
      <c r="DF363" s="259">
        <f ca="1">IF(AND(CX363=$DE$2,$DF$2&lt;&gt;0),0,IF(AND(DB363&lt;&gt;"",OR(DB362&lt;&gt;"",DB364&lt;&gt;"")),MAX($DF$2:DF362)+1,0))</f>
        <v>0</v>
      </c>
      <c r="DG363" s="259" t="str">
        <f>IF(IF(LIBRO_GIORNALE!E271="","",IFERROR(INDEX(PIANO_DEI_CONTI,MATCH(BB363,DENOMINAZIONE,0),1),0))=0,"",IF(LIBRO_GIORNALE!E271="","",IFERROR(INDEX(PIANO_DEI_CONTI,MATCH(BB363,DENOMINAZIONE,0),1),0)))</f>
        <v/>
      </c>
      <c r="EC363" s="259">
        <f>IF(IF(DG363&lt;&gt;"",REPLACE(DG363,3,1,""),0)&lt;&gt;0,MAX(EC$2:EC362)+1,0)</f>
        <v>0</v>
      </c>
      <c r="ED363" s="259">
        <f t="shared" ca="1" si="734"/>
        <v>0</v>
      </c>
      <c r="EL363" s="259">
        <f t="shared" si="742"/>
        <v>361</v>
      </c>
      <c r="EM363" s="259">
        <f ca="1">IF(AND(BA363&gt;0,BA363&lt;=$EM$1),MAX($EM$2:EM362)+1,0)</f>
        <v>0</v>
      </c>
      <c r="EN363" s="259">
        <f t="shared" ca="1" si="743"/>
        <v>363</v>
      </c>
      <c r="EP363" s="259" t="str">
        <f t="shared" ca="1" si="735"/>
        <v/>
      </c>
      <c r="EQ363" s="259">
        <f t="shared" ca="1" si="736"/>
        <v>0</v>
      </c>
      <c r="ER363" s="259">
        <f ca="1">IF(ISNA(EQ363),MAX(ER$2:ER362)+1,0)</f>
        <v>0</v>
      </c>
      <c r="ES363" s="259" t="str">
        <f t="shared" ca="1" si="744"/>
        <v/>
      </c>
      <c r="ET363" s="259" t="str">
        <f ca="1">IFERROR(UPPER(INDEX($ER$3:$ES$500,MATCH(ROWS(ET$3:ET363),$ER$3:$ER$500,0),2)),"")</f>
        <v/>
      </c>
      <c r="EW363" s="259">
        <f t="shared" ca="1" si="786"/>
        <v>1</v>
      </c>
      <c r="EX363" s="259">
        <v>261</v>
      </c>
      <c r="EY363" s="259">
        <f t="shared" ca="1" si="787"/>
        <v>0</v>
      </c>
      <c r="EZ363" s="259">
        <f t="shared" ca="1" si="788"/>
        <v>0</v>
      </c>
      <c r="FA363" s="259">
        <f t="shared" ca="1" si="789"/>
        <v>0</v>
      </c>
      <c r="FB363" s="259">
        <f t="shared" ca="1" si="790"/>
        <v>0</v>
      </c>
      <c r="FC363" s="259">
        <f t="shared" ca="1" si="791"/>
        <v>0</v>
      </c>
      <c r="FD363" s="259">
        <f t="shared" ca="1" si="737"/>
        <v>0</v>
      </c>
      <c r="FE363" s="259" t="str">
        <f t="shared" ca="1" si="738"/>
        <v/>
      </c>
      <c r="FF363" s="259" t="str">
        <f t="shared" ca="1" si="792"/>
        <v/>
      </c>
      <c r="FM363" s="259">
        <f t="shared" si="739"/>
        <v>0</v>
      </c>
      <c r="FN363" s="259">
        <f>IF(FM363&lt;0,MAX($FN$2:FN362)+1,0)</f>
        <v>0</v>
      </c>
      <c r="FO363" s="259" t="str">
        <f t="shared" si="745"/>
        <v/>
      </c>
      <c r="FP363" s="259" t="str">
        <f ca="1">IFERROR(INDEX($FN$3:$FO$400,MATCH(ROWS($FP$3:FP363),$FN$3:$FN$400,0),2),"")</f>
        <v/>
      </c>
      <c r="FQ363" s="259" t="str">
        <f>IF(AE363="SE AVERE",MAX($FQ$2:FQ362)+1,"")</f>
        <v/>
      </c>
      <c r="FR363" s="259" t="str">
        <f>IF(AE363="SE DARE",MAX($FR$2:FR362)+1,"")</f>
        <v/>
      </c>
      <c r="FS363" s="259" t="str">
        <f ca="1">IF(AND(AE363="SP DARE",AA363&lt;&gt;$FS$1,AA363&lt;&gt;$FT$1),MAX($FS$2:FS362)+1,IF(AND(GQ363="SP DARE",AA363&lt;&gt;$FS$1,AA363&lt;&gt;$FT$1),MAX($FS$2:FS362)+1,""))</f>
        <v/>
      </c>
      <c r="FT363" s="259" t="str">
        <f ca="1">IF(AND(AE363="SP AVERE",AA363&lt;&gt;$FU$1),MAX($FT$2:FT362)+1,IF(AND(GQ363="SP AVERE",AA363&lt;&gt;$FU$1),MAX($FT$2:FT362)+1,""))</f>
        <v/>
      </c>
      <c r="FU363" s="259">
        <f t="shared" ca="1" si="746"/>
        <v>0</v>
      </c>
      <c r="FV363" s="259">
        <f t="shared" si="747"/>
        <v>0</v>
      </c>
      <c r="FW363" s="259">
        <f ca="1">IFERROR(INDEX($FU$3:$FV$500,MATCH(ROWS($FW$3:FW363),$FU$3:$FU$500,0),2),0)</f>
        <v>0</v>
      </c>
      <c r="FX363" s="259">
        <f t="shared" ca="1" si="748"/>
        <v>0</v>
      </c>
      <c r="FY363" s="259">
        <f t="shared" ca="1" si="749"/>
        <v>0</v>
      </c>
      <c r="FZ363" s="259">
        <f ca="1">IF(FY363&gt;0,MAX($FZ$2:FZ362)+1,0)</f>
        <v>0</v>
      </c>
      <c r="GA363" s="259">
        <f ca="1">IFERROR(INDEX($FY$3:$FZ$500,MATCH(ROWS($GA$3:GA363),$FZ$3:$FZ$500,0),1),0)</f>
        <v>0</v>
      </c>
      <c r="GC363" s="259">
        <f t="shared" ca="1" si="750"/>
        <v>0</v>
      </c>
      <c r="GD363" s="259">
        <f t="shared" ca="1" si="751"/>
        <v>0</v>
      </c>
      <c r="GG363" s="259">
        <f t="shared" ca="1" si="752"/>
        <v>0</v>
      </c>
      <c r="GH363" s="259">
        <f t="shared" ca="1" si="753"/>
        <v>0</v>
      </c>
      <c r="GI363" s="259">
        <f t="shared" ca="1" si="754"/>
        <v>0</v>
      </c>
      <c r="GJ363" s="259">
        <f t="shared" ca="1" si="755"/>
        <v>0</v>
      </c>
      <c r="GK363" s="259">
        <f t="shared" ca="1" si="756"/>
        <v>0</v>
      </c>
      <c r="GL363" s="259">
        <f t="shared" ca="1" si="756"/>
        <v>0</v>
      </c>
      <c r="GM363" s="259">
        <f ca="1">IF(OR(GK363&gt;0,GL363&gt;0),MAX($GM$2:GM362)+1,0)</f>
        <v>0</v>
      </c>
      <c r="GN363" s="259" t="str">
        <f ca="1">IFERROR(INDEX($GD$3:$GM$400,MATCH(ROWS($GN$3:GN363),$GM$3:$GM$400,0),1),"")</f>
        <v/>
      </c>
      <c r="GO363" s="259" t="str">
        <f ca="1">IFERROR(INDEX($GD$3:$GM$400,MATCH(ROWS($GO$3:GO363),$GM$3:$GM$400,0),8),"")</f>
        <v/>
      </c>
      <c r="GP363" s="259" t="str">
        <f ca="1">IFERROR(INDEX($GD$3:$GM$400,MATCH(ROWS($GP$3:GP363),$GM$3:$GM$400,0),9),"")</f>
        <v/>
      </c>
      <c r="GQ363" s="259">
        <f t="shared" ca="1" si="740"/>
        <v>0</v>
      </c>
      <c r="GR363" s="259">
        <f t="shared" ca="1" si="757"/>
        <v>0</v>
      </c>
      <c r="GS363" s="259" t="str">
        <f t="shared" ca="1" si="758"/>
        <v/>
      </c>
      <c r="GT363" s="259" t="str">
        <f ca="1">IFERROR(INDEX($GD$3:$GS$400,MATCH(ROWS($GT$3:GT363),$GM$3:$GM$400,0),16),"")</f>
        <v/>
      </c>
      <c r="GU363" s="259">
        <f ca="1">IF(GQ363&lt;&gt;0,MAX($GU$2:$GU362)+1,0)</f>
        <v>0</v>
      </c>
      <c r="GV363" s="259">
        <f t="shared" ca="1" si="759"/>
        <v>0</v>
      </c>
      <c r="GW363" s="259" t="str">
        <f ca="1">IF(AND(IFERROR(INDEX($GU$3:$GV$400,MATCH(ROWS($GW$3:GW363),$GU$3:$GU$400,0),2),"")&lt;&gt;"",GW364&lt;&gt;""),CONCATENATE(IFERROR(INDEX($GU$3:$GV$400,MATCH(ROWS($GW$3:GW363),$GU$3:$GU$400,0),2),"")," - "),IFERROR(INDEX($GU$3:$GV$400,MATCH(ROWS($GW$3:GW363),$GU$3:$GU$400,0),2),""))</f>
        <v/>
      </c>
      <c r="GX363" s="259">
        <f ca="1">IF(OR(GN363="IVA NS/CREDITO",GN363="IVA NS/DEBITO",GN363="IVA C/ACCONTO",GN363="IMPOSTE C/ACCONTO"),MAX($GX$2:GX362)+1,0)</f>
        <v>0</v>
      </c>
      <c r="GY363" s="259" t="str">
        <f ca="1">IF(AND(IFERROR(INDEX($GN$3:$GX$200,MATCH(ROWS($GY$3:GY363),$GX$3:$GX$200,0),1),"")&lt;&gt;"",GY364&lt;&gt;""),CONCATENATE(IFERROR(INDEX($GN$3:$GX$200,MATCH(ROWS($GY$3:GY363),$GX$3:$GX$200,0),1),"")," - "),IFERROR(INDEX($GN$3:$GX$200,MATCH(ROWS($GY$3:GY363),$GX$3:$GX$200,0),1),""))</f>
        <v/>
      </c>
      <c r="JA363" s="259" t="str">
        <f t="shared" ca="1" si="760"/>
        <v/>
      </c>
      <c r="JB363" s="259">
        <f t="shared" ca="1" si="741"/>
        <v>0</v>
      </c>
      <c r="JC363" s="259">
        <f t="shared" ca="1" si="793"/>
        <v>0</v>
      </c>
      <c r="JD363" s="259">
        <f t="shared" ca="1" si="794"/>
        <v>0</v>
      </c>
      <c r="JM363" s="259">
        <f t="shared" ca="1" si="795"/>
        <v>0</v>
      </c>
    </row>
    <row r="364" spans="52:273">
      <c r="AZ364" s="259" t="str">
        <f t="shared" ca="1" si="770"/>
        <v/>
      </c>
      <c r="BA364" s="259">
        <f t="shared" ca="1" si="785"/>
        <v>0</v>
      </c>
      <c r="BB364" s="259">
        <f t="shared" ca="1" si="771"/>
        <v>0</v>
      </c>
      <c r="BC364" s="259">
        <f t="shared" ca="1" si="772"/>
        <v>0</v>
      </c>
      <c r="BD364" s="259">
        <f t="shared" ca="1" si="773"/>
        <v>0</v>
      </c>
      <c r="BE364" s="259">
        <f t="shared" ca="1" si="774"/>
        <v>0</v>
      </c>
      <c r="BQ364" s="259" t="str">
        <f ca="1">IFERROR(INDEX($BN$3:$BO$200,MATCH(ROWS(BQ$3:BQ364),$BP$3:$BP$220,0),1),"")</f>
        <v/>
      </c>
      <c r="CX364" s="259">
        <f t="shared" ref="CX364:CX379" ca="1" si="797">$EA$23</f>
        <v>21</v>
      </c>
      <c r="CY364" s="259" t="str">
        <f t="shared" ca="1" si="775"/>
        <v>MASTRO</v>
      </c>
      <c r="DA364" s="259" t="str">
        <f ca="1">IF(DB363="","","Num. riga")</f>
        <v/>
      </c>
      <c r="DB364" s="259" t="str">
        <f t="shared" ref="DB364" ca="1" si="798">IF(DB363="","","Data")</f>
        <v/>
      </c>
      <c r="DC364" s="259" t="str">
        <f ca="1">IF(DB363="","","Operazioni")</f>
        <v/>
      </c>
      <c r="DD364" s="259" t="str">
        <f ca="1">IF(DB363="","","Dare        ")</f>
        <v/>
      </c>
      <c r="DE364" s="259" t="str">
        <f ca="1">IF(DB363="","","Avere        ")</f>
        <v/>
      </c>
      <c r="DF364" s="259">
        <f ca="1">IF(AND(CX364=$DE$2,$DF$2&lt;&gt;0),0,IF(AND(DB364&lt;&gt;"",OR(DB363&lt;&gt;"",DB365&lt;&gt;"")),MAX($DF$2:DF363)+1,0))</f>
        <v>0</v>
      </c>
      <c r="DG364" s="259" t="str">
        <f>IF(IF(LIBRO_GIORNALE!E272="","",IFERROR(INDEX(PIANO_DEI_CONTI,MATCH(BB364,DENOMINAZIONE,0),1),0))=0,"",IF(LIBRO_GIORNALE!E272="","",IFERROR(INDEX(PIANO_DEI_CONTI,MATCH(BB364,DENOMINAZIONE,0),1),0)))</f>
        <v/>
      </c>
      <c r="EC364" s="259">
        <f>IF(IF(DG364&lt;&gt;"",REPLACE(DG364,3,1,""),0)&lt;&gt;0,MAX(EC$2:EC363)+1,0)</f>
        <v>0</v>
      </c>
      <c r="ED364" s="259">
        <f t="shared" ca="1" si="734"/>
        <v>0</v>
      </c>
      <c r="EL364" s="259">
        <f t="shared" si="742"/>
        <v>362</v>
      </c>
      <c r="EM364" s="259">
        <f ca="1">IF(AND(BA364&gt;0,BA364&lt;=$EM$1),MAX($EM$2:EM363)+1,0)</f>
        <v>0</v>
      </c>
      <c r="EN364" s="259">
        <f t="shared" ca="1" si="743"/>
        <v>364</v>
      </c>
      <c r="EP364" s="259" t="str">
        <f t="shared" ca="1" si="735"/>
        <v/>
      </c>
      <c r="EW364" s="259">
        <f t="shared" ca="1" si="786"/>
        <v>1</v>
      </c>
      <c r="EX364" s="259">
        <v>262</v>
      </c>
      <c r="EY364" s="259">
        <f t="shared" ca="1" si="787"/>
        <v>0</v>
      </c>
      <c r="EZ364" s="259">
        <f t="shared" ca="1" si="788"/>
        <v>0</v>
      </c>
      <c r="FA364" s="259">
        <f t="shared" ca="1" si="789"/>
        <v>0</v>
      </c>
      <c r="FB364" s="259">
        <f t="shared" ca="1" si="790"/>
        <v>0</v>
      </c>
      <c r="FC364" s="259">
        <f t="shared" ca="1" si="791"/>
        <v>0</v>
      </c>
      <c r="FD364" s="259">
        <f t="shared" ca="1" si="737"/>
        <v>0</v>
      </c>
      <c r="FE364" s="259" t="str">
        <f t="shared" ca="1" si="738"/>
        <v/>
      </c>
      <c r="FF364" s="259" t="str">
        <f t="shared" ca="1" si="792"/>
        <v/>
      </c>
      <c r="FM364" s="259">
        <f t="shared" si="739"/>
        <v>0</v>
      </c>
      <c r="FN364" s="259">
        <f>IF(FM364&lt;0,MAX($FN$2:FN363)+1,0)</f>
        <v>0</v>
      </c>
      <c r="FO364" s="259" t="str">
        <f t="shared" si="745"/>
        <v/>
      </c>
      <c r="FP364" s="259" t="str">
        <f ca="1">IFERROR(INDEX($FN$3:$FO$400,MATCH(ROWS($FP$3:FP364),$FN$3:$FN$400,0),2),"")</f>
        <v/>
      </c>
      <c r="FQ364" s="259" t="str">
        <f>IF(AE364="SE AVERE",MAX($FQ$2:FQ363)+1,"")</f>
        <v/>
      </c>
      <c r="FR364" s="259" t="str">
        <f>IF(AE364="SE DARE",MAX($FR$2:FR363)+1,"")</f>
        <v/>
      </c>
      <c r="FS364" s="259" t="str">
        <f ca="1">IF(AND(AE364="SP DARE",AA364&lt;&gt;$FS$1,AA364&lt;&gt;$FT$1),MAX($FS$2:FS363)+1,IF(AND(GQ364="SP DARE",AA364&lt;&gt;$FS$1,AA364&lt;&gt;$FT$1),MAX($FS$2:FS363)+1,""))</f>
        <v/>
      </c>
      <c r="FT364" s="259" t="str">
        <f ca="1">IF(AND(AE364="SP AVERE",AA364&lt;&gt;$FU$1),MAX($FT$2:FT363)+1,IF(AND(GQ364="SP AVERE",AA364&lt;&gt;$FU$1),MAX($FT$2:FT363)+1,""))</f>
        <v/>
      </c>
      <c r="FU364" s="259">
        <f t="shared" ca="1" si="746"/>
        <v>0</v>
      </c>
      <c r="FV364" s="259">
        <f t="shared" si="747"/>
        <v>0</v>
      </c>
      <c r="FW364" s="259">
        <f ca="1">IFERROR(INDEX($FU$3:$FV$500,MATCH(ROWS($FW$3:FW364),$FU$3:$FU$500,0),2),0)</f>
        <v>0</v>
      </c>
      <c r="FX364" s="259">
        <f t="shared" ca="1" si="748"/>
        <v>0</v>
      </c>
      <c r="FY364" s="259">
        <f t="shared" ca="1" si="749"/>
        <v>0</v>
      </c>
      <c r="FZ364" s="259">
        <f ca="1">IF(FY364&gt;0,MAX($FZ$2:FZ363)+1,0)</f>
        <v>0</v>
      </c>
      <c r="GA364" s="259">
        <f ca="1">IFERROR(INDEX($FY$3:$FZ$500,MATCH(ROWS($GA$3:GA364),$FZ$3:$FZ$500,0),1),0)</f>
        <v>0</v>
      </c>
      <c r="GC364" s="259">
        <f t="shared" ca="1" si="750"/>
        <v>0</v>
      </c>
      <c r="GD364" s="259">
        <f t="shared" ca="1" si="751"/>
        <v>0</v>
      </c>
      <c r="GG364" s="259">
        <f t="shared" ca="1" si="752"/>
        <v>0</v>
      </c>
      <c r="GH364" s="259">
        <f t="shared" ca="1" si="753"/>
        <v>0</v>
      </c>
      <c r="GI364" s="259">
        <f t="shared" ca="1" si="754"/>
        <v>0</v>
      </c>
      <c r="GJ364" s="259">
        <f t="shared" ca="1" si="755"/>
        <v>0</v>
      </c>
      <c r="GK364" s="259">
        <f t="shared" ca="1" si="756"/>
        <v>0</v>
      </c>
      <c r="GL364" s="259">
        <f t="shared" ca="1" si="756"/>
        <v>0</v>
      </c>
      <c r="GM364" s="259">
        <f ca="1">IF(OR(GK364&gt;0,GL364&gt;0),MAX($GM$2:GM363)+1,0)</f>
        <v>0</v>
      </c>
      <c r="GN364" s="259" t="str">
        <f ca="1">IFERROR(INDEX($GD$3:$GM$400,MATCH(ROWS($GN$3:GN364),$GM$3:$GM$400,0),1),"")</f>
        <v/>
      </c>
      <c r="GO364" s="259" t="str">
        <f ca="1">IFERROR(INDEX($GD$3:$GM$400,MATCH(ROWS($GO$3:GO364),$GM$3:$GM$400,0),8),"")</f>
        <v/>
      </c>
      <c r="GP364" s="259" t="str">
        <f ca="1">IFERROR(INDEX($GD$3:$GM$400,MATCH(ROWS($GP$3:GP364),$GM$3:$GM$400,0),9),"")</f>
        <v/>
      </c>
      <c r="GQ364" s="259">
        <f t="shared" ca="1" si="740"/>
        <v>0</v>
      </c>
      <c r="GR364" s="259">
        <f t="shared" ca="1" si="757"/>
        <v>0</v>
      </c>
      <c r="GS364" s="259" t="str">
        <f t="shared" ca="1" si="758"/>
        <v/>
      </c>
      <c r="GT364" s="259" t="str">
        <f ca="1">IFERROR(INDEX($GD$3:$GS$400,MATCH(ROWS($GT$3:GT364),$GM$3:$GM$400,0),16),"")</f>
        <v/>
      </c>
      <c r="GU364" s="259">
        <f ca="1">IF(GQ364&lt;&gt;0,MAX($GU$2:$GU363)+1,0)</f>
        <v>0</v>
      </c>
      <c r="GV364" s="259">
        <f t="shared" ca="1" si="759"/>
        <v>0</v>
      </c>
      <c r="GW364" s="259" t="str">
        <f ca="1">IF(AND(IFERROR(INDEX($GU$3:$GV$400,MATCH(ROWS($GW$3:GW364),$GU$3:$GU$400,0),2),"")&lt;&gt;"",GW365&lt;&gt;""),CONCATENATE(IFERROR(INDEX($GU$3:$GV$400,MATCH(ROWS($GW$3:GW364),$GU$3:$GU$400,0),2),"")," - "),IFERROR(INDEX($GU$3:$GV$400,MATCH(ROWS($GW$3:GW364),$GU$3:$GU$400,0),2),""))</f>
        <v/>
      </c>
      <c r="GX364" s="259">
        <f ca="1">IF(OR(GN364="IVA NS/CREDITO",GN364="IVA NS/DEBITO",GN364="IVA C/ACCONTO",GN364="IMPOSTE C/ACCONTO"),MAX($GX$2:GX363)+1,0)</f>
        <v>0</v>
      </c>
      <c r="GY364" s="259" t="str">
        <f ca="1">IF(AND(IFERROR(INDEX($GN$3:$GX$200,MATCH(ROWS($GY$3:GY364),$GX$3:$GX$200,0),1),"")&lt;&gt;"",GY365&lt;&gt;""),CONCATENATE(IFERROR(INDEX($GN$3:$GX$200,MATCH(ROWS($GY$3:GY364),$GX$3:$GX$200,0),1),"")," - "),IFERROR(INDEX($GN$3:$GX$200,MATCH(ROWS($GY$3:GY364),$GX$3:$GX$200,0),1),""))</f>
        <v/>
      </c>
      <c r="JA364" s="259" t="str">
        <f t="shared" ca="1" si="760"/>
        <v/>
      </c>
      <c r="JB364" s="259">
        <f t="shared" ca="1" si="741"/>
        <v>0</v>
      </c>
      <c r="JC364" s="259">
        <f t="shared" ca="1" si="793"/>
        <v>0</v>
      </c>
      <c r="JD364" s="259">
        <f t="shared" ca="1" si="794"/>
        <v>0</v>
      </c>
      <c r="JM364" s="259">
        <f t="shared" ca="1" si="795"/>
        <v>0</v>
      </c>
    </row>
    <row r="365" spans="52:273">
      <c r="AZ365" s="259" t="str">
        <f t="shared" ca="1" si="770"/>
        <v/>
      </c>
      <c r="BA365" s="259">
        <f t="shared" ca="1" si="785"/>
        <v>0</v>
      </c>
      <c r="BB365" s="259">
        <f t="shared" ca="1" si="771"/>
        <v>0</v>
      </c>
      <c r="BC365" s="259">
        <f t="shared" ca="1" si="772"/>
        <v>0</v>
      </c>
      <c r="BD365" s="259">
        <f t="shared" ca="1" si="773"/>
        <v>0</v>
      </c>
      <c r="BE365" s="259">
        <f t="shared" ca="1" si="774"/>
        <v>0</v>
      </c>
      <c r="BQ365" s="259" t="str">
        <f ca="1">IFERROR(INDEX($BN$3:$BO$200,MATCH(ROWS(BQ$3:BQ365),$BP$3:$BP$220,0),1),"")</f>
        <v/>
      </c>
      <c r="CX365" s="259">
        <f t="shared" ca="1" si="797"/>
        <v>21</v>
      </c>
      <c r="CY365" s="259" t="str">
        <f t="shared" ca="1" si="775"/>
        <v>MASTRO</v>
      </c>
      <c r="CZ365" s="259" t="e">
        <f t="shared" ref="CZ365:CZ379" ca="1" si="799">SUM(MATCH($CY365,INDIRECT(ADDRESS(SUM(CZ364)+3,54)&amp;":"&amp;ADDRESS(400,54)),0),CZ364)</f>
        <v>#N/A</v>
      </c>
      <c r="DA365" s="259" t="str">
        <f ca="1">IFERROR(INDEX(LIBRO_GIORNALE,CZ365,1),"")</f>
        <v/>
      </c>
      <c r="DB365" s="259" t="str">
        <f t="shared" ref="DB365:DB379" ca="1" si="800">IF(RIGHT(TEXT(IFERROR(INDEX(LIBRO_GIORNALE,CZ365,2),""),"gg/mm/aa"),1)="a",TEXT(IFERROR(INDEX(LIBRO_GIORNALE,CZ365,2),""),"dd/mm/yy"),TEXT(IFERROR(INDEX(LIBRO_GIORNALE,CZ365,2),""),"gg/mm/aa"))</f>
        <v/>
      </c>
      <c r="DC365" s="259" t="str">
        <f t="shared" ref="DC365:DC379" ca="1" si="801">IF(IFERROR(INDEX(LIBRO_GIORNALE,CZ365,4),"")=0,"manca la descrizione dell'operazione",IFERROR(INDEX(LIBRO_GIORNALE,CZ365,4),""))</f>
        <v/>
      </c>
      <c r="DD365" s="259" t="str">
        <f t="shared" ref="DD365:DD379" ca="1" si="802">IFERROR(IF(INDEX(LIBRO_GIORNALE,CZ365,5)&gt;0,INDEX(LIBRO_GIORNALE,CZ365,5),""),"")</f>
        <v/>
      </c>
      <c r="DE365" s="259" t="str">
        <f t="shared" ref="DE365:DE379" ca="1" si="803">IFERROR(IF(INDEX(LIBRO_GIORNALE,CZ365,6)&gt;0,INDEX(LIBRO_GIORNALE,CZ365,6),""),"")</f>
        <v/>
      </c>
      <c r="DF365" s="259">
        <f ca="1">IF(AND(CX365=$DE$2,$DF$2&lt;&gt;0),0,IF(AND(DB365&lt;&gt;"",OR(DB364&lt;&gt;"",DB366&lt;&gt;"")),MAX($DF$2:DF364)+1,0))</f>
        <v>0</v>
      </c>
      <c r="DG365" s="259" t="str">
        <f>IF(IF(LIBRO_GIORNALE!E273="","",IFERROR(INDEX(PIANO_DEI_CONTI,MATCH(BB365,DENOMINAZIONE,0),1),0))=0,"",IF(LIBRO_GIORNALE!E273="","",IFERROR(INDEX(PIANO_DEI_CONTI,MATCH(BB365,DENOMINAZIONE,0),1),0)))</f>
        <v/>
      </c>
      <c r="EC365" s="259">
        <f>IF(IF(DG365&lt;&gt;"",REPLACE(DG365,3,1,""),0)&lt;&gt;0,MAX(EC$2:EC364)+1,0)</f>
        <v>0</v>
      </c>
      <c r="ED365" s="259">
        <f t="shared" ca="1" si="734"/>
        <v>0</v>
      </c>
      <c r="EL365" s="259">
        <f t="shared" si="742"/>
        <v>363</v>
      </c>
      <c r="EM365" s="259">
        <f ca="1">IF(AND(BA365&gt;0,BA365&lt;=$EM$1),MAX($EM$2:EM364)+1,0)</f>
        <v>0</v>
      </c>
      <c r="EN365" s="259">
        <f t="shared" ca="1" si="743"/>
        <v>365</v>
      </c>
      <c r="EP365" s="259" t="str">
        <f t="shared" ca="1" si="735"/>
        <v/>
      </c>
      <c r="EW365" s="259">
        <f t="shared" ca="1" si="786"/>
        <v>1</v>
      </c>
      <c r="EX365" s="259">
        <v>263</v>
      </c>
      <c r="EY365" s="259">
        <f t="shared" ca="1" si="787"/>
        <v>0</v>
      </c>
      <c r="EZ365" s="259">
        <f t="shared" ca="1" si="788"/>
        <v>0</v>
      </c>
      <c r="FA365" s="259">
        <f t="shared" ca="1" si="789"/>
        <v>0</v>
      </c>
      <c r="FB365" s="259">
        <f t="shared" ca="1" si="790"/>
        <v>0</v>
      </c>
      <c r="FC365" s="259">
        <f t="shared" ca="1" si="791"/>
        <v>0</v>
      </c>
      <c r="FD365" s="259">
        <f t="shared" ca="1" si="737"/>
        <v>0</v>
      </c>
      <c r="FE365" s="259" t="str">
        <f t="shared" ca="1" si="738"/>
        <v/>
      </c>
      <c r="FF365" s="259" t="str">
        <f t="shared" ca="1" si="792"/>
        <v/>
      </c>
      <c r="FM365" s="259">
        <f t="shared" si="739"/>
        <v>0</v>
      </c>
      <c r="FN365" s="259">
        <f>IF(FM365&lt;0,MAX($FN$2:FN364)+1,0)</f>
        <v>0</v>
      </c>
      <c r="FO365" s="259" t="str">
        <f t="shared" si="745"/>
        <v/>
      </c>
      <c r="FP365" s="259" t="str">
        <f ca="1">IFERROR(INDEX($FN$3:$FO$400,MATCH(ROWS($FP$3:FP365),$FN$3:$FN$400,0),2),"")</f>
        <v/>
      </c>
      <c r="FQ365" s="259" t="str">
        <f>IF(AE365="SE AVERE",MAX($FQ$2:FQ364)+1,"")</f>
        <v/>
      </c>
      <c r="FR365" s="259" t="str">
        <f>IF(AE365="SE DARE",MAX($FR$2:FR364)+1,"")</f>
        <v/>
      </c>
      <c r="FS365" s="259" t="str">
        <f ca="1">IF(AND(AE365="SP DARE",AA365&lt;&gt;$FS$1,AA365&lt;&gt;$FT$1),MAX($FS$2:FS364)+1,IF(AND(GQ365="SP DARE",AA365&lt;&gt;$FS$1,AA365&lt;&gt;$FT$1),MAX($FS$2:FS364)+1,""))</f>
        <v/>
      </c>
      <c r="FT365" s="259" t="str">
        <f ca="1">IF(AND(AE365="SP AVERE",AA365&lt;&gt;$FU$1),MAX($FT$2:FT364)+1,IF(AND(GQ365="SP AVERE",AA365&lt;&gt;$FU$1),MAX($FT$2:FT364)+1,""))</f>
        <v/>
      </c>
      <c r="FU365" s="259">
        <f t="shared" ca="1" si="746"/>
        <v>0</v>
      </c>
      <c r="FV365" s="259">
        <f t="shared" si="747"/>
        <v>0</v>
      </c>
      <c r="FW365" s="259">
        <f ca="1">IFERROR(INDEX($FU$3:$FV$500,MATCH(ROWS($FW$3:FW365),$FU$3:$FU$500,0),2),0)</f>
        <v>0</v>
      </c>
      <c r="FX365" s="259">
        <f t="shared" ca="1" si="748"/>
        <v>0</v>
      </c>
      <c r="FY365" s="259">
        <f t="shared" ca="1" si="749"/>
        <v>0</v>
      </c>
      <c r="FZ365" s="259">
        <f ca="1">IF(FY365&gt;0,MAX($FZ$2:FZ364)+1,0)</f>
        <v>0</v>
      </c>
      <c r="GA365" s="259">
        <f ca="1">IFERROR(INDEX($FY$3:$FZ$500,MATCH(ROWS($GA$3:GA365),$FZ$3:$FZ$500,0),1),0)</f>
        <v>0</v>
      </c>
      <c r="GC365" s="259">
        <f t="shared" ca="1" si="750"/>
        <v>0</v>
      </c>
      <c r="GD365" s="259">
        <f t="shared" ca="1" si="751"/>
        <v>0</v>
      </c>
      <c r="GG365" s="259">
        <f t="shared" ca="1" si="752"/>
        <v>0</v>
      </c>
      <c r="GH365" s="259">
        <f t="shared" ca="1" si="753"/>
        <v>0</v>
      </c>
      <c r="GI365" s="259">
        <f t="shared" ca="1" si="754"/>
        <v>0</v>
      </c>
      <c r="GJ365" s="259">
        <f t="shared" ca="1" si="755"/>
        <v>0</v>
      </c>
      <c r="GK365" s="259">
        <f t="shared" ca="1" si="756"/>
        <v>0</v>
      </c>
      <c r="GL365" s="259">
        <f t="shared" ca="1" si="756"/>
        <v>0</v>
      </c>
      <c r="GM365" s="259">
        <f ca="1">IF(OR(GK365&gt;0,GL365&gt;0),MAX($GM$2:GM364)+1,0)</f>
        <v>0</v>
      </c>
      <c r="GN365" s="259" t="str">
        <f ca="1">IFERROR(INDEX($GD$3:$GM$400,MATCH(ROWS($GN$3:GN365),$GM$3:$GM$400,0),1),"")</f>
        <v/>
      </c>
      <c r="GO365" s="259" t="str">
        <f ca="1">IFERROR(INDEX($GD$3:$GM$400,MATCH(ROWS($GO$3:GO365),$GM$3:$GM$400,0),8),"")</f>
        <v/>
      </c>
      <c r="GP365" s="259" t="str">
        <f ca="1">IFERROR(INDEX($GD$3:$GM$400,MATCH(ROWS($GP$3:GP365),$GM$3:$GM$400,0),9),"")</f>
        <v/>
      </c>
      <c r="GQ365" s="259">
        <f t="shared" ca="1" si="740"/>
        <v>0</v>
      </c>
      <c r="GR365" s="259">
        <f t="shared" ca="1" si="757"/>
        <v>0</v>
      </c>
      <c r="GS365" s="259" t="str">
        <f t="shared" ca="1" si="758"/>
        <v/>
      </c>
      <c r="GT365" s="259" t="str">
        <f ca="1">IFERROR(INDEX($GD$3:$GS$400,MATCH(ROWS($GT$3:GT365),$GM$3:$GM$400,0),16),"")</f>
        <v/>
      </c>
      <c r="GU365" s="259">
        <f ca="1">IF(GQ365&lt;&gt;0,MAX($GU$2:$GU364)+1,0)</f>
        <v>0</v>
      </c>
      <c r="GV365" s="259">
        <f t="shared" ca="1" si="759"/>
        <v>0</v>
      </c>
      <c r="GW365" s="259" t="str">
        <f ca="1">IF(AND(IFERROR(INDEX($GU$3:$GV$400,MATCH(ROWS($GW$3:GW365),$GU$3:$GU$400,0),2),"")&lt;&gt;"",GW366&lt;&gt;""),CONCATENATE(IFERROR(INDEX($GU$3:$GV$400,MATCH(ROWS($GW$3:GW365),$GU$3:$GU$400,0),2),"")," - "),IFERROR(INDEX($GU$3:$GV$400,MATCH(ROWS($GW$3:GW365),$GU$3:$GU$400,0),2),""))</f>
        <v/>
      </c>
      <c r="GX365" s="259">
        <f ca="1">IF(OR(GN365="IVA NS/CREDITO",GN365="IVA NS/DEBITO",GN365="IVA C/ACCONTO",GN365="IMPOSTE C/ACCONTO"),MAX($GX$2:GX364)+1,0)</f>
        <v>0</v>
      </c>
      <c r="GY365" s="259" t="str">
        <f ca="1">IF(AND(IFERROR(INDEX($GN$3:$GX$200,MATCH(ROWS($GY$3:GY365),$GX$3:$GX$200,0),1),"")&lt;&gt;"",GY366&lt;&gt;""),CONCATENATE(IFERROR(INDEX($GN$3:$GX$200,MATCH(ROWS($GY$3:GY365),$GX$3:$GX$200,0),1),"")," - "),IFERROR(INDEX($GN$3:$GX$200,MATCH(ROWS($GY$3:GY365),$GX$3:$GX$200,0),1),""))</f>
        <v/>
      </c>
      <c r="JA365" s="259" t="str">
        <f t="shared" ca="1" si="760"/>
        <v/>
      </c>
      <c r="JB365" s="259">
        <f t="shared" ca="1" si="741"/>
        <v>0</v>
      </c>
      <c r="JC365" s="259">
        <f t="shared" ca="1" si="793"/>
        <v>0</v>
      </c>
      <c r="JD365" s="259">
        <f t="shared" ca="1" si="794"/>
        <v>0</v>
      </c>
      <c r="JM365" s="259">
        <f t="shared" ca="1" si="795"/>
        <v>0</v>
      </c>
    </row>
    <row r="366" spans="52:273">
      <c r="AZ366" s="259" t="str">
        <f t="shared" ca="1" si="770"/>
        <v/>
      </c>
      <c r="BA366" s="259">
        <f t="shared" ca="1" si="785"/>
        <v>0</v>
      </c>
      <c r="BB366" s="259">
        <f t="shared" ca="1" si="771"/>
        <v>0</v>
      </c>
      <c r="BC366" s="259">
        <f t="shared" ca="1" si="772"/>
        <v>0</v>
      </c>
      <c r="BD366" s="259">
        <f t="shared" ca="1" si="773"/>
        <v>0</v>
      </c>
      <c r="BE366" s="259">
        <f t="shared" ca="1" si="774"/>
        <v>0</v>
      </c>
      <c r="BQ366" s="259" t="str">
        <f ca="1">IFERROR(INDEX($BN$3:$BO$200,MATCH(ROWS(BQ$3:BQ366),$BP$3:$BP$220,0),1),"")</f>
        <v/>
      </c>
      <c r="CX366" s="259">
        <f t="shared" ca="1" si="797"/>
        <v>21</v>
      </c>
      <c r="CY366" s="259" t="str">
        <f t="shared" ca="1" si="775"/>
        <v>MASTRO</v>
      </c>
      <c r="CZ366" s="259" t="e">
        <f t="shared" ca="1" si="799"/>
        <v>#N/A</v>
      </c>
      <c r="DA366" s="259" t="str">
        <f t="shared" ref="DA366:DA379" ca="1" si="804">IFERROR(INDEX(LIBRO_GIORNALE,CZ366,1),"")</f>
        <v/>
      </c>
      <c r="DB366" s="259" t="str">
        <f t="shared" ca="1" si="800"/>
        <v/>
      </c>
      <c r="DC366" s="259" t="str">
        <f t="shared" ca="1" si="801"/>
        <v/>
      </c>
      <c r="DD366" s="259" t="str">
        <f t="shared" ca="1" si="802"/>
        <v/>
      </c>
      <c r="DE366" s="259" t="str">
        <f t="shared" ca="1" si="803"/>
        <v/>
      </c>
      <c r="DF366" s="259">
        <f ca="1">IF(AND(CX366=$DE$2,$DF$2&lt;&gt;0),0,IF(AND(DB366&lt;&gt;"",OR(DB365&lt;&gt;"",DB367&lt;&gt;"")),MAX($DF$2:DF365)+1,0))</f>
        <v>0</v>
      </c>
      <c r="DG366" s="259" t="str">
        <f>IF(IF(LIBRO_GIORNALE!E274="","",IFERROR(INDEX(PIANO_DEI_CONTI,MATCH(BB366,DENOMINAZIONE,0),1),0))=0,"",IF(LIBRO_GIORNALE!E274="","",IFERROR(INDEX(PIANO_DEI_CONTI,MATCH(BB366,DENOMINAZIONE,0),1),0)))</f>
        <v/>
      </c>
      <c r="EC366" s="259">
        <f>IF(IF(DG366&lt;&gt;"",REPLACE(DG366,3,1,""),0)&lt;&gt;0,MAX(EC$2:EC365)+1,0)</f>
        <v>0</v>
      </c>
      <c r="ED366" s="259">
        <f t="shared" ca="1" si="734"/>
        <v>0</v>
      </c>
      <c r="EL366" s="259">
        <f t="shared" si="742"/>
        <v>364</v>
      </c>
      <c r="EM366" s="259">
        <f ca="1">IF(AND(BA366&gt;0,BA366&lt;=$EM$1),MAX($EM$2:EM365)+1,0)</f>
        <v>0</v>
      </c>
      <c r="EN366" s="259">
        <f t="shared" ca="1" si="743"/>
        <v>366</v>
      </c>
      <c r="EP366" s="259" t="str">
        <f t="shared" ca="1" si="735"/>
        <v/>
      </c>
      <c r="EW366" s="259">
        <f t="shared" ca="1" si="786"/>
        <v>1</v>
      </c>
      <c r="EX366" s="259">
        <v>264</v>
      </c>
      <c r="EY366" s="259">
        <f t="shared" ca="1" si="787"/>
        <v>0</v>
      </c>
      <c r="EZ366" s="259">
        <f t="shared" ca="1" si="788"/>
        <v>0</v>
      </c>
      <c r="FA366" s="259">
        <f t="shared" ca="1" si="789"/>
        <v>0</v>
      </c>
      <c r="FB366" s="259">
        <f t="shared" ca="1" si="790"/>
        <v>0</v>
      </c>
      <c r="FC366" s="259">
        <f t="shared" ca="1" si="791"/>
        <v>0</v>
      </c>
      <c r="FD366" s="259">
        <f t="shared" ca="1" si="737"/>
        <v>0</v>
      </c>
      <c r="FE366" s="259" t="str">
        <f t="shared" ca="1" si="738"/>
        <v/>
      </c>
      <c r="FF366" s="259" t="str">
        <f t="shared" ca="1" si="792"/>
        <v/>
      </c>
      <c r="FM366" s="259">
        <f t="shared" si="739"/>
        <v>0</v>
      </c>
      <c r="FN366" s="259">
        <f>IF(FM366&lt;0,MAX($FN$2:FN365)+1,0)</f>
        <v>0</v>
      </c>
      <c r="FO366" s="259" t="str">
        <f t="shared" si="745"/>
        <v/>
      </c>
      <c r="FP366" s="259" t="str">
        <f ca="1">IFERROR(INDEX($FN$3:$FO$400,MATCH(ROWS($FP$3:FP366),$FN$3:$FN$400,0),2),"")</f>
        <v/>
      </c>
      <c r="FQ366" s="259" t="str">
        <f>IF(AE366="SE AVERE",MAX($FQ$2:FQ365)+1,"")</f>
        <v/>
      </c>
      <c r="FR366" s="259" t="str">
        <f>IF(AE366="SE DARE",MAX($FR$2:FR365)+1,"")</f>
        <v/>
      </c>
      <c r="FS366" s="259" t="str">
        <f ca="1">IF(AND(AE366="SP DARE",AA366&lt;&gt;$FS$1,AA366&lt;&gt;$FT$1),MAX($FS$2:FS365)+1,IF(AND(GQ366="SP DARE",AA366&lt;&gt;$FS$1,AA366&lt;&gt;$FT$1),MAX($FS$2:FS365)+1,""))</f>
        <v/>
      </c>
      <c r="FT366" s="259" t="str">
        <f ca="1">IF(AND(AE366="SP AVERE",AA366&lt;&gt;$FU$1),MAX($FT$2:FT365)+1,IF(AND(GQ366="SP AVERE",AA366&lt;&gt;$FU$1),MAX($FT$2:FT365)+1,""))</f>
        <v/>
      </c>
      <c r="FU366" s="259">
        <f t="shared" ca="1" si="746"/>
        <v>0</v>
      </c>
      <c r="FV366" s="259">
        <f t="shared" si="747"/>
        <v>0</v>
      </c>
      <c r="FW366" s="259">
        <f ca="1">IFERROR(INDEX($FU$3:$FV$500,MATCH(ROWS($FW$3:FW366),$FU$3:$FU$500,0),2),0)</f>
        <v>0</v>
      </c>
      <c r="FX366" s="259">
        <f t="shared" ca="1" si="748"/>
        <v>0</v>
      </c>
      <c r="FY366" s="259">
        <f t="shared" ca="1" si="749"/>
        <v>0</v>
      </c>
      <c r="FZ366" s="259">
        <f ca="1">IF(FY366&gt;0,MAX($FZ$2:FZ365)+1,0)</f>
        <v>0</v>
      </c>
      <c r="GA366" s="259">
        <f ca="1">IFERROR(INDEX($FY$3:$FZ$500,MATCH(ROWS($GA$3:GA366),$FZ$3:$FZ$500,0),1),0)</f>
        <v>0</v>
      </c>
      <c r="GC366" s="259">
        <f t="shared" ca="1" si="750"/>
        <v>0</v>
      </c>
      <c r="GD366" s="259">
        <f t="shared" ca="1" si="751"/>
        <v>0</v>
      </c>
      <c r="GG366" s="259">
        <f t="shared" ca="1" si="752"/>
        <v>0</v>
      </c>
      <c r="GH366" s="259">
        <f t="shared" ca="1" si="753"/>
        <v>0</v>
      </c>
      <c r="GI366" s="259">
        <f t="shared" ca="1" si="754"/>
        <v>0</v>
      </c>
      <c r="GJ366" s="259">
        <f t="shared" ca="1" si="755"/>
        <v>0</v>
      </c>
      <c r="GK366" s="259">
        <f t="shared" ca="1" si="756"/>
        <v>0</v>
      </c>
      <c r="GL366" s="259">
        <f t="shared" ca="1" si="756"/>
        <v>0</v>
      </c>
      <c r="GM366" s="259">
        <f ca="1">IF(OR(GK366&gt;0,GL366&gt;0),MAX($GM$2:GM365)+1,0)</f>
        <v>0</v>
      </c>
      <c r="GN366" s="259" t="str">
        <f ca="1">IFERROR(INDEX($GD$3:$GM$400,MATCH(ROWS($GN$3:GN366),$GM$3:$GM$400,0),1),"")</f>
        <v/>
      </c>
      <c r="GO366" s="259" t="str">
        <f ca="1">IFERROR(INDEX($GD$3:$GM$400,MATCH(ROWS($GO$3:GO366),$GM$3:$GM$400,0),8),"")</f>
        <v/>
      </c>
      <c r="GP366" s="259" t="str">
        <f ca="1">IFERROR(INDEX($GD$3:$GM$400,MATCH(ROWS($GP$3:GP366),$GM$3:$GM$400,0),9),"")</f>
        <v/>
      </c>
      <c r="GQ366" s="259">
        <f t="shared" ca="1" si="740"/>
        <v>0</v>
      </c>
      <c r="GR366" s="259">
        <f t="shared" ca="1" si="757"/>
        <v>0</v>
      </c>
      <c r="GS366" s="259" t="str">
        <f t="shared" ca="1" si="758"/>
        <v/>
      </c>
      <c r="GT366" s="259" t="str">
        <f ca="1">IFERROR(INDEX($GD$3:$GS$400,MATCH(ROWS($GT$3:GT366),$GM$3:$GM$400,0),16),"")</f>
        <v/>
      </c>
      <c r="GU366" s="259">
        <f ca="1">IF(GQ366&lt;&gt;0,MAX($GU$2:$GU365)+1,0)</f>
        <v>0</v>
      </c>
      <c r="GV366" s="259">
        <f t="shared" ca="1" si="759"/>
        <v>0</v>
      </c>
      <c r="GW366" s="259" t="str">
        <f ca="1">IF(AND(IFERROR(INDEX($GU$3:$GV$400,MATCH(ROWS($GW$3:GW366),$GU$3:$GU$400,0),2),"")&lt;&gt;"",GW367&lt;&gt;""),CONCATENATE(IFERROR(INDEX($GU$3:$GV$400,MATCH(ROWS($GW$3:GW366),$GU$3:$GU$400,0),2),"")," - "),IFERROR(INDEX($GU$3:$GV$400,MATCH(ROWS($GW$3:GW366),$GU$3:$GU$400,0),2),""))</f>
        <v/>
      </c>
      <c r="GX366" s="259">
        <f ca="1">IF(OR(GN366="IVA NS/CREDITO",GN366="IVA NS/DEBITO",GN366="IVA C/ACCONTO",GN366="IMPOSTE C/ACCONTO"),MAX($GX$2:GX365)+1,0)</f>
        <v>0</v>
      </c>
      <c r="GY366" s="259" t="str">
        <f ca="1">IF(AND(IFERROR(INDEX($GN$3:$GX$200,MATCH(ROWS($GY$3:GY366),$GX$3:$GX$200,0),1),"")&lt;&gt;"",GY367&lt;&gt;""),CONCATENATE(IFERROR(INDEX($GN$3:$GX$200,MATCH(ROWS($GY$3:GY366),$GX$3:$GX$200,0),1),"")," - "),IFERROR(INDEX($GN$3:$GX$200,MATCH(ROWS($GY$3:GY366),$GX$3:$GX$200,0),1),""))</f>
        <v/>
      </c>
      <c r="JA366" s="259" t="str">
        <f t="shared" ca="1" si="760"/>
        <v/>
      </c>
      <c r="JB366" s="259">
        <f t="shared" ca="1" si="741"/>
        <v>0</v>
      </c>
      <c r="JC366" s="259">
        <f t="shared" ca="1" si="793"/>
        <v>0</v>
      </c>
      <c r="JD366" s="259">
        <f t="shared" ca="1" si="794"/>
        <v>0</v>
      </c>
      <c r="JM366" s="259">
        <f t="shared" ca="1" si="795"/>
        <v>0</v>
      </c>
    </row>
    <row r="367" spans="52:273">
      <c r="AZ367" s="259" t="str">
        <f t="shared" ca="1" si="770"/>
        <v/>
      </c>
      <c r="BA367" s="259">
        <f t="shared" ca="1" si="785"/>
        <v>0</v>
      </c>
      <c r="BB367" s="259">
        <f t="shared" ca="1" si="771"/>
        <v>0</v>
      </c>
      <c r="BC367" s="259">
        <f t="shared" ca="1" si="772"/>
        <v>0</v>
      </c>
      <c r="BD367" s="259">
        <f t="shared" ca="1" si="773"/>
        <v>0</v>
      </c>
      <c r="BE367" s="259">
        <f t="shared" ca="1" si="774"/>
        <v>0</v>
      </c>
      <c r="BQ367" s="259" t="str">
        <f ca="1">IFERROR(INDEX($BN$3:$BO$200,MATCH(ROWS(BQ$3:BQ367),$BP$3:$BP$220,0),1),"")</f>
        <v/>
      </c>
      <c r="CX367" s="259">
        <f t="shared" ca="1" si="797"/>
        <v>21</v>
      </c>
      <c r="CY367" s="259" t="str">
        <f t="shared" ref="CY367:CY397" ca="1" si="805">IF(ISERROR(INDEX($CV$3:$CX$2300,MATCH(CX367,$CW$3:$CW$2300,0),1)),"MASTRO",INDEX($CV$3:$CX$2300,MATCH(CX367,$CW$3:$CW$2300,0),1))</f>
        <v>MASTRO</v>
      </c>
      <c r="CZ367" s="259" t="e">
        <f t="shared" ca="1" si="799"/>
        <v>#N/A</v>
      </c>
      <c r="DA367" s="259" t="str">
        <f t="shared" ca="1" si="804"/>
        <v/>
      </c>
      <c r="DB367" s="259" t="str">
        <f t="shared" ca="1" si="800"/>
        <v/>
      </c>
      <c r="DC367" s="259" t="str">
        <f t="shared" ca="1" si="801"/>
        <v/>
      </c>
      <c r="DD367" s="259" t="str">
        <f t="shared" ca="1" si="802"/>
        <v/>
      </c>
      <c r="DE367" s="259" t="str">
        <f t="shared" ca="1" si="803"/>
        <v/>
      </c>
      <c r="DF367" s="259">
        <f ca="1">IF(AND(CX367=$DE$2,$DF$2&lt;&gt;0),0,IF(AND(DB367&lt;&gt;"",OR(DB366&lt;&gt;"",DB368&lt;&gt;"")),MAX($DF$2:DF366)+1,0))</f>
        <v>0</v>
      </c>
      <c r="DG367" s="259" t="str">
        <f>IF(IF(LIBRO_GIORNALE!E275="","",IFERROR(INDEX(PIANO_DEI_CONTI,MATCH(BB367,DENOMINAZIONE,0),1),0))=0,"",IF(LIBRO_GIORNALE!E275="","",IFERROR(INDEX(PIANO_DEI_CONTI,MATCH(BB367,DENOMINAZIONE,0),1),0)))</f>
        <v/>
      </c>
      <c r="EC367" s="259">
        <f>IF(IF(DG367&lt;&gt;"",REPLACE(DG367,3,1,""),0)&lt;&gt;0,MAX(EC$2:EC366)+1,0)</f>
        <v>0</v>
      </c>
      <c r="ED367" s="259">
        <f t="shared" ca="1" si="734"/>
        <v>0</v>
      </c>
      <c r="EL367" s="259">
        <f t="shared" si="742"/>
        <v>365</v>
      </c>
      <c r="EM367" s="259">
        <f ca="1">IF(AND(BA367&gt;0,BA367&lt;=$EM$1),MAX($EM$2:EM366)+1,0)</f>
        <v>0</v>
      </c>
      <c r="EN367" s="259">
        <f t="shared" ca="1" si="743"/>
        <v>367</v>
      </c>
      <c r="EP367" s="259" t="str">
        <f t="shared" ca="1" si="735"/>
        <v/>
      </c>
      <c r="EW367" s="259">
        <f t="shared" ca="1" si="786"/>
        <v>1</v>
      </c>
      <c r="EX367" s="259">
        <v>265</v>
      </c>
      <c r="EY367" s="259">
        <f t="shared" ca="1" si="787"/>
        <v>0</v>
      </c>
      <c r="EZ367" s="259">
        <f t="shared" ca="1" si="788"/>
        <v>0</v>
      </c>
      <c r="FA367" s="259">
        <f t="shared" ca="1" si="789"/>
        <v>0</v>
      </c>
      <c r="FB367" s="259">
        <f t="shared" ca="1" si="790"/>
        <v>0</v>
      </c>
      <c r="FC367" s="259">
        <f t="shared" ca="1" si="791"/>
        <v>0</v>
      </c>
      <c r="FD367" s="259">
        <f t="shared" ca="1" si="737"/>
        <v>0</v>
      </c>
      <c r="FE367" s="259" t="str">
        <f t="shared" ca="1" si="738"/>
        <v/>
      </c>
      <c r="FF367" s="259" t="str">
        <f t="shared" ca="1" si="792"/>
        <v/>
      </c>
      <c r="FM367" s="259">
        <f t="shared" si="739"/>
        <v>0</v>
      </c>
      <c r="FN367" s="259">
        <f>IF(FM367&lt;0,MAX($FN$2:FN366)+1,0)</f>
        <v>0</v>
      </c>
      <c r="FO367" s="259" t="str">
        <f t="shared" si="745"/>
        <v/>
      </c>
      <c r="FP367" s="259" t="str">
        <f ca="1">IFERROR(INDEX($FN$3:$FO$400,MATCH(ROWS($FP$3:FP367),$FN$3:$FN$400,0),2),"")</f>
        <v/>
      </c>
      <c r="FQ367" s="259" t="str">
        <f>IF(AE367="SE AVERE",MAX($FQ$2:FQ366)+1,"")</f>
        <v/>
      </c>
      <c r="FR367" s="259" t="str">
        <f>IF(AE367="SE DARE",MAX($FR$2:FR366)+1,"")</f>
        <v/>
      </c>
      <c r="FS367" s="259" t="str">
        <f ca="1">IF(AND(AE367="SP DARE",AA367&lt;&gt;$FS$1,AA367&lt;&gt;$FT$1),MAX($FS$2:FS366)+1,IF(AND(GQ367="SP DARE",AA367&lt;&gt;$FS$1,AA367&lt;&gt;$FT$1),MAX($FS$2:FS366)+1,""))</f>
        <v/>
      </c>
      <c r="FT367" s="259" t="str">
        <f ca="1">IF(AND(AE367="SP AVERE",AA367&lt;&gt;$FU$1),MAX($FT$2:FT366)+1,IF(AND(GQ367="SP AVERE",AA367&lt;&gt;$FU$1),MAX($FT$2:FT366)+1,""))</f>
        <v/>
      </c>
      <c r="FU367" s="259">
        <f t="shared" ca="1" si="746"/>
        <v>0</v>
      </c>
      <c r="FV367" s="259">
        <f t="shared" si="747"/>
        <v>0</v>
      </c>
      <c r="FW367" s="259">
        <f ca="1">IFERROR(INDEX($FU$3:$FV$500,MATCH(ROWS($FW$3:FW367),$FU$3:$FU$500,0),2),0)</f>
        <v>0</v>
      </c>
      <c r="FX367" s="259">
        <f t="shared" ca="1" si="748"/>
        <v>0</v>
      </c>
      <c r="FY367" s="259">
        <f t="shared" ca="1" si="749"/>
        <v>0</v>
      </c>
      <c r="FZ367" s="259">
        <f ca="1">IF(FY367&gt;0,MAX($FZ$2:FZ366)+1,0)</f>
        <v>0</v>
      </c>
      <c r="GA367" s="259">
        <f ca="1">IFERROR(INDEX($FY$3:$FZ$500,MATCH(ROWS($GA$3:GA367),$FZ$3:$FZ$500,0),1),0)</f>
        <v>0</v>
      </c>
      <c r="GC367" s="259">
        <f t="shared" ca="1" si="750"/>
        <v>0</v>
      </c>
      <c r="GD367" s="259">
        <f t="shared" ca="1" si="751"/>
        <v>0</v>
      </c>
      <c r="GG367" s="259">
        <f t="shared" ca="1" si="752"/>
        <v>0</v>
      </c>
      <c r="GH367" s="259">
        <f t="shared" ca="1" si="753"/>
        <v>0</v>
      </c>
      <c r="GI367" s="259">
        <f t="shared" ca="1" si="754"/>
        <v>0</v>
      </c>
      <c r="GJ367" s="259">
        <f t="shared" ca="1" si="755"/>
        <v>0</v>
      </c>
      <c r="GK367" s="259">
        <f t="shared" ca="1" si="756"/>
        <v>0</v>
      </c>
      <c r="GL367" s="259">
        <f t="shared" ca="1" si="756"/>
        <v>0</v>
      </c>
      <c r="GM367" s="259">
        <f ca="1">IF(OR(GK367&gt;0,GL367&gt;0),MAX($GM$2:GM366)+1,0)</f>
        <v>0</v>
      </c>
      <c r="GN367" s="259" t="str">
        <f ca="1">IFERROR(INDEX($GD$3:$GM$400,MATCH(ROWS($GN$3:GN367),$GM$3:$GM$400,0),1),"")</f>
        <v/>
      </c>
      <c r="GO367" s="259" t="str">
        <f ca="1">IFERROR(INDEX($GD$3:$GM$400,MATCH(ROWS($GO$3:GO367),$GM$3:$GM$400,0),8),"")</f>
        <v/>
      </c>
      <c r="GP367" s="259" t="str">
        <f ca="1">IFERROR(INDEX($GD$3:$GM$400,MATCH(ROWS($GP$3:GP367),$GM$3:$GM$400,0),9),"")</f>
        <v/>
      </c>
      <c r="GQ367" s="259">
        <f t="shared" ca="1" si="740"/>
        <v>0</v>
      </c>
      <c r="GR367" s="259">
        <f t="shared" ca="1" si="757"/>
        <v>0</v>
      </c>
      <c r="GS367" s="259" t="str">
        <f t="shared" ca="1" si="758"/>
        <v/>
      </c>
      <c r="GT367" s="259" t="str">
        <f ca="1">IFERROR(INDEX($GD$3:$GS$400,MATCH(ROWS($GT$3:GT367),$GM$3:$GM$400,0),16),"")</f>
        <v/>
      </c>
      <c r="GU367" s="259">
        <f ca="1">IF(GQ367&lt;&gt;0,MAX($GU$2:$GU366)+1,0)</f>
        <v>0</v>
      </c>
      <c r="GV367" s="259">
        <f t="shared" ca="1" si="759"/>
        <v>0</v>
      </c>
      <c r="GW367" s="259" t="str">
        <f ca="1">IF(AND(IFERROR(INDEX($GU$3:$GV$400,MATCH(ROWS($GW$3:GW367),$GU$3:$GU$400,0),2),"")&lt;&gt;"",GW368&lt;&gt;""),CONCATENATE(IFERROR(INDEX($GU$3:$GV$400,MATCH(ROWS($GW$3:GW367),$GU$3:$GU$400,0),2),"")," - "),IFERROR(INDEX($GU$3:$GV$400,MATCH(ROWS($GW$3:GW367),$GU$3:$GU$400,0),2),""))</f>
        <v/>
      </c>
      <c r="GX367" s="259">
        <f ca="1">IF(OR(GN367="IVA NS/CREDITO",GN367="IVA NS/DEBITO",GN367="IVA C/ACCONTO",GN367="IMPOSTE C/ACCONTO"),MAX($GX$2:GX366)+1,0)</f>
        <v>0</v>
      </c>
      <c r="GY367" s="259" t="str">
        <f ca="1">IF(AND(IFERROR(INDEX($GN$3:$GX$200,MATCH(ROWS($GY$3:GY367),$GX$3:$GX$200,0),1),"")&lt;&gt;"",GY368&lt;&gt;""),CONCATENATE(IFERROR(INDEX($GN$3:$GX$200,MATCH(ROWS($GY$3:GY367),$GX$3:$GX$200,0),1),"")," - "),IFERROR(INDEX($GN$3:$GX$200,MATCH(ROWS($GY$3:GY367),$GX$3:$GX$200,0),1),""))</f>
        <v/>
      </c>
      <c r="JA367" s="259" t="str">
        <f t="shared" ca="1" si="760"/>
        <v/>
      </c>
      <c r="JB367" s="259">
        <f t="shared" ca="1" si="741"/>
        <v>0</v>
      </c>
      <c r="JC367" s="259">
        <f t="shared" ca="1" si="793"/>
        <v>0</v>
      </c>
      <c r="JD367" s="259">
        <f t="shared" ca="1" si="794"/>
        <v>0</v>
      </c>
      <c r="JM367" s="259">
        <f t="shared" ca="1" si="795"/>
        <v>0</v>
      </c>
    </row>
    <row r="368" spans="52:273">
      <c r="AZ368" s="259" t="str">
        <f t="shared" ca="1" si="770"/>
        <v/>
      </c>
      <c r="BA368" s="259">
        <f t="shared" ca="1" si="785"/>
        <v>0</v>
      </c>
      <c r="BB368" s="259">
        <f t="shared" ca="1" si="771"/>
        <v>0</v>
      </c>
      <c r="BC368" s="259">
        <f t="shared" ca="1" si="772"/>
        <v>0</v>
      </c>
      <c r="BD368" s="259">
        <f t="shared" ca="1" si="773"/>
        <v>0</v>
      </c>
      <c r="BE368" s="259">
        <f t="shared" ca="1" si="774"/>
        <v>0</v>
      </c>
      <c r="BQ368" s="259" t="str">
        <f ca="1">IFERROR(INDEX($BN$3:$BO$200,MATCH(ROWS(BQ$3:BQ368),$BP$3:$BP$220,0),1),"")</f>
        <v/>
      </c>
      <c r="CX368" s="259">
        <f t="shared" ca="1" si="797"/>
        <v>21</v>
      </c>
      <c r="CY368" s="259" t="str">
        <f t="shared" ca="1" si="805"/>
        <v>MASTRO</v>
      </c>
      <c r="CZ368" s="259" t="e">
        <f t="shared" ca="1" si="799"/>
        <v>#N/A</v>
      </c>
      <c r="DA368" s="259" t="str">
        <f t="shared" ca="1" si="804"/>
        <v/>
      </c>
      <c r="DB368" s="259" t="str">
        <f t="shared" ca="1" si="800"/>
        <v/>
      </c>
      <c r="DC368" s="259" t="str">
        <f t="shared" ca="1" si="801"/>
        <v/>
      </c>
      <c r="DD368" s="259" t="str">
        <f t="shared" ca="1" si="802"/>
        <v/>
      </c>
      <c r="DE368" s="259" t="str">
        <f t="shared" ca="1" si="803"/>
        <v/>
      </c>
      <c r="DF368" s="259">
        <f ca="1">IF(AND(CX368=$DE$2,$DF$2&lt;&gt;0),0,IF(AND(DB368&lt;&gt;"",OR(DB367&lt;&gt;"",DB369&lt;&gt;"")),MAX($DF$2:DF367)+1,0))</f>
        <v>0</v>
      </c>
      <c r="DG368" s="259" t="str">
        <f>IF(IF(LIBRO_GIORNALE!E276="","",IFERROR(INDEX(PIANO_DEI_CONTI,MATCH(BB368,DENOMINAZIONE,0),1),0))=0,"",IF(LIBRO_GIORNALE!E276="","",IFERROR(INDEX(PIANO_DEI_CONTI,MATCH(BB368,DENOMINAZIONE,0),1),0)))</f>
        <v/>
      </c>
      <c r="EC368" s="259">
        <f>IF(IF(DG368&lt;&gt;"",REPLACE(DG368,3,1,""),0)&lt;&gt;0,MAX(EC$2:EC367)+1,0)</f>
        <v>0</v>
      </c>
      <c r="ED368" s="259">
        <f t="shared" ca="1" si="734"/>
        <v>0</v>
      </c>
      <c r="EL368" s="259">
        <f t="shared" si="742"/>
        <v>366</v>
      </c>
      <c r="EM368" s="259">
        <f ca="1">IF(AND(BA368&gt;0,BA368&lt;=$EM$1),MAX($EM$2:EM367)+1,0)</f>
        <v>0</v>
      </c>
      <c r="EN368" s="259">
        <f t="shared" ca="1" si="743"/>
        <v>368</v>
      </c>
      <c r="EP368" s="259" t="str">
        <f t="shared" ca="1" si="735"/>
        <v/>
      </c>
      <c r="EW368" s="259">
        <f t="shared" ca="1" si="786"/>
        <v>1</v>
      </c>
      <c r="EX368" s="259">
        <v>266</v>
      </c>
      <c r="EY368" s="259">
        <f t="shared" ca="1" si="787"/>
        <v>0</v>
      </c>
      <c r="EZ368" s="259">
        <f t="shared" ca="1" si="788"/>
        <v>0</v>
      </c>
      <c r="FA368" s="259">
        <f t="shared" ca="1" si="789"/>
        <v>0</v>
      </c>
      <c r="FB368" s="259">
        <f t="shared" ca="1" si="790"/>
        <v>0</v>
      </c>
      <c r="FC368" s="259">
        <f t="shared" ca="1" si="791"/>
        <v>0</v>
      </c>
      <c r="FD368" s="259">
        <f t="shared" ca="1" si="737"/>
        <v>0</v>
      </c>
      <c r="FE368" s="259" t="str">
        <f t="shared" ca="1" si="738"/>
        <v/>
      </c>
      <c r="FF368" s="259" t="str">
        <f t="shared" ca="1" si="792"/>
        <v/>
      </c>
      <c r="FM368" s="259">
        <f t="shared" si="739"/>
        <v>0</v>
      </c>
      <c r="FN368" s="259">
        <f>IF(FM368&lt;0,MAX($FN$2:FN367)+1,0)</f>
        <v>0</v>
      </c>
      <c r="FO368" s="259" t="str">
        <f t="shared" si="745"/>
        <v/>
      </c>
      <c r="FP368" s="259" t="str">
        <f ca="1">IFERROR(INDEX($FN$3:$FO$400,MATCH(ROWS($FP$3:FP368),$FN$3:$FN$400,0),2),"")</f>
        <v/>
      </c>
      <c r="FQ368" s="259" t="str">
        <f>IF(AE368="SE AVERE",MAX($FQ$2:FQ367)+1,"")</f>
        <v/>
      </c>
      <c r="FR368" s="259" t="str">
        <f>IF(AE368="SE DARE",MAX($FR$2:FR367)+1,"")</f>
        <v/>
      </c>
      <c r="FS368" s="259" t="str">
        <f ca="1">IF(AND(AE368="SP DARE",AA368&lt;&gt;$FS$1,AA368&lt;&gt;$FT$1),MAX($FS$2:FS367)+1,IF(AND(GQ368="SP DARE",AA368&lt;&gt;$FS$1,AA368&lt;&gt;$FT$1),MAX($FS$2:FS367)+1,""))</f>
        <v/>
      </c>
      <c r="FT368" s="259" t="str">
        <f ca="1">IF(AND(AE368="SP AVERE",AA368&lt;&gt;$FU$1),MAX($FT$2:FT367)+1,IF(AND(GQ368="SP AVERE",AA368&lt;&gt;$FU$1),MAX($FT$2:FT367)+1,""))</f>
        <v/>
      </c>
      <c r="FU368" s="259">
        <f t="shared" ca="1" si="746"/>
        <v>0</v>
      </c>
      <c r="FV368" s="259">
        <f t="shared" si="747"/>
        <v>0</v>
      </c>
      <c r="FW368" s="259">
        <f ca="1">IFERROR(INDEX($FU$3:$FV$500,MATCH(ROWS($FW$3:FW368),$FU$3:$FU$500,0),2),0)</f>
        <v>0</v>
      </c>
      <c r="FX368" s="259">
        <f t="shared" ca="1" si="748"/>
        <v>0</v>
      </c>
      <c r="FY368" s="259">
        <f t="shared" ca="1" si="749"/>
        <v>0</v>
      </c>
      <c r="FZ368" s="259">
        <f ca="1">IF(FY368&gt;0,MAX($FZ$2:FZ367)+1,0)</f>
        <v>0</v>
      </c>
      <c r="GA368" s="259">
        <f ca="1">IFERROR(INDEX($FY$3:$FZ$500,MATCH(ROWS($GA$3:GA368),$FZ$3:$FZ$500,0),1),0)</f>
        <v>0</v>
      </c>
      <c r="GC368" s="259">
        <f t="shared" ca="1" si="750"/>
        <v>0</v>
      </c>
      <c r="GD368" s="259">
        <f t="shared" ca="1" si="751"/>
        <v>0</v>
      </c>
      <c r="GG368" s="259">
        <f t="shared" ca="1" si="752"/>
        <v>0</v>
      </c>
      <c r="GH368" s="259">
        <f t="shared" ca="1" si="753"/>
        <v>0</v>
      </c>
      <c r="GI368" s="259">
        <f t="shared" ca="1" si="754"/>
        <v>0</v>
      </c>
      <c r="GJ368" s="259">
        <f t="shared" ca="1" si="755"/>
        <v>0</v>
      </c>
      <c r="GK368" s="259">
        <f t="shared" ca="1" si="756"/>
        <v>0</v>
      </c>
      <c r="GL368" s="259">
        <f t="shared" ca="1" si="756"/>
        <v>0</v>
      </c>
      <c r="GM368" s="259">
        <f ca="1">IF(OR(GK368&gt;0,GL368&gt;0),MAX($GM$2:GM367)+1,0)</f>
        <v>0</v>
      </c>
      <c r="GN368" s="259" t="str">
        <f ca="1">IFERROR(INDEX($GD$3:$GM$400,MATCH(ROWS($GN$3:GN368),$GM$3:$GM$400,0),1),"")</f>
        <v/>
      </c>
      <c r="GO368" s="259" t="str">
        <f ca="1">IFERROR(INDEX($GD$3:$GM$400,MATCH(ROWS($GO$3:GO368),$GM$3:$GM$400,0),8),"")</f>
        <v/>
      </c>
      <c r="GP368" s="259" t="str">
        <f ca="1">IFERROR(INDEX($GD$3:$GM$400,MATCH(ROWS($GP$3:GP368),$GM$3:$GM$400,0),9),"")</f>
        <v/>
      </c>
      <c r="GQ368" s="259">
        <f t="shared" ca="1" si="740"/>
        <v>0</v>
      </c>
      <c r="GR368" s="259">
        <f t="shared" ca="1" si="757"/>
        <v>0</v>
      </c>
      <c r="GS368" s="259" t="str">
        <f t="shared" ca="1" si="758"/>
        <v/>
      </c>
      <c r="GT368" s="259" t="str">
        <f ca="1">IFERROR(INDEX($GD$3:$GS$400,MATCH(ROWS($GT$3:GT368),$GM$3:$GM$400,0),16),"")</f>
        <v/>
      </c>
      <c r="GU368" s="259">
        <f ca="1">IF(GQ368&lt;&gt;0,MAX($GU$2:$GU367)+1,0)</f>
        <v>0</v>
      </c>
      <c r="GV368" s="259">
        <f t="shared" ca="1" si="759"/>
        <v>0</v>
      </c>
      <c r="GW368" s="259" t="str">
        <f ca="1">IF(AND(IFERROR(INDEX($GU$3:$GV$400,MATCH(ROWS($GW$3:GW368),$GU$3:$GU$400,0),2),"")&lt;&gt;"",GW369&lt;&gt;""),CONCATENATE(IFERROR(INDEX($GU$3:$GV$400,MATCH(ROWS($GW$3:GW368),$GU$3:$GU$400,0),2),"")," - "),IFERROR(INDEX($GU$3:$GV$400,MATCH(ROWS($GW$3:GW368),$GU$3:$GU$400,0),2),""))</f>
        <v/>
      </c>
      <c r="GX368" s="259">
        <f ca="1">IF(OR(GN368="IVA NS/CREDITO",GN368="IVA NS/DEBITO",GN368="IVA C/ACCONTO",GN368="IMPOSTE C/ACCONTO"),MAX($GX$2:GX367)+1,0)</f>
        <v>0</v>
      </c>
      <c r="GY368" s="259" t="str">
        <f ca="1">IF(AND(IFERROR(INDEX($GN$3:$GX$200,MATCH(ROWS($GY$3:GY368),$GX$3:$GX$200,0),1),"")&lt;&gt;"",GY369&lt;&gt;""),CONCATENATE(IFERROR(INDEX($GN$3:$GX$200,MATCH(ROWS($GY$3:GY368),$GX$3:$GX$200,0),1),"")," - "),IFERROR(INDEX($GN$3:$GX$200,MATCH(ROWS($GY$3:GY368),$GX$3:$GX$200,0),1),""))</f>
        <v/>
      </c>
      <c r="JA368" s="259" t="str">
        <f t="shared" ca="1" si="760"/>
        <v/>
      </c>
      <c r="JB368" s="259">
        <f t="shared" ca="1" si="741"/>
        <v>0</v>
      </c>
      <c r="JC368" s="259">
        <f t="shared" ca="1" si="793"/>
        <v>0</v>
      </c>
      <c r="JD368" s="259">
        <f t="shared" ca="1" si="794"/>
        <v>0</v>
      </c>
      <c r="JM368" s="259">
        <f t="shared" ca="1" si="795"/>
        <v>0</v>
      </c>
    </row>
    <row r="369" spans="52:273">
      <c r="AZ369" s="259" t="str">
        <f t="shared" ca="1" si="770"/>
        <v/>
      </c>
      <c r="BA369" s="259">
        <f t="shared" ca="1" si="785"/>
        <v>0</v>
      </c>
      <c r="BB369" s="259">
        <f t="shared" ca="1" si="771"/>
        <v>0</v>
      </c>
      <c r="BC369" s="259">
        <f t="shared" ca="1" si="772"/>
        <v>0</v>
      </c>
      <c r="BD369" s="259">
        <f t="shared" ca="1" si="773"/>
        <v>0</v>
      </c>
      <c r="BE369" s="259">
        <f t="shared" ca="1" si="774"/>
        <v>0</v>
      </c>
      <c r="BQ369" s="259" t="str">
        <f ca="1">IFERROR(INDEX($BN$3:$BO$200,MATCH(ROWS(BQ$3:BQ369),$BP$3:$BP$220,0),1),"")</f>
        <v/>
      </c>
      <c r="CX369" s="259">
        <f t="shared" ca="1" si="797"/>
        <v>21</v>
      </c>
      <c r="CY369" s="259" t="str">
        <f t="shared" ca="1" si="805"/>
        <v>MASTRO</v>
      </c>
      <c r="CZ369" s="259" t="e">
        <f t="shared" ca="1" si="799"/>
        <v>#N/A</v>
      </c>
      <c r="DA369" s="259" t="str">
        <f t="shared" ca="1" si="804"/>
        <v/>
      </c>
      <c r="DB369" s="259" t="str">
        <f t="shared" ca="1" si="800"/>
        <v/>
      </c>
      <c r="DC369" s="259" t="str">
        <f t="shared" ca="1" si="801"/>
        <v/>
      </c>
      <c r="DD369" s="259" t="str">
        <f t="shared" ca="1" si="802"/>
        <v/>
      </c>
      <c r="DE369" s="259" t="str">
        <f t="shared" ca="1" si="803"/>
        <v/>
      </c>
      <c r="DF369" s="259">
        <f ca="1">IF(AND(CX369=$DE$2,$DF$2&lt;&gt;0),0,IF(AND(DB369&lt;&gt;"",OR(DB368&lt;&gt;"",DB370&lt;&gt;"")),MAX($DF$2:DF368)+1,0))</f>
        <v>0</v>
      </c>
      <c r="DG369" s="259" t="str">
        <f>IF(IF(LIBRO_GIORNALE!E277="","",IFERROR(INDEX(PIANO_DEI_CONTI,MATCH(BB369,DENOMINAZIONE,0),1),0))=0,"",IF(LIBRO_GIORNALE!E277="","",IFERROR(INDEX(PIANO_DEI_CONTI,MATCH(BB369,DENOMINAZIONE,0),1),0)))</f>
        <v/>
      </c>
      <c r="EC369" s="259">
        <f>IF(IF(DG369&lt;&gt;"",REPLACE(DG369,3,1,""),0)&lt;&gt;0,MAX(EC$2:EC368)+1,0)</f>
        <v>0</v>
      </c>
      <c r="ED369" s="259">
        <f t="shared" ca="1" si="734"/>
        <v>0</v>
      </c>
      <c r="EL369" s="259">
        <f t="shared" si="742"/>
        <v>367</v>
      </c>
      <c r="EM369" s="259">
        <f ca="1">IF(AND(BA369&gt;0,BA369&lt;=$EM$1),MAX($EM$2:EM368)+1,0)</f>
        <v>0</v>
      </c>
      <c r="EN369" s="259">
        <f t="shared" ca="1" si="743"/>
        <v>369</v>
      </c>
      <c r="EP369" s="259" t="str">
        <f t="shared" ca="1" si="735"/>
        <v/>
      </c>
      <c r="EW369" s="259">
        <f t="shared" ca="1" si="786"/>
        <v>1</v>
      </c>
      <c r="EX369" s="259">
        <v>267</v>
      </c>
      <c r="EY369" s="259">
        <f t="shared" ca="1" si="787"/>
        <v>0</v>
      </c>
      <c r="EZ369" s="259">
        <f t="shared" ca="1" si="788"/>
        <v>0</v>
      </c>
      <c r="FA369" s="259">
        <f t="shared" ca="1" si="789"/>
        <v>0</v>
      </c>
      <c r="FB369" s="259">
        <f t="shared" ca="1" si="790"/>
        <v>0</v>
      </c>
      <c r="FC369" s="259">
        <f t="shared" ca="1" si="791"/>
        <v>0</v>
      </c>
      <c r="FD369" s="259">
        <f t="shared" ca="1" si="737"/>
        <v>0</v>
      </c>
      <c r="FE369" s="259" t="str">
        <f t="shared" ca="1" si="738"/>
        <v/>
      </c>
      <c r="FF369" s="259" t="str">
        <f t="shared" ca="1" si="792"/>
        <v/>
      </c>
      <c r="FM369" s="259">
        <f t="shared" si="739"/>
        <v>0</v>
      </c>
      <c r="FN369" s="259">
        <f>IF(FM369&lt;0,MAX($FN$2:FN368)+1,0)</f>
        <v>0</v>
      </c>
      <c r="FO369" s="259" t="str">
        <f t="shared" si="745"/>
        <v/>
      </c>
      <c r="FP369" s="259" t="str">
        <f ca="1">IFERROR(INDEX($FN$3:$FO$400,MATCH(ROWS($FP$3:FP369),$FN$3:$FN$400,0),2),"")</f>
        <v/>
      </c>
      <c r="FQ369" s="259" t="str">
        <f>IF(AE369="SE AVERE",MAX($FQ$2:FQ368)+1,"")</f>
        <v/>
      </c>
      <c r="FR369" s="259" t="str">
        <f>IF(AE369="SE DARE",MAX($FR$2:FR368)+1,"")</f>
        <v/>
      </c>
      <c r="FS369" s="259" t="str">
        <f ca="1">IF(AND(AE369="SP DARE",AA369&lt;&gt;$FS$1,AA369&lt;&gt;$FT$1),MAX($FS$2:FS368)+1,IF(AND(GQ369="SP DARE",AA369&lt;&gt;$FS$1,AA369&lt;&gt;$FT$1),MAX($FS$2:FS368)+1,""))</f>
        <v/>
      </c>
      <c r="FT369" s="259" t="str">
        <f ca="1">IF(AND(AE369="SP AVERE",AA369&lt;&gt;$FU$1),MAX($FT$2:FT368)+1,IF(AND(GQ369="SP AVERE",AA369&lt;&gt;$FU$1),MAX($FT$2:FT368)+1,""))</f>
        <v/>
      </c>
      <c r="FU369" s="259">
        <f t="shared" ca="1" si="746"/>
        <v>0</v>
      </c>
      <c r="FV369" s="259">
        <f t="shared" si="747"/>
        <v>0</v>
      </c>
      <c r="FW369" s="259">
        <f ca="1">IFERROR(INDEX($FU$3:$FV$500,MATCH(ROWS($FW$3:FW369),$FU$3:$FU$500,0),2),0)</f>
        <v>0</v>
      </c>
      <c r="FX369" s="259">
        <f t="shared" ca="1" si="748"/>
        <v>0</v>
      </c>
      <c r="FY369" s="259">
        <f t="shared" ca="1" si="749"/>
        <v>0</v>
      </c>
      <c r="FZ369" s="259">
        <f ca="1">IF(FY369&gt;0,MAX($FZ$2:FZ368)+1,0)</f>
        <v>0</v>
      </c>
      <c r="GA369" s="259">
        <f ca="1">IFERROR(INDEX($FY$3:$FZ$500,MATCH(ROWS($GA$3:GA369),$FZ$3:$FZ$500,0),1),0)</f>
        <v>0</v>
      </c>
      <c r="GC369" s="259">
        <f t="shared" ca="1" si="750"/>
        <v>0</v>
      </c>
      <c r="GD369" s="259">
        <f t="shared" ca="1" si="751"/>
        <v>0</v>
      </c>
      <c r="GG369" s="259">
        <f t="shared" ca="1" si="752"/>
        <v>0</v>
      </c>
      <c r="GH369" s="259">
        <f t="shared" ca="1" si="753"/>
        <v>0</v>
      </c>
      <c r="GI369" s="259">
        <f t="shared" ca="1" si="754"/>
        <v>0</v>
      </c>
      <c r="GJ369" s="259">
        <f t="shared" ca="1" si="755"/>
        <v>0</v>
      </c>
      <c r="GK369" s="259">
        <f t="shared" ca="1" si="756"/>
        <v>0</v>
      </c>
      <c r="GL369" s="259">
        <f t="shared" ca="1" si="756"/>
        <v>0</v>
      </c>
      <c r="GM369" s="259">
        <f ca="1">IF(OR(GK369&gt;0,GL369&gt;0),MAX($GM$2:GM368)+1,0)</f>
        <v>0</v>
      </c>
      <c r="GN369" s="259" t="str">
        <f ca="1">IFERROR(INDEX($GD$3:$GM$400,MATCH(ROWS($GN$3:GN369),$GM$3:$GM$400,0),1),"")</f>
        <v/>
      </c>
      <c r="GO369" s="259" t="str">
        <f ca="1">IFERROR(INDEX($GD$3:$GM$400,MATCH(ROWS($GO$3:GO369),$GM$3:$GM$400,0),8),"")</f>
        <v/>
      </c>
      <c r="GP369" s="259" t="str">
        <f ca="1">IFERROR(INDEX($GD$3:$GM$400,MATCH(ROWS($GP$3:GP369),$GM$3:$GM$400,0),9),"")</f>
        <v/>
      </c>
      <c r="GQ369" s="259">
        <f t="shared" ca="1" si="740"/>
        <v>0</v>
      </c>
      <c r="GR369" s="259">
        <f t="shared" ca="1" si="757"/>
        <v>0</v>
      </c>
      <c r="GS369" s="259" t="str">
        <f t="shared" ca="1" si="758"/>
        <v/>
      </c>
      <c r="GT369" s="259" t="str">
        <f ca="1">IFERROR(INDEX($GD$3:$GS$400,MATCH(ROWS($GT$3:GT369),$GM$3:$GM$400,0),16),"")</f>
        <v/>
      </c>
      <c r="GU369" s="259">
        <f ca="1">IF(GQ369&lt;&gt;0,MAX($GU$2:$GU368)+1,0)</f>
        <v>0</v>
      </c>
      <c r="GV369" s="259">
        <f t="shared" ca="1" si="759"/>
        <v>0</v>
      </c>
      <c r="GW369" s="259" t="str">
        <f ca="1">IF(AND(IFERROR(INDEX($GU$3:$GV$400,MATCH(ROWS($GW$3:GW369),$GU$3:$GU$400,0),2),"")&lt;&gt;"",GW370&lt;&gt;""),CONCATENATE(IFERROR(INDEX($GU$3:$GV$400,MATCH(ROWS($GW$3:GW369),$GU$3:$GU$400,0),2),"")," - "),IFERROR(INDEX($GU$3:$GV$400,MATCH(ROWS($GW$3:GW369),$GU$3:$GU$400,0),2),""))</f>
        <v/>
      </c>
      <c r="GX369" s="259">
        <f ca="1">IF(OR(GN369="IVA NS/CREDITO",GN369="IVA NS/DEBITO",GN369="IVA C/ACCONTO",GN369="IMPOSTE C/ACCONTO"),MAX($GX$2:GX368)+1,0)</f>
        <v>0</v>
      </c>
      <c r="GY369" s="259" t="str">
        <f ca="1">IF(AND(IFERROR(INDEX($GN$3:$GX$200,MATCH(ROWS($GY$3:GY369),$GX$3:$GX$200,0),1),"")&lt;&gt;"",GY370&lt;&gt;""),CONCATENATE(IFERROR(INDEX($GN$3:$GX$200,MATCH(ROWS($GY$3:GY369),$GX$3:$GX$200,0),1),"")," - "),IFERROR(INDEX($GN$3:$GX$200,MATCH(ROWS($GY$3:GY369),$GX$3:$GX$200,0),1),""))</f>
        <v/>
      </c>
      <c r="JA369" s="259" t="str">
        <f t="shared" ca="1" si="760"/>
        <v/>
      </c>
      <c r="JB369" s="259">
        <f t="shared" ca="1" si="741"/>
        <v>0</v>
      </c>
      <c r="JC369" s="259">
        <f t="shared" ca="1" si="793"/>
        <v>0</v>
      </c>
      <c r="JD369" s="259">
        <f t="shared" ca="1" si="794"/>
        <v>0</v>
      </c>
      <c r="JM369" s="259">
        <f t="shared" ca="1" si="795"/>
        <v>0</v>
      </c>
    </row>
    <row r="370" spans="52:273">
      <c r="AZ370" s="259" t="str">
        <f t="shared" ca="1" si="770"/>
        <v/>
      </c>
      <c r="BA370" s="259">
        <f t="shared" ca="1" si="785"/>
        <v>0</v>
      </c>
      <c r="BB370" s="259">
        <f t="shared" ca="1" si="771"/>
        <v>0</v>
      </c>
      <c r="BC370" s="259">
        <f t="shared" ca="1" si="772"/>
        <v>0</v>
      </c>
      <c r="BD370" s="259">
        <f t="shared" ca="1" si="773"/>
        <v>0</v>
      </c>
      <c r="BE370" s="259">
        <f t="shared" ca="1" si="774"/>
        <v>0</v>
      </c>
      <c r="BQ370" s="259" t="str">
        <f ca="1">IFERROR(INDEX($BN$3:$BO$200,MATCH(ROWS(BQ$3:BQ370),$BP$3:$BP$220,0),1),"")</f>
        <v/>
      </c>
      <c r="CX370" s="259">
        <f t="shared" ca="1" si="797"/>
        <v>21</v>
      </c>
      <c r="CY370" s="259" t="str">
        <f t="shared" ca="1" si="805"/>
        <v>MASTRO</v>
      </c>
      <c r="CZ370" s="259" t="e">
        <f t="shared" ca="1" si="799"/>
        <v>#N/A</v>
      </c>
      <c r="DA370" s="259" t="str">
        <f t="shared" ca="1" si="804"/>
        <v/>
      </c>
      <c r="DB370" s="259" t="str">
        <f t="shared" ca="1" si="800"/>
        <v/>
      </c>
      <c r="DC370" s="259" t="str">
        <f t="shared" ca="1" si="801"/>
        <v/>
      </c>
      <c r="DD370" s="259" t="str">
        <f t="shared" ca="1" si="802"/>
        <v/>
      </c>
      <c r="DE370" s="259" t="str">
        <f t="shared" ca="1" si="803"/>
        <v/>
      </c>
      <c r="DF370" s="259">
        <f ca="1">IF(AND(CX370=$DE$2,$DF$2&lt;&gt;0),0,IF(AND(DB370&lt;&gt;"",OR(DB369&lt;&gt;"",DB371&lt;&gt;"")),MAX($DF$2:DF369)+1,0))</f>
        <v>0</v>
      </c>
      <c r="DG370" s="259" t="str">
        <f>IF(IF(LIBRO_GIORNALE!E278="","",IFERROR(INDEX(PIANO_DEI_CONTI,MATCH(BB370,DENOMINAZIONE,0),1),0))=0,"",IF(LIBRO_GIORNALE!E278="","",IFERROR(INDEX(PIANO_DEI_CONTI,MATCH(BB370,DENOMINAZIONE,0),1),0)))</f>
        <v/>
      </c>
      <c r="EC370" s="259">
        <f>IF(IF(DG370&lt;&gt;"",REPLACE(DG370,3,1,""),0)&lt;&gt;0,MAX(EC$2:EC369)+1,0)</f>
        <v>0</v>
      </c>
      <c r="ED370" s="259">
        <f t="shared" ca="1" si="734"/>
        <v>0</v>
      </c>
      <c r="EL370" s="259">
        <f t="shared" si="742"/>
        <v>368</v>
      </c>
      <c r="EM370" s="259">
        <f ca="1">IF(AND(BA370&gt;0,BA370&lt;=$EM$1),MAX($EM$2:EM369)+1,0)</f>
        <v>0</v>
      </c>
      <c r="EN370" s="259">
        <f t="shared" ca="1" si="743"/>
        <v>370</v>
      </c>
      <c r="EP370" s="259" t="str">
        <f t="shared" ca="1" si="735"/>
        <v/>
      </c>
      <c r="EW370" s="259">
        <f t="shared" ca="1" si="786"/>
        <v>1</v>
      </c>
      <c r="EX370" s="259">
        <v>268</v>
      </c>
      <c r="EY370" s="259">
        <f t="shared" ca="1" si="787"/>
        <v>0</v>
      </c>
      <c r="EZ370" s="259">
        <f t="shared" ca="1" si="788"/>
        <v>0</v>
      </c>
      <c r="FA370" s="259">
        <f t="shared" ca="1" si="789"/>
        <v>0</v>
      </c>
      <c r="FB370" s="259">
        <f t="shared" ca="1" si="790"/>
        <v>0</v>
      </c>
      <c r="FC370" s="259">
        <f t="shared" ca="1" si="791"/>
        <v>0</v>
      </c>
      <c r="FD370" s="259">
        <f t="shared" ca="1" si="737"/>
        <v>0</v>
      </c>
      <c r="FE370" s="259" t="str">
        <f t="shared" ca="1" si="738"/>
        <v/>
      </c>
      <c r="FF370" s="259" t="str">
        <f t="shared" ca="1" si="792"/>
        <v/>
      </c>
      <c r="FM370" s="259">
        <f t="shared" si="739"/>
        <v>0</v>
      </c>
      <c r="FN370" s="259">
        <f>IF(FM370&lt;0,MAX($FN$2:FN369)+1,0)</f>
        <v>0</v>
      </c>
      <c r="FO370" s="259" t="str">
        <f t="shared" si="745"/>
        <v/>
      </c>
      <c r="FP370" s="259" t="str">
        <f ca="1">IFERROR(INDEX($FN$3:$FO$400,MATCH(ROWS($FP$3:FP370),$FN$3:$FN$400,0),2),"")</f>
        <v/>
      </c>
      <c r="FQ370" s="259" t="str">
        <f>IF(AE370="SE AVERE",MAX($FQ$2:FQ369)+1,"")</f>
        <v/>
      </c>
      <c r="FR370" s="259" t="str">
        <f>IF(AE370="SE DARE",MAX($FR$2:FR369)+1,"")</f>
        <v/>
      </c>
      <c r="FS370" s="259" t="str">
        <f ca="1">IF(AND(AE370="SP DARE",AA370&lt;&gt;$FS$1,AA370&lt;&gt;$FT$1),MAX($FS$2:FS369)+1,IF(AND(GQ370="SP DARE",AA370&lt;&gt;$FS$1,AA370&lt;&gt;$FT$1),MAX($FS$2:FS369)+1,""))</f>
        <v/>
      </c>
      <c r="FT370" s="259" t="str">
        <f ca="1">IF(AND(AE370="SP AVERE",AA370&lt;&gt;$FU$1),MAX($FT$2:FT369)+1,IF(AND(GQ370="SP AVERE",AA370&lt;&gt;$FU$1),MAX($FT$2:FT369)+1,""))</f>
        <v/>
      </c>
      <c r="FU370" s="259">
        <f t="shared" ca="1" si="746"/>
        <v>0</v>
      </c>
      <c r="FV370" s="259">
        <f t="shared" si="747"/>
        <v>0</v>
      </c>
      <c r="FW370" s="259">
        <f ca="1">IFERROR(INDEX($FU$3:$FV$500,MATCH(ROWS($FW$3:FW370),$FU$3:$FU$500,0),2),0)</f>
        <v>0</v>
      </c>
      <c r="FX370" s="259">
        <f t="shared" ca="1" si="748"/>
        <v>0</v>
      </c>
      <c r="FY370" s="259">
        <f t="shared" ca="1" si="749"/>
        <v>0</v>
      </c>
      <c r="FZ370" s="259">
        <f ca="1">IF(FY370&gt;0,MAX($FZ$2:FZ369)+1,0)</f>
        <v>0</v>
      </c>
      <c r="GA370" s="259">
        <f ca="1">IFERROR(INDEX($FY$3:$FZ$500,MATCH(ROWS($GA$3:GA370),$FZ$3:$FZ$500,0),1),0)</f>
        <v>0</v>
      </c>
      <c r="GC370" s="259">
        <f t="shared" ca="1" si="750"/>
        <v>0</v>
      </c>
      <c r="GD370" s="259">
        <f t="shared" ca="1" si="751"/>
        <v>0</v>
      </c>
      <c r="GG370" s="259">
        <f t="shared" ca="1" si="752"/>
        <v>0</v>
      </c>
      <c r="GH370" s="259">
        <f t="shared" ca="1" si="753"/>
        <v>0</v>
      </c>
      <c r="GI370" s="259">
        <f t="shared" ca="1" si="754"/>
        <v>0</v>
      </c>
      <c r="GJ370" s="259">
        <f t="shared" ca="1" si="755"/>
        <v>0</v>
      </c>
      <c r="GK370" s="259">
        <f t="shared" ca="1" si="756"/>
        <v>0</v>
      </c>
      <c r="GL370" s="259">
        <f t="shared" ca="1" si="756"/>
        <v>0</v>
      </c>
      <c r="GM370" s="259">
        <f ca="1">IF(OR(GK370&gt;0,GL370&gt;0),MAX($GM$2:GM369)+1,0)</f>
        <v>0</v>
      </c>
      <c r="GN370" s="259" t="str">
        <f ca="1">IFERROR(INDEX($GD$3:$GM$400,MATCH(ROWS($GN$3:GN370),$GM$3:$GM$400,0),1),"")</f>
        <v/>
      </c>
      <c r="GO370" s="259" t="str">
        <f ca="1">IFERROR(INDEX($GD$3:$GM$400,MATCH(ROWS($GO$3:GO370),$GM$3:$GM$400,0),8),"")</f>
        <v/>
      </c>
      <c r="GP370" s="259" t="str">
        <f ca="1">IFERROR(INDEX($GD$3:$GM$400,MATCH(ROWS($GP$3:GP370),$GM$3:$GM$400,0),9),"")</f>
        <v/>
      </c>
      <c r="GQ370" s="259">
        <f t="shared" ca="1" si="740"/>
        <v>0</v>
      </c>
      <c r="GR370" s="259">
        <f t="shared" ca="1" si="757"/>
        <v>0</v>
      </c>
      <c r="GS370" s="259" t="str">
        <f t="shared" ca="1" si="758"/>
        <v/>
      </c>
      <c r="GT370" s="259" t="str">
        <f ca="1">IFERROR(INDEX($GD$3:$GS$400,MATCH(ROWS($GT$3:GT370),$GM$3:$GM$400,0),16),"")</f>
        <v/>
      </c>
      <c r="GU370" s="259">
        <f ca="1">IF(GQ370&lt;&gt;0,MAX($GU$2:$GU369)+1,0)</f>
        <v>0</v>
      </c>
      <c r="GV370" s="259">
        <f t="shared" ca="1" si="759"/>
        <v>0</v>
      </c>
      <c r="GW370" s="259" t="str">
        <f ca="1">IF(AND(IFERROR(INDEX($GU$3:$GV$400,MATCH(ROWS($GW$3:GW370),$GU$3:$GU$400,0),2),"")&lt;&gt;"",GW371&lt;&gt;""),CONCATENATE(IFERROR(INDEX($GU$3:$GV$400,MATCH(ROWS($GW$3:GW370),$GU$3:$GU$400,0),2),"")," - "),IFERROR(INDEX($GU$3:$GV$400,MATCH(ROWS($GW$3:GW370),$GU$3:$GU$400,0),2),""))</f>
        <v/>
      </c>
      <c r="GX370" s="259">
        <f ca="1">IF(OR(GN370="IVA NS/CREDITO",GN370="IVA NS/DEBITO",GN370="IVA C/ACCONTO",GN370="IMPOSTE C/ACCONTO"),MAX($GX$2:GX369)+1,0)</f>
        <v>0</v>
      </c>
      <c r="GY370" s="259" t="str">
        <f ca="1">IF(AND(IFERROR(INDEX($GN$3:$GX$200,MATCH(ROWS($GY$3:GY370),$GX$3:$GX$200,0),1),"")&lt;&gt;"",GY371&lt;&gt;""),CONCATENATE(IFERROR(INDEX($GN$3:$GX$200,MATCH(ROWS($GY$3:GY370),$GX$3:$GX$200,0),1),"")," - "),IFERROR(INDEX($GN$3:$GX$200,MATCH(ROWS($GY$3:GY370),$GX$3:$GX$200,0),1),""))</f>
        <v/>
      </c>
      <c r="JA370" s="259" t="str">
        <f t="shared" ca="1" si="760"/>
        <v/>
      </c>
      <c r="JB370" s="259">
        <f t="shared" ca="1" si="741"/>
        <v>0</v>
      </c>
      <c r="JC370" s="259">
        <f t="shared" ca="1" si="793"/>
        <v>0</v>
      </c>
      <c r="JD370" s="259">
        <f t="shared" ca="1" si="794"/>
        <v>0</v>
      </c>
      <c r="JM370" s="259">
        <f t="shared" ca="1" si="795"/>
        <v>0</v>
      </c>
    </row>
    <row r="371" spans="52:273">
      <c r="AZ371" s="259" t="str">
        <f t="shared" ca="1" si="770"/>
        <v/>
      </c>
      <c r="BA371" s="259">
        <f t="shared" ca="1" si="785"/>
        <v>0</v>
      </c>
      <c r="BB371" s="259">
        <f t="shared" ca="1" si="771"/>
        <v>0</v>
      </c>
      <c r="BC371" s="259">
        <f t="shared" ca="1" si="772"/>
        <v>0</v>
      </c>
      <c r="BD371" s="259">
        <f t="shared" ca="1" si="773"/>
        <v>0</v>
      </c>
      <c r="BE371" s="259">
        <f t="shared" ca="1" si="774"/>
        <v>0</v>
      </c>
      <c r="BQ371" s="259" t="str">
        <f ca="1">IFERROR(INDEX($BN$3:$BO$200,MATCH(ROWS(BQ$3:BQ371),$BP$3:$BP$220,0),1),"")</f>
        <v/>
      </c>
      <c r="CX371" s="259">
        <f t="shared" ca="1" si="797"/>
        <v>21</v>
      </c>
      <c r="CY371" s="259" t="str">
        <f t="shared" ca="1" si="805"/>
        <v>MASTRO</v>
      </c>
      <c r="CZ371" s="259" t="e">
        <f t="shared" ca="1" si="799"/>
        <v>#N/A</v>
      </c>
      <c r="DA371" s="259" t="str">
        <f t="shared" ca="1" si="804"/>
        <v/>
      </c>
      <c r="DB371" s="259" t="str">
        <f t="shared" ca="1" si="800"/>
        <v/>
      </c>
      <c r="DC371" s="259" t="str">
        <f t="shared" ca="1" si="801"/>
        <v/>
      </c>
      <c r="DD371" s="259" t="str">
        <f t="shared" ca="1" si="802"/>
        <v/>
      </c>
      <c r="DE371" s="259" t="str">
        <f t="shared" ca="1" si="803"/>
        <v/>
      </c>
      <c r="DF371" s="259">
        <f ca="1">IF(AND(CX371=$DE$2,$DF$2&lt;&gt;0),0,IF(AND(DB371&lt;&gt;"",OR(DB370&lt;&gt;"",DB372&lt;&gt;"")),MAX($DF$2:DF370)+1,0))</f>
        <v>0</v>
      </c>
      <c r="DG371" s="259" t="str">
        <f>IF(IF(LIBRO_GIORNALE!E279="","",IFERROR(INDEX(PIANO_DEI_CONTI,MATCH(BB371,DENOMINAZIONE,0),1),0))=0,"",IF(LIBRO_GIORNALE!E279="","",IFERROR(INDEX(PIANO_DEI_CONTI,MATCH(BB371,DENOMINAZIONE,0),1),0)))</f>
        <v/>
      </c>
      <c r="EC371" s="259">
        <f>IF(IF(DG371&lt;&gt;"",REPLACE(DG371,3,1,""),0)&lt;&gt;0,MAX(EC$2:EC370)+1,0)</f>
        <v>0</v>
      </c>
      <c r="ED371" s="259">
        <f t="shared" ca="1" si="734"/>
        <v>0</v>
      </c>
      <c r="EL371" s="259">
        <f t="shared" si="742"/>
        <v>369</v>
      </c>
      <c r="EM371" s="259">
        <f ca="1">IF(AND(BA371&gt;0,BA371&lt;=$EM$1),MAX($EM$2:EM370)+1,0)</f>
        <v>0</v>
      </c>
      <c r="EN371" s="259">
        <f t="shared" ca="1" si="743"/>
        <v>371</v>
      </c>
      <c r="EP371" s="259" t="str">
        <f t="shared" ca="1" si="735"/>
        <v/>
      </c>
      <c r="EW371" s="259">
        <f t="shared" ca="1" si="786"/>
        <v>1</v>
      </c>
      <c r="EX371" s="259">
        <v>269</v>
      </c>
      <c r="EY371" s="259">
        <f t="shared" ca="1" si="787"/>
        <v>0</v>
      </c>
      <c r="EZ371" s="259">
        <f t="shared" ca="1" si="788"/>
        <v>0</v>
      </c>
      <c r="FA371" s="259">
        <f t="shared" ca="1" si="789"/>
        <v>0</v>
      </c>
      <c r="FB371" s="259">
        <f t="shared" ca="1" si="790"/>
        <v>0</v>
      </c>
      <c r="FC371" s="259">
        <f t="shared" ca="1" si="791"/>
        <v>0</v>
      </c>
      <c r="FD371" s="259">
        <f t="shared" ca="1" si="737"/>
        <v>0</v>
      </c>
      <c r="FE371" s="259" t="str">
        <f t="shared" ca="1" si="738"/>
        <v/>
      </c>
      <c r="FF371" s="259" t="str">
        <f t="shared" ca="1" si="792"/>
        <v/>
      </c>
      <c r="FM371" s="259">
        <f t="shared" si="739"/>
        <v>0</v>
      </c>
      <c r="FN371" s="259">
        <f>IF(FM371&lt;0,MAX($FN$2:FN370)+1,0)</f>
        <v>0</v>
      </c>
      <c r="FO371" s="259" t="str">
        <f t="shared" si="745"/>
        <v/>
      </c>
      <c r="FP371" s="259" t="str">
        <f ca="1">IFERROR(INDEX($FN$3:$FO$400,MATCH(ROWS($FP$3:FP371),$FN$3:$FN$400,0),2),"")</f>
        <v/>
      </c>
      <c r="FQ371" s="259" t="str">
        <f>IF(AE371="SE AVERE",MAX($FQ$2:FQ370)+1,"")</f>
        <v/>
      </c>
      <c r="FR371" s="259" t="str">
        <f>IF(AE371="SE DARE",MAX($FR$2:FR370)+1,"")</f>
        <v/>
      </c>
      <c r="FS371" s="259" t="str">
        <f ca="1">IF(AND(AE371="SP DARE",AA371&lt;&gt;$FS$1,AA371&lt;&gt;$FT$1),MAX($FS$2:FS370)+1,IF(AND(GQ371="SP DARE",AA371&lt;&gt;$FS$1,AA371&lt;&gt;$FT$1),MAX($FS$2:FS370)+1,""))</f>
        <v/>
      </c>
      <c r="FT371" s="259" t="str">
        <f ca="1">IF(AND(AE371="SP AVERE",AA371&lt;&gt;$FU$1),MAX($FT$2:FT370)+1,IF(AND(GQ371="SP AVERE",AA371&lt;&gt;$FU$1),MAX($FT$2:FT370)+1,""))</f>
        <v/>
      </c>
      <c r="FU371" s="259">
        <f t="shared" ca="1" si="746"/>
        <v>0</v>
      </c>
      <c r="FV371" s="259">
        <f t="shared" si="747"/>
        <v>0</v>
      </c>
      <c r="FW371" s="259">
        <f ca="1">IFERROR(INDEX($FU$3:$FV$500,MATCH(ROWS($FW$3:FW371),$FU$3:$FU$500,0),2),0)</f>
        <v>0</v>
      </c>
      <c r="FX371" s="259">
        <f t="shared" ca="1" si="748"/>
        <v>0</v>
      </c>
      <c r="FY371" s="259">
        <f t="shared" ca="1" si="749"/>
        <v>0</v>
      </c>
      <c r="FZ371" s="259">
        <f ca="1">IF(FY371&gt;0,MAX($FZ$2:FZ370)+1,0)</f>
        <v>0</v>
      </c>
      <c r="GA371" s="259">
        <f ca="1">IFERROR(INDEX($FY$3:$FZ$500,MATCH(ROWS($GA$3:GA371),$FZ$3:$FZ$500,0),1),0)</f>
        <v>0</v>
      </c>
      <c r="GC371" s="259">
        <f t="shared" ca="1" si="750"/>
        <v>0</v>
      </c>
      <c r="GD371" s="259">
        <f t="shared" ca="1" si="751"/>
        <v>0</v>
      </c>
      <c r="GG371" s="259">
        <f t="shared" ca="1" si="752"/>
        <v>0</v>
      </c>
      <c r="GH371" s="259">
        <f t="shared" ca="1" si="753"/>
        <v>0</v>
      </c>
      <c r="GI371" s="259">
        <f t="shared" ca="1" si="754"/>
        <v>0</v>
      </c>
      <c r="GJ371" s="259">
        <f t="shared" ca="1" si="755"/>
        <v>0</v>
      </c>
      <c r="GK371" s="259">
        <f t="shared" ca="1" si="756"/>
        <v>0</v>
      </c>
      <c r="GL371" s="259">
        <f t="shared" ca="1" si="756"/>
        <v>0</v>
      </c>
      <c r="GM371" s="259">
        <f ca="1">IF(OR(GK371&gt;0,GL371&gt;0),MAX($GM$2:GM370)+1,0)</f>
        <v>0</v>
      </c>
      <c r="GN371" s="259" t="str">
        <f ca="1">IFERROR(INDEX($GD$3:$GM$400,MATCH(ROWS($GN$3:GN371),$GM$3:$GM$400,0),1),"")</f>
        <v/>
      </c>
      <c r="GO371" s="259" t="str">
        <f ca="1">IFERROR(INDEX($GD$3:$GM$400,MATCH(ROWS($GO$3:GO371),$GM$3:$GM$400,0),8),"")</f>
        <v/>
      </c>
      <c r="GP371" s="259" t="str">
        <f ca="1">IFERROR(INDEX($GD$3:$GM$400,MATCH(ROWS($GP$3:GP371),$GM$3:$GM$400,0),9),"")</f>
        <v/>
      </c>
      <c r="GQ371" s="259">
        <f t="shared" ca="1" si="740"/>
        <v>0</v>
      </c>
      <c r="GR371" s="259">
        <f t="shared" ca="1" si="757"/>
        <v>0</v>
      </c>
      <c r="GS371" s="259" t="str">
        <f t="shared" ca="1" si="758"/>
        <v/>
      </c>
      <c r="GT371" s="259" t="str">
        <f ca="1">IFERROR(INDEX($GD$3:$GS$400,MATCH(ROWS($GT$3:GT371),$GM$3:$GM$400,0),16),"")</f>
        <v/>
      </c>
      <c r="GU371" s="259">
        <f ca="1">IF(GQ371&lt;&gt;0,MAX($GU$2:$GU370)+1,0)</f>
        <v>0</v>
      </c>
      <c r="GV371" s="259">
        <f t="shared" ca="1" si="759"/>
        <v>0</v>
      </c>
      <c r="GW371" s="259" t="str">
        <f ca="1">IF(AND(IFERROR(INDEX($GU$3:$GV$400,MATCH(ROWS($GW$3:GW371),$GU$3:$GU$400,0),2),"")&lt;&gt;"",GW372&lt;&gt;""),CONCATENATE(IFERROR(INDEX($GU$3:$GV$400,MATCH(ROWS($GW$3:GW371),$GU$3:$GU$400,0),2),"")," - "),IFERROR(INDEX($GU$3:$GV$400,MATCH(ROWS($GW$3:GW371),$GU$3:$GU$400,0),2),""))</f>
        <v/>
      </c>
      <c r="GX371" s="259">
        <f ca="1">IF(OR(GN371="IVA NS/CREDITO",GN371="IVA NS/DEBITO",GN371="IVA C/ACCONTO",GN371="IMPOSTE C/ACCONTO"),MAX($GX$2:GX370)+1,0)</f>
        <v>0</v>
      </c>
      <c r="GY371" s="259" t="str">
        <f ca="1">IF(AND(IFERROR(INDEX($GN$3:$GX$200,MATCH(ROWS($GY$3:GY371),$GX$3:$GX$200,0),1),"")&lt;&gt;"",GY372&lt;&gt;""),CONCATENATE(IFERROR(INDEX($GN$3:$GX$200,MATCH(ROWS($GY$3:GY371),$GX$3:$GX$200,0),1),"")," - "),IFERROR(INDEX($GN$3:$GX$200,MATCH(ROWS($GY$3:GY371),$GX$3:$GX$200,0),1),""))</f>
        <v/>
      </c>
      <c r="JA371" s="259" t="str">
        <f t="shared" ca="1" si="760"/>
        <v/>
      </c>
      <c r="JB371" s="259">
        <f t="shared" ca="1" si="741"/>
        <v>0</v>
      </c>
      <c r="JC371" s="259">
        <f t="shared" ca="1" si="793"/>
        <v>0</v>
      </c>
      <c r="JD371" s="259">
        <f t="shared" ca="1" si="794"/>
        <v>0</v>
      </c>
      <c r="JM371" s="259">
        <f t="shared" ca="1" si="795"/>
        <v>0</v>
      </c>
    </row>
    <row r="372" spans="52:273">
      <c r="AZ372" s="259" t="str">
        <f t="shared" ca="1" si="770"/>
        <v/>
      </c>
      <c r="BA372" s="259">
        <f t="shared" ca="1" si="785"/>
        <v>0</v>
      </c>
      <c r="BB372" s="259">
        <f t="shared" ca="1" si="771"/>
        <v>0</v>
      </c>
      <c r="BC372" s="259">
        <f t="shared" ca="1" si="772"/>
        <v>0</v>
      </c>
      <c r="BD372" s="259">
        <f t="shared" ca="1" si="773"/>
        <v>0</v>
      </c>
      <c r="BE372" s="259">
        <f t="shared" ca="1" si="774"/>
        <v>0</v>
      </c>
      <c r="BQ372" s="259" t="str">
        <f ca="1">IFERROR(INDEX($BN$3:$BO$200,MATCH(ROWS(BQ$3:BQ372),$BP$3:$BP$220,0),1),"")</f>
        <v/>
      </c>
      <c r="CX372" s="259">
        <f t="shared" ca="1" si="797"/>
        <v>21</v>
      </c>
      <c r="CY372" s="259" t="str">
        <f t="shared" ca="1" si="805"/>
        <v>MASTRO</v>
      </c>
      <c r="CZ372" s="259" t="e">
        <f t="shared" ca="1" si="799"/>
        <v>#N/A</v>
      </c>
      <c r="DA372" s="259" t="str">
        <f t="shared" ca="1" si="804"/>
        <v/>
      </c>
      <c r="DB372" s="259" t="str">
        <f t="shared" ca="1" si="800"/>
        <v/>
      </c>
      <c r="DC372" s="259" t="str">
        <f t="shared" ca="1" si="801"/>
        <v/>
      </c>
      <c r="DD372" s="259" t="str">
        <f t="shared" ca="1" si="802"/>
        <v/>
      </c>
      <c r="DE372" s="259" t="str">
        <f t="shared" ca="1" si="803"/>
        <v/>
      </c>
      <c r="DF372" s="259">
        <f ca="1">IF(AND(CX372=$DE$2,$DF$2&lt;&gt;0),0,IF(AND(DB372&lt;&gt;"",OR(DB371&lt;&gt;"",DB373&lt;&gt;"")),MAX($DF$2:DF371)+1,0))</f>
        <v>0</v>
      </c>
      <c r="DG372" s="259" t="str">
        <f>IF(IF(LIBRO_GIORNALE!E280="","",IFERROR(INDEX(PIANO_DEI_CONTI,MATCH(BB372,DENOMINAZIONE,0),1),0))=0,"",IF(LIBRO_GIORNALE!E280="","",IFERROR(INDEX(PIANO_DEI_CONTI,MATCH(BB372,DENOMINAZIONE,0),1),0)))</f>
        <v/>
      </c>
      <c r="EC372" s="259">
        <f>IF(IF(DG372&lt;&gt;"",REPLACE(DG372,3,1,""),0)&lt;&gt;0,MAX(EC$2:EC371)+1,0)</f>
        <v>0</v>
      </c>
      <c r="ED372" s="259">
        <f t="shared" ca="1" si="734"/>
        <v>0</v>
      </c>
      <c r="EL372" s="259">
        <f t="shared" si="742"/>
        <v>370</v>
      </c>
      <c r="EM372" s="259">
        <f ca="1">IF(AND(BA372&gt;0,BA372&lt;=$EM$1),MAX($EM$2:EM371)+1,0)</f>
        <v>0</v>
      </c>
      <c r="EN372" s="259">
        <f t="shared" ca="1" si="743"/>
        <v>372</v>
      </c>
      <c r="EP372" s="259" t="str">
        <f t="shared" ca="1" si="735"/>
        <v/>
      </c>
      <c r="EW372" s="259">
        <f t="shared" ca="1" si="786"/>
        <v>1</v>
      </c>
      <c r="EX372" s="259">
        <v>270</v>
      </c>
      <c r="EY372" s="259">
        <f t="shared" ca="1" si="787"/>
        <v>0</v>
      </c>
      <c r="EZ372" s="259">
        <f t="shared" ca="1" si="788"/>
        <v>0</v>
      </c>
      <c r="FA372" s="259">
        <f t="shared" ca="1" si="789"/>
        <v>0</v>
      </c>
      <c r="FB372" s="259">
        <f t="shared" ca="1" si="790"/>
        <v>0</v>
      </c>
      <c r="FC372" s="259">
        <f t="shared" ca="1" si="791"/>
        <v>0</v>
      </c>
      <c r="FD372" s="259">
        <f t="shared" ca="1" si="737"/>
        <v>0</v>
      </c>
      <c r="FE372" s="259" t="str">
        <f t="shared" ca="1" si="738"/>
        <v/>
      </c>
      <c r="FF372" s="259" t="str">
        <f t="shared" ca="1" si="792"/>
        <v/>
      </c>
      <c r="FM372" s="259">
        <f t="shared" si="739"/>
        <v>0</v>
      </c>
      <c r="FN372" s="259">
        <f>IF(FM372&lt;0,MAX($FN$2:FN371)+1,0)</f>
        <v>0</v>
      </c>
      <c r="FO372" s="259" t="str">
        <f t="shared" si="745"/>
        <v/>
      </c>
      <c r="FP372" s="259" t="str">
        <f ca="1">IFERROR(INDEX($FN$3:$FO$400,MATCH(ROWS($FP$3:FP372),$FN$3:$FN$400,0),2),"")</f>
        <v/>
      </c>
      <c r="FQ372" s="259" t="str">
        <f>IF(AE372="SE AVERE",MAX($FQ$2:FQ371)+1,"")</f>
        <v/>
      </c>
      <c r="FR372" s="259" t="str">
        <f>IF(AE372="SE DARE",MAX($FR$2:FR371)+1,"")</f>
        <v/>
      </c>
      <c r="FS372" s="259" t="str">
        <f ca="1">IF(AND(AE372="SP DARE",AA372&lt;&gt;$FS$1,AA372&lt;&gt;$FT$1),MAX($FS$2:FS371)+1,IF(AND(GQ372="SP DARE",AA372&lt;&gt;$FS$1,AA372&lt;&gt;$FT$1),MAX($FS$2:FS371)+1,""))</f>
        <v/>
      </c>
      <c r="FT372" s="259" t="str">
        <f ca="1">IF(AND(AE372="SP AVERE",AA372&lt;&gt;$FU$1),MAX($FT$2:FT371)+1,IF(AND(GQ372="SP AVERE",AA372&lt;&gt;$FU$1),MAX($FT$2:FT371)+1,""))</f>
        <v/>
      </c>
      <c r="FU372" s="259">
        <f t="shared" ca="1" si="746"/>
        <v>0</v>
      </c>
      <c r="FV372" s="259">
        <f t="shared" si="747"/>
        <v>0</v>
      </c>
      <c r="FW372" s="259">
        <f ca="1">IFERROR(INDEX($FU$3:$FV$500,MATCH(ROWS($FW$3:FW372),$FU$3:$FU$500,0),2),0)</f>
        <v>0</v>
      </c>
      <c r="FX372" s="259">
        <f t="shared" ca="1" si="748"/>
        <v>0</v>
      </c>
      <c r="FY372" s="259">
        <f t="shared" ca="1" si="749"/>
        <v>0</v>
      </c>
      <c r="FZ372" s="259">
        <f ca="1">IF(FY372&gt;0,MAX($FZ$2:FZ371)+1,0)</f>
        <v>0</v>
      </c>
      <c r="GA372" s="259">
        <f ca="1">IFERROR(INDEX($FY$3:$FZ$500,MATCH(ROWS($GA$3:GA372),$FZ$3:$FZ$500,0),1),0)</f>
        <v>0</v>
      </c>
      <c r="GC372" s="259">
        <f t="shared" ca="1" si="750"/>
        <v>0</v>
      </c>
      <c r="GD372" s="259">
        <f t="shared" ca="1" si="751"/>
        <v>0</v>
      </c>
      <c r="GG372" s="259">
        <f t="shared" ca="1" si="752"/>
        <v>0</v>
      </c>
      <c r="GH372" s="259">
        <f t="shared" ca="1" si="753"/>
        <v>0</v>
      </c>
      <c r="GI372" s="259">
        <f t="shared" ca="1" si="754"/>
        <v>0</v>
      </c>
      <c r="GJ372" s="259">
        <f t="shared" ca="1" si="755"/>
        <v>0</v>
      </c>
      <c r="GK372" s="259">
        <f t="shared" ca="1" si="756"/>
        <v>0</v>
      </c>
      <c r="GL372" s="259">
        <f t="shared" ca="1" si="756"/>
        <v>0</v>
      </c>
      <c r="GM372" s="259">
        <f ca="1">IF(OR(GK372&gt;0,GL372&gt;0),MAX($GM$2:GM371)+1,0)</f>
        <v>0</v>
      </c>
      <c r="GN372" s="259" t="str">
        <f ca="1">IFERROR(INDEX($GD$3:$GM$400,MATCH(ROWS($GN$3:GN372),$GM$3:$GM$400,0),1),"")</f>
        <v/>
      </c>
      <c r="GO372" s="259" t="str">
        <f ca="1">IFERROR(INDEX($GD$3:$GM$400,MATCH(ROWS($GO$3:GO372),$GM$3:$GM$400,0),8),"")</f>
        <v/>
      </c>
      <c r="GP372" s="259" t="str">
        <f ca="1">IFERROR(INDEX($GD$3:$GM$400,MATCH(ROWS($GP$3:GP372),$GM$3:$GM$400,0),9),"")</f>
        <v/>
      </c>
      <c r="GQ372" s="259">
        <f t="shared" ca="1" si="740"/>
        <v>0</v>
      </c>
      <c r="GR372" s="259">
        <f t="shared" ca="1" si="757"/>
        <v>0</v>
      </c>
      <c r="GS372" s="259" t="str">
        <f t="shared" ca="1" si="758"/>
        <v/>
      </c>
      <c r="GT372" s="259" t="str">
        <f ca="1">IFERROR(INDEX($GD$3:$GS$400,MATCH(ROWS($GT$3:GT372),$GM$3:$GM$400,0),16),"")</f>
        <v/>
      </c>
      <c r="GU372" s="259">
        <f ca="1">IF(GQ372&lt;&gt;0,MAX($GU$2:$GU371)+1,0)</f>
        <v>0</v>
      </c>
      <c r="GV372" s="259">
        <f t="shared" ca="1" si="759"/>
        <v>0</v>
      </c>
      <c r="GW372" s="259" t="str">
        <f ca="1">IF(AND(IFERROR(INDEX($GU$3:$GV$400,MATCH(ROWS($GW$3:GW372),$GU$3:$GU$400,0),2),"")&lt;&gt;"",GW373&lt;&gt;""),CONCATENATE(IFERROR(INDEX($GU$3:$GV$400,MATCH(ROWS($GW$3:GW372),$GU$3:$GU$400,0),2),"")," - "),IFERROR(INDEX($GU$3:$GV$400,MATCH(ROWS($GW$3:GW372),$GU$3:$GU$400,0),2),""))</f>
        <v/>
      </c>
      <c r="GX372" s="259">
        <f ca="1">IF(OR(GN372="IVA NS/CREDITO",GN372="IVA NS/DEBITO",GN372="IVA C/ACCONTO",GN372="IMPOSTE C/ACCONTO"),MAX($GX$2:GX371)+1,0)</f>
        <v>0</v>
      </c>
      <c r="GY372" s="259" t="str">
        <f ca="1">IF(AND(IFERROR(INDEX($GN$3:$GX$200,MATCH(ROWS($GY$3:GY372),$GX$3:$GX$200,0),1),"")&lt;&gt;"",GY373&lt;&gt;""),CONCATENATE(IFERROR(INDEX($GN$3:$GX$200,MATCH(ROWS($GY$3:GY372),$GX$3:$GX$200,0),1),"")," - "),IFERROR(INDEX($GN$3:$GX$200,MATCH(ROWS($GY$3:GY372),$GX$3:$GX$200,0),1),""))</f>
        <v/>
      </c>
      <c r="JA372" s="259" t="str">
        <f t="shared" ca="1" si="760"/>
        <v/>
      </c>
      <c r="JB372" s="259">
        <f t="shared" ca="1" si="741"/>
        <v>0</v>
      </c>
      <c r="JC372" s="259">
        <f t="shared" ca="1" si="793"/>
        <v>0</v>
      </c>
      <c r="JD372" s="259">
        <f t="shared" ca="1" si="794"/>
        <v>0</v>
      </c>
      <c r="JM372" s="259">
        <f t="shared" ca="1" si="795"/>
        <v>0</v>
      </c>
    </row>
    <row r="373" spans="52:273">
      <c r="AZ373" s="259" t="str">
        <f t="shared" ca="1" si="770"/>
        <v/>
      </c>
      <c r="BA373" s="259">
        <f t="shared" ca="1" si="785"/>
        <v>0</v>
      </c>
      <c r="BB373" s="259">
        <f t="shared" ca="1" si="771"/>
        <v>0</v>
      </c>
      <c r="BC373" s="259">
        <f t="shared" ca="1" si="772"/>
        <v>0</v>
      </c>
      <c r="BD373" s="259">
        <f t="shared" ca="1" si="773"/>
        <v>0</v>
      </c>
      <c r="BE373" s="259">
        <f t="shared" ca="1" si="774"/>
        <v>0</v>
      </c>
      <c r="BQ373" s="259" t="str">
        <f ca="1">IFERROR(INDEX($BN$3:$BO$200,MATCH(ROWS(BQ$3:BQ373),$BP$3:$BP$220,0),1),"")</f>
        <v/>
      </c>
      <c r="CX373" s="259">
        <f t="shared" ca="1" si="797"/>
        <v>21</v>
      </c>
      <c r="CY373" s="259" t="str">
        <f t="shared" ca="1" si="805"/>
        <v>MASTRO</v>
      </c>
      <c r="CZ373" s="259" t="e">
        <f t="shared" ca="1" si="799"/>
        <v>#N/A</v>
      </c>
      <c r="DA373" s="259" t="str">
        <f t="shared" ca="1" si="804"/>
        <v/>
      </c>
      <c r="DB373" s="259" t="str">
        <f t="shared" ca="1" si="800"/>
        <v/>
      </c>
      <c r="DC373" s="259" t="str">
        <f t="shared" ca="1" si="801"/>
        <v/>
      </c>
      <c r="DD373" s="259" t="str">
        <f t="shared" ca="1" si="802"/>
        <v/>
      </c>
      <c r="DE373" s="259" t="str">
        <f t="shared" ca="1" si="803"/>
        <v/>
      </c>
      <c r="DF373" s="259">
        <f ca="1">IF(AND(CX373=$DE$2,$DF$2&lt;&gt;0),0,IF(AND(DB373&lt;&gt;"",OR(DB372&lt;&gt;"",DB374&lt;&gt;"")),MAX($DF$2:DF372)+1,0))</f>
        <v>0</v>
      </c>
      <c r="DG373" s="259" t="str">
        <f>IF(IF(LIBRO_GIORNALE!E281="","",IFERROR(INDEX(PIANO_DEI_CONTI,MATCH(BB373,DENOMINAZIONE,0),1),0))=0,"",IF(LIBRO_GIORNALE!E281="","",IFERROR(INDEX(PIANO_DEI_CONTI,MATCH(BB373,DENOMINAZIONE,0),1),0)))</f>
        <v/>
      </c>
      <c r="EC373" s="259">
        <f>IF(IF(DG373&lt;&gt;"",REPLACE(DG373,3,1,""),0)&lt;&gt;0,MAX(EC$2:EC372)+1,0)</f>
        <v>0</v>
      </c>
      <c r="ED373" s="259">
        <f t="shared" ca="1" si="734"/>
        <v>0</v>
      </c>
      <c r="EL373" s="259">
        <f t="shared" si="742"/>
        <v>371</v>
      </c>
      <c r="EM373" s="259">
        <f ca="1">IF(AND(BA373&gt;0,BA373&lt;=$EM$1),MAX($EM$2:EM372)+1,0)</f>
        <v>0</v>
      </c>
      <c r="EN373" s="259">
        <f t="shared" ca="1" si="743"/>
        <v>373</v>
      </c>
      <c r="EP373" s="259" t="str">
        <f t="shared" ca="1" si="735"/>
        <v/>
      </c>
      <c r="EW373" s="259">
        <f t="shared" ca="1" si="786"/>
        <v>1</v>
      </c>
      <c r="EX373" s="259">
        <v>271</v>
      </c>
      <c r="EY373" s="259">
        <f t="shared" ca="1" si="787"/>
        <v>0</v>
      </c>
      <c r="EZ373" s="259">
        <f t="shared" ca="1" si="788"/>
        <v>0</v>
      </c>
      <c r="FA373" s="259">
        <f t="shared" ca="1" si="789"/>
        <v>0</v>
      </c>
      <c r="FB373" s="259">
        <f t="shared" ca="1" si="790"/>
        <v>0</v>
      </c>
      <c r="FC373" s="259">
        <f t="shared" ca="1" si="791"/>
        <v>0</v>
      </c>
      <c r="FD373" s="259">
        <f t="shared" ca="1" si="737"/>
        <v>0</v>
      </c>
      <c r="FE373" s="259" t="str">
        <f t="shared" ca="1" si="738"/>
        <v/>
      </c>
      <c r="FF373" s="259" t="str">
        <f t="shared" ca="1" si="792"/>
        <v/>
      </c>
      <c r="FM373" s="259">
        <f t="shared" si="739"/>
        <v>0</v>
      </c>
      <c r="FN373" s="259">
        <f>IF(FM373&lt;0,MAX($FN$2:FN372)+1,0)</f>
        <v>0</v>
      </c>
      <c r="FO373" s="259" t="str">
        <f t="shared" si="745"/>
        <v/>
      </c>
      <c r="FP373" s="259" t="str">
        <f ca="1">IFERROR(INDEX($FN$3:$FO$400,MATCH(ROWS($FP$3:FP373),$FN$3:$FN$400,0),2),"")</f>
        <v/>
      </c>
      <c r="FQ373" s="259" t="str">
        <f>IF(AE373="SE AVERE",MAX($FQ$2:FQ372)+1,"")</f>
        <v/>
      </c>
      <c r="FR373" s="259" t="str">
        <f>IF(AE373="SE DARE",MAX($FR$2:FR372)+1,"")</f>
        <v/>
      </c>
      <c r="FS373" s="259" t="str">
        <f ca="1">IF(AND(AE373="SP DARE",AA373&lt;&gt;$FS$1,AA373&lt;&gt;$FT$1),MAX($FS$2:FS372)+1,IF(AND(GQ373="SP DARE",AA373&lt;&gt;$FS$1,AA373&lt;&gt;$FT$1),MAX($FS$2:FS372)+1,""))</f>
        <v/>
      </c>
      <c r="FT373" s="259" t="str">
        <f ca="1">IF(AND(AE373="SP AVERE",AA373&lt;&gt;$FU$1),MAX($FT$2:FT372)+1,IF(AND(GQ373="SP AVERE",AA373&lt;&gt;$FU$1),MAX($FT$2:FT372)+1,""))</f>
        <v/>
      </c>
      <c r="FU373" s="259">
        <f t="shared" ca="1" si="746"/>
        <v>0</v>
      </c>
      <c r="FV373" s="259">
        <f t="shared" si="747"/>
        <v>0</v>
      </c>
      <c r="FW373" s="259">
        <f ca="1">IFERROR(INDEX($FU$3:$FV$500,MATCH(ROWS($FW$3:FW373),$FU$3:$FU$500,0),2),0)</f>
        <v>0</v>
      </c>
      <c r="FX373" s="259">
        <f t="shared" ca="1" si="748"/>
        <v>0</v>
      </c>
      <c r="FY373" s="259">
        <f t="shared" ca="1" si="749"/>
        <v>0</v>
      </c>
      <c r="FZ373" s="259">
        <f ca="1">IF(FY373&gt;0,MAX($FZ$2:FZ372)+1,0)</f>
        <v>0</v>
      </c>
      <c r="GA373" s="259">
        <f ca="1">IFERROR(INDEX($FY$3:$FZ$500,MATCH(ROWS($GA$3:GA373),$FZ$3:$FZ$500,0),1),0)</f>
        <v>0</v>
      </c>
      <c r="GC373" s="259">
        <f t="shared" ca="1" si="750"/>
        <v>0</v>
      </c>
      <c r="GD373" s="259">
        <f t="shared" ca="1" si="751"/>
        <v>0</v>
      </c>
      <c r="GG373" s="259">
        <f t="shared" ca="1" si="752"/>
        <v>0</v>
      </c>
      <c r="GH373" s="259">
        <f t="shared" ca="1" si="753"/>
        <v>0</v>
      </c>
      <c r="GI373" s="259">
        <f t="shared" ca="1" si="754"/>
        <v>0</v>
      </c>
      <c r="GJ373" s="259">
        <f t="shared" ca="1" si="755"/>
        <v>0</v>
      </c>
      <c r="GK373" s="259">
        <f t="shared" ca="1" si="756"/>
        <v>0</v>
      </c>
      <c r="GL373" s="259">
        <f t="shared" ca="1" si="756"/>
        <v>0</v>
      </c>
      <c r="GM373" s="259">
        <f ca="1">IF(OR(GK373&gt;0,GL373&gt;0),MAX($GM$2:GM372)+1,0)</f>
        <v>0</v>
      </c>
      <c r="GN373" s="259" t="str">
        <f ca="1">IFERROR(INDEX($GD$3:$GM$400,MATCH(ROWS($GN$3:GN373),$GM$3:$GM$400,0),1),"")</f>
        <v/>
      </c>
      <c r="GO373" s="259" t="str">
        <f ca="1">IFERROR(INDEX($GD$3:$GM$400,MATCH(ROWS($GO$3:GO373),$GM$3:$GM$400,0),8),"")</f>
        <v/>
      </c>
      <c r="GP373" s="259" t="str">
        <f ca="1">IFERROR(INDEX($GD$3:$GM$400,MATCH(ROWS($GP$3:GP373),$GM$3:$GM$400,0),9),"")</f>
        <v/>
      </c>
      <c r="GQ373" s="259">
        <f t="shared" ca="1" si="740"/>
        <v>0</v>
      </c>
      <c r="GR373" s="259">
        <f t="shared" ca="1" si="757"/>
        <v>0</v>
      </c>
      <c r="GS373" s="259" t="str">
        <f t="shared" ca="1" si="758"/>
        <v/>
      </c>
      <c r="GT373" s="259" t="str">
        <f ca="1">IFERROR(INDEX($GD$3:$GS$400,MATCH(ROWS($GT$3:GT373),$GM$3:$GM$400,0),16),"")</f>
        <v/>
      </c>
      <c r="GU373" s="259">
        <f ca="1">IF(GQ373&lt;&gt;0,MAX($GU$2:$GU372)+1,0)</f>
        <v>0</v>
      </c>
      <c r="GV373" s="259">
        <f t="shared" ca="1" si="759"/>
        <v>0</v>
      </c>
      <c r="GW373" s="259" t="str">
        <f ca="1">IF(AND(IFERROR(INDEX($GU$3:$GV$400,MATCH(ROWS($GW$3:GW373),$GU$3:$GU$400,0),2),"")&lt;&gt;"",GW374&lt;&gt;""),CONCATENATE(IFERROR(INDEX($GU$3:$GV$400,MATCH(ROWS($GW$3:GW373),$GU$3:$GU$400,0),2),"")," - "),IFERROR(INDEX($GU$3:$GV$400,MATCH(ROWS($GW$3:GW373),$GU$3:$GU$400,0),2),""))</f>
        <v/>
      </c>
      <c r="GX373" s="259">
        <f ca="1">IF(OR(GN373="IVA NS/CREDITO",GN373="IVA NS/DEBITO",GN373="IVA C/ACCONTO",GN373="IMPOSTE C/ACCONTO"),MAX($GX$2:GX372)+1,0)</f>
        <v>0</v>
      </c>
      <c r="GY373" s="259" t="str">
        <f ca="1">IF(AND(IFERROR(INDEX($GN$3:$GX$200,MATCH(ROWS($GY$3:GY373),$GX$3:$GX$200,0),1),"")&lt;&gt;"",GY374&lt;&gt;""),CONCATENATE(IFERROR(INDEX($GN$3:$GX$200,MATCH(ROWS($GY$3:GY373),$GX$3:$GX$200,0),1),"")," - "),IFERROR(INDEX($GN$3:$GX$200,MATCH(ROWS($GY$3:GY373),$GX$3:$GX$200,0),1),""))</f>
        <v/>
      </c>
      <c r="JA373" s="259" t="str">
        <f t="shared" ca="1" si="760"/>
        <v/>
      </c>
      <c r="JB373" s="259">
        <f t="shared" ca="1" si="741"/>
        <v>0</v>
      </c>
      <c r="JC373" s="259">
        <f t="shared" ca="1" si="793"/>
        <v>0</v>
      </c>
      <c r="JD373" s="259">
        <f t="shared" ca="1" si="794"/>
        <v>0</v>
      </c>
      <c r="JM373" s="259">
        <f t="shared" ca="1" si="795"/>
        <v>0</v>
      </c>
    </row>
    <row r="374" spans="52:273">
      <c r="AZ374" s="259" t="str">
        <f t="shared" ca="1" si="770"/>
        <v/>
      </c>
      <c r="BA374" s="259">
        <f t="shared" ca="1" si="785"/>
        <v>0</v>
      </c>
      <c r="BB374" s="259">
        <f t="shared" ca="1" si="771"/>
        <v>0</v>
      </c>
      <c r="BC374" s="259">
        <f t="shared" ca="1" si="772"/>
        <v>0</v>
      </c>
      <c r="BD374" s="259">
        <f t="shared" ca="1" si="773"/>
        <v>0</v>
      </c>
      <c r="BE374" s="259">
        <f t="shared" ca="1" si="774"/>
        <v>0</v>
      </c>
      <c r="BQ374" s="259" t="str">
        <f ca="1">IFERROR(INDEX($BN$3:$BO$200,MATCH(ROWS(BQ$3:BQ374),$BP$3:$BP$220,0),1),"")</f>
        <v/>
      </c>
      <c r="CX374" s="259">
        <f t="shared" ca="1" si="797"/>
        <v>21</v>
      </c>
      <c r="CY374" s="259" t="str">
        <f t="shared" ca="1" si="805"/>
        <v>MASTRO</v>
      </c>
      <c r="CZ374" s="259" t="e">
        <f t="shared" ca="1" si="799"/>
        <v>#N/A</v>
      </c>
      <c r="DA374" s="259" t="str">
        <f t="shared" ca="1" si="804"/>
        <v/>
      </c>
      <c r="DB374" s="259" t="str">
        <f t="shared" ca="1" si="800"/>
        <v/>
      </c>
      <c r="DC374" s="259" t="str">
        <f t="shared" ca="1" si="801"/>
        <v/>
      </c>
      <c r="DD374" s="259" t="str">
        <f t="shared" ca="1" si="802"/>
        <v/>
      </c>
      <c r="DE374" s="259" t="str">
        <f t="shared" ca="1" si="803"/>
        <v/>
      </c>
      <c r="DF374" s="259">
        <f ca="1">IF(AND(CX374=$DE$2,$DF$2&lt;&gt;0),0,IF(AND(DB374&lt;&gt;"",OR(DB373&lt;&gt;"",DB375&lt;&gt;"")),MAX($DF$2:DF373)+1,0))</f>
        <v>0</v>
      </c>
      <c r="DG374" s="259" t="str">
        <f>IF(IF(LIBRO_GIORNALE!E282="","",IFERROR(INDEX(PIANO_DEI_CONTI,MATCH(BB374,DENOMINAZIONE,0),1),0))=0,"",IF(LIBRO_GIORNALE!E282="","",IFERROR(INDEX(PIANO_DEI_CONTI,MATCH(BB374,DENOMINAZIONE,0),1),0)))</f>
        <v/>
      </c>
      <c r="EC374" s="259">
        <f>IF(IF(DG374&lt;&gt;"",REPLACE(DG374,3,1,""),0)&lt;&gt;0,MAX(EC$2:EC373)+1,0)</f>
        <v>0</v>
      </c>
      <c r="ED374" s="259">
        <f t="shared" ca="1" si="734"/>
        <v>0</v>
      </c>
      <c r="EL374" s="259">
        <f t="shared" si="742"/>
        <v>372</v>
      </c>
      <c r="EM374" s="259">
        <f ca="1">IF(AND(BA374&gt;0,BA374&lt;=$EM$1),MAX($EM$2:EM373)+1,0)</f>
        <v>0</v>
      </c>
      <c r="EN374" s="259">
        <f t="shared" ca="1" si="743"/>
        <v>374</v>
      </c>
      <c r="EP374" s="259" t="str">
        <f t="shared" ca="1" si="735"/>
        <v/>
      </c>
      <c r="EW374" s="259">
        <f t="shared" ca="1" si="786"/>
        <v>1</v>
      </c>
      <c r="EX374" s="259">
        <v>272</v>
      </c>
      <c r="EY374" s="259">
        <f t="shared" ca="1" si="787"/>
        <v>0</v>
      </c>
      <c r="EZ374" s="259">
        <f t="shared" ca="1" si="788"/>
        <v>0</v>
      </c>
      <c r="FA374" s="259">
        <f t="shared" ca="1" si="789"/>
        <v>0</v>
      </c>
      <c r="FB374" s="259">
        <f t="shared" ca="1" si="790"/>
        <v>0</v>
      </c>
      <c r="FC374" s="259">
        <f t="shared" ca="1" si="791"/>
        <v>0</v>
      </c>
      <c r="FD374" s="259">
        <f t="shared" ca="1" si="737"/>
        <v>0</v>
      </c>
      <c r="FE374" s="259" t="str">
        <f t="shared" ca="1" si="738"/>
        <v/>
      </c>
      <c r="FF374" s="259" t="str">
        <f t="shared" ca="1" si="792"/>
        <v/>
      </c>
      <c r="FM374" s="259">
        <f t="shared" si="739"/>
        <v>0</v>
      </c>
      <c r="FN374" s="259">
        <f>IF(FM374&lt;0,MAX($FN$2:FN373)+1,0)</f>
        <v>0</v>
      </c>
      <c r="FO374" s="259" t="str">
        <f t="shared" si="745"/>
        <v/>
      </c>
      <c r="FP374" s="259" t="str">
        <f ca="1">IFERROR(INDEX($FN$3:$FO$400,MATCH(ROWS($FP$3:FP374),$FN$3:$FN$400,0),2),"")</f>
        <v/>
      </c>
      <c r="FQ374" s="259" t="str">
        <f>IF(AE374="SE AVERE",MAX($FQ$2:FQ373)+1,"")</f>
        <v/>
      </c>
      <c r="FR374" s="259" t="str">
        <f>IF(AE374="SE DARE",MAX($FR$2:FR373)+1,"")</f>
        <v/>
      </c>
      <c r="FS374" s="259" t="str">
        <f ca="1">IF(AND(AE374="SP DARE",AA374&lt;&gt;$FS$1,AA374&lt;&gt;$FT$1),MAX($FS$2:FS373)+1,IF(AND(GQ374="SP DARE",AA374&lt;&gt;$FS$1,AA374&lt;&gt;$FT$1),MAX($FS$2:FS373)+1,""))</f>
        <v/>
      </c>
      <c r="FT374" s="259" t="str">
        <f ca="1">IF(AND(AE374="SP AVERE",AA374&lt;&gt;$FU$1),MAX($FT$2:FT373)+1,IF(AND(GQ374="SP AVERE",AA374&lt;&gt;$FU$1),MAX($FT$2:FT373)+1,""))</f>
        <v/>
      </c>
      <c r="FU374" s="259">
        <f t="shared" ca="1" si="746"/>
        <v>0</v>
      </c>
      <c r="FV374" s="259">
        <f t="shared" si="747"/>
        <v>0</v>
      </c>
      <c r="FW374" s="259">
        <f ca="1">IFERROR(INDEX($FU$3:$FV$500,MATCH(ROWS($FW$3:FW374),$FU$3:$FU$500,0),2),0)</f>
        <v>0</v>
      </c>
      <c r="FX374" s="259">
        <f t="shared" ca="1" si="748"/>
        <v>0</v>
      </c>
      <c r="FY374" s="259">
        <f t="shared" ca="1" si="749"/>
        <v>0</v>
      </c>
      <c r="FZ374" s="259">
        <f ca="1">IF(FY374&gt;0,MAX($FZ$2:FZ373)+1,0)</f>
        <v>0</v>
      </c>
      <c r="GA374" s="259">
        <f ca="1">IFERROR(INDEX($FY$3:$FZ$500,MATCH(ROWS($GA$3:GA374),$FZ$3:$FZ$500,0),1),0)</f>
        <v>0</v>
      </c>
      <c r="GC374" s="259">
        <f t="shared" ca="1" si="750"/>
        <v>0</v>
      </c>
      <c r="GD374" s="259">
        <f t="shared" ca="1" si="751"/>
        <v>0</v>
      </c>
      <c r="GG374" s="259">
        <f t="shared" ca="1" si="752"/>
        <v>0</v>
      </c>
      <c r="GH374" s="259">
        <f t="shared" ca="1" si="753"/>
        <v>0</v>
      </c>
      <c r="GI374" s="259">
        <f t="shared" ca="1" si="754"/>
        <v>0</v>
      </c>
      <c r="GJ374" s="259">
        <f t="shared" ca="1" si="755"/>
        <v>0</v>
      </c>
      <c r="GK374" s="259">
        <f t="shared" ca="1" si="756"/>
        <v>0</v>
      </c>
      <c r="GL374" s="259">
        <f t="shared" ca="1" si="756"/>
        <v>0</v>
      </c>
      <c r="GM374" s="259">
        <f ca="1">IF(OR(GK374&gt;0,GL374&gt;0),MAX($GM$2:GM373)+1,0)</f>
        <v>0</v>
      </c>
      <c r="GN374" s="259" t="str">
        <f ca="1">IFERROR(INDEX($GD$3:$GM$400,MATCH(ROWS($GN$3:GN374),$GM$3:$GM$400,0),1),"")</f>
        <v/>
      </c>
      <c r="GO374" s="259" t="str">
        <f ca="1">IFERROR(INDEX($GD$3:$GM$400,MATCH(ROWS($GO$3:GO374),$GM$3:$GM$400,0),8),"")</f>
        <v/>
      </c>
      <c r="GP374" s="259" t="str">
        <f ca="1">IFERROR(INDEX($GD$3:$GM$400,MATCH(ROWS($GP$3:GP374),$GM$3:$GM$400,0),9),"")</f>
        <v/>
      </c>
      <c r="GQ374" s="259">
        <f t="shared" ca="1" si="740"/>
        <v>0</v>
      </c>
      <c r="GR374" s="259">
        <f t="shared" ca="1" si="757"/>
        <v>0</v>
      </c>
      <c r="GS374" s="259" t="str">
        <f t="shared" ca="1" si="758"/>
        <v/>
      </c>
      <c r="GT374" s="259" t="str">
        <f ca="1">IFERROR(INDEX($GD$3:$GS$400,MATCH(ROWS($GT$3:GT374),$GM$3:$GM$400,0),16),"")</f>
        <v/>
      </c>
      <c r="GU374" s="259">
        <f ca="1">IF(GQ374&lt;&gt;0,MAX($GU$2:$GU373)+1,0)</f>
        <v>0</v>
      </c>
      <c r="GV374" s="259">
        <f t="shared" ca="1" si="759"/>
        <v>0</v>
      </c>
      <c r="GW374" s="259" t="str">
        <f ca="1">IF(AND(IFERROR(INDEX($GU$3:$GV$400,MATCH(ROWS($GW$3:GW374),$GU$3:$GU$400,0),2),"")&lt;&gt;"",GW375&lt;&gt;""),CONCATENATE(IFERROR(INDEX($GU$3:$GV$400,MATCH(ROWS($GW$3:GW374),$GU$3:$GU$400,0),2),"")," - "),IFERROR(INDEX($GU$3:$GV$400,MATCH(ROWS($GW$3:GW374),$GU$3:$GU$400,0),2),""))</f>
        <v/>
      </c>
      <c r="GX374" s="259">
        <f ca="1">IF(OR(GN374="IVA NS/CREDITO",GN374="IVA NS/DEBITO",GN374="IVA C/ACCONTO",GN374="IMPOSTE C/ACCONTO"),MAX($GX$2:GX373)+1,0)</f>
        <v>0</v>
      </c>
      <c r="GY374" s="259" t="str">
        <f ca="1">IF(AND(IFERROR(INDEX($GN$3:$GX$200,MATCH(ROWS($GY$3:GY374),$GX$3:$GX$200,0),1),"")&lt;&gt;"",GY375&lt;&gt;""),CONCATENATE(IFERROR(INDEX($GN$3:$GX$200,MATCH(ROWS($GY$3:GY374),$GX$3:$GX$200,0),1),"")," - "),IFERROR(INDEX($GN$3:$GX$200,MATCH(ROWS($GY$3:GY374),$GX$3:$GX$200,0),1),""))</f>
        <v/>
      </c>
      <c r="JA374" s="259" t="str">
        <f t="shared" ca="1" si="760"/>
        <v/>
      </c>
      <c r="JB374" s="259">
        <f t="shared" ca="1" si="741"/>
        <v>0</v>
      </c>
      <c r="JC374" s="259">
        <f t="shared" ca="1" si="793"/>
        <v>0</v>
      </c>
      <c r="JD374" s="259">
        <f t="shared" ca="1" si="794"/>
        <v>0</v>
      </c>
      <c r="JM374" s="259">
        <f t="shared" ca="1" si="795"/>
        <v>0</v>
      </c>
    </row>
    <row r="375" spans="52:273">
      <c r="AZ375" s="259" t="str">
        <f t="shared" ca="1" si="770"/>
        <v/>
      </c>
      <c r="BA375" s="259">
        <f t="shared" ca="1" si="785"/>
        <v>0</v>
      </c>
      <c r="BB375" s="259">
        <f t="shared" ca="1" si="771"/>
        <v>0</v>
      </c>
      <c r="BC375" s="259">
        <f t="shared" ca="1" si="772"/>
        <v>0</v>
      </c>
      <c r="BD375" s="259">
        <f t="shared" ca="1" si="773"/>
        <v>0</v>
      </c>
      <c r="BE375" s="259">
        <f t="shared" ca="1" si="774"/>
        <v>0</v>
      </c>
      <c r="BQ375" s="259" t="str">
        <f ca="1">IFERROR(INDEX($BN$3:$BO$200,MATCH(ROWS(BQ$3:BQ375),$BP$3:$BP$220,0),1),"")</f>
        <v/>
      </c>
      <c r="CX375" s="259">
        <f t="shared" ca="1" si="797"/>
        <v>21</v>
      </c>
      <c r="CY375" s="259" t="str">
        <f t="shared" ca="1" si="805"/>
        <v>MASTRO</v>
      </c>
      <c r="CZ375" s="259" t="e">
        <f t="shared" ca="1" si="799"/>
        <v>#N/A</v>
      </c>
      <c r="DA375" s="259" t="str">
        <f t="shared" ca="1" si="804"/>
        <v/>
      </c>
      <c r="DB375" s="259" t="str">
        <f t="shared" ca="1" si="800"/>
        <v/>
      </c>
      <c r="DC375" s="259" t="str">
        <f t="shared" ca="1" si="801"/>
        <v/>
      </c>
      <c r="DD375" s="259" t="str">
        <f t="shared" ca="1" si="802"/>
        <v/>
      </c>
      <c r="DE375" s="259" t="str">
        <f t="shared" ca="1" si="803"/>
        <v/>
      </c>
      <c r="DF375" s="259">
        <f ca="1">IF(AND(CX375=$DE$2,$DF$2&lt;&gt;0),0,IF(AND(DB375&lt;&gt;"",OR(DB374&lt;&gt;"",DB376&lt;&gt;"")),MAX($DF$2:DF374)+1,0))</f>
        <v>0</v>
      </c>
      <c r="DG375" s="259" t="str">
        <f>IF(IF(LIBRO_GIORNALE!E283="","",IFERROR(INDEX(PIANO_DEI_CONTI,MATCH(BB375,DENOMINAZIONE,0),1),0))=0,"",IF(LIBRO_GIORNALE!E283="","",IFERROR(INDEX(PIANO_DEI_CONTI,MATCH(BB375,DENOMINAZIONE,0),1),0)))</f>
        <v/>
      </c>
      <c r="EC375" s="259">
        <f>IF(IF(DG375&lt;&gt;"",REPLACE(DG375,3,1,""),0)&lt;&gt;0,MAX(EC$2:EC374)+1,0)</f>
        <v>0</v>
      </c>
      <c r="ED375" s="259">
        <f t="shared" ca="1" si="734"/>
        <v>0</v>
      </c>
      <c r="EL375" s="259">
        <f t="shared" si="742"/>
        <v>373</v>
      </c>
      <c r="EM375" s="259">
        <f ca="1">IF(AND(BA375&gt;0,BA375&lt;=$EM$1),MAX($EM$2:EM374)+1,0)</f>
        <v>0</v>
      </c>
      <c r="EN375" s="259">
        <f t="shared" ca="1" si="743"/>
        <v>375</v>
      </c>
      <c r="EP375" s="259" t="str">
        <f t="shared" ca="1" si="735"/>
        <v/>
      </c>
      <c r="EW375" s="259">
        <f t="shared" ca="1" si="786"/>
        <v>1</v>
      </c>
      <c r="EX375" s="259">
        <v>273</v>
      </c>
      <c r="EY375" s="259">
        <f t="shared" ca="1" si="787"/>
        <v>0</v>
      </c>
      <c r="EZ375" s="259">
        <f t="shared" ca="1" si="788"/>
        <v>0</v>
      </c>
      <c r="FA375" s="259">
        <f t="shared" ca="1" si="789"/>
        <v>0</v>
      </c>
      <c r="FB375" s="259">
        <f t="shared" ca="1" si="790"/>
        <v>0</v>
      </c>
      <c r="FC375" s="259">
        <f t="shared" ca="1" si="791"/>
        <v>0</v>
      </c>
      <c r="FD375" s="259">
        <f t="shared" ca="1" si="737"/>
        <v>0</v>
      </c>
      <c r="FE375" s="259" t="str">
        <f t="shared" ca="1" si="738"/>
        <v/>
      </c>
      <c r="FF375" s="259" t="str">
        <f t="shared" ca="1" si="792"/>
        <v/>
      </c>
      <c r="FM375" s="259">
        <f t="shared" si="739"/>
        <v>0</v>
      </c>
      <c r="FN375" s="259">
        <f>IF(FM375&lt;0,MAX($FN$2:FN374)+1,0)</f>
        <v>0</v>
      </c>
      <c r="FO375" s="259" t="str">
        <f t="shared" si="745"/>
        <v/>
      </c>
      <c r="FP375" s="259" t="str">
        <f ca="1">IFERROR(INDEX($FN$3:$FO$400,MATCH(ROWS($FP$3:FP375),$FN$3:$FN$400,0),2),"")</f>
        <v/>
      </c>
      <c r="FQ375" s="259" t="str">
        <f>IF(AE375="SE AVERE",MAX($FQ$2:FQ374)+1,"")</f>
        <v/>
      </c>
      <c r="FR375" s="259" t="str">
        <f>IF(AE375="SE DARE",MAX($FR$2:FR374)+1,"")</f>
        <v/>
      </c>
      <c r="FS375" s="259" t="str">
        <f ca="1">IF(AND(AE375="SP DARE",AA375&lt;&gt;$FS$1,AA375&lt;&gt;$FT$1),MAX($FS$2:FS374)+1,IF(AND(GQ375="SP DARE",AA375&lt;&gt;$FS$1,AA375&lt;&gt;$FT$1),MAX($FS$2:FS374)+1,""))</f>
        <v/>
      </c>
      <c r="FT375" s="259" t="str">
        <f ca="1">IF(AND(AE375="SP AVERE",AA375&lt;&gt;$FU$1),MAX($FT$2:FT374)+1,IF(AND(GQ375="SP AVERE",AA375&lt;&gt;$FU$1),MAX($FT$2:FT374)+1,""))</f>
        <v/>
      </c>
      <c r="FU375" s="259">
        <f t="shared" ca="1" si="746"/>
        <v>0</v>
      </c>
      <c r="FV375" s="259">
        <f t="shared" si="747"/>
        <v>0</v>
      </c>
      <c r="FW375" s="259">
        <f ca="1">IFERROR(INDEX($FU$3:$FV$500,MATCH(ROWS($FW$3:FW375),$FU$3:$FU$500,0),2),0)</f>
        <v>0</v>
      </c>
      <c r="FX375" s="259">
        <f t="shared" ca="1" si="748"/>
        <v>0</v>
      </c>
      <c r="FY375" s="259">
        <f t="shared" ca="1" si="749"/>
        <v>0</v>
      </c>
      <c r="FZ375" s="259">
        <f ca="1">IF(FY375&gt;0,MAX($FZ$2:FZ374)+1,0)</f>
        <v>0</v>
      </c>
      <c r="GA375" s="259">
        <f ca="1">IFERROR(INDEX($FY$3:$FZ$500,MATCH(ROWS($GA$3:GA375),$FZ$3:$FZ$500,0),1),0)</f>
        <v>0</v>
      </c>
      <c r="GC375" s="259">
        <f t="shared" ca="1" si="750"/>
        <v>0</v>
      </c>
      <c r="GD375" s="259">
        <f t="shared" ca="1" si="751"/>
        <v>0</v>
      </c>
      <c r="GG375" s="259">
        <f t="shared" ca="1" si="752"/>
        <v>0</v>
      </c>
      <c r="GH375" s="259">
        <f t="shared" ca="1" si="753"/>
        <v>0</v>
      </c>
      <c r="GI375" s="259">
        <f t="shared" ca="1" si="754"/>
        <v>0</v>
      </c>
      <c r="GJ375" s="259">
        <f t="shared" ca="1" si="755"/>
        <v>0</v>
      </c>
      <c r="GK375" s="259">
        <f t="shared" ca="1" si="756"/>
        <v>0</v>
      </c>
      <c r="GL375" s="259">
        <f t="shared" ca="1" si="756"/>
        <v>0</v>
      </c>
      <c r="GM375" s="259">
        <f ca="1">IF(OR(GK375&gt;0,GL375&gt;0),MAX($GM$2:GM374)+1,0)</f>
        <v>0</v>
      </c>
      <c r="GN375" s="259" t="str">
        <f ca="1">IFERROR(INDEX($GD$3:$GM$400,MATCH(ROWS($GN$3:GN375),$GM$3:$GM$400,0),1),"")</f>
        <v/>
      </c>
      <c r="GO375" s="259" t="str">
        <f ca="1">IFERROR(INDEX($GD$3:$GM$400,MATCH(ROWS($GO$3:GO375),$GM$3:$GM$400,0),8),"")</f>
        <v/>
      </c>
      <c r="GP375" s="259" t="str">
        <f ca="1">IFERROR(INDEX($GD$3:$GM$400,MATCH(ROWS($GP$3:GP375),$GM$3:$GM$400,0),9),"")</f>
        <v/>
      </c>
      <c r="GQ375" s="259">
        <f t="shared" ca="1" si="740"/>
        <v>0</v>
      </c>
      <c r="GR375" s="259">
        <f t="shared" ca="1" si="757"/>
        <v>0</v>
      </c>
      <c r="GS375" s="259" t="str">
        <f t="shared" ca="1" si="758"/>
        <v/>
      </c>
      <c r="GT375" s="259" t="str">
        <f ca="1">IFERROR(INDEX($GD$3:$GS$400,MATCH(ROWS($GT$3:GT375),$GM$3:$GM$400,0),16),"")</f>
        <v/>
      </c>
      <c r="GU375" s="259">
        <f ca="1">IF(GQ375&lt;&gt;0,MAX($GU$2:$GU374)+1,0)</f>
        <v>0</v>
      </c>
      <c r="GV375" s="259">
        <f t="shared" ca="1" si="759"/>
        <v>0</v>
      </c>
      <c r="GW375" s="259" t="str">
        <f ca="1">IF(AND(IFERROR(INDEX($GU$3:$GV$400,MATCH(ROWS($GW$3:GW375),$GU$3:$GU$400,0),2),"")&lt;&gt;"",GW376&lt;&gt;""),CONCATENATE(IFERROR(INDEX($GU$3:$GV$400,MATCH(ROWS($GW$3:GW375),$GU$3:$GU$400,0),2),"")," - "),IFERROR(INDEX($GU$3:$GV$400,MATCH(ROWS($GW$3:GW375),$GU$3:$GU$400,0),2),""))</f>
        <v/>
      </c>
      <c r="GX375" s="259">
        <f ca="1">IF(OR(GN375="IVA NS/CREDITO",GN375="IVA NS/DEBITO",GN375="IVA C/ACCONTO",GN375="IMPOSTE C/ACCONTO"),MAX($GX$2:GX374)+1,0)</f>
        <v>0</v>
      </c>
      <c r="GY375" s="259" t="str">
        <f ca="1">IF(AND(IFERROR(INDEX($GN$3:$GX$200,MATCH(ROWS($GY$3:GY375),$GX$3:$GX$200,0),1),"")&lt;&gt;"",GY376&lt;&gt;""),CONCATENATE(IFERROR(INDEX($GN$3:$GX$200,MATCH(ROWS($GY$3:GY375),$GX$3:$GX$200,0),1),"")," - "),IFERROR(INDEX($GN$3:$GX$200,MATCH(ROWS($GY$3:GY375),$GX$3:$GX$200,0),1),""))</f>
        <v/>
      </c>
      <c r="JA375" s="259" t="str">
        <f t="shared" ca="1" si="760"/>
        <v/>
      </c>
      <c r="JB375" s="259">
        <f t="shared" ca="1" si="741"/>
        <v>0</v>
      </c>
      <c r="JC375" s="259">
        <f t="shared" ca="1" si="793"/>
        <v>0</v>
      </c>
      <c r="JD375" s="259">
        <f t="shared" ca="1" si="794"/>
        <v>0</v>
      </c>
      <c r="JM375" s="259">
        <f t="shared" ca="1" si="795"/>
        <v>0</v>
      </c>
    </row>
    <row r="376" spans="52:273">
      <c r="AZ376" s="259" t="str">
        <f t="shared" ca="1" si="770"/>
        <v/>
      </c>
      <c r="BA376" s="259">
        <f t="shared" ca="1" si="785"/>
        <v>0</v>
      </c>
      <c r="BB376" s="259">
        <f t="shared" ca="1" si="771"/>
        <v>0</v>
      </c>
      <c r="BC376" s="259">
        <f t="shared" ca="1" si="772"/>
        <v>0</v>
      </c>
      <c r="BD376" s="259">
        <f t="shared" ca="1" si="773"/>
        <v>0</v>
      </c>
      <c r="BE376" s="259">
        <f t="shared" ca="1" si="774"/>
        <v>0</v>
      </c>
      <c r="BQ376" s="259" t="str">
        <f ca="1">IFERROR(INDEX($BN$3:$BO$200,MATCH(ROWS(BQ$3:BQ376),$BP$3:$BP$220,0),1),"")</f>
        <v/>
      </c>
      <c r="CX376" s="259">
        <f t="shared" ca="1" si="797"/>
        <v>21</v>
      </c>
      <c r="CY376" s="259" t="str">
        <f t="shared" ca="1" si="805"/>
        <v>MASTRO</v>
      </c>
      <c r="CZ376" s="259" t="e">
        <f t="shared" ca="1" si="799"/>
        <v>#N/A</v>
      </c>
      <c r="DA376" s="259" t="str">
        <f t="shared" ca="1" si="804"/>
        <v/>
      </c>
      <c r="DB376" s="259" t="str">
        <f t="shared" ca="1" si="800"/>
        <v/>
      </c>
      <c r="DC376" s="259" t="str">
        <f t="shared" ca="1" si="801"/>
        <v/>
      </c>
      <c r="DD376" s="259" t="str">
        <f t="shared" ca="1" si="802"/>
        <v/>
      </c>
      <c r="DE376" s="259" t="str">
        <f t="shared" ca="1" si="803"/>
        <v/>
      </c>
      <c r="DF376" s="259">
        <f ca="1">IF(AND(CX376=$DE$2,$DF$2&lt;&gt;0),0,IF(AND(DB376&lt;&gt;"",OR(DB375&lt;&gt;"",DB377&lt;&gt;"")),MAX($DF$2:DF375)+1,0))</f>
        <v>0</v>
      </c>
      <c r="DG376" s="259" t="str">
        <f>IF(IF(LIBRO_GIORNALE!E284="","",IFERROR(INDEX(PIANO_DEI_CONTI,MATCH(BB376,DENOMINAZIONE,0),1),0))=0,"",IF(LIBRO_GIORNALE!E284="","",IFERROR(INDEX(PIANO_DEI_CONTI,MATCH(BB376,DENOMINAZIONE,0),1),0)))</f>
        <v/>
      </c>
      <c r="EC376" s="259">
        <f>IF(IF(DG376&lt;&gt;"",REPLACE(DG376,3,1,""),0)&lt;&gt;0,MAX(EC$2:EC375)+1,0)</f>
        <v>0</v>
      </c>
      <c r="ED376" s="259">
        <f t="shared" ca="1" si="734"/>
        <v>0</v>
      </c>
      <c r="EL376" s="259">
        <f t="shared" si="742"/>
        <v>374</v>
      </c>
      <c r="EM376" s="259">
        <f ca="1">IF(AND(BA376&gt;0,BA376&lt;=$EM$1),MAX($EM$2:EM375)+1,0)</f>
        <v>0</v>
      </c>
      <c r="EN376" s="259">
        <f t="shared" ca="1" si="743"/>
        <v>376</v>
      </c>
      <c r="EP376" s="259" t="str">
        <f t="shared" ca="1" si="735"/>
        <v/>
      </c>
      <c r="EW376" s="259">
        <f t="shared" ca="1" si="786"/>
        <v>1</v>
      </c>
      <c r="EX376" s="259">
        <v>274</v>
      </c>
      <c r="EY376" s="259">
        <f t="shared" ca="1" si="787"/>
        <v>0</v>
      </c>
      <c r="EZ376" s="259">
        <f t="shared" ca="1" si="788"/>
        <v>0</v>
      </c>
      <c r="FA376" s="259">
        <f t="shared" ca="1" si="789"/>
        <v>0</v>
      </c>
      <c r="FB376" s="259">
        <f t="shared" ca="1" si="790"/>
        <v>0</v>
      </c>
      <c r="FC376" s="259">
        <f t="shared" ca="1" si="791"/>
        <v>0</v>
      </c>
      <c r="FD376" s="259">
        <f t="shared" ca="1" si="737"/>
        <v>0</v>
      </c>
      <c r="FE376" s="259" t="str">
        <f t="shared" ca="1" si="738"/>
        <v/>
      </c>
      <c r="FF376" s="259" t="str">
        <f t="shared" ca="1" si="792"/>
        <v/>
      </c>
      <c r="FM376" s="259">
        <f t="shared" si="739"/>
        <v>0</v>
      </c>
      <c r="FN376" s="259">
        <f>IF(FM376&lt;0,MAX($FN$2:FN375)+1,0)</f>
        <v>0</v>
      </c>
      <c r="FO376" s="259" t="str">
        <f t="shared" si="745"/>
        <v/>
      </c>
      <c r="FP376" s="259" t="str">
        <f ca="1">IFERROR(INDEX($FN$3:$FO$400,MATCH(ROWS($FP$3:FP376),$FN$3:$FN$400,0),2),"")</f>
        <v/>
      </c>
      <c r="FQ376" s="259" t="str">
        <f>IF(AE376="SE AVERE",MAX($FQ$2:FQ375)+1,"")</f>
        <v/>
      </c>
      <c r="FR376" s="259" t="str">
        <f>IF(AE376="SE DARE",MAX($FR$2:FR375)+1,"")</f>
        <v/>
      </c>
      <c r="FS376" s="259" t="str">
        <f ca="1">IF(AND(AE376="SP DARE",AA376&lt;&gt;$FS$1,AA376&lt;&gt;$FT$1),MAX($FS$2:FS375)+1,IF(AND(GQ376="SP DARE",AA376&lt;&gt;$FS$1,AA376&lt;&gt;$FT$1),MAX($FS$2:FS375)+1,""))</f>
        <v/>
      </c>
      <c r="FT376" s="259" t="str">
        <f ca="1">IF(AND(AE376="SP AVERE",AA376&lt;&gt;$FU$1),MAX($FT$2:FT375)+1,IF(AND(GQ376="SP AVERE",AA376&lt;&gt;$FU$1),MAX($FT$2:FT375)+1,""))</f>
        <v/>
      </c>
      <c r="FU376" s="259">
        <f t="shared" ca="1" si="746"/>
        <v>0</v>
      </c>
      <c r="FV376" s="259">
        <f t="shared" si="747"/>
        <v>0</v>
      </c>
      <c r="FW376" s="259">
        <f ca="1">IFERROR(INDEX($FU$3:$FV$500,MATCH(ROWS($FW$3:FW376),$FU$3:$FU$500,0),2),0)</f>
        <v>0</v>
      </c>
      <c r="FX376" s="259">
        <f t="shared" ca="1" si="748"/>
        <v>0</v>
      </c>
      <c r="FY376" s="259">
        <f t="shared" ca="1" si="749"/>
        <v>0</v>
      </c>
      <c r="FZ376" s="259">
        <f ca="1">IF(FY376&gt;0,MAX($FZ$2:FZ375)+1,0)</f>
        <v>0</v>
      </c>
      <c r="GA376" s="259">
        <f ca="1">IFERROR(INDEX($FY$3:$FZ$500,MATCH(ROWS($GA$3:GA376),$FZ$3:$FZ$500,0),1),0)</f>
        <v>0</v>
      </c>
      <c r="GC376" s="259">
        <f t="shared" ca="1" si="750"/>
        <v>0</v>
      </c>
      <c r="GD376" s="259">
        <f t="shared" ca="1" si="751"/>
        <v>0</v>
      </c>
      <c r="GG376" s="259">
        <f t="shared" ca="1" si="752"/>
        <v>0</v>
      </c>
      <c r="GH376" s="259">
        <f t="shared" ca="1" si="753"/>
        <v>0</v>
      </c>
      <c r="GI376" s="259">
        <f t="shared" ca="1" si="754"/>
        <v>0</v>
      </c>
      <c r="GJ376" s="259">
        <f t="shared" ca="1" si="755"/>
        <v>0</v>
      </c>
      <c r="GK376" s="259">
        <f t="shared" ca="1" si="756"/>
        <v>0</v>
      </c>
      <c r="GL376" s="259">
        <f t="shared" ca="1" si="756"/>
        <v>0</v>
      </c>
      <c r="GM376" s="259">
        <f ca="1">IF(OR(GK376&gt;0,GL376&gt;0),MAX($GM$2:GM375)+1,0)</f>
        <v>0</v>
      </c>
      <c r="GN376" s="259" t="str">
        <f ca="1">IFERROR(INDEX($GD$3:$GM$400,MATCH(ROWS($GN$3:GN376),$GM$3:$GM$400,0),1),"")</f>
        <v/>
      </c>
      <c r="GO376" s="259" t="str">
        <f ca="1">IFERROR(INDEX($GD$3:$GM$400,MATCH(ROWS($GO$3:GO376),$GM$3:$GM$400,0),8),"")</f>
        <v/>
      </c>
      <c r="GP376" s="259" t="str">
        <f ca="1">IFERROR(INDEX($GD$3:$GM$400,MATCH(ROWS($GP$3:GP376),$GM$3:$GM$400,0),9),"")</f>
        <v/>
      </c>
      <c r="GQ376" s="259">
        <f t="shared" ca="1" si="740"/>
        <v>0</v>
      </c>
      <c r="GR376" s="259">
        <f t="shared" ca="1" si="757"/>
        <v>0</v>
      </c>
      <c r="GS376" s="259" t="str">
        <f t="shared" ca="1" si="758"/>
        <v/>
      </c>
      <c r="GT376" s="259" t="str">
        <f ca="1">IFERROR(INDEX($GD$3:$GS$400,MATCH(ROWS($GT$3:GT376),$GM$3:$GM$400,0),16),"")</f>
        <v/>
      </c>
      <c r="GU376" s="259">
        <f ca="1">IF(GQ376&lt;&gt;0,MAX($GU$2:$GU375)+1,0)</f>
        <v>0</v>
      </c>
      <c r="GV376" s="259">
        <f t="shared" ca="1" si="759"/>
        <v>0</v>
      </c>
      <c r="GW376" s="259" t="str">
        <f ca="1">IF(AND(IFERROR(INDEX($GU$3:$GV$400,MATCH(ROWS($GW$3:GW376),$GU$3:$GU$400,0),2),"")&lt;&gt;"",GW377&lt;&gt;""),CONCATENATE(IFERROR(INDEX($GU$3:$GV$400,MATCH(ROWS($GW$3:GW376),$GU$3:$GU$400,0),2),"")," - "),IFERROR(INDEX($GU$3:$GV$400,MATCH(ROWS($GW$3:GW376),$GU$3:$GU$400,0),2),""))</f>
        <v/>
      </c>
      <c r="GX376" s="259">
        <f ca="1">IF(OR(GN376="IVA NS/CREDITO",GN376="IVA NS/DEBITO",GN376="IVA C/ACCONTO",GN376="IMPOSTE C/ACCONTO"),MAX($GX$2:GX375)+1,0)</f>
        <v>0</v>
      </c>
      <c r="GY376" s="259" t="str">
        <f ca="1">IF(AND(IFERROR(INDEX($GN$3:$GX$200,MATCH(ROWS($GY$3:GY376),$GX$3:$GX$200,0),1),"")&lt;&gt;"",GY377&lt;&gt;""),CONCATENATE(IFERROR(INDEX($GN$3:$GX$200,MATCH(ROWS($GY$3:GY376),$GX$3:$GX$200,0),1),"")," - "),IFERROR(INDEX($GN$3:$GX$200,MATCH(ROWS($GY$3:GY376),$GX$3:$GX$200,0),1),""))</f>
        <v/>
      </c>
      <c r="JA376" s="259" t="str">
        <f t="shared" ca="1" si="760"/>
        <v/>
      </c>
      <c r="JB376" s="259">
        <f t="shared" ca="1" si="741"/>
        <v>0</v>
      </c>
      <c r="JC376" s="259">
        <f t="shared" ca="1" si="793"/>
        <v>0</v>
      </c>
      <c r="JD376" s="259">
        <f t="shared" ca="1" si="794"/>
        <v>0</v>
      </c>
      <c r="JM376" s="259">
        <f t="shared" ca="1" si="795"/>
        <v>0</v>
      </c>
    </row>
    <row r="377" spans="52:273">
      <c r="AZ377" s="259" t="str">
        <f t="shared" ca="1" si="770"/>
        <v/>
      </c>
      <c r="BA377" s="259">
        <f t="shared" ca="1" si="785"/>
        <v>0</v>
      </c>
      <c r="BB377" s="259">
        <f t="shared" ca="1" si="771"/>
        <v>0</v>
      </c>
      <c r="BC377" s="259">
        <f t="shared" ca="1" si="772"/>
        <v>0</v>
      </c>
      <c r="BD377" s="259">
        <f t="shared" ca="1" si="773"/>
        <v>0</v>
      </c>
      <c r="BE377" s="259">
        <f t="shared" ca="1" si="774"/>
        <v>0</v>
      </c>
      <c r="BQ377" s="259" t="str">
        <f ca="1">IFERROR(INDEX($BN$3:$BO$200,MATCH(ROWS(BQ$3:BQ377),$BP$3:$BP$220,0),1),"")</f>
        <v/>
      </c>
      <c r="CX377" s="259">
        <f t="shared" ca="1" si="797"/>
        <v>21</v>
      </c>
      <c r="CY377" s="259" t="str">
        <f t="shared" ca="1" si="805"/>
        <v>MASTRO</v>
      </c>
      <c r="CZ377" s="259" t="e">
        <f t="shared" ca="1" si="799"/>
        <v>#N/A</v>
      </c>
      <c r="DA377" s="259" t="str">
        <f t="shared" ca="1" si="804"/>
        <v/>
      </c>
      <c r="DB377" s="259" t="str">
        <f t="shared" ca="1" si="800"/>
        <v/>
      </c>
      <c r="DC377" s="259" t="str">
        <f t="shared" ca="1" si="801"/>
        <v/>
      </c>
      <c r="DD377" s="259" t="str">
        <f t="shared" ca="1" si="802"/>
        <v/>
      </c>
      <c r="DE377" s="259" t="str">
        <f t="shared" ca="1" si="803"/>
        <v/>
      </c>
      <c r="DF377" s="259">
        <f ca="1">IF(AND(CX377=$DE$2,$DF$2&lt;&gt;0),0,IF(AND(DB377&lt;&gt;"",OR(DB376&lt;&gt;"",DB378&lt;&gt;"")),MAX($DF$2:DF376)+1,0))</f>
        <v>0</v>
      </c>
      <c r="DG377" s="259" t="str">
        <f>IF(IF(LIBRO_GIORNALE!E285="","",IFERROR(INDEX(PIANO_DEI_CONTI,MATCH(BB377,DENOMINAZIONE,0),1),0))=0,"",IF(LIBRO_GIORNALE!E285="","",IFERROR(INDEX(PIANO_DEI_CONTI,MATCH(BB377,DENOMINAZIONE,0),1),0)))</f>
        <v/>
      </c>
      <c r="EC377" s="259">
        <f>IF(IF(DG377&lt;&gt;"",REPLACE(DG377,3,1,""),0)&lt;&gt;0,MAX(EC$2:EC376)+1,0)</f>
        <v>0</v>
      </c>
      <c r="ED377" s="259">
        <f t="shared" ca="1" si="734"/>
        <v>0</v>
      </c>
      <c r="EL377" s="259">
        <f t="shared" si="742"/>
        <v>375</v>
      </c>
      <c r="EM377" s="259">
        <f ca="1">IF(AND(BA377&gt;0,BA377&lt;=$EM$1),MAX($EM$2:EM376)+1,0)</f>
        <v>0</v>
      </c>
      <c r="EN377" s="259">
        <f t="shared" ca="1" si="743"/>
        <v>377</v>
      </c>
      <c r="EP377" s="259" t="str">
        <f t="shared" ca="1" si="735"/>
        <v/>
      </c>
      <c r="EW377" s="259">
        <f t="shared" ca="1" si="786"/>
        <v>1</v>
      </c>
      <c r="EX377" s="259">
        <v>275</v>
      </c>
      <c r="EY377" s="259">
        <f t="shared" ca="1" si="787"/>
        <v>0</v>
      </c>
      <c r="EZ377" s="259">
        <f t="shared" ca="1" si="788"/>
        <v>0</v>
      </c>
      <c r="FA377" s="259">
        <f t="shared" ca="1" si="789"/>
        <v>0</v>
      </c>
      <c r="FB377" s="259">
        <f t="shared" ca="1" si="790"/>
        <v>0</v>
      </c>
      <c r="FC377" s="259">
        <f t="shared" ca="1" si="791"/>
        <v>0</v>
      </c>
      <c r="FD377" s="259">
        <f t="shared" ca="1" si="737"/>
        <v>0</v>
      </c>
      <c r="FE377" s="259" t="str">
        <f t="shared" ca="1" si="738"/>
        <v/>
      </c>
      <c r="FF377" s="259" t="str">
        <f t="shared" ca="1" si="792"/>
        <v/>
      </c>
      <c r="FM377" s="259">
        <f t="shared" si="739"/>
        <v>0</v>
      </c>
      <c r="FN377" s="259">
        <f>IF(FM377&lt;0,MAX($FN$2:FN376)+1,0)</f>
        <v>0</v>
      </c>
      <c r="FO377" s="259" t="str">
        <f t="shared" si="745"/>
        <v/>
      </c>
      <c r="FP377" s="259" t="str">
        <f ca="1">IFERROR(INDEX($FN$3:$FO$400,MATCH(ROWS($FP$3:FP377),$FN$3:$FN$400,0),2),"")</f>
        <v/>
      </c>
      <c r="FQ377" s="259" t="str">
        <f>IF(AE377="SE AVERE",MAX($FQ$2:FQ376)+1,"")</f>
        <v/>
      </c>
      <c r="FR377" s="259" t="str">
        <f>IF(AE377="SE DARE",MAX($FR$2:FR376)+1,"")</f>
        <v/>
      </c>
      <c r="FS377" s="259" t="str">
        <f ca="1">IF(AND(AE377="SP DARE",AA377&lt;&gt;$FS$1,AA377&lt;&gt;$FT$1),MAX($FS$2:FS376)+1,IF(AND(GQ377="SP DARE",AA377&lt;&gt;$FS$1,AA377&lt;&gt;$FT$1),MAX($FS$2:FS376)+1,""))</f>
        <v/>
      </c>
      <c r="FT377" s="259" t="str">
        <f ca="1">IF(AND(AE377="SP AVERE",AA377&lt;&gt;$FU$1),MAX($FT$2:FT376)+1,IF(AND(GQ377="SP AVERE",AA377&lt;&gt;$FU$1),MAX($FT$2:FT376)+1,""))</f>
        <v/>
      </c>
      <c r="FU377" s="259">
        <f t="shared" ca="1" si="746"/>
        <v>0</v>
      </c>
      <c r="FV377" s="259">
        <f t="shared" si="747"/>
        <v>0</v>
      </c>
      <c r="FW377" s="259">
        <f ca="1">IFERROR(INDEX($FU$3:$FV$500,MATCH(ROWS($FW$3:FW377),$FU$3:$FU$500,0),2),0)</f>
        <v>0</v>
      </c>
      <c r="FX377" s="259">
        <f t="shared" ca="1" si="748"/>
        <v>0</v>
      </c>
      <c r="FY377" s="259">
        <f t="shared" ca="1" si="749"/>
        <v>0</v>
      </c>
      <c r="FZ377" s="259">
        <f ca="1">IF(FY377&gt;0,MAX($FZ$2:FZ376)+1,0)</f>
        <v>0</v>
      </c>
      <c r="GA377" s="259">
        <f ca="1">IFERROR(INDEX($FY$3:$FZ$500,MATCH(ROWS($GA$3:GA377),$FZ$3:$FZ$500,0),1),0)</f>
        <v>0</v>
      </c>
      <c r="GC377" s="259">
        <f t="shared" ca="1" si="750"/>
        <v>0</v>
      </c>
      <c r="GD377" s="259">
        <f t="shared" ca="1" si="751"/>
        <v>0</v>
      </c>
      <c r="GG377" s="259">
        <f t="shared" ca="1" si="752"/>
        <v>0</v>
      </c>
      <c r="GH377" s="259">
        <f t="shared" ca="1" si="753"/>
        <v>0</v>
      </c>
      <c r="GI377" s="259">
        <f t="shared" ca="1" si="754"/>
        <v>0</v>
      </c>
      <c r="GJ377" s="259">
        <f t="shared" ca="1" si="755"/>
        <v>0</v>
      </c>
      <c r="GK377" s="259">
        <f t="shared" ca="1" si="756"/>
        <v>0</v>
      </c>
      <c r="GL377" s="259">
        <f t="shared" ca="1" si="756"/>
        <v>0</v>
      </c>
      <c r="GM377" s="259">
        <f ca="1">IF(OR(GK377&gt;0,GL377&gt;0),MAX($GM$2:GM376)+1,0)</f>
        <v>0</v>
      </c>
      <c r="GN377" s="259" t="str">
        <f ca="1">IFERROR(INDEX($GD$3:$GM$400,MATCH(ROWS($GN$3:GN377),$GM$3:$GM$400,0),1),"")</f>
        <v/>
      </c>
      <c r="GO377" s="259" t="str">
        <f ca="1">IFERROR(INDEX($GD$3:$GM$400,MATCH(ROWS($GO$3:GO377),$GM$3:$GM$400,0),8),"")</f>
        <v/>
      </c>
      <c r="GP377" s="259" t="str">
        <f ca="1">IFERROR(INDEX($GD$3:$GM$400,MATCH(ROWS($GP$3:GP377),$GM$3:$GM$400,0),9),"")</f>
        <v/>
      </c>
      <c r="GQ377" s="259">
        <f t="shared" ca="1" si="740"/>
        <v>0</v>
      </c>
      <c r="GR377" s="259">
        <f t="shared" ca="1" si="757"/>
        <v>0</v>
      </c>
      <c r="GS377" s="259" t="str">
        <f t="shared" ca="1" si="758"/>
        <v/>
      </c>
      <c r="GT377" s="259" t="str">
        <f ca="1">IFERROR(INDEX($GD$3:$GS$400,MATCH(ROWS($GT$3:GT377),$GM$3:$GM$400,0),16),"")</f>
        <v/>
      </c>
      <c r="GU377" s="259">
        <f ca="1">IF(GQ377&lt;&gt;0,MAX($GU$2:$GU376)+1,0)</f>
        <v>0</v>
      </c>
      <c r="GV377" s="259">
        <f t="shared" ca="1" si="759"/>
        <v>0</v>
      </c>
      <c r="GW377" s="259" t="str">
        <f ca="1">IF(AND(IFERROR(INDEX($GU$3:$GV$400,MATCH(ROWS($GW$3:GW377),$GU$3:$GU$400,0),2),"")&lt;&gt;"",GW378&lt;&gt;""),CONCATENATE(IFERROR(INDEX($GU$3:$GV$400,MATCH(ROWS($GW$3:GW377),$GU$3:$GU$400,0),2),"")," - "),IFERROR(INDEX($GU$3:$GV$400,MATCH(ROWS($GW$3:GW377),$GU$3:$GU$400,0),2),""))</f>
        <v/>
      </c>
      <c r="GX377" s="259">
        <f ca="1">IF(OR(GN377="IVA NS/CREDITO",GN377="IVA NS/DEBITO",GN377="IVA C/ACCONTO",GN377="IMPOSTE C/ACCONTO"),MAX($GX$2:GX376)+1,0)</f>
        <v>0</v>
      </c>
      <c r="GY377" s="259" t="str">
        <f ca="1">IF(AND(IFERROR(INDEX($GN$3:$GX$200,MATCH(ROWS($GY$3:GY377),$GX$3:$GX$200,0),1),"")&lt;&gt;"",GY378&lt;&gt;""),CONCATENATE(IFERROR(INDEX($GN$3:$GX$200,MATCH(ROWS($GY$3:GY377),$GX$3:$GX$200,0),1),"")," - "),IFERROR(INDEX($GN$3:$GX$200,MATCH(ROWS($GY$3:GY377),$GX$3:$GX$200,0),1),""))</f>
        <v/>
      </c>
      <c r="JA377" s="259" t="str">
        <f t="shared" ca="1" si="760"/>
        <v/>
      </c>
      <c r="JB377" s="259">
        <f t="shared" ca="1" si="741"/>
        <v>0</v>
      </c>
      <c r="JC377" s="259">
        <f t="shared" ca="1" si="793"/>
        <v>0</v>
      </c>
      <c r="JD377" s="259">
        <f t="shared" ca="1" si="794"/>
        <v>0</v>
      </c>
      <c r="JM377" s="259">
        <f t="shared" ca="1" si="795"/>
        <v>0</v>
      </c>
    </row>
    <row r="378" spans="52:273">
      <c r="AZ378" s="259" t="str">
        <f t="shared" ca="1" si="770"/>
        <v/>
      </c>
      <c r="BA378" s="259">
        <f t="shared" ca="1" si="785"/>
        <v>0</v>
      </c>
      <c r="BB378" s="259">
        <f t="shared" ca="1" si="771"/>
        <v>0</v>
      </c>
      <c r="BC378" s="259">
        <f t="shared" ca="1" si="772"/>
        <v>0</v>
      </c>
      <c r="BD378" s="259">
        <f t="shared" ca="1" si="773"/>
        <v>0</v>
      </c>
      <c r="BE378" s="259">
        <f t="shared" ca="1" si="774"/>
        <v>0</v>
      </c>
      <c r="BQ378" s="259" t="str">
        <f ca="1">IFERROR(INDEX($BN$3:$BO$200,MATCH(ROWS(BQ$3:BQ378),$BP$3:$BP$220,0),1),"")</f>
        <v/>
      </c>
      <c r="CX378" s="259">
        <f t="shared" ca="1" si="797"/>
        <v>21</v>
      </c>
      <c r="CY378" s="259" t="str">
        <f t="shared" ca="1" si="805"/>
        <v>MASTRO</v>
      </c>
      <c r="CZ378" s="259" t="e">
        <f t="shared" ca="1" si="799"/>
        <v>#N/A</v>
      </c>
      <c r="DA378" s="259" t="str">
        <f t="shared" ca="1" si="804"/>
        <v/>
      </c>
      <c r="DB378" s="259" t="str">
        <f t="shared" ca="1" si="800"/>
        <v/>
      </c>
      <c r="DC378" s="259" t="str">
        <f t="shared" ca="1" si="801"/>
        <v/>
      </c>
      <c r="DD378" s="259" t="str">
        <f t="shared" ca="1" si="802"/>
        <v/>
      </c>
      <c r="DE378" s="259" t="str">
        <f t="shared" ca="1" si="803"/>
        <v/>
      </c>
      <c r="DF378" s="259">
        <f ca="1">IF(AND(CX378=$DE$2,$DF$2&lt;&gt;0),0,IF(AND(DB378&lt;&gt;"",OR(DB377&lt;&gt;"",DB379&lt;&gt;"")),MAX($DF$2:DF377)+1,0))</f>
        <v>0</v>
      </c>
      <c r="DG378" s="259" t="str">
        <f>IF(IF(LIBRO_GIORNALE!E286="","",IFERROR(INDEX(PIANO_DEI_CONTI,MATCH(BB378,DENOMINAZIONE,0),1),0))=0,"",IF(LIBRO_GIORNALE!E286="","",IFERROR(INDEX(PIANO_DEI_CONTI,MATCH(BB378,DENOMINAZIONE,0),1),0)))</f>
        <v/>
      </c>
      <c r="EC378" s="259">
        <f>IF(IF(DG378&lt;&gt;"",REPLACE(DG378,3,1,""),0)&lt;&gt;0,MAX(EC$2:EC377)+1,0)</f>
        <v>0</v>
      </c>
      <c r="ED378" s="259">
        <f t="shared" ca="1" si="734"/>
        <v>0</v>
      </c>
      <c r="EL378" s="259">
        <f t="shared" si="742"/>
        <v>376</v>
      </c>
      <c r="EM378" s="259">
        <f ca="1">IF(AND(BA378&gt;0,BA378&lt;=$EM$1),MAX($EM$2:EM377)+1,0)</f>
        <v>0</v>
      </c>
      <c r="EN378" s="259">
        <f t="shared" ca="1" si="743"/>
        <v>378</v>
      </c>
      <c r="EP378" s="259" t="str">
        <f t="shared" ca="1" si="735"/>
        <v/>
      </c>
      <c r="EW378" s="259">
        <f t="shared" ca="1" si="786"/>
        <v>1</v>
      </c>
      <c r="EX378" s="259">
        <v>276</v>
      </c>
      <c r="EY378" s="259">
        <f t="shared" ca="1" si="787"/>
        <v>0</v>
      </c>
      <c r="EZ378" s="259">
        <f t="shared" ca="1" si="788"/>
        <v>0</v>
      </c>
      <c r="FA378" s="259">
        <f t="shared" ca="1" si="789"/>
        <v>0</v>
      </c>
      <c r="FB378" s="259">
        <f t="shared" ca="1" si="790"/>
        <v>0</v>
      </c>
      <c r="FC378" s="259">
        <f t="shared" ca="1" si="791"/>
        <v>0</v>
      </c>
      <c r="FD378" s="259">
        <f t="shared" ca="1" si="737"/>
        <v>0</v>
      </c>
      <c r="FE378" s="259" t="str">
        <f t="shared" ca="1" si="738"/>
        <v/>
      </c>
      <c r="FF378" s="259" t="str">
        <f t="shared" ca="1" si="792"/>
        <v/>
      </c>
      <c r="FM378" s="259">
        <f t="shared" si="739"/>
        <v>0</v>
      </c>
      <c r="FN378" s="259">
        <f>IF(FM378&lt;0,MAX($FN$2:FN377)+1,0)</f>
        <v>0</v>
      </c>
      <c r="FO378" s="259" t="str">
        <f t="shared" si="745"/>
        <v/>
      </c>
      <c r="FP378" s="259" t="str">
        <f ca="1">IFERROR(INDEX($FN$3:$FO$400,MATCH(ROWS($FP$3:FP378),$FN$3:$FN$400,0),2),"")</f>
        <v/>
      </c>
      <c r="FQ378" s="259" t="str">
        <f>IF(AE378="SE AVERE",MAX($FQ$2:FQ377)+1,"")</f>
        <v/>
      </c>
      <c r="FR378" s="259" t="str">
        <f>IF(AE378="SE DARE",MAX($FR$2:FR377)+1,"")</f>
        <v/>
      </c>
      <c r="FS378" s="259" t="str">
        <f ca="1">IF(AND(AE378="SP DARE",AA378&lt;&gt;$FS$1,AA378&lt;&gt;$FT$1),MAX($FS$2:FS377)+1,IF(AND(GQ378="SP DARE",AA378&lt;&gt;$FS$1,AA378&lt;&gt;$FT$1),MAX($FS$2:FS377)+1,""))</f>
        <v/>
      </c>
      <c r="FT378" s="259" t="str">
        <f ca="1">IF(AND(AE378="SP AVERE",AA378&lt;&gt;$FU$1),MAX($FT$2:FT377)+1,IF(AND(GQ378="SP AVERE",AA378&lt;&gt;$FU$1),MAX($FT$2:FT377)+1,""))</f>
        <v/>
      </c>
      <c r="FU378" s="259">
        <f t="shared" ca="1" si="746"/>
        <v>0</v>
      </c>
      <c r="FV378" s="259">
        <f t="shared" si="747"/>
        <v>0</v>
      </c>
      <c r="FW378" s="259">
        <f ca="1">IFERROR(INDEX($FU$3:$FV$500,MATCH(ROWS($FW$3:FW378),$FU$3:$FU$500,0),2),0)</f>
        <v>0</v>
      </c>
      <c r="FX378" s="259">
        <f t="shared" ca="1" si="748"/>
        <v>0</v>
      </c>
      <c r="FY378" s="259">
        <f t="shared" ca="1" si="749"/>
        <v>0</v>
      </c>
      <c r="FZ378" s="259">
        <f ca="1">IF(FY378&gt;0,MAX($FZ$2:FZ377)+1,0)</f>
        <v>0</v>
      </c>
      <c r="GA378" s="259">
        <f ca="1">IFERROR(INDEX($FY$3:$FZ$500,MATCH(ROWS($GA$3:GA378),$FZ$3:$FZ$500,0),1),0)</f>
        <v>0</v>
      </c>
      <c r="GC378" s="259">
        <f t="shared" ca="1" si="750"/>
        <v>0</v>
      </c>
      <c r="GD378" s="259">
        <f t="shared" ca="1" si="751"/>
        <v>0</v>
      </c>
      <c r="GG378" s="259">
        <f t="shared" ca="1" si="752"/>
        <v>0</v>
      </c>
      <c r="GH378" s="259">
        <f t="shared" ca="1" si="753"/>
        <v>0</v>
      </c>
      <c r="GI378" s="259">
        <f t="shared" ca="1" si="754"/>
        <v>0</v>
      </c>
      <c r="GJ378" s="259">
        <f t="shared" ca="1" si="755"/>
        <v>0</v>
      </c>
      <c r="GK378" s="259">
        <f t="shared" ca="1" si="756"/>
        <v>0</v>
      </c>
      <c r="GL378" s="259">
        <f t="shared" ca="1" si="756"/>
        <v>0</v>
      </c>
      <c r="GM378" s="259">
        <f ca="1">IF(OR(GK378&gt;0,GL378&gt;0),MAX($GM$2:GM377)+1,0)</f>
        <v>0</v>
      </c>
      <c r="GN378" s="259" t="str">
        <f ca="1">IFERROR(INDEX($GD$3:$GM$400,MATCH(ROWS($GN$3:GN378),$GM$3:$GM$400,0),1),"")</f>
        <v/>
      </c>
      <c r="GO378" s="259" t="str">
        <f ca="1">IFERROR(INDEX($GD$3:$GM$400,MATCH(ROWS($GO$3:GO378),$GM$3:$GM$400,0),8),"")</f>
        <v/>
      </c>
      <c r="GP378" s="259" t="str">
        <f ca="1">IFERROR(INDEX($GD$3:$GM$400,MATCH(ROWS($GP$3:GP378),$GM$3:$GM$400,0),9),"")</f>
        <v/>
      </c>
      <c r="GQ378" s="259">
        <f t="shared" ca="1" si="740"/>
        <v>0</v>
      </c>
      <c r="GR378" s="259">
        <f t="shared" ca="1" si="757"/>
        <v>0</v>
      </c>
      <c r="GS378" s="259" t="str">
        <f t="shared" ca="1" si="758"/>
        <v/>
      </c>
      <c r="GT378" s="259" t="str">
        <f ca="1">IFERROR(INDEX($GD$3:$GS$400,MATCH(ROWS($GT$3:GT378),$GM$3:$GM$400,0),16),"")</f>
        <v/>
      </c>
      <c r="GU378" s="259">
        <f ca="1">IF(GQ378&lt;&gt;0,MAX($GU$2:$GU377)+1,0)</f>
        <v>0</v>
      </c>
      <c r="GV378" s="259">
        <f t="shared" ca="1" si="759"/>
        <v>0</v>
      </c>
      <c r="GW378" s="259" t="str">
        <f ca="1">IF(AND(IFERROR(INDEX($GU$3:$GV$400,MATCH(ROWS($GW$3:GW378),$GU$3:$GU$400,0),2),"")&lt;&gt;"",GW379&lt;&gt;""),CONCATENATE(IFERROR(INDEX($GU$3:$GV$400,MATCH(ROWS($GW$3:GW378),$GU$3:$GU$400,0),2),"")," - "),IFERROR(INDEX($GU$3:$GV$400,MATCH(ROWS($GW$3:GW378),$GU$3:$GU$400,0),2),""))</f>
        <v/>
      </c>
      <c r="GX378" s="259">
        <f ca="1">IF(OR(GN378="IVA NS/CREDITO",GN378="IVA NS/DEBITO",GN378="IVA C/ACCONTO",GN378="IMPOSTE C/ACCONTO"),MAX($GX$2:GX377)+1,0)</f>
        <v>0</v>
      </c>
      <c r="GY378" s="259" t="str">
        <f ca="1">IF(AND(IFERROR(INDEX($GN$3:$GX$200,MATCH(ROWS($GY$3:GY378),$GX$3:$GX$200,0),1),"")&lt;&gt;"",GY379&lt;&gt;""),CONCATENATE(IFERROR(INDEX($GN$3:$GX$200,MATCH(ROWS($GY$3:GY378),$GX$3:$GX$200,0),1),"")," - "),IFERROR(INDEX($GN$3:$GX$200,MATCH(ROWS($GY$3:GY378),$GX$3:$GX$200,0),1),""))</f>
        <v/>
      </c>
      <c r="JA378" s="259" t="str">
        <f t="shared" ca="1" si="760"/>
        <v/>
      </c>
      <c r="JB378" s="259">
        <f t="shared" ca="1" si="741"/>
        <v>0</v>
      </c>
      <c r="JC378" s="259">
        <f t="shared" ca="1" si="793"/>
        <v>0</v>
      </c>
      <c r="JD378" s="259">
        <f t="shared" ca="1" si="794"/>
        <v>0</v>
      </c>
      <c r="JM378" s="259">
        <f t="shared" ca="1" si="795"/>
        <v>0</v>
      </c>
    </row>
    <row r="379" spans="52:273">
      <c r="AZ379" s="259" t="str">
        <f t="shared" ca="1" si="770"/>
        <v/>
      </c>
      <c r="BA379" s="259">
        <f t="shared" ca="1" si="785"/>
        <v>0</v>
      </c>
      <c r="BB379" s="259">
        <f t="shared" ca="1" si="771"/>
        <v>0</v>
      </c>
      <c r="BC379" s="259">
        <f t="shared" ca="1" si="772"/>
        <v>0</v>
      </c>
      <c r="BD379" s="259">
        <f t="shared" ca="1" si="773"/>
        <v>0</v>
      </c>
      <c r="BE379" s="259">
        <f t="shared" ca="1" si="774"/>
        <v>0</v>
      </c>
      <c r="BQ379" s="259" t="str">
        <f ca="1">IFERROR(INDEX($BN$3:$BO$200,MATCH(ROWS(BQ$3:BQ379),$BP$3:$BP$220,0),1),"")</f>
        <v/>
      </c>
      <c r="CX379" s="259">
        <f t="shared" ca="1" si="797"/>
        <v>21</v>
      </c>
      <c r="CY379" s="259" t="str">
        <f t="shared" ca="1" si="805"/>
        <v>MASTRO</v>
      </c>
      <c r="CZ379" s="259" t="e">
        <f t="shared" ca="1" si="799"/>
        <v>#N/A</v>
      </c>
      <c r="DA379" s="259" t="str">
        <f t="shared" ca="1" si="804"/>
        <v/>
      </c>
      <c r="DB379" s="259" t="str">
        <f t="shared" ca="1" si="800"/>
        <v/>
      </c>
      <c r="DC379" s="259" t="str">
        <f t="shared" ca="1" si="801"/>
        <v/>
      </c>
      <c r="DD379" s="259" t="str">
        <f t="shared" ca="1" si="802"/>
        <v/>
      </c>
      <c r="DE379" s="259" t="str">
        <f t="shared" ca="1" si="803"/>
        <v/>
      </c>
      <c r="DF379" s="259">
        <f ca="1">IF(AND(CX379=$DE$2,$DF$2&lt;&gt;0),0,IF(AND(DB379&lt;&gt;"",OR(DB378&lt;&gt;"",DB380&lt;&gt;"")),MAX($DF$2:DF378)+1,0))</f>
        <v>0</v>
      </c>
      <c r="DG379" s="259" t="str">
        <f>IF(IF(LIBRO_GIORNALE!E287="","",IFERROR(INDEX(PIANO_DEI_CONTI,MATCH(BB379,DENOMINAZIONE,0),1),0))=0,"",IF(LIBRO_GIORNALE!E287="","",IFERROR(INDEX(PIANO_DEI_CONTI,MATCH(BB379,DENOMINAZIONE,0),1),0)))</f>
        <v/>
      </c>
      <c r="EC379" s="259">
        <f>IF(IF(DG379&lt;&gt;"",REPLACE(DG379,3,1,""),0)&lt;&gt;0,MAX(EC$2:EC378)+1,0)</f>
        <v>0</v>
      </c>
      <c r="ED379" s="259">
        <f t="shared" ca="1" si="734"/>
        <v>0</v>
      </c>
      <c r="EL379" s="259">
        <f t="shared" si="742"/>
        <v>377</v>
      </c>
      <c r="EM379" s="259">
        <f ca="1">IF(AND(BA379&gt;0,BA379&lt;=$EM$1),MAX($EM$2:EM378)+1,0)</f>
        <v>0</v>
      </c>
      <c r="EN379" s="259">
        <f t="shared" ca="1" si="743"/>
        <v>379</v>
      </c>
      <c r="EP379" s="259" t="str">
        <f t="shared" ca="1" si="735"/>
        <v/>
      </c>
      <c r="EW379" s="259">
        <f t="shared" ca="1" si="786"/>
        <v>1</v>
      </c>
      <c r="EX379" s="259">
        <v>277</v>
      </c>
      <c r="EY379" s="259">
        <f t="shared" ca="1" si="787"/>
        <v>0</v>
      </c>
      <c r="EZ379" s="259">
        <f t="shared" ca="1" si="788"/>
        <v>0</v>
      </c>
      <c r="FA379" s="259">
        <f t="shared" ca="1" si="789"/>
        <v>0</v>
      </c>
      <c r="FB379" s="259">
        <f t="shared" ca="1" si="790"/>
        <v>0</v>
      </c>
      <c r="FC379" s="259">
        <f t="shared" ca="1" si="791"/>
        <v>0</v>
      </c>
      <c r="FD379" s="259">
        <f t="shared" ca="1" si="737"/>
        <v>0</v>
      </c>
      <c r="FE379" s="259" t="str">
        <f t="shared" ca="1" si="738"/>
        <v/>
      </c>
      <c r="FF379" s="259" t="str">
        <f t="shared" ca="1" si="792"/>
        <v/>
      </c>
      <c r="FM379" s="259">
        <f t="shared" si="739"/>
        <v>0</v>
      </c>
      <c r="FN379" s="259">
        <f>IF(FM379&lt;0,MAX($FN$2:FN378)+1,0)</f>
        <v>0</v>
      </c>
      <c r="FO379" s="259" t="str">
        <f t="shared" si="745"/>
        <v/>
      </c>
      <c r="FP379" s="259" t="str">
        <f ca="1">IFERROR(INDEX($FN$3:$FO$400,MATCH(ROWS($FP$3:FP379),$FN$3:$FN$400,0),2),"")</f>
        <v/>
      </c>
      <c r="FQ379" s="259" t="str">
        <f>IF(AE379="SE AVERE",MAX($FQ$2:FQ378)+1,"")</f>
        <v/>
      </c>
      <c r="FR379" s="259" t="str">
        <f>IF(AE379="SE DARE",MAX($FR$2:FR378)+1,"")</f>
        <v/>
      </c>
      <c r="FS379" s="259" t="str">
        <f ca="1">IF(AND(AE379="SP DARE",AA379&lt;&gt;$FS$1,AA379&lt;&gt;$FT$1),MAX($FS$2:FS378)+1,IF(AND(GQ379="SP DARE",AA379&lt;&gt;$FS$1,AA379&lt;&gt;$FT$1),MAX($FS$2:FS378)+1,""))</f>
        <v/>
      </c>
      <c r="FT379" s="259" t="str">
        <f ca="1">IF(AND(AE379="SP AVERE",AA379&lt;&gt;$FU$1),MAX($FT$2:FT378)+1,IF(AND(GQ379="SP AVERE",AA379&lt;&gt;$FU$1),MAX($FT$2:FT378)+1,""))</f>
        <v/>
      </c>
      <c r="FU379" s="259">
        <f t="shared" ca="1" si="746"/>
        <v>0</v>
      </c>
      <c r="FV379" s="259">
        <f t="shared" si="747"/>
        <v>0</v>
      </c>
      <c r="FW379" s="259">
        <f ca="1">IFERROR(INDEX($FU$3:$FV$500,MATCH(ROWS($FW$3:FW379),$FU$3:$FU$500,0),2),0)</f>
        <v>0</v>
      </c>
      <c r="FX379" s="259">
        <f t="shared" ca="1" si="748"/>
        <v>0</v>
      </c>
      <c r="FY379" s="259">
        <f t="shared" ca="1" si="749"/>
        <v>0</v>
      </c>
      <c r="FZ379" s="259">
        <f ca="1">IF(FY379&gt;0,MAX($FZ$2:FZ378)+1,0)</f>
        <v>0</v>
      </c>
      <c r="GA379" s="259">
        <f ca="1">IFERROR(INDEX($FY$3:$FZ$500,MATCH(ROWS($GA$3:GA379),$FZ$3:$FZ$500,0),1),0)</f>
        <v>0</v>
      </c>
      <c r="GC379" s="259">
        <f t="shared" ca="1" si="750"/>
        <v>0</v>
      </c>
      <c r="GD379" s="259">
        <f t="shared" ca="1" si="751"/>
        <v>0</v>
      </c>
      <c r="GG379" s="259">
        <f t="shared" ca="1" si="752"/>
        <v>0</v>
      </c>
      <c r="GH379" s="259">
        <f t="shared" ca="1" si="753"/>
        <v>0</v>
      </c>
      <c r="GI379" s="259">
        <f t="shared" ca="1" si="754"/>
        <v>0</v>
      </c>
      <c r="GJ379" s="259">
        <f t="shared" ca="1" si="755"/>
        <v>0</v>
      </c>
      <c r="GK379" s="259">
        <f t="shared" ca="1" si="756"/>
        <v>0</v>
      </c>
      <c r="GL379" s="259">
        <f t="shared" ca="1" si="756"/>
        <v>0</v>
      </c>
      <c r="GM379" s="259">
        <f ca="1">IF(OR(GK379&gt;0,GL379&gt;0),MAX($GM$2:GM378)+1,0)</f>
        <v>0</v>
      </c>
      <c r="GN379" s="259" t="str">
        <f ca="1">IFERROR(INDEX($GD$3:$GM$400,MATCH(ROWS($GN$3:GN379),$GM$3:$GM$400,0),1),"")</f>
        <v/>
      </c>
      <c r="GO379" s="259" t="str">
        <f ca="1">IFERROR(INDEX($GD$3:$GM$400,MATCH(ROWS($GO$3:GO379),$GM$3:$GM$400,0),8),"")</f>
        <v/>
      </c>
      <c r="GP379" s="259" t="str">
        <f ca="1">IFERROR(INDEX($GD$3:$GM$400,MATCH(ROWS($GP$3:GP379),$GM$3:$GM$400,0),9),"")</f>
        <v/>
      </c>
      <c r="GQ379" s="259">
        <f t="shared" ca="1" si="740"/>
        <v>0</v>
      </c>
      <c r="GR379" s="259">
        <f t="shared" ca="1" si="757"/>
        <v>0</v>
      </c>
      <c r="GS379" s="259" t="str">
        <f t="shared" ca="1" si="758"/>
        <v/>
      </c>
      <c r="GT379" s="259" t="str">
        <f ca="1">IFERROR(INDEX($GD$3:$GS$400,MATCH(ROWS($GT$3:GT379),$GM$3:$GM$400,0),16),"")</f>
        <v/>
      </c>
      <c r="GU379" s="259">
        <f ca="1">IF(GQ379&lt;&gt;0,MAX($GU$2:$GU378)+1,0)</f>
        <v>0</v>
      </c>
      <c r="GV379" s="259">
        <f t="shared" ca="1" si="759"/>
        <v>0</v>
      </c>
      <c r="GW379" s="259" t="str">
        <f ca="1">IF(AND(IFERROR(INDEX($GU$3:$GV$400,MATCH(ROWS($GW$3:GW379),$GU$3:$GU$400,0),2),"")&lt;&gt;"",GW380&lt;&gt;""),CONCATENATE(IFERROR(INDEX($GU$3:$GV$400,MATCH(ROWS($GW$3:GW379),$GU$3:$GU$400,0),2),"")," - "),IFERROR(INDEX($GU$3:$GV$400,MATCH(ROWS($GW$3:GW379),$GU$3:$GU$400,0),2),""))</f>
        <v/>
      </c>
      <c r="GX379" s="259">
        <f ca="1">IF(OR(GN379="IVA NS/CREDITO",GN379="IVA NS/DEBITO",GN379="IVA C/ACCONTO",GN379="IMPOSTE C/ACCONTO"),MAX($GX$2:GX378)+1,0)</f>
        <v>0</v>
      </c>
      <c r="GY379" s="259" t="str">
        <f ca="1">IF(AND(IFERROR(INDEX($GN$3:$GX$200,MATCH(ROWS($GY$3:GY379),$GX$3:$GX$200,0),1),"")&lt;&gt;"",GY380&lt;&gt;""),CONCATENATE(IFERROR(INDEX($GN$3:$GX$200,MATCH(ROWS($GY$3:GY379),$GX$3:$GX$200,0),1),"")," - "),IFERROR(INDEX($GN$3:$GX$200,MATCH(ROWS($GY$3:GY379),$GX$3:$GX$200,0),1),""))</f>
        <v/>
      </c>
      <c r="JA379" s="259" t="str">
        <f t="shared" ca="1" si="760"/>
        <v/>
      </c>
      <c r="JB379" s="259">
        <f t="shared" ca="1" si="741"/>
        <v>0</v>
      </c>
      <c r="JC379" s="259">
        <f t="shared" ca="1" si="793"/>
        <v>0</v>
      </c>
      <c r="JD379" s="259">
        <f t="shared" ca="1" si="794"/>
        <v>0</v>
      </c>
      <c r="JM379" s="259">
        <f t="shared" ca="1" si="795"/>
        <v>0</v>
      </c>
    </row>
    <row r="380" spans="52:273">
      <c r="AZ380" s="259" t="str">
        <f t="shared" ca="1" si="770"/>
        <v/>
      </c>
      <c r="BA380" s="259">
        <f t="shared" ca="1" si="785"/>
        <v>0</v>
      </c>
      <c r="BB380" s="259">
        <f t="shared" ca="1" si="771"/>
        <v>0</v>
      </c>
      <c r="BC380" s="259">
        <f t="shared" ca="1" si="772"/>
        <v>0</v>
      </c>
      <c r="BD380" s="259">
        <f t="shared" ca="1" si="773"/>
        <v>0</v>
      </c>
      <c r="BE380" s="259">
        <f t="shared" ca="1" si="774"/>
        <v>0</v>
      </c>
      <c r="BQ380" s="259" t="str">
        <f ca="1">IFERROR(INDEX($BN$3:$BO$200,MATCH(ROWS(BQ$3:BQ380),$BP$3:$BP$220,0),1),"")</f>
        <v/>
      </c>
      <c r="CX380" s="259" t="str">
        <f>IFERROR(IF(CX362+1=1,"",(CX362+1)),"")</f>
        <v/>
      </c>
      <c r="CY380" s="259" t="str">
        <f t="shared" ca="1" si="805"/>
        <v>MASTRO</v>
      </c>
      <c r="DB380" s="259" t="str">
        <f t="shared" ref="DB380" ca="1" si="806">CY380</f>
        <v>MASTRO</v>
      </c>
      <c r="DF380" s="259">
        <f ca="1">IF(AND(CX380=$DE$2,$DF$2&lt;&gt;0),0,IF(AND(DB380&lt;&gt;"",OR(DB379&lt;&gt;"",DB381&lt;&gt;"")),MAX($DF$2:DF379)+1,0))</f>
        <v>0</v>
      </c>
      <c r="DG380" s="259" t="str">
        <f>IF(IF(LIBRO_GIORNALE!E288="","",IFERROR(INDEX(PIANO_DEI_CONTI,MATCH(BB380,DENOMINAZIONE,0),1),0))=0,"",IF(LIBRO_GIORNALE!E288="","",IFERROR(INDEX(PIANO_DEI_CONTI,MATCH(BB380,DENOMINAZIONE,0),1),0)))</f>
        <v/>
      </c>
      <c r="EC380" s="259">
        <f>IF(IF(DG380&lt;&gt;"",REPLACE(DG380,3,1,""),0)&lt;&gt;0,MAX(EC$2:EC379)+1,0)</f>
        <v>0</v>
      </c>
      <c r="ED380" s="259">
        <f t="shared" ca="1" si="734"/>
        <v>0</v>
      </c>
      <c r="EL380" s="259">
        <f t="shared" si="742"/>
        <v>378</v>
      </c>
      <c r="EM380" s="259">
        <f ca="1">IF(AND(BA380&gt;0,BA380&lt;=$EM$1),MAX($EM$2:EM379)+1,0)</f>
        <v>0</v>
      </c>
      <c r="EN380" s="259">
        <f t="shared" ca="1" si="743"/>
        <v>380</v>
      </c>
      <c r="EP380" s="259" t="str">
        <f t="shared" ca="1" si="735"/>
        <v/>
      </c>
      <c r="EW380" s="259">
        <f t="shared" ca="1" si="786"/>
        <v>1</v>
      </c>
      <c r="EX380" s="259">
        <v>278</v>
      </c>
      <c r="EY380" s="259">
        <f t="shared" ca="1" si="787"/>
        <v>0</v>
      </c>
      <c r="EZ380" s="259">
        <f t="shared" ca="1" si="788"/>
        <v>0</v>
      </c>
      <c r="FA380" s="259">
        <f t="shared" ca="1" si="789"/>
        <v>0</v>
      </c>
      <c r="FB380" s="259">
        <f t="shared" ca="1" si="790"/>
        <v>0</v>
      </c>
      <c r="FC380" s="259">
        <f t="shared" ca="1" si="791"/>
        <v>0</v>
      </c>
      <c r="FD380" s="259">
        <f t="shared" ca="1" si="737"/>
        <v>0</v>
      </c>
      <c r="FE380" s="259" t="str">
        <f t="shared" ca="1" si="738"/>
        <v/>
      </c>
      <c r="FF380" s="259" t="str">
        <f t="shared" ca="1" si="792"/>
        <v/>
      </c>
      <c r="FM380" s="259">
        <f t="shared" si="739"/>
        <v>0</v>
      </c>
      <c r="FN380" s="259">
        <f>IF(FM380&lt;0,MAX($FN$2:FN379)+1,0)</f>
        <v>0</v>
      </c>
      <c r="FO380" s="259" t="str">
        <f t="shared" si="745"/>
        <v/>
      </c>
      <c r="FP380" s="259" t="str">
        <f ca="1">IFERROR(INDEX($FN$3:$FO$400,MATCH(ROWS($FP$3:FP380),$FN$3:$FN$400,0),2),"")</f>
        <v/>
      </c>
      <c r="FQ380" s="259" t="str">
        <f>IF(AE380="SE AVERE",MAX($FQ$2:FQ379)+1,"")</f>
        <v/>
      </c>
      <c r="FR380" s="259" t="str">
        <f>IF(AE380="SE DARE",MAX($FR$2:FR379)+1,"")</f>
        <v/>
      </c>
      <c r="FS380" s="259" t="str">
        <f ca="1">IF(AND(AE380="SP DARE",AA380&lt;&gt;$FS$1,AA380&lt;&gt;$FT$1),MAX($FS$2:FS379)+1,IF(AND(GQ380="SP DARE",AA380&lt;&gt;$FS$1,AA380&lt;&gt;$FT$1),MAX($FS$2:FS379)+1,""))</f>
        <v/>
      </c>
      <c r="FT380" s="259" t="str">
        <f ca="1">IF(AND(AE380="SP AVERE",AA380&lt;&gt;$FU$1),MAX($FT$2:FT379)+1,IF(AND(GQ380="SP AVERE",AA380&lt;&gt;$FU$1),MAX($FT$2:FT379)+1,""))</f>
        <v/>
      </c>
      <c r="FU380" s="259">
        <f t="shared" ca="1" si="746"/>
        <v>0</v>
      </c>
      <c r="FV380" s="259">
        <f t="shared" si="747"/>
        <v>0</v>
      </c>
      <c r="FW380" s="259">
        <f ca="1">IFERROR(INDEX($FU$3:$FV$500,MATCH(ROWS($FW$3:FW380),$FU$3:$FU$500,0),2),0)</f>
        <v>0</v>
      </c>
      <c r="FX380" s="259">
        <f t="shared" ca="1" si="748"/>
        <v>0</v>
      </c>
      <c r="FY380" s="259">
        <f t="shared" ca="1" si="749"/>
        <v>0</v>
      </c>
      <c r="FZ380" s="259">
        <f ca="1">IF(FY380&gt;0,MAX($FZ$2:FZ379)+1,0)</f>
        <v>0</v>
      </c>
      <c r="GA380" s="259">
        <f ca="1">IFERROR(INDEX($FY$3:$FZ$500,MATCH(ROWS($GA$3:GA380),$FZ$3:$FZ$500,0),1),0)</f>
        <v>0</v>
      </c>
      <c r="GC380" s="259">
        <f t="shared" ca="1" si="750"/>
        <v>0</v>
      </c>
      <c r="GD380" s="259">
        <f t="shared" ca="1" si="751"/>
        <v>0</v>
      </c>
      <c r="GG380" s="259">
        <f t="shared" ca="1" si="752"/>
        <v>0</v>
      </c>
      <c r="GH380" s="259">
        <f t="shared" ca="1" si="753"/>
        <v>0</v>
      </c>
      <c r="GI380" s="259">
        <f t="shared" ca="1" si="754"/>
        <v>0</v>
      </c>
      <c r="GJ380" s="259">
        <f t="shared" ca="1" si="755"/>
        <v>0</v>
      </c>
      <c r="GK380" s="259">
        <f t="shared" ca="1" si="756"/>
        <v>0</v>
      </c>
      <c r="GL380" s="259">
        <f t="shared" ca="1" si="756"/>
        <v>0</v>
      </c>
      <c r="GM380" s="259">
        <f ca="1">IF(OR(GK380&gt;0,GL380&gt;0),MAX($GM$2:GM379)+1,0)</f>
        <v>0</v>
      </c>
      <c r="GN380" s="259" t="str">
        <f ca="1">IFERROR(INDEX($GD$3:$GM$400,MATCH(ROWS($GN$3:GN380),$GM$3:$GM$400,0),1),"")</f>
        <v/>
      </c>
      <c r="GO380" s="259" t="str">
        <f ca="1">IFERROR(INDEX($GD$3:$GM$400,MATCH(ROWS($GO$3:GO380),$GM$3:$GM$400,0),8),"")</f>
        <v/>
      </c>
      <c r="GP380" s="259" t="str">
        <f ca="1">IFERROR(INDEX($GD$3:$GM$400,MATCH(ROWS($GP$3:GP380),$GM$3:$GM$400,0),9),"")</f>
        <v/>
      </c>
      <c r="GQ380" s="259">
        <f t="shared" ca="1" si="740"/>
        <v>0</v>
      </c>
      <c r="GR380" s="259">
        <f t="shared" ca="1" si="757"/>
        <v>0</v>
      </c>
      <c r="GS380" s="259" t="str">
        <f t="shared" ca="1" si="758"/>
        <v/>
      </c>
      <c r="GT380" s="259" t="str">
        <f ca="1">IFERROR(INDEX($GD$3:$GS$400,MATCH(ROWS($GT$3:GT380),$GM$3:$GM$400,0),16),"")</f>
        <v/>
      </c>
      <c r="GU380" s="259">
        <f ca="1">IF(GQ380&lt;&gt;0,MAX($GU$2:$GU379)+1,0)</f>
        <v>0</v>
      </c>
      <c r="GV380" s="259">
        <f t="shared" ca="1" si="759"/>
        <v>0</v>
      </c>
      <c r="GW380" s="259" t="str">
        <f ca="1">IF(AND(IFERROR(INDEX($GU$3:$GV$400,MATCH(ROWS($GW$3:GW380),$GU$3:$GU$400,0),2),"")&lt;&gt;"",GW381&lt;&gt;""),CONCATENATE(IFERROR(INDEX($GU$3:$GV$400,MATCH(ROWS($GW$3:GW380),$GU$3:$GU$400,0),2),"")," - "),IFERROR(INDEX($GU$3:$GV$400,MATCH(ROWS($GW$3:GW380),$GU$3:$GU$400,0),2),""))</f>
        <v/>
      </c>
      <c r="GX380" s="259">
        <f ca="1">IF(OR(GN380="IVA NS/CREDITO",GN380="IVA NS/DEBITO",GN380="IVA C/ACCONTO",GN380="IMPOSTE C/ACCONTO"),MAX($GX$2:GX379)+1,0)</f>
        <v>0</v>
      </c>
      <c r="GY380" s="259" t="str">
        <f ca="1">IF(AND(IFERROR(INDEX($GN$3:$GX$200,MATCH(ROWS($GY$3:GY380),$GX$3:$GX$200,0),1),"")&lt;&gt;"",GY381&lt;&gt;""),CONCATENATE(IFERROR(INDEX($GN$3:$GX$200,MATCH(ROWS($GY$3:GY380),$GX$3:$GX$200,0),1),"")," - "),IFERROR(INDEX($GN$3:$GX$200,MATCH(ROWS($GY$3:GY380),$GX$3:$GX$200,0),1),""))</f>
        <v/>
      </c>
      <c r="JA380" s="259" t="str">
        <f t="shared" ca="1" si="760"/>
        <v/>
      </c>
      <c r="JB380" s="259">
        <f t="shared" ca="1" si="741"/>
        <v>0</v>
      </c>
      <c r="JC380" s="259">
        <f t="shared" ca="1" si="793"/>
        <v>0</v>
      </c>
      <c r="JD380" s="259">
        <f t="shared" ca="1" si="794"/>
        <v>0</v>
      </c>
      <c r="JM380" s="259">
        <f t="shared" ca="1" si="795"/>
        <v>0</v>
      </c>
    </row>
    <row r="381" spans="52:273">
      <c r="AZ381" s="259" t="str">
        <f t="shared" ca="1" si="770"/>
        <v/>
      </c>
      <c r="BA381" s="259">
        <f t="shared" ca="1" si="785"/>
        <v>0</v>
      </c>
      <c r="BB381" s="259">
        <f t="shared" ca="1" si="771"/>
        <v>0</v>
      </c>
      <c r="BC381" s="259">
        <f t="shared" ca="1" si="772"/>
        <v>0</v>
      </c>
      <c r="BD381" s="259">
        <f t="shared" ca="1" si="773"/>
        <v>0</v>
      </c>
      <c r="BE381" s="259">
        <f t="shared" ca="1" si="774"/>
        <v>0</v>
      </c>
      <c r="BQ381" s="259" t="str">
        <f ca="1">IFERROR(INDEX($BN$3:$BO$200,MATCH(ROWS(BQ$3:BQ381),$BP$3:$BP$220,0),1),"")</f>
        <v/>
      </c>
      <c r="CX381" s="259">
        <f ca="1">$EA$24</f>
        <v>22</v>
      </c>
      <c r="CY381" s="259" t="str">
        <f t="shared" ca="1" si="805"/>
        <v>MASTRO</v>
      </c>
      <c r="DA381" s="259" t="str">
        <f ca="1">IF(CY380="MASTRO","Conto n.","")</f>
        <v>Conto n.</v>
      </c>
      <c r="DB381" s="259" t="str">
        <f ca="1">IF(CY381=0,"",INDEX(PIANO_DEI_CONTI,MATCH(DC381,DENOMINAZIONE,0),1))</f>
        <v/>
      </c>
      <c r="DC381" s="259" t="str">
        <f ca="1">IF(OR(CY381=0,CY381="mastro"),"",CY381)</f>
        <v/>
      </c>
      <c r="DD381" s="259" t="str">
        <f ca="1">IF(AND($DA$2=TRUE,OR(INDEX(PIANO_DEI_CONTI,MATCH($DC381,DENOMINAZIONE,0),4)="A",INDEX(PIANO_DEI_CONTI,MATCH($DC381,DENOMINAZIONE,0),4)="D/A"),SUMIFS(AVERE,DENOMINAZIONE_GIORNALE,"="&amp;$DC381)&gt;SUMIFS(DARE,DENOMINAZIONE_GIORNALE,"="&amp;$DC381)),CONCATENATE("s ",FIXED(ABS(SUMIFS(AVERE,DENOMINAZIONE_GIORNALE,"="&amp;$DC381)-SUMIFS(DARE,DENOMINAZIONE_GIORNALE,"="&amp;$DC381)),2)),"")</f>
        <v/>
      </c>
      <c r="DE381" s="259" t="str">
        <f ca="1">IF(AND($DA$2=TRUE,OR(INDEX(PIANO_DEI_CONTI,MATCH($DC381,DENOMINAZIONE,0),4)="D",INDEX(PIANO_DEI_CONTI,MATCH($DC381,DENOMINAZIONE,0),4)="D/A"),SUMIFS(DARE,DENOMINAZIONE_GIORNALE,"="&amp;$DC381)&gt;SUMIFS(AVERE,DENOMINAZIONE_GIORNALE,"="&amp;$DC381)),CONCATENATE("s ",FIXED(ABS(SUMIFS(DARE,DENOMINAZIONE_GIORNALE,"="&amp;$DC381)-SUMIFS(AVERE,DENOMINAZIONE_GIORNALE,"="&amp;$DC381)),2)),"")</f>
        <v/>
      </c>
      <c r="DF381" s="259">
        <f ca="1">IF(AND(CX381=$DE$2,$DF$2&lt;&gt;0),0,IF(AND(DB381&lt;&gt;"",OR(DB380&lt;&gt;"",DB382&lt;&gt;"")),MAX($DF$2:DF380)+1,0))</f>
        <v>0</v>
      </c>
      <c r="DG381" s="259" t="str">
        <f>IF(IF(LIBRO_GIORNALE!E289="","",IFERROR(INDEX(PIANO_DEI_CONTI,MATCH(BB381,DENOMINAZIONE,0),1),0))=0,"",IF(LIBRO_GIORNALE!E289="","",IFERROR(INDEX(PIANO_DEI_CONTI,MATCH(BB381,DENOMINAZIONE,0),1),0)))</f>
        <v/>
      </c>
      <c r="EC381" s="259">
        <f>IF(IF(DG381&lt;&gt;"",REPLACE(DG381,3,1,""),0)&lt;&gt;0,MAX(EC$2:EC380)+1,0)</f>
        <v>0</v>
      </c>
      <c r="ED381" s="259">
        <f t="shared" ca="1" si="734"/>
        <v>0</v>
      </c>
      <c r="EL381" s="259">
        <f t="shared" si="742"/>
        <v>379</v>
      </c>
      <c r="EM381" s="259">
        <f ca="1">IF(AND(BA381&gt;0,BA381&lt;=$EM$1),MAX($EM$2:EM380)+1,0)</f>
        <v>0</v>
      </c>
      <c r="EN381" s="259">
        <f t="shared" ca="1" si="743"/>
        <v>381</v>
      </c>
      <c r="EP381" s="259" t="str">
        <f t="shared" ca="1" si="735"/>
        <v/>
      </c>
      <c r="EW381" s="259">
        <f t="shared" ca="1" si="786"/>
        <v>1</v>
      </c>
      <c r="EX381" s="259">
        <v>279</v>
      </c>
      <c r="EY381" s="259">
        <f t="shared" ca="1" si="787"/>
        <v>0</v>
      </c>
      <c r="EZ381" s="259">
        <f t="shared" ca="1" si="788"/>
        <v>0</v>
      </c>
      <c r="FA381" s="259">
        <f t="shared" ca="1" si="789"/>
        <v>0</v>
      </c>
      <c r="FB381" s="259">
        <f t="shared" ca="1" si="790"/>
        <v>0</v>
      </c>
      <c r="FC381" s="259">
        <f t="shared" ca="1" si="791"/>
        <v>0</v>
      </c>
      <c r="FD381" s="259">
        <f t="shared" ca="1" si="737"/>
        <v>0</v>
      </c>
      <c r="FE381" s="259" t="str">
        <f t="shared" ca="1" si="738"/>
        <v/>
      </c>
      <c r="FF381" s="259" t="str">
        <f t="shared" ca="1" si="792"/>
        <v/>
      </c>
      <c r="FM381" s="259">
        <f t="shared" si="739"/>
        <v>0</v>
      </c>
      <c r="FN381" s="259">
        <f>IF(FM381&lt;0,MAX($FN$2:FN380)+1,0)</f>
        <v>0</v>
      </c>
      <c r="FO381" s="259" t="str">
        <f t="shared" si="745"/>
        <v/>
      </c>
      <c r="FP381" s="259" t="str">
        <f ca="1">IFERROR(INDEX($FN$3:$FO$400,MATCH(ROWS($FP$3:FP381),$FN$3:$FN$400,0),2),"")</f>
        <v/>
      </c>
      <c r="FQ381" s="259" t="str">
        <f>IF(AE381="SE AVERE",MAX($FQ$2:FQ380)+1,"")</f>
        <v/>
      </c>
      <c r="FR381" s="259" t="str">
        <f>IF(AE381="SE DARE",MAX($FR$2:FR380)+1,"")</f>
        <v/>
      </c>
      <c r="FS381" s="259" t="str">
        <f ca="1">IF(AND(AE381="SP DARE",AA381&lt;&gt;$FS$1,AA381&lt;&gt;$FT$1),MAX($FS$2:FS380)+1,IF(AND(GQ381="SP DARE",AA381&lt;&gt;$FS$1,AA381&lt;&gt;$FT$1),MAX($FS$2:FS380)+1,""))</f>
        <v/>
      </c>
      <c r="FT381" s="259" t="str">
        <f ca="1">IF(AND(AE381="SP AVERE",AA381&lt;&gt;$FU$1),MAX($FT$2:FT380)+1,IF(AND(GQ381="SP AVERE",AA381&lt;&gt;$FU$1),MAX($FT$2:FT380)+1,""))</f>
        <v/>
      </c>
      <c r="FU381" s="259">
        <f t="shared" ca="1" si="746"/>
        <v>0</v>
      </c>
      <c r="FV381" s="259">
        <f t="shared" si="747"/>
        <v>0</v>
      </c>
      <c r="FW381" s="259">
        <f ca="1">IFERROR(INDEX($FU$3:$FV$500,MATCH(ROWS($FW$3:FW381),$FU$3:$FU$500,0),2),0)</f>
        <v>0</v>
      </c>
      <c r="FX381" s="259">
        <f t="shared" ca="1" si="748"/>
        <v>0</v>
      </c>
      <c r="FY381" s="259">
        <f t="shared" ca="1" si="749"/>
        <v>0</v>
      </c>
      <c r="FZ381" s="259">
        <f ca="1">IF(FY381&gt;0,MAX($FZ$2:FZ380)+1,0)</f>
        <v>0</v>
      </c>
      <c r="GA381" s="259">
        <f ca="1">IFERROR(INDEX($FY$3:$FZ$500,MATCH(ROWS($GA$3:GA381),$FZ$3:$FZ$500,0),1),0)</f>
        <v>0</v>
      </c>
      <c r="GC381" s="259">
        <f t="shared" ca="1" si="750"/>
        <v>0</v>
      </c>
      <c r="GD381" s="259">
        <f t="shared" ca="1" si="751"/>
        <v>0</v>
      </c>
      <c r="GG381" s="259">
        <f t="shared" ca="1" si="752"/>
        <v>0</v>
      </c>
      <c r="GH381" s="259">
        <f t="shared" ca="1" si="753"/>
        <v>0</v>
      </c>
      <c r="GI381" s="259">
        <f t="shared" ca="1" si="754"/>
        <v>0</v>
      </c>
      <c r="GJ381" s="259">
        <f t="shared" ca="1" si="755"/>
        <v>0</v>
      </c>
      <c r="GK381" s="259">
        <f t="shared" ca="1" si="756"/>
        <v>0</v>
      </c>
      <c r="GL381" s="259">
        <f t="shared" ca="1" si="756"/>
        <v>0</v>
      </c>
      <c r="GM381" s="259">
        <f ca="1">IF(OR(GK381&gt;0,GL381&gt;0),MAX($GM$2:GM380)+1,0)</f>
        <v>0</v>
      </c>
      <c r="GN381" s="259" t="str">
        <f ca="1">IFERROR(INDEX($GD$3:$GM$400,MATCH(ROWS($GN$3:GN381),$GM$3:$GM$400,0),1),"")</f>
        <v/>
      </c>
      <c r="GO381" s="259" t="str">
        <f ca="1">IFERROR(INDEX($GD$3:$GM$400,MATCH(ROWS($GO$3:GO381),$GM$3:$GM$400,0),8),"")</f>
        <v/>
      </c>
      <c r="GP381" s="259" t="str">
        <f ca="1">IFERROR(INDEX($GD$3:$GM$400,MATCH(ROWS($GP$3:GP381),$GM$3:$GM$400,0),9),"")</f>
        <v/>
      </c>
      <c r="GQ381" s="259">
        <f t="shared" ca="1" si="740"/>
        <v>0</v>
      </c>
      <c r="GR381" s="259">
        <f t="shared" ca="1" si="757"/>
        <v>0</v>
      </c>
      <c r="GS381" s="259" t="str">
        <f t="shared" ca="1" si="758"/>
        <v/>
      </c>
      <c r="GT381" s="259" t="str">
        <f ca="1">IFERROR(INDEX($GD$3:$GS$400,MATCH(ROWS($GT$3:GT381),$GM$3:$GM$400,0),16),"")</f>
        <v/>
      </c>
      <c r="GU381" s="259">
        <f ca="1">IF(GQ381&lt;&gt;0,MAX($GU$2:$GU380)+1,0)</f>
        <v>0</v>
      </c>
      <c r="GV381" s="259">
        <f t="shared" ca="1" si="759"/>
        <v>0</v>
      </c>
      <c r="GW381" s="259" t="str">
        <f ca="1">IF(AND(IFERROR(INDEX($GU$3:$GV$400,MATCH(ROWS($GW$3:GW381),$GU$3:$GU$400,0),2),"")&lt;&gt;"",GW382&lt;&gt;""),CONCATENATE(IFERROR(INDEX($GU$3:$GV$400,MATCH(ROWS($GW$3:GW381),$GU$3:$GU$400,0),2),"")," - "),IFERROR(INDEX($GU$3:$GV$400,MATCH(ROWS($GW$3:GW381),$GU$3:$GU$400,0),2),""))</f>
        <v/>
      </c>
      <c r="GX381" s="259">
        <f ca="1">IF(OR(GN381="IVA NS/CREDITO",GN381="IVA NS/DEBITO",GN381="IVA C/ACCONTO",GN381="IMPOSTE C/ACCONTO"),MAX($GX$2:GX380)+1,0)</f>
        <v>0</v>
      </c>
      <c r="GY381" s="259" t="str">
        <f ca="1">IF(AND(IFERROR(INDEX($GN$3:$GX$200,MATCH(ROWS($GY$3:GY381),$GX$3:$GX$200,0),1),"")&lt;&gt;"",GY382&lt;&gt;""),CONCATENATE(IFERROR(INDEX($GN$3:$GX$200,MATCH(ROWS($GY$3:GY381),$GX$3:$GX$200,0),1),"")," - "),IFERROR(INDEX($GN$3:$GX$200,MATCH(ROWS($GY$3:GY381),$GX$3:$GX$200,0),1),""))</f>
        <v/>
      </c>
      <c r="JA381" s="259" t="str">
        <f t="shared" ca="1" si="760"/>
        <v/>
      </c>
      <c r="JB381" s="259">
        <f t="shared" ca="1" si="741"/>
        <v>0</v>
      </c>
      <c r="JC381" s="259">
        <f t="shared" ca="1" si="793"/>
        <v>0</v>
      </c>
      <c r="JD381" s="259">
        <f t="shared" ca="1" si="794"/>
        <v>0</v>
      </c>
      <c r="JM381" s="259">
        <f t="shared" ca="1" si="795"/>
        <v>0</v>
      </c>
    </row>
    <row r="382" spans="52:273">
      <c r="AZ382" s="259" t="str">
        <f t="shared" ca="1" si="770"/>
        <v/>
      </c>
      <c r="BA382" s="259">
        <f t="shared" ca="1" si="785"/>
        <v>0</v>
      </c>
      <c r="BB382" s="259">
        <f t="shared" ca="1" si="771"/>
        <v>0</v>
      </c>
      <c r="BC382" s="259">
        <f t="shared" ca="1" si="772"/>
        <v>0</v>
      </c>
      <c r="BD382" s="259">
        <f t="shared" ca="1" si="773"/>
        <v>0</v>
      </c>
      <c r="BE382" s="259">
        <f t="shared" ca="1" si="774"/>
        <v>0</v>
      </c>
      <c r="BQ382" s="259" t="str">
        <f ca="1">IFERROR(INDEX($BN$3:$BO$200,MATCH(ROWS(BQ$3:BQ382),$BP$3:$BP$220,0),1),"")</f>
        <v/>
      </c>
      <c r="CX382" s="259">
        <f t="shared" ref="CX382:CX397" ca="1" si="807">$EA$24</f>
        <v>22</v>
      </c>
      <c r="CY382" s="259" t="str">
        <f t="shared" ca="1" si="805"/>
        <v>MASTRO</v>
      </c>
      <c r="DA382" s="259" t="str">
        <f ca="1">IF(DB381="","","Num. riga")</f>
        <v/>
      </c>
      <c r="DB382" s="259" t="str">
        <f t="shared" ref="DB382" ca="1" si="808">IF(DB381="","","Data")</f>
        <v/>
      </c>
      <c r="DC382" s="259" t="str">
        <f ca="1">IF(DB381="","","Operazioni")</f>
        <v/>
      </c>
      <c r="DD382" s="259" t="str">
        <f ca="1">IF(DB381="","","Dare        ")</f>
        <v/>
      </c>
      <c r="DE382" s="259" t="str">
        <f ca="1">IF(DB381="","","Avere        ")</f>
        <v/>
      </c>
      <c r="DF382" s="259">
        <f ca="1">IF(AND(CX382=$DE$2,$DF$2&lt;&gt;0),0,IF(AND(DB382&lt;&gt;"",OR(DB381&lt;&gt;"",DB383&lt;&gt;"")),MAX($DF$2:DF381)+1,0))</f>
        <v>0</v>
      </c>
      <c r="DG382" s="259" t="str">
        <f>IF(IF(LIBRO_GIORNALE!E290="","",IFERROR(INDEX(PIANO_DEI_CONTI,MATCH(BB382,DENOMINAZIONE,0),1),0))=0,"",IF(LIBRO_GIORNALE!E290="","",IFERROR(INDEX(PIANO_DEI_CONTI,MATCH(BB382,DENOMINAZIONE,0),1),0)))</f>
        <v/>
      </c>
      <c r="EC382" s="259">
        <f>IF(IF(DG382&lt;&gt;"",REPLACE(DG382,3,1,""),0)&lt;&gt;0,MAX(EC$2:EC381)+1,0)</f>
        <v>0</v>
      </c>
      <c r="ED382" s="259">
        <f t="shared" ca="1" si="734"/>
        <v>0</v>
      </c>
      <c r="EL382" s="259">
        <f t="shared" si="742"/>
        <v>380</v>
      </c>
      <c r="EM382" s="259">
        <f ca="1">IF(AND(BA382&gt;0,BA382&lt;=$EM$1),MAX($EM$2:EM381)+1,0)</f>
        <v>0</v>
      </c>
      <c r="EN382" s="259">
        <f t="shared" ca="1" si="743"/>
        <v>382</v>
      </c>
      <c r="EP382" s="259" t="str">
        <f t="shared" ca="1" si="735"/>
        <v/>
      </c>
      <c r="EW382" s="259">
        <f t="shared" ca="1" si="786"/>
        <v>1</v>
      </c>
      <c r="EX382" s="259">
        <v>280</v>
      </c>
      <c r="EY382" s="259">
        <f t="shared" ca="1" si="787"/>
        <v>0</v>
      </c>
      <c r="EZ382" s="259">
        <f t="shared" ca="1" si="788"/>
        <v>0</v>
      </c>
      <c r="FA382" s="259">
        <f t="shared" ca="1" si="789"/>
        <v>0</v>
      </c>
      <c r="FB382" s="259">
        <f t="shared" ca="1" si="790"/>
        <v>0</v>
      </c>
      <c r="FC382" s="259">
        <f t="shared" ca="1" si="791"/>
        <v>0</v>
      </c>
      <c r="FD382" s="259">
        <f t="shared" ca="1" si="737"/>
        <v>0</v>
      </c>
      <c r="FE382" s="259" t="str">
        <f t="shared" ca="1" si="738"/>
        <v/>
      </c>
      <c r="FF382" s="259" t="str">
        <f t="shared" ca="1" si="792"/>
        <v/>
      </c>
      <c r="FM382" s="259">
        <f t="shared" si="739"/>
        <v>0</v>
      </c>
      <c r="FN382" s="259">
        <f>IF(FM382&lt;0,MAX($FN$2:FN381)+1,0)</f>
        <v>0</v>
      </c>
      <c r="FO382" s="259" t="str">
        <f t="shared" si="745"/>
        <v/>
      </c>
      <c r="FP382" s="259" t="str">
        <f ca="1">IFERROR(INDEX($FN$3:$FO$400,MATCH(ROWS($FP$3:FP382),$FN$3:$FN$400,0),2),"")</f>
        <v/>
      </c>
      <c r="FQ382" s="259" t="str">
        <f>IF(AE382="SE AVERE",MAX($FQ$2:FQ381)+1,"")</f>
        <v/>
      </c>
      <c r="FR382" s="259" t="str">
        <f>IF(AE382="SE DARE",MAX($FR$2:FR381)+1,"")</f>
        <v/>
      </c>
      <c r="FS382" s="259" t="str">
        <f ca="1">IF(AND(AE382="SP DARE",AA382&lt;&gt;$FS$1,AA382&lt;&gt;$FT$1),MAX($FS$2:FS381)+1,IF(AND(GQ382="SP DARE",AA382&lt;&gt;$FS$1,AA382&lt;&gt;$FT$1),MAX($FS$2:FS381)+1,""))</f>
        <v/>
      </c>
      <c r="FT382" s="259" t="str">
        <f ca="1">IF(AND(AE382="SP AVERE",AA382&lt;&gt;$FU$1),MAX($FT$2:FT381)+1,IF(AND(GQ382="SP AVERE",AA382&lt;&gt;$FU$1),MAX($FT$2:FT381)+1,""))</f>
        <v/>
      </c>
      <c r="FU382" s="259">
        <f t="shared" ca="1" si="746"/>
        <v>0</v>
      </c>
      <c r="FV382" s="259">
        <f t="shared" si="747"/>
        <v>0</v>
      </c>
      <c r="FW382" s="259">
        <f ca="1">IFERROR(INDEX($FU$3:$FV$500,MATCH(ROWS($FW$3:FW382),$FU$3:$FU$500,0),2),0)</f>
        <v>0</v>
      </c>
      <c r="FX382" s="259">
        <f t="shared" ca="1" si="748"/>
        <v>0</v>
      </c>
      <c r="FY382" s="259">
        <f t="shared" ca="1" si="749"/>
        <v>0</v>
      </c>
      <c r="FZ382" s="259">
        <f ca="1">IF(FY382&gt;0,MAX($FZ$2:FZ381)+1,0)</f>
        <v>0</v>
      </c>
      <c r="GA382" s="259">
        <f ca="1">IFERROR(INDEX($FY$3:$FZ$500,MATCH(ROWS($GA$3:GA382),$FZ$3:$FZ$500,0),1),0)</f>
        <v>0</v>
      </c>
      <c r="GC382" s="259">
        <f t="shared" ca="1" si="750"/>
        <v>0</v>
      </c>
      <c r="GD382" s="259">
        <f t="shared" ca="1" si="751"/>
        <v>0</v>
      </c>
      <c r="GG382" s="259">
        <f t="shared" ca="1" si="752"/>
        <v>0</v>
      </c>
      <c r="GH382" s="259">
        <f t="shared" ca="1" si="753"/>
        <v>0</v>
      </c>
      <c r="GI382" s="259">
        <f t="shared" ca="1" si="754"/>
        <v>0</v>
      </c>
      <c r="GJ382" s="259">
        <f t="shared" ca="1" si="755"/>
        <v>0</v>
      </c>
      <c r="GK382" s="259">
        <f t="shared" ca="1" si="756"/>
        <v>0</v>
      </c>
      <c r="GL382" s="259">
        <f t="shared" ca="1" si="756"/>
        <v>0</v>
      </c>
      <c r="GM382" s="259">
        <f ca="1">IF(OR(GK382&gt;0,GL382&gt;0),MAX($GM$2:GM381)+1,0)</f>
        <v>0</v>
      </c>
      <c r="GN382" s="259" t="str">
        <f ca="1">IFERROR(INDEX($GD$3:$GM$400,MATCH(ROWS($GN$3:GN382),$GM$3:$GM$400,0),1),"")</f>
        <v/>
      </c>
      <c r="GO382" s="259" t="str">
        <f ca="1">IFERROR(INDEX($GD$3:$GM$400,MATCH(ROWS($GO$3:GO382),$GM$3:$GM$400,0),8),"")</f>
        <v/>
      </c>
      <c r="GP382" s="259" t="str">
        <f ca="1">IFERROR(INDEX($GD$3:$GM$400,MATCH(ROWS($GP$3:GP382),$GM$3:$GM$400,0),9),"")</f>
        <v/>
      </c>
      <c r="GQ382" s="259">
        <f t="shared" ca="1" si="740"/>
        <v>0</v>
      </c>
      <c r="GR382" s="259">
        <f t="shared" ca="1" si="757"/>
        <v>0</v>
      </c>
      <c r="GS382" s="259" t="str">
        <f t="shared" ca="1" si="758"/>
        <v/>
      </c>
      <c r="GT382" s="259" t="str">
        <f ca="1">IFERROR(INDEX($GD$3:$GS$400,MATCH(ROWS($GT$3:GT382),$GM$3:$GM$400,0),16),"")</f>
        <v/>
      </c>
      <c r="GU382" s="259">
        <f ca="1">IF(GQ382&lt;&gt;0,MAX($GU$2:$GU381)+1,0)</f>
        <v>0</v>
      </c>
      <c r="GV382" s="259">
        <f t="shared" ca="1" si="759"/>
        <v>0</v>
      </c>
      <c r="GW382" s="259" t="str">
        <f ca="1">IF(AND(IFERROR(INDEX($GU$3:$GV$400,MATCH(ROWS($GW$3:GW382),$GU$3:$GU$400,0),2),"")&lt;&gt;"",GW383&lt;&gt;""),CONCATENATE(IFERROR(INDEX($GU$3:$GV$400,MATCH(ROWS($GW$3:GW382),$GU$3:$GU$400,0),2),"")," - "),IFERROR(INDEX($GU$3:$GV$400,MATCH(ROWS($GW$3:GW382),$GU$3:$GU$400,0),2),""))</f>
        <v/>
      </c>
      <c r="GX382" s="259">
        <f ca="1">IF(OR(GN382="IVA NS/CREDITO",GN382="IVA NS/DEBITO",GN382="IVA C/ACCONTO",GN382="IMPOSTE C/ACCONTO"),MAX($GX$2:GX381)+1,0)</f>
        <v>0</v>
      </c>
      <c r="GY382" s="259" t="str">
        <f ca="1">IF(AND(IFERROR(INDEX($GN$3:$GX$200,MATCH(ROWS($GY$3:GY382),$GX$3:$GX$200,0),1),"")&lt;&gt;"",GY383&lt;&gt;""),CONCATENATE(IFERROR(INDEX($GN$3:$GX$200,MATCH(ROWS($GY$3:GY382),$GX$3:$GX$200,0),1),"")," - "),IFERROR(INDEX($GN$3:$GX$200,MATCH(ROWS($GY$3:GY382),$GX$3:$GX$200,0),1),""))</f>
        <v/>
      </c>
      <c r="JA382" s="259" t="str">
        <f t="shared" ca="1" si="760"/>
        <v/>
      </c>
      <c r="JB382" s="259">
        <f t="shared" ca="1" si="741"/>
        <v>0</v>
      </c>
      <c r="JC382" s="259">
        <f t="shared" ca="1" si="793"/>
        <v>0</v>
      </c>
      <c r="JD382" s="259">
        <f t="shared" ca="1" si="794"/>
        <v>0</v>
      </c>
      <c r="JM382" s="259">
        <f t="shared" ca="1" si="795"/>
        <v>0</v>
      </c>
    </row>
    <row r="383" spans="52:273">
      <c r="AZ383" s="259" t="str">
        <f t="shared" ca="1" si="770"/>
        <v/>
      </c>
      <c r="BA383" s="259">
        <f t="shared" ca="1" si="785"/>
        <v>0</v>
      </c>
      <c r="BB383" s="259">
        <f t="shared" ca="1" si="771"/>
        <v>0</v>
      </c>
      <c r="BC383" s="259">
        <f t="shared" ca="1" si="772"/>
        <v>0</v>
      </c>
      <c r="BD383" s="259">
        <f t="shared" ca="1" si="773"/>
        <v>0</v>
      </c>
      <c r="BE383" s="259">
        <f t="shared" ca="1" si="774"/>
        <v>0</v>
      </c>
      <c r="BQ383" s="259" t="str">
        <f ca="1">IFERROR(INDEX($BN$3:$BO$200,MATCH(ROWS(BQ$3:BQ383),$BP$3:$BP$220,0),1),"")</f>
        <v/>
      </c>
      <c r="CX383" s="259">
        <f t="shared" ca="1" si="807"/>
        <v>22</v>
      </c>
      <c r="CY383" s="259" t="str">
        <f t="shared" ca="1" si="805"/>
        <v>MASTRO</v>
      </c>
      <c r="CZ383" s="259" t="e">
        <f t="shared" ref="CZ383:CZ397" ca="1" si="809">SUM(MATCH($CY383,INDIRECT(ADDRESS(SUM(CZ382)+3,54)&amp;":"&amp;ADDRESS(400,54)),0),CZ382)</f>
        <v>#N/A</v>
      </c>
      <c r="DA383" s="259" t="str">
        <f ca="1">IFERROR(INDEX(LIBRO_GIORNALE,CZ383,1),"")</f>
        <v/>
      </c>
      <c r="DB383" s="259" t="str">
        <f t="shared" ref="DB383:DB397" ca="1" si="810">IF(RIGHT(TEXT(IFERROR(INDEX(LIBRO_GIORNALE,CZ383,2),""),"gg/mm/aa"),1)="a",TEXT(IFERROR(INDEX(LIBRO_GIORNALE,CZ383,2),""),"dd/mm/yy"),TEXT(IFERROR(INDEX(LIBRO_GIORNALE,CZ383,2),""),"gg/mm/aa"))</f>
        <v/>
      </c>
      <c r="DC383" s="259" t="str">
        <f t="shared" ref="DC383:DC397" ca="1" si="811">IF(IFERROR(INDEX(LIBRO_GIORNALE,CZ383,4),"")=0,"manca la descrizione dell'operazione",IFERROR(INDEX(LIBRO_GIORNALE,CZ383,4),""))</f>
        <v/>
      </c>
      <c r="DD383" s="259" t="str">
        <f t="shared" ref="DD383:DD397" ca="1" si="812">IFERROR(IF(INDEX(LIBRO_GIORNALE,CZ383,5)&gt;0,INDEX(LIBRO_GIORNALE,CZ383,5),""),"")</f>
        <v/>
      </c>
      <c r="DE383" s="259" t="str">
        <f t="shared" ref="DE383:DE397" ca="1" si="813">IFERROR(IF(INDEX(LIBRO_GIORNALE,CZ383,6)&gt;0,INDEX(LIBRO_GIORNALE,CZ383,6),""),"")</f>
        <v/>
      </c>
      <c r="DF383" s="259">
        <f ca="1">IF(AND(CX383=$DE$2,$DF$2&lt;&gt;0),0,IF(AND(DB383&lt;&gt;"",OR(DB382&lt;&gt;"",DB384&lt;&gt;"")),MAX($DF$2:DF382)+1,0))</f>
        <v>0</v>
      </c>
      <c r="DG383" s="259" t="str">
        <f>IF(IF(LIBRO_GIORNALE!E291="","",IFERROR(INDEX(PIANO_DEI_CONTI,MATCH(BB383,DENOMINAZIONE,0),1),0))=0,"",IF(LIBRO_GIORNALE!E291="","",IFERROR(INDEX(PIANO_DEI_CONTI,MATCH(BB383,DENOMINAZIONE,0),1),0)))</f>
        <v/>
      </c>
      <c r="EC383" s="259">
        <f>IF(IF(DG383&lt;&gt;"",REPLACE(DG383,3,1,""),0)&lt;&gt;0,MAX(EC$2:EC382)+1,0)</f>
        <v>0</v>
      </c>
      <c r="ED383" s="259">
        <f t="shared" ca="1" si="734"/>
        <v>0</v>
      </c>
      <c r="EL383" s="259">
        <f t="shared" si="742"/>
        <v>381</v>
      </c>
      <c r="EM383" s="259">
        <f ca="1">IF(AND(BA383&gt;0,BA383&lt;=$EM$1),MAX($EM$2:EM382)+1,0)</f>
        <v>0</v>
      </c>
      <c r="EN383" s="259">
        <f t="shared" ca="1" si="743"/>
        <v>383</v>
      </c>
      <c r="EP383" s="259" t="str">
        <f t="shared" ca="1" si="735"/>
        <v/>
      </c>
      <c r="EW383" s="259">
        <f t="shared" ca="1" si="786"/>
        <v>1</v>
      </c>
      <c r="EX383" s="259">
        <v>281</v>
      </c>
      <c r="EY383" s="259">
        <f t="shared" ca="1" si="787"/>
        <v>0</v>
      </c>
      <c r="EZ383" s="259">
        <f t="shared" ca="1" si="788"/>
        <v>0</v>
      </c>
      <c r="FA383" s="259">
        <f t="shared" ca="1" si="789"/>
        <v>0</v>
      </c>
      <c r="FB383" s="259">
        <f t="shared" ca="1" si="790"/>
        <v>0</v>
      </c>
      <c r="FC383" s="259">
        <f t="shared" ca="1" si="791"/>
        <v>0</v>
      </c>
      <c r="FD383" s="259">
        <f t="shared" ca="1" si="737"/>
        <v>0</v>
      </c>
      <c r="FE383" s="259" t="str">
        <f t="shared" ca="1" si="738"/>
        <v/>
      </c>
      <c r="FF383" s="259" t="str">
        <f t="shared" ca="1" si="792"/>
        <v/>
      </c>
      <c r="FM383" s="259">
        <f t="shared" si="739"/>
        <v>0</v>
      </c>
      <c r="FN383" s="259">
        <f>IF(FM383&lt;0,MAX($FN$2:FN382)+1,0)</f>
        <v>0</v>
      </c>
      <c r="FO383" s="259" t="str">
        <f t="shared" si="745"/>
        <v/>
      </c>
      <c r="FP383" s="259" t="str">
        <f ca="1">IFERROR(INDEX($FN$3:$FO$400,MATCH(ROWS($FP$3:FP383),$FN$3:$FN$400,0),2),"")</f>
        <v/>
      </c>
      <c r="FQ383" s="259" t="str">
        <f>IF(AE383="SE AVERE",MAX($FQ$2:FQ382)+1,"")</f>
        <v/>
      </c>
      <c r="FR383" s="259" t="str">
        <f>IF(AE383="SE DARE",MAX($FR$2:FR382)+1,"")</f>
        <v/>
      </c>
      <c r="FS383" s="259" t="str">
        <f ca="1">IF(AND(AE383="SP DARE",AA383&lt;&gt;$FS$1,AA383&lt;&gt;$FT$1),MAX($FS$2:FS382)+1,IF(AND(GQ383="SP DARE",AA383&lt;&gt;$FS$1,AA383&lt;&gt;$FT$1),MAX($FS$2:FS382)+1,""))</f>
        <v/>
      </c>
      <c r="FT383" s="259" t="str">
        <f ca="1">IF(AND(AE383="SP AVERE",AA383&lt;&gt;$FU$1),MAX($FT$2:FT382)+1,IF(AND(GQ383="SP AVERE",AA383&lt;&gt;$FU$1),MAX($FT$2:FT382)+1,""))</f>
        <v/>
      </c>
      <c r="FU383" s="259">
        <f t="shared" ca="1" si="746"/>
        <v>0</v>
      </c>
      <c r="FV383" s="259">
        <f t="shared" si="747"/>
        <v>0</v>
      </c>
      <c r="FW383" s="259">
        <f ca="1">IFERROR(INDEX($FU$3:$FV$500,MATCH(ROWS($FW$3:FW383),$FU$3:$FU$500,0),2),0)</f>
        <v>0</v>
      </c>
      <c r="FX383" s="259">
        <f t="shared" ca="1" si="748"/>
        <v>0</v>
      </c>
      <c r="FY383" s="259">
        <f t="shared" ca="1" si="749"/>
        <v>0</v>
      </c>
      <c r="FZ383" s="259">
        <f ca="1">IF(FY383&gt;0,MAX($FZ$2:FZ382)+1,0)</f>
        <v>0</v>
      </c>
      <c r="GA383" s="259">
        <f ca="1">IFERROR(INDEX($FY$3:$FZ$500,MATCH(ROWS($GA$3:GA383),$FZ$3:$FZ$500,0),1),0)</f>
        <v>0</v>
      </c>
      <c r="GC383" s="259">
        <f t="shared" ca="1" si="750"/>
        <v>0</v>
      </c>
      <c r="GD383" s="259">
        <f t="shared" ca="1" si="751"/>
        <v>0</v>
      </c>
      <c r="GG383" s="259">
        <f t="shared" ca="1" si="752"/>
        <v>0</v>
      </c>
      <c r="GH383" s="259">
        <f t="shared" ca="1" si="753"/>
        <v>0</v>
      </c>
      <c r="GI383" s="259">
        <f t="shared" ca="1" si="754"/>
        <v>0</v>
      </c>
      <c r="GJ383" s="259">
        <f t="shared" ca="1" si="755"/>
        <v>0</v>
      </c>
      <c r="GK383" s="259">
        <f t="shared" ca="1" si="756"/>
        <v>0</v>
      </c>
      <c r="GL383" s="259">
        <f t="shared" ca="1" si="756"/>
        <v>0</v>
      </c>
      <c r="GM383" s="259">
        <f ca="1">IF(OR(GK383&gt;0,GL383&gt;0),MAX($GM$2:GM382)+1,0)</f>
        <v>0</v>
      </c>
      <c r="GN383" s="259" t="str">
        <f ca="1">IFERROR(INDEX($GD$3:$GM$400,MATCH(ROWS($GN$3:GN383),$GM$3:$GM$400,0),1),"")</f>
        <v/>
      </c>
      <c r="GO383" s="259" t="str">
        <f ca="1">IFERROR(INDEX($GD$3:$GM$400,MATCH(ROWS($GO$3:GO383),$GM$3:$GM$400,0),8),"")</f>
        <v/>
      </c>
      <c r="GP383" s="259" t="str">
        <f ca="1">IFERROR(INDEX($GD$3:$GM$400,MATCH(ROWS($GP$3:GP383),$GM$3:$GM$400,0),9),"")</f>
        <v/>
      </c>
      <c r="GQ383" s="259">
        <f t="shared" ca="1" si="740"/>
        <v>0</v>
      </c>
      <c r="GR383" s="259">
        <f t="shared" ca="1" si="757"/>
        <v>0</v>
      </c>
      <c r="GS383" s="259" t="str">
        <f t="shared" ca="1" si="758"/>
        <v/>
      </c>
      <c r="GT383" s="259" t="str">
        <f ca="1">IFERROR(INDEX($GD$3:$GS$400,MATCH(ROWS($GT$3:GT383),$GM$3:$GM$400,0),16),"")</f>
        <v/>
      </c>
      <c r="GU383" s="259">
        <f ca="1">IF(GQ383&lt;&gt;0,MAX($GU$2:$GU382)+1,0)</f>
        <v>0</v>
      </c>
      <c r="GV383" s="259">
        <f t="shared" ca="1" si="759"/>
        <v>0</v>
      </c>
      <c r="GW383" s="259" t="str">
        <f ca="1">IF(AND(IFERROR(INDEX($GU$3:$GV$400,MATCH(ROWS($GW$3:GW383),$GU$3:$GU$400,0),2),"")&lt;&gt;"",GW384&lt;&gt;""),CONCATENATE(IFERROR(INDEX($GU$3:$GV$400,MATCH(ROWS($GW$3:GW383),$GU$3:$GU$400,0),2),"")," - "),IFERROR(INDEX($GU$3:$GV$400,MATCH(ROWS($GW$3:GW383),$GU$3:$GU$400,0),2),""))</f>
        <v/>
      </c>
      <c r="GX383" s="259">
        <f ca="1">IF(OR(GN383="IVA NS/CREDITO",GN383="IVA NS/DEBITO",GN383="IVA C/ACCONTO",GN383="IMPOSTE C/ACCONTO"),MAX($GX$2:GX382)+1,0)</f>
        <v>0</v>
      </c>
      <c r="GY383" s="259" t="str">
        <f ca="1">IF(AND(IFERROR(INDEX($GN$3:$GX$200,MATCH(ROWS($GY$3:GY383),$GX$3:$GX$200,0),1),"")&lt;&gt;"",GY384&lt;&gt;""),CONCATENATE(IFERROR(INDEX($GN$3:$GX$200,MATCH(ROWS($GY$3:GY383),$GX$3:$GX$200,0),1),"")," - "),IFERROR(INDEX($GN$3:$GX$200,MATCH(ROWS($GY$3:GY383),$GX$3:$GX$200,0),1),""))</f>
        <v/>
      </c>
      <c r="JA383" s="259" t="str">
        <f t="shared" ca="1" si="760"/>
        <v/>
      </c>
      <c r="JB383" s="259">
        <f t="shared" ca="1" si="741"/>
        <v>0</v>
      </c>
      <c r="JC383" s="259">
        <f t="shared" ca="1" si="793"/>
        <v>0</v>
      </c>
      <c r="JD383" s="259">
        <f t="shared" ca="1" si="794"/>
        <v>0</v>
      </c>
      <c r="JM383" s="259">
        <f t="shared" ca="1" si="795"/>
        <v>0</v>
      </c>
    </row>
    <row r="384" spans="52:273">
      <c r="AZ384" s="259" t="str">
        <f t="shared" ca="1" si="770"/>
        <v/>
      </c>
      <c r="BA384" s="259">
        <f t="shared" ca="1" si="785"/>
        <v>0</v>
      </c>
      <c r="BB384" s="259">
        <f t="shared" ca="1" si="771"/>
        <v>0</v>
      </c>
      <c r="BC384" s="259">
        <f t="shared" ca="1" si="772"/>
        <v>0</v>
      </c>
      <c r="BD384" s="259">
        <f t="shared" ca="1" si="773"/>
        <v>0</v>
      </c>
      <c r="BE384" s="259">
        <f t="shared" ca="1" si="774"/>
        <v>0</v>
      </c>
      <c r="BQ384" s="259" t="str">
        <f ca="1">IFERROR(INDEX($BN$3:$BO$200,MATCH(ROWS(BQ$3:BQ384),$BP$3:$BP$220,0),1),"")</f>
        <v/>
      </c>
      <c r="CX384" s="259">
        <f t="shared" ca="1" si="807"/>
        <v>22</v>
      </c>
      <c r="CY384" s="259" t="str">
        <f t="shared" ca="1" si="805"/>
        <v>MASTRO</v>
      </c>
      <c r="CZ384" s="259" t="e">
        <f t="shared" ca="1" si="809"/>
        <v>#N/A</v>
      </c>
      <c r="DA384" s="259" t="str">
        <f t="shared" ref="DA384:DA397" ca="1" si="814">IFERROR(INDEX(LIBRO_GIORNALE,CZ384,1),"")</f>
        <v/>
      </c>
      <c r="DB384" s="259" t="str">
        <f t="shared" ca="1" si="810"/>
        <v/>
      </c>
      <c r="DC384" s="259" t="str">
        <f t="shared" ca="1" si="811"/>
        <v/>
      </c>
      <c r="DD384" s="259" t="str">
        <f t="shared" ca="1" si="812"/>
        <v/>
      </c>
      <c r="DE384" s="259" t="str">
        <f t="shared" ca="1" si="813"/>
        <v/>
      </c>
      <c r="DF384" s="259">
        <f ca="1">IF(AND(CX384=$DE$2,$DF$2&lt;&gt;0),0,IF(AND(DB384&lt;&gt;"",OR(DB383&lt;&gt;"",DB385&lt;&gt;"")),MAX($DF$2:DF383)+1,0))</f>
        <v>0</v>
      </c>
      <c r="DG384" s="259" t="str">
        <f>IF(IF(LIBRO_GIORNALE!E292="","",IFERROR(INDEX(PIANO_DEI_CONTI,MATCH(BB384,DENOMINAZIONE,0),1),0))=0,"",IF(LIBRO_GIORNALE!E292="","",IFERROR(INDEX(PIANO_DEI_CONTI,MATCH(BB384,DENOMINAZIONE,0),1),0)))</f>
        <v/>
      </c>
      <c r="EC384" s="259">
        <f>IF(IF(DG384&lt;&gt;"",REPLACE(DG384,3,1,""),0)&lt;&gt;0,MAX(EC$2:EC383)+1,0)</f>
        <v>0</v>
      </c>
      <c r="ED384" s="259">
        <f t="shared" ca="1" si="734"/>
        <v>0</v>
      </c>
      <c r="EL384" s="259">
        <f t="shared" si="742"/>
        <v>382</v>
      </c>
      <c r="EM384" s="259">
        <f ca="1">IF(AND(BA384&gt;0,BA384&lt;=$EM$1),MAX($EM$2:EM383)+1,0)</f>
        <v>0</v>
      </c>
      <c r="EN384" s="259">
        <f t="shared" ca="1" si="743"/>
        <v>384</v>
      </c>
      <c r="EP384" s="259" t="str">
        <f t="shared" ca="1" si="735"/>
        <v/>
      </c>
      <c r="EW384" s="259">
        <f t="shared" ca="1" si="786"/>
        <v>1</v>
      </c>
      <c r="EX384" s="259">
        <v>282</v>
      </c>
      <c r="EY384" s="259">
        <f t="shared" ca="1" si="787"/>
        <v>0</v>
      </c>
      <c r="EZ384" s="259">
        <f t="shared" ca="1" si="788"/>
        <v>0</v>
      </c>
      <c r="FA384" s="259">
        <f t="shared" ca="1" si="789"/>
        <v>0</v>
      </c>
      <c r="FB384" s="259">
        <f t="shared" ca="1" si="790"/>
        <v>0</v>
      </c>
      <c r="FC384" s="259">
        <f t="shared" ca="1" si="791"/>
        <v>0</v>
      </c>
      <c r="FD384" s="259">
        <f t="shared" ca="1" si="737"/>
        <v>0</v>
      </c>
      <c r="FE384" s="259" t="str">
        <f t="shared" ca="1" si="738"/>
        <v/>
      </c>
      <c r="FF384" s="259" t="str">
        <f t="shared" ca="1" si="792"/>
        <v/>
      </c>
      <c r="FM384" s="259">
        <f t="shared" si="739"/>
        <v>0</v>
      </c>
      <c r="FN384" s="259">
        <f>IF(FM384&lt;0,MAX($FN$2:FN383)+1,0)</f>
        <v>0</v>
      </c>
      <c r="FO384" s="259" t="str">
        <f t="shared" si="745"/>
        <v/>
      </c>
      <c r="FP384" s="259" t="str">
        <f ca="1">IFERROR(INDEX($FN$3:$FO$400,MATCH(ROWS($FP$3:FP384),$FN$3:$FN$400,0),2),"")</f>
        <v/>
      </c>
      <c r="FQ384" s="259" t="str">
        <f>IF(AE384="SE AVERE",MAX($FQ$2:FQ383)+1,"")</f>
        <v/>
      </c>
      <c r="FR384" s="259" t="str">
        <f>IF(AE384="SE DARE",MAX($FR$2:FR383)+1,"")</f>
        <v/>
      </c>
      <c r="FS384" s="259" t="str">
        <f ca="1">IF(AND(AE384="SP DARE",AA384&lt;&gt;$FS$1,AA384&lt;&gt;$FT$1),MAX($FS$2:FS383)+1,IF(AND(GQ384="SP DARE",AA384&lt;&gt;$FS$1,AA384&lt;&gt;$FT$1),MAX($FS$2:FS383)+1,""))</f>
        <v/>
      </c>
      <c r="FT384" s="259" t="str">
        <f ca="1">IF(AND(AE384="SP AVERE",AA384&lt;&gt;$FU$1),MAX($FT$2:FT383)+1,IF(AND(GQ384="SP AVERE",AA384&lt;&gt;$FU$1),MAX($FT$2:FT383)+1,""))</f>
        <v/>
      </c>
      <c r="FU384" s="259">
        <f t="shared" ca="1" si="746"/>
        <v>0</v>
      </c>
      <c r="FV384" s="259">
        <f t="shared" si="747"/>
        <v>0</v>
      </c>
      <c r="FW384" s="259">
        <f ca="1">IFERROR(INDEX($FU$3:$FV$500,MATCH(ROWS($FW$3:FW384),$FU$3:$FU$500,0),2),0)</f>
        <v>0</v>
      </c>
      <c r="FX384" s="259">
        <f t="shared" ca="1" si="748"/>
        <v>0</v>
      </c>
      <c r="FY384" s="259">
        <f t="shared" ca="1" si="749"/>
        <v>0</v>
      </c>
      <c r="FZ384" s="259">
        <f ca="1">IF(FY384&gt;0,MAX($FZ$2:FZ383)+1,0)</f>
        <v>0</v>
      </c>
      <c r="GA384" s="259">
        <f ca="1">IFERROR(INDEX($FY$3:$FZ$500,MATCH(ROWS($GA$3:GA384),$FZ$3:$FZ$500,0),1),0)</f>
        <v>0</v>
      </c>
      <c r="GC384" s="259">
        <f t="shared" ca="1" si="750"/>
        <v>0</v>
      </c>
      <c r="GD384" s="259">
        <f t="shared" ca="1" si="751"/>
        <v>0</v>
      </c>
      <c r="GG384" s="259">
        <f t="shared" ca="1" si="752"/>
        <v>0</v>
      </c>
      <c r="GH384" s="259">
        <f t="shared" ca="1" si="753"/>
        <v>0</v>
      </c>
      <c r="GI384" s="259">
        <f t="shared" ca="1" si="754"/>
        <v>0</v>
      </c>
      <c r="GJ384" s="259">
        <f t="shared" ca="1" si="755"/>
        <v>0</v>
      </c>
      <c r="GK384" s="259">
        <f t="shared" ca="1" si="756"/>
        <v>0</v>
      </c>
      <c r="GL384" s="259">
        <f t="shared" ca="1" si="756"/>
        <v>0</v>
      </c>
      <c r="GM384" s="259">
        <f ca="1">IF(OR(GK384&gt;0,GL384&gt;0),MAX($GM$2:GM383)+1,0)</f>
        <v>0</v>
      </c>
      <c r="GN384" s="259" t="str">
        <f ca="1">IFERROR(INDEX($GD$3:$GM$400,MATCH(ROWS($GN$3:GN384),$GM$3:$GM$400,0),1),"")</f>
        <v/>
      </c>
      <c r="GO384" s="259" t="str">
        <f ca="1">IFERROR(INDEX($GD$3:$GM$400,MATCH(ROWS($GO$3:GO384),$GM$3:$GM$400,0),8),"")</f>
        <v/>
      </c>
      <c r="GP384" s="259" t="str">
        <f ca="1">IFERROR(INDEX($GD$3:$GM$400,MATCH(ROWS($GP$3:GP384),$GM$3:$GM$400,0),9),"")</f>
        <v/>
      </c>
      <c r="GQ384" s="259">
        <f t="shared" ca="1" si="740"/>
        <v>0</v>
      </c>
      <c r="GR384" s="259">
        <f t="shared" ca="1" si="757"/>
        <v>0</v>
      </c>
      <c r="GS384" s="259" t="str">
        <f t="shared" ca="1" si="758"/>
        <v/>
      </c>
      <c r="GT384" s="259" t="str">
        <f ca="1">IFERROR(INDEX($GD$3:$GS$400,MATCH(ROWS($GT$3:GT384),$GM$3:$GM$400,0),16),"")</f>
        <v/>
      </c>
      <c r="GU384" s="259">
        <f ca="1">IF(GQ384&lt;&gt;0,MAX($GU$2:$GU383)+1,0)</f>
        <v>0</v>
      </c>
      <c r="GV384" s="259">
        <f t="shared" ca="1" si="759"/>
        <v>0</v>
      </c>
      <c r="GW384" s="259" t="str">
        <f ca="1">IF(AND(IFERROR(INDEX($GU$3:$GV$400,MATCH(ROWS($GW$3:GW384),$GU$3:$GU$400,0),2),"")&lt;&gt;"",GW385&lt;&gt;""),CONCATENATE(IFERROR(INDEX($GU$3:$GV$400,MATCH(ROWS($GW$3:GW384),$GU$3:$GU$400,0),2),"")," - "),IFERROR(INDEX($GU$3:$GV$400,MATCH(ROWS($GW$3:GW384),$GU$3:$GU$400,0),2),""))</f>
        <v/>
      </c>
      <c r="GX384" s="259">
        <f ca="1">IF(OR(GN384="IVA NS/CREDITO",GN384="IVA NS/DEBITO",GN384="IVA C/ACCONTO",GN384="IMPOSTE C/ACCONTO"),MAX($GX$2:GX383)+1,0)</f>
        <v>0</v>
      </c>
      <c r="GY384" s="259" t="str">
        <f ca="1">IF(AND(IFERROR(INDEX($GN$3:$GX$200,MATCH(ROWS($GY$3:GY384),$GX$3:$GX$200,0),1),"")&lt;&gt;"",GY385&lt;&gt;""),CONCATENATE(IFERROR(INDEX($GN$3:$GX$200,MATCH(ROWS($GY$3:GY384),$GX$3:$GX$200,0),1),"")," - "),IFERROR(INDEX($GN$3:$GX$200,MATCH(ROWS($GY$3:GY384),$GX$3:$GX$200,0),1),""))</f>
        <v/>
      </c>
      <c r="JA384" s="259" t="str">
        <f t="shared" ca="1" si="760"/>
        <v/>
      </c>
      <c r="JB384" s="259">
        <f t="shared" ca="1" si="741"/>
        <v>0</v>
      </c>
      <c r="JC384" s="259">
        <f t="shared" ca="1" si="793"/>
        <v>0</v>
      </c>
      <c r="JD384" s="259">
        <f t="shared" ca="1" si="794"/>
        <v>0</v>
      </c>
      <c r="JM384" s="259">
        <f t="shared" ca="1" si="795"/>
        <v>0</v>
      </c>
    </row>
    <row r="385" spans="52:273">
      <c r="AZ385" s="259" t="str">
        <f t="shared" ca="1" si="770"/>
        <v/>
      </c>
      <c r="BA385" s="259">
        <f t="shared" ca="1" si="785"/>
        <v>0</v>
      </c>
      <c r="BB385" s="259">
        <f t="shared" ca="1" si="771"/>
        <v>0</v>
      </c>
      <c r="BC385" s="259">
        <f t="shared" ca="1" si="772"/>
        <v>0</v>
      </c>
      <c r="BD385" s="259">
        <f t="shared" ca="1" si="773"/>
        <v>0</v>
      </c>
      <c r="BE385" s="259">
        <f t="shared" ca="1" si="774"/>
        <v>0</v>
      </c>
      <c r="BQ385" s="259" t="str">
        <f ca="1">IFERROR(INDEX($BN$3:$BO$200,MATCH(ROWS(BQ$3:BQ385),$BP$3:$BP$220,0),1),"")</f>
        <v/>
      </c>
      <c r="CX385" s="259">
        <f t="shared" ca="1" si="807"/>
        <v>22</v>
      </c>
      <c r="CY385" s="259" t="str">
        <f t="shared" ca="1" si="805"/>
        <v>MASTRO</v>
      </c>
      <c r="CZ385" s="259" t="e">
        <f t="shared" ca="1" si="809"/>
        <v>#N/A</v>
      </c>
      <c r="DA385" s="259" t="str">
        <f t="shared" ca="1" si="814"/>
        <v/>
      </c>
      <c r="DB385" s="259" t="str">
        <f t="shared" ca="1" si="810"/>
        <v/>
      </c>
      <c r="DC385" s="259" t="str">
        <f t="shared" ca="1" si="811"/>
        <v/>
      </c>
      <c r="DD385" s="259" t="str">
        <f t="shared" ca="1" si="812"/>
        <v/>
      </c>
      <c r="DE385" s="259" t="str">
        <f t="shared" ca="1" si="813"/>
        <v/>
      </c>
      <c r="DF385" s="259">
        <f ca="1">IF(AND(CX385=$DE$2,$DF$2&lt;&gt;0),0,IF(AND(DB385&lt;&gt;"",OR(DB384&lt;&gt;"",DB386&lt;&gt;"")),MAX($DF$2:DF384)+1,0))</f>
        <v>0</v>
      </c>
      <c r="DG385" s="259" t="str">
        <f>IF(IF(LIBRO_GIORNALE!E293="","",IFERROR(INDEX(PIANO_DEI_CONTI,MATCH(BB385,DENOMINAZIONE,0),1),0))=0,"",IF(LIBRO_GIORNALE!E293="","",IFERROR(INDEX(PIANO_DEI_CONTI,MATCH(BB385,DENOMINAZIONE,0),1),0)))</f>
        <v/>
      </c>
      <c r="EC385" s="259">
        <f>IF(IF(DG385&lt;&gt;"",REPLACE(DG385,3,1,""),0)&lt;&gt;0,MAX(EC$2:EC384)+1,0)</f>
        <v>0</v>
      </c>
      <c r="ED385" s="259">
        <f t="shared" ca="1" si="734"/>
        <v>0</v>
      </c>
      <c r="EL385" s="259">
        <f t="shared" si="742"/>
        <v>383</v>
      </c>
      <c r="EM385" s="259">
        <f ca="1">IF(AND(BA385&gt;0,BA385&lt;=$EM$1),MAX($EM$2:EM384)+1,0)</f>
        <v>0</v>
      </c>
      <c r="EN385" s="259">
        <f t="shared" ca="1" si="743"/>
        <v>385</v>
      </c>
      <c r="EP385" s="259" t="str">
        <f t="shared" ca="1" si="735"/>
        <v/>
      </c>
      <c r="EW385" s="259">
        <f t="shared" ca="1" si="786"/>
        <v>1</v>
      </c>
      <c r="EX385" s="259">
        <v>283</v>
      </c>
      <c r="EY385" s="259">
        <f t="shared" ca="1" si="787"/>
        <v>0</v>
      </c>
      <c r="EZ385" s="259">
        <f t="shared" ca="1" si="788"/>
        <v>0</v>
      </c>
      <c r="FA385" s="259">
        <f t="shared" ca="1" si="789"/>
        <v>0</v>
      </c>
      <c r="FB385" s="259">
        <f t="shared" ca="1" si="790"/>
        <v>0</v>
      </c>
      <c r="FC385" s="259">
        <f t="shared" ca="1" si="791"/>
        <v>0</v>
      </c>
      <c r="FD385" s="259">
        <f t="shared" ca="1" si="737"/>
        <v>0</v>
      </c>
      <c r="FE385" s="259" t="str">
        <f t="shared" ca="1" si="738"/>
        <v/>
      </c>
      <c r="FF385" s="259" t="str">
        <f t="shared" ca="1" si="792"/>
        <v/>
      </c>
      <c r="FM385" s="259">
        <f t="shared" si="739"/>
        <v>0</v>
      </c>
      <c r="FN385" s="259">
        <f>IF(FM385&lt;0,MAX($FN$2:FN384)+1,0)</f>
        <v>0</v>
      </c>
      <c r="FO385" s="259" t="str">
        <f t="shared" si="745"/>
        <v/>
      </c>
      <c r="FP385" s="259" t="str">
        <f ca="1">IFERROR(INDEX($FN$3:$FO$400,MATCH(ROWS($FP$3:FP385),$FN$3:$FN$400,0),2),"")</f>
        <v/>
      </c>
      <c r="FQ385" s="259" t="str">
        <f>IF(AE385="SE AVERE",MAX($FQ$2:FQ384)+1,"")</f>
        <v/>
      </c>
      <c r="FR385" s="259" t="str">
        <f>IF(AE385="SE DARE",MAX($FR$2:FR384)+1,"")</f>
        <v/>
      </c>
      <c r="FS385" s="259" t="str">
        <f ca="1">IF(AND(AE385="SP DARE",AA385&lt;&gt;$FS$1,AA385&lt;&gt;$FT$1),MAX($FS$2:FS384)+1,IF(AND(GQ385="SP DARE",AA385&lt;&gt;$FS$1,AA385&lt;&gt;$FT$1),MAX($FS$2:FS384)+1,""))</f>
        <v/>
      </c>
      <c r="FT385" s="259" t="str">
        <f ca="1">IF(AND(AE385="SP AVERE",AA385&lt;&gt;$FU$1),MAX($FT$2:FT384)+1,IF(AND(GQ385="SP AVERE",AA385&lt;&gt;$FU$1),MAX($FT$2:FT384)+1,""))</f>
        <v/>
      </c>
      <c r="FU385" s="259">
        <f t="shared" ca="1" si="746"/>
        <v>0</v>
      </c>
      <c r="FV385" s="259">
        <f t="shared" si="747"/>
        <v>0</v>
      </c>
      <c r="FW385" s="259">
        <f ca="1">IFERROR(INDEX($FU$3:$FV$500,MATCH(ROWS($FW$3:FW385),$FU$3:$FU$500,0),2),0)</f>
        <v>0</v>
      </c>
      <c r="FX385" s="259">
        <f t="shared" ca="1" si="748"/>
        <v>0</v>
      </c>
      <c r="FY385" s="259">
        <f t="shared" ca="1" si="749"/>
        <v>0</v>
      </c>
      <c r="FZ385" s="259">
        <f ca="1">IF(FY385&gt;0,MAX($FZ$2:FZ384)+1,0)</f>
        <v>0</v>
      </c>
      <c r="GA385" s="259">
        <f ca="1">IFERROR(INDEX($FY$3:$FZ$500,MATCH(ROWS($GA$3:GA385),$FZ$3:$FZ$500,0),1),0)</f>
        <v>0</v>
      </c>
      <c r="GC385" s="259">
        <f t="shared" ca="1" si="750"/>
        <v>0</v>
      </c>
      <c r="GD385" s="259">
        <f t="shared" ca="1" si="751"/>
        <v>0</v>
      </c>
      <c r="GG385" s="259">
        <f t="shared" ca="1" si="752"/>
        <v>0</v>
      </c>
      <c r="GH385" s="259">
        <f t="shared" ca="1" si="753"/>
        <v>0</v>
      </c>
      <c r="GI385" s="259">
        <f t="shared" ca="1" si="754"/>
        <v>0</v>
      </c>
      <c r="GJ385" s="259">
        <f t="shared" ca="1" si="755"/>
        <v>0</v>
      </c>
      <c r="GK385" s="259">
        <f t="shared" ca="1" si="756"/>
        <v>0</v>
      </c>
      <c r="GL385" s="259">
        <f t="shared" ca="1" si="756"/>
        <v>0</v>
      </c>
      <c r="GM385" s="259">
        <f ca="1">IF(OR(GK385&gt;0,GL385&gt;0),MAX($GM$2:GM384)+1,0)</f>
        <v>0</v>
      </c>
      <c r="GN385" s="259" t="str">
        <f ca="1">IFERROR(INDEX($GD$3:$GM$400,MATCH(ROWS($GN$3:GN385),$GM$3:$GM$400,0),1),"")</f>
        <v/>
      </c>
      <c r="GO385" s="259" t="str">
        <f ca="1">IFERROR(INDEX($GD$3:$GM$400,MATCH(ROWS($GO$3:GO385),$GM$3:$GM$400,0),8),"")</f>
        <v/>
      </c>
      <c r="GP385" s="259" t="str">
        <f ca="1">IFERROR(INDEX($GD$3:$GM$400,MATCH(ROWS($GP$3:GP385),$GM$3:$GM$400,0),9),"")</f>
        <v/>
      </c>
      <c r="GQ385" s="259">
        <f t="shared" ca="1" si="740"/>
        <v>0</v>
      </c>
      <c r="GR385" s="259">
        <f t="shared" ca="1" si="757"/>
        <v>0</v>
      </c>
      <c r="GS385" s="259" t="str">
        <f t="shared" ca="1" si="758"/>
        <v/>
      </c>
      <c r="GT385" s="259" t="str">
        <f ca="1">IFERROR(INDEX($GD$3:$GS$400,MATCH(ROWS($GT$3:GT385),$GM$3:$GM$400,0),16),"")</f>
        <v/>
      </c>
      <c r="GU385" s="259">
        <f ca="1">IF(GQ385&lt;&gt;0,MAX($GU$2:$GU384)+1,0)</f>
        <v>0</v>
      </c>
      <c r="GV385" s="259">
        <f t="shared" ca="1" si="759"/>
        <v>0</v>
      </c>
      <c r="GW385" s="259" t="str">
        <f ca="1">IF(AND(IFERROR(INDEX($GU$3:$GV$400,MATCH(ROWS($GW$3:GW385),$GU$3:$GU$400,0),2),"")&lt;&gt;"",GW386&lt;&gt;""),CONCATENATE(IFERROR(INDEX($GU$3:$GV$400,MATCH(ROWS($GW$3:GW385),$GU$3:$GU$400,0),2),"")," - "),IFERROR(INDEX($GU$3:$GV$400,MATCH(ROWS($GW$3:GW385),$GU$3:$GU$400,0),2),""))</f>
        <v/>
      </c>
      <c r="GX385" s="259">
        <f ca="1">IF(OR(GN385="IVA NS/CREDITO",GN385="IVA NS/DEBITO",GN385="IVA C/ACCONTO",GN385="IMPOSTE C/ACCONTO"),MAX($GX$2:GX384)+1,0)</f>
        <v>0</v>
      </c>
      <c r="GY385" s="259" t="str">
        <f ca="1">IF(AND(IFERROR(INDEX($GN$3:$GX$200,MATCH(ROWS($GY$3:GY385),$GX$3:$GX$200,0),1),"")&lt;&gt;"",GY386&lt;&gt;""),CONCATENATE(IFERROR(INDEX($GN$3:$GX$200,MATCH(ROWS($GY$3:GY385),$GX$3:$GX$200,0),1),"")," - "),IFERROR(INDEX($GN$3:$GX$200,MATCH(ROWS($GY$3:GY385),$GX$3:$GX$200,0),1),""))</f>
        <v/>
      </c>
      <c r="JA385" s="259" t="str">
        <f t="shared" ca="1" si="760"/>
        <v/>
      </c>
      <c r="JB385" s="259">
        <f t="shared" ca="1" si="741"/>
        <v>0</v>
      </c>
      <c r="JC385" s="259">
        <f t="shared" ca="1" si="793"/>
        <v>0</v>
      </c>
      <c r="JD385" s="259">
        <f t="shared" ca="1" si="794"/>
        <v>0</v>
      </c>
      <c r="JM385" s="259">
        <f t="shared" ca="1" si="795"/>
        <v>0</v>
      </c>
    </row>
    <row r="386" spans="52:273">
      <c r="AZ386" s="259" t="str">
        <f t="shared" ca="1" si="770"/>
        <v/>
      </c>
      <c r="BA386" s="259">
        <f t="shared" ca="1" si="785"/>
        <v>0</v>
      </c>
      <c r="BB386" s="259">
        <f t="shared" ca="1" si="771"/>
        <v>0</v>
      </c>
      <c r="BC386" s="259">
        <f t="shared" ca="1" si="772"/>
        <v>0</v>
      </c>
      <c r="BD386" s="259">
        <f t="shared" ca="1" si="773"/>
        <v>0</v>
      </c>
      <c r="BE386" s="259">
        <f t="shared" ca="1" si="774"/>
        <v>0</v>
      </c>
      <c r="BQ386" s="259" t="str">
        <f ca="1">IFERROR(INDEX($BN$3:$BO$200,MATCH(ROWS(BQ$3:BQ386),$BP$3:$BP$220,0),1),"")</f>
        <v/>
      </c>
      <c r="CX386" s="259">
        <f t="shared" ca="1" si="807"/>
        <v>22</v>
      </c>
      <c r="CY386" s="259" t="str">
        <f t="shared" ca="1" si="805"/>
        <v>MASTRO</v>
      </c>
      <c r="CZ386" s="259" t="e">
        <f t="shared" ca="1" si="809"/>
        <v>#N/A</v>
      </c>
      <c r="DA386" s="259" t="str">
        <f t="shared" ca="1" si="814"/>
        <v/>
      </c>
      <c r="DB386" s="259" t="str">
        <f t="shared" ca="1" si="810"/>
        <v/>
      </c>
      <c r="DC386" s="259" t="str">
        <f t="shared" ca="1" si="811"/>
        <v/>
      </c>
      <c r="DD386" s="259" t="str">
        <f t="shared" ca="1" si="812"/>
        <v/>
      </c>
      <c r="DE386" s="259" t="str">
        <f t="shared" ca="1" si="813"/>
        <v/>
      </c>
      <c r="DF386" s="259">
        <f ca="1">IF(AND(CX386=$DE$2,$DF$2&lt;&gt;0),0,IF(AND(DB386&lt;&gt;"",OR(DB385&lt;&gt;"",DB387&lt;&gt;"")),MAX($DF$2:DF385)+1,0))</f>
        <v>0</v>
      </c>
      <c r="DG386" s="259" t="str">
        <f>IF(IF(LIBRO_GIORNALE!E294="","",IFERROR(INDEX(PIANO_DEI_CONTI,MATCH(BB386,DENOMINAZIONE,0),1),0))=0,"",IF(LIBRO_GIORNALE!E294="","",IFERROR(INDEX(PIANO_DEI_CONTI,MATCH(BB386,DENOMINAZIONE,0),1),0)))</f>
        <v/>
      </c>
      <c r="EC386" s="259">
        <f>IF(IF(DG386&lt;&gt;"",REPLACE(DG386,3,1,""),0)&lt;&gt;0,MAX(EC$2:EC385)+1,0)</f>
        <v>0</v>
      </c>
      <c r="ED386" s="259">
        <f t="shared" ca="1" si="734"/>
        <v>0</v>
      </c>
      <c r="EL386" s="259">
        <f t="shared" si="742"/>
        <v>384</v>
      </c>
      <c r="EM386" s="259">
        <f ca="1">IF(AND(BA386&gt;0,BA386&lt;=$EM$1),MAX($EM$2:EM385)+1,0)</f>
        <v>0</v>
      </c>
      <c r="EN386" s="259">
        <f t="shared" ca="1" si="743"/>
        <v>386</v>
      </c>
      <c r="EP386" s="259" t="str">
        <f t="shared" ca="1" si="735"/>
        <v/>
      </c>
      <c r="EW386" s="259">
        <f t="shared" ca="1" si="786"/>
        <v>1</v>
      </c>
      <c r="EX386" s="259">
        <v>284</v>
      </c>
      <c r="EY386" s="259">
        <f t="shared" ca="1" si="787"/>
        <v>0</v>
      </c>
      <c r="EZ386" s="259">
        <f t="shared" ca="1" si="788"/>
        <v>0</v>
      </c>
      <c r="FA386" s="259">
        <f t="shared" ca="1" si="789"/>
        <v>0</v>
      </c>
      <c r="FB386" s="259">
        <f t="shared" ca="1" si="790"/>
        <v>0</v>
      </c>
      <c r="FC386" s="259">
        <f t="shared" ca="1" si="791"/>
        <v>0</v>
      </c>
      <c r="FD386" s="259">
        <f t="shared" ca="1" si="737"/>
        <v>0</v>
      </c>
      <c r="FE386" s="259" t="str">
        <f t="shared" ca="1" si="738"/>
        <v/>
      </c>
      <c r="FF386" s="259" t="str">
        <f t="shared" ca="1" si="792"/>
        <v/>
      </c>
      <c r="FM386" s="259">
        <f t="shared" si="739"/>
        <v>0</v>
      </c>
      <c r="FN386" s="259">
        <f>IF(FM386&lt;0,MAX($FN$2:FN385)+1,0)</f>
        <v>0</v>
      </c>
      <c r="FO386" s="259" t="str">
        <f t="shared" si="745"/>
        <v/>
      </c>
      <c r="FP386" s="259" t="str">
        <f ca="1">IFERROR(INDEX($FN$3:$FO$400,MATCH(ROWS($FP$3:FP386),$FN$3:$FN$400,0),2),"")</f>
        <v/>
      </c>
      <c r="FQ386" s="259" t="str">
        <f>IF(AE386="SE AVERE",MAX($FQ$2:FQ385)+1,"")</f>
        <v/>
      </c>
      <c r="FR386" s="259" t="str">
        <f>IF(AE386="SE DARE",MAX($FR$2:FR385)+1,"")</f>
        <v/>
      </c>
      <c r="FS386" s="259" t="str">
        <f ca="1">IF(AND(AE386="SP DARE",AA386&lt;&gt;$FS$1,AA386&lt;&gt;$FT$1),MAX($FS$2:FS385)+1,IF(AND(GQ386="SP DARE",AA386&lt;&gt;$FS$1,AA386&lt;&gt;$FT$1),MAX($FS$2:FS385)+1,""))</f>
        <v/>
      </c>
      <c r="FT386" s="259" t="str">
        <f ca="1">IF(AND(AE386="SP AVERE",AA386&lt;&gt;$FU$1),MAX($FT$2:FT385)+1,IF(AND(GQ386="SP AVERE",AA386&lt;&gt;$FU$1),MAX($FT$2:FT385)+1,""))</f>
        <v/>
      </c>
      <c r="FU386" s="259">
        <f t="shared" ca="1" si="746"/>
        <v>0</v>
      </c>
      <c r="FV386" s="259">
        <f t="shared" si="747"/>
        <v>0</v>
      </c>
      <c r="FW386" s="259">
        <f ca="1">IFERROR(INDEX($FU$3:$FV$500,MATCH(ROWS($FW$3:FW386),$FU$3:$FU$500,0),2),0)</f>
        <v>0</v>
      </c>
      <c r="FX386" s="259">
        <f t="shared" ca="1" si="748"/>
        <v>0</v>
      </c>
      <c r="FY386" s="259">
        <f t="shared" ca="1" si="749"/>
        <v>0</v>
      </c>
      <c r="FZ386" s="259">
        <f ca="1">IF(FY386&gt;0,MAX($FZ$2:FZ385)+1,0)</f>
        <v>0</v>
      </c>
      <c r="GA386" s="259">
        <f ca="1">IFERROR(INDEX($FY$3:$FZ$500,MATCH(ROWS($GA$3:GA386),$FZ$3:$FZ$500,0),1),0)</f>
        <v>0</v>
      </c>
      <c r="GC386" s="259">
        <f t="shared" ca="1" si="750"/>
        <v>0</v>
      </c>
      <c r="GD386" s="259">
        <f t="shared" ca="1" si="751"/>
        <v>0</v>
      </c>
      <c r="GG386" s="259">
        <f t="shared" ca="1" si="752"/>
        <v>0</v>
      </c>
      <c r="GH386" s="259">
        <f t="shared" ca="1" si="753"/>
        <v>0</v>
      </c>
      <c r="GI386" s="259">
        <f t="shared" ca="1" si="754"/>
        <v>0</v>
      </c>
      <c r="GJ386" s="259">
        <f t="shared" ca="1" si="755"/>
        <v>0</v>
      </c>
      <c r="GK386" s="259">
        <f t="shared" ca="1" si="756"/>
        <v>0</v>
      </c>
      <c r="GL386" s="259">
        <f t="shared" ca="1" si="756"/>
        <v>0</v>
      </c>
      <c r="GM386" s="259">
        <f ca="1">IF(OR(GK386&gt;0,GL386&gt;0),MAX($GM$2:GM385)+1,0)</f>
        <v>0</v>
      </c>
      <c r="GN386" s="259" t="str">
        <f ca="1">IFERROR(INDEX($GD$3:$GM$400,MATCH(ROWS($GN$3:GN386),$GM$3:$GM$400,0),1),"")</f>
        <v/>
      </c>
      <c r="GO386" s="259" t="str">
        <f ca="1">IFERROR(INDEX($GD$3:$GM$400,MATCH(ROWS($GO$3:GO386),$GM$3:$GM$400,0),8),"")</f>
        <v/>
      </c>
      <c r="GP386" s="259" t="str">
        <f ca="1">IFERROR(INDEX($GD$3:$GM$400,MATCH(ROWS($GP$3:GP386),$GM$3:$GM$400,0),9),"")</f>
        <v/>
      </c>
      <c r="GQ386" s="259">
        <f t="shared" ca="1" si="740"/>
        <v>0</v>
      </c>
      <c r="GR386" s="259">
        <f t="shared" ca="1" si="757"/>
        <v>0</v>
      </c>
      <c r="GS386" s="259" t="str">
        <f t="shared" ca="1" si="758"/>
        <v/>
      </c>
      <c r="GT386" s="259" t="str">
        <f ca="1">IFERROR(INDEX($GD$3:$GS$400,MATCH(ROWS($GT$3:GT386),$GM$3:$GM$400,0),16),"")</f>
        <v/>
      </c>
      <c r="GU386" s="259">
        <f ca="1">IF(GQ386&lt;&gt;0,MAX($GU$2:$GU385)+1,0)</f>
        <v>0</v>
      </c>
      <c r="GV386" s="259">
        <f t="shared" ca="1" si="759"/>
        <v>0</v>
      </c>
      <c r="GW386" s="259" t="str">
        <f ca="1">IF(AND(IFERROR(INDEX($GU$3:$GV$400,MATCH(ROWS($GW$3:GW386),$GU$3:$GU$400,0),2),"")&lt;&gt;"",GW387&lt;&gt;""),CONCATENATE(IFERROR(INDEX($GU$3:$GV$400,MATCH(ROWS($GW$3:GW386),$GU$3:$GU$400,0),2),"")," - "),IFERROR(INDEX($GU$3:$GV$400,MATCH(ROWS($GW$3:GW386),$GU$3:$GU$400,0),2),""))</f>
        <v/>
      </c>
      <c r="GX386" s="259">
        <f ca="1">IF(OR(GN386="IVA NS/CREDITO",GN386="IVA NS/DEBITO",GN386="IVA C/ACCONTO",GN386="IMPOSTE C/ACCONTO"),MAX($GX$2:GX385)+1,0)</f>
        <v>0</v>
      </c>
      <c r="GY386" s="259" t="str">
        <f ca="1">IF(AND(IFERROR(INDEX($GN$3:$GX$200,MATCH(ROWS($GY$3:GY386),$GX$3:$GX$200,0),1),"")&lt;&gt;"",GY387&lt;&gt;""),CONCATENATE(IFERROR(INDEX($GN$3:$GX$200,MATCH(ROWS($GY$3:GY386),$GX$3:$GX$200,0),1),"")," - "),IFERROR(INDEX($GN$3:$GX$200,MATCH(ROWS($GY$3:GY386),$GX$3:$GX$200,0),1),""))</f>
        <v/>
      </c>
      <c r="JA386" s="259" t="str">
        <f t="shared" ca="1" si="760"/>
        <v/>
      </c>
      <c r="JB386" s="259">
        <f t="shared" ca="1" si="741"/>
        <v>0</v>
      </c>
      <c r="JC386" s="259">
        <f t="shared" ca="1" si="793"/>
        <v>0</v>
      </c>
      <c r="JD386" s="259">
        <f t="shared" ca="1" si="794"/>
        <v>0</v>
      </c>
      <c r="JM386" s="259">
        <f t="shared" ca="1" si="795"/>
        <v>0</v>
      </c>
    </row>
    <row r="387" spans="52:273">
      <c r="AZ387" s="259" t="str">
        <f t="shared" ca="1" si="770"/>
        <v/>
      </c>
      <c r="BA387" s="259">
        <f t="shared" ca="1" si="785"/>
        <v>0</v>
      </c>
      <c r="BB387" s="259">
        <f t="shared" ca="1" si="771"/>
        <v>0</v>
      </c>
      <c r="BC387" s="259">
        <f t="shared" ca="1" si="772"/>
        <v>0</v>
      </c>
      <c r="BD387" s="259">
        <f t="shared" ca="1" si="773"/>
        <v>0</v>
      </c>
      <c r="BE387" s="259">
        <f t="shared" ca="1" si="774"/>
        <v>0</v>
      </c>
      <c r="BQ387" s="259" t="str">
        <f ca="1">IFERROR(INDEX($BN$3:$BO$200,MATCH(ROWS(BQ$3:BQ387),$BP$3:$BP$220,0),1),"")</f>
        <v/>
      </c>
      <c r="CX387" s="259">
        <f t="shared" ca="1" si="807"/>
        <v>22</v>
      </c>
      <c r="CY387" s="259" t="str">
        <f t="shared" ca="1" si="805"/>
        <v>MASTRO</v>
      </c>
      <c r="CZ387" s="259" t="e">
        <f t="shared" ca="1" si="809"/>
        <v>#N/A</v>
      </c>
      <c r="DA387" s="259" t="str">
        <f t="shared" ca="1" si="814"/>
        <v/>
      </c>
      <c r="DB387" s="259" t="str">
        <f t="shared" ca="1" si="810"/>
        <v/>
      </c>
      <c r="DC387" s="259" t="str">
        <f t="shared" ca="1" si="811"/>
        <v/>
      </c>
      <c r="DD387" s="259" t="str">
        <f t="shared" ca="1" si="812"/>
        <v/>
      </c>
      <c r="DE387" s="259" t="str">
        <f t="shared" ca="1" si="813"/>
        <v/>
      </c>
      <c r="DF387" s="259">
        <f ca="1">IF(AND(CX387=$DE$2,$DF$2&lt;&gt;0),0,IF(AND(DB387&lt;&gt;"",OR(DB386&lt;&gt;"",DB388&lt;&gt;"")),MAX($DF$2:DF386)+1,0))</f>
        <v>0</v>
      </c>
      <c r="DG387" s="259" t="str">
        <f>IF(IF(LIBRO_GIORNALE!E295="","",IFERROR(INDEX(PIANO_DEI_CONTI,MATCH(BB387,DENOMINAZIONE,0),1),0))=0,"",IF(LIBRO_GIORNALE!E295="","",IFERROR(INDEX(PIANO_DEI_CONTI,MATCH(BB387,DENOMINAZIONE,0),1),0)))</f>
        <v/>
      </c>
      <c r="EC387" s="259">
        <f>IF(IF(DG387&lt;&gt;"",REPLACE(DG387,3,1,""),0)&lt;&gt;0,MAX(EC$2:EC386)+1,0)</f>
        <v>0</v>
      </c>
      <c r="ED387" s="259">
        <f t="shared" ref="ED387:ED450" ca="1" si="815">IFERROR(INDEX(PIANO_DEI_CONTI,MATCH(BB387,DENOMINAZIONE,0),5),"")</f>
        <v>0</v>
      </c>
      <c r="EL387" s="259">
        <f t="shared" si="742"/>
        <v>385</v>
      </c>
      <c r="EM387" s="259">
        <f ca="1">IF(AND(BA387&gt;0,BA387&lt;=$EM$1),MAX($EM$2:EM386)+1,0)</f>
        <v>0</v>
      </c>
      <c r="EN387" s="259">
        <f t="shared" ca="1" si="743"/>
        <v>387</v>
      </c>
      <c r="EP387" s="259" t="str">
        <f t="shared" ref="EP387:EP450" ca="1" si="816">IFERROR(INDEX(PIANO_DEI_CONTI,MATCH(EZ387,DENOMINAZIONE,0),7),"")</f>
        <v/>
      </c>
      <c r="EW387" s="259">
        <f t="shared" ca="1" si="786"/>
        <v>1</v>
      </c>
      <c r="EX387" s="259">
        <v>285</v>
      </c>
      <c r="EY387" s="259">
        <f t="shared" ca="1" si="787"/>
        <v>0</v>
      </c>
      <c r="EZ387" s="259">
        <f t="shared" ca="1" si="788"/>
        <v>0</v>
      </c>
      <c r="FA387" s="259">
        <f t="shared" ca="1" si="789"/>
        <v>0</v>
      </c>
      <c r="FB387" s="259">
        <f t="shared" ca="1" si="790"/>
        <v>0</v>
      </c>
      <c r="FC387" s="259">
        <f t="shared" ca="1" si="791"/>
        <v>0</v>
      </c>
      <c r="FD387" s="259">
        <f t="shared" ref="FD387:FD400" ca="1" si="817">IFERROR(INDEX(PIANO_DEI_CONTI,MATCH(EZ387,DENOMINAZIONE,0),6),"")</f>
        <v>0</v>
      </c>
      <c r="FE387" s="259" t="str">
        <f t="shared" ref="FE387:FE400" ca="1" si="818">IFERROR(IF(EZ387&lt;&gt;0,INDEX(PIANO_DEI_CONTI,MATCH(EZ387,DENOMINAZIONE,0),1),""),"")</f>
        <v/>
      </c>
      <c r="FF387" s="259" t="str">
        <f t="shared" ca="1" si="792"/>
        <v/>
      </c>
      <c r="FM387" s="259">
        <f t="shared" ref="FM387:FM400" si="819">IF(AND(AC387="d",AE387="SP DARE"),SUMIFS(dare_grezzo,den_grezzo,AA387,data_grezzo,"&lt;="&amp;FINE_AC,data_grezzo,"&gt;="&amp;INIZIO_A_PC)-SUMIFS(avere_grezzo,den_grezzo,AA387,data_grezzo,"&lt;="&amp;FINE_AC,data_grezzo,"&gt;="&amp;INIZIO_A_PC),IF(AND(AC387="a",AE387="SP AVERE"),SUMIFS(avere_grezzo,den_grezzo,AA387,data_grezzo,"&lt;="&amp;FINE_AC,data_grezzo,"&gt;="&amp;INIZIO_A_PC)-SUMIFS(dare_grezzo,den_grezzo,AA387,data_grezzo,"&lt;="&amp;FINE_AC,data_grezzo,"&gt;="&amp;INIZIO_A_PC),IF(AND(AC387="d",AE387="SE DARE"),SUMIFS(dare_grezzo,den_grezzo,AA387,data_grezzo,"&lt;="&amp;FINE_AC,data_grezzo,"&gt;="&amp;INIZIO_A_PC)-SUMIFS(avere_grezzo,den_grezzo,AA387,data_grezzo,"&lt;="&amp;FINE_AC,data_grezzo,"&gt;="&amp;INIZIO_A_PC),IF(AND(AC387="a",AE387="SE AVERE"),SUMIFS(avere_grezzo,den_grezzo,AA387,data_grezzo,"&lt;="&amp;FINE_AC,data_grezzo,"&gt;="&amp;INIZIO_A_PC)-SUMIFS(dare_grezzo,den_grezzo,AA387,data_grezzo,"&lt;="&amp;FINE_AC,data_grezzo,"&gt;="&amp;INIZIO_A_PC),0))))</f>
        <v>0</v>
      </c>
      <c r="FN387" s="259">
        <f>IF(FM387&lt;0,MAX($FN$2:FN386)+1,0)</f>
        <v>0</v>
      </c>
      <c r="FO387" s="259" t="str">
        <f t="shared" si="745"/>
        <v/>
      </c>
      <c r="FP387" s="259" t="str">
        <f ca="1">IFERROR(INDEX($FN$3:$FO$400,MATCH(ROWS($FP$3:FP387),$FN$3:$FN$400,0),2),"")</f>
        <v/>
      </c>
      <c r="FQ387" s="259" t="str">
        <f>IF(AE387="SE AVERE",MAX($FQ$2:FQ386)+1,"")</f>
        <v/>
      </c>
      <c r="FR387" s="259" t="str">
        <f>IF(AE387="SE DARE",MAX($FR$2:FR386)+1,"")</f>
        <v/>
      </c>
      <c r="FS387" s="259" t="str">
        <f ca="1">IF(AND(AE387="SP DARE",AA387&lt;&gt;$FS$1,AA387&lt;&gt;$FT$1),MAX($FS$2:FS386)+1,IF(AND(GQ387="SP DARE",AA387&lt;&gt;$FS$1,AA387&lt;&gt;$FT$1),MAX($FS$2:FS386)+1,""))</f>
        <v/>
      </c>
      <c r="FT387" s="259" t="str">
        <f ca="1">IF(AND(AE387="SP AVERE",AA387&lt;&gt;$FU$1),MAX($FT$2:FT386)+1,IF(AND(GQ387="SP AVERE",AA387&lt;&gt;$FU$1),MAX($FT$2:FT386)+1,""))</f>
        <v/>
      </c>
      <c r="FU387" s="259">
        <f t="shared" ca="1" si="746"/>
        <v>0</v>
      </c>
      <c r="FV387" s="259">
        <f t="shared" si="747"/>
        <v>0</v>
      </c>
      <c r="FW387" s="259">
        <f ca="1">IFERROR(INDEX($FU$3:$FV$500,MATCH(ROWS($FW$3:FW387),$FU$3:$FU$500,0),2),0)</f>
        <v>0</v>
      </c>
      <c r="FX387" s="259">
        <f t="shared" ca="1" si="748"/>
        <v>0</v>
      </c>
      <c r="FY387" s="259">
        <f t="shared" ca="1" si="749"/>
        <v>0</v>
      </c>
      <c r="FZ387" s="259">
        <f ca="1">IF(FY387&gt;0,MAX($FZ$2:FZ386)+1,0)</f>
        <v>0</v>
      </c>
      <c r="GA387" s="259">
        <f ca="1">IFERROR(INDEX($FY$3:$FZ$500,MATCH(ROWS($GA$3:GA387),$FZ$3:$FZ$500,0),1),0)</f>
        <v>0</v>
      </c>
      <c r="GC387" s="259">
        <f t="shared" ca="1" si="750"/>
        <v>0</v>
      </c>
      <c r="GD387" s="259">
        <f t="shared" ca="1" si="751"/>
        <v>0</v>
      </c>
      <c r="GG387" s="259">
        <f t="shared" ca="1" si="752"/>
        <v>0</v>
      </c>
      <c r="GH387" s="259">
        <f t="shared" ca="1" si="753"/>
        <v>0</v>
      </c>
      <c r="GI387" s="259">
        <f t="shared" ca="1" si="754"/>
        <v>0</v>
      </c>
      <c r="GJ387" s="259">
        <f t="shared" ca="1" si="755"/>
        <v>0</v>
      </c>
      <c r="GK387" s="259">
        <f t="shared" ca="1" si="756"/>
        <v>0</v>
      </c>
      <c r="GL387" s="259">
        <f t="shared" ca="1" si="756"/>
        <v>0</v>
      </c>
      <c r="GM387" s="259">
        <f ca="1">IF(OR(GK387&gt;0,GL387&gt;0),MAX($GM$2:GM386)+1,0)</f>
        <v>0</v>
      </c>
      <c r="GN387" s="259" t="str">
        <f ca="1">IFERROR(INDEX($GD$3:$GM$400,MATCH(ROWS($GN$3:GN387),$GM$3:$GM$400,0),1),"")</f>
        <v/>
      </c>
      <c r="GO387" s="259" t="str">
        <f ca="1">IFERROR(INDEX($GD$3:$GM$400,MATCH(ROWS($GO$3:GO387),$GM$3:$GM$400,0),8),"")</f>
        <v/>
      </c>
      <c r="GP387" s="259" t="str">
        <f ca="1">IFERROR(INDEX($GD$3:$GM$400,MATCH(ROWS($GP$3:GP387),$GM$3:$GM$400,0),9),"")</f>
        <v/>
      </c>
      <c r="GQ387" s="259">
        <f t="shared" ref="GQ387:GQ400" ca="1" si="820">IF(AND(AE387="sp dare/avere",SUMIFS(dare_grezzo,den_grezzo,"="&amp;AA387,data_grezzo,"&gt;="&amp;INIZIO_A_PC,data_grezzo,"&lt;="&amp;FINE_AC)&gt;SUMIFS(avere_grezzo,den_grezzo,"="&amp;AA387,data_grezzo,"&gt;="&amp;INIZIO_A_PC,data_grezzo,"&lt;="&amp;FINE_AC)),"SP DARE",IF(AND(AE387="sp dare/avere",SUMIFS(dare_grezzo,den_grezzo,"="&amp;AA387,data_grezzo,"&gt;="&amp;INIZIO_A_PC,data_grezzo,"&lt;="&amp;FINE_AC)&lt;SUMIFS(avere_grezzo,den_grezzo,"="&amp;AA387,data_grezzo,"&gt;="&amp;INIZIO_A_PC,data_grezzo,"&lt;="&amp;FINE_AC)),"SP AVERE",0))</f>
        <v>0</v>
      </c>
      <c r="GR387" s="259">
        <f t="shared" ca="1" si="757"/>
        <v>0</v>
      </c>
      <c r="GS387" s="259" t="str">
        <f t="shared" ca="1" si="758"/>
        <v/>
      </c>
      <c r="GT387" s="259" t="str">
        <f ca="1">IFERROR(INDEX($GD$3:$GS$400,MATCH(ROWS($GT$3:GT387),$GM$3:$GM$400,0),16),"")</f>
        <v/>
      </c>
      <c r="GU387" s="259">
        <f ca="1">IF(GQ387&lt;&gt;0,MAX($GU$2:$GU386)+1,0)</f>
        <v>0</v>
      </c>
      <c r="GV387" s="259">
        <f t="shared" ca="1" si="759"/>
        <v>0</v>
      </c>
      <c r="GW387" s="259" t="str">
        <f ca="1">IF(AND(IFERROR(INDEX($GU$3:$GV$400,MATCH(ROWS($GW$3:GW387),$GU$3:$GU$400,0),2),"")&lt;&gt;"",GW388&lt;&gt;""),CONCATENATE(IFERROR(INDEX($GU$3:$GV$400,MATCH(ROWS($GW$3:GW387),$GU$3:$GU$400,0),2),"")," - "),IFERROR(INDEX($GU$3:$GV$400,MATCH(ROWS($GW$3:GW387),$GU$3:$GU$400,0),2),""))</f>
        <v/>
      </c>
      <c r="GX387" s="259">
        <f ca="1">IF(OR(GN387="IVA NS/CREDITO",GN387="IVA NS/DEBITO",GN387="IVA C/ACCONTO",GN387="IMPOSTE C/ACCONTO"),MAX($GX$2:GX386)+1,0)</f>
        <v>0</v>
      </c>
      <c r="GY387" s="259" t="str">
        <f ca="1">IF(AND(IFERROR(INDEX($GN$3:$GX$200,MATCH(ROWS($GY$3:GY387),$GX$3:$GX$200,0),1),"")&lt;&gt;"",GY388&lt;&gt;""),CONCATENATE(IFERROR(INDEX($GN$3:$GX$200,MATCH(ROWS($GY$3:GY387),$GX$3:$GX$200,0),1),"")," - "),IFERROR(INDEX($GN$3:$GX$200,MATCH(ROWS($GY$3:GY387),$GX$3:$GX$200,0),1),""))</f>
        <v/>
      </c>
      <c r="JA387" s="259" t="str">
        <f t="shared" ca="1" si="760"/>
        <v/>
      </c>
      <c r="JB387" s="259">
        <f t="shared" ref="JB387:JB400" ca="1" si="821">IFERROR(INDEX(PIANO_DEI_CONTI,MATCH(EZ387,DENOMINAZIONE,0),5),"")</f>
        <v>0</v>
      </c>
      <c r="JC387" s="259">
        <f t="shared" ca="1" si="793"/>
        <v>0</v>
      </c>
      <c r="JD387" s="259">
        <f t="shared" ca="1" si="794"/>
        <v>0</v>
      </c>
      <c r="JM387" s="259">
        <f t="shared" ca="1" si="795"/>
        <v>0</v>
      </c>
    </row>
    <row r="388" spans="52:273">
      <c r="AZ388" s="259" t="str">
        <f t="shared" ca="1" si="770"/>
        <v/>
      </c>
      <c r="BA388" s="259">
        <f t="shared" ca="1" si="785"/>
        <v>0</v>
      </c>
      <c r="BB388" s="259">
        <f t="shared" ca="1" si="771"/>
        <v>0</v>
      </c>
      <c r="BC388" s="259">
        <f t="shared" ca="1" si="772"/>
        <v>0</v>
      </c>
      <c r="BD388" s="259">
        <f t="shared" ca="1" si="773"/>
        <v>0</v>
      </c>
      <c r="BE388" s="259">
        <f t="shared" ca="1" si="774"/>
        <v>0</v>
      </c>
      <c r="BQ388" s="259" t="str">
        <f ca="1">IFERROR(INDEX($BN$3:$BO$200,MATCH(ROWS(BQ$3:BQ388),$BP$3:$BP$220,0),1),"")</f>
        <v/>
      </c>
      <c r="CX388" s="259">
        <f t="shared" ca="1" si="807"/>
        <v>22</v>
      </c>
      <c r="CY388" s="259" t="str">
        <f t="shared" ca="1" si="805"/>
        <v>MASTRO</v>
      </c>
      <c r="CZ388" s="259" t="e">
        <f t="shared" ca="1" si="809"/>
        <v>#N/A</v>
      </c>
      <c r="DA388" s="259" t="str">
        <f t="shared" ca="1" si="814"/>
        <v/>
      </c>
      <c r="DB388" s="259" t="str">
        <f t="shared" ca="1" si="810"/>
        <v/>
      </c>
      <c r="DC388" s="259" t="str">
        <f t="shared" ca="1" si="811"/>
        <v/>
      </c>
      <c r="DD388" s="259" t="str">
        <f t="shared" ca="1" si="812"/>
        <v/>
      </c>
      <c r="DE388" s="259" t="str">
        <f t="shared" ca="1" si="813"/>
        <v/>
      </c>
      <c r="DF388" s="259">
        <f ca="1">IF(AND(CX388=$DE$2,$DF$2&lt;&gt;0),0,IF(AND(DB388&lt;&gt;"",OR(DB387&lt;&gt;"",DB389&lt;&gt;"")),MAX($DF$2:DF387)+1,0))</f>
        <v>0</v>
      </c>
      <c r="DG388" s="259" t="str">
        <f>IF(IF(LIBRO_GIORNALE!E296="","",IFERROR(INDEX(PIANO_DEI_CONTI,MATCH(BB388,DENOMINAZIONE,0),1),0))=0,"",IF(LIBRO_GIORNALE!E296="","",IFERROR(INDEX(PIANO_DEI_CONTI,MATCH(BB388,DENOMINAZIONE,0),1),0)))</f>
        <v/>
      </c>
      <c r="EC388" s="259">
        <f>IF(IF(DG388&lt;&gt;"",REPLACE(DG388,3,1,""),0)&lt;&gt;0,MAX(EC$2:EC387)+1,0)</f>
        <v>0</v>
      </c>
      <c r="ED388" s="259">
        <f t="shared" ca="1" si="815"/>
        <v>0</v>
      </c>
      <c r="EL388" s="259">
        <f t="shared" ref="EL388:EL451" si="822">ROW()-2</f>
        <v>386</v>
      </c>
      <c r="EM388" s="259">
        <f ca="1">IF(AND(BA388&gt;0,BA388&lt;=$EM$1),MAX($EM$2:EM387)+1,0)</f>
        <v>0</v>
      </c>
      <c r="EN388" s="259">
        <f t="shared" ref="EN388:EN451" ca="1" si="823">IF(EM388=$EL$1,ROW(),0)</f>
        <v>388</v>
      </c>
      <c r="EP388" s="259" t="str">
        <f t="shared" ca="1" si="816"/>
        <v/>
      </c>
      <c r="EW388" s="259">
        <f t="shared" ca="1" si="786"/>
        <v>1</v>
      </c>
      <c r="EX388" s="259">
        <v>286</v>
      </c>
      <c r="EY388" s="259">
        <f t="shared" ca="1" si="787"/>
        <v>0</v>
      </c>
      <c r="EZ388" s="259">
        <f t="shared" ca="1" si="788"/>
        <v>0</v>
      </c>
      <c r="FA388" s="259">
        <f t="shared" ca="1" si="789"/>
        <v>0</v>
      </c>
      <c r="FB388" s="259">
        <f t="shared" ca="1" si="790"/>
        <v>0</v>
      </c>
      <c r="FC388" s="259">
        <f t="shared" ca="1" si="791"/>
        <v>0</v>
      </c>
      <c r="FD388" s="259">
        <f t="shared" ca="1" si="817"/>
        <v>0</v>
      </c>
      <c r="FE388" s="259" t="str">
        <f t="shared" ca="1" si="818"/>
        <v/>
      </c>
      <c r="FF388" s="259" t="str">
        <f t="shared" ca="1" si="792"/>
        <v/>
      </c>
      <c r="FM388" s="259">
        <f t="shared" si="819"/>
        <v>0</v>
      </c>
      <c r="FN388" s="259">
        <f>IF(FM388&lt;0,MAX($FN$2:FN387)+1,0)</f>
        <v>0</v>
      </c>
      <c r="FO388" s="259" t="str">
        <f t="shared" ref="FO388:FO400" si="824">IF(FM388&lt;0,AA388,"")</f>
        <v/>
      </c>
      <c r="FP388" s="259" t="str">
        <f ca="1">IFERROR(INDEX($FN$3:$FO$400,MATCH(ROWS($FP$3:FP388),$FN$3:$FN$400,0),2),"")</f>
        <v/>
      </c>
      <c r="FQ388" s="259" t="str">
        <f>IF(AE388="SE AVERE",MAX($FQ$2:FQ387)+1,"")</f>
        <v/>
      </c>
      <c r="FR388" s="259" t="str">
        <f>IF(AE388="SE DARE",MAX($FR$2:FR387)+1,"")</f>
        <v/>
      </c>
      <c r="FS388" s="259" t="str">
        <f ca="1">IF(AND(AE388="SP DARE",AA388&lt;&gt;$FS$1,AA388&lt;&gt;$FT$1),MAX($FS$2:FS387)+1,IF(AND(GQ388="SP DARE",AA388&lt;&gt;$FS$1,AA388&lt;&gt;$FT$1),MAX($FS$2:FS387)+1,""))</f>
        <v/>
      </c>
      <c r="FT388" s="259" t="str">
        <f ca="1">IF(AND(AE388="SP AVERE",AA388&lt;&gt;$FU$1),MAX($FT$2:FT387)+1,IF(AND(GQ388="SP AVERE",AA388&lt;&gt;$FU$1),MAX($FT$2:FT387)+1,""))</f>
        <v/>
      </c>
      <c r="FU388" s="259">
        <f t="shared" ref="FU388:FU400" ca="1" si="825">SUM(FQ388:FT388)</f>
        <v>0</v>
      </c>
      <c r="FV388" s="259">
        <f t="shared" ref="FV388:FV400" si="826">AA388</f>
        <v>0</v>
      </c>
      <c r="FW388" s="259">
        <f ca="1">IFERROR(INDEX($FU$3:$FV$500,MATCH(ROWS($FW$3:FW388),$FU$3:$FU$500,0),2),0)</f>
        <v>0</v>
      </c>
      <c r="FX388" s="259">
        <f t="shared" ref="FX388:FX400" ca="1" si="827">IF(FW388&lt;&gt;0,ROW()-2,0)</f>
        <v>0</v>
      </c>
      <c r="FY388" s="259">
        <f t="shared" ref="FY388:FY400" ca="1" si="828">IF(AND(ROW()&lt;=$FX$1,FX388=0),ROW()-2,0)</f>
        <v>0</v>
      </c>
      <c r="FZ388" s="259">
        <f ca="1">IF(FY388&gt;0,MAX($FZ$2:FZ387)+1,0)</f>
        <v>0</v>
      </c>
      <c r="GA388" s="259">
        <f ca="1">IFERROR(INDEX($FY$3:$FZ$500,MATCH(ROWS($GA$3:GA388),$FZ$3:$FZ$500,0),1),0)</f>
        <v>0</v>
      </c>
      <c r="GC388" s="259">
        <f t="shared" ref="GC388:GC400" ca="1" si="829">FX388+FY388</f>
        <v>0</v>
      </c>
      <c r="GD388" s="259">
        <f t="shared" ref="GD388:GD400" ca="1" si="830">IFERROR(IF(FX388&gt;0,FW388,INDEX($GA$3:$GB$400,MATCH(ROW()-2,$GA$3:$GA$400,0),2)),0)</f>
        <v>0</v>
      </c>
      <c r="GG388" s="259">
        <f t="shared" ref="GG388:GG400" ca="1" si="831">IFERROR(INDEX($GA$3:$GF$400,MATCH(ROW()-2,$GA$3:$GA$400,0),5),0)</f>
        <v>0</v>
      </c>
      <c r="GH388" s="259">
        <f t="shared" ref="GH388:GH400" ca="1" si="832">IFERROR(INDEX($GA$3:$GF$400,MATCH(ROW()-2,$GA$3:$GA$400,0),6),0)</f>
        <v>0</v>
      </c>
      <c r="GI388" s="259">
        <f t="shared" ref="GI388:GI400" ca="1" si="833">IFERROR(INDEX($DL$3:$DP$400,MATCH($FW388,$DL$3:$DL$400,0),5),0)</f>
        <v>0</v>
      </c>
      <c r="GJ388" s="259">
        <f t="shared" ref="GJ388:GJ400" ca="1" si="834">IFERROR(INDEX($DL$3:$DP$400,MATCH($FW388,$DL$3:$DL$400,0),4),0)</f>
        <v>0</v>
      </c>
      <c r="GK388" s="259">
        <f t="shared" ref="GK388:GL400" ca="1" si="835">GG388+GI388</f>
        <v>0</v>
      </c>
      <c r="GL388" s="259">
        <f t="shared" ca="1" si="835"/>
        <v>0</v>
      </c>
      <c r="GM388" s="259">
        <f ca="1">IF(OR(GK388&gt;0,GL388&gt;0),MAX($GM$2:GM387)+1,0)</f>
        <v>0</v>
      </c>
      <c r="GN388" s="259" t="str">
        <f ca="1">IFERROR(INDEX($GD$3:$GM$400,MATCH(ROWS($GN$3:GN388),$GM$3:$GM$400,0),1),"")</f>
        <v/>
      </c>
      <c r="GO388" s="259" t="str">
        <f ca="1">IFERROR(INDEX($GD$3:$GM$400,MATCH(ROWS($GO$3:GO388),$GM$3:$GM$400,0),8),"")</f>
        <v/>
      </c>
      <c r="GP388" s="259" t="str">
        <f ca="1">IFERROR(INDEX($GD$3:$GM$400,MATCH(ROWS($GP$3:GP388),$GM$3:$GM$400,0),9),"")</f>
        <v/>
      </c>
      <c r="GQ388" s="259">
        <f t="shared" ca="1" si="820"/>
        <v>0</v>
      </c>
      <c r="GR388" s="259">
        <f t="shared" ref="GR388:GR400" ca="1" si="836">IF(AND(FQ388&gt;0,ROW()=FU388),"epilogo a Conto economico",0)</f>
        <v>0</v>
      </c>
      <c r="GS388" s="259" t="str">
        <f t="shared" ref="GS388:GS400" ca="1" si="837">IF(AND(ROW()-2&gt;=$GC$1,ROW()-2&lt;=$GK$1),"epilogo a Conto economico",IF(AND(ROW()-2&gt;=$GD$1,ROW()-2&lt;=$GL$1),"epilogo a Conto economico",IF(AND(ROW()-2&gt;=$GE$1,ROW()-2&lt;=$GN$1),"chiusura del conto",IF(AND(ROW()-2&gt;=$GF$1,ROW()-2&lt;=$GL$1),"epilogo a Conto economico",IF(ROW()-2=$GA$3,"epilogo componenti positivi",IF(ROW()-2=$GA$4,"epilogo componenti negativi",IF(AND(ROW()-2&gt;=$GA$7,ROW()-2&lt;=$GA$8),"rilevato utile d'esercizio",IF(AND(ROW()-2&gt;=$GA$5,ROW()-2&lt;=$GA$6),"rilevata perdita d'esercizio",IF(AND(ROW()-2&gt;=$GA$9,ROW()-2&lt;=$GA$10),"capitalizzato l'utile conseguito",IF(AND(ROW()-2&gt;=$GA$11,ROW()-2&lt;=$GA$12),"coperta perdita d'esercizio",IF(ROW()-2=$GA$13,"prelevamenti extragestione",IF(ROW()-2=$GA$15,"giro ritenute subite",IF(OR(ROW()-2=$GA$14,ROW()-2=$GA$16),"giro a patrimonio netto",IF(ROW()-2=$GA$17,"totale attività",IF(ROW()-2=$GA$18,"totale passività",IF(ROW()-2=$GA$19,"chiusura del conto",IF(ROW()-2=$GA$20,"patrimonio netto finale","")))))))))))))))))</f>
        <v/>
      </c>
      <c r="GT388" s="259" t="str">
        <f ca="1">IFERROR(INDEX($GD$3:$GS$400,MATCH(ROWS($GT$3:GT388),$GM$3:$GM$400,0),16),"")</f>
        <v/>
      </c>
      <c r="GU388" s="259">
        <f ca="1">IF(GQ388&lt;&gt;0,MAX($GU$2:$GU387)+1,0)</f>
        <v>0</v>
      </c>
      <c r="GV388" s="259">
        <f t="shared" ref="GV388:GV400" ca="1" si="838">IF(GU388&lt;&gt;0,AA388,0)</f>
        <v>0</v>
      </c>
      <c r="GW388" s="259" t="str">
        <f ca="1">IF(AND(IFERROR(INDEX($GU$3:$GV$400,MATCH(ROWS($GW$3:GW388),$GU$3:$GU$400,0),2),"")&lt;&gt;"",GW389&lt;&gt;""),CONCATENATE(IFERROR(INDEX($GU$3:$GV$400,MATCH(ROWS($GW$3:GW388),$GU$3:$GU$400,0),2),"")," - "),IFERROR(INDEX($GU$3:$GV$400,MATCH(ROWS($GW$3:GW388),$GU$3:$GU$400,0),2),""))</f>
        <v/>
      </c>
      <c r="GX388" s="259">
        <f ca="1">IF(OR(GN388="IVA NS/CREDITO",GN388="IVA NS/DEBITO",GN388="IVA C/ACCONTO",GN388="IMPOSTE C/ACCONTO"),MAX($GX$2:GX387)+1,0)</f>
        <v>0</v>
      </c>
      <c r="GY388" s="259" t="str">
        <f ca="1">IF(AND(IFERROR(INDEX($GN$3:$GX$200,MATCH(ROWS($GY$3:GY388),$GX$3:$GX$200,0),1),"")&lt;&gt;"",GY389&lt;&gt;""),CONCATENATE(IFERROR(INDEX($GN$3:$GX$200,MATCH(ROWS($GY$3:GY388),$GX$3:$GX$200,0),1),"")," - "),IFERROR(INDEX($GN$3:$GX$200,MATCH(ROWS($GY$3:GY388),$GX$3:$GX$200,0),1),""))</f>
        <v/>
      </c>
      <c r="JA388" s="259" t="str">
        <f t="shared" ref="JA388:JA400" ca="1" si="839">IF(EY388&gt;0,YEAR(EY388),"")</f>
        <v/>
      </c>
      <c r="JB388" s="259">
        <f t="shared" ca="1" si="821"/>
        <v>0</v>
      </c>
      <c r="JC388" s="259">
        <f t="shared" ca="1" si="793"/>
        <v>0</v>
      </c>
      <c r="JD388" s="259">
        <f t="shared" ca="1" si="794"/>
        <v>0</v>
      </c>
      <c r="JM388" s="259">
        <f t="shared" ca="1" si="795"/>
        <v>0</v>
      </c>
    </row>
    <row r="389" spans="52:273">
      <c r="AZ389" s="259" t="str">
        <f t="shared" ca="1" si="770"/>
        <v/>
      </c>
      <c r="BA389" s="259">
        <f t="shared" ca="1" si="785"/>
        <v>0</v>
      </c>
      <c r="BB389" s="259">
        <f t="shared" ca="1" si="771"/>
        <v>0</v>
      </c>
      <c r="BC389" s="259">
        <f t="shared" ca="1" si="772"/>
        <v>0</v>
      </c>
      <c r="BD389" s="259">
        <f t="shared" ca="1" si="773"/>
        <v>0</v>
      </c>
      <c r="BE389" s="259">
        <f t="shared" ca="1" si="774"/>
        <v>0</v>
      </c>
      <c r="BQ389" s="259" t="str">
        <f ca="1">IFERROR(INDEX($BN$3:$BO$200,MATCH(ROWS(BQ$3:BQ389),$BP$3:$BP$220,0),1),"")</f>
        <v/>
      </c>
      <c r="CX389" s="259">
        <f t="shared" ca="1" si="807"/>
        <v>22</v>
      </c>
      <c r="CY389" s="259" t="str">
        <f t="shared" ca="1" si="805"/>
        <v>MASTRO</v>
      </c>
      <c r="CZ389" s="259" t="e">
        <f t="shared" ca="1" si="809"/>
        <v>#N/A</v>
      </c>
      <c r="DA389" s="259" t="str">
        <f t="shared" ca="1" si="814"/>
        <v/>
      </c>
      <c r="DB389" s="259" t="str">
        <f t="shared" ca="1" si="810"/>
        <v/>
      </c>
      <c r="DC389" s="259" t="str">
        <f t="shared" ca="1" si="811"/>
        <v/>
      </c>
      <c r="DD389" s="259" t="str">
        <f t="shared" ca="1" si="812"/>
        <v/>
      </c>
      <c r="DE389" s="259" t="str">
        <f t="shared" ca="1" si="813"/>
        <v/>
      </c>
      <c r="DF389" s="259">
        <f ca="1">IF(AND(CX389=$DE$2,$DF$2&lt;&gt;0),0,IF(AND(DB389&lt;&gt;"",OR(DB388&lt;&gt;"",DB390&lt;&gt;"")),MAX($DF$2:DF388)+1,0))</f>
        <v>0</v>
      </c>
      <c r="DG389" s="259" t="str">
        <f>IF(IF(LIBRO_GIORNALE!E297="","",IFERROR(INDEX(PIANO_DEI_CONTI,MATCH(BB389,DENOMINAZIONE,0),1),0))=0,"",IF(LIBRO_GIORNALE!E297="","",IFERROR(INDEX(PIANO_DEI_CONTI,MATCH(BB389,DENOMINAZIONE,0),1),0)))</f>
        <v/>
      </c>
      <c r="EC389" s="259">
        <f>IF(IF(DG389&lt;&gt;"",REPLACE(DG389,3,1,""),0)&lt;&gt;0,MAX(EC$2:EC388)+1,0)</f>
        <v>0</v>
      </c>
      <c r="ED389" s="259">
        <f t="shared" ca="1" si="815"/>
        <v>0</v>
      </c>
      <c r="EL389" s="259">
        <f t="shared" si="822"/>
        <v>387</v>
      </c>
      <c r="EM389" s="259">
        <f ca="1">IF(AND(BA389&gt;0,BA389&lt;=$EM$1),MAX($EM$2:EM388)+1,0)</f>
        <v>0</v>
      </c>
      <c r="EN389" s="259">
        <f t="shared" ca="1" si="823"/>
        <v>389</v>
      </c>
      <c r="EP389" s="259" t="str">
        <f t="shared" ca="1" si="816"/>
        <v/>
      </c>
      <c r="EW389" s="259">
        <f t="shared" ca="1" si="786"/>
        <v>1</v>
      </c>
      <c r="EX389" s="259">
        <v>287</v>
      </c>
      <c r="EY389" s="259">
        <f t="shared" ca="1" si="787"/>
        <v>0</v>
      </c>
      <c r="EZ389" s="259">
        <f t="shared" ca="1" si="788"/>
        <v>0</v>
      </c>
      <c r="FA389" s="259">
        <f t="shared" ca="1" si="789"/>
        <v>0</v>
      </c>
      <c r="FB389" s="259">
        <f t="shared" ca="1" si="790"/>
        <v>0</v>
      </c>
      <c r="FC389" s="259">
        <f t="shared" ca="1" si="791"/>
        <v>0</v>
      </c>
      <c r="FD389" s="259">
        <f t="shared" ca="1" si="817"/>
        <v>0</v>
      </c>
      <c r="FE389" s="259" t="str">
        <f t="shared" ca="1" si="818"/>
        <v/>
      </c>
      <c r="FF389" s="259" t="str">
        <f t="shared" ca="1" si="792"/>
        <v/>
      </c>
      <c r="FM389" s="259">
        <f t="shared" si="819"/>
        <v>0</v>
      </c>
      <c r="FN389" s="259">
        <f>IF(FM389&lt;0,MAX($FN$2:FN388)+1,0)</f>
        <v>0</v>
      </c>
      <c r="FO389" s="259" t="str">
        <f t="shared" si="824"/>
        <v/>
      </c>
      <c r="FP389" s="259" t="str">
        <f ca="1">IFERROR(INDEX($FN$3:$FO$400,MATCH(ROWS($FP$3:FP389),$FN$3:$FN$400,0),2),"")</f>
        <v/>
      </c>
      <c r="FQ389" s="259" t="str">
        <f>IF(AE389="SE AVERE",MAX($FQ$2:FQ388)+1,"")</f>
        <v/>
      </c>
      <c r="FR389" s="259" t="str">
        <f>IF(AE389="SE DARE",MAX($FR$2:FR388)+1,"")</f>
        <v/>
      </c>
      <c r="FS389" s="259" t="str">
        <f ca="1">IF(AND(AE389="SP DARE",AA389&lt;&gt;$FS$1,AA389&lt;&gt;$FT$1),MAX($FS$2:FS388)+1,IF(AND(GQ389="SP DARE",AA389&lt;&gt;$FS$1,AA389&lt;&gt;$FT$1),MAX($FS$2:FS388)+1,""))</f>
        <v/>
      </c>
      <c r="FT389" s="259" t="str">
        <f ca="1">IF(AND(AE389="SP AVERE",AA389&lt;&gt;$FU$1),MAX($FT$2:FT388)+1,IF(AND(GQ389="SP AVERE",AA389&lt;&gt;$FU$1),MAX($FT$2:FT388)+1,""))</f>
        <v/>
      </c>
      <c r="FU389" s="259">
        <f t="shared" ca="1" si="825"/>
        <v>0</v>
      </c>
      <c r="FV389" s="259">
        <f t="shared" si="826"/>
        <v>0</v>
      </c>
      <c r="FW389" s="259">
        <f ca="1">IFERROR(INDEX($FU$3:$FV$500,MATCH(ROWS($FW$3:FW389),$FU$3:$FU$500,0),2),0)</f>
        <v>0</v>
      </c>
      <c r="FX389" s="259">
        <f t="shared" ca="1" si="827"/>
        <v>0</v>
      </c>
      <c r="FY389" s="259">
        <f t="shared" ca="1" si="828"/>
        <v>0</v>
      </c>
      <c r="FZ389" s="259">
        <f ca="1">IF(FY389&gt;0,MAX($FZ$2:FZ388)+1,0)</f>
        <v>0</v>
      </c>
      <c r="GA389" s="259">
        <f ca="1">IFERROR(INDEX($FY$3:$FZ$500,MATCH(ROWS($GA$3:GA389),$FZ$3:$FZ$500,0),1),0)</f>
        <v>0</v>
      </c>
      <c r="GC389" s="259">
        <f t="shared" ca="1" si="829"/>
        <v>0</v>
      </c>
      <c r="GD389" s="259">
        <f t="shared" ca="1" si="830"/>
        <v>0</v>
      </c>
      <c r="GG389" s="259">
        <f t="shared" ca="1" si="831"/>
        <v>0</v>
      </c>
      <c r="GH389" s="259">
        <f t="shared" ca="1" si="832"/>
        <v>0</v>
      </c>
      <c r="GI389" s="259">
        <f t="shared" ca="1" si="833"/>
        <v>0</v>
      </c>
      <c r="GJ389" s="259">
        <f t="shared" ca="1" si="834"/>
        <v>0</v>
      </c>
      <c r="GK389" s="259">
        <f t="shared" ca="1" si="835"/>
        <v>0</v>
      </c>
      <c r="GL389" s="259">
        <f t="shared" ca="1" si="835"/>
        <v>0</v>
      </c>
      <c r="GM389" s="259">
        <f ca="1">IF(OR(GK389&gt;0,GL389&gt;0),MAX($GM$2:GM388)+1,0)</f>
        <v>0</v>
      </c>
      <c r="GN389" s="259" t="str">
        <f ca="1">IFERROR(INDEX($GD$3:$GM$400,MATCH(ROWS($GN$3:GN389),$GM$3:$GM$400,0),1),"")</f>
        <v/>
      </c>
      <c r="GO389" s="259" t="str">
        <f ca="1">IFERROR(INDEX($GD$3:$GM$400,MATCH(ROWS($GO$3:GO389),$GM$3:$GM$400,0),8),"")</f>
        <v/>
      </c>
      <c r="GP389" s="259" t="str">
        <f ca="1">IFERROR(INDEX($GD$3:$GM$400,MATCH(ROWS($GP$3:GP389),$GM$3:$GM$400,0),9),"")</f>
        <v/>
      </c>
      <c r="GQ389" s="259">
        <f t="shared" ca="1" si="820"/>
        <v>0</v>
      </c>
      <c r="GR389" s="259">
        <f t="shared" ca="1" si="836"/>
        <v>0</v>
      </c>
      <c r="GS389" s="259" t="str">
        <f t="shared" ca="1" si="837"/>
        <v/>
      </c>
      <c r="GT389" s="259" t="str">
        <f ca="1">IFERROR(INDEX($GD$3:$GS$400,MATCH(ROWS($GT$3:GT389),$GM$3:$GM$400,0),16),"")</f>
        <v/>
      </c>
      <c r="GU389" s="259">
        <f ca="1">IF(GQ389&lt;&gt;0,MAX($GU$2:$GU388)+1,0)</f>
        <v>0</v>
      </c>
      <c r="GV389" s="259">
        <f t="shared" ca="1" si="838"/>
        <v>0</v>
      </c>
      <c r="GW389" s="259" t="str">
        <f ca="1">IF(AND(IFERROR(INDEX($GU$3:$GV$400,MATCH(ROWS($GW$3:GW389),$GU$3:$GU$400,0),2),"")&lt;&gt;"",GW390&lt;&gt;""),CONCATENATE(IFERROR(INDEX($GU$3:$GV$400,MATCH(ROWS($GW$3:GW389),$GU$3:$GU$400,0),2),"")," - "),IFERROR(INDEX($GU$3:$GV$400,MATCH(ROWS($GW$3:GW389),$GU$3:$GU$400,0),2),""))</f>
        <v/>
      </c>
      <c r="GX389" s="259">
        <f ca="1">IF(OR(GN389="IVA NS/CREDITO",GN389="IVA NS/DEBITO",GN389="IVA C/ACCONTO",GN389="IMPOSTE C/ACCONTO"),MAX($GX$2:GX388)+1,0)</f>
        <v>0</v>
      </c>
      <c r="GY389" s="259" t="str">
        <f ca="1">IF(AND(IFERROR(INDEX($GN$3:$GX$200,MATCH(ROWS($GY$3:GY389),$GX$3:$GX$200,0),1),"")&lt;&gt;"",GY390&lt;&gt;""),CONCATENATE(IFERROR(INDEX($GN$3:$GX$200,MATCH(ROWS($GY$3:GY389),$GX$3:$GX$200,0),1),"")," - "),IFERROR(INDEX($GN$3:$GX$200,MATCH(ROWS($GY$3:GY389),$GX$3:$GX$200,0),1),""))</f>
        <v/>
      </c>
      <c r="JA389" s="259" t="str">
        <f t="shared" ca="1" si="839"/>
        <v/>
      </c>
      <c r="JB389" s="259">
        <f t="shared" ca="1" si="821"/>
        <v>0</v>
      </c>
      <c r="JC389" s="259">
        <f t="shared" ca="1" si="793"/>
        <v>0</v>
      </c>
      <c r="JD389" s="259">
        <f t="shared" ca="1" si="794"/>
        <v>0</v>
      </c>
      <c r="JM389" s="259">
        <f t="shared" ca="1" si="795"/>
        <v>0</v>
      </c>
    </row>
    <row r="390" spans="52:273">
      <c r="AZ390" s="259" t="str">
        <f t="shared" ca="1" si="770"/>
        <v/>
      </c>
      <c r="BA390" s="259">
        <f t="shared" ca="1" si="785"/>
        <v>0</v>
      </c>
      <c r="BB390" s="259">
        <f t="shared" ca="1" si="771"/>
        <v>0</v>
      </c>
      <c r="BC390" s="259">
        <f t="shared" ca="1" si="772"/>
        <v>0</v>
      </c>
      <c r="BD390" s="259">
        <f t="shared" ca="1" si="773"/>
        <v>0</v>
      </c>
      <c r="BE390" s="259">
        <f t="shared" ca="1" si="774"/>
        <v>0</v>
      </c>
      <c r="BQ390" s="259" t="str">
        <f ca="1">IFERROR(INDEX($BN$3:$BO$200,MATCH(ROWS(BQ$3:BQ390),$BP$3:$BP$220,0),1),"")</f>
        <v/>
      </c>
      <c r="CX390" s="259">
        <f t="shared" ca="1" si="807"/>
        <v>22</v>
      </c>
      <c r="CY390" s="259" t="str">
        <f t="shared" ca="1" si="805"/>
        <v>MASTRO</v>
      </c>
      <c r="CZ390" s="259" t="e">
        <f t="shared" ca="1" si="809"/>
        <v>#N/A</v>
      </c>
      <c r="DA390" s="259" t="str">
        <f t="shared" ca="1" si="814"/>
        <v/>
      </c>
      <c r="DB390" s="259" t="str">
        <f t="shared" ca="1" si="810"/>
        <v/>
      </c>
      <c r="DC390" s="259" t="str">
        <f t="shared" ca="1" si="811"/>
        <v/>
      </c>
      <c r="DD390" s="259" t="str">
        <f t="shared" ca="1" si="812"/>
        <v/>
      </c>
      <c r="DE390" s="259" t="str">
        <f t="shared" ca="1" si="813"/>
        <v/>
      </c>
      <c r="DF390" s="259">
        <f ca="1">IF(AND(CX390=$DE$2,$DF$2&lt;&gt;0),0,IF(AND(DB390&lt;&gt;"",OR(DB389&lt;&gt;"",DB391&lt;&gt;"")),MAX($DF$2:DF389)+1,0))</f>
        <v>0</v>
      </c>
      <c r="DG390" s="259" t="str">
        <f>IF(IF(LIBRO_GIORNALE!E298="","",IFERROR(INDEX(PIANO_DEI_CONTI,MATCH(BB390,DENOMINAZIONE,0),1),0))=0,"",IF(LIBRO_GIORNALE!E298="","",IFERROR(INDEX(PIANO_DEI_CONTI,MATCH(BB390,DENOMINAZIONE,0),1),0)))</f>
        <v/>
      </c>
      <c r="EC390" s="259">
        <f>IF(IF(DG390&lt;&gt;"",REPLACE(DG390,3,1,""),0)&lt;&gt;0,MAX(EC$2:EC389)+1,0)</f>
        <v>0</v>
      </c>
      <c r="ED390" s="259">
        <f t="shared" ca="1" si="815"/>
        <v>0</v>
      </c>
      <c r="EL390" s="259">
        <f t="shared" si="822"/>
        <v>388</v>
      </c>
      <c r="EM390" s="259">
        <f ca="1">IF(AND(BA390&gt;0,BA390&lt;=$EM$1),MAX($EM$2:EM389)+1,0)</f>
        <v>0</v>
      </c>
      <c r="EN390" s="259">
        <f t="shared" ca="1" si="823"/>
        <v>390</v>
      </c>
      <c r="EP390" s="259" t="str">
        <f t="shared" ca="1" si="816"/>
        <v/>
      </c>
      <c r="EW390" s="259">
        <f t="shared" ca="1" si="786"/>
        <v>1</v>
      </c>
      <c r="EX390" s="259">
        <v>288</v>
      </c>
      <c r="EY390" s="259">
        <f t="shared" ca="1" si="787"/>
        <v>0</v>
      </c>
      <c r="EZ390" s="259">
        <f t="shared" ca="1" si="788"/>
        <v>0</v>
      </c>
      <c r="FA390" s="259">
        <f t="shared" ca="1" si="789"/>
        <v>0</v>
      </c>
      <c r="FB390" s="259">
        <f t="shared" ca="1" si="790"/>
        <v>0</v>
      </c>
      <c r="FC390" s="259">
        <f t="shared" ca="1" si="791"/>
        <v>0</v>
      </c>
      <c r="FD390" s="259">
        <f t="shared" ca="1" si="817"/>
        <v>0</v>
      </c>
      <c r="FE390" s="259" t="str">
        <f t="shared" ca="1" si="818"/>
        <v/>
      </c>
      <c r="FF390" s="259" t="str">
        <f t="shared" ca="1" si="792"/>
        <v/>
      </c>
      <c r="FM390" s="259">
        <f t="shared" si="819"/>
        <v>0</v>
      </c>
      <c r="FN390" s="259">
        <f>IF(FM390&lt;0,MAX($FN$2:FN389)+1,0)</f>
        <v>0</v>
      </c>
      <c r="FO390" s="259" t="str">
        <f t="shared" si="824"/>
        <v/>
      </c>
      <c r="FP390" s="259" t="str">
        <f ca="1">IFERROR(INDEX($FN$3:$FO$400,MATCH(ROWS($FP$3:FP390),$FN$3:$FN$400,0),2),"")</f>
        <v/>
      </c>
      <c r="FQ390" s="259" t="str">
        <f>IF(AE390="SE AVERE",MAX($FQ$2:FQ389)+1,"")</f>
        <v/>
      </c>
      <c r="FR390" s="259" t="str">
        <f>IF(AE390="SE DARE",MAX($FR$2:FR389)+1,"")</f>
        <v/>
      </c>
      <c r="FS390" s="259" t="str">
        <f ca="1">IF(AND(AE390="SP DARE",AA390&lt;&gt;$FS$1,AA390&lt;&gt;$FT$1),MAX($FS$2:FS389)+1,IF(AND(GQ390="SP DARE",AA390&lt;&gt;$FS$1,AA390&lt;&gt;$FT$1),MAX($FS$2:FS389)+1,""))</f>
        <v/>
      </c>
      <c r="FT390" s="259" t="str">
        <f ca="1">IF(AND(AE390="SP AVERE",AA390&lt;&gt;$FU$1),MAX($FT$2:FT389)+1,IF(AND(GQ390="SP AVERE",AA390&lt;&gt;$FU$1),MAX($FT$2:FT389)+1,""))</f>
        <v/>
      </c>
      <c r="FU390" s="259">
        <f t="shared" ca="1" si="825"/>
        <v>0</v>
      </c>
      <c r="FV390" s="259">
        <f t="shared" si="826"/>
        <v>0</v>
      </c>
      <c r="FW390" s="259">
        <f ca="1">IFERROR(INDEX($FU$3:$FV$500,MATCH(ROWS($FW$3:FW390),$FU$3:$FU$500,0),2),0)</f>
        <v>0</v>
      </c>
      <c r="FX390" s="259">
        <f t="shared" ca="1" si="827"/>
        <v>0</v>
      </c>
      <c r="FY390" s="259">
        <f t="shared" ca="1" si="828"/>
        <v>0</v>
      </c>
      <c r="FZ390" s="259">
        <f ca="1">IF(FY390&gt;0,MAX($FZ$2:FZ389)+1,0)</f>
        <v>0</v>
      </c>
      <c r="GA390" s="259">
        <f ca="1">IFERROR(INDEX($FY$3:$FZ$500,MATCH(ROWS($GA$3:GA390),$FZ$3:$FZ$500,0),1),0)</f>
        <v>0</v>
      </c>
      <c r="GC390" s="259">
        <f t="shared" ca="1" si="829"/>
        <v>0</v>
      </c>
      <c r="GD390" s="259">
        <f t="shared" ca="1" si="830"/>
        <v>0</v>
      </c>
      <c r="GG390" s="259">
        <f t="shared" ca="1" si="831"/>
        <v>0</v>
      </c>
      <c r="GH390" s="259">
        <f t="shared" ca="1" si="832"/>
        <v>0</v>
      </c>
      <c r="GI390" s="259">
        <f t="shared" ca="1" si="833"/>
        <v>0</v>
      </c>
      <c r="GJ390" s="259">
        <f t="shared" ca="1" si="834"/>
        <v>0</v>
      </c>
      <c r="GK390" s="259">
        <f t="shared" ca="1" si="835"/>
        <v>0</v>
      </c>
      <c r="GL390" s="259">
        <f t="shared" ca="1" si="835"/>
        <v>0</v>
      </c>
      <c r="GM390" s="259">
        <f ca="1">IF(OR(GK390&gt;0,GL390&gt;0),MAX($GM$2:GM389)+1,0)</f>
        <v>0</v>
      </c>
      <c r="GN390" s="259" t="str">
        <f ca="1">IFERROR(INDEX($GD$3:$GM$400,MATCH(ROWS($GN$3:GN390),$GM$3:$GM$400,0),1),"")</f>
        <v/>
      </c>
      <c r="GO390" s="259" t="str">
        <f ca="1">IFERROR(INDEX($GD$3:$GM$400,MATCH(ROWS($GO$3:GO390),$GM$3:$GM$400,0),8),"")</f>
        <v/>
      </c>
      <c r="GP390" s="259" t="str">
        <f ca="1">IFERROR(INDEX($GD$3:$GM$400,MATCH(ROWS($GP$3:GP390),$GM$3:$GM$400,0),9),"")</f>
        <v/>
      </c>
      <c r="GQ390" s="259">
        <f t="shared" ca="1" si="820"/>
        <v>0</v>
      </c>
      <c r="GR390" s="259">
        <f t="shared" ca="1" si="836"/>
        <v>0</v>
      </c>
      <c r="GS390" s="259" t="str">
        <f t="shared" ca="1" si="837"/>
        <v/>
      </c>
      <c r="GT390" s="259" t="str">
        <f ca="1">IFERROR(INDEX($GD$3:$GS$400,MATCH(ROWS($GT$3:GT390),$GM$3:$GM$400,0),16),"")</f>
        <v/>
      </c>
      <c r="GU390" s="259">
        <f ca="1">IF(GQ390&lt;&gt;0,MAX($GU$2:$GU389)+1,0)</f>
        <v>0</v>
      </c>
      <c r="GV390" s="259">
        <f t="shared" ca="1" si="838"/>
        <v>0</v>
      </c>
      <c r="GW390" s="259" t="str">
        <f ca="1">IF(AND(IFERROR(INDEX($GU$3:$GV$400,MATCH(ROWS($GW$3:GW390),$GU$3:$GU$400,0),2),"")&lt;&gt;"",GW391&lt;&gt;""),CONCATENATE(IFERROR(INDEX($GU$3:$GV$400,MATCH(ROWS($GW$3:GW390),$GU$3:$GU$400,0),2),"")," - "),IFERROR(INDEX($GU$3:$GV$400,MATCH(ROWS($GW$3:GW390),$GU$3:$GU$400,0),2),""))</f>
        <v/>
      </c>
      <c r="GX390" s="259">
        <f ca="1">IF(OR(GN390="IVA NS/CREDITO",GN390="IVA NS/DEBITO",GN390="IVA C/ACCONTO",GN390="IMPOSTE C/ACCONTO"),MAX($GX$2:GX389)+1,0)</f>
        <v>0</v>
      </c>
      <c r="GY390" s="259" t="str">
        <f ca="1">IF(AND(IFERROR(INDEX($GN$3:$GX$200,MATCH(ROWS($GY$3:GY390),$GX$3:$GX$200,0),1),"")&lt;&gt;"",GY391&lt;&gt;""),CONCATENATE(IFERROR(INDEX($GN$3:$GX$200,MATCH(ROWS($GY$3:GY390),$GX$3:$GX$200,0),1),"")," - "),IFERROR(INDEX($GN$3:$GX$200,MATCH(ROWS($GY$3:GY390),$GX$3:$GX$200,0),1),""))</f>
        <v/>
      </c>
      <c r="JA390" s="259" t="str">
        <f t="shared" ca="1" si="839"/>
        <v/>
      </c>
      <c r="JB390" s="259">
        <f t="shared" ca="1" si="821"/>
        <v>0</v>
      </c>
      <c r="JC390" s="259">
        <f t="shared" ca="1" si="793"/>
        <v>0</v>
      </c>
      <c r="JD390" s="259">
        <f t="shared" ca="1" si="794"/>
        <v>0</v>
      </c>
      <c r="JM390" s="259">
        <f t="shared" ca="1" si="795"/>
        <v>0</v>
      </c>
    </row>
    <row r="391" spans="52:273">
      <c r="AZ391" s="259" t="str">
        <f t="shared" ca="1" si="770"/>
        <v/>
      </c>
      <c r="BA391" s="259">
        <f t="shared" ca="1" si="785"/>
        <v>0</v>
      </c>
      <c r="BB391" s="259">
        <f t="shared" ca="1" si="771"/>
        <v>0</v>
      </c>
      <c r="BC391" s="259">
        <f t="shared" ca="1" si="772"/>
        <v>0</v>
      </c>
      <c r="BD391" s="259">
        <f t="shared" ca="1" si="773"/>
        <v>0</v>
      </c>
      <c r="BE391" s="259">
        <f t="shared" ca="1" si="774"/>
        <v>0</v>
      </c>
      <c r="BQ391" s="259" t="str">
        <f ca="1">IFERROR(INDEX($BN$3:$BO$200,MATCH(ROWS(BQ$3:BQ391),$BP$3:$BP$220,0),1),"")</f>
        <v/>
      </c>
      <c r="CX391" s="259">
        <f t="shared" ca="1" si="807"/>
        <v>22</v>
      </c>
      <c r="CY391" s="259" t="str">
        <f t="shared" ca="1" si="805"/>
        <v>MASTRO</v>
      </c>
      <c r="CZ391" s="259" t="e">
        <f t="shared" ca="1" si="809"/>
        <v>#N/A</v>
      </c>
      <c r="DA391" s="259" t="str">
        <f t="shared" ca="1" si="814"/>
        <v/>
      </c>
      <c r="DB391" s="259" t="str">
        <f t="shared" ca="1" si="810"/>
        <v/>
      </c>
      <c r="DC391" s="259" t="str">
        <f t="shared" ca="1" si="811"/>
        <v/>
      </c>
      <c r="DD391" s="259" t="str">
        <f t="shared" ca="1" si="812"/>
        <v/>
      </c>
      <c r="DE391" s="259" t="str">
        <f t="shared" ca="1" si="813"/>
        <v/>
      </c>
      <c r="DF391" s="259">
        <f ca="1">IF(AND(CX391=$DE$2,$DF$2&lt;&gt;0),0,IF(AND(DB391&lt;&gt;"",OR(DB390&lt;&gt;"",DB392&lt;&gt;"")),MAX($DF$2:DF390)+1,0))</f>
        <v>0</v>
      </c>
      <c r="DG391" s="259" t="str">
        <f>IF(IF(LIBRO_GIORNALE!E299="","",IFERROR(INDEX(PIANO_DEI_CONTI,MATCH(BB391,DENOMINAZIONE,0),1),0))=0,"",IF(LIBRO_GIORNALE!E299="","",IFERROR(INDEX(PIANO_DEI_CONTI,MATCH(BB391,DENOMINAZIONE,0),1),0)))</f>
        <v/>
      </c>
      <c r="EC391" s="259">
        <f>IF(IF(DG391&lt;&gt;"",REPLACE(DG391,3,1,""),0)&lt;&gt;0,MAX(EC$2:EC390)+1,0)</f>
        <v>0</v>
      </c>
      <c r="ED391" s="259">
        <f t="shared" ca="1" si="815"/>
        <v>0</v>
      </c>
      <c r="EL391" s="259">
        <f t="shared" si="822"/>
        <v>389</v>
      </c>
      <c r="EM391" s="259">
        <f ca="1">IF(AND(BA391&gt;0,BA391&lt;=$EM$1),MAX($EM$2:EM390)+1,0)</f>
        <v>0</v>
      </c>
      <c r="EN391" s="259">
        <f t="shared" ca="1" si="823"/>
        <v>391</v>
      </c>
      <c r="EP391" s="259" t="str">
        <f t="shared" ca="1" si="816"/>
        <v/>
      </c>
      <c r="EW391" s="259">
        <f t="shared" ca="1" si="786"/>
        <v>1</v>
      </c>
      <c r="EX391" s="259">
        <v>289</v>
      </c>
      <c r="EY391" s="259">
        <f t="shared" ca="1" si="787"/>
        <v>0</v>
      </c>
      <c r="EZ391" s="259">
        <f t="shared" ca="1" si="788"/>
        <v>0</v>
      </c>
      <c r="FA391" s="259">
        <f t="shared" ca="1" si="789"/>
        <v>0</v>
      </c>
      <c r="FB391" s="259">
        <f t="shared" ca="1" si="790"/>
        <v>0</v>
      </c>
      <c r="FC391" s="259">
        <f t="shared" ca="1" si="791"/>
        <v>0</v>
      </c>
      <c r="FD391" s="259">
        <f t="shared" ca="1" si="817"/>
        <v>0</v>
      </c>
      <c r="FE391" s="259" t="str">
        <f t="shared" ca="1" si="818"/>
        <v/>
      </c>
      <c r="FF391" s="259" t="str">
        <f t="shared" ca="1" si="792"/>
        <v/>
      </c>
      <c r="FM391" s="259">
        <f t="shared" si="819"/>
        <v>0</v>
      </c>
      <c r="FN391" s="259">
        <f>IF(FM391&lt;0,MAX($FN$2:FN390)+1,0)</f>
        <v>0</v>
      </c>
      <c r="FO391" s="259" t="str">
        <f t="shared" si="824"/>
        <v/>
      </c>
      <c r="FP391" s="259" t="str">
        <f ca="1">IFERROR(INDEX($FN$3:$FO$400,MATCH(ROWS($FP$3:FP391),$FN$3:$FN$400,0),2),"")</f>
        <v/>
      </c>
      <c r="FQ391" s="259" t="str">
        <f>IF(AE391="SE AVERE",MAX($FQ$2:FQ390)+1,"")</f>
        <v/>
      </c>
      <c r="FR391" s="259" t="str">
        <f>IF(AE391="SE DARE",MAX($FR$2:FR390)+1,"")</f>
        <v/>
      </c>
      <c r="FS391" s="259" t="str">
        <f ca="1">IF(AND(AE391="SP DARE",AA391&lt;&gt;$FS$1,AA391&lt;&gt;$FT$1),MAX($FS$2:FS390)+1,IF(AND(GQ391="SP DARE",AA391&lt;&gt;$FS$1,AA391&lt;&gt;$FT$1),MAX($FS$2:FS390)+1,""))</f>
        <v/>
      </c>
      <c r="FT391" s="259" t="str">
        <f ca="1">IF(AND(AE391="SP AVERE",AA391&lt;&gt;$FU$1),MAX($FT$2:FT390)+1,IF(AND(GQ391="SP AVERE",AA391&lt;&gt;$FU$1),MAX($FT$2:FT390)+1,""))</f>
        <v/>
      </c>
      <c r="FU391" s="259">
        <f t="shared" ca="1" si="825"/>
        <v>0</v>
      </c>
      <c r="FV391" s="259">
        <f t="shared" si="826"/>
        <v>0</v>
      </c>
      <c r="FW391" s="259">
        <f ca="1">IFERROR(INDEX($FU$3:$FV$500,MATCH(ROWS($FW$3:FW391),$FU$3:$FU$500,0),2),0)</f>
        <v>0</v>
      </c>
      <c r="FX391" s="259">
        <f t="shared" ca="1" si="827"/>
        <v>0</v>
      </c>
      <c r="FY391" s="259">
        <f t="shared" ca="1" si="828"/>
        <v>0</v>
      </c>
      <c r="FZ391" s="259">
        <f ca="1">IF(FY391&gt;0,MAX($FZ$2:FZ390)+1,0)</f>
        <v>0</v>
      </c>
      <c r="GA391" s="259">
        <f ca="1">IFERROR(INDEX($FY$3:$FZ$500,MATCH(ROWS($GA$3:GA391),$FZ$3:$FZ$500,0),1),0)</f>
        <v>0</v>
      </c>
      <c r="GC391" s="259">
        <f t="shared" ca="1" si="829"/>
        <v>0</v>
      </c>
      <c r="GD391" s="259">
        <f t="shared" ca="1" si="830"/>
        <v>0</v>
      </c>
      <c r="GG391" s="259">
        <f t="shared" ca="1" si="831"/>
        <v>0</v>
      </c>
      <c r="GH391" s="259">
        <f t="shared" ca="1" si="832"/>
        <v>0</v>
      </c>
      <c r="GI391" s="259">
        <f t="shared" ca="1" si="833"/>
        <v>0</v>
      </c>
      <c r="GJ391" s="259">
        <f t="shared" ca="1" si="834"/>
        <v>0</v>
      </c>
      <c r="GK391" s="259">
        <f t="shared" ca="1" si="835"/>
        <v>0</v>
      </c>
      <c r="GL391" s="259">
        <f t="shared" ca="1" si="835"/>
        <v>0</v>
      </c>
      <c r="GM391" s="259">
        <f ca="1">IF(OR(GK391&gt;0,GL391&gt;0),MAX($GM$2:GM390)+1,0)</f>
        <v>0</v>
      </c>
      <c r="GN391" s="259" t="str">
        <f ca="1">IFERROR(INDEX($GD$3:$GM$400,MATCH(ROWS($GN$3:GN391),$GM$3:$GM$400,0),1),"")</f>
        <v/>
      </c>
      <c r="GO391" s="259" t="str">
        <f ca="1">IFERROR(INDEX($GD$3:$GM$400,MATCH(ROWS($GO$3:GO391),$GM$3:$GM$400,0),8),"")</f>
        <v/>
      </c>
      <c r="GP391" s="259" t="str">
        <f ca="1">IFERROR(INDEX($GD$3:$GM$400,MATCH(ROWS($GP$3:GP391),$GM$3:$GM$400,0),9),"")</f>
        <v/>
      </c>
      <c r="GQ391" s="259">
        <f t="shared" ca="1" si="820"/>
        <v>0</v>
      </c>
      <c r="GR391" s="259">
        <f t="shared" ca="1" si="836"/>
        <v>0</v>
      </c>
      <c r="GS391" s="259" t="str">
        <f t="shared" ca="1" si="837"/>
        <v/>
      </c>
      <c r="GT391" s="259" t="str">
        <f ca="1">IFERROR(INDEX($GD$3:$GS$400,MATCH(ROWS($GT$3:GT391),$GM$3:$GM$400,0),16),"")</f>
        <v/>
      </c>
      <c r="GU391" s="259">
        <f ca="1">IF(GQ391&lt;&gt;0,MAX($GU$2:$GU390)+1,0)</f>
        <v>0</v>
      </c>
      <c r="GV391" s="259">
        <f t="shared" ca="1" si="838"/>
        <v>0</v>
      </c>
      <c r="GW391" s="259" t="str">
        <f ca="1">IF(AND(IFERROR(INDEX($GU$3:$GV$400,MATCH(ROWS($GW$3:GW391),$GU$3:$GU$400,0),2),"")&lt;&gt;"",GW392&lt;&gt;""),CONCATENATE(IFERROR(INDEX($GU$3:$GV$400,MATCH(ROWS($GW$3:GW391),$GU$3:$GU$400,0),2),"")," - "),IFERROR(INDEX($GU$3:$GV$400,MATCH(ROWS($GW$3:GW391),$GU$3:$GU$400,0),2),""))</f>
        <v/>
      </c>
      <c r="GX391" s="259">
        <f ca="1">IF(OR(GN391="IVA NS/CREDITO",GN391="IVA NS/DEBITO",GN391="IVA C/ACCONTO",GN391="IMPOSTE C/ACCONTO"),MAX($GX$2:GX390)+1,0)</f>
        <v>0</v>
      </c>
      <c r="GY391" s="259" t="str">
        <f ca="1">IF(AND(IFERROR(INDEX($GN$3:$GX$200,MATCH(ROWS($GY$3:GY391),$GX$3:$GX$200,0),1),"")&lt;&gt;"",GY392&lt;&gt;""),CONCATENATE(IFERROR(INDEX($GN$3:$GX$200,MATCH(ROWS($GY$3:GY391),$GX$3:$GX$200,0),1),"")," - "),IFERROR(INDEX($GN$3:$GX$200,MATCH(ROWS($GY$3:GY391),$GX$3:$GX$200,0),1),""))</f>
        <v/>
      </c>
      <c r="JA391" s="259" t="str">
        <f t="shared" ca="1" si="839"/>
        <v/>
      </c>
      <c r="JB391" s="259">
        <f t="shared" ca="1" si="821"/>
        <v>0</v>
      </c>
      <c r="JC391" s="259">
        <f t="shared" ca="1" si="793"/>
        <v>0</v>
      </c>
      <c r="JD391" s="259">
        <f t="shared" ca="1" si="794"/>
        <v>0</v>
      </c>
      <c r="JM391" s="259">
        <f t="shared" ca="1" si="795"/>
        <v>0</v>
      </c>
    </row>
    <row r="392" spans="52:273">
      <c r="AZ392" s="259" t="str">
        <f t="shared" ca="1" si="770"/>
        <v/>
      </c>
      <c r="BA392" s="259">
        <f t="shared" ca="1" si="785"/>
        <v>0</v>
      </c>
      <c r="BB392" s="259">
        <f t="shared" ca="1" si="771"/>
        <v>0</v>
      </c>
      <c r="BC392" s="259">
        <f t="shared" ca="1" si="772"/>
        <v>0</v>
      </c>
      <c r="BD392" s="259">
        <f t="shared" ca="1" si="773"/>
        <v>0</v>
      </c>
      <c r="BE392" s="259">
        <f t="shared" ca="1" si="774"/>
        <v>0</v>
      </c>
      <c r="BQ392" s="259" t="str">
        <f ca="1">IFERROR(INDEX($BN$3:$BO$200,MATCH(ROWS(BQ$3:BQ392),$BP$3:$BP$220,0),1),"")</f>
        <v/>
      </c>
      <c r="CX392" s="259">
        <f t="shared" ca="1" si="807"/>
        <v>22</v>
      </c>
      <c r="CY392" s="259" t="str">
        <f t="shared" ca="1" si="805"/>
        <v>MASTRO</v>
      </c>
      <c r="CZ392" s="259" t="e">
        <f t="shared" ca="1" si="809"/>
        <v>#N/A</v>
      </c>
      <c r="DA392" s="259" t="str">
        <f t="shared" ca="1" si="814"/>
        <v/>
      </c>
      <c r="DB392" s="259" t="str">
        <f t="shared" ca="1" si="810"/>
        <v/>
      </c>
      <c r="DC392" s="259" t="str">
        <f t="shared" ca="1" si="811"/>
        <v/>
      </c>
      <c r="DD392" s="259" t="str">
        <f t="shared" ca="1" si="812"/>
        <v/>
      </c>
      <c r="DE392" s="259" t="str">
        <f t="shared" ca="1" si="813"/>
        <v/>
      </c>
      <c r="DF392" s="259">
        <f ca="1">IF(AND(CX392=$DE$2,$DF$2&lt;&gt;0),0,IF(AND(DB392&lt;&gt;"",OR(DB391&lt;&gt;"",DB393&lt;&gt;"")),MAX($DF$2:DF391)+1,0))</f>
        <v>0</v>
      </c>
      <c r="DG392" s="259" t="str">
        <f>IF(IF(LIBRO_GIORNALE!E300="","",IFERROR(INDEX(PIANO_DEI_CONTI,MATCH(BB392,DENOMINAZIONE,0),1),0))=0,"",IF(LIBRO_GIORNALE!E300="","",IFERROR(INDEX(PIANO_DEI_CONTI,MATCH(BB392,DENOMINAZIONE,0),1),0)))</f>
        <v/>
      </c>
      <c r="EC392" s="259">
        <f>IF(IF(DG392&lt;&gt;"",REPLACE(DG392,3,1,""),0)&lt;&gt;0,MAX(EC$2:EC391)+1,0)</f>
        <v>0</v>
      </c>
      <c r="ED392" s="259">
        <f t="shared" ca="1" si="815"/>
        <v>0</v>
      </c>
      <c r="EL392" s="259">
        <f t="shared" si="822"/>
        <v>390</v>
      </c>
      <c r="EM392" s="259">
        <f ca="1">IF(AND(BA392&gt;0,BA392&lt;=$EM$1),MAX($EM$2:EM391)+1,0)</f>
        <v>0</v>
      </c>
      <c r="EN392" s="259">
        <f t="shared" ca="1" si="823"/>
        <v>392</v>
      </c>
      <c r="EP392" s="259" t="str">
        <f t="shared" ca="1" si="816"/>
        <v/>
      </c>
      <c r="EW392" s="259">
        <f t="shared" ca="1" si="786"/>
        <v>1</v>
      </c>
      <c r="EX392" s="259">
        <v>290</v>
      </c>
      <c r="EY392" s="259">
        <f t="shared" ca="1" si="787"/>
        <v>0</v>
      </c>
      <c r="EZ392" s="259">
        <f t="shared" ca="1" si="788"/>
        <v>0</v>
      </c>
      <c r="FA392" s="259">
        <f t="shared" ca="1" si="789"/>
        <v>0</v>
      </c>
      <c r="FB392" s="259">
        <f t="shared" ca="1" si="790"/>
        <v>0</v>
      </c>
      <c r="FC392" s="259">
        <f t="shared" ca="1" si="791"/>
        <v>0</v>
      </c>
      <c r="FD392" s="259">
        <f t="shared" ca="1" si="817"/>
        <v>0</v>
      </c>
      <c r="FE392" s="259" t="str">
        <f t="shared" ca="1" si="818"/>
        <v/>
      </c>
      <c r="FF392" s="259" t="str">
        <f t="shared" ca="1" si="792"/>
        <v/>
      </c>
      <c r="FM392" s="259">
        <f t="shared" si="819"/>
        <v>0</v>
      </c>
      <c r="FN392" s="259">
        <f>IF(FM392&lt;0,MAX($FN$2:FN391)+1,0)</f>
        <v>0</v>
      </c>
      <c r="FO392" s="259" t="str">
        <f t="shared" si="824"/>
        <v/>
      </c>
      <c r="FP392" s="259" t="str">
        <f ca="1">IFERROR(INDEX($FN$3:$FO$400,MATCH(ROWS($FP$3:FP392),$FN$3:$FN$400,0),2),"")</f>
        <v/>
      </c>
      <c r="FQ392" s="259" t="str">
        <f>IF(AE392="SE AVERE",MAX($FQ$2:FQ391)+1,"")</f>
        <v/>
      </c>
      <c r="FR392" s="259" t="str">
        <f>IF(AE392="SE DARE",MAX($FR$2:FR391)+1,"")</f>
        <v/>
      </c>
      <c r="FS392" s="259" t="str">
        <f ca="1">IF(AND(AE392="SP DARE",AA392&lt;&gt;$FS$1,AA392&lt;&gt;$FT$1),MAX($FS$2:FS391)+1,IF(AND(GQ392="SP DARE",AA392&lt;&gt;$FS$1,AA392&lt;&gt;$FT$1),MAX($FS$2:FS391)+1,""))</f>
        <v/>
      </c>
      <c r="FT392" s="259" t="str">
        <f ca="1">IF(AND(AE392="SP AVERE",AA392&lt;&gt;$FU$1),MAX($FT$2:FT391)+1,IF(AND(GQ392="SP AVERE",AA392&lt;&gt;$FU$1),MAX($FT$2:FT391)+1,""))</f>
        <v/>
      </c>
      <c r="FU392" s="259">
        <f t="shared" ca="1" si="825"/>
        <v>0</v>
      </c>
      <c r="FV392" s="259">
        <f t="shared" si="826"/>
        <v>0</v>
      </c>
      <c r="FW392" s="259">
        <f ca="1">IFERROR(INDEX($FU$3:$FV$500,MATCH(ROWS($FW$3:FW392),$FU$3:$FU$500,0),2),0)</f>
        <v>0</v>
      </c>
      <c r="FX392" s="259">
        <f t="shared" ca="1" si="827"/>
        <v>0</v>
      </c>
      <c r="FY392" s="259">
        <f t="shared" ca="1" si="828"/>
        <v>0</v>
      </c>
      <c r="FZ392" s="259">
        <f ca="1">IF(FY392&gt;0,MAX($FZ$2:FZ391)+1,0)</f>
        <v>0</v>
      </c>
      <c r="GA392" s="259">
        <f ca="1">IFERROR(INDEX($FY$3:$FZ$500,MATCH(ROWS($GA$3:GA392),$FZ$3:$FZ$500,0),1),0)</f>
        <v>0</v>
      </c>
      <c r="GC392" s="259">
        <f t="shared" ca="1" si="829"/>
        <v>0</v>
      </c>
      <c r="GD392" s="259">
        <f t="shared" ca="1" si="830"/>
        <v>0</v>
      </c>
      <c r="GG392" s="259">
        <f t="shared" ca="1" si="831"/>
        <v>0</v>
      </c>
      <c r="GH392" s="259">
        <f t="shared" ca="1" si="832"/>
        <v>0</v>
      </c>
      <c r="GI392" s="259">
        <f t="shared" ca="1" si="833"/>
        <v>0</v>
      </c>
      <c r="GJ392" s="259">
        <f t="shared" ca="1" si="834"/>
        <v>0</v>
      </c>
      <c r="GK392" s="259">
        <f t="shared" ca="1" si="835"/>
        <v>0</v>
      </c>
      <c r="GL392" s="259">
        <f t="shared" ca="1" si="835"/>
        <v>0</v>
      </c>
      <c r="GM392" s="259">
        <f ca="1">IF(OR(GK392&gt;0,GL392&gt;0),MAX($GM$2:GM391)+1,0)</f>
        <v>0</v>
      </c>
      <c r="GN392" s="259" t="str">
        <f ca="1">IFERROR(INDEX($GD$3:$GM$400,MATCH(ROWS($GN$3:GN392),$GM$3:$GM$400,0),1),"")</f>
        <v/>
      </c>
      <c r="GO392" s="259" t="str">
        <f ca="1">IFERROR(INDEX($GD$3:$GM$400,MATCH(ROWS($GO$3:GO392),$GM$3:$GM$400,0),8),"")</f>
        <v/>
      </c>
      <c r="GP392" s="259" t="str">
        <f ca="1">IFERROR(INDEX($GD$3:$GM$400,MATCH(ROWS($GP$3:GP392),$GM$3:$GM$400,0),9),"")</f>
        <v/>
      </c>
      <c r="GQ392" s="259">
        <f t="shared" ca="1" si="820"/>
        <v>0</v>
      </c>
      <c r="GR392" s="259">
        <f t="shared" ca="1" si="836"/>
        <v>0</v>
      </c>
      <c r="GS392" s="259" t="str">
        <f t="shared" ca="1" si="837"/>
        <v/>
      </c>
      <c r="GT392" s="259" t="str">
        <f ca="1">IFERROR(INDEX($GD$3:$GS$400,MATCH(ROWS($GT$3:GT392),$GM$3:$GM$400,0),16),"")</f>
        <v/>
      </c>
      <c r="GU392" s="259">
        <f ca="1">IF(GQ392&lt;&gt;0,MAX($GU$2:$GU391)+1,0)</f>
        <v>0</v>
      </c>
      <c r="GV392" s="259">
        <f t="shared" ca="1" si="838"/>
        <v>0</v>
      </c>
      <c r="GW392" s="259" t="str">
        <f ca="1">IF(AND(IFERROR(INDEX($GU$3:$GV$400,MATCH(ROWS($GW$3:GW392),$GU$3:$GU$400,0),2),"")&lt;&gt;"",GW393&lt;&gt;""),CONCATENATE(IFERROR(INDEX($GU$3:$GV$400,MATCH(ROWS($GW$3:GW392),$GU$3:$GU$400,0),2),"")," - "),IFERROR(INDEX($GU$3:$GV$400,MATCH(ROWS($GW$3:GW392),$GU$3:$GU$400,0),2),""))</f>
        <v/>
      </c>
      <c r="GX392" s="259">
        <f ca="1">IF(OR(GN392="IVA NS/CREDITO",GN392="IVA NS/DEBITO",GN392="IVA C/ACCONTO",GN392="IMPOSTE C/ACCONTO"),MAX($GX$2:GX391)+1,0)</f>
        <v>0</v>
      </c>
      <c r="GY392" s="259" t="str">
        <f ca="1">IF(AND(IFERROR(INDEX($GN$3:$GX$200,MATCH(ROWS($GY$3:GY392),$GX$3:$GX$200,0),1),"")&lt;&gt;"",GY393&lt;&gt;""),CONCATENATE(IFERROR(INDEX($GN$3:$GX$200,MATCH(ROWS($GY$3:GY392),$GX$3:$GX$200,0),1),"")," - "),IFERROR(INDEX($GN$3:$GX$200,MATCH(ROWS($GY$3:GY392),$GX$3:$GX$200,0),1),""))</f>
        <v/>
      </c>
      <c r="JA392" s="259" t="str">
        <f t="shared" ca="1" si="839"/>
        <v/>
      </c>
      <c r="JB392" s="259">
        <f t="shared" ca="1" si="821"/>
        <v>0</v>
      </c>
      <c r="JC392" s="259">
        <f t="shared" ca="1" si="793"/>
        <v>0</v>
      </c>
      <c r="JD392" s="259">
        <f t="shared" ca="1" si="794"/>
        <v>0</v>
      </c>
      <c r="JM392" s="259">
        <f t="shared" ca="1" si="795"/>
        <v>0</v>
      </c>
    </row>
    <row r="393" spans="52:273">
      <c r="AZ393" s="259" t="str">
        <f t="shared" ca="1" si="770"/>
        <v/>
      </c>
      <c r="BA393" s="259">
        <f t="shared" ca="1" si="785"/>
        <v>0</v>
      </c>
      <c r="BB393" s="259">
        <f t="shared" ca="1" si="771"/>
        <v>0</v>
      </c>
      <c r="BC393" s="259">
        <f t="shared" ca="1" si="772"/>
        <v>0</v>
      </c>
      <c r="BD393" s="259">
        <f t="shared" ca="1" si="773"/>
        <v>0</v>
      </c>
      <c r="BE393" s="259">
        <f t="shared" ca="1" si="774"/>
        <v>0</v>
      </c>
      <c r="BQ393" s="259" t="str">
        <f ca="1">IFERROR(INDEX($BN$3:$BO$200,MATCH(ROWS(BQ$3:BQ393),$BP$3:$BP$220,0),1),"")</f>
        <v/>
      </c>
      <c r="CX393" s="259">
        <f t="shared" ca="1" si="807"/>
        <v>22</v>
      </c>
      <c r="CY393" s="259" t="str">
        <f t="shared" ca="1" si="805"/>
        <v>MASTRO</v>
      </c>
      <c r="CZ393" s="259" t="e">
        <f t="shared" ca="1" si="809"/>
        <v>#N/A</v>
      </c>
      <c r="DA393" s="259" t="str">
        <f t="shared" ca="1" si="814"/>
        <v/>
      </c>
      <c r="DB393" s="259" t="str">
        <f t="shared" ca="1" si="810"/>
        <v/>
      </c>
      <c r="DC393" s="259" t="str">
        <f t="shared" ca="1" si="811"/>
        <v/>
      </c>
      <c r="DD393" s="259" t="str">
        <f t="shared" ca="1" si="812"/>
        <v/>
      </c>
      <c r="DE393" s="259" t="str">
        <f t="shared" ca="1" si="813"/>
        <v/>
      </c>
      <c r="DF393" s="259">
        <f ca="1">IF(AND(CX393=$DE$2,$DF$2&lt;&gt;0),0,IF(AND(DB393&lt;&gt;"",OR(DB392&lt;&gt;"",DB394&lt;&gt;"")),MAX($DF$2:DF392)+1,0))</f>
        <v>0</v>
      </c>
      <c r="DG393" s="259" t="str">
        <f>IF(IF(LIBRO_GIORNALE!E301="","",IFERROR(INDEX(PIANO_DEI_CONTI,MATCH(BB393,DENOMINAZIONE,0),1),0))=0,"",IF(LIBRO_GIORNALE!E301="","",IFERROR(INDEX(PIANO_DEI_CONTI,MATCH(BB393,DENOMINAZIONE,0),1),0)))</f>
        <v/>
      </c>
      <c r="EC393" s="259">
        <f>IF(IF(DG393&lt;&gt;"",REPLACE(DG393,3,1,""),0)&lt;&gt;0,MAX(EC$2:EC392)+1,0)</f>
        <v>0</v>
      </c>
      <c r="ED393" s="259">
        <f t="shared" ca="1" si="815"/>
        <v>0</v>
      </c>
      <c r="EL393" s="259">
        <f t="shared" si="822"/>
        <v>391</v>
      </c>
      <c r="EM393" s="259">
        <f ca="1">IF(AND(BA393&gt;0,BA393&lt;=$EM$1),MAX($EM$2:EM392)+1,0)</f>
        <v>0</v>
      </c>
      <c r="EN393" s="259">
        <f t="shared" ca="1" si="823"/>
        <v>393</v>
      </c>
      <c r="EP393" s="259" t="str">
        <f t="shared" ca="1" si="816"/>
        <v/>
      </c>
      <c r="EW393" s="259">
        <f t="shared" ca="1" si="786"/>
        <v>1</v>
      </c>
      <c r="EX393" s="259">
        <v>291</v>
      </c>
      <c r="EY393" s="259">
        <f t="shared" ca="1" si="787"/>
        <v>0</v>
      </c>
      <c r="EZ393" s="259">
        <f t="shared" ca="1" si="788"/>
        <v>0</v>
      </c>
      <c r="FA393" s="259">
        <f t="shared" ca="1" si="789"/>
        <v>0</v>
      </c>
      <c r="FB393" s="259">
        <f t="shared" ca="1" si="790"/>
        <v>0</v>
      </c>
      <c r="FC393" s="259">
        <f t="shared" ca="1" si="791"/>
        <v>0</v>
      </c>
      <c r="FD393" s="259">
        <f t="shared" ca="1" si="817"/>
        <v>0</v>
      </c>
      <c r="FE393" s="259" t="str">
        <f t="shared" ca="1" si="818"/>
        <v/>
      </c>
      <c r="FF393" s="259" t="str">
        <f t="shared" ca="1" si="792"/>
        <v/>
      </c>
      <c r="FM393" s="259">
        <f t="shared" si="819"/>
        <v>0</v>
      </c>
      <c r="FN393" s="259">
        <f>IF(FM393&lt;0,MAX($FN$2:FN392)+1,0)</f>
        <v>0</v>
      </c>
      <c r="FO393" s="259" t="str">
        <f t="shared" si="824"/>
        <v/>
      </c>
      <c r="FP393" s="259" t="str">
        <f ca="1">IFERROR(INDEX($FN$3:$FO$400,MATCH(ROWS($FP$3:FP393),$FN$3:$FN$400,0),2),"")</f>
        <v/>
      </c>
      <c r="FQ393" s="259" t="str">
        <f>IF(AE393="SE AVERE",MAX($FQ$2:FQ392)+1,"")</f>
        <v/>
      </c>
      <c r="FR393" s="259" t="str">
        <f>IF(AE393="SE DARE",MAX($FR$2:FR392)+1,"")</f>
        <v/>
      </c>
      <c r="FS393" s="259" t="str">
        <f ca="1">IF(AND(AE393="SP DARE",AA393&lt;&gt;$FS$1,AA393&lt;&gt;$FT$1),MAX($FS$2:FS392)+1,IF(AND(GQ393="SP DARE",AA393&lt;&gt;$FS$1,AA393&lt;&gt;$FT$1),MAX($FS$2:FS392)+1,""))</f>
        <v/>
      </c>
      <c r="FT393" s="259" t="str">
        <f ca="1">IF(AND(AE393="SP AVERE",AA393&lt;&gt;$FU$1),MAX($FT$2:FT392)+1,IF(AND(GQ393="SP AVERE",AA393&lt;&gt;$FU$1),MAX($FT$2:FT392)+1,""))</f>
        <v/>
      </c>
      <c r="FU393" s="259">
        <f t="shared" ca="1" si="825"/>
        <v>0</v>
      </c>
      <c r="FV393" s="259">
        <f t="shared" si="826"/>
        <v>0</v>
      </c>
      <c r="FW393" s="259">
        <f ca="1">IFERROR(INDEX($FU$3:$FV$500,MATCH(ROWS($FW$3:FW393),$FU$3:$FU$500,0),2),0)</f>
        <v>0</v>
      </c>
      <c r="FX393" s="259">
        <f t="shared" ca="1" si="827"/>
        <v>0</v>
      </c>
      <c r="FY393" s="259">
        <f t="shared" ca="1" si="828"/>
        <v>0</v>
      </c>
      <c r="FZ393" s="259">
        <f ca="1">IF(FY393&gt;0,MAX($FZ$2:FZ392)+1,0)</f>
        <v>0</v>
      </c>
      <c r="GA393" s="259">
        <f ca="1">IFERROR(INDEX($FY$3:$FZ$500,MATCH(ROWS($GA$3:GA393),$FZ$3:$FZ$500,0),1),0)</f>
        <v>0</v>
      </c>
      <c r="GC393" s="259">
        <f t="shared" ca="1" si="829"/>
        <v>0</v>
      </c>
      <c r="GD393" s="259">
        <f t="shared" ca="1" si="830"/>
        <v>0</v>
      </c>
      <c r="GG393" s="259">
        <f t="shared" ca="1" si="831"/>
        <v>0</v>
      </c>
      <c r="GH393" s="259">
        <f t="shared" ca="1" si="832"/>
        <v>0</v>
      </c>
      <c r="GI393" s="259">
        <f t="shared" ca="1" si="833"/>
        <v>0</v>
      </c>
      <c r="GJ393" s="259">
        <f t="shared" ca="1" si="834"/>
        <v>0</v>
      </c>
      <c r="GK393" s="259">
        <f t="shared" ca="1" si="835"/>
        <v>0</v>
      </c>
      <c r="GL393" s="259">
        <f t="shared" ca="1" si="835"/>
        <v>0</v>
      </c>
      <c r="GM393" s="259">
        <f ca="1">IF(OR(GK393&gt;0,GL393&gt;0),MAX($GM$2:GM392)+1,0)</f>
        <v>0</v>
      </c>
      <c r="GN393" s="259" t="str">
        <f ca="1">IFERROR(INDEX($GD$3:$GM$400,MATCH(ROWS($GN$3:GN393),$GM$3:$GM$400,0),1),"")</f>
        <v/>
      </c>
      <c r="GO393" s="259" t="str">
        <f ca="1">IFERROR(INDEX($GD$3:$GM$400,MATCH(ROWS($GO$3:GO393),$GM$3:$GM$400,0),8),"")</f>
        <v/>
      </c>
      <c r="GP393" s="259" t="str">
        <f ca="1">IFERROR(INDEX($GD$3:$GM$400,MATCH(ROWS($GP$3:GP393),$GM$3:$GM$400,0),9),"")</f>
        <v/>
      </c>
      <c r="GQ393" s="259">
        <f t="shared" ca="1" si="820"/>
        <v>0</v>
      </c>
      <c r="GR393" s="259">
        <f t="shared" ca="1" si="836"/>
        <v>0</v>
      </c>
      <c r="GS393" s="259" t="str">
        <f t="shared" ca="1" si="837"/>
        <v/>
      </c>
      <c r="GT393" s="259" t="str">
        <f ca="1">IFERROR(INDEX($GD$3:$GS$400,MATCH(ROWS($GT$3:GT393),$GM$3:$GM$400,0),16),"")</f>
        <v/>
      </c>
      <c r="GU393" s="259">
        <f ca="1">IF(GQ393&lt;&gt;0,MAX($GU$2:$GU392)+1,0)</f>
        <v>0</v>
      </c>
      <c r="GV393" s="259">
        <f t="shared" ca="1" si="838"/>
        <v>0</v>
      </c>
      <c r="GW393" s="259" t="str">
        <f ca="1">IF(AND(IFERROR(INDEX($GU$3:$GV$400,MATCH(ROWS($GW$3:GW393),$GU$3:$GU$400,0),2),"")&lt;&gt;"",GW394&lt;&gt;""),CONCATENATE(IFERROR(INDEX($GU$3:$GV$400,MATCH(ROWS($GW$3:GW393),$GU$3:$GU$400,0),2),"")," - "),IFERROR(INDEX($GU$3:$GV$400,MATCH(ROWS($GW$3:GW393),$GU$3:$GU$400,0),2),""))</f>
        <v/>
      </c>
      <c r="GX393" s="259">
        <f ca="1">IF(OR(GN393="IVA NS/CREDITO",GN393="IVA NS/DEBITO",GN393="IVA C/ACCONTO",GN393="IMPOSTE C/ACCONTO"),MAX($GX$2:GX392)+1,0)</f>
        <v>0</v>
      </c>
      <c r="GY393" s="259" t="str">
        <f ca="1">IF(AND(IFERROR(INDEX($GN$3:$GX$200,MATCH(ROWS($GY$3:GY393),$GX$3:$GX$200,0),1),"")&lt;&gt;"",GY394&lt;&gt;""),CONCATENATE(IFERROR(INDEX($GN$3:$GX$200,MATCH(ROWS($GY$3:GY393),$GX$3:$GX$200,0),1),"")," - "),IFERROR(INDEX($GN$3:$GX$200,MATCH(ROWS($GY$3:GY393),$GX$3:$GX$200,0),1),""))</f>
        <v/>
      </c>
      <c r="JA393" s="259" t="str">
        <f t="shared" ca="1" si="839"/>
        <v/>
      </c>
      <c r="JB393" s="259">
        <f t="shared" ca="1" si="821"/>
        <v>0</v>
      </c>
      <c r="JC393" s="259">
        <f t="shared" ca="1" si="793"/>
        <v>0</v>
      </c>
      <c r="JD393" s="259">
        <f t="shared" ca="1" si="794"/>
        <v>0</v>
      </c>
      <c r="JM393" s="259">
        <f t="shared" ca="1" si="795"/>
        <v>0</v>
      </c>
    </row>
    <row r="394" spans="52:273">
      <c r="AZ394" s="259" t="str">
        <f t="shared" ca="1" si="770"/>
        <v/>
      </c>
      <c r="BA394" s="259">
        <f t="shared" ca="1" si="785"/>
        <v>0</v>
      </c>
      <c r="BB394" s="259">
        <f t="shared" ca="1" si="771"/>
        <v>0</v>
      </c>
      <c r="BC394" s="259">
        <f t="shared" ca="1" si="772"/>
        <v>0</v>
      </c>
      <c r="BD394" s="259">
        <f t="shared" ca="1" si="773"/>
        <v>0</v>
      </c>
      <c r="BE394" s="259">
        <f t="shared" ca="1" si="774"/>
        <v>0</v>
      </c>
      <c r="BQ394" s="259" t="str">
        <f ca="1">IFERROR(INDEX($BN$3:$BO$200,MATCH(ROWS(BQ$3:BQ394),$BP$3:$BP$220,0),1),"")</f>
        <v/>
      </c>
      <c r="CX394" s="259">
        <f t="shared" ca="1" si="807"/>
        <v>22</v>
      </c>
      <c r="CY394" s="259" t="str">
        <f t="shared" ca="1" si="805"/>
        <v>MASTRO</v>
      </c>
      <c r="CZ394" s="259" t="e">
        <f t="shared" ca="1" si="809"/>
        <v>#N/A</v>
      </c>
      <c r="DA394" s="259" t="str">
        <f t="shared" ca="1" si="814"/>
        <v/>
      </c>
      <c r="DB394" s="259" t="str">
        <f t="shared" ca="1" si="810"/>
        <v/>
      </c>
      <c r="DC394" s="259" t="str">
        <f t="shared" ca="1" si="811"/>
        <v/>
      </c>
      <c r="DD394" s="259" t="str">
        <f t="shared" ca="1" si="812"/>
        <v/>
      </c>
      <c r="DE394" s="259" t="str">
        <f t="shared" ca="1" si="813"/>
        <v/>
      </c>
      <c r="DF394" s="259">
        <f ca="1">IF(AND(CX394=$DE$2,$DF$2&lt;&gt;0),0,IF(AND(DB394&lt;&gt;"",OR(DB393&lt;&gt;"",DB395&lt;&gt;"")),MAX($DF$2:DF393)+1,0))</f>
        <v>0</v>
      </c>
      <c r="DG394" s="259" t="str">
        <f>IF(IF(LIBRO_GIORNALE!E302="","",IFERROR(INDEX(PIANO_DEI_CONTI,MATCH(BB394,DENOMINAZIONE,0),1),0))=0,"",IF(LIBRO_GIORNALE!E302="","",IFERROR(INDEX(PIANO_DEI_CONTI,MATCH(BB394,DENOMINAZIONE,0),1),0)))</f>
        <v/>
      </c>
      <c r="EC394" s="259">
        <f>IF(IF(DG394&lt;&gt;"",REPLACE(DG394,3,1,""),0)&lt;&gt;0,MAX(EC$2:EC393)+1,0)</f>
        <v>0</v>
      </c>
      <c r="ED394" s="259">
        <f t="shared" ca="1" si="815"/>
        <v>0</v>
      </c>
      <c r="EL394" s="259">
        <f t="shared" si="822"/>
        <v>392</v>
      </c>
      <c r="EM394" s="259">
        <f ca="1">IF(AND(BA394&gt;0,BA394&lt;=$EM$1),MAX($EM$2:EM393)+1,0)</f>
        <v>0</v>
      </c>
      <c r="EN394" s="259">
        <f t="shared" ca="1" si="823"/>
        <v>394</v>
      </c>
      <c r="EP394" s="259" t="str">
        <f t="shared" ca="1" si="816"/>
        <v/>
      </c>
      <c r="EW394" s="259">
        <f t="shared" ca="1" si="786"/>
        <v>1</v>
      </c>
      <c r="EX394" s="259">
        <v>292</v>
      </c>
      <c r="EY394" s="259">
        <f t="shared" ca="1" si="787"/>
        <v>0</v>
      </c>
      <c r="EZ394" s="259">
        <f t="shared" ca="1" si="788"/>
        <v>0</v>
      </c>
      <c r="FA394" s="259">
        <f t="shared" ca="1" si="789"/>
        <v>0</v>
      </c>
      <c r="FB394" s="259">
        <f t="shared" ca="1" si="790"/>
        <v>0</v>
      </c>
      <c r="FC394" s="259">
        <f t="shared" ca="1" si="791"/>
        <v>0</v>
      </c>
      <c r="FD394" s="259">
        <f t="shared" ca="1" si="817"/>
        <v>0</v>
      </c>
      <c r="FE394" s="259" t="str">
        <f t="shared" ca="1" si="818"/>
        <v/>
      </c>
      <c r="FF394" s="259" t="str">
        <f t="shared" ca="1" si="792"/>
        <v/>
      </c>
      <c r="FM394" s="259">
        <f t="shared" si="819"/>
        <v>0</v>
      </c>
      <c r="FN394" s="259">
        <f>IF(FM394&lt;0,MAX($FN$2:FN393)+1,0)</f>
        <v>0</v>
      </c>
      <c r="FO394" s="259" t="str">
        <f t="shared" si="824"/>
        <v/>
      </c>
      <c r="FP394" s="259" t="str">
        <f ca="1">IFERROR(INDEX($FN$3:$FO$400,MATCH(ROWS($FP$3:FP394),$FN$3:$FN$400,0),2),"")</f>
        <v/>
      </c>
      <c r="FQ394" s="259" t="str">
        <f>IF(AE394="SE AVERE",MAX($FQ$2:FQ393)+1,"")</f>
        <v/>
      </c>
      <c r="FR394" s="259" t="str">
        <f>IF(AE394="SE DARE",MAX($FR$2:FR393)+1,"")</f>
        <v/>
      </c>
      <c r="FS394" s="259" t="str">
        <f ca="1">IF(AND(AE394="SP DARE",AA394&lt;&gt;$FS$1,AA394&lt;&gt;$FT$1),MAX($FS$2:FS393)+1,IF(AND(GQ394="SP DARE",AA394&lt;&gt;$FS$1,AA394&lt;&gt;$FT$1),MAX($FS$2:FS393)+1,""))</f>
        <v/>
      </c>
      <c r="FT394" s="259" t="str">
        <f ca="1">IF(AND(AE394="SP AVERE",AA394&lt;&gt;$FU$1),MAX($FT$2:FT393)+1,IF(AND(GQ394="SP AVERE",AA394&lt;&gt;$FU$1),MAX($FT$2:FT393)+1,""))</f>
        <v/>
      </c>
      <c r="FU394" s="259">
        <f t="shared" ca="1" si="825"/>
        <v>0</v>
      </c>
      <c r="FV394" s="259">
        <f t="shared" si="826"/>
        <v>0</v>
      </c>
      <c r="FW394" s="259">
        <f ca="1">IFERROR(INDEX($FU$3:$FV$500,MATCH(ROWS($FW$3:FW394),$FU$3:$FU$500,0),2),0)</f>
        <v>0</v>
      </c>
      <c r="FX394" s="259">
        <f t="shared" ca="1" si="827"/>
        <v>0</v>
      </c>
      <c r="FY394" s="259">
        <f t="shared" ca="1" si="828"/>
        <v>0</v>
      </c>
      <c r="FZ394" s="259">
        <f ca="1">IF(FY394&gt;0,MAX($FZ$2:FZ393)+1,0)</f>
        <v>0</v>
      </c>
      <c r="GA394" s="259">
        <f ca="1">IFERROR(INDEX($FY$3:$FZ$500,MATCH(ROWS($GA$3:GA394),$FZ$3:$FZ$500,0),1),0)</f>
        <v>0</v>
      </c>
      <c r="GC394" s="259">
        <f t="shared" ca="1" si="829"/>
        <v>0</v>
      </c>
      <c r="GD394" s="259">
        <f t="shared" ca="1" si="830"/>
        <v>0</v>
      </c>
      <c r="GG394" s="259">
        <f t="shared" ca="1" si="831"/>
        <v>0</v>
      </c>
      <c r="GH394" s="259">
        <f t="shared" ca="1" si="832"/>
        <v>0</v>
      </c>
      <c r="GI394" s="259">
        <f t="shared" ca="1" si="833"/>
        <v>0</v>
      </c>
      <c r="GJ394" s="259">
        <f t="shared" ca="1" si="834"/>
        <v>0</v>
      </c>
      <c r="GK394" s="259">
        <f t="shared" ca="1" si="835"/>
        <v>0</v>
      </c>
      <c r="GL394" s="259">
        <f t="shared" ca="1" si="835"/>
        <v>0</v>
      </c>
      <c r="GM394" s="259">
        <f ca="1">IF(OR(GK394&gt;0,GL394&gt;0),MAX($GM$2:GM393)+1,0)</f>
        <v>0</v>
      </c>
      <c r="GN394" s="259" t="str">
        <f ca="1">IFERROR(INDEX($GD$3:$GM$400,MATCH(ROWS($GN$3:GN394),$GM$3:$GM$400,0),1),"")</f>
        <v/>
      </c>
      <c r="GO394" s="259" t="str">
        <f ca="1">IFERROR(INDEX($GD$3:$GM$400,MATCH(ROWS($GO$3:GO394),$GM$3:$GM$400,0),8),"")</f>
        <v/>
      </c>
      <c r="GP394" s="259" t="str">
        <f ca="1">IFERROR(INDEX($GD$3:$GM$400,MATCH(ROWS($GP$3:GP394),$GM$3:$GM$400,0),9),"")</f>
        <v/>
      </c>
      <c r="GQ394" s="259">
        <f t="shared" ca="1" si="820"/>
        <v>0</v>
      </c>
      <c r="GR394" s="259">
        <f t="shared" ca="1" si="836"/>
        <v>0</v>
      </c>
      <c r="GS394" s="259" t="str">
        <f t="shared" ca="1" si="837"/>
        <v/>
      </c>
      <c r="GT394" s="259" t="str">
        <f ca="1">IFERROR(INDEX($GD$3:$GS$400,MATCH(ROWS($GT$3:GT394),$GM$3:$GM$400,0),16),"")</f>
        <v/>
      </c>
      <c r="GU394" s="259">
        <f ca="1">IF(GQ394&lt;&gt;0,MAX($GU$2:$GU393)+1,0)</f>
        <v>0</v>
      </c>
      <c r="GV394" s="259">
        <f t="shared" ca="1" si="838"/>
        <v>0</v>
      </c>
      <c r="GW394" s="259" t="str">
        <f ca="1">IF(AND(IFERROR(INDEX($GU$3:$GV$400,MATCH(ROWS($GW$3:GW394),$GU$3:$GU$400,0),2),"")&lt;&gt;"",GW395&lt;&gt;""),CONCATENATE(IFERROR(INDEX($GU$3:$GV$400,MATCH(ROWS($GW$3:GW394),$GU$3:$GU$400,0),2),"")," - "),IFERROR(INDEX($GU$3:$GV$400,MATCH(ROWS($GW$3:GW394),$GU$3:$GU$400,0),2),""))</f>
        <v/>
      </c>
      <c r="GX394" s="259">
        <f ca="1">IF(OR(GN394="IVA NS/CREDITO",GN394="IVA NS/DEBITO",GN394="IVA C/ACCONTO",GN394="IMPOSTE C/ACCONTO"),MAX($GX$2:GX393)+1,0)</f>
        <v>0</v>
      </c>
      <c r="GY394" s="259" t="str">
        <f ca="1">IF(AND(IFERROR(INDEX($GN$3:$GX$200,MATCH(ROWS($GY$3:GY394),$GX$3:$GX$200,0),1),"")&lt;&gt;"",GY395&lt;&gt;""),CONCATENATE(IFERROR(INDEX($GN$3:$GX$200,MATCH(ROWS($GY$3:GY394),$GX$3:$GX$200,0),1),"")," - "),IFERROR(INDEX($GN$3:$GX$200,MATCH(ROWS($GY$3:GY394),$GX$3:$GX$200,0),1),""))</f>
        <v/>
      </c>
      <c r="JA394" s="259" t="str">
        <f t="shared" ca="1" si="839"/>
        <v/>
      </c>
      <c r="JB394" s="259">
        <f t="shared" ca="1" si="821"/>
        <v>0</v>
      </c>
      <c r="JC394" s="259">
        <f t="shared" ca="1" si="793"/>
        <v>0</v>
      </c>
      <c r="JD394" s="259">
        <f t="shared" ca="1" si="794"/>
        <v>0</v>
      </c>
      <c r="JM394" s="259">
        <f t="shared" ca="1" si="795"/>
        <v>0</v>
      </c>
    </row>
    <row r="395" spans="52:273">
      <c r="AZ395" s="259" t="str">
        <f t="shared" ca="1" si="770"/>
        <v/>
      </c>
      <c r="BA395" s="259">
        <f t="shared" ca="1" si="785"/>
        <v>0</v>
      </c>
      <c r="BB395" s="259">
        <f t="shared" ca="1" si="771"/>
        <v>0</v>
      </c>
      <c r="BC395" s="259">
        <f t="shared" ca="1" si="772"/>
        <v>0</v>
      </c>
      <c r="BD395" s="259">
        <f t="shared" ca="1" si="773"/>
        <v>0</v>
      </c>
      <c r="BE395" s="259">
        <f t="shared" ca="1" si="774"/>
        <v>0</v>
      </c>
      <c r="BQ395" s="259" t="str">
        <f ca="1">IFERROR(INDEX($BN$3:$BO$200,MATCH(ROWS(BQ$3:BQ395),$BP$3:$BP$220,0),1),"")</f>
        <v/>
      </c>
      <c r="CX395" s="259">
        <f t="shared" ca="1" si="807"/>
        <v>22</v>
      </c>
      <c r="CY395" s="259" t="str">
        <f t="shared" ca="1" si="805"/>
        <v>MASTRO</v>
      </c>
      <c r="CZ395" s="259" t="e">
        <f t="shared" ca="1" si="809"/>
        <v>#N/A</v>
      </c>
      <c r="DA395" s="259" t="str">
        <f t="shared" ca="1" si="814"/>
        <v/>
      </c>
      <c r="DB395" s="259" t="str">
        <f t="shared" ca="1" si="810"/>
        <v/>
      </c>
      <c r="DC395" s="259" t="str">
        <f t="shared" ca="1" si="811"/>
        <v/>
      </c>
      <c r="DD395" s="259" t="str">
        <f t="shared" ca="1" si="812"/>
        <v/>
      </c>
      <c r="DE395" s="259" t="str">
        <f t="shared" ca="1" si="813"/>
        <v/>
      </c>
      <c r="DF395" s="259">
        <f ca="1">IF(AND(CX395=$DE$2,$DF$2&lt;&gt;0),0,IF(AND(DB395&lt;&gt;"",OR(DB394&lt;&gt;"",DB396&lt;&gt;"")),MAX($DF$2:DF394)+1,0))</f>
        <v>0</v>
      </c>
      <c r="DG395" s="259" t="str">
        <f>IF(IF(LIBRO_GIORNALE!E303="","",IFERROR(INDEX(PIANO_DEI_CONTI,MATCH(BB395,DENOMINAZIONE,0),1),0))=0,"",IF(LIBRO_GIORNALE!E303="","",IFERROR(INDEX(PIANO_DEI_CONTI,MATCH(BB395,DENOMINAZIONE,0),1),0)))</f>
        <v/>
      </c>
      <c r="EC395" s="259">
        <f>IF(IF(DG395&lt;&gt;"",REPLACE(DG395,3,1,""),0)&lt;&gt;0,MAX(EC$2:EC394)+1,0)</f>
        <v>0</v>
      </c>
      <c r="ED395" s="259">
        <f t="shared" ca="1" si="815"/>
        <v>0</v>
      </c>
      <c r="EL395" s="259">
        <f t="shared" si="822"/>
        <v>393</v>
      </c>
      <c r="EM395" s="259">
        <f ca="1">IF(AND(BA395&gt;0,BA395&lt;=$EM$1),MAX($EM$2:EM394)+1,0)</f>
        <v>0</v>
      </c>
      <c r="EN395" s="259">
        <f t="shared" ca="1" si="823"/>
        <v>395</v>
      </c>
      <c r="EP395" s="259" t="str">
        <f t="shared" ca="1" si="816"/>
        <v/>
      </c>
      <c r="EW395" s="259">
        <f t="shared" ca="1" si="786"/>
        <v>1</v>
      </c>
      <c r="EX395" s="259">
        <v>293</v>
      </c>
      <c r="EY395" s="259">
        <f t="shared" ca="1" si="787"/>
        <v>0</v>
      </c>
      <c r="EZ395" s="259">
        <f t="shared" ca="1" si="788"/>
        <v>0</v>
      </c>
      <c r="FA395" s="259">
        <f t="shared" ca="1" si="789"/>
        <v>0</v>
      </c>
      <c r="FB395" s="259">
        <f t="shared" ca="1" si="790"/>
        <v>0</v>
      </c>
      <c r="FC395" s="259">
        <f t="shared" ca="1" si="791"/>
        <v>0</v>
      </c>
      <c r="FD395" s="259">
        <f t="shared" ca="1" si="817"/>
        <v>0</v>
      </c>
      <c r="FE395" s="259" t="str">
        <f t="shared" ca="1" si="818"/>
        <v/>
      </c>
      <c r="FF395" s="259" t="str">
        <f t="shared" ca="1" si="792"/>
        <v/>
      </c>
      <c r="FM395" s="259">
        <f t="shared" si="819"/>
        <v>0</v>
      </c>
      <c r="FN395" s="259">
        <f>IF(FM395&lt;0,MAX($FN$2:FN394)+1,0)</f>
        <v>0</v>
      </c>
      <c r="FO395" s="259" t="str">
        <f t="shared" si="824"/>
        <v/>
      </c>
      <c r="FP395" s="259" t="str">
        <f ca="1">IFERROR(INDEX($FN$3:$FO$400,MATCH(ROWS($FP$3:FP395),$FN$3:$FN$400,0),2),"")</f>
        <v/>
      </c>
      <c r="FQ395" s="259" t="str">
        <f>IF(AE395="SE AVERE",MAX($FQ$2:FQ394)+1,"")</f>
        <v/>
      </c>
      <c r="FR395" s="259" t="str">
        <f>IF(AE395="SE DARE",MAX($FR$2:FR394)+1,"")</f>
        <v/>
      </c>
      <c r="FS395" s="259" t="str">
        <f ca="1">IF(AND(AE395="SP DARE",AA395&lt;&gt;$FS$1,AA395&lt;&gt;$FT$1),MAX($FS$2:FS394)+1,IF(AND(GQ395="SP DARE",AA395&lt;&gt;$FS$1,AA395&lt;&gt;$FT$1),MAX($FS$2:FS394)+1,""))</f>
        <v/>
      </c>
      <c r="FT395" s="259" t="str">
        <f ca="1">IF(AND(AE395="SP AVERE",AA395&lt;&gt;$FU$1),MAX($FT$2:FT394)+1,IF(AND(GQ395="SP AVERE",AA395&lt;&gt;$FU$1),MAX($FT$2:FT394)+1,""))</f>
        <v/>
      </c>
      <c r="FU395" s="259">
        <f t="shared" ca="1" si="825"/>
        <v>0</v>
      </c>
      <c r="FV395" s="259">
        <f t="shared" si="826"/>
        <v>0</v>
      </c>
      <c r="FW395" s="259">
        <f ca="1">IFERROR(INDEX($FU$3:$FV$500,MATCH(ROWS($FW$3:FW395),$FU$3:$FU$500,0),2),0)</f>
        <v>0</v>
      </c>
      <c r="FX395" s="259">
        <f t="shared" ca="1" si="827"/>
        <v>0</v>
      </c>
      <c r="FY395" s="259">
        <f t="shared" ca="1" si="828"/>
        <v>0</v>
      </c>
      <c r="FZ395" s="259">
        <f ca="1">IF(FY395&gt;0,MAX($FZ$2:FZ394)+1,0)</f>
        <v>0</v>
      </c>
      <c r="GA395" s="259">
        <f ca="1">IFERROR(INDEX($FY$3:$FZ$500,MATCH(ROWS($GA$3:GA395),$FZ$3:$FZ$500,0),1),0)</f>
        <v>0</v>
      </c>
      <c r="GC395" s="259">
        <f t="shared" ca="1" si="829"/>
        <v>0</v>
      </c>
      <c r="GD395" s="259">
        <f t="shared" ca="1" si="830"/>
        <v>0</v>
      </c>
      <c r="GG395" s="259">
        <f t="shared" ca="1" si="831"/>
        <v>0</v>
      </c>
      <c r="GH395" s="259">
        <f t="shared" ca="1" si="832"/>
        <v>0</v>
      </c>
      <c r="GI395" s="259">
        <f t="shared" ca="1" si="833"/>
        <v>0</v>
      </c>
      <c r="GJ395" s="259">
        <f t="shared" ca="1" si="834"/>
        <v>0</v>
      </c>
      <c r="GK395" s="259">
        <f t="shared" ca="1" si="835"/>
        <v>0</v>
      </c>
      <c r="GL395" s="259">
        <f t="shared" ca="1" si="835"/>
        <v>0</v>
      </c>
      <c r="GM395" s="259">
        <f ca="1">IF(OR(GK395&gt;0,GL395&gt;0),MAX($GM$2:GM394)+1,0)</f>
        <v>0</v>
      </c>
      <c r="GN395" s="259" t="str">
        <f ca="1">IFERROR(INDEX($GD$3:$GM$400,MATCH(ROWS($GN$3:GN395),$GM$3:$GM$400,0),1),"")</f>
        <v/>
      </c>
      <c r="GO395" s="259" t="str">
        <f ca="1">IFERROR(INDEX($GD$3:$GM$400,MATCH(ROWS($GO$3:GO395),$GM$3:$GM$400,0),8),"")</f>
        <v/>
      </c>
      <c r="GP395" s="259" t="str">
        <f ca="1">IFERROR(INDEX($GD$3:$GM$400,MATCH(ROWS($GP$3:GP395),$GM$3:$GM$400,0),9),"")</f>
        <v/>
      </c>
      <c r="GQ395" s="259">
        <f t="shared" ca="1" si="820"/>
        <v>0</v>
      </c>
      <c r="GR395" s="259">
        <f t="shared" ca="1" si="836"/>
        <v>0</v>
      </c>
      <c r="GS395" s="259" t="str">
        <f t="shared" ca="1" si="837"/>
        <v/>
      </c>
      <c r="GT395" s="259" t="str">
        <f ca="1">IFERROR(INDEX($GD$3:$GS$400,MATCH(ROWS($GT$3:GT395),$GM$3:$GM$400,0),16),"")</f>
        <v/>
      </c>
      <c r="GU395" s="259">
        <f ca="1">IF(GQ395&lt;&gt;0,MAX($GU$2:$GU394)+1,0)</f>
        <v>0</v>
      </c>
      <c r="GV395" s="259">
        <f t="shared" ca="1" si="838"/>
        <v>0</v>
      </c>
      <c r="GW395" s="259" t="str">
        <f ca="1">IF(AND(IFERROR(INDEX($GU$3:$GV$400,MATCH(ROWS($GW$3:GW395),$GU$3:$GU$400,0),2),"")&lt;&gt;"",GW396&lt;&gt;""),CONCATENATE(IFERROR(INDEX($GU$3:$GV$400,MATCH(ROWS($GW$3:GW395),$GU$3:$GU$400,0),2),"")," - "),IFERROR(INDEX($GU$3:$GV$400,MATCH(ROWS($GW$3:GW395),$GU$3:$GU$400,0),2),""))</f>
        <v/>
      </c>
      <c r="GX395" s="259">
        <f ca="1">IF(OR(GN395="IVA NS/CREDITO",GN395="IVA NS/DEBITO",GN395="IVA C/ACCONTO",GN395="IMPOSTE C/ACCONTO"),MAX($GX$2:GX394)+1,0)</f>
        <v>0</v>
      </c>
      <c r="GY395" s="259" t="str">
        <f ca="1">IF(AND(IFERROR(INDEX($GN$3:$GX$200,MATCH(ROWS($GY$3:GY395),$GX$3:$GX$200,0),1),"")&lt;&gt;"",GY396&lt;&gt;""),CONCATENATE(IFERROR(INDEX($GN$3:$GX$200,MATCH(ROWS($GY$3:GY395),$GX$3:$GX$200,0),1),"")," - "),IFERROR(INDEX($GN$3:$GX$200,MATCH(ROWS($GY$3:GY395),$GX$3:$GX$200,0),1),""))</f>
        <v/>
      </c>
      <c r="JA395" s="259" t="str">
        <f t="shared" ca="1" si="839"/>
        <v/>
      </c>
      <c r="JB395" s="259">
        <f t="shared" ca="1" si="821"/>
        <v>0</v>
      </c>
      <c r="JC395" s="259">
        <f t="shared" ca="1" si="793"/>
        <v>0</v>
      </c>
      <c r="JD395" s="259">
        <f t="shared" ca="1" si="794"/>
        <v>0</v>
      </c>
      <c r="JM395" s="259">
        <f t="shared" ca="1" si="795"/>
        <v>0</v>
      </c>
    </row>
    <row r="396" spans="52:273">
      <c r="AZ396" s="259" t="str">
        <f t="shared" ref="AZ396:AZ459" ca="1" si="840">IF(BA396&lt;&gt;0,ROW()-202,"")</f>
        <v/>
      </c>
      <c r="BA396" s="259">
        <f t="shared" ca="1" si="785"/>
        <v>0</v>
      </c>
      <c r="BB396" s="259">
        <f t="shared" ref="BB396:BB459" ca="1" si="841">IF($BA396=0,0,EZ296)</f>
        <v>0</v>
      </c>
      <c r="BC396" s="259">
        <f t="shared" ref="BC396:BC459" ca="1" si="842">IF($BA396=0,0,FA296)</f>
        <v>0</v>
      </c>
      <c r="BD396" s="259">
        <f t="shared" ref="BD396:BD459" ca="1" si="843">IF($BA396=0,0,FB296)</f>
        <v>0</v>
      </c>
      <c r="BE396" s="259">
        <f t="shared" ref="BE396:BE459" ca="1" si="844">IF($BA396=0,0,FC296)</f>
        <v>0</v>
      </c>
      <c r="BQ396" s="259" t="str">
        <f ca="1">IFERROR(INDEX($BN$3:$BO$200,MATCH(ROWS(BQ$3:BQ396),$BP$3:$BP$220,0),1),"")</f>
        <v/>
      </c>
      <c r="CX396" s="259">
        <f t="shared" ca="1" si="807"/>
        <v>22</v>
      </c>
      <c r="CY396" s="259" t="str">
        <f t="shared" ca="1" si="805"/>
        <v>MASTRO</v>
      </c>
      <c r="CZ396" s="259" t="e">
        <f t="shared" ca="1" si="809"/>
        <v>#N/A</v>
      </c>
      <c r="DA396" s="259" t="str">
        <f t="shared" ca="1" si="814"/>
        <v/>
      </c>
      <c r="DB396" s="259" t="str">
        <f t="shared" ca="1" si="810"/>
        <v/>
      </c>
      <c r="DC396" s="259" t="str">
        <f t="shared" ca="1" si="811"/>
        <v/>
      </c>
      <c r="DD396" s="259" t="str">
        <f t="shared" ca="1" si="812"/>
        <v/>
      </c>
      <c r="DE396" s="259" t="str">
        <f t="shared" ca="1" si="813"/>
        <v/>
      </c>
      <c r="DF396" s="259">
        <f ca="1">IF(AND(CX396=$DE$2,$DF$2&lt;&gt;0),0,IF(AND(DB396&lt;&gt;"",OR(DB395&lt;&gt;"",DB397&lt;&gt;"")),MAX($DF$2:DF395)+1,0))</f>
        <v>0</v>
      </c>
      <c r="DG396" s="259" t="str">
        <f>IF(IF(LIBRO_GIORNALE!E304="","",IFERROR(INDEX(PIANO_DEI_CONTI,MATCH(BB396,DENOMINAZIONE,0),1),0))=0,"",IF(LIBRO_GIORNALE!E304="","",IFERROR(INDEX(PIANO_DEI_CONTI,MATCH(BB396,DENOMINAZIONE,0),1),0)))</f>
        <v/>
      </c>
      <c r="EC396" s="259">
        <f>IF(IF(DG396&lt;&gt;"",REPLACE(DG396,3,1,""),0)&lt;&gt;0,MAX(EC$2:EC395)+1,0)</f>
        <v>0</v>
      </c>
      <c r="ED396" s="259">
        <f t="shared" ca="1" si="815"/>
        <v>0</v>
      </c>
      <c r="EL396" s="259">
        <f t="shared" si="822"/>
        <v>394</v>
      </c>
      <c r="EM396" s="259">
        <f ca="1">IF(AND(BA396&gt;0,BA396&lt;=$EM$1),MAX($EM$2:EM395)+1,0)</f>
        <v>0</v>
      </c>
      <c r="EN396" s="259">
        <f t="shared" ca="1" si="823"/>
        <v>396</v>
      </c>
      <c r="EP396" s="259" t="str">
        <f t="shared" ca="1" si="816"/>
        <v/>
      </c>
      <c r="EW396" s="259">
        <f t="shared" ca="1" si="786"/>
        <v>1</v>
      </c>
      <c r="EX396" s="259">
        <v>294</v>
      </c>
      <c r="EY396" s="259">
        <f t="shared" ca="1" si="787"/>
        <v>0</v>
      </c>
      <c r="EZ396" s="259">
        <f t="shared" ca="1" si="788"/>
        <v>0</v>
      </c>
      <c r="FA396" s="259">
        <f t="shared" ca="1" si="789"/>
        <v>0</v>
      </c>
      <c r="FB396" s="259">
        <f t="shared" ca="1" si="790"/>
        <v>0</v>
      </c>
      <c r="FC396" s="259">
        <f t="shared" ca="1" si="791"/>
        <v>0</v>
      </c>
      <c r="FD396" s="259">
        <f t="shared" ca="1" si="817"/>
        <v>0</v>
      </c>
      <c r="FE396" s="259" t="str">
        <f t="shared" ca="1" si="818"/>
        <v/>
      </c>
      <c r="FF396" s="259" t="str">
        <f t="shared" ca="1" si="792"/>
        <v/>
      </c>
      <c r="FM396" s="259">
        <f t="shared" si="819"/>
        <v>0</v>
      </c>
      <c r="FN396" s="259">
        <f>IF(FM396&lt;0,MAX($FN$2:FN395)+1,0)</f>
        <v>0</v>
      </c>
      <c r="FO396" s="259" t="str">
        <f t="shared" si="824"/>
        <v/>
      </c>
      <c r="FP396" s="259" t="str">
        <f ca="1">IFERROR(INDEX($FN$3:$FO$400,MATCH(ROWS($FP$3:FP396),$FN$3:$FN$400,0),2),"")</f>
        <v/>
      </c>
      <c r="FQ396" s="259" t="str">
        <f>IF(AE396="SE AVERE",MAX($FQ$2:FQ395)+1,"")</f>
        <v/>
      </c>
      <c r="FR396" s="259" t="str">
        <f>IF(AE396="SE DARE",MAX($FR$2:FR395)+1,"")</f>
        <v/>
      </c>
      <c r="FS396" s="259" t="str">
        <f ca="1">IF(AND(AE396="SP DARE",AA396&lt;&gt;$FS$1,AA396&lt;&gt;$FT$1),MAX($FS$2:FS395)+1,IF(AND(GQ396="SP DARE",AA396&lt;&gt;$FS$1,AA396&lt;&gt;$FT$1),MAX($FS$2:FS395)+1,""))</f>
        <v/>
      </c>
      <c r="FT396" s="259" t="str">
        <f ca="1">IF(AND(AE396="SP AVERE",AA396&lt;&gt;$FU$1),MAX($FT$2:FT395)+1,IF(AND(GQ396="SP AVERE",AA396&lt;&gt;$FU$1),MAX($FT$2:FT395)+1,""))</f>
        <v/>
      </c>
      <c r="FU396" s="259">
        <f t="shared" ca="1" si="825"/>
        <v>0</v>
      </c>
      <c r="FV396" s="259">
        <f t="shared" si="826"/>
        <v>0</v>
      </c>
      <c r="FW396" s="259">
        <f ca="1">IFERROR(INDEX($FU$3:$FV$500,MATCH(ROWS($FW$3:FW396),$FU$3:$FU$500,0),2),0)</f>
        <v>0</v>
      </c>
      <c r="FX396" s="259">
        <f t="shared" ca="1" si="827"/>
        <v>0</v>
      </c>
      <c r="FY396" s="259">
        <f t="shared" ca="1" si="828"/>
        <v>0</v>
      </c>
      <c r="FZ396" s="259">
        <f ca="1">IF(FY396&gt;0,MAX($FZ$2:FZ395)+1,0)</f>
        <v>0</v>
      </c>
      <c r="GA396" s="259">
        <f ca="1">IFERROR(INDEX($FY$3:$FZ$500,MATCH(ROWS($GA$3:GA396),$FZ$3:$FZ$500,0),1),0)</f>
        <v>0</v>
      </c>
      <c r="GC396" s="259">
        <f t="shared" ca="1" si="829"/>
        <v>0</v>
      </c>
      <c r="GD396" s="259">
        <f t="shared" ca="1" si="830"/>
        <v>0</v>
      </c>
      <c r="GG396" s="259">
        <f t="shared" ca="1" si="831"/>
        <v>0</v>
      </c>
      <c r="GH396" s="259">
        <f t="shared" ca="1" si="832"/>
        <v>0</v>
      </c>
      <c r="GI396" s="259">
        <f t="shared" ca="1" si="833"/>
        <v>0</v>
      </c>
      <c r="GJ396" s="259">
        <f t="shared" ca="1" si="834"/>
        <v>0</v>
      </c>
      <c r="GK396" s="259">
        <f t="shared" ca="1" si="835"/>
        <v>0</v>
      </c>
      <c r="GL396" s="259">
        <f t="shared" ca="1" si="835"/>
        <v>0</v>
      </c>
      <c r="GM396" s="259">
        <f ca="1">IF(OR(GK396&gt;0,GL396&gt;0),MAX($GM$2:GM395)+1,0)</f>
        <v>0</v>
      </c>
      <c r="GN396" s="259" t="str">
        <f ca="1">IFERROR(INDEX($GD$3:$GM$400,MATCH(ROWS($GN$3:GN396),$GM$3:$GM$400,0),1),"")</f>
        <v/>
      </c>
      <c r="GO396" s="259" t="str">
        <f ca="1">IFERROR(INDEX($GD$3:$GM$400,MATCH(ROWS($GO$3:GO396),$GM$3:$GM$400,0),8),"")</f>
        <v/>
      </c>
      <c r="GP396" s="259" t="str">
        <f ca="1">IFERROR(INDEX($GD$3:$GM$400,MATCH(ROWS($GP$3:GP396),$GM$3:$GM$400,0),9),"")</f>
        <v/>
      </c>
      <c r="GQ396" s="259">
        <f t="shared" ca="1" si="820"/>
        <v>0</v>
      </c>
      <c r="GR396" s="259">
        <f t="shared" ca="1" si="836"/>
        <v>0</v>
      </c>
      <c r="GS396" s="259" t="str">
        <f t="shared" ca="1" si="837"/>
        <v/>
      </c>
      <c r="GT396" s="259" t="str">
        <f ca="1">IFERROR(INDEX($GD$3:$GS$400,MATCH(ROWS($GT$3:GT396),$GM$3:$GM$400,0),16),"")</f>
        <v/>
      </c>
      <c r="GU396" s="259">
        <f ca="1">IF(GQ396&lt;&gt;0,MAX($GU$2:$GU395)+1,0)</f>
        <v>0</v>
      </c>
      <c r="GV396" s="259">
        <f t="shared" ca="1" si="838"/>
        <v>0</v>
      </c>
      <c r="GW396" s="259" t="str">
        <f ca="1">IF(AND(IFERROR(INDEX($GU$3:$GV$400,MATCH(ROWS($GW$3:GW396),$GU$3:$GU$400,0),2),"")&lt;&gt;"",GW397&lt;&gt;""),CONCATENATE(IFERROR(INDEX($GU$3:$GV$400,MATCH(ROWS($GW$3:GW396),$GU$3:$GU$400,0),2),"")," - "),IFERROR(INDEX($GU$3:$GV$400,MATCH(ROWS($GW$3:GW396),$GU$3:$GU$400,0),2),""))</f>
        <v/>
      </c>
      <c r="GX396" s="259">
        <f ca="1">IF(OR(GN396="IVA NS/CREDITO",GN396="IVA NS/DEBITO",GN396="IVA C/ACCONTO",GN396="IMPOSTE C/ACCONTO"),MAX($GX$2:GX395)+1,0)</f>
        <v>0</v>
      </c>
      <c r="GY396" s="259" t="str">
        <f ca="1">IF(AND(IFERROR(INDEX($GN$3:$GX$200,MATCH(ROWS($GY$3:GY396),$GX$3:$GX$200,0),1),"")&lt;&gt;"",GY397&lt;&gt;""),CONCATENATE(IFERROR(INDEX($GN$3:$GX$200,MATCH(ROWS($GY$3:GY396),$GX$3:$GX$200,0),1),"")," - "),IFERROR(INDEX($GN$3:$GX$200,MATCH(ROWS($GY$3:GY396),$GX$3:$GX$200,0),1),""))</f>
        <v/>
      </c>
      <c r="JA396" s="259" t="str">
        <f t="shared" ca="1" si="839"/>
        <v/>
      </c>
      <c r="JB396" s="259">
        <f t="shared" ca="1" si="821"/>
        <v>0</v>
      </c>
      <c r="JC396" s="259">
        <f t="shared" ca="1" si="793"/>
        <v>0</v>
      </c>
      <c r="JD396" s="259">
        <f t="shared" ca="1" si="794"/>
        <v>0</v>
      </c>
      <c r="JM396" s="259">
        <f t="shared" ca="1" si="795"/>
        <v>0</v>
      </c>
    </row>
    <row r="397" spans="52:273">
      <c r="AZ397" s="259" t="str">
        <f t="shared" ca="1" si="840"/>
        <v/>
      </c>
      <c r="BA397" s="259">
        <f t="shared" ca="1" si="785"/>
        <v>0</v>
      </c>
      <c r="BB397" s="259">
        <f t="shared" ca="1" si="841"/>
        <v>0</v>
      </c>
      <c r="BC397" s="259">
        <f t="shared" ca="1" si="842"/>
        <v>0</v>
      </c>
      <c r="BD397" s="259">
        <f t="shared" ca="1" si="843"/>
        <v>0</v>
      </c>
      <c r="BE397" s="259">
        <f t="shared" ca="1" si="844"/>
        <v>0</v>
      </c>
      <c r="BQ397" s="259" t="str">
        <f ca="1">IFERROR(INDEX($BN$3:$BO$200,MATCH(ROWS(BQ$3:BQ397),$BP$3:$BP$220,0),1),"")</f>
        <v/>
      </c>
      <c r="CX397" s="259">
        <f t="shared" ca="1" si="807"/>
        <v>22</v>
      </c>
      <c r="CY397" s="259" t="str">
        <f t="shared" ca="1" si="805"/>
        <v>MASTRO</v>
      </c>
      <c r="CZ397" s="259" t="e">
        <f t="shared" ca="1" si="809"/>
        <v>#N/A</v>
      </c>
      <c r="DA397" s="259" t="str">
        <f t="shared" ca="1" si="814"/>
        <v/>
      </c>
      <c r="DB397" s="259" t="str">
        <f t="shared" ca="1" si="810"/>
        <v/>
      </c>
      <c r="DC397" s="259" t="str">
        <f t="shared" ca="1" si="811"/>
        <v/>
      </c>
      <c r="DD397" s="259" t="str">
        <f t="shared" ca="1" si="812"/>
        <v/>
      </c>
      <c r="DE397" s="259" t="str">
        <f t="shared" ca="1" si="813"/>
        <v/>
      </c>
      <c r="DF397" s="259">
        <f ca="1">IF(AND(CX397=$DE$2,$DF$2&lt;&gt;0),0,IF(AND(DB397&lt;&gt;"",OR(DB396&lt;&gt;"",DB398&lt;&gt;"")),MAX($DF$2:DF396)+1,0))</f>
        <v>0</v>
      </c>
      <c r="DG397" s="259" t="str">
        <f>IF(IF(LIBRO_GIORNALE!E305="","",IFERROR(INDEX(PIANO_DEI_CONTI,MATCH(BB397,DENOMINAZIONE,0),1),0))=0,"",IF(LIBRO_GIORNALE!E305="","",IFERROR(INDEX(PIANO_DEI_CONTI,MATCH(BB397,DENOMINAZIONE,0),1),0)))</f>
        <v/>
      </c>
      <c r="EC397" s="259">
        <f>IF(IF(DG397&lt;&gt;"",REPLACE(DG397,3,1,""),0)&lt;&gt;0,MAX(EC$2:EC396)+1,0)</f>
        <v>0</v>
      </c>
      <c r="ED397" s="259">
        <f t="shared" ca="1" si="815"/>
        <v>0</v>
      </c>
      <c r="EL397" s="259">
        <f t="shared" si="822"/>
        <v>395</v>
      </c>
      <c r="EM397" s="259">
        <f ca="1">IF(AND(BA397&gt;0,BA397&lt;=$EM$1),MAX($EM$2:EM396)+1,0)</f>
        <v>0</v>
      </c>
      <c r="EN397" s="259">
        <f t="shared" ca="1" si="823"/>
        <v>397</v>
      </c>
      <c r="EP397" s="259" t="str">
        <f t="shared" ca="1" si="816"/>
        <v/>
      </c>
      <c r="EW397" s="259">
        <f t="shared" ca="1" si="786"/>
        <v>1</v>
      </c>
      <c r="EX397" s="259">
        <v>295</v>
      </c>
      <c r="EY397" s="259">
        <f t="shared" ca="1" si="787"/>
        <v>0</v>
      </c>
      <c r="EZ397" s="259">
        <f t="shared" ca="1" si="788"/>
        <v>0</v>
      </c>
      <c r="FA397" s="259">
        <f t="shared" ca="1" si="789"/>
        <v>0</v>
      </c>
      <c r="FB397" s="259">
        <f t="shared" ca="1" si="790"/>
        <v>0</v>
      </c>
      <c r="FC397" s="259">
        <f t="shared" ca="1" si="791"/>
        <v>0</v>
      </c>
      <c r="FD397" s="259">
        <f t="shared" ca="1" si="817"/>
        <v>0</v>
      </c>
      <c r="FE397" s="259" t="str">
        <f t="shared" ca="1" si="818"/>
        <v/>
      </c>
      <c r="FF397" s="259" t="str">
        <f t="shared" ca="1" si="792"/>
        <v/>
      </c>
      <c r="FM397" s="259">
        <f t="shared" si="819"/>
        <v>0</v>
      </c>
      <c r="FN397" s="259">
        <f>IF(FM397&lt;0,MAX($FN$2:FN396)+1,0)</f>
        <v>0</v>
      </c>
      <c r="FO397" s="259" t="str">
        <f t="shared" si="824"/>
        <v/>
      </c>
      <c r="FP397" s="259" t="str">
        <f ca="1">IFERROR(INDEX($FN$3:$FO$400,MATCH(ROWS($FP$3:FP397),$FN$3:$FN$400,0),2),"")</f>
        <v/>
      </c>
      <c r="FQ397" s="259" t="str">
        <f>IF(AE397="SE AVERE",MAX($FQ$2:FQ396)+1,"")</f>
        <v/>
      </c>
      <c r="FR397" s="259" t="str">
        <f>IF(AE397="SE DARE",MAX($FR$2:FR396)+1,"")</f>
        <v/>
      </c>
      <c r="FS397" s="259" t="str">
        <f ca="1">IF(AND(AE397="SP DARE",AA397&lt;&gt;$FS$1,AA397&lt;&gt;$FT$1),MAX($FS$2:FS396)+1,IF(AND(GQ397="SP DARE",AA397&lt;&gt;$FS$1,AA397&lt;&gt;$FT$1),MAX($FS$2:FS396)+1,""))</f>
        <v/>
      </c>
      <c r="FT397" s="259" t="str">
        <f ca="1">IF(AND(AE397="SP AVERE",AA397&lt;&gt;$FU$1),MAX($FT$2:FT396)+1,IF(AND(GQ397="SP AVERE",AA397&lt;&gt;$FU$1),MAX($FT$2:FT396)+1,""))</f>
        <v/>
      </c>
      <c r="FU397" s="259">
        <f t="shared" ca="1" si="825"/>
        <v>0</v>
      </c>
      <c r="FV397" s="259">
        <f t="shared" si="826"/>
        <v>0</v>
      </c>
      <c r="FW397" s="259">
        <f ca="1">IFERROR(INDEX($FU$3:$FV$500,MATCH(ROWS($FW$3:FW397),$FU$3:$FU$500,0),2),0)</f>
        <v>0</v>
      </c>
      <c r="FX397" s="259">
        <f t="shared" ca="1" si="827"/>
        <v>0</v>
      </c>
      <c r="FY397" s="259">
        <f t="shared" ca="1" si="828"/>
        <v>0</v>
      </c>
      <c r="FZ397" s="259">
        <f ca="1">IF(FY397&gt;0,MAX($FZ$2:FZ396)+1,0)</f>
        <v>0</v>
      </c>
      <c r="GA397" s="259">
        <f ca="1">IFERROR(INDEX($FY$3:$FZ$500,MATCH(ROWS($GA$3:GA397),$FZ$3:$FZ$500,0),1),0)</f>
        <v>0</v>
      </c>
      <c r="GC397" s="259">
        <f t="shared" ca="1" si="829"/>
        <v>0</v>
      </c>
      <c r="GD397" s="259">
        <f t="shared" ca="1" si="830"/>
        <v>0</v>
      </c>
      <c r="GG397" s="259">
        <f t="shared" ca="1" si="831"/>
        <v>0</v>
      </c>
      <c r="GH397" s="259">
        <f t="shared" ca="1" si="832"/>
        <v>0</v>
      </c>
      <c r="GI397" s="259">
        <f t="shared" ca="1" si="833"/>
        <v>0</v>
      </c>
      <c r="GJ397" s="259">
        <f t="shared" ca="1" si="834"/>
        <v>0</v>
      </c>
      <c r="GK397" s="259">
        <f t="shared" ca="1" si="835"/>
        <v>0</v>
      </c>
      <c r="GL397" s="259">
        <f t="shared" ca="1" si="835"/>
        <v>0</v>
      </c>
      <c r="GM397" s="259">
        <f ca="1">IF(OR(GK397&gt;0,GL397&gt;0),MAX($GM$2:GM396)+1,0)</f>
        <v>0</v>
      </c>
      <c r="GN397" s="259" t="str">
        <f ca="1">IFERROR(INDEX($GD$3:$GM$400,MATCH(ROWS($GN$3:GN397),$GM$3:$GM$400,0),1),"")</f>
        <v/>
      </c>
      <c r="GO397" s="259" t="str">
        <f ca="1">IFERROR(INDEX($GD$3:$GM$400,MATCH(ROWS($GO$3:GO397),$GM$3:$GM$400,0),8),"")</f>
        <v/>
      </c>
      <c r="GP397" s="259" t="str">
        <f ca="1">IFERROR(INDEX($GD$3:$GM$400,MATCH(ROWS($GP$3:GP397),$GM$3:$GM$400,0),9),"")</f>
        <v/>
      </c>
      <c r="GQ397" s="259">
        <f t="shared" ca="1" si="820"/>
        <v>0</v>
      </c>
      <c r="GR397" s="259">
        <f t="shared" ca="1" si="836"/>
        <v>0</v>
      </c>
      <c r="GS397" s="259" t="str">
        <f t="shared" ca="1" si="837"/>
        <v/>
      </c>
      <c r="GT397" s="259" t="str">
        <f ca="1">IFERROR(INDEX($GD$3:$GS$400,MATCH(ROWS($GT$3:GT397),$GM$3:$GM$400,0),16),"")</f>
        <v/>
      </c>
      <c r="GU397" s="259">
        <f ca="1">IF(GQ397&lt;&gt;0,MAX($GU$2:$GU396)+1,0)</f>
        <v>0</v>
      </c>
      <c r="GV397" s="259">
        <f t="shared" ca="1" si="838"/>
        <v>0</v>
      </c>
      <c r="GW397" s="259" t="str">
        <f ca="1">IF(AND(IFERROR(INDEX($GU$3:$GV$400,MATCH(ROWS($GW$3:GW397),$GU$3:$GU$400,0),2),"")&lt;&gt;"",GW398&lt;&gt;""),CONCATENATE(IFERROR(INDEX($GU$3:$GV$400,MATCH(ROWS($GW$3:GW397),$GU$3:$GU$400,0),2),"")," - "),IFERROR(INDEX($GU$3:$GV$400,MATCH(ROWS($GW$3:GW397),$GU$3:$GU$400,0),2),""))</f>
        <v/>
      </c>
      <c r="GX397" s="259">
        <f ca="1">IF(OR(GN397="IVA NS/CREDITO",GN397="IVA NS/DEBITO",GN397="IVA C/ACCONTO",GN397="IMPOSTE C/ACCONTO"),MAX($GX$2:GX396)+1,0)</f>
        <v>0</v>
      </c>
      <c r="GY397" s="259" t="str">
        <f ca="1">IF(AND(IFERROR(INDEX($GN$3:$GX$200,MATCH(ROWS($GY$3:GY397),$GX$3:$GX$200,0),1),"")&lt;&gt;"",GY398&lt;&gt;""),CONCATENATE(IFERROR(INDEX($GN$3:$GX$200,MATCH(ROWS($GY$3:GY397),$GX$3:$GX$200,0),1),"")," - "),IFERROR(INDEX($GN$3:$GX$200,MATCH(ROWS($GY$3:GY397),$GX$3:$GX$200,0),1),""))</f>
        <v/>
      </c>
      <c r="JA397" s="259" t="str">
        <f t="shared" ca="1" si="839"/>
        <v/>
      </c>
      <c r="JB397" s="259">
        <f t="shared" ca="1" si="821"/>
        <v>0</v>
      </c>
      <c r="JC397" s="259">
        <f t="shared" ca="1" si="793"/>
        <v>0</v>
      </c>
      <c r="JD397" s="259">
        <f t="shared" ca="1" si="794"/>
        <v>0</v>
      </c>
      <c r="JM397" s="259">
        <f t="shared" ca="1" si="795"/>
        <v>0</v>
      </c>
    </row>
    <row r="398" spans="52:273">
      <c r="AZ398" s="259" t="str">
        <f t="shared" ca="1" si="840"/>
        <v/>
      </c>
      <c r="BA398" s="259">
        <f t="shared" ca="1" si="785"/>
        <v>0</v>
      </c>
      <c r="BB398" s="259">
        <f t="shared" ca="1" si="841"/>
        <v>0</v>
      </c>
      <c r="BC398" s="259">
        <f t="shared" ca="1" si="842"/>
        <v>0</v>
      </c>
      <c r="BD398" s="259">
        <f t="shared" ca="1" si="843"/>
        <v>0</v>
      </c>
      <c r="BE398" s="259">
        <f t="shared" ca="1" si="844"/>
        <v>0</v>
      </c>
      <c r="BQ398" s="259" t="str">
        <f ca="1">IFERROR(INDEX($BN$3:$BO$200,MATCH(ROWS(BQ$3:BQ398),$BP$3:$BP$220,0),1),"")</f>
        <v/>
      </c>
      <c r="CX398" s="259" t="str">
        <f>IFERROR(IF(CX380+1=1,"",(CX380+1)),"")</f>
        <v/>
      </c>
      <c r="CY398" s="259" t="s">
        <v>269</v>
      </c>
      <c r="DB398" s="259" t="str">
        <f t="shared" ref="DB398" si="845">CY398</f>
        <v>MASTRO</v>
      </c>
      <c r="DF398" s="259">
        <f ca="1">IF(AND(CX398=$DE$2,$DF$2&lt;&gt;0),0,IF(AND(DB398&lt;&gt;"",OR(DB397&lt;&gt;"",DB399&lt;&gt;"")),MAX($DF$2:DF397)+1,0))</f>
        <v>0</v>
      </c>
      <c r="DG398" s="259" t="str">
        <f>IF(IF(LIBRO_GIORNALE!E306="","",IFERROR(INDEX(PIANO_DEI_CONTI,MATCH(BB398,DENOMINAZIONE,0),1),0))=0,"",IF(LIBRO_GIORNALE!E306="","",IFERROR(INDEX(PIANO_DEI_CONTI,MATCH(BB398,DENOMINAZIONE,0),1),0)))</f>
        <v/>
      </c>
      <c r="EC398" s="259">
        <f>IF(IF(DG398&lt;&gt;"",REPLACE(DG398,3,1,""),0)&lt;&gt;0,MAX(EC$2:EC397)+1,0)</f>
        <v>0</v>
      </c>
      <c r="ED398" s="259">
        <f t="shared" ca="1" si="815"/>
        <v>0</v>
      </c>
      <c r="EL398" s="259">
        <f t="shared" si="822"/>
        <v>396</v>
      </c>
      <c r="EM398" s="259">
        <f ca="1">IF(AND(BA398&gt;0,BA398&lt;=$EM$1),MAX($EM$2:EM397)+1,0)</f>
        <v>0</v>
      </c>
      <c r="EN398" s="259">
        <f t="shared" ca="1" si="823"/>
        <v>398</v>
      </c>
      <c r="EP398" s="259" t="str">
        <f t="shared" ca="1" si="816"/>
        <v/>
      </c>
      <c r="EW398" s="259">
        <f t="shared" ca="1" si="786"/>
        <v>1</v>
      </c>
      <c r="EX398" s="259">
        <v>296</v>
      </c>
      <c r="EY398" s="259">
        <f t="shared" ca="1" si="787"/>
        <v>0</v>
      </c>
      <c r="EZ398" s="259">
        <f t="shared" ca="1" si="788"/>
        <v>0</v>
      </c>
      <c r="FA398" s="259">
        <f t="shared" ca="1" si="789"/>
        <v>0</v>
      </c>
      <c r="FB398" s="259">
        <f t="shared" ca="1" si="790"/>
        <v>0</v>
      </c>
      <c r="FC398" s="259">
        <f t="shared" ca="1" si="791"/>
        <v>0</v>
      </c>
      <c r="FD398" s="259">
        <f t="shared" ca="1" si="817"/>
        <v>0</v>
      </c>
      <c r="FE398" s="259" t="str">
        <f t="shared" ca="1" si="818"/>
        <v/>
      </c>
      <c r="FF398" s="259" t="str">
        <f t="shared" ca="1" si="792"/>
        <v/>
      </c>
      <c r="FM398" s="259">
        <f t="shared" si="819"/>
        <v>0</v>
      </c>
      <c r="FN398" s="259">
        <f>IF(FM398&lt;0,MAX($FN$2:FN397)+1,0)</f>
        <v>0</v>
      </c>
      <c r="FO398" s="259" t="str">
        <f t="shared" si="824"/>
        <v/>
      </c>
      <c r="FP398" s="259" t="str">
        <f ca="1">IFERROR(INDEX($FN$3:$FO$400,MATCH(ROWS($FP$3:FP398),$FN$3:$FN$400,0),2),"")</f>
        <v/>
      </c>
      <c r="FQ398" s="259" t="str">
        <f>IF(AE398="SE AVERE",MAX($FQ$2:FQ397)+1,"")</f>
        <v/>
      </c>
      <c r="FR398" s="259" t="str">
        <f>IF(AE398="SE DARE",MAX($FR$2:FR397)+1,"")</f>
        <v/>
      </c>
      <c r="FS398" s="259" t="str">
        <f ca="1">IF(AND(AE398="SP DARE",AA398&lt;&gt;$FS$1,AA398&lt;&gt;$FT$1),MAX($FS$2:FS397)+1,IF(AND(GQ398="SP DARE",AA398&lt;&gt;$FS$1,AA398&lt;&gt;$FT$1),MAX($FS$2:FS397)+1,""))</f>
        <v/>
      </c>
      <c r="FT398" s="259" t="str">
        <f ca="1">IF(AND(AE398="SP AVERE",AA398&lt;&gt;$FU$1),MAX($FT$2:FT397)+1,IF(AND(GQ398="SP AVERE",AA398&lt;&gt;$FU$1),MAX($FT$2:FT397)+1,""))</f>
        <v/>
      </c>
      <c r="FU398" s="259">
        <f t="shared" ca="1" si="825"/>
        <v>0</v>
      </c>
      <c r="FV398" s="259">
        <f t="shared" si="826"/>
        <v>0</v>
      </c>
      <c r="FW398" s="259">
        <f ca="1">IFERROR(INDEX($FU$3:$FV$500,MATCH(ROWS($FW$3:FW398),$FU$3:$FU$500,0),2),0)</f>
        <v>0</v>
      </c>
      <c r="FX398" s="259">
        <f t="shared" ca="1" si="827"/>
        <v>0</v>
      </c>
      <c r="FY398" s="259">
        <f t="shared" ca="1" si="828"/>
        <v>0</v>
      </c>
      <c r="FZ398" s="259">
        <f ca="1">IF(FY398&gt;0,MAX($FZ$2:FZ397)+1,0)</f>
        <v>0</v>
      </c>
      <c r="GA398" s="259">
        <f ca="1">IFERROR(INDEX($FY$3:$FZ$500,MATCH(ROWS($GA$3:GA398),$FZ$3:$FZ$500,0),1),0)</f>
        <v>0</v>
      </c>
      <c r="GC398" s="259">
        <f t="shared" ca="1" si="829"/>
        <v>0</v>
      </c>
      <c r="GD398" s="259">
        <f t="shared" ca="1" si="830"/>
        <v>0</v>
      </c>
      <c r="GG398" s="259">
        <f t="shared" ca="1" si="831"/>
        <v>0</v>
      </c>
      <c r="GH398" s="259">
        <f t="shared" ca="1" si="832"/>
        <v>0</v>
      </c>
      <c r="GI398" s="259">
        <f t="shared" ca="1" si="833"/>
        <v>0</v>
      </c>
      <c r="GJ398" s="259">
        <f t="shared" ca="1" si="834"/>
        <v>0</v>
      </c>
      <c r="GK398" s="259">
        <f t="shared" ca="1" si="835"/>
        <v>0</v>
      </c>
      <c r="GL398" s="259">
        <f t="shared" ca="1" si="835"/>
        <v>0</v>
      </c>
      <c r="GM398" s="259">
        <f ca="1">IF(OR(GK398&gt;0,GL398&gt;0),MAX($GM$2:GM397)+1,0)</f>
        <v>0</v>
      </c>
      <c r="GN398" s="259" t="str">
        <f ca="1">IFERROR(INDEX($GD$3:$GM$400,MATCH(ROWS($GN$3:GN398),$GM$3:$GM$400,0),1),"")</f>
        <v/>
      </c>
      <c r="GO398" s="259" t="str">
        <f ca="1">IFERROR(INDEX($GD$3:$GM$400,MATCH(ROWS($GO$3:GO398),$GM$3:$GM$400,0),8),"")</f>
        <v/>
      </c>
      <c r="GP398" s="259" t="str">
        <f ca="1">IFERROR(INDEX($GD$3:$GM$400,MATCH(ROWS($GP$3:GP398),$GM$3:$GM$400,0),9),"")</f>
        <v/>
      </c>
      <c r="GQ398" s="259">
        <f t="shared" ca="1" si="820"/>
        <v>0</v>
      </c>
      <c r="GR398" s="259">
        <f t="shared" ca="1" si="836"/>
        <v>0</v>
      </c>
      <c r="GS398" s="259" t="str">
        <f t="shared" ca="1" si="837"/>
        <v/>
      </c>
      <c r="GT398" s="259" t="str">
        <f ca="1">IFERROR(INDEX($GD$3:$GS$400,MATCH(ROWS($GT$3:GT398),$GM$3:$GM$400,0),16),"")</f>
        <v/>
      </c>
      <c r="GU398" s="259">
        <f ca="1">IF(GQ398&lt;&gt;0,MAX($GU$2:$GU397)+1,0)</f>
        <v>0</v>
      </c>
      <c r="GV398" s="259">
        <f t="shared" ca="1" si="838"/>
        <v>0</v>
      </c>
      <c r="GW398" s="259" t="str">
        <f ca="1">IF(AND(IFERROR(INDEX($GU$3:$GV$400,MATCH(ROWS($GW$3:GW398),$GU$3:$GU$400,0),2),"")&lt;&gt;"",GW399&lt;&gt;""),CONCATENATE(IFERROR(INDEX($GU$3:$GV$400,MATCH(ROWS($GW$3:GW398),$GU$3:$GU$400,0),2),"")," - "),IFERROR(INDEX($GU$3:$GV$400,MATCH(ROWS($GW$3:GW398),$GU$3:$GU$400,0),2),""))</f>
        <v/>
      </c>
      <c r="GX398" s="259">
        <f ca="1">IF(OR(GN398="IVA NS/CREDITO",GN398="IVA NS/DEBITO",GN398="IVA C/ACCONTO",GN398="IMPOSTE C/ACCONTO"),MAX($GX$2:GX397)+1,0)</f>
        <v>0</v>
      </c>
      <c r="GY398" s="259" t="str">
        <f ca="1">IF(AND(IFERROR(INDEX($GN$3:$GX$200,MATCH(ROWS($GY$3:GY398),$GX$3:$GX$200,0),1),"")&lt;&gt;"",GY399&lt;&gt;""),CONCATENATE(IFERROR(INDEX($GN$3:$GX$200,MATCH(ROWS($GY$3:GY398),$GX$3:$GX$200,0),1),"")," - "),IFERROR(INDEX($GN$3:$GX$200,MATCH(ROWS($GY$3:GY398),$GX$3:$GX$200,0),1),""))</f>
        <v/>
      </c>
      <c r="JA398" s="259" t="str">
        <f t="shared" ca="1" si="839"/>
        <v/>
      </c>
      <c r="JB398" s="259">
        <f t="shared" ca="1" si="821"/>
        <v>0</v>
      </c>
      <c r="JC398" s="259">
        <f t="shared" ca="1" si="793"/>
        <v>0</v>
      </c>
      <c r="JD398" s="259">
        <f t="shared" ca="1" si="794"/>
        <v>0</v>
      </c>
      <c r="JM398" s="259">
        <f t="shared" ca="1" si="795"/>
        <v>0</v>
      </c>
    </row>
    <row r="399" spans="52:273">
      <c r="AZ399" s="259" t="str">
        <f t="shared" ca="1" si="840"/>
        <v/>
      </c>
      <c r="BA399" s="259">
        <f t="shared" ca="1" si="785"/>
        <v>0</v>
      </c>
      <c r="BB399" s="259">
        <f t="shared" ca="1" si="841"/>
        <v>0</v>
      </c>
      <c r="BC399" s="259">
        <f t="shared" ca="1" si="842"/>
        <v>0</v>
      </c>
      <c r="BD399" s="259">
        <f t="shared" ca="1" si="843"/>
        <v>0</v>
      </c>
      <c r="BE399" s="259">
        <f t="shared" ca="1" si="844"/>
        <v>0</v>
      </c>
      <c r="BQ399" s="259" t="str">
        <f ca="1">IFERROR(INDEX($BN$3:$BO$200,MATCH(ROWS(BQ$3:BQ399),$BP$3:$BP$220,0),1),"")</f>
        <v/>
      </c>
      <c r="CX399" s="259">
        <f ca="1">$EA$25</f>
        <v>23</v>
      </c>
      <c r="CY399" s="259" t="str">
        <f t="shared" ref="CY399:CY433" ca="1" si="846">IF(ISERROR(INDEX($CV$3:$CX$2300,MATCH(CX399,$CW$3:$CW$2300,0),1)),"MASTRO",INDEX($CV$3:$CX$2300,MATCH(CX399,$CW$3:$CW$2300,0),1))</f>
        <v>MASTRO</v>
      </c>
      <c r="DA399" s="259" t="str">
        <f>IF(CY398="MASTRO","Conto n.","")</f>
        <v>Conto n.</v>
      </c>
      <c r="DB399" s="259" t="str">
        <f ca="1">IF(CY399=0,"",INDEX(PIANO_DEI_CONTI,MATCH(DC399,DENOMINAZIONE,0),1))</f>
        <v/>
      </c>
      <c r="DC399" s="259" t="str">
        <f ca="1">IF(OR(CY399=0,CY399="mastro"),"",CY399)</f>
        <v/>
      </c>
      <c r="DD399" s="259" t="str">
        <f ca="1">IF(AND($DA$2=TRUE,OR(INDEX(PIANO_DEI_CONTI,MATCH($DC399,DENOMINAZIONE,0),4)="A",INDEX(PIANO_DEI_CONTI,MATCH($DC399,DENOMINAZIONE,0),4)="D/A"),SUMIFS(AVERE,DENOMINAZIONE_GIORNALE,"="&amp;$DC399)&gt;SUMIFS(DARE,DENOMINAZIONE_GIORNALE,"="&amp;$DC399)),CONCATENATE("s ",FIXED(ABS(SUMIFS(AVERE,DENOMINAZIONE_GIORNALE,"="&amp;$DC399)-SUMIFS(DARE,DENOMINAZIONE_GIORNALE,"="&amp;$DC399)),2)),"")</f>
        <v/>
      </c>
      <c r="DE399" s="259" t="str">
        <f ca="1">IF(AND($DA$2=TRUE,OR(INDEX(PIANO_DEI_CONTI,MATCH($DC399,DENOMINAZIONE,0),4)="D",INDEX(PIANO_DEI_CONTI,MATCH($DC399,DENOMINAZIONE,0),4)="D/A"),SUMIFS(DARE,DENOMINAZIONE_GIORNALE,"="&amp;$DC399)&gt;SUMIFS(AVERE,DENOMINAZIONE_GIORNALE,"="&amp;$DC399)),CONCATENATE("s ",FIXED(ABS(SUMIFS(DARE,DENOMINAZIONE_GIORNALE,"="&amp;$DC399)-SUMIFS(AVERE,DENOMINAZIONE_GIORNALE,"="&amp;$DC399)),2)),"")</f>
        <v/>
      </c>
      <c r="DF399" s="259">
        <f ca="1">IF(AND(CX399=$DE$2,$DF$2&lt;&gt;0),0,IF(AND(DB399&lt;&gt;"",OR(DB398&lt;&gt;"",DB400&lt;&gt;"")),MAX($DF$2:DF398)+1,0))</f>
        <v>0</v>
      </c>
      <c r="DG399" s="259" t="str">
        <f>IF(IF(LIBRO_GIORNALE!E307="","",IFERROR(INDEX(PIANO_DEI_CONTI,MATCH(BB399,DENOMINAZIONE,0),1),0))=0,"",IF(LIBRO_GIORNALE!E307="","",IFERROR(INDEX(PIANO_DEI_CONTI,MATCH(BB399,DENOMINAZIONE,0),1),0)))</f>
        <v/>
      </c>
      <c r="EC399" s="259">
        <f>IF(IF(DG399&lt;&gt;"",REPLACE(DG399,3,1,""),0)&lt;&gt;0,MAX(EC$2:EC398)+1,0)</f>
        <v>0</v>
      </c>
      <c r="ED399" s="259">
        <f t="shared" ca="1" si="815"/>
        <v>0</v>
      </c>
      <c r="EL399" s="259">
        <f t="shared" si="822"/>
        <v>397</v>
      </c>
      <c r="EM399" s="259">
        <f ca="1">IF(AND(BA399&gt;0,BA399&lt;=$EM$1),MAX($EM$2:EM398)+1,0)</f>
        <v>0</v>
      </c>
      <c r="EN399" s="259">
        <f t="shared" ca="1" si="823"/>
        <v>399</v>
      </c>
      <c r="EP399" s="259" t="str">
        <f t="shared" ca="1" si="816"/>
        <v/>
      </c>
      <c r="EW399" s="259">
        <f t="shared" ca="1" si="786"/>
        <v>1</v>
      </c>
      <c r="EX399" s="259">
        <v>297</v>
      </c>
      <c r="EY399" s="259">
        <f t="shared" ca="1" si="787"/>
        <v>0</v>
      </c>
      <c r="EZ399" s="259">
        <f t="shared" ca="1" si="788"/>
        <v>0</v>
      </c>
      <c r="FA399" s="259">
        <f t="shared" ca="1" si="789"/>
        <v>0</v>
      </c>
      <c r="FB399" s="259">
        <f t="shared" ca="1" si="790"/>
        <v>0</v>
      </c>
      <c r="FC399" s="259">
        <f t="shared" ca="1" si="791"/>
        <v>0</v>
      </c>
      <c r="FD399" s="259">
        <f t="shared" ca="1" si="817"/>
        <v>0</v>
      </c>
      <c r="FE399" s="259" t="str">
        <f t="shared" ca="1" si="818"/>
        <v/>
      </c>
      <c r="FF399" s="259" t="str">
        <f t="shared" ca="1" si="792"/>
        <v/>
      </c>
      <c r="FM399" s="259">
        <f t="shared" si="819"/>
        <v>0</v>
      </c>
      <c r="FN399" s="259">
        <f>IF(FM399&lt;0,MAX($FN$2:FN398)+1,0)</f>
        <v>0</v>
      </c>
      <c r="FO399" s="259" t="str">
        <f t="shared" si="824"/>
        <v/>
      </c>
      <c r="FP399" s="259" t="str">
        <f ca="1">IFERROR(INDEX($FN$3:$FO$400,MATCH(ROWS($FP$3:FP399),$FN$3:$FN$400,0),2),"")</f>
        <v/>
      </c>
      <c r="FQ399" s="259" t="str">
        <f>IF(AE399="SE AVERE",MAX($FQ$2:FQ398)+1,"")</f>
        <v/>
      </c>
      <c r="FR399" s="259" t="str">
        <f>IF(AE399="SE DARE",MAX($FR$2:FR398)+1,"")</f>
        <v/>
      </c>
      <c r="FS399" s="259" t="str">
        <f ca="1">IF(AND(AE399="SP DARE",AA399&lt;&gt;$FS$1,AA399&lt;&gt;$FT$1),MAX($FS$2:FS398)+1,IF(AND(GQ399="SP DARE",AA399&lt;&gt;$FS$1,AA399&lt;&gt;$FT$1),MAX($FS$2:FS398)+1,""))</f>
        <v/>
      </c>
      <c r="FT399" s="259" t="str">
        <f ca="1">IF(AND(AE399="SP AVERE",AA399&lt;&gt;$FU$1),MAX($FT$2:FT398)+1,IF(AND(GQ399="SP AVERE",AA399&lt;&gt;$FU$1),MAX($FT$2:FT398)+1,""))</f>
        <v/>
      </c>
      <c r="FU399" s="259">
        <f t="shared" ca="1" si="825"/>
        <v>0</v>
      </c>
      <c r="FV399" s="259">
        <f t="shared" si="826"/>
        <v>0</v>
      </c>
      <c r="FW399" s="259">
        <f ca="1">IFERROR(INDEX($FU$3:$FV$500,MATCH(ROWS($FW$3:FW399),$FU$3:$FU$500,0),2),0)</f>
        <v>0</v>
      </c>
      <c r="FX399" s="259">
        <f t="shared" ca="1" si="827"/>
        <v>0</v>
      </c>
      <c r="FY399" s="259">
        <f t="shared" ca="1" si="828"/>
        <v>0</v>
      </c>
      <c r="FZ399" s="259">
        <f ca="1">IF(FY399&gt;0,MAX($FZ$2:FZ398)+1,0)</f>
        <v>0</v>
      </c>
      <c r="GA399" s="259">
        <f ca="1">IFERROR(INDEX($FY$3:$FZ$500,MATCH(ROWS($GA$3:GA399),$FZ$3:$FZ$500,0),1),0)</f>
        <v>0</v>
      </c>
      <c r="GC399" s="259">
        <f t="shared" ca="1" si="829"/>
        <v>0</v>
      </c>
      <c r="GD399" s="259">
        <f t="shared" ca="1" si="830"/>
        <v>0</v>
      </c>
      <c r="GG399" s="259">
        <f t="shared" ca="1" si="831"/>
        <v>0</v>
      </c>
      <c r="GH399" s="259">
        <f t="shared" ca="1" si="832"/>
        <v>0</v>
      </c>
      <c r="GI399" s="259">
        <f t="shared" ca="1" si="833"/>
        <v>0</v>
      </c>
      <c r="GJ399" s="259">
        <f t="shared" ca="1" si="834"/>
        <v>0</v>
      </c>
      <c r="GK399" s="259">
        <f t="shared" ca="1" si="835"/>
        <v>0</v>
      </c>
      <c r="GL399" s="259">
        <f t="shared" ca="1" si="835"/>
        <v>0</v>
      </c>
      <c r="GM399" s="259">
        <f ca="1">IF(OR(GK399&gt;0,GL399&gt;0),MAX($GM$2:GM398)+1,0)</f>
        <v>0</v>
      </c>
      <c r="GN399" s="259" t="str">
        <f ca="1">IFERROR(INDEX($GD$3:$GM$400,MATCH(ROWS($GN$3:GN399),$GM$3:$GM$400,0),1),"")</f>
        <v/>
      </c>
      <c r="GO399" s="259" t="str">
        <f ca="1">IFERROR(INDEX($GD$3:$GM$400,MATCH(ROWS($GO$3:GO399),$GM$3:$GM$400,0),8),"")</f>
        <v/>
      </c>
      <c r="GP399" s="259" t="str">
        <f ca="1">IFERROR(INDEX($GD$3:$GM$400,MATCH(ROWS($GP$3:GP399),$GM$3:$GM$400,0),9),"")</f>
        <v/>
      </c>
      <c r="GQ399" s="259">
        <f t="shared" ca="1" si="820"/>
        <v>0</v>
      </c>
      <c r="GR399" s="259">
        <f t="shared" ca="1" si="836"/>
        <v>0</v>
      </c>
      <c r="GS399" s="259" t="str">
        <f t="shared" ca="1" si="837"/>
        <v/>
      </c>
      <c r="GT399" s="259" t="str">
        <f ca="1">IFERROR(INDEX($GD$3:$GS$400,MATCH(ROWS($GT$3:GT399),$GM$3:$GM$400,0),16),"")</f>
        <v/>
      </c>
      <c r="GU399" s="259">
        <f ca="1">IF(GQ399&lt;&gt;0,MAX($GU$2:$GU398)+1,0)</f>
        <v>0</v>
      </c>
      <c r="GV399" s="259">
        <f t="shared" ca="1" si="838"/>
        <v>0</v>
      </c>
      <c r="GW399" s="259" t="str">
        <f ca="1">IF(AND(IFERROR(INDEX($GU$3:$GV$400,MATCH(ROWS($GW$3:GW399),$GU$3:$GU$400,0),2),"")&lt;&gt;"",GW400&lt;&gt;""),CONCATENATE(IFERROR(INDEX($GU$3:$GV$400,MATCH(ROWS($GW$3:GW399),$GU$3:$GU$400,0),2),"")," - "),IFERROR(INDEX($GU$3:$GV$400,MATCH(ROWS($GW$3:GW399),$GU$3:$GU$400,0),2),""))</f>
        <v/>
      </c>
      <c r="GX399" s="259">
        <f ca="1">IF(OR(GN399="IVA NS/CREDITO",GN399="IVA NS/DEBITO",GN399="IVA C/ACCONTO",GN399="IMPOSTE C/ACCONTO"),MAX($GX$2:GX398)+1,0)</f>
        <v>0</v>
      </c>
      <c r="GY399" s="259" t="str">
        <f ca="1">IF(AND(IFERROR(INDEX($GN$3:$GX$200,MATCH(ROWS($GY$3:GY399),$GX$3:$GX$200,0),1),"")&lt;&gt;"",GY400&lt;&gt;""),CONCATENATE(IFERROR(INDEX($GN$3:$GX$200,MATCH(ROWS($GY$3:GY399),$GX$3:$GX$200,0),1),"")," - "),IFERROR(INDEX($GN$3:$GX$200,MATCH(ROWS($GY$3:GY399),$GX$3:$GX$200,0),1),""))</f>
        <v/>
      </c>
      <c r="JA399" s="259" t="str">
        <f t="shared" ca="1" si="839"/>
        <v/>
      </c>
      <c r="JB399" s="259">
        <f t="shared" ca="1" si="821"/>
        <v>0</v>
      </c>
      <c r="JC399" s="259">
        <f t="shared" ca="1" si="793"/>
        <v>0</v>
      </c>
      <c r="JD399" s="259">
        <f t="shared" ca="1" si="794"/>
        <v>0</v>
      </c>
      <c r="JM399" s="259">
        <f t="shared" ca="1" si="795"/>
        <v>0</v>
      </c>
    </row>
    <row r="400" spans="52:273">
      <c r="AZ400" s="259" t="str">
        <f t="shared" ca="1" si="840"/>
        <v/>
      </c>
      <c r="BA400" s="259">
        <f t="shared" ca="1" si="785"/>
        <v>0</v>
      </c>
      <c r="BB400" s="259">
        <f t="shared" ca="1" si="841"/>
        <v>0</v>
      </c>
      <c r="BC400" s="259">
        <f t="shared" ca="1" si="842"/>
        <v>0</v>
      </c>
      <c r="BD400" s="259">
        <f t="shared" ca="1" si="843"/>
        <v>0</v>
      </c>
      <c r="BE400" s="259">
        <f t="shared" ca="1" si="844"/>
        <v>0</v>
      </c>
      <c r="BQ400" s="259" t="str">
        <f ca="1">IFERROR(INDEX($BN$3:$BO$200,MATCH(ROWS(BQ$3:BQ400),$BP$3:$BP$220,0),1),"")</f>
        <v/>
      </c>
      <c r="CX400" s="259">
        <f t="shared" ref="CX400:CX415" ca="1" si="847">$EA$25</f>
        <v>23</v>
      </c>
      <c r="CY400" s="259" t="str">
        <f t="shared" ca="1" si="846"/>
        <v>MASTRO</v>
      </c>
      <c r="DA400" s="259" t="str">
        <f ca="1">IF(DB399="","","Num. riga")</f>
        <v/>
      </c>
      <c r="DB400" s="259" t="str">
        <f t="shared" ref="DB400" ca="1" si="848">IF(DB399="","","Data")</f>
        <v/>
      </c>
      <c r="DC400" s="259" t="str">
        <f ca="1">IF(DB399="","","Operazioni")</f>
        <v/>
      </c>
      <c r="DD400" s="259" t="str">
        <f ca="1">IF(DB399="","","Dare        ")</f>
        <v/>
      </c>
      <c r="DE400" s="259" t="str">
        <f ca="1">IF(DB399="","","Avere        ")</f>
        <v/>
      </c>
      <c r="DF400" s="259">
        <f ca="1">IF(AND(CX400=$DE$2,$DF$2&lt;&gt;0),0,IF(AND(DB400&lt;&gt;"",OR(DB399&lt;&gt;"",DB401&lt;&gt;"")),MAX($DF$2:DF399)+1,0))</f>
        <v>0</v>
      </c>
      <c r="DG400" s="259" t="str">
        <f>IF(IF(LIBRO_GIORNALE!E308="","",IFERROR(INDEX(PIANO_DEI_CONTI,MATCH(BB400,DENOMINAZIONE,0),1),0))=0,"",IF(LIBRO_GIORNALE!E308="","",IFERROR(INDEX(PIANO_DEI_CONTI,MATCH(BB400,DENOMINAZIONE,0),1),0)))</f>
        <v/>
      </c>
      <c r="EC400" s="259">
        <f>IF(IF(DG400&lt;&gt;"",REPLACE(DG400,3,1,""),0)&lt;&gt;0,MAX(EC$2:EC399)+1,0)</f>
        <v>0</v>
      </c>
      <c r="ED400" s="259">
        <f t="shared" ca="1" si="815"/>
        <v>0</v>
      </c>
      <c r="EL400" s="259">
        <f t="shared" si="822"/>
        <v>398</v>
      </c>
      <c r="EM400" s="259">
        <f ca="1">IF(AND(BA400&gt;0,BA400&lt;=$EM$1),MAX($EM$2:EM399)+1,0)</f>
        <v>0</v>
      </c>
      <c r="EN400" s="259">
        <f t="shared" ca="1" si="823"/>
        <v>400</v>
      </c>
      <c r="EP400" s="259" t="str">
        <f t="shared" ca="1" si="816"/>
        <v/>
      </c>
      <c r="EW400" s="259">
        <f t="shared" ca="1" si="786"/>
        <v>1</v>
      </c>
      <c r="EX400" s="259">
        <v>298</v>
      </c>
      <c r="EY400" s="259">
        <f t="shared" ca="1" si="787"/>
        <v>0</v>
      </c>
      <c r="EZ400" s="259">
        <f t="shared" ca="1" si="788"/>
        <v>0</v>
      </c>
      <c r="FA400" s="259">
        <f t="shared" ca="1" si="789"/>
        <v>0</v>
      </c>
      <c r="FB400" s="259">
        <f t="shared" ca="1" si="790"/>
        <v>0</v>
      </c>
      <c r="FC400" s="259">
        <f t="shared" ca="1" si="791"/>
        <v>0</v>
      </c>
      <c r="FD400" s="259">
        <f t="shared" ca="1" si="817"/>
        <v>0</v>
      </c>
      <c r="FE400" s="259" t="str">
        <f t="shared" ca="1" si="818"/>
        <v/>
      </c>
      <c r="FF400" s="259" t="str">
        <f t="shared" ca="1" si="792"/>
        <v/>
      </c>
      <c r="FM400" s="259">
        <f t="shared" si="819"/>
        <v>0</v>
      </c>
      <c r="FN400" s="259">
        <f>IF(FM400&lt;0,MAX($FN$2:FN399)+1,0)</f>
        <v>0</v>
      </c>
      <c r="FO400" s="259" t="str">
        <f t="shared" si="824"/>
        <v/>
      </c>
      <c r="FP400" s="259" t="str">
        <f ca="1">IFERROR(INDEX($FN$3:$FO$400,MATCH(ROWS($FP$3:FP400),$FN$3:$FN$400,0),2),"")</f>
        <v/>
      </c>
      <c r="FQ400" s="259" t="str">
        <f>IF(AE400="SE AVERE",MAX($FQ$2:FQ399)+1,"")</f>
        <v/>
      </c>
      <c r="FR400" s="259" t="str">
        <f>IF(AE400="SE DARE",MAX($FR$2:FR399)+1,"")</f>
        <v/>
      </c>
      <c r="FS400" s="259" t="str">
        <f ca="1">IF(AND(AE400="SP DARE",AA400&lt;&gt;$FS$1,AA400&lt;&gt;$FT$1),MAX($FS$2:FS399)+1,IF(AND(GQ400="SP DARE",AA400&lt;&gt;$FS$1,AA400&lt;&gt;$FT$1),MAX($FS$2:FS399)+1,""))</f>
        <v/>
      </c>
      <c r="FT400" s="259" t="str">
        <f ca="1">IF(AND(AE400="SP AVERE",AA400&lt;&gt;$FU$1),MAX($FT$2:FT399)+1,IF(AND(GQ400="SP AVERE",AA400&lt;&gt;$FU$1),MAX($FT$2:FT399)+1,""))</f>
        <v/>
      </c>
      <c r="FU400" s="259">
        <f t="shared" ca="1" si="825"/>
        <v>0</v>
      </c>
      <c r="FV400" s="259">
        <f t="shared" si="826"/>
        <v>0</v>
      </c>
      <c r="FW400" s="259">
        <f ca="1">IFERROR(INDEX($FU$3:$FV$500,MATCH(ROWS($FW$3:FW400),$FU$3:$FU$500,0),2),0)</f>
        <v>0</v>
      </c>
      <c r="FX400" s="259">
        <f t="shared" ca="1" si="827"/>
        <v>0</v>
      </c>
      <c r="FY400" s="259">
        <f t="shared" ca="1" si="828"/>
        <v>0</v>
      </c>
      <c r="FZ400" s="259">
        <f ca="1">IF(FY400&gt;0,MAX($FZ$2:FZ399)+1,0)</f>
        <v>0</v>
      </c>
      <c r="GA400" s="259">
        <f ca="1">IFERROR(INDEX($FY$3:$FZ$500,MATCH(ROWS($GA$3:GA400),$FZ$3:$FZ$500,0),1),0)</f>
        <v>0</v>
      </c>
      <c r="GC400" s="259">
        <f t="shared" ca="1" si="829"/>
        <v>0</v>
      </c>
      <c r="GD400" s="259">
        <f t="shared" ca="1" si="830"/>
        <v>0</v>
      </c>
      <c r="GG400" s="259">
        <f t="shared" ca="1" si="831"/>
        <v>0</v>
      </c>
      <c r="GH400" s="259">
        <f t="shared" ca="1" si="832"/>
        <v>0</v>
      </c>
      <c r="GI400" s="259">
        <f t="shared" ca="1" si="833"/>
        <v>0</v>
      </c>
      <c r="GJ400" s="259">
        <f t="shared" ca="1" si="834"/>
        <v>0</v>
      </c>
      <c r="GK400" s="259">
        <f t="shared" ca="1" si="835"/>
        <v>0</v>
      </c>
      <c r="GL400" s="259">
        <f t="shared" ca="1" si="835"/>
        <v>0</v>
      </c>
      <c r="GM400" s="259">
        <f ca="1">IF(OR(GK400&gt;0,GL400&gt;0),MAX($GM$2:GM399)+1,0)</f>
        <v>0</v>
      </c>
      <c r="GN400" s="259" t="str">
        <f ca="1">IFERROR(INDEX($GD$3:$GM$400,MATCH(ROWS($GN$3:GN400),$GM$3:$GM$400,0),1),"")</f>
        <v/>
      </c>
      <c r="GO400" s="259" t="str">
        <f ca="1">IFERROR(INDEX($GD$3:$GM$400,MATCH(ROWS($GO$3:GO400),$GM$3:$GM$400,0),8),"")</f>
        <v/>
      </c>
      <c r="GP400" s="259" t="str">
        <f ca="1">IFERROR(INDEX($GD$3:$GM$400,MATCH(ROWS($GP$3:GP400),$GM$3:$GM$400,0),9),"")</f>
        <v/>
      </c>
      <c r="GQ400" s="259">
        <f t="shared" ca="1" si="820"/>
        <v>0</v>
      </c>
      <c r="GR400" s="259">
        <f t="shared" ca="1" si="836"/>
        <v>0</v>
      </c>
      <c r="GS400" s="259" t="str">
        <f t="shared" ca="1" si="837"/>
        <v/>
      </c>
      <c r="GT400" s="259" t="str">
        <f ca="1">IFERROR(INDEX($GD$3:$GS$400,MATCH(ROWS($GT$3:GT400),$GM$3:$GM$400,0),16),"")</f>
        <v/>
      </c>
      <c r="GU400" s="259">
        <f ca="1">IF(GQ400&lt;&gt;0,MAX($GU$2:$GU399)+1,0)</f>
        <v>0</v>
      </c>
      <c r="GV400" s="259">
        <f t="shared" ca="1" si="838"/>
        <v>0</v>
      </c>
      <c r="GW400" s="259" t="str">
        <f ca="1">IF(AND(IFERROR(INDEX($GU$3:$GV$400,MATCH(ROWS($GW$3:GW400),$GU$3:$GU$400,0),2),"")&lt;&gt;"",GW401&lt;&gt;""),CONCATENATE(IFERROR(INDEX($GU$3:$GV$400,MATCH(ROWS($GW$3:GW400),$GU$3:$GU$400,0),2),"")," - "),IFERROR(INDEX($GU$3:$GV$400,MATCH(ROWS($GW$3:GW400),$GU$3:$GU$400,0),2),""))</f>
        <v/>
      </c>
      <c r="GX400" s="259">
        <f ca="1">IF(OR(GN400="IVA NS/CREDITO",GN400="IVA NS/DEBITO",GN400="IVA C/ACCONTO",GN400="IMPOSTE C/ACCONTO"),MAX($GX$2:GX399)+1,0)</f>
        <v>0</v>
      </c>
      <c r="GY400" s="259" t="str">
        <f ca="1">IF(AND(IFERROR(INDEX($GN$3:$GX$200,MATCH(ROWS($GY$3:GY400),$GX$3:$GX$200,0),1),"")&lt;&gt;"",GY401&lt;&gt;""),CONCATENATE(IFERROR(INDEX($GN$3:$GX$200,MATCH(ROWS($GY$3:GY400),$GX$3:$GX$200,0),1),"")," - "),IFERROR(INDEX($GN$3:$GX$200,MATCH(ROWS($GY$3:GY400),$GX$3:$GX$200,0),1),""))</f>
        <v/>
      </c>
      <c r="JA400" s="259" t="str">
        <f t="shared" ca="1" si="839"/>
        <v/>
      </c>
      <c r="JB400" s="259">
        <f t="shared" ca="1" si="821"/>
        <v>0</v>
      </c>
      <c r="JC400" s="259">
        <f t="shared" ca="1" si="793"/>
        <v>0</v>
      </c>
      <c r="JD400" s="259">
        <f t="shared" ca="1" si="794"/>
        <v>0</v>
      </c>
      <c r="JM400" s="259">
        <f t="shared" ca="1" si="795"/>
        <v>0</v>
      </c>
    </row>
    <row r="401" spans="52:146">
      <c r="AZ401" s="259" t="str">
        <f t="shared" ca="1" si="840"/>
        <v/>
      </c>
      <c r="BA401" s="259">
        <f t="shared" ca="1" si="785"/>
        <v>0</v>
      </c>
      <c r="BB401" s="259">
        <f t="shared" ca="1" si="841"/>
        <v>0</v>
      </c>
      <c r="BC401" s="259">
        <f t="shared" ca="1" si="842"/>
        <v>0</v>
      </c>
      <c r="BD401" s="259">
        <f t="shared" ca="1" si="843"/>
        <v>0</v>
      </c>
      <c r="BE401" s="259">
        <f t="shared" ca="1" si="844"/>
        <v>0</v>
      </c>
      <c r="BQ401" s="259" t="str">
        <f ca="1">IFERROR(INDEX($BN$3:$BO$200,MATCH(ROWS(BQ$3:BQ401),$BP$3:$BP$220,0),1),"")</f>
        <v/>
      </c>
      <c r="CX401" s="259">
        <f t="shared" ca="1" si="847"/>
        <v>23</v>
      </c>
      <c r="CY401" s="259" t="str">
        <f t="shared" ca="1" si="846"/>
        <v>MASTRO</v>
      </c>
      <c r="CZ401" s="259" t="e">
        <f t="shared" ref="CZ401:CZ415" ca="1" si="849">SUM(MATCH($CY401,INDIRECT(ADDRESS(SUM(CZ400)+3,54)&amp;":"&amp;ADDRESS(400,54)),0),CZ400)</f>
        <v>#N/A</v>
      </c>
      <c r="DA401" s="259" t="str">
        <f ca="1">IFERROR(INDEX(LIBRO_GIORNALE,CZ401,1),"")</f>
        <v/>
      </c>
      <c r="DB401" s="259" t="str">
        <f t="shared" ref="DB401:DB415" ca="1" si="850">IF(RIGHT(TEXT(IFERROR(INDEX(LIBRO_GIORNALE,CZ401,2),""),"gg/mm/aa"),1)="a",TEXT(IFERROR(INDEX(LIBRO_GIORNALE,CZ401,2),""),"dd/mm/yy"),TEXT(IFERROR(INDEX(LIBRO_GIORNALE,CZ401,2),""),"gg/mm/aa"))</f>
        <v/>
      </c>
      <c r="DC401" s="259" t="str">
        <f t="shared" ref="DC401:DC415" ca="1" si="851">IF(IFERROR(INDEX(LIBRO_GIORNALE,CZ401,4),"")=0,"manca la descrizione dell'operazione",IFERROR(INDEX(LIBRO_GIORNALE,CZ401,4),""))</f>
        <v/>
      </c>
      <c r="DD401" s="259" t="str">
        <f t="shared" ref="DD401:DD415" ca="1" si="852">IFERROR(IF(INDEX(LIBRO_GIORNALE,CZ401,5)&gt;0,INDEX(LIBRO_GIORNALE,CZ401,5),""),"")</f>
        <v/>
      </c>
      <c r="DE401" s="259" t="str">
        <f t="shared" ref="DE401:DE415" ca="1" si="853">IFERROR(IF(INDEX(LIBRO_GIORNALE,CZ401,6)&gt;0,INDEX(LIBRO_GIORNALE,CZ401,6),""),"")</f>
        <v/>
      </c>
      <c r="DF401" s="259">
        <f ca="1">IF(AND(CX401=$DE$2,$DF$2&lt;&gt;0),0,IF(AND(DB401&lt;&gt;"",OR(DB400&lt;&gt;"",DB402&lt;&gt;"")),MAX($DF$2:DF400)+1,0))</f>
        <v>0</v>
      </c>
      <c r="DG401" s="259" t="str">
        <f>IF(IF(LIBRO_GIORNALE!E309="","",IFERROR(INDEX(PIANO_DEI_CONTI,MATCH(BB401,DENOMINAZIONE,0),1),0))=0,"",IF(LIBRO_GIORNALE!E309="","",IFERROR(INDEX(PIANO_DEI_CONTI,MATCH(BB401,DENOMINAZIONE,0),1),0)))</f>
        <v/>
      </c>
      <c r="EC401" s="259">
        <f>IF(IF(DG401&lt;&gt;"",REPLACE(DG401,3,1,""),0)&lt;&gt;0,MAX(EC$2:EC400)+1,0)</f>
        <v>0</v>
      </c>
      <c r="ED401" s="259">
        <f t="shared" ca="1" si="815"/>
        <v>0</v>
      </c>
      <c r="EL401" s="259">
        <f t="shared" si="822"/>
        <v>399</v>
      </c>
      <c r="EM401" s="259">
        <f ca="1">IF(AND(BA401&gt;0,BA401&lt;=$EM$1),MAX($EM$2:EM400)+1,0)</f>
        <v>0</v>
      </c>
      <c r="EN401" s="259">
        <f t="shared" ca="1" si="823"/>
        <v>401</v>
      </c>
      <c r="EP401" s="259" t="str">
        <f t="shared" ca="1" si="816"/>
        <v/>
      </c>
    </row>
    <row r="402" spans="52:146">
      <c r="AZ402" s="259" t="str">
        <f t="shared" ca="1" si="840"/>
        <v/>
      </c>
      <c r="BA402" s="259">
        <f t="shared" ca="1" si="785"/>
        <v>0</v>
      </c>
      <c r="BB402" s="259">
        <f t="shared" ca="1" si="841"/>
        <v>0</v>
      </c>
      <c r="BC402" s="259">
        <f t="shared" ca="1" si="842"/>
        <v>0</v>
      </c>
      <c r="BD402" s="259">
        <f t="shared" ca="1" si="843"/>
        <v>0</v>
      </c>
      <c r="BE402" s="259">
        <f t="shared" ca="1" si="844"/>
        <v>0</v>
      </c>
      <c r="BQ402" s="259" t="str">
        <f ca="1">IFERROR(INDEX($BN$3:$BO$200,MATCH(ROWS(BQ$3:BQ402),$BP$3:$BP$220,0),1),"")</f>
        <v/>
      </c>
      <c r="CX402" s="259">
        <f t="shared" ca="1" si="847"/>
        <v>23</v>
      </c>
      <c r="CY402" s="259" t="str">
        <f t="shared" ca="1" si="846"/>
        <v>MASTRO</v>
      </c>
      <c r="CZ402" s="259" t="e">
        <f t="shared" ca="1" si="849"/>
        <v>#N/A</v>
      </c>
      <c r="DA402" s="259" t="str">
        <f t="shared" ref="DA402:DA415" ca="1" si="854">IFERROR(INDEX(LIBRO_GIORNALE,CZ402,1),"")</f>
        <v/>
      </c>
      <c r="DB402" s="259" t="str">
        <f t="shared" ca="1" si="850"/>
        <v/>
      </c>
      <c r="DC402" s="259" t="str">
        <f t="shared" ca="1" si="851"/>
        <v/>
      </c>
      <c r="DD402" s="259" t="str">
        <f t="shared" ca="1" si="852"/>
        <v/>
      </c>
      <c r="DE402" s="259" t="str">
        <f t="shared" ca="1" si="853"/>
        <v/>
      </c>
      <c r="DF402" s="259">
        <f ca="1">IF(AND(CX402=$DE$2,$DF$2&lt;&gt;0),0,IF(AND(DB402&lt;&gt;"",OR(DB401&lt;&gt;"",DB403&lt;&gt;"")),MAX($DF$2:DF401)+1,0))</f>
        <v>0</v>
      </c>
      <c r="EC402" s="259">
        <f>IF(IF(DG402&lt;&gt;"",REPLACE(DG402,3,1,""),0)&lt;&gt;0,MAX(EC$2:EC401)+1,0)</f>
        <v>0</v>
      </c>
      <c r="ED402" s="259">
        <f t="shared" ca="1" si="815"/>
        <v>0</v>
      </c>
      <c r="EL402" s="259">
        <f t="shared" si="822"/>
        <v>400</v>
      </c>
      <c r="EM402" s="259">
        <f ca="1">IF(AND(BA402&gt;0,BA402&lt;=$EM$1),MAX($EM$2:EM401)+1,0)</f>
        <v>0</v>
      </c>
      <c r="EN402" s="259">
        <f t="shared" ca="1" si="823"/>
        <v>402</v>
      </c>
      <c r="EP402" s="259" t="str">
        <f t="shared" ca="1" si="816"/>
        <v/>
      </c>
    </row>
    <row r="403" spans="52:146">
      <c r="AZ403" s="259" t="str">
        <f t="shared" ca="1" si="840"/>
        <v/>
      </c>
      <c r="BA403" s="259">
        <f t="shared" ca="1" si="785"/>
        <v>0</v>
      </c>
      <c r="BB403" s="259">
        <f t="shared" ca="1" si="841"/>
        <v>0</v>
      </c>
      <c r="BC403" s="259">
        <f t="shared" ca="1" si="842"/>
        <v>0</v>
      </c>
      <c r="BD403" s="259">
        <f t="shared" ca="1" si="843"/>
        <v>0</v>
      </c>
      <c r="BE403" s="259">
        <f t="shared" ca="1" si="844"/>
        <v>0</v>
      </c>
      <c r="BQ403" s="259" t="str">
        <f ca="1">IFERROR(INDEX($BN$3:$BO$200,MATCH(ROWS(BQ$3:BQ403),$BP$3:$BP$220,0),1),"")</f>
        <v/>
      </c>
      <c r="CX403" s="259">
        <f t="shared" ca="1" si="847"/>
        <v>23</v>
      </c>
      <c r="CY403" s="259" t="str">
        <f t="shared" ca="1" si="846"/>
        <v>MASTRO</v>
      </c>
      <c r="CZ403" s="259" t="e">
        <f t="shared" ca="1" si="849"/>
        <v>#N/A</v>
      </c>
      <c r="DA403" s="259" t="str">
        <f t="shared" ca="1" si="854"/>
        <v/>
      </c>
      <c r="DB403" s="259" t="str">
        <f t="shared" ca="1" si="850"/>
        <v/>
      </c>
      <c r="DC403" s="259" t="str">
        <f t="shared" ca="1" si="851"/>
        <v/>
      </c>
      <c r="DD403" s="259" t="str">
        <f t="shared" ca="1" si="852"/>
        <v/>
      </c>
      <c r="DE403" s="259" t="str">
        <f t="shared" ca="1" si="853"/>
        <v/>
      </c>
      <c r="DF403" s="259">
        <f ca="1">IF(AND(CX403=$DE$2,$DF$2&lt;&gt;0),0,IF(AND(DB403&lt;&gt;"",OR(DB402&lt;&gt;"",DB404&lt;&gt;"")),MAX($DF$2:DF402)+1,0))</f>
        <v>0</v>
      </c>
      <c r="EC403" s="259">
        <f>IF(IF(DG403&lt;&gt;"",REPLACE(DG403,3,1,""),0)&lt;&gt;0,MAX(EC$2:EC402)+1,0)</f>
        <v>0</v>
      </c>
      <c r="ED403" s="259">
        <f t="shared" ca="1" si="815"/>
        <v>0</v>
      </c>
      <c r="EL403" s="259">
        <f t="shared" si="822"/>
        <v>401</v>
      </c>
      <c r="EM403" s="259">
        <f ca="1">IF(AND(BA403&gt;0,BA403&lt;=$EM$1),MAX($EM$2:EM402)+1,0)</f>
        <v>0</v>
      </c>
      <c r="EN403" s="259">
        <f t="shared" ca="1" si="823"/>
        <v>403</v>
      </c>
      <c r="EP403" s="259" t="str">
        <f t="shared" ca="1" si="816"/>
        <v/>
      </c>
    </row>
    <row r="404" spans="52:146">
      <c r="AZ404" s="259" t="str">
        <f t="shared" ca="1" si="840"/>
        <v/>
      </c>
      <c r="BA404" s="259">
        <f t="shared" ca="1" si="785"/>
        <v>0</v>
      </c>
      <c r="BB404" s="259">
        <f t="shared" ca="1" si="841"/>
        <v>0</v>
      </c>
      <c r="BC404" s="259">
        <f t="shared" ca="1" si="842"/>
        <v>0</v>
      </c>
      <c r="BD404" s="259">
        <f t="shared" ca="1" si="843"/>
        <v>0</v>
      </c>
      <c r="BE404" s="259">
        <f t="shared" ca="1" si="844"/>
        <v>0</v>
      </c>
      <c r="BQ404" s="259" t="str">
        <f ca="1">IFERROR(INDEX($BN$3:$BO$200,MATCH(ROWS(BQ$3:BQ404),$BP$3:$BP$220,0),1),"")</f>
        <v/>
      </c>
      <c r="CX404" s="259">
        <f t="shared" ca="1" si="847"/>
        <v>23</v>
      </c>
      <c r="CY404" s="259" t="str">
        <f t="shared" ca="1" si="846"/>
        <v>MASTRO</v>
      </c>
      <c r="CZ404" s="259" t="e">
        <f t="shared" ca="1" si="849"/>
        <v>#N/A</v>
      </c>
      <c r="DA404" s="259" t="str">
        <f t="shared" ca="1" si="854"/>
        <v/>
      </c>
      <c r="DB404" s="259" t="str">
        <f t="shared" ca="1" si="850"/>
        <v/>
      </c>
      <c r="DC404" s="259" t="str">
        <f t="shared" ca="1" si="851"/>
        <v/>
      </c>
      <c r="DD404" s="259" t="str">
        <f t="shared" ca="1" si="852"/>
        <v/>
      </c>
      <c r="DE404" s="259" t="str">
        <f t="shared" ca="1" si="853"/>
        <v/>
      </c>
      <c r="DF404" s="259">
        <f ca="1">IF(AND(CX404=$DE$2,$DF$2&lt;&gt;0),0,IF(AND(DB404&lt;&gt;"",OR(DB403&lt;&gt;"",DB405&lt;&gt;"")),MAX($DF$2:DF403)+1,0))</f>
        <v>0</v>
      </c>
      <c r="EC404" s="259">
        <f>IF(IF(DG404&lt;&gt;"",REPLACE(DG404,3,1,""),0)&lt;&gt;0,MAX(EC$2:EC403)+1,0)</f>
        <v>0</v>
      </c>
      <c r="ED404" s="259">
        <f t="shared" ca="1" si="815"/>
        <v>0</v>
      </c>
      <c r="EL404" s="259">
        <f t="shared" si="822"/>
        <v>402</v>
      </c>
      <c r="EM404" s="259">
        <f ca="1">IF(AND(BA404&gt;0,BA404&lt;=$EM$1),MAX($EM$2:EM403)+1,0)</f>
        <v>0</v>
      </c>
      <c r="EN404" s="259">
        <f t="shared" ca="1" si="823"/>
        <v>404</v>
      </c>
      <c r="EP404" s="259" t="str">
        <f t="shared" ca="1" si="816"/>
        <v/>
      </c>
    </row>
    <row r="405" spans="52:146">
      <c r="AZ405" s="259" t="str">
        <f t="shared" ca="1" si="840"/>
        <v/>
      </c>
      <c r="BA405" s="259">
        <f t="shared" ca="1" si="785"/>
        <v>0</v>
      </c>
      <c r="BB405" s="259">
        <f t="shared" ca="1" si="841"/>
        <v>0</v>
      </c>
      <c r="BC405" s="259">
        <f t="shared" ca="1" si="842"/>
        <v>0</v>
      </c>
      <c r="BD405" s="259">
        <f t="shared" ca="1" si="843"/>
        <v>0</v>
      </c>
      <c r="BE405" s="259">
        <f t="shared" ca="1" si="844"/>
        <v>0</v>
      </c>
      <c r="BQ405" s="259" t="str">
        <f ca="1">IFERROR(INDEX($BN$3:$BO$200,MATCH(ROWS(BQ$3:BQ405),$BP$3:$BP$220,0),1),"")</f>
        <v/>
      </c>
      <c r="CX405" s="259">
        <f t="shared" ca="1" si="847"/>
        <v>23</v>
      </c>
      <c r="CY405" s="259" t="str">
        <f t="shared" ca="1" si="846"/>
        <v>MASTRO</v>
      </c>
      <c r="CZ405" s="259" t="e">
        <f t="shared" ca="1" si="849"/>
        <v>#N/A</v>
      </c>
      <c r="DA405" s="259" t="str">
        <f t="shared" ca="1" si="854"/>
        <v/>
      </c>
      <c r="DB405" s="259" t="str">
        <f t="shared" ca="1" si="850"/>
        <v/>
      </c>
      <c r="DC405" s="259" t="str">
        <f t="shared" ca="1" si="851"/>
        <v/>
      </c>
      <c r="DD405" s="259" t="str">
        <f t="shared" ca="1" si="852"/>
        <v/>
      </c>
      <c r="DE405" s="259" t="str">
        <f t="shared" ca="1" si="853"/>
        <v/>
      </c>
      <c r="DF405" s="259">
        <f ca="1">IF(AND(CX405=$DE$2,$DF$2&lt;&gt;0),0,IF(AND(DB405&lt;&gt;"",OR(DB404&lt;&gt;"",DB406&lt;&gt;"")),MAX($DF$2:DF404)+1,0))</f>
        <v>0</v>
      </c>
      <c r="EC405" s="259">
        <f>IF(IF(DG405&lt;&gt;"",REPLACE(DG405,3,1,""),0)&lt;&gt;0,MAX(EC$2:EC404)+1,0)</f>
        <v>0</v>
      </c>
      <c r="ED405" s="259">
        <f t="shared" ca="1" si="815"/>
        <v>0</v>
      </c>
      <c r="EL405" s="259">
        <f t="shared" si="822"/>
        <v>403</v>
      </c>
      <c r="EM405" s="259">
        <f ca="1">IF(AND(BA405&gt;0,BA405&lt;=$EM$1),MAX($EM$2:EM404)+1,0)</f>
        <v>0</v>
      </c>
      <c r="EN405" s="259">
        <f t="shared" ca="1" si="823"/>
        <v>405</v>
      </c>
      <c r="EP405" s="259" t="str">
        <f t="shared" ca="1" si="816"/>
        <v/>
      </c>
    </row>
    <row r="406" spans="52:146">
      <c r="AZ406" s="259" t="str">
        <f t="shared" ca="1" si="840"/>
        <v/>
      </c>
      <c r="BA406" s="259">
        <f t="shared" ca="1" si="785"/>
        <v>0</v>
      </c>
      <c r="BB406" s="259">
        <f t="shared" ca="1" si="841"/>
        <v>0</v>
      </c>
      <c r="BC406" s="259">
        <f t="shared" ca="1" si="842"/>
        <v>0</v>
      </c>
      <c r="BD406" s="259">
        <f t="shared" ca="1" si="843"/>
        <v>0</v>
      </c>
      <c r="BE406" s="259">
        <f t="shared" ca="1" si="844"/>
        <v>0</v>
      </c>
      <c r="BQ406" s="259" t="str">
        <f ca="1">IFERROR(INDEX($BN$3:$BO$200,MATCH(ROWS(BQ$3:BQ406),$BP$3:$BP$220,0),1),"")</f>
        <v/>
      </c>
      <c r="CX406" s="259">
        <f t="shared" ca="1" si="847"/>
        <v>23</v>
      </c>
      <c r="CY406" s="259" t="str">
        <f t="shared" ca="1" si="846"/>
        <v>MASTRO</v>
      </c>
      <c r="CZ406" s="259" t="e">
        <f t="shared" ca="1" si="849"/>
        <v>#N/A</v>
      </c>
      <c r="DA406" s="259" t="str">
        <f t="shared" ca="1" si="854"/>
        <v/>
      </c>
      <c r="DB406" s="259" t="str">
        <f t="shared" ca="1" si="850"/>
        <v/>
      </c>
      <c r="DC406" s="259" t="str">
        <f t="shared" ca="1" si="851"/>
        <v/>
      </c>
      <c r="DD406" s="259" t="str">
        <f t="shared" ca="1" si="852"/>
        <v/>
      </c>
      <c r="DE406" s="259" t="str">
        <f t="shared" ca="1" si="853"/>
        <v/>
      </c>
      <c r="DF406" s="259">
        <f ca="1">IF(AND(CX406=$DE$2,$DF$2&lt;&gt;0),0,IF(AND(DB406&lt;&gt;"",OR(DB405&lt;&gt;"",DB407&lt;&gt;"")),MAX($DF$2:DF405)+1,0))</f>
        <v>0</v>
      </c>
      <c r="EC406" s="259">
        <f>IF(IF(DG406&lt;&gt;"",REPLACE(DG406,3,1,""),0)&lt;&gt;0,MAX(EC$2:EC405)+1,0)</f>
        <v>0</v>
      </c>
      <c r="ED406" s="259">
        <f t="shared" ca="1" si="815"/>
        <v>0</v>
      </c>
      <c r="EL406" s="259">
        <f t="shared" si="822"/>
        <v>404</v>
      </c>
      <c r="EM406" s="259">
        <f ca="1">IF(AND(BA406&gt;0,BA406&lt;=$EM$1),MAX($EM$2:EM405)+1,0)</f>
        <v>0</v>
      </c>
      <c r="EN406" s="259">
        <f t="shared" ca="1" si="823"/>
        <v>406</v>
      </c>
      <c r="EP406" s="259" t="str">
        <f t="shared" ca="1" si="816"/>
        <v/>
      </c>
    </row>
    <row r="407" spans="52:146">
      <c r="AZ407" s="259" t="str">
        <f t="shared" ca="1" si="840"/>
        <v/>
      </c>
      <c r="BA407" s="259">
        <f t="shared" ca="1" si="785"/>
        <v>0</v>
      </c>
      <c r="BB407" s="259">
        <f t="shared" ca="1" si="841"/>
        <v>0</v>
      </c>
      <c r="BC407" s="259">
        <f t="shared" ca="1" si="842"/>
        <v>0</v>
      </c>
      <c r="BD407" s="259">
        <f t="shared" ca="1" si="843"/>
        <v>0</v>
      </c>
      <c r="BE407" s="259">
        <f t="shared" ca="1" si="844"/>
        <v>0</v>
      </c>
      <c r="BQ407" s="259" t="str">
        <f ca="1">IFERROR(INDEX($BN$3:$BO$200,MATCH(ROWS(BQ$3:BQ407),$BP$3:$BP$220,0),1),"")</f>
        <v/>
      </c>
      <c r="CX407" s="259">
        <f t="shared" ca="1" si="847"/>
        <v>23</v>
      </c>
      <c r="CY407" s="259" t="str">
        <f t="shared" ca="1" si="846"/>
        <v>MASTRO</v>
      </c>
      <c r="CZ407" s="259" t="e">
        <f t="shared" ca="1" si="849"/>
        <v>#N/A</v>
      </c>
      <c r="DA407" s="259" t="str">
        <f t="shared" ca="1" si="854"/>
        <v/>
      </c>
      <c r="DB407" s="259" t="str">
        <f t="shared" ca="1" si="850"/>
        <v/>
      </c>
      <c r="DC407" s="259" t="str">
        <f t="shared" ca="1" si="851"/>
        <v/>
      </c>
      <c r="DD407" s="259" t="str">
        <f t="shared" ca="1" si="852"/>
        <v/>
      </c>
      <c r="DE407" s="259" t="str">
        <f t="shared" ca="1" si="853"/>
        <v/>
      </c>
      <c r="DF407" s="259">
        <f ca="1">IF(AND(CX407=$DE$2,$DF$2&lt;&gt;0),0,IF(AND(DB407&lt;&gt;"",OR(DB406&lt;&gt;"",DB408&lt;&gt;"")),MAX($DF$2:DF406)+1,0))</f>
        <v>0</v>
      </c>
      <c r="EC407" s="259">
        <f>IF(IF(DG407&lt;&gt;"",REPLACE(DG407,3,1,""),0)&lt;&gt;0,MAX(EC$2:EC406)+1,0)</f>
        <v>0</v>
      </c>
      <c r="ED407" s="259">
        <f t="shared" ca="1" si="815"/>
        <v>0</v>
      </c>
      <c r="EL407" s="259">
        <f t="shared" si="822"/>
        <v>405</v>
      </c>
      <c r="EM407" s="259">
        <f ca="1">IF(AND(BA407&gt;0,BA407&lt;=$EM$1),MAX($EM$2:EM406)+1,0)</f>
        <v>0</v>
      </c>
      <c r="EN407" s="259">
        <f t="shared" ca="1" si="823"/>
        <v>407</v>
      </c>
      <c r="EP407" s="259" t="str">
        <f t="shared" ca="1" si="816"/>
        <v/>
      </c>
    </row>
    <row r="408" spans="52:146">
      <c r="AZ408" s="259" t="str">
        <f t="shared" ca="1" si="840"/>
        <v/>
      </c>
      <c r="BA408" s="259">
        <f t="shared" ca="1" si="785"/>
        <v>0</v>
      </c>
      <c r="BB408" s="259">
        <f t="shared" ca="1" si="841"/>
        <v>0</v>
      </c>
      <c r="BC408" s="259">
        <f t="shared" ca="1" si="842"/>
        <v>0</v>
      </c>
      <c r="BD408" s="259">
        <f t="shared" ca="1" si="843"/>
        <v>0</v>
      </c>
      <c r="BE408" s="259">
        <f t="shared" ca="1" si="844"/>
        <v>0</v>
      </c>
      <c r="BQ408" s="259" t="str">
        <f ca="1">IFERROR(INDEX($BN$3:$BO$200,MATCH(ROWS(BQ$3:BQ408),$BP$3:$BP$220,0),1),"")</f>
        <v/>
      </c>
      <c r="CX408" s="259">
        <f t="shared" ca="1" si="847"/>
        <v>23</v>
      </c>
      <c r="CY408" s="259" t="str">
        <f t="shared" ca="1" si="846"/>
        <v>MASTRO</v>
      </c>
      <c r="CZ408" s="259" t="e">
        <f t="shared" ca="1" si="849"/>
        <v>#N/A</v>
      </c>
      <c r="DA408" s="259" t="str">
        <f t="shared" ca="1" si="854"/>
        <v/>
      </c>
      <c r="DB408" s="259" t="str">
        <f t="shared" ca="1" si="850"/>
        <v/>
      </c>
      <c r="DC408" s="259" t="str">
        <f t="shared" ca="1" si="851"/>
        <v/>
      </c>
      <c r="DD408" s="259" t="str">
        <f t="shared" ca="1" si="852"/>
        <v/>
      </c>
      <c r="DE408" s="259" t="str">
        <f t="shared" ca="1" si="853"/>
        <v/>
      </c>
      <c r="DF408" s="259">
        <f ca="1">IF(AND(CX408=$DE$2,$DF$2&lt;&gt;0),0,IF(AND(DB408&lt;&gt;"",OR(DB407&lt;&gt;"",DB409&lt;&gt;"")),MAX($DF$2:DF407)+1,0))</f>
        <v>0</v>
      </c>
      <c r="EC408" s="259">
        <f>IF(IF(DG408&lt;&gt;"",REPLACE(DG408,3,1,""),0)&lt;&gt;0,MAX(EC$2:EC407)+1,0)</f>
        <v>0</v>
      </c>
      <c r="ED408" s="259">
        <f t="shared" ca="1" si="815"/>
        <v>0</v>
      </c>
      <c r="EL408" s="259">
        <f t="shared" si="822"/>
        <v>406</v>
      </c>
      <c r="EM408" s="259">
        <f ca="1">IF(AND(BA408&gt;0,BA408&lt;=$EM$1),MAX($EM$2:EM407)+1,0)</f>
        <v>0</v>
      </c>
      <c r="EN408" s="259">
        <f t="shared" ca="1" si="823"/>
        <v>408</v>
      </c>
      <c r="EP408" s="259" t="str">
        <f t="shared" ca="1" si="816"/>
        <v/>
      </c>
    </row>
    <row r="409" spans="52:146">
      <c r="AZ409" s="259" t="str">
        <f t="shared" ca="1" si="840"/>
        <v/>
      </c>
      <c r="BA409" s="259">
        <f t="shared" ca="1" si="785"/>
        <v>0</v>
      </c>
      <c r="BB409" s="259">
        <f t="shared" ca="1" si="841"/>
        <v>0</v>
      </c>
      <c r="BC409" s="259">
        <f t="shared" ca="1" si="842"/>
        <v>0</v>
      </c>
      <c r="BD409" s="259">
        <f t="shared" ca="1" si="843"/>
        <v>0</v>
      </c>
      <c r="BE409" s="259">
        <f t="shared" ca="1" si="844"/>
        <v>0</v>
      </c>
      <c r="BQ409" s="259" t="str">
        <f ca="1">IFERROR(INDEX($BN$3:$BO$200,MATCH(ROWS(BQ$3:BQ409),$BP$3:$BP$220,0),1),"")</f>
        <v/>
      </c>
      <c r="CX409" s="259">
        <f t="shared" ca="1" si="847"/>
        <v>23</v>
      </c>
      <c r="CY409" s="259" t="str">
        <f t="shared" ca="1" si="846"/>
        <v>MASTRO</v>
      </c>
      <c r="CZ409" s="259" t="e">
        <f t="shared" ca="1" si="849"/>
        <v>#N/A</v>
      </c>
      <c r="DA409" s="259" t="str">
        <f t="shared" ca="1" si="854"/>
        <v/>
      </c>
      <c r="DB409" s="259" t="str">
        <f t="shared" ca="1" si="850"/>
        <v/>
      </c>
      <c r="DC409" s="259" t="str">
        <f t="shared" ca="1" si="851"/>
        <v/>
      </c>
      <c r="DD409" s="259" t="str">
        <f t="shared" ca="1" si="852"/>
        <v/>
      </c>
      <c r="DE409" s="259" t="str">
        <f t="shared" ca="1" si="853"/>
        <v/>
      </c>
      <c r="DF409" s="259">
        <f ca="1">IF(AND(CX409=$DE$2,$DF$2&lt;&gt;0),0,IF(AND(DB409&lt;&gt;"",OR(DB408&lt;&gt;"",DB410&lt;&gt;"")),MAX($DF$2:DF408)+1,0))</f>
        <v>0</v>
      </c>
      <c r="EC409" s="259">
        <f>IF(IF(DG409&lt;&gt;"",REPLACE(DG409,3,1,""),0)&lt;&gt;0,MAX(EC$2:EC408)+1,0)</f>
        <v>0</v>
      </c>
      <c r="ED409" s="259">
        <f t="shared" ca="1" si="815"/>
        <v>0</v>
      </c>
      <c r="EL409" s="259">
        <f t="shared" si="822"/>
        <v>407</v>
      </c>
      <c r="EM409" s="259">
        <f ca="1">IF(AND(BA409&gt;0,BA409&lt;=$EM$1),MAX($EM$2:EM408)+1,0)</f>
        <v>0</v>
      </c>
      <c r="EN409" s="259">
        <f t="shared" ca="1" si="823"/>
        <v>409</v>
      </c>
      <c r="EP409" s="259" t="str">
        <f t="shared" ca="1" si="816"/>
        <v/>
      </c>
    </row>
    <row r="410" spans="52:146">
      <c r="AZ410" s="259" t="str">
        <f t="shared" ca="1" si="840"/>
        <v/>
      </c>
      <c r="BA410" s="259">
        <f t="shared" ca="1" si="785"/>
        <v>0</v>
      </c>
      <c r="BB410" s="259">
        <f t="shared" ca="1" si="841"/>
        <v>0</v>
      </c>
      <c r="BC410" s="259">
        <f t="shared" ca="1" si="842"/>
        <v>0</v>
      </c>
      <c r="BD410" s="259">
        <f t="shared" ca="1" si="843"/>
        <v>0</v>
      </c>
      <c r="BE410" s="259">
        <f t="shared" ca="1" si="844"/>
        <v>0</v>
      </c>
      <c r="BQ410" s="259" t="str">
        <f ca="1">IFERROR(INDEX($BN$3:$BO$200,MATCH(ROWS(BQ$3:BQ410),$BP$3:$BP$220,0),1),"")</f>
        <v/>
      </c>
      <c r="CX410" s="259">
        <f t="shared" ca="1" si="847"/>
        <v>23</v>
      </c>
      <c r="CY410" s="259" t="str">
        <f t="shared" ca="1" si="846"/>
        <v>MASTRO</v>
      </c>
      <c r="CZ410" s="259" t="e">
        <f t="shared" ca="1" si="849"/>
        <v>#N/A</v>
      </c>
      <c r="DA410" s="259" t="str">
        <f t="shared" ca="1" si="854"/>
        <v/>
      </c>
      <c r="DB410" s="259" t="str">
        <f t="shared" ca="1" si="850"/>
        <v/>
      </c>
      <c r="DC410" s="259" t="str">
        <f t="shared" ca="1" si="851"/>
        <v/>
      </c>
      <c r="DD410" s="259" t="str">
        <f t="shared" ca="1" si="852"/>
        <v/>
      </c>
      <c r="DE410" s="259" t="str">
        <f t="shared" ca="1" si="853"/>
        <v/>
      </c>
      <c r="DF410" s="259">
        <f ca="1">IF(AND(CX410=$DE$2,$DF$2&lt;&gt;0),0,IF(AND(DB410&lt;&gt;"",OR(DB409&lt;&gt;"",DB411&lt;&gt;"")),MAX($DF$2:DF409)+1,0))</f>
        <v>0</v>
      </c>
      <c r="EC410" s="259">
        <f>IF(IF(DG410&lt;&gt;"",REPLACE(DG410,3,1,""),0)&lt;&gt;0,MAX(EC$2:EC409)+1,0)</f>
        <v>0</v>
      </c>
      <c r="ED410" s="259">
        <f t="shared" ca="1" si="815"/>
        <v>0</v>
      </c>
      <c r="EL410" s="259">
        <f t="shared" si="822"/>
        <v>408</v>
      </c>
      <c r="EM410" s="259">
        <f ca="1">IF(AND(BA410&gt;0,BA410&lt;=$EM$1),MAX($EM$2:EM409)+1,0)</f>
        <v>0</v>
      </c>
      <c r="EN410" s="259">
        <f t="shared" ca="1" si="823"/>
        <v>410</v>
      </c>
      <c r="EP410" s="259" t="str">
        <f t="shared" ca="1" si="816"/>
        <v/>
      </c>
    </row>
    <row r="411" spans="52:146">
      <c r="AZ411" s="259" t="str">
        <f t="shared" ca="1" si="840"/>
        <v/>
      </c>
      <c r="BA411" s="259">
        <f t="shared" ca="1" si="785"/>
        <v>0</v>
      </c>
      <c r="BB411" s="259">
        <f t="shared" ca="1" si="841"/>
        <v>0</v>
      </c>
      <c r="BC411" s="259">
        <f t="shared" ca="1" si="842"/>
        <v>0</v>
      </c>
      <c r="BD411" s="259">
        <f t="shared" ca="1" si="843"/>
        <v>0</v>
      </c>
      <c r="BE411" s="259">
        <f t="shared" ca="1" si="844"/>
        <v>0</v>
      </c>
      <c r="BQ411" s="259" t="str">
        <f ca="1">IFERROR(INDEX($BN$3:$BO$200,MATCH(ROWS(BQ$3:BQ411),$BP$3:$BP$220,0),1),"")</f>
        <v/>
      </c>
      <c r="CX411" s="259">
        <f t="shared" ca="1" si="847"/>
        <v>23</v>
      </c>
      <c r="CY411" s="259" t="str">
        <f t="shared" ca="1" si="846"/>
        <v>MASTRO</v>
      </c>
      <c r="CZ411" s="259" t="e">
        <f t="shared" ca="1" si="849"/>
        <v>#N/A</v>
      </c>
      <c r="DA411" s="259" t="str">
        <f t="shared" ca="1" si="854"/>
        <v/>
      </c>
      <c r="DB411" s="259" t="str">
        <f t="shared" ca="1" si="850"/>
        <v/>
      </c>
      <c r="DC411" s="259" t="str">
        <f t="shared" ca="1" si="851"/>
        <v/>
      </c>
      <c r="DD411" s="259" t="str">
        <f t="shared" ca="1" si="852"/>
        <v/>
      </c>
      <c r="DE411" s="259" t="str">
        <f t="shared" ca="1" si="853"/>
        <v/>
      </c>
      <c r="DF411" s="259">
        <f ca="1">IF(AND(CX411=$DE$2,$DF$2&lt;&gt;0),0,IF(AND(DB411&lt;&gt;"",OR(DB410&lt;&gt;"",DB412&lt;&gt;"")),MAX($DF$2:DF410)+1,0))</f>
        <v>0</v>
      </c>
      <c r="EC411" s="259">
        <f>IF(IF(DG411&lt;&gt;"",REPLACE(DG411,3,1,""),0)&lt;&gt;0,MAX(EC$2:EC410)+1,0)</f>
        <v>0</v>
      </c>
      <c r="ED411" s="259">
        <f t="shared" ca="1" si="815"/>
        <v>0</v>
      </c>
      <c r="EL411" s="259">
        <f t="shared" si="822"/>
        <v>409</v>
      </c>
      <c r="EM411" s="259">
        <f ca="1">IF(AND(BA411&gt;0,BA411&lt;=$EM$1),MAX($EM$2:EM410)+1,0)</f>
        <v>0</v>
      </c>
      <c r="EN411" s="259">
        <f t="shared" ca="1" si="823"/>
        <v>411</v>
      </c>
      <c r="EP411" s="259" t="str">
        <f t="shared" ca="1" si="816"/>
        <v/>
      </c>
    </row>
    <row r="412" spans="52:146">
      <c r="AZ412" s="259" t="str">
        <f t="shared" ca="1" si="840"/>
        <v/>
      </c>
      <c r="BA412" s="259">
        <f t="shared" ca="1" si="785"/>
        <v>0</v>
      </c>
      <c r="BB412" s="259">
        <f t="shared" ca="1" si="841"/>
        <v>0</v>
      </c>
      <c r="BC412" s="259">
        <f t="shared" ca="1" si="842"/>
        <v>0</v>
      </c>
      <c r="BD412" s="259">
        <f t="shared" ca="1" si="843"/>
        <v>0</v>
      </c>
      <c r="BE412" s="259">
        <f t="shared" ca="1" si="844"/>
        <v>0</v>
      </c>
      <c r="BQ412" s="259" t="str">
        <f ca="1">IFERROR(INDEX($BN$3:$BO$200,MATCH(ROWS(BQ$3:BQ412),$BP$3:$BP$220,0),1),"")</f>
        <v/>
      </c>
      <c r="CX412" s="259">
        <f t="shared" ca="1" si="847"/>
        <v>23</v>
      </c>
      <c r="CY412" s="259" t="str">
        <f t="shared" ca="1" si="846"/>
        <v>MASTRO</v>
      </c>
      <c r="CZ412" s="259" t="e">
        <f t="shared" ca="1" si="849"/>
        <v>#N/A</v>
      </c>
      <c r="DA412" s="259" t="str">
        <f t="shared" ca="1" si="854"/>
        <v/>
      </c>
      <c r="DB412" s="259" t="str">
        <f t="shared" ca="1" si="850"/>
        <v/>
      </c>
      <c r="DC412" s="259" t="str">
        <f t="shared" ca="1" si="851"/>
        <v/>
      </c>
      <c r="DD412" s="259" t="str">
        <f t="shared" ca="1" si="852"/>
        <v/>
      </c>
      <c r="DE412" s="259" t="str">
        <f t="shared" ca="1" si="853"/>
        <v/>
      </c>
      <c r="DF412" s="259">
        <f ca="1">IF(AND(CX412=$DE$2,$DF$2&lt;&gt;0),0,IF(AND(DB412&lt;&gt;"",OR(DB411&lt;&gt;"",DB413&lt;&gt;"")),MAX($DF$2:DF411)+1,0))</f>
        <v>0</v>
      </c>
      <c r="EC412" s="259">
        <f>IF(IF(DG412&lt;&gt;"",REPLACE(DG412,3,1,""),0)&lt;&gt;0,MAX(EC$2:EC411)+1,0)</f>
        <v>0</v>
      </c>
      <c r="ED412" s="259">
        <f t="shared" ca="1" si="815"/>
        <v>0</v>
      </c>
      <c r="EL412" s="259">
        <f t="shared" si="822"/>
        <v>410</v>
      </c>
      <c r="EM412" s="259">
        <f ca="1">IF(AND(BA412&gt;0,BA412&lt;=$EM$1),MAX($EM$2:EM411)+1,0)</f>
        <v>0</v>
      </c>
      <c r="EN412" s="259">
        <f t="shared" ca="1" si="823"/>
        <v>412</v>
      </c>
      <c r="EP412" s="259" t="str">
        <f t="shared" ca="1" si="816"/>
        <v/>
      </c>
    </row>
    <row r="413" spans="52:146">
      <c r="AZ413" s="259" t="str">
        <f t="shared" ca="1" si="840"/>
        <v/>
      </c>
      <c r="BA413" s="259">
        <f t="shared" ca="1" si="785"/>
        <v>0</v>
      </c>
      <c r="BB413" s="259">
        <f t="shared" ca="1" si="841"/>
        <v>0</v>
      </c>
      <c r="BC413" s="259">
        <f t="shared" ca="1" si="842"/>
        <v>0</v>
      </c>
      <c r="BD413" s="259">
        <f t="shared" ca="1" si="843"/>
        <v>0</v>
      </c>
      <c r="BE413" s="259">
        <f t="shared" ca="1" si="844"/>
        <v>0</v>
      </c>
      <c r="BQ413" s="259" t="str">
        <f ca="1">IFERROR(INDEX($BN$3:$BO$200,MATCH(ROWS(BQ$3:BQ413),$BP$3:$BP$220,0),1),"")</f>
        <v/>
      </c>
      <c r="CX413" s="259">
        <f t="shared" ca="1" si="847"/>
        <v>23</v>
      </c>
      <c r="CY413" s="259" t="str">
        <f t="shared" ca="1" si="846"/>
        <v>MASTRO</v>
      </c>
      <c r="CZ413" s="259" t="e">
        <f t="shared" ca="1" si="849"/>
        <v>#N/A</v>
      </c>
      <c r="DA413" s="259" t="str">
        <f t="shared" ca="1" si="854"/>
        <v/>
      </c>
      <c r="DB413" s="259" t="str">
        <f t="shared" ca="1" si="850"/>
        <v/>
      </c>
      <c r="DC413" s="259" t="str">
        <f t="shared" ca="1" si="851"/>
        <v/>
      </c>
      <c r="DD413" s="259" t="str">
        <f t="shared" ca="1" si="852"/>
        <v/>
      </c>
      <c r="DE413" s="259" t="str">
        <f t="shared" ca="1" si="853"/>
        <v/>
      </c>
      <c r="DF413" s="259">
        <f ca="1">IF(AND(CX413=$DE$2,$DF$2&lt;&gt;0),0,IF(AND(DB413&lt;&gt;"",OR(DB412&lt;&gt;"",DB414&lt;&gt;"")),MAX($DF$2:DF412)+1,0))</f>
        <v>0</v>
      </c>
      <c r="EC413" s="259">
        <f>IF(IF(DG413&lt;&gt;"",REPLACE(DG413,3,1,""),0)&lt;&gt;0,MAX(EC$2:EC412)+1,0)</f>
        <v>0</v>
      </c>
      <c r="ED413" s="259">
        <f t="shared" ca="1" si="815"/>
        <v>0</v>
      </c>
      <c r="EL413" s="259">
        <f t="shared" si="822"/>
        <v>411</v>
      </c>
      <c r="EM413" s="259">
        <f ca="1">IF(AND(BA413&gt;0,BA413&lt;=$EM$1),MAX($EM$2:EM412)+1,0)</f>
        <v>0</v>
      </c>
      <c r="EN413" s="259">
        <f t="shared" ca="1" si="823"/>
        <v>413</v>
      </c>
      <c r="EP413" s="259" t="str">
        <f t="shared" ca="1" si="816"/>
        <v/>
      </c>
    </row>
    <row r="414" spans="52:146">
      <c r="AZ414" s="259" t="str">
        <f t="shared" ca="1" si="840"/>
        <v/>
      </c>
      <c r="BA414" s="259">
        <f t="shared" ca="1" si="785"/>
        <v>0</v>
      </c>
      <c r="BB414" s="259">
        <f t="shared" ca="1" si="841"/>
        <v>0</v>
      </c>
      <c r="BC414" s="259">
        <f t="shared" ca="1" si="842"/>
        <v>0</v>
      </c>
      <c r="BD414" s="259">
        <f t="shared" ca="1" si="843"/>
        <v>0</v>
      </c>
      <c r="BE414" s="259">
        <f t="shared" ca="1" si="844"/>
        <v>0</v>
      </c>
      <c r="BQ414" s="259" t="str">
        <f ca="1">IFERROR(INDEX($BN$3:$BO$200,MATCH(ROWS(BQ$3:BQ414),$BP$3:$BP$220,0),1),"")</f>
        <v/>
      </c>
      <c r="CX414" s="259">
        <f t="shared" ca="1" si="847"/>
        <v>23</v>
      </c>
      <c r="CY414" s="259" t="str">
        <f t="shared" ca="1" si="846"/>
        <v>MASTRO</v>
      </c>
      <c r="CZ414" s="259" t="e">
        <f t="shared" ca="1" si="849"/>
        <v>#N/A</v>
      </c>
      <c r="DA414" s="259" t="str">
        <f t="shared" ca="1" si="854"/>
        <v/>
      </c>
      <c r="DB414" s="259" t="str">
        <f t="shared" ca="1" si="850"/>
        <v/>
      </c>
      <c r="DC414" s="259" t="str">
        <f t="shared" ca="1" si="851"/>
        <v/>
      </c>
      <c r="DD414" s="259" t="str">
        <f t="shared" ca="1" si="852"/>
        <v/>
      </c>
      <c r="DE414" s="259" t="str">
        <f t="shared" ca="1" si="853"/>
        <v/>
      </c>
      <c r="DF414" s="259">
        <f ca="1">IF(AND(CX414=$DE$2,$DF$2&lt;&gt;0),0,IF(AND(DB414&lt;&gt;"",OR(DB413&lt;&gt;"",DB415&lt;&gt;"")),MAX($DF$2:DF413)+1,0))</f>
        <v>0</v>
      </c>
      <c r="EC414" s="259">
        <f>IF(IF(DG414&lt;&gt;"",REPLACE(DG414,3,1,""),0)&lt;&gt;0,MAX(EC$2:EC413)+1,0)</f>
        <v>0</v>
      </c>
      <c r="ED414" s="259">
        <f t="shared" ca="1" si="815"/>
        <v>0</v>
      </c>
      <c r="EL414" s="259">
        <f t="shared" si="822"/>
        <v>412</v>
      </c>
      <c r="EM414" s="259">
        <f ca="1">IF(AND(BA414&gt;0,BA414&lt;=$EM$1),MAX($EM$2:EM413)+1,0)</f>
        <v>0</v>
      </c>
      <c r="EN414" s="259">
        <f t="shared" ca="1" si="823"/>
        <v>414</v>
      </c>
      <c r="EP414" s="259" t="str">
        <f t="shared" ca="1" si="816"/>
        <v/>
      </c>
    </row>
    <row r="415" spans="52:146">
      <c r="AZ415" s="259" t="str">
        <f t="shared" ca="1" si="840"/>
        <v/>
      </c>
      <c r="BA415" s="259">
        <f t="shared" ca="1" si="785"/>
        <v>0</v>
      </c>
      <c r="BB415" s="259">
        <f t="shared" ca="1" si="841"/>
        <v>0</v>
      </c>
      <c r="BC415" s="259">
        <f t="shared" ca="1" si="842"/>
        <v>0</v>
      </c>
      <c r="BD415" s="259">
        <f t="shared" ca="1" si="843"/>
        <v>0</v>
      </c>
      <c r="BE415" s="259">
        <f t="shared" ca="1" si="844"/>
        <v>0</v>
      </c>
      <c r="BQ415" s="259" t="str">
        <f ca="1">IFERROR(INDEX($BN$3:$BO$200,MATCH(ROWS(BQ$3:BQ415),$BP$3:$BP$220,0),1),"")</f>
        <v/>
      </c>
      <c r="CX415" s="259">
        <f t="shared" ca="1" si="847"/>
        <v>23</v>
      </c>
      <c r="CY415" s="259" t="str">
        <f t="shared" ca="1" si="846"/>
        <v>MASTRO</v>
      </c>
      <c r="CZ415" s="259" t="e">
        <f t="shared" ca="1" si="849"/>
        <v>#N/A</v>
      </c>
      <c r="DA415" s="259" t="str">
        <f t="shared" ca="1" si="854"/>
        <v/>
      </c>
      <c r="DB415" s="259" t="str">
        <f t="shared" ca="1" si="850"/>
        <v/>
      </c>
      <c r="DC415" s="259" t="str">
        <f t="shared" ca="1" si="851"/>
        <v/>
      </c>
      <c r="DD415" s="259" t="str">
        <f t="shared" ca="1" si="852"/>
        <v/>
      </c>
      <c r="DE415" s="259" t="str">
        <f t="shared" ca="1" si="853"/>
        <v/>
      </c>
      <c r="DF415" s="259">
        <f ca="1">IF(AND(CX415=$DE$2,$DF$2&lt;&gt;0),0,IF(AND(DB415&lt;&gt;"",OR(DB414&lt;&gt;"",DB416&lt;&gt;"")),MAX($DF$2:DF414)+1,0))</f>
        <v>0</v>
      </c>
      <c r="EC415" s="259">
        <f>IF(IF(DG415&lt;&gt;"",REPLACE(DG415,3,1,""),0)&lt;&gt;0,MAX(EC$2:EC414)+1,0)</f>
        <v>0</v>
      </c>
      <c r="ED415" s="259">
        <f t="shared" ca="1" si="815"/>
        <v>0</v>
      </c>
      <c r="EL415" s="259">
        <f t="shared" si="822"/>
        <v>413</v>
      </c>
      <c r="EM415" s="259">
        <f ca="1">IF(AND(BA415&gt;0,BA415&lt;=$EM$1),MAX($EM$2:EM414)+1,0)</f>
        <v>0</v>
      </c>
      <c r="EN415" s="259">
        <f t="shared" ca="1" si="823"/>
        <v>415</v>
      </c>
      <c r="EP415" s="259" t="str">
        <f t="shared" ca="1" si="816"/>
        <v/>
      </c>
    </row>
    <row r="416" spans="52:146">
      <c r="AZ416" s="259" t="str">
        <f t="shared" ca="1" si="840"/>
        <v/>
      </c>
      <c r="BA416" s="259">
        <f t="shared" ca="1" si="785"/>
        <v>0</v>
      </c>
      <c r="BB416" s="259">
        <f t="shared" ca="1" si="841"/>
        <v>0</v>
      </c>
      <c r="BC416" s="259">
        <f t="shared" ca="1" si="842"/>
        <v>0</v>
      </c>
      <c r="BD416" s="259">
        <f t="shared" ca="1" si="843"/>
        <v>0</v>
      </c>
      <c r="BE416" s="259">
        <f t="shared" ca="1" si="844"/>
        <v>0</v>
      </c>
      <c r="BQ416" s="259" t="str">
        <f ca="1">IFERROR(INDEX($BN$3:$BO$200,MATCH(ROWS(BQ$3:BQ416),$BP$3:$BP$220,0),1),"")</f>
        <v/>
      </c>
      <c r="CX416" s="259" t="str">
        <f>IFERROR(IF(CX398+1=1,"",(CX398+1)),"")</f>
        <v/>
      </c>
      <c r="CY416" s="259" t="str">
        <f t="shared" ca="1" si="846"/>
        <v>MASTRO</v>
      </c>
      <c r="DB416" s="259" t="str">
        <f t="shared" ref="DB416" ca="1" si="855">CY416</f>
        <v>MASTRO</v>
      </c>
      <c r="DF416" s="259">
        <f ca="1">IF(AND(CX416=$DE$2,$DF$2&lt;&gt;0),0,IF(AND(DB416&lt;&gt;"",OR(DB415&lt;&gt;"",DB417&lt;&gt;"")),MAX($DF$2:DF415)+1,0))</f>
        <v>0</v>
      </c>
      <c r="EC416" s="259">
        <f>IF(IF(DG416&lt;&gt;"",REPLACE(DG416,3,1,""),0)&lt;&gt;0,MAX(EC$2:EC415)+1,0)</f>
        <v>0</v>
      </c>
      <c r="ED416" s="259">
        <f t="shared" ca="1" si="815"/>
        <v>0</v>
      </c>
      <c r="EL416" s="259">
        <f t="shared" si="822"/>
        <v>414</v>
      </c>
      <c r="EM416" s="259">
        <f ca="1">IF(AND(BA416&gt;0,BA416&lt;=$EM$1),MAX($EM$2:EM415)+1,0)</f>
        <v>0</v>
      </c>
      <c r="EN416" s="259">
        <f t="shared" ca="1" si="823"/>
        <v>416</v>
      </c>
      <c r="EP416" s="259" t="str">
        <f t="shared" ca="1" si="816"/>
        <v/>
      </c>
    </row>
    <row r="417" spans="52:146">
      <c r="AZ417" s="259" t="str">
        <f t="shared" ca="1" si="840"/>
        <v/>
      </c>
      <c r="BA417" s="259">
        <f t="shared" ca="1" si="785"/>
        <v>0</v>
      </c>
      <c r="BB417" s="259">
        <f t="shared" ca="1" si="841"/>
        <v>0</v>
      </c>
      <c r="BC417" s="259">
        <f t="shared" ca="1" si="842"/>
        <v>0</v>
      </c>
      <c r="BD417" s="259">
        <f t="shared" ca="1" si="843"/>
        <v>0</v>
      </c>
      <c r="BE417" s="259">
        <f t="shared" ca="1" si="844"/>
        <v>0</v>
      </c>
      <c r="BQ417" s="259" t="str">
        <f ca="1">IFERROR(INDEX($BN$3:$BO$200,MATCH(ROWS(BQ$3:BQ417),$BP$3:$BP$220,0),1),"")</f>
        <v/>
      </c>
      <c r="CX417" s="259">
        <f ca="1">$EA$26</f>
        <v>24</v>
      </c>
      <c r="CY417" s="259" t="str">
        <f t="shared" ca="1" si="846"/>
        <v>MASTRO</v>
      </c>
      <c r="DA417" s="259" t="str">
        <f ca="1">IF(CY416="MASTRO","Conto n.","")</f>
        <v>Conto n.</v>
      </c>
      <c r="DB417" s="259" t="str">
        <f ca="1">IF(CY417=0,"",INDEX(PIANO_DEI_CONTI,MATCH(DC417,DENOMINAZIONE,0),1))</f>
        <v/>
      </c>
      <c r="DC417" s="259" t="str">
        <f ca="1">IF(OR(CY417=0,CY417="mastro"),"",CY417)</f>
        <v/>
      </c>
      <c r="DD417" s="259" t="str">
        <f ca="1">IF(AND($DA$2=TRUE,OR(INDEX(PIANO_DEI_CONTI,MATCH($DC417,DENOMINAZIONE,0),4)="A",INDEX(PIANO_DEI_CONTI,MATCH($DC417,DENOMINAZIONE,0),4)="D/A"),SUMIFS(AVERE,DENOMINAZIONE_GIORNALE,"="&amp;$DC417)&gt;SUMIFS(DARE,DENOMINAZIONE_GIORNALE,"="&amp;$DC417)),CONCATENATE("s ",FIXED(ABS(SUMIFS(AVERE,DENOMINAZIONE_GIORNALE,"="&amp;$DC417)-SUMIFS(DARE,DENOMINAZIONE_GIORNALE,"="&amp;$DC417)),2)),"")</f>
        <v/>
      </c>
      <c r="DE417" s="259" t="str">
        <f ca="1">IF(AND($DA$2=TRUE,OR(INDEX(PIANO_DEI_CONTI,MATCH($DC417,DENOMINAZIONE,0),4)="D",INDEX(PIANO_DEI_CONTI,MATCH($DC417,DENOMINAZIONE,0),4)="D/A"),SUMIFS(DARE,DENOMINAZIONE_GIORNALE,"="&amp;$DC417)&gt;SUMIFS(AVERE,DENOMINAZIONE_GIORNALE,"="&amp;$DC417)),CONCATENATE("s ",FIXED(ABS(SUMIFS(DARE,DENOMINAZIONE_GIORNALE,"="&amp;$DC417)-SUMIFS(AVERE,DENOMINAZIONE_GIORNALE,"="&amp;$DC417)),2)),"")</f>
        <v/>
      </c>
      <c r="DF417" s="259">
        <f ca="1">IF(AND(CX417=$DE$2,$DF$2&lt;&gt;0),0,IF(AND(DB417&lt;&gt;"",OR(DB416&lt;&gt;"",DB418&lt;&gt;"")),MAX($DF$2:DF416)+1,0))</f>
        <v>0</v>
      </c>
      <c r="EC417" s="259">
        <f>IF(IF(DG417&lt;&gt;"",REPLACE(DG417,3,1,""),0)&lt;&gt;0,MAX(EC$2:EC416)+1,0)</f>
        <v>0</v>
      </c>
      <c r="ED417" s="259">
        <f t="shared" ca="1" si="815"/>
        <v>0</v>
      </c>
      <c r="EL417" s="259">
        <f t="shared" si="822"/>
        <v>415</v>
      </c>
      <c r="EM417" s="259">
        <f ca="1">IF(AND(BA417&gt;0,BA417&lt;=$EM$1),MAX($EM$2:EM416)+1,0)</f>
        <v>0</v>
      </c>
      <c r="EN417" s="259">
        <f t="shared" ca="1" si="823"/>
        <v>417</v>
      </c>
      <c r="EP417" s="259" t="str">
        <f t="shared" ca="1" si="816"/>
        <v/>
      </c>
    </row>
    <row r="418" spans="52:146">
      <c r="AZ418" s="259" t="str">
        <f t="shared" ca="1" si="840"/>
        <v/>
      </c>
      <c r="BA418" s="259">
        <f t="shared" ca="1" si="785"/>
        <v>0</v>
      </c>
      <c r="BB418" s="259">
        <f t="shared" ca="1" si="841"/>
        <v>0</v>
      </c>
      <c r="BC418" s="259">
        <f t="shared" ca="1" si="842"/>
        <v>0</v>
      </c>
      <c r="BD418" s="259">
        <f t="shared" ca="1" si="843"/>
        <v>0</v>
      </c>
      <c r="BE418" s="259">
        <f t="shared" ca="1" si="844"/>
        <v>0</v>
      </c>
      <c r="BQ418" s="259" t="str">
        <f ca="1">IFERROR(INDEX($BN$3:$BO$200,MATCH(ROWS(BQ$3:BQ418),$BP$3:$BP$220,0),1),"")</f>
        <v/>
      </c>
      <c r="CX418" s="259">
        <f t="shared" ref="CX418:CX433" ca="1" si="856">$EA$26</f>
        <v>24</v>
      </c>
      <c r="CY418" s="259" t="str">
        <f t="shared" ca="1" si="846"/>
        <v>MASTRO</v>
      </c>
      <c r="DA418" s="259" t="str">
        <f ca="1">IF(DB417="","","Num. riga")</f>
        <v/>
      </c>
      <c r="DB418" s="259" t="str">
        <f t="shared" ref="DB418" ca="1" si="857">IF(DB417="","","Data")</f>
        <v/>
      </c>
      <c r="DC418" s="259" t="str">
        <f ca="1">IF(DB417="","","Operazioni")</f>
        <v/>
      </c>
      <c r="DD418" s="259" t="str">
        <f ca="1">IF(DB417="","","Dare        ")</f>
        <v/>
      </c>
      <c r="DE418" s="259" t="str">
        <f ca="1">IF(DB417="","","Avere        ")</f>
        <v/>
      </c>
      <c r="DF418" s="259">
        <f ca="1">IF(AND(CX418=$DE$2,$DF$2&lt;&gt;0),0,IF(AND(DB418&lt;&gt;"",OR(DB417&lt;&gt;"",DB419&lt;&gt;"")),MAX($DF$2:DF417)+1,0))</f>
        <v>0</v>
      </c>
      <c r="EC418" s="259">
        <f>IF(IF(DG418&lt;&gt;"",REPLACE(DG418,3,1,""),0)&lt;&gt;0,MAX(EC$2:EC417)+1,0)</f>
        <v>0</v>
      </c>
      <c r="ED418" s="259">
        <f t="shared" ca="1" si="815"/>
        <v>0</v>
      </c>
      <c r="EL418" s="259">
        <f t="shared" si="822"/>
        <v>416</v>
      </c>
      <c r="EM418" s="259">
        <f ca="1">IF(AND(BA418&gt;0,BA418&lt;=$EM$1),MAX($EM$2:EM417)+1,0)</f>
        <v>0</v>
      </c>
      <c r="EN418" s="259">
        <f t="shared" ca="1" si="823"/>
        <v>418</v>
      </c>
      <c r="EP418" s="259" t="str">
        <f t="shared" ca="1" si="816"/>
        <v/>
      </c>
    </row>
    <row r="419" spans="52:146">
      <c r="AZ419" s="259" t="str">
        <f t="shared" ca="1" si="840"/>
        <v/>
      </c>
      <c r="BA419" s="259">
        <f t="shared" ca="1" si="785"/>
        <v>0</v>
      </c>
      <c r="BB419" s="259">
        <f t="shared" ca="1" si="841"/>
        <v>0</v>
      </c>
      <c r="BC419" s="259">
        <f t="shared" ca="1" si="842"/>
        <v>0</v>
      </c>
      <c r="BD419" s="259">
        <f t="shared" ca="1" si="843"/>
        <v>0</v>
      </c>
      <c r="BE419" s="259">
        <f t="shared" ca="1" si="844"/>
        <v>0</v>
      </c>
      <c r="BQ419" s="259" t="str">
        <f ca="1">IFERROR(INDEX($BN$3:$BO$200,MATCH(ROWS(BQ$3:BQ419),$BP$3:$BP$220,0),1),"")</f>
        <v/>
      </c>
      <c r="CX419" s="259">
        <f t="shared" ca="1" si="856"/>
        <v>24</v>
      </c>
      <c r="CY419" s="259" t="str">
        <f t="shared" ca="1" si="846"/>
        <v>MASTRO</v>
      </c>
      <c r="CZ419" s="259" t="e">
        <f t="shared" ref="CZ419:CZ433" ca="1" si="858">SUM(MATCH($CY419,INDIRECT(ADDRESS(SUM(CZ418)+3,54)&amp;":"&amp;ADDRESS(400,54)),0),CZ418)</f>
        <v>#N/A</v>
      </c>
      <c r="DA419" s="259" t="str">
        <f ca="1">IFERROR(INDEX(LIBRO_GIORNALE,CZ419,1),"")</f>
        <v/>
      </c>
      <c r="DB419" s="259" t="str">
        <f t="shared" ref="DB419:DB433" ca="1" si="859">IF(RIGHT(TEXT(IFERROR(INDEX(LIBRO_GIORNALE,CZ419,2),""),"gg/mm/aa"),1)="a",TEXT(IFERROR(INDEX(LIBRO_GIORNALE,CZ419,2),""),"dd/mm/yy"),TEXT(IFERROR(INDEX(LIBRO_GIORNALE,CZ419,2),""),"gg/mm/aa"))</f>
        <v/>
      </c>
      <c r="DC419" s="259" t="str">
        <f t="shared" ref="DC419:DC433" ca="1" si="860">IF(IFERROR(INDEX(LIBRO_GIORNALE,CZ419,4),"")=0,"manca la descrizione dell'operazione",IFERROR(INDEX(LIBRO_GIORNALE,CZ419,4),""))</f>
        <v/>
      </c>
      <c r="DD419" s="259" t="str">
        <f t="shared" ref="DD419:DD433" ca="1" si="861">IFERROR(IF(INDEX(LIBRO_GIORNALE,CZ419,5)&gt;0,INDEX(LIBRO_GIORNALE,CZ419,5),""),"")</f>
        <v/>
      </c>
      <c r="DE419" s="259" t="str">
        <f t="shared" ref="DE419:DE433" ca="1" si="862">IFERROR(IF(INDEX(LIBRO_GIORNALE,CZ419,6)&gt;0,INDEX(LIBRO_GIORNALE,CZ419,6),""),"")</f>
        <v/>
      </c>
      <c r="DF419" s="259">
        <f ca="1">IF(AND(CX419=$DE$2,$DF$2&lt;&gt;0),0,IF(AND(DB419&lt;&gt;"",OR(DB418&lt;&gt;"",DB420&lt;&gt;"")),MAX($DF$2:DF418)+1,0))</f>
        <v>0</v>
      </c>
      <c r="EC419" s="259">
        <f>IF(IF(DG419&lt;&gt;"",REPLACE(DG419,3,1,""),0)&lt;&gt;0,MAX(EC$2:EC418)+1,0)</f>
        <v>0</v>
      </c>
      <c r="ED419" s="259">
        <f t="shared" ca="1" si="815"/>
        <v>0</v>
      </c>
      <c r="EL419" s="259">
        <f t="shared" si="822"/>
        <v>417</v>
      </c>
      <c r="EM419" s="259">
        <f ca="1">IF(AND(BA419&gt;0,BA419&lt;=$EM$1),MAX($EM$2:EM418)+1,0)</f>
        <v>0</v>
      </c>
      <c r="EN419" s="259">
        <f t="shared" ca="1" si="823"/>
        <v>419</v>
      </c>
      <c r="EP419" s="259" t="str">
        <f t="shared" ca="1" si="816"/>
        <v/>
      </c>
    </row>
    <row r="420" spans="52:146">
      <c r="AZ420" s="259" t="str">
        <f t="shared" ca="1" si="840"/>
        <v/>
      </c>
      <c r="BA420" s="259">
        <f t="shared" ca="1" si="785"/>
        <v>0</v>
      </c>
      <c r="BB420" s="259">
        <f t="shared" ca="1" si="841"/>
        <v>0</v>
      </c>
      <c r="BC420" s="259">
        <f t="shared" ca="1" si="842"/>
        <v>0</v>
      </c>
      <c r="BD420" s="259">
        <f t="shared" ca="1" si="843"/>
        <v>0</v>
      </c>
      <c r="BE420" s="259">
        <f t="shared" ca="1" si="844"/>
        <v>0</v>
      </c>
      <c r="BQ420" s="259" t="str">
        <f ca="1">IFERROR(INDEX($BN$3:$BO$200,MATCH(ROWS(BQ$3:BQ420),$BP$3:$BP$220,0),1),"")</f>
        <v/>
      </c>
      <c r="CX420" s="259">
        <f t="shared" ca="1" si="856"/>
        <v>24</v>
      </c>
      <c r="CY420" s="259" t="str">
        <f t="shared" ca="1" si="846"/>
        <v>MASTRO</v>
      </c>
      <c r="CZ420" s="259" t="e">
        <f t="shared" ca="1" si="858"/>
        <v>#N/A</v>
      </c>
      <c r="DA420" s="259" t="str">
        <f t="shared" ref="DA420:DA433" ca="1" si="863">IFERROR(INDEX(LIBRO_GIORNALE,CZ420,1),"")</f>
        <v/>
      </c>
      <c r="DB420" s="259" t="str">
        <f t="shared" ca="1" si="859"/>
        <v/>
      </c>
      <c r="DC420" s="259" t="str">
        <f t="shared" ca="1" si="860"/>
        <v/>
      </c>
      <c r="DD420" s="259" t="str">
        <f t="shared" ca="1" si="861"/>
        <v/>
      </c>
      <c r="DE420" s="259" t="str">
        <f t="shared" ca="1" si="862"/>
        <v/>
      </c>
      <c r="DF420" s="259">
        <f ca="1">IF(AND(CX420=$DE$2,$DF$2&lt;&gt;0),0,IF(AND(DB420&lt;&gt;"",OR(DB419&lt;&gt;"",DB421&lt;&gt;"")),MAX($DF$2:DF419)+1,0))</f>
        <v>0</v>
      </c>
      <c r="EC420" s="259">
        <f>IF(IF(DG420&lt;&gt;"",REPLACE(DG420,3,1,""),0)&lt;&gt;0,MAX(EC$2:EC419)+1,0)</f>
        <v>0</v>
      </c>
      <c r="ED420" s="259">
        <f t="shared" ca="1" si="815"/>
        <v>0</v>
      </c>
      <c r="EL420" s="259">
        <f t="shared" si="822"/>
        <v>418</v>
      </c>
      <c r="EM420" s="259">
        <f ca="1">IF(AND(BA420&gt;0,BA420&lt;=$EM$1),MAX($EM$2:EM419)+1,0)</f>
        <v>0</v>
      </c>
      <c r="EN420" s="259">
        <f t="shared" ca="1" si="823"/>
        <v>420</v>
      </c>
      <c r="EP420" s="259" t="str">
        <f t="shared" ca="1" si="816"/>
        <v/>
      </c>
    </row>
    <row r="421" spans="52:146">
      <c r="AZ421" s="259" t="str">
        <f t="shared" ca="1" si="840"/>
        <v/>
      </c>
      <c r="BA421" s="259">
        <f t="shared" ca="1" si="785"/>
        <v>0</v>
      </c>
      <c r="BB421" s="259">
        <f t="shared" ca="1" si="841"/>
        <v>0</v>
      </c>
      <c r="BC421" s="259">
        <f t="shared" ca="1" si="842"/>
        <v>0</v>
      </c>
      <c r="BD421" s="259">
        <f t="shared" ca="1" si="843"/>
        <v>0</v>
      </c>
      <c r="BE421" s="259">
        <f t="shared" ca="1" si="844"/>
        <v>0</v>
      </c>
      <c r="BQ421" s="259" t="str">
        <f ca="1">IFERROR(INDEX($BN$3:$BO$200,MATCH(ROWS(BQ$3:BQ421),$BP$3:$BP$220,0),1),"")</f>
        <v/>
      </c>
      <c r="CX421" s="259">
        <f t="shared" ca="1" si="856"/>
        <v>24</v>
      </c>
      <c r="CY421" s="259" t="str">
        <f t="shared" ca="1" si="846"/>
        <v>MASTRO</v>
      </c>
      <c r="CZ421" s="259" t="e">
        <f t="shared" ca="1" si="858"/>
        <v>#N/A</v>
      </c>
      <c r="DA421" s="259" t="str">
        <f t="shared" ca="1" si="863"/>
        <v/>
      </c>
      <c r="DB421" s="259" t="str">
        <f t="shared" ca="1" si="859"/>
        <v/>
      </c>
      <c r="DC421" s="259" t="str">
        <f t="shared" ca="1" si="860"/>
        <v/>
      </c>
      <c r="DD421" s="259" t="str">
        <f t="shared" ca="1" si="861"/>
        <v/>
      </c>
      <c r="DE421" s="259" t="str">
        <f t="shared" ca="1" si="862"/>
        <v/>
      </c>
      <c r="DF421" s="259">
        <f ca="1">IF(AND(CX421=$DE$2,$DF$2&lt;&gt;0),0,IF(AND(DB421&lt;&gt;"",OR(DB420&lt;&gt;"",DB422&lt;&gt;"")),MAX($DF$2:DF420)+1,0))</f>
        <v>0</v>
      </c>
      <c r="EC421" s="259">
        <f>IF(IF(DG421&lt;&gt;"",REPLACE(DG421,3,1,""),0)&lt;&gt;0,MAX(EC$2:EC420)+1,0)</f>
        <v>0</v>
      </c>
      <c r="ED421" s="259">
        <f t="shared" ca="1" si="815"/>
        <v>0</v>
      </c>
      <c r="EL421" s="259">
        <f t="shared" si="822"/>
        <v>419</v>
      </c>
      <c r="EM421" s="259">
        <f ca="1">IF(AND(BA421&gt;0,BA421&lt;=$EM$1),MAX($EM$2:EM420)+1,0)</f>
        <v>0</v>
      </c>
      <c r="EN421" s="259">
        <f t="shared" ca="1" si="823"/>
        <v>421</v>
      </c>
      <c r="EP421" s="259" t="str">
        <f t="shared" ca="1" si="816"/>
        <v/>
      </c>
    </row>
    <row r="422" spans="52:146">
      <c r="AZ422" s="259" t="str">
        <f t="shared" ca="1" si="840"/>
        <v/>
      </c>
      <c r="BA422" s="259">
        <f t="shared" ca="1" si="785"/>
        <v>0</v>
      </c>
      <c r="BB422" s="259">
        <f t="shared" ca="1" si="841"/>
        <v>0</v>
      </c>
      <c r="BC422" s="259">
        <f t="shared" ca="1" si="842"/>
        <v>0</v>
      </c>
      <c r="BD422" s="259">
        <f t="shared" ca="1" si="843"/>
        <v>0</v>
      </c>
      <c r="BE422" s="259">
        <f t="shared" ca="1" si="844"/>
        <v>0</v>
      </c>
      <c r="BQ422" s="259" t="str">
        <f ca="1">IFERROR(INDEX($BN$3:$BO$200,MATCH(ROWS(BQ$3:BQ422),$BP$3:$BP$220,0),1),"")</f>
        <v/>
      </c>
      <c r="CX422" s="259">
        <f t="shared" ca="1" si="856"/>
        <v>24</v>
      </c>
      <c r="CY422" s="259" t="str">
        <f t="shared" ca="1" si="846"/>
        <v>MASTRO</v>
      </c>
      <c r="CZ422" s="259" t="e">
        <f t="shared" ca="1" si="858"/>
        <v>#N/A</v>
      </c>
      <c r="DA422" s="259" t="str">
        <f t="shared" ca="1" si="863"/>
        <v/>
      </c>
      <c r="DB422" s="259" t="str">
        <f t="shared" ca="1" si="859"/>
        <v/>
      </c>
      <c r="DC422" s="259" t="str">
        <f t="shared" ca="1" si="860"/>
        <v/>
      </c>
      <c r="DD422" s="259" t="str">
        <f t="shared" ca="1" si="861"/>
        <v/>
      </c>
      <c r="DE422" s="259" t="str">
        <f t="shared" ca="1" si="862"/>
        <v/>
      </c>
      <c r="DF422" s="259">
        <f ca="1">IF(AND(CX422=$DE$2,$DF$2&lt;&gt;0),0,IF(AND(DB422&lt;&gt;"",OR(DB421&lt;&gt;"",DB423&lt;&gt;"")),MAX($DF$2:DF421)+1,0))</f>
        <v>0</v>
      </c>
      <c r="EC422" s="259">
        <f>IF(IF(DG422&lt;&gt;"",REPLACE(DG422,3,1,""),0)&lt;&gt;0,MAX(EC$2:EC421)+1,0)</f>
        <v>0</v>
      </c>
      <c r="ED422" s="259">
        <f t="shared" ca="1" si="815"/>
        <v>0</v>
      </c>
      <c r="EL422" s="259">
        <f t="shared" si="822"/>
        <v>420</v>
      </c>
      <c r="EM422" s="259">
        <f ca="1">IF(AND(BA422&gt;0,BA422&lt;=$EM$1),MAX($EM$2:EM421)+1,0)</f>
        <v>0</v>
      </c>
      <c r="EN422" s="259">
        <f t="shared" ca="1" si="823"/>
        <v>422</v>
      </c>
      <c r="EP422" s="259" t="str">
        <f t="shared" ca="1" si="816"/>
        <v/>
      </c>
    </row>
    <row r="423" spans="52:146">
      <c r="AZ423" s="259" t="str">
        <f t="shared" ca="1" si="840"/>
        <v/>
      </c>
      <c r="BA423" s="259">
        <f t="shared" ref="BA423:BA486" ca="1" si="864">IF(AND(EY323&gt;=INIZIO_AC,EY323&gt;=INIZIO_A_PC,EY323&lt;=FINE_AC),EY323,0)</f>
        <v>0</v>
      </c>
      <c r="BB423" s="259">
        <f t="shared" ca="1" si="841"/>
        <v>0</v>
      </c>
      <c r="BC423" s="259">
        <f t="shared" ca="1" si="842"/>
        <v>0</v>
      </c>
      <c r="BD423" s="259">
        <f t="shared" ca="1" si="843"/>
        <v>0</v>
      </c>
      <c r="BE423" s="259">
        <f t="shared" ca="1" si="844"/>
        <v>0</v>
      </c>
      <c r="BQ423" s="259" t="str">
        <f ca="1">IFERROR(INDEX($BN$3:$BO$200,MATCH(ROWS(BQ$3:BQ423),$BP$3:$BP$220,0),1),"")</f>
        <v/>
      </c>
      <c r="CX423" s="259">
        <f t="shared" ca="1" si="856"/>
        <v>24</v>
      </c>
      <c r="CY423" s="259" t="str">
        <f t="shared" ca="1" si="846"/>
        <v>MASTRO</v>
      </c>
      <c r="CZ423" s="259" t="e">
        <f t="shared" ca="1" si="858"/>
        <v>#N/A</v>
      </c>
      <c r="DA423" s="259" t="str">
        <f t="shared" ca="1" si="863"/>
        <v/>
      </c>
      <c r="DB423" s="259" t="str">
        <f t="shared" ca="1" si="859"/>
        <v/>
      </c>
      <c r="DC423" s="259" t="str">
        <f t="shared" ca="1" si="860"/>
        <v/>
      </c>
      <c r="DD423" s="259" t="str">
        <f t="shared" ca="1" si="861"/>
        <v/>
      </c>
      <c r="DE423" s="259" t="str">
        <f t="shared" ca="1" si="862"/>
        <v/>
      </c>
      <c r="DF423" s="259">
        <f ca="1">IF(AND(CX423=$DE$2,$DF$2&lt;&gt;0),0,IF(AND(DB423&lt;&gt;"",OR(DB422&lt;&gt;"",DB424&lt;&gt;"")),MAX($DF$2:DF422)+1,0))</f>
        <v>0</v>
      </c>
      <c r="EC423" s="259">
        <f>IF(IF(DG423&lt;&gt;"",REPLACE(DG423,3,1,""),0)&lt;&gt;0,MAX(EC$2:EC422)+1,0)</f>
        <v>0</v>
      </c>
      <c r="ED423" s="259">
        <f t="shared" ca="1" si="815"/>
        <v>0</v>
      </c>
      <c r="EL423" s="259">
        <f t="shared" si="822"/>
        <v>421</v>
      </c>
      <c r="EM423" s="259">
        <f ca="1">IF(AND(BA423&gt;0,BA423&lt;=$EM$1),MAX($EM$2:EM422)+1,0)</f>
        <v>0</v>
      </c>
      <c r="EN423" s="259">
        <f t="shared" ca="1" si="823"/>
        <v>423</v>
      </c>
      <c r="EP423" s="259" t="str">
        <f t="shared" ca="1" si="816"/>
        <v/>
      </c>
    </row>
    <row r="424" spans="52:146">
      <c r="AZ424" s="259" t="str">
        <f t="shared" ca="1" si="840"/>
        <v/>
      </c>
      <c r="BA424" s="259">
        <f t="shared" ca="1" si="864"/>
        <v>0</v>
      </c>
      <c r="BB424" s="259">
        <f t="shared" ca="1" si="841"/>
        <v>0</v>
      </c>
      <c r="BC424" s="259">
        <f t="shared" ca="1" si="842"/>
        <v>0</v>
      </c>
      <c r="BD424" s="259">
        <f t="shared" ca="1" si="843"/>
        <v>0</v>
      </c>
      <c r="BE424" s="259">
        <f t="shared" ca="1" si="844"/>
        <v>0</v>
      </c>
      <c r="BQ424" s="259" t="str">
        <f ca="1">IFERROR(INDEX($BN$3:$BO$200,MATCH(ROWS(BQ$3:BQ424),$BP$3:$BP$220,0),1),"")</f>
        <v/>
      </c>
      <c r="CX424" s="259">
        <f t="shared" ca="1" si="856"/>
        <v>24</v>
      </c>
      <c r="CY424" s="259" t="str">
        <f t="shared" ca="1" si="846"/>
        <v>MASTRO</v>
      </c>
      <c r="CZ424" s="259" t="e">
        <f t="shared" ca="1" si="858"/>
        <v>#N/A</v>
      </c>
      <c r="DA424" s="259" t="str">
        <f t="shared" ca="1" si="863"/>
        <v/>
      </c>
      <c r="DB424" s="259" t="str">
        <f t="shared" ca="1" si="859"/>
        <v/>
      </c>
      <c r="DC424" s="259" t="str">
        <f t="shared" ca="1" si="860"/>
        <v/>
      </c>
      <c r="DD424" s="259" t="str">
        <f t="shared" ca="1" si="861"/>
        <v/>
      </c>
      <c r="DE424" s="259" t="str">
        <f t="shared" ca="1" si="862"/>
        <v/>
      </c>
      <c r="DF424" s="259">
        <f ca="1">IF(AND(CX424=$DE$2,$DF$2&lt;&gt;0),0,IF(AND(DB424&lt;&gt;"",OR(DB423&lt;&gt;"",DB425&lt;&gt;"")),MAX($DF$2:DF423)+1,0))</f>
        <v>0</v>
      </c>
      <c r="EC424" s="259">
        <f>IF(IF(DG424&lt;&gt;"",REPLACE(DG424,3,1,""),0)&lt;&gt;0,MAX(EC$2:EC423)+1,0)</f>
        <v>0</v>
      </c>
      <c r="ED424" s="259">
        <f t="shared" ca="1" si="815"/>
        <v>0</v>
      </c>
      <c r="EL424" s="259">
        <f t="shared" si="822"/>
        <v>422</v>
      </c>
      <c r="EM424" s="259">
        <f ca="1">IF(AND(BA424&gt;0,BA424&lt;=$EM$1),MAX($EM$2:EM423)+1,0)</f>
        <v>0</v>
      </c>
      <c r="EN424" s="259">
        <f t="shared" ca="1" si="823"/>
        <v>424</v>
      </c>
      <c r="EP424" s="259" t="str">
        <f t="shared" ca="1" si="816"/>
        <v/>
      </c>
    </row>
    <row r="425" spans="52:146">
      <c r="AZ425" s="259" t="str">
        <f t="shared" ca="1" si="840"/>
        <v/>
      </c>
      <c r="BA425" s="259">
        <f t="shared" ca="1" si="864"/>
        <v>0</v>
      </c>
      <c r="BB425" s="259">
        <f t="shared" ca="1" si="841"/>
        <v>0</v>
      </c>
      <c r="BC425" s="259">
        <f t="shared" ca="1" si="842"/>
        <v>0</v>
      </c>
      <c r="BD425" s="259">
        <f t="shared" ca="1" si="843"/>
        <v>0</v>
      </c>
      <c r="BE425" s="259">
        <f t="shared" ca="1" si="844"/>
        <v>0</v>
      </c>
      <c r="BQ425" s="259" t="str">
        <f ca="1">IFERROR(INDEX($BN$3:$BO$200,MATCH(ROWS(BQ$3:BQ425),$BP$3:$BP$220,0),1),"")</f>
        <v/>
      </c>
      <c r="CX425" s="259">
        <f t="shared" ca="1" si="856"/>
        <v>24</v>
      </c>
      <c r="CY425" s="259" t="str">
        <f t="shared" ca="1" si="846"/>
        <v>MASTRO</v>
      </c>
      <c r="CZ425" s="259" t="e">
        <f t="shared" ca="1" si="858"/>
        <v>#N/A</v>
      </c>
      <c r="DA425" s="259" t="str">
        <f t="shared" ca="1" si="863"/>
        <v/>
      </c>
      <c r="DB425" s="259" t="str">
        <f t="shared" ca="1" si="859"/>
        <v/>
      </c>
      <c r="DC425" s="259" t="str">
        <f t="shared" ca="1" si="860"/>
        <v/>
      </c>
      <c r="DD425" s="259" t="str">
        <f t="shared" ca="1" si="861"/>
        <v/>
      </c>
      <c r="DE425" s="259" t="str">
        <f t="shared" ca="1" si="862"/>
        <v/>
      </c>
      <c r="DF425" s="259">
        <f ca="1">IF(AND(CX425=$DE$2,$DF$2&lt;&gt;0),0,IF(AND(DB425&lt;&gt;"",OR(DB424&lt;&gt;"",DB426&lt;&gt;"")),MAX($DF$2:DF424)+1,0))</f>
        <v>0</v>
      </c>
      <c r="EC425" s="259">
        <f>IF(IF(DG425&lt;&gt;"",REPLACE(DG425,3,1,""),0)&lt;&gt;0,MAX(EC$2:EC424)+1,0)</f>
        <v>0</v>
      </c>
      <c r="ED425" s="259">
        <f t="shared" ca="1" si="815"/>
        <v>0</v>
      </c>
      <c r="EL425" s="259">
        <f t="shared" si="822"/>
        <v>423</v>
      </c>
      <c r="EM425" s="259">
        <f ca="1">IF(AND(BA425&gt;0,BA425&lt;=$EM$1),MAX($EM$2:EM424)+1,0)</f>
        <v>0</v>
      </c>
      <c r="EN425" s="259">
        <f t="shared" ca="1" si="823"/>
        <v>425</v>
      </c>
      <c r="EP425" s="259" t="str">
        <f t="shared" ca="1" si="816"/>
        <v/>
      </c>
    </row>
    <row r="426" spans="52:146">
      <c r="AZ426" s="259" t="str">
        <f t="shared" ca="1" si="840"/>
        <v/>
      </c>
      <c r="BA426" s="259">
        <f t="shared" ca="1" si="864"/>
        <v>0</v>
      </c>
      <c r="BB426" s="259">
        <f t="shared" ca="1" si="841"/>
        <v>0</v>
      </c>
      <c r="BC426" s="259">
        <f t="shared" ca="1" si="842"/>
        <v>0</v>
      </c>
      <c r="BD426" s="259">
        <f t="shared" ca="1" si="843"/>
        <v>0</v>
      </c>
      <c r="BE426" s="259">
        <f t="shared" ca="1" si="844"/>
        <v>0</v>
      </c>
      <c r="BQ426" s="259" t="str">
        <f ca="1">IFERROR(INDEX($BN$3:$BO$200,MATCH(ROWS(BQ$3:BQ426),$BP$3:$BP$220,0),1),"")</f>
        <v/>
      </c>
      <c r="CX426" s="259">
        <f t="shared" ca="1" si="856"/>
        <v>24</v>
      </c>
      <c r="CY426" s="259" t="str">
        <f t="shared" ca="1" si="846"/>
        <v>MASTRO</v>
      </c>
      <c r="CZ426" s="259" t="e">
        <f t="shared" ca="1" si="858"/>
        <v>#N/A</v>
      </c>
      <c r="DA426" s="259" t="str">
        <f t="shared" ca="1" si="863"/>
        <v/>
      </c>
      <c r="DB426" s="259" t="str">
        <f t="shared" ca="1" si="859"/>
        <v/>
      </c>
      <c r="DC426" s="259" t="str">
        <f t="shared" ca="1" si="860"/>
        <v/>
      </c>
      <c r="DD426" s="259" t="str">
        <f t="shared" ca="1" si="861"/>
        <v/>
      </c>
      <c r="DE426" s="259" t="str">
        <f t="shared" ca="1" si="862"/>
        <v/>
      </c>
      <c r="DF426" s="259">
        <f ca="1">IF(AND(CX426=$DE$2,$DF$2&lt;&gt;0),0,IF(AND(DB426&lt;&gt;"",OR(DB425&lt;&gt;"",DB427&lt;&gt;"")),MAX($DF$2:DF425)+1,0))</f>
        <v>0</v>
      </c>
      <c r="EC426" s="259">
        <f>IF(IF(DG426&lt;&gt;"",REPLACE(DG426,3,1,""),0)&lt;&gt;0,MAX(EC$2:EC425)+1,0)</f>
        <v>0</v>
      </c>
      <c r="ED426" s="259">
        <f t="shared" ca="1" si="815"/>
        <v>0</v>
      </c>
      <c r="EL426" s="259">
        <f t="shared" si="822"/>
        <v>424</v>
      </c>
      <c r="EM426" s="259">
        <f ca="1">IF(AND(BA426&gt;0,BA426&lt;=$EM$1),MAX($EM$2:EM425)+1,0)</f>
        <v>0</v>
      </c>
      <c r="EN426" s="259">
        <f t="shared" ca="1" si="823"/>
        <v>426</v>
      </c>
      <c r="EP426" s="259" t="str">
        <f t="shared" ca="1" si="816"/>
        <v/>
      </c>
    </row>
    <row r="427" spans="52:146">
      <c r="AZ427" s="259" t="str">
        <f t="shared" ca="1" si="840"/>
        <v/>
      </c>
      <c r="BA427" s="259">
        <f t="shared" ca="1" si="864"/>
        <v>0</v>
      </c>
      <c r="BB427" s="259">
        <f t="shared" ca="1" si="841"/>
        <v>0</v>
      </c>
      <c r="BC427" s="259">
        <f t="shared" ca="1" si="842"/>
        <v>0</v>
      </c>
      <c r="BD427" s="259">
        <f t="shared" ca="1" si="843"/>
        <v>0</v>
      </c>
      <c r="BE427" s="259">
        <f t="shared" ca="1" si="844"/>
        <v>0</v>
      </c>
      <c r="BQ427" s="259" t="str">
        <f ca="1">IFERROR(INDEX($BN$3:$BO$200,MATCH(ROWS(BQ$3:BQ427),$BP$3:$BP$220,0),1),"")</f>
        <v/>
      </c>
      <c r="CX427" s="259">
        <f t="shared" ca="1" si="856"/>
        <v>24</v>
      </c>
      <c r="CY427" s="259" t="str">
        <f t="shared" ca="1" si="846"/>
        <v>MASTRO</v>
      </c>
      <c r="CZ427" s="259" t="e">
        <f t="shared" ca="1" si="858"/>
        <v>#N/A</v>
      </c>
      <c r="DA427" s="259" t="str">
        <f t="shared" ca="1" si="863"/>
        <v/>
      </c>
      <c r="DB427" s="259" t="str">
        <f t="shared" ca="1" si="859"/>
        <v/>
      </c>
      <c r="DC427" s="259" t="str">
        <f t="shared" ca="1" si="860"/>
        <v/>
      </c>
      <c r="DD427" s="259" t="str">
        <f t="shared" ca="1" si="861"/>
        <v/>
      </c>
      <c r="DE427" s="259" t="str">
        <f t="shared" ca="1" si="862"/>
        <v/>
      </c>
      <c r="DF427" s="259">
        <f ca="1">IF(AND(CX427=$DE$2,$DF$2&lt;&gt;0),0,IF(AND(DB427&lt;&gt;"",OR(DB426&lt;&gt;"",DB428&lt;&gt;"")),MAX($DF$2:DF426)+1,0))</f>
        <v>0</v>
      </c>
      <c r="EC427" s="259">
        <f>IF(IF(DG427&lt;&gt;"",REPLACE(DG427,3,1,""),0)&lt;&gt;0,MAX(EC$2:EC426)+1,0)</f>
        <v>0</v>
      </c>
      <c r="ED427" s="259">
        <f t="shared" ca="1" si="815"/>
        <v>0</v>
      </c>
      <c r="EL427" s="259">
        <f t="shared" si="822"/>
        <v>425</v>
      </c>
      <c r="EM427" s="259">
        <f ca="1">IF(AND(BA427&gt;0,BA427&lt;=$EM$1),MAX($EM$2:EM426)+1,0)</f>
        <v>0</v>
      </c>
      <c r="EN427" s="259">
        <f t="shared" ca="1" si="823"/>
        <v>427</v>
      </c>
      <c r="EP427" s="259" t="str">
        <f t="shared" ca="1" si="816"/>
        <v/>
      </c>
    </row>
    <row r="428" spans="52:146">
      <c r="AZ428" s="259" t="str">
        <f t="shared" ca="1" si="840"/>
        <v/>
      </c>
      <c r="BA428" s="259">
        <f t="shared" ca="1" si="864"/>
        <v>0</v>
      </c>
      <c r="BB428" s="259">
        <f t="shared" ca="1" si="841"/>
        <v>0</v>
      </c>
      <c r="BC428" s="259">
        <f t="shared" ca="1" si="842"/>
        <v>0</v>
      </c>
      <c r="BD428" s="259">
        <f t="shared" ca="1" si="843"/>
        <v>0</v>
      </c>
      <c r="BE428" s="259">
        <f t="shared" ca="1" si="844"/>
        <v>0</v>
      </c>
      <c r="BQ428" s="259" t="str">
        <f ca="1">IFERROR(INDEX($BN$3:$BO$200,MATCH(ROWS(BQ$3:BQ428),$BP$3:$BP$220,0),1),"")</f>
        <v/>
      </c>
      <c r="CX428" s="259">
        <f t="shared" ca="1" si="856"/>
        <v>24</v>
      </c>
      <c r="CY428" s="259" t="str">
        <f t="shared" ca="1" si="846"/>
        <v>MASTRO</v>
      </c>
      <c r="CZ428" s="259" t="e">
        <f t="shared" ca="1" si="858"/>
        <v>#N/A</v>
      </c>
      <c r="DA428" s="259" t="str">
        <f t="shared" ca="1" si="863"/>
        <v/>
      </c>
      <c r="DB428" s="259" t="str">
        <f t="shared" ca="1" si="859"/>
        <v/>
      </c>
      <c r="DC428" s="259" t="str">
        <f t="shared" ca="1" si="860"/>
        <v/>
      </c>
      <c r="DD428" s="259" t="str">
        <f t="shared" ca="1" si="861"/>
        <v/>
      </c>
      <c r="DE428" s="259" t="str">
        <f t="shared" ca="1" si="862"/>
        <v/>
      </c>
      <c r="DF428" s="259">
        <f ca="1">IF(AND(CX428=$DE$2,$DF$2&lt;&gt;0),0,IF(AND(DB428&lt;&gt;"",OR(DB427&lt;&gt;"",DB429&lt;&gt;"")),MAX($DF$2:DF427)+1,0))</f>
        <v>0</v>
      </c>
      <c r="EC428" s="259">
        <f>IF(IF(DG428&lt;&gt;"",REPLACE(DG428,3,1,""),0)&lt;&gt;0,MAX(EC$2:EC427)+1,0)</f>
        <v>0</v>
      </c>
      <c r="ED428" s="259">
        <f t="shared" ca="1" si="815"/>
        <v>0</v>
      </c>
      <c r="EL428" s="259">
        <f t="shared" si="822"/>
        <v>426</v>
      </c>
      <c r="EM428" s="259">
        <f ca="1">IF(AND(BA428&gt;0,BA428&lt;=$EM$1),MAX($EM$2:EM427)+1,0)</f>
        <v>0</v>
      </c>
      <c r="EN428" s="259">
        <f t="shared" ca="1" si="823"/>
        <v>428</v>
      </c>
      <c r="EP428" s="259" t="str">
        <f t="shared" ca="1" si="816"/>
        <v/>
      </c>
    </row>
    <row r="429" spans="52:146">
      <c r="AZ429" s="259" t="str">
        <f t="shared" ca="1" si="840"/>
        <v/>
      </c>
      <c r="BA429" s="259">
        <f t="shared" ca="1" si="864"/>
        <v>0</v>
      </c>
      <c r="BB429" s="259">
        <f t="shared" ca="1" si="841"/>
        <v>0</v>
      </c>
      <c r="BC429" s="259">
        <f t="shared" ca="1" si="842"/>
        <v>0</v>
      </c>
      <c r="BD429" s="259">
        <f t="shared" ca="1" si="843"/>
        <v>0</v>
      </c>
      <c r="BE429" s="259">
        <f t="shared" ca="1" si="844"/>
        <v>0</v>
      </c>
      <c r="BQ429" s="259" t="str">
        <f ca="1">IFERROR(INDEX($BN$3:$BO$200,MATCH(ROWS(BQ$3:BQ429),$BP$3:$BP$220,0),1),"")</f>
        <v/>
      </c>
      <c r="CX429" s="259">
        <f t="shared" ca="1" si="856"/>
        <v>24</v>
      </c>
      <c r="CY429" s="259" t="str">
        <f t="shared" ca="1" si="846"/>
        <v>MASTRO</v>
      </c>
      <c r="CZ429" s="259" t="e">
        <f t="shared" ca="1" si="858"/>
        <v>#N/A</v>
      </c>
      <c r="DA429" s="259" t="str">
        <f t="shared" ca="1" si="863"/>
        <v/>
      </c>
      <c r="DB429" s="259" t="str">
        <f t="shared" ca="1" si="859"/>
        <v/>
      </c>
      <c r="DC429" s="259" t="str">
        <f t="shared" ca="1" si="860"/>
        <v/>
      </c>
      <c r="DD429" s="259" t="str">
        <f t="shared" ca="1" si="861"/>
        <v/>
      </c>
      <c r="DE429" s="259" t="str">
        <f t="shared" ca="1" si="862"/>
        <v/>
      </c>
      <c r="DF429" s="259">
        <f ca="1">IF(AND(CX429=$DE$2,$DF$2&lt;&gt;0),0,IF(AND(DB429&lt;&gt;"",OR(DB428&lt;&gt;"",DB430&lt;&gt;"")),MAX($DF$2:DF428)+1,0))</f>
        <v>0</v>
      </c>
      <c r="EC429" s="259">
        <f>IF(IF(DG429&lt;&gt;"",REPLACE(DG429,3,1,""),0)&lt;&gt;0,MAX(EC$2:EC428)+1,0)</f>
        <v>0</v>
      </c>
      <c r="ED429" s="259">
        <f t="shared" ca="1" si="815"/>
        <v>0</v>
      </c>
      <c r="EL429" s="259">
        <f t="shared" si="822"/>
        <v>427</v>
      </c>
      <c r="EM429" s="259">
        <f ca="1">IF(AND(BA429&gt;0,BA429&lt;=$EM$1),MAX($EM$2:EM428)+1,0)</f>
        <v>0</v>
      </c>
      <c r="EN429" s="259">
        <f t="shared" ca="1" si="823"/>
        <v>429</v>
      </c>
      <c r="EP429" s="259" t="str">
        <f t="shared" ca="1" si="816"/>
        <v/>
      </c>
    </row>
    <row r="430" spans="52:146">
      <c r="AZ430" s="259" t="str">
        <f t="shared" ca="1" si="840"/>
        <v/>
      </c>
      <c r="BA430" s="259">
        <f t="shared" ca="1" si="864"/>
        <v>0</v>
      </c>
      <c r="BB430" s="259">
        <f t="shared" ca="1" si="841"/>
        <v>0</v>
      </c>
      <c r="BC430" s="259">
        <f t="shared" ca="1" si="842"/>
        <v>0</v>
      </c>
      <c r="BD430" s="259">
        <f t="shared" ca="1" si="843"/>
        <v>0</v>
      </c>
      <c r="BE430" s="259">
        <f t="shared" ca="1" si="844"/>
        <v>0</v>
      </c>
      <c r="BQ430" s="259" t="str">
        <f ca="1">IFERROR(INDEX($BN$3:$BO$200,MATCH(ROWS(BQ$3:BQ430),$BP$3:$BP$220,0),1),"")</f>
        <v/>
      </c>
      <c r="CX430" s="259">
        <f t="shared" ca="1" si="856"/>
        <v>24</v>
      </c>
      <c r="CY430" s="259" t="str">
        <f t="shared" ca="1" si="846"/>
        <v>MASTRO</v>
      </c>
      <c r="CZ430" s="259" t="e">
        <f t="shared" ca="1" si="858"/>
        <v>#N/A</v>
      </c>
      <c r="DA430" s="259" t="str">
        <f t="shared" ca="1" si="863"/>
        <v/>
      </c>
      <c r="DB430" s="259" t="str">
        <f t="shared" ca="1" si="859"/>
        <v/>
      </c>
      <c r="DC430" s="259" t="str">
        <f t="shared" ca="1" si="860"/>
        <v/>
      </c>
      <c r="DD430" s="259" t="str">
        <f t="shared" ca="1" si="861"/>
        <v/>
      </c>
      <c r="DE430" s="259" t="str">
        <f t="shared" ca="1" si="862"/>
        <v/>
      </c>
      <c r="DF430" s="259">
        <f ca="1">IF(AND(CX430=$DE$2,$DF$2&lt;&gt;0),0,IF(AND(DB430&lt;&gt;"",OR(DB429&lt;&gt;"",DB431&lt;&gt;"")),MAX($DF$2:DF429)+1,0))</f>
        <v>0</v>
      </c>
      <c r="EC430" s="259">
        <f>IF(IF(DG430&lt;&gt;"",REPLACE(DG430,3,1,""),0)&lt;&gt;0,MAX(EC$2:EC429)+1,0)</f>
        <v>0</v>
      </c>
      <c r="ED430" s="259">
        <f t="shared" ca="1" si="815"/>
        <v>0</v>
      </c>
      <c r="EL430" s="259">
        <f t="shared" si="822"/>
        <v>428</v>
      </c>
      <c r="EM430" s="259">
        <f ca="1">IF(AND(BA430&gt;0,BA430&lt;=$EM$1),MAX($EM$2:EM429)+1,0)</f>
        <v>0</v>
      </c>
      <c r="EN430" s="259">
        <f t="shared" ca="1" si="823"/>
        <v>430</v>
      </c>
      <c r="EP430" s="259" t="str">
        <f t="shared" ca="1" si="816"/>
        <v/>
      </c>
    </row>
    <row r="431" spans="52:146">
      <c r="AZ431" s="259" t="str">
        <f t="shared" ca="1" si="840"/>
        <v/>
      </c>
      <c r="BA431" s="259">
        <f t="shared" ca="1" si="864"/>
        <v>0</v>
      </c>
      <c r="BB431" s="259">
        <f t="shared" ca="1" si="841"/>
        <v>0</v>
      </c>
      <c r="BC431" s="259">
        <f t="shared" ca="1" si="842"/>
        <v>0</v>
      </c>
      <c r="BD431" s="259">
        <f t="shared" ca="1" si="843"/>
        <v>0</v>
      </c>
      <c r="BE431" s="259">
        <f t="shared" ca="1" si="844"/>
        <v>0</v>
      </c>
      <c r="BQ431" s="259" t="str">
        <f ca="1">IFERROR(INDEX($BN$3:$BO$200,MATCH(ROWS(BQ$3:BQ431),$BP$3:$BP$220,0),1),"")</f>
        <v/>
      </c>
      <c r="CX431" s="259">
        <f t="shared" ca="1" si="856"/>
        <v>24</v>
      </c>
      <c r="CY431" s="259" t="str">
        <f t="shared" ca="1" si="846"/>
        <v>MASTRO</v>
      </c>
      <c r="CZ431" s="259" t="e">
        <f t="shared" ca="1" si="858"/>
        <v>#N/A</v>
      </c>
      <c r="DA431" s="259" t="str">
        <f t="shared" ca="1" si="863"/>
        <v/>
      </c>
      <c r="DB431" s="259" t="str">
        <f t="shared" ca="1" si="859"/>
        <v/>
      </c>
      <c r="DC431" s="259" t="str">
        <f t="shared" ca="1" si="860"/>
        <v/>
      </c>
      <c r="DD431" s="259" t="str">
        <f t="shared" ca="1" si="861"/>
        <v/>
      </c>
      <c r="DE431" s="259" t="str">
        <f t="shared" ca="1" si="862"/>
        <v/>
      </c>
      <c r="DF431" s="259">
        <f ca="1">IF(AND(CX431=$DE$2,$DF$2&lt;&gt;0),0,IF(AND(DB431&lt;&gt;"",OR(DB430&lt;&gt;"",DB432&lt;&gt;"")),MAX($DF$2:DF430)+1,0))</f>
        <v>0</v>
      </c>
      <c r="EC431" s="259">
        <f>IF(IF(DG431&lt;&gt;"",REPLACE(DG431,3,1,""),0)&lt;&gt;0,MAX(EC$2:EC430)+1,0)</f>
        <v>0</v>
      </c>
      <c r="ED431" s="259">
        <f t="shared" ca="1" si="815"/>
        <v>0</v>
      </c>
      <c r="EL431" s="259">
        <f t="shared" si="822"/>
        <v>429</v>
      </c>
      <c r="EM431" s="259">
        <f ca="1">IF(AND(BA431&gt;0,BA431&lt;=$EM$1),MAX($EM$2:EM430)+1,0)</f>
        <v>0</v>
      </c>
      <c r="EN431" s="259">
        <f t="shared" ca="1" si="823"/>
        <v>431</v>
      </c>
      <c r="EP431" s="259" t="str">
        <f t="shared" ca="1" si="816"/>
        <v/>
      </c>
    </row>
    <row r="432" spans="52:146">
      <c r="AZ432" s="259" t="str">
        <f t="shared" ca="1" si="840"/>
        <v/>
      </c>
      <c r="BA432" s="259">
        <f t="shared" ca="1" si="864"/>
        <v>0</v>
      </c>
      <c r="BB432" s="259">
        <f t="shared" ca="1" si="841"/>
        <v>0</v>
      </c>
      <c r="BC432" s="259">
        <f t="shared" ca="1" si="842"/>
        <v>0</v>
      </c>
      <c r="BD432" s="259">
        <f t="shared" ca="1" si="843"/>
        <v>0</v>
      </c>
      <c r="BE432" s="259">
        <f t="shared" ca="1" si="844"/>
        <v>0</v>
      </c>
      <c r="BQ432" s="259" t="str">
        <f ca="1">IFERROR(INDEX($BN$3:$BO$200,MATCH(ROWS(BQ$3:BQ432),$BP$3:$BP$220,0),1),"")</f>
        <v/>
      </c>
      <c r="CX432" s="259">
        <f t="shared" ca="1" si="856"/>
        <v>24</v>
      </c>
      <c r="CY432" s="259" t="str">
        <f t="shared" ca="1" si="846"/>
        <v>MASTRO</v>
      </c>
      <c r="CZ432" s="259" t="e">
        <f t="shared" ca="1" si="858"/>
        <v>#N/A</v>
      </c>
      <c r="DA432" s="259" t="str">
        <f t="shared" ca="1" si="863"/>
        <v/>
      </c>
      <c r="DB432" s="259" t="str">
        <f t="shared" ca="1" si="859"/>
        <v/>
      </c>
      <c r="DC432" s="259" t="str">
        <f t="shared" ca="1" si="860"/>
        <v/>
      </c>
      <c r="DD432" s="259" t="str">
        <f t="shared" ca="1" si="861"/>
        <v/>
      </c>
      <c r="DE432" s="259" t="str">
        <f t="shared" ca="1" si="862"/>
        <v/>
      </c>
      <c r="DF432" s="259">
        <f ca="1">IF(AND(CX432=$DE$2,$DF$2&lt;&gt;0),0,IF(AND(DB432&lt;&gt;"",OR(DB431&lt;&gt;"",DB433&lt;&gt;"")),MAX($DF$2:DF431)+1,0))</f>
        <v>0</v>
      </c>
      <c r="EC432" s="259">
        <f>IF(IF(DG432&lt;&gt;"",REPLACE(DG432,3,1,""),0)&lt;&gt;0,MAX(EC$2:EC431)+1,0)</f>
        <v>0</v>
      </c>
      <c r="ED432" s="259">
        <f t="shared" ca="1" si="815"/>
        <v>0</v>
      </c>
      <c r="EL432" s="259">
        <f t="shared" si="822"/>
        <v>430</v>
      </c>
      <c r="EM432" s="259">
        <f ca="1">IF(AND(BA432&gt;0,BA432&lt;=$EM$1),MAX($EM$2:EM431)+1,0)</f>
        <v>0</v>
      </c>
      <c r="EN432" s="259">
        <f t="shared" ca="1" si="823"/>
        <v>432</v>
      </c>
      <c r="EP432" s="259" t="str">
        <f t="shared" ca="1" si="816"/>
        <v/>
      </c>
    </row>
    <row r="433" spans="52:146">
      <c r="AZ433" s="259" t="str">
        <f t="shared" ca="1" si="840"/>
        <v/>
      </c>
      <c r="BA433" s="259">
        <f t="shared" ca="1" si="864"/>
        <v>0</v>
      </c>
      <c r="BB433" s="259">
        <f t="shared" ca="1" si="841"/>
        <v>0</v>
      </c>
      <c r="BC433" s="259">
        <f t="shared" ca="1" si="842"/>
        <v>0</v>
      </c>
      <c r="BD433" s="259">
        <f t="shared" ca="1" si="843"/>
        <v>0</v>
      </c>
      <c r="BE433" s="259">
        <f t="shared" ca="1" si="844"/>
        <v>0</v>
      </c>
      <c r="BQ433" s="259" t="str">
        <f ca="1">IFERROR(INDEX($BN$3:$BO$200,MATCH(ROWS(BQ$3:BQ433),$BP$3:$BP$220,0),1),"")</f>
        <v/>
      </c>
      <c r="CX433" s="259">
        <f t="shared" ca="1" si="856"/>
        <v>24</v>
      </c>
      <c r="CY433" s="259" t="str">
        <f t="shared" ca="1" si="846"/>
        <v>MASTRO</v>
      </c>
      <c r="CZ433" s="259" t="e">
        <f t="shared" ca="1" si="858"/>
        <v>#N/A</v>
      </c>
      <c r="DA433" s="259" t="str">
        <f t="shared" ca="1" si="863"/>
        <v/>
      </c>
      <c r="DB433" s="259" t="str">
        <f t="shared" ca="1" si="859"/>
        <v/>
      </c>
      <c r="DC433" s="259" t="str">
        <f t="shared" ca="1" si="860"/>
        <v/>
      </c>
      <c r="DD433" s="259" t="str">
        <f t="shared" ca="1" si="861"/>
        <v/>
      </c>
      <c r="DE433" s="259" t="str">
        <f t="shared" ca="1" si="862"/>
        <v/>
      </c>
      <c r="DF433" s="259">
        <f ca="1">IF(AND(CX433=$DE$2,$DF$2&lt;&gt;0),0,IF(AND(DB433&lt;&gt;"",OR(DB432&lt;&gt;"",DB434&lt;&gt;"")),MAX($DF$2:DF432)+1,0))</f>
        <v>0</v>
      </c>
      <c r="EC433" s="259">
        <f>IF(IF(DG433&lt;&gt;"",REPLACE(DG433,3,1,""),0)&lt;&gt;0,MAX(EC$2:EC432)+1,0)</f>
        <v>0</v>
      </c>
      <c r="ED433" s="259">
        <f t="shared" ca="1" si="815"/>
        <v>0</v>
      </c>
      <c r="EL433" s="259">
        <f t="shared" si="822"/>
        <v>431</v>
      </c>
      <c r="EM433" s="259">
        <f ca="1">IF(AND(BA433&gt;0,BA433&lt;=$EM$1),MAX($EM$2:EM432)+1,0)</f>
        <v>0</v>
      </c>
      <c r="EN433" s="259">
        <f t="shared" ca="1" si="823"/>
        <v>433</v>
      </c>
      <c r="EP433" s="259" t="str">
        <f t="shared" ca="1" si="816"/>
        <v/>
      </c>
    </row>
    <row r="434" spans="52:146">
      <c r="AZ434" s="259" t="str">
        <f t="shared" ca="1" si="840"/>
        <v/>
      </c>
      <c r="BA434" s="259">
        <f t="shared" ca="1" si="864"/>
        <v>0</v>
      </c>
      <c r="BB434" s="259">
        <f t="shared" ca="1" si="841"/>
        <v>0</v>
      </c>
      <c r="BC434" s="259">
        <f t="shared" ca="1" si="842"/>
        <v>0</v>
      </c>
      <c r="BD434" s="259">
        <f t="shared" ca="1" si="843"/>
        <v>0</v>
      </c>
      <c r="BE434" s="259">
        <f t="shared" ca="1" si="844"/>
        <v>0</v>
      </c>
      <c r="BQ434" s="259" t="str">
        <f ca="1">IFERROR(INDEX($BN$3:$BO$200,MATCH(ROWS(BQ$3:BQ434),$BP$3:$BP$220,0),1),"")</f>
        <v/>
      </c>
      <c r="CX434" s="259" t="str">
        <f>IFERROR(IF(CX416+1=1,"",(CX416+1)),"")</f>
        <v/>
      </c>
      <c r="CY434" s="259" t="str">
        <f t="shared" ref="CY434:CY468" ca="1" si="865">IF(ISERROR(INDEX($CV$3:$CX$2300,MATCH(CX434,$CW$3:$CW$2300,0),1)),"MASTRO",INDEX($CV$3:$CX$2300,MATCH(CX434,$CW$3:$CW$2300,0),1))</f>
        <v>MASTRO</v>
      </c>
      <c r="DB434" s="259" t="str">
        <f t="shared" ref="DB434" ca="1" si="866">CY434</f>
        <v>MASTRO</v>
      </c>
      <c r="DF434" s="259">
        <f ca="1">IF(AND(CX434=$DE$2,$DF$2&lt;&gt;0),0,IF(AND(DB434&lt;&gt;"",OR(DB433&lt;&gt;"",DB435&lt;&gt;"")),MAX($DF$2:DF433)+1,0))</f>
        <v>0</v>
      </c>
      <c r="EC434" s="259">
        <f>IF(IF(DG434&lt;&gt;"",REPLACE(DG434,3,1,""),0)&lt;&gt;0,MAX(EC$2:EC433)+1,0)</f>
        <v>0</v>
      </c>
      <c r="ED434" s="259">
        <f t="shared" ca="1" si="815"/>
        <v>0</v>
      </c>
      <c r="EL434" s="259">
        <f t="shared" si="822"/>
        <v>432</v>
      </c>
      <c r="EM434" s="259">
        <f ca="1">IF(AND(BA434&gt;0,BA434&lt;=$EM$1),MAX($EM$2:EM433)+1,0)</f>
        <v>0</v>
      </c>
      <c r="EN434" s="259">
        <f t="shared" ca="1" si="823"/>
        <v>434</v>
      </c>
      <c r="EP434" s="259" t="str">
        <f t="shared" ca="1" si="816"/>
        <v/>
      </c>
    </row>
    <row r="435" spans="52:146">
      <c r="AZ435" s="259" t="str">
        <f t="shared" ca="1" si="840"/>
        <v/>
      </c>
      <c r="BA435" s="259">
        <f t="shared" ca="1" si="864"/>
        <v>0</v>
      </c>
      <c r="BB435" s="259">
        <f t="shared" ca="1" si="841"/>
        <v>0</v>
      </c>
      <c r="BC435" s="259">
        <f t="shared" ca="1" si="842"/>
        <v>0</v>
      </c>
      <c r="BD435" s="259">
        <f t="shared" ca="1" si="843"/>
        <v>0</v>
      </c>
      <c r="BE435" s="259">
        <f t="shared" ca="1" si="844"/>
        <v>0</v>
      </c>
      <c r="BQ435" s="259" t="str">
        <f ca="1">IFERROR(INDEX($BN$3:$BO$200,MATCH(ROWS(BQ$3:BQ435),$BP$3:$BP$220,0),1),"")</f>
        <v/>
      </c>
      <c r="CX435" s="259">
        <f ca="1">$EA$27</f>
        <v>25</v>
      </c>
      <c r="CY435" s="259" t="str">
        <f t="shared" ca="1" si="865"/>
        <v>MASTRO</v>
      </c>
      <c r="DA435" s="259" t="str">
        <f ca="1">IF(CY434="MASTRO","Conto n.","")</f>
        <v>Conto n.</v>
      </c>
      <c r="DB435" s="259" t="str">
        <f ca="1">IF(CY435=0,"",INDEX(PIANO_DEI_CONTI,MATCH(DC435,DENOMINAZIONE,0),1))</f>
        <v/>
      </c>
      <c r="DC435" s="259" t="str">
        <f ca="1">IF(OR(CY435=0,CY435="mastro"),"",CY435)</f>
        <v/>
      </c>
      <c r="DD435" s="259" t="str">
        <f ca="1">IF(AND($DA$2=TRUE,OR(INDEX(PIANO_DEI_CONTI,MATCH($DC435,DENOMINAZIONE,0),4)="A",INDEX(PIANO_DEI_CONTI,MATCH($DC435,DENOMINAZIONE,0),4)="D/A"),SUMIFS(AVERE,DENOMINAZIONE_GIORNALE,"="&amp;$DC435)&gt;SUMIFS(DARE,DENOMINAZIONE_GIORNALE,"="&amp;$DC435)),CONCATENATE("s ",FIXED(ABS(SUMIFS(AVERE,DENOMINAZIONE_GIORNALE,"="&amp;$DC435)-SUMIFS(DARE,DENOMINAZIONE_GIORNALE,"="&amp;$DC435)),2)),"")</f>
        <v/>
      </c>
      <c r="DE435" s="259" t="str">
        <f ca="1">IF(AND($DA$2=TRUE,OR(INDEX(PIANO_DEI_CONTI,MATCH($DC435,DENOMINAZIONE,0),4)="D",INDEX(PIANO_DEI_CONTI,MATCH($DC435,DENOMINAZIONE,0),4)="D/A"),SUMIFS(DARE,DENOMINAZIONE_GIORNALE,"="&amp;$DC435)&gt;SUMIFS(AVERE,DENOMINAZIONE_GIORNALE,"="&amp;$DC435)),CONCATENATE("s ",FIXED(ABS(SUMIFS(DARE,DENOMINAZIONE_GIORNALE,"="&amp;$DC435)-SUMIFS(AVERE,DENOMINAZIONE_GIORNALE,"="&amp;$DC435)),2)),"")</f>
        <v/>
      </c>
      <c r="DF435" s="259">
        <f ca="1">IF(AND(CX435=$DE$2,$DF$2&lt;&gt;0),0,IF(AND(DB435&lt;&gt;"",OR(DB434&lt;&gt;"",DB436&lt;&gt;"")),MAX($DF$2:DF434)+1,0))</f>
        <v>0</v>
      </c>
      <c r="EC435" s="259">
        <f>IF(IF(DG435&lt;&gt;"",REPLACE(DG435,3,1,""),0)&lt;&gt;0,MAX(EC$2:EC434)+1,0)</f>
        <v>0</v>
      </c>
      <c r="ED435" s="259">
        <f t="shared" ca="1" si="815"/>
        <v>0</v>
      </c>
      <c r="EL435" s="259">
        <f t="shared" si="822"/>
        <v>433</v>
      </c>
      <c r="EM435" s="259">
        <f ca="1">IF(AND(BA435&gt;0,BA435&lt;=$EM$1),MAX($EM$2:EM434)+1,0)</f>
        <v>0</v>
      </c>
      <c r="EN435" s="259">
        <f t="shared" ca="1" si="823"/>
        <v>435</v>
      </c>
      <c r="EP435" s="259" t="str">
        <f t="shared" ca="1" si="816"/>
        <v/>
      </c>
    </row>
    <row r="436" spans="52:146">
      <c r="AZ436" s="259" t="str">
        <f t="shared" ca="1" si="840"/>
        <v/>
      </c>
      <c r="BA436" s="259">
        <f t="shared" ca="1" si="864"/>
        <v>0</v>
      </c>
      <c r="BB436" s="259">
        <f t="shared" ca="1" si="841"/>
        <v>0</v>
      </c>
      <c r="BC436" s="259">
        <f t="shared" ca="1" si="842"/>
        <v>0</v>
      </c>
      <c r="BD436" s="259">
        <f t="shared" ca="1" si="843"/>
        <v>0</v>
      </c>
      <c r="BE436" s="259">
        <f t="shared" ca="1" si="844"/>
        <v>0</v>
      </c>
      <c r="BQ436" s="259" t="str">
        <f ca="1">IFERROR(INDEX($BN$3:$BO$200,MATCH(ROWS(BQ$3:BQ436),$BP$3:$BP$220,0),1),"")</f>
        <v/>
      </c>
      <c r="CX436" s="259">
        <f t="shared" ref="CX436:CX451" ca="1" si="867">$EA$27</f>
        <v>25</v>
      </c>
      <c r="CY436" s="259" t="str">
        <f t="shared" ca="1" si="865"/>
        <v>MASTRO</v>
      </c>
      <c r="DA436" s="259" t="str">
        <f ca="1">IF(DB435="","","Num. riga")</f>
        <v/>
      </c>
      <c r="DB436" s="259" t="str">
        <f t="shared" ref="DB436" ca="1" si="868">IF(DB435="","","Data")</f>
        <v/>
      </c>
      <c r="DC436" s="259" t="str">
        <f ca="1">IF(DB435="","","Operazioni")</f>
        <v/>
      </c>
      <c r="DD436" s="259" t="str">
        <f ca="1">IF(DB435="","","Dare        ")</f>
        <v/>
      </c>
      <c r="DE436" s="259" t="str">
        <f ca="1">IF(DB435="","","Avere        ")</f>
        <v/>
      </c>
      <c r="DF436" s="259">
        <f ca="1">IF(AND(CX436=$DE$2,$DF$2&lt;&gt;0),0,IF(AND(DB436&lt;&gt;"",OR(DB435&lt;&gt;"",DB437&lt;&gt;"")),MAX($DF$2:DF435)+1,0))</f>
        <v>0</v>
      </c>
      <c r="EC436" s="259">
        <f>IF(IF(DG436&lt;&gt;"",REPLACE(DG436,3,1,""),0)&lt;&gt;0,MAX(EC$2:EC435)+1,0)</f>
        <v>0</v>
      </c>
      <c r="ED436" s="259">
        <f t="shared" ca="1" si="815"/>
        <v>0</v>
      </c>
      <c r="EL436" s="259">
        <f t="shared" si="822"/>
        <v>434</v>
      </c>
      <c r="EM436" s="259">
        <f ca="1">IF(AND(BA436&gt;0,BA436&lt;=$EM$1),MAX($EM$2:EM435)+1,0)</f>
        <v>0</v>
      </c>
      <c r="EN436" s="259">
        <f t="shared" ca="1" si="823"/>
        <v>436</v>
      </c>
      <c r="EP436" s="259" t="str">
        <f t="shared" ca="1" si="816"/>
        <v/>
      </c>
    </row>
    <row r="437" spans="52:146">
      <c r="AZ437" s="259" t="str">
        <f t="shared" ca="1" si="840"/>
        <v/>
      </c>
      <c r="BA437" s="259">
        <f t="shared" ca="1" si="864"/>
        <v>0</v>
      </c>
      <c r="BB437" s="259">
        <f t="shared" ca="1" si="841"/>
        <v>0</v>
      </c>
      <c r="BC437" s="259">
        <f t="shared" ca="1" si="842"/>
        <v>0</v>
      </c>
      <c r="BD437" s="259">
        <f t="shared" ca="1" si="843"/>
        <v>0</v>
      </c>
      <c r="BE437" s="259">
        <f t="shared" ca="1" si="844"/>
        <v>0</v>
      </c>
      <c r="BQ437" s="259" t="str">
        <f ca="1">IFERROR(INDEX($BN$3:$BO$200,MATCH(ROWS(BQ$3:BQ437),$BP$3:$BP$220,0),1),"")</f>
        <v/>
      </c>
      <c r="CX437" s="259">
        <f t="shared" ca="1" si="867"/>
        <v>25</v>
      </c>
      <c r="CY437" s="259" t="str">
        <f t="shared" ca="1" si="865"/>
        <v>MASTRO</v>
      </c>
      <c r="CZ437" s="259" t="e">
        <f t="shared" ref="CZ437:CZ451" ca="1" si="869">SUM(MATCH($CY437,INDIRECT(ADDRESS(SUM(CZ436)+3,54)&amp;":"&amp;ADDRESS(400,54)),0),CZ436)</f>
        <v>#N/A</v>
      </c>
      <c r="DA437" s="259" t="str">
        <f ca="1">IFERROR(INDEX(LIBRO_GIORNALE,CZ437,1),"")</f>
        <v/>
      </c>
      <c r="DB437" s="259" t="str">
        <f t="shared" ref="DB437:DB451" ca="1" si="870">IF(RIGHT(TEXT(IFERROR(INDEX(LIBRO_GIORNALE,CZ437,2),""),"gg/mm/aa"),1)="a",TEXT(IFERROR(INDEX(LIBRO_GIORNALE,CZ437,2),""),"dd/mm/yy"),TEXT(IFERROR(INDEX(LIBRO_GIORNALE,CZ437,2),""),"gg/mm/aa"))</f>
        <v/>
      </c>
      <c r="DC437" s="259" t="str">
        <f t="shared" ref="DC437:DC451" ca="1" si="871">IF(IFERROR(INDEX(LIBRO_GIORNALE,CZ437,4),"")=0,"manca la descrizione dell'operazione",IFERROR(INDEX(LIBRO_GIORNALE,CZ437,4),""))</f>
        <v/>
      </c>
      <c r="DD437" s="259" t="str">
        <f t="shared" ref="DD437:DD451" ca="1" si="872">IFERROR(IF(INDEX(LIBRO_GIORNALE,CZ437,5)&gt;0,INDEX(LIBRO_GIORNALE,CZ437,5),""),"")</f>
        <v/>
      </c>
      <c r="DE437" s="259" t="str">
        <f t="shared" ref="DE437:DE451" ca="1" si="873">IFERROR(IF(INDEX(LIBRO_GIORNALE,CZ437,6)&gt;0,INDEX(LIBRO_GIORNALE,CZ437,6),""),"")</f>
        <v/>
      </c>
      <c r="DF437" s="259">
        <f ca="1">IF(AND(CX437=$DE$2,$DF$2&lt;&gt;0),0,IF(AND(DB437&lt;&gt;"",OR(DB436&lt;&gt;"",DB438&lt;&gt;"")),MAX($DF$2:DF436)+1,0))</f>
        <v>0</v>
      </c>
      <c r="EC437" s="259">
        <f>IF(IF(DG437&lt;&gt;"",REPLACE(DG437,3,1,""),0)&lt;&gt;0,MAX(EC$2:EC436)+1,0)</f>
        <v>0</v>
      </c>
      <c r="ED437" s="259">
        <f t="shared" ca="1" si="815"/>
        <v>0</v>
      </c>
      <c r="EL437" s="259">
        <f t="shared" si="822"/>
        <v>435</v>
      </c>
      <c r="EM437" s="259">
        <f ca="1">IF(AND(BA437&gt;0,BA437&lt;=$EM$1),MAX($EM$2:EM436)+1,0)</f>
        <v>0</v>
      </c>
      <c r="EN437" s="259">
        <f t="shared" ca="1" si="823"/>
        <v>437</v>
      </c>
      <c r="EP437" s="259" t="str">
        <f t="shared" ca="1" si="816"/>
        <v/>
      </c>
    </row>
    <row r="438" spans="52:146">
      <c r="AZ438" s="259" t="str">
        <f t="shared" ca="1" si="840"/>
        <v/>
      </c>
      <c r="BA438" s="259">
        <f t="shared" ca="1" si="864"/>
        <v>0</v>
      </c>
      <c r="BB438" s="259">
        <f t="shared" ca="1" si="841"/>
        <v>0</v>
      </c>
      <c r="BC438" s="259">
        <f t="shared" ca="1" si="842"/>
        <v>0</v>
      </c>
      <c r="BD438" s="259">
        <f t="shared" ca="1" si="843"/>
        <v>0</v>
      </c>
      <c r="BE438" s="259">
        <f t="shared" ca="1" si="844"/>
        <v>0</v>
      </c>
      <c r="BQ438" s="259" t="str">
        <f ca="1">IFERROR(INDEX($BN$3:$BO$200,MATCH(ROWS(BQ$3:BQ438),$BP$3:$BP$220,0),1),"")</f>
        <v/>
      </c>
      <c r="CX438" s="259">
        <f t="shared" ca="1" si="867"/>
        <v>25</v>
      </c>
      <c r="CY438" s="259" t="str">
        <f t="shared" ca="1" si="865"/>
        <v>MASTRO</v>
      </c>
      <c r="CZ438" s="259" t="e">
        <f t="shared" ca="1" si="869"/>
        <v>#N/A</v>
      </c>
      <c r="DA438" s="259" t="str">
        <f t="shared" ref="DA438:DA451" ca="1" si="874">IFERROR(INDEX(LIBRO_GIORNALE,CZ438,1),"")</f>
        <v/>
      </c>
      <c r="DB438" s="259" t="str">
        <f t="shared" ca="1" si="870"/>
        <v/>
      </c>
      <c r="DC438" s="259" t="str">
        <f t="shared" ca="1" si="871"/>
        <v/>
      </c>
      <c r="DD438" s="259" t="str">
        <f t="shared" ca="1" si="872"/>
        <v/>
      </c>
      <c r="DE438" s="259" t="str">
        <f t="shared" ca="1" si="873"/>
        <v/>
      </c>
      <c r="DF438" s="259">
        <f ca="1">IF(AND(CX438=$DE$2,$DF$2&lt;&gt;0),0,IF(AND(DB438&lt;&gt;"",OR(DB437&lt;&gt;"",DB439&lt;&gt;"")),MAX($DF$2:DF437)+1,0))</f>
        <v>0</v>
      </c>
      <c r="EC438" s="259">
        <f>IF(IF(DG438&lt;&gt;"",REPLACE(DG438,3,1,""),0)&lt;&gt;0,MAX(EC$2:EC437)+1,0)</f>
        <v>0</v>
      </c>
      <c r="ED438" s="259">
        <f t="shared" ca="1" si="815"/>
        <v>0</v>
      </c>
      <c r="EL438" s="259">
        <f t="shared" si="822"/>
        <v>436</v>
      </c>
      <c r="EM438" s="259">
        <f ca="1">IF(AND(BA438&gt;0,BA438&lt;=$EM$1),MAX($EM$2:EM437)+1,0)</f>
        <v>0</v>
      </c>
      <c r="EN438" s="259">
        <f t="shared" ca="1" si="823"/>
        <v>438</v>
      </c>
      <c r="EP438" s="259" t="str">
        <f t="shared" ca="1" si="816"/>
        <v/>
      </c>
    </row>
    <row r="439" spans="52:146">
      <c r="AZ439" s="259" t="str">
        <f t="shared" ca="1" si="840"/>
        <v/>
      </c>
      <c r="BA439" s="259">
        <f t="shared" ca="1" si="864"/>
        <v>0</v>
      </c>
      <c r="BB439" s="259">
        <f t="shared" ca="1" si="841"/>
        <v>0</v>
      </c>
      <c r="BC439" s="259">
        <f t="shared" ca="1" si="842"/>
        <v>0</v>
      </c>
      <c r="BD439" s="259">
        <f t="shared" ca="1" si="843"/>
        <v>0</v>
      </c>
      <c r="BE439" s="259">
        <f t="shared" ca="1" si="844"/>
        <v>0</v>
      </c>
      <c r="BQ439" s="259" t="str">
        <f ca="1">IFERROR(INDEX($BN$3:$BO$200,MATCH(ROWS(BQ$3:BQ439),$BP$3:$BP$220,0),1),"")</f>
        <v/>
      </c>
      <c r="CX439" s="259">
        <f t="shared" ca="1" si="867"/>
        <v>25</v>
      </c>
      <c r="CY439" s="259" t="str">
        <f t="shared" ca="1" si="865"/>
        <v>MASTRO</v>
      </c>
      <c r="CZ439" s="259" t="e">
        <f t="shared" ca="1" si="869"/>
        <v>#N/A</v>
      </c>
      <c r="DA439" s="259" t="str">
        <f t="shared" ca="1" si="874"/>
        <v/>
      </c>
      <c r="DB439" s="259" t="str">
        <f t="shared" ca="1" si="870"/>
        <v/>
      </c>
      <c r="DC439" s="259" t="str">
        <f t="shared" ca="1" si="871"/>
        <v/>
      </c>
      <c r="DD439" s="259" t="str">
        <f t="shared" ca="1" si="872"/>
        <v/>
      </c>
      <c r="DE439" s="259" t="str">
        <f t="shared" ca="1" si="873"/>
        <v/>
      </c>
      <c r="DF439" s="259">
        <f ca="1">IF(AND(CX439=$DE$2,$DF$2&lt;&gt;0),0,IF(AND(DB439&lt;&gt;"",OR(DB438&lt;&gt;"",DB440&lt;&gt;"")),MAX($DF$2:DF438)+1,0))</f>
        <v>0</v>
      </c>
      <c r="EC439" s="259">
        <f>IF(IF(DG439&lt;&gt;"",REPLACE(DG439,3,1,""),0)&lt;&gt;0,MAX(EC$2:EC438)+1,0)</f>
        <v>0</v>
      </c>
      <c r="ED439" s="259">
        <f t="shared" ca="1" si="815"/>
        <v>0</v>
      </c>
      <c r="EL439" s="259">
        <f t="shared" si="822"/>
        <v>437</v>
      </c>
      <c r="EM439" s="259">
        <f ca="1">IF(AND(BA439&gt;0,BA439&lt;=$EM$1),MAX($EM$2:EM438)+1,0)</f>
        <v>0</v>
      </c>
      <c r="EN439" s="259">
        <f t="shared" ca="1" si="823"/>
        <v>439</v>
      </c>
      <c r="EP439" s="259" t="str">
        <f t="shared" ca="1" si="816"/>
        <v/>
      </c>
    </row>
    <row r="440" spans="52:146">
      <c r="AZ440" s="259" t="str">
        <f t="shared" ca="1" si="840"/>
        <v/>
      </c>
      <c r="BA440" s="259">
        <f t="shared" ca="1" si="864"/>
        <v>0</v>
      </c>
      <c r="BB440" s="259">
        <f t="shared" ca="1" si="841"/>
        <v>0</v>
      </c>
      <c r="BC440" s="259">
        <f t="shared" ca="1" si="842"/>
        <v>0</v>
      </c>
      <c r="BD440" s="259">
        <f t="shared" ca="1" si="843"/>
        <v>0</v>
      </c>
      <c r="BE440" s="259">
        <f t="shared" ca="1" si="844"/>
        <v>0</v>
      </c>
      <c r="BQ440" s="259" t="str">
        <f ca="1">IFERROR(INDEX($BN$3:$BO$200,MATCH(ROWS(BQ$3:BQ440),$BP$3:$BP$220,0),1),"")</f>
        <v/>
      </c>
      <c r="CX440" s="259">
        <f t="shared" ca="1" si="867"/>
        <v>25</v>
      </c>
      <c r="CY440" s="259" t="str">
        <f t="shared" ca="1" si="865"/>
        <v>MASTRO</v>
      </c>
      <c r="CZ440" s="259" t="e">
        <f t="shared" ca="1" si="869"/>
        <v>#N/A</v>
      </c>
      <c r="DA440" s="259" t="str">
        <f t="shared" ca="1" si="874"/>
        <v/>
      </c>
      <c r="DB440" s="259" t="str">
        <f t="shared" ca="1" si="870"/>
        <v/>
      </c>
      <c r="DC440" s="259" t="str">
        <f t="shared" ca="1" si="871"/>
        <v/>
      </c>
      <c r="DD440" s="259" t="str">
        <f t="shared" ca="1" si="872"/>
        <v/>
      </c>
      <c r="DE440" s="259" t="str">
        <f t="shared" ca="1" si="873"/>
        <v/>
      </c>
      <c r="DF440" s="259">
        <f ca="1">IF(AND(CX440=$DE$2,$DF$2&lt;&gt;0),0,IF(AND(DB440&lt;&gt;"",OR(DB439&lt;&gt;"",DB441&lt;&gt;"")),MAX($DF$2:DF439)+1,0))</f>
        <v>0</v>
      </c>
      <c r="EC440" s="259">
        <f>IF(IF(DG440&lt;&gt;"",REPLACE(DG440,3,1,""),0)&lt;&gt;0,MAX(EC$2:EC439)+1,0)</f>
        <v>0</v>
      </c>
      <c r="ED440" s="259">
        <f t="shared" ca="1" si="815"/>
        <v>0</v>
      </c>
      <c r="EL440" s="259">
        <f t="shared" si="822"/>
        <v>438</v>
      </c>
      <c r="EM440" s="259">
        <f ca="1">IF(AND(BA440&gt;0,BA440&lt;=$EM$1),MAX($EM$2:EM439)+1,0)</f>
        <v>0</v>
      </c>
      <c r="EN440" s="259">
        <f t="shared" ca="1" si="823"/>
        <v>440</v>
      </c>
      <c r="EP440" s="259" t="str">
        <f t="shared" ca="1" si="816"/>
        <v/>
      </c>
    </row>
    <row r="441" spans="52:146">
      <c r="AZ441" s="259" t="str">
        <f t="shared" ca="1" si="840"/>
        <v/>
      </c>
      <c r="BA441" s="259">
        <f t="shared" ca="1" si="864"/>
        <v>0</v>
      </c>
      <c r="BB441" s="259">
        <f t="shared" ca="1" si="841"/>
        <v>0</v>
      </c>
      <c r="BC441" s="259">
        <f t="shared" ca="1" si="842"/>
        <v>0</v>
      </c>
      <c r="BD441" s="259">
        <f t="shared" ca="1" si="843"/>
        <v>0</v>
      </c>
      <c r="BE441" s="259">
        <f t="shared" ca="1" si="844"/>
        <v>0</v>
      </c>
      <c r="BQ441" s="259" t="str">
        <f ca="1">IFERROR(INDEX($BN$3:$BO$200,MATCH(ROWS(BQ$3:BQ441),$BP$3:$BP$220,0),1),"")</f>
        <v/>
      </c>
      <c r="CX441" s="259">
        <f t="shared" ca="1" si="867"/>
        <v>25</v>
      </c>
      <c r="CY441" s="259" t="str">
        <f t="shared" ca="1" si="865"/>
        <v>MASTRO</v>
      </c>
      <c r="CZ441" s="259" t="e">
        <f t="shared" ca="1" si="869"/>
        <v>#N/A</v>
      </c>
      <c r="DA441" s="259" t="str">
        <f t="shared" ca="1" si="874"/>
        <v/>
      </c>
      <c r="DB441" s="259" t="str">
        <f t="shared" ca="1" si="870"/>
        <v/>
      </c>
      <c r="DC441" s="259" t="str">
        <f t="shared" ca="1" si="871"/>
        <v/>
      </c>
      <c r="DD441" s="259" t="str">
        <f t="shared" ca="1" si="872"/>
        <v/>
      </c>
      <c r="DE441" s="259" t="str">
        <f t="shared" ca="1" si="873"/>
        <v/>
      </c>
      <c r="DF441" s="259">
        <f ca="1">IF(AND(CX441=$DE$2,$DF$2&lt;&gt;0),0,IF(AND(DB441&lt;&gt;"",OR(DB440&lt;&gt;"",DB442&lt;&gt;"")),MAX($DF$2:DF440)+1,0))</f>
        <v>0</v>
      </c>
      <c r="EC441" s="259">
        <f>IF(IF(DG441&lt;&gt;"",REPLACE(DG441,3,1,""),0)&lt;&gt;0,MAX(EC$2:EC440)+1,0)</f>
        <v>0</v>
      </c>
      <c r="ED441" s="259">
        <f t="shared" ca="1" si="815"/>
        <v>0</v>
      </c>
      <c r="EL441" s="259">
        <f t="shared" si="822"/>
        <v>439</v>
      </c>
      <c r="EM441" s="259">
        <f ca="1">IF(AND(BA441&gt;0,BA441&lt;=$EM$1),MAX($EM$2:EM440)+1,0)</f>
        <v>0</v>
      </c>
      <c r="EN441" s="259">
        <f t="shared" ca="1" si="823"/>
        <v>441</v>
      </c>
      <c r="EP441" s="259" t="str">
        <f t="shared" ca="1" si="816"/>
        <v/>
      </c>
    </row>
    <row r="442" spans="52:146">
      <c r="AZ442" s="259" t="str">
        <f t="shared" ca="1" si="840"/>
        <v/>
      </c>
      <c r="BA442" s="259">
        <f t="shared" ca="1" si="864"/>
        <v>0</v>
      </c>
      <c r="BB442" s="259">
        <f t="shared" ca="1" si="841"/>
        <v>0</v>
      </c>
      <c r="BC442" s="259">
        <f t="shared" ca="1" si="842"/>
        <v>0</v>
      </c>
      <c r="BD442" s="259">
        <f t="shared" ca="1" si="843"/>
        <v>0</v>
      </c>
      <c r="BE442" s="259">
        <f t="shared" ca="1" si="844"/>
        <v>0</v>
      </c>
      <c r="BQ442" s="259" t="str">
        <f ca="1">IFERROR(INDEX($BN$3:$BO$200,MATCH(ROWS(BQ$3:BQ442),$BP$3:$BP$220,0),1),"")</f>
        <v/>
      </c>
      <c r="CX442" s="259">
        <f t="shared" ca="1" si="867"/>
        <v>25</v>
      </c>
      <c r="CY442" s="259" t="str">
        <f t="shared" ca="1" si="865"/>
        <v>MASTRO</v>
      </c>
      <c r="CZ442" s="259" t="e">
        <f t="shared" ca="1" si="869"/>
        <v>#N/A</v>
      </c>
      <c r="DA442" s="259" t="str">
        <f t="shared" ca="1" si="874"/>
        <v/>
      </c>
      <c r="DB442" s="259" t="str">
        <f t="shared" ca="1" si="870"/>
        <v/>
      </c>
      <c r="DC442" s="259" t="str">
        <f t="shared" ca="1" si="871"/>
        <v/>
      </c>
      <c r="DD442" s="259" t="str">
        <f t="shared" ca="1" si="872"/>
        <v/>
      </c>
      <c r="DE442" s="259" t="str">
        <f t="shared" ca="1" si="873"/>
        <v/>
      </c>
      <c r="DF442" s="259">
        <f ca="1">IF(AND(CX442=$DE$2,$DF$2&lt;&gt;0),0,IF(AND(DB442&lt;&gt;"",OR(DB441&lt;&gt;"",DB443&lt;&gt;"")),MAX($DF$2:DF441)+1,0))</f>
        <v>0</v>
      </c>
      <c r="EC442" s="259">
        <f>IF(IF(DG442&lt;&gt;"",REPLACE(DG442,3,1,""),0)&lt;&gt;0,MAX(EC$2:EC441)+1,0)</f>
        <v>0</v>
      </c>
      <c r="ED442" s="259">
        <f t="shared" ca="1" si="815"/>
        <v>0</v>
      </c>
      <c r="EL442" s="259">
        <f t="shared" si="822"/>
        <v>440</v>
      </c>
      <c r="EM442" s="259">
        <f ca="1">IF(AND(BA442&gt;0,BA442&lt;=$EM$1),MAX($EM$2:EM441)+1,0)</f>
        <v>0</v>
      </c>
      <c r="EN442" s="259">
        <f t="shared" ca="1" si="823"/>
        <v>442</v>
      </c>
      <c r="EP442" s="259" t="str">
        <f t="shared" ca="1" si="816"/>
        <v/>
      </c>
    </row>
    <row r="443" spans="52:146">
      <c r="AZ443" s="259" t="str">
        <f t="shared" ca="1" si="840"/>
        <v/>
      </c>
      <c r="BA443" s="259">
        <f t="shared" ca="1" si="864"/>
        <v>0</v>
      </c>
      <c r="BB443" s="259">
        <f t="shared" ca="1" si="841"/>
        <v>0</v>
      </c>
      <c r="BC443" s="259">
        <f t="shared" ca="1" si="842"/>
        <v>0</v>
      </c>
      <c r="BD443" s="259">
        <f t="shared" ca="1" si="843"/>
        <v>0</v>
      </c>
      <c r="BE443" s="259">
        <f t="shared" ca="1" si="844"/>
        <v>0</v>
      </c>
      <c r="BQ443" s="259" t="str">
        <f ca="1">IFERROR(INDEX($BN$3:$BO$200,MATCH(ROWS(BQ$3:BQ443),$BP$3:$BP$220,0),1),"")</f>
        <v/>
      </c>
      <c r="CX443" s="259">
        <f t="shared" ca="1" si="867"/>
        <v>25</v>
      </c>
      <c r="CY443" s="259" t="str">
        <f t="shared" ca="1" si="865"/>
        <v>MASTRO</v>
      </c>
      <c r="CZ443" s="259" t="e">
        <f t="shared" ca="1" si="869"/>
        <v>#N/A</v>
      </c>
      <c r="DA443" s="259" t="str">
        <f t="shared" ca="1" si="874"/>
        <v/>
      </c>
      <c r="DB443" s="259" t="str">
        <f t="shared" ca="1" si="870"/>
        <v/>
      </c>
      <c r="DC443" s="259" t="str">
        <f t="shared" ca="1" si="871"/>
        <v/>
      </c>
      <c r="DD443" s="259" t="str">
        <f t="shared" ca="1" si="872"/>
        <v/>
      </c>
      <c r="DE443" s="259" t="str">
        <f t="shared" ca="1" si="873"/>
        <v/>
      </c>
      <c r="DF443" s="259">
        <f ca="1">IF(AND(CX443=$DE$2,$DF$2&lt;&gt;0),0,IF(AND(DB443&lt;&gt;"",OR(DB442&lt;&gt;"",DB444&lt;&gt;"")),MAX($DF$2:DF442)+1,0))</f>
        <v>0</v>
      </c>
      <c r="EC443" s="259">
        <f>IF(IF(DG443&lt;&gt;"",REPLACE(DG443,3,1,""),0)&lt;&gt;0,MAX(EC$2:EC442)+1,0)</f>
        <v>0</v>
      </c>
      <c r="ED443" s="259">
        <f t="shared" ca="1" si="815"/>
        <v>0</v>
      </c>
      <c r="EL443" s="259">
        <f t="shared" si="822"/>
        <v>441</v>
      </c>
      <c r="EM443" s="259">
        <f ca="1">IF(AND(BA443&gt;0,BA443&lt;=$EM$1),MAX($EM$2:EM442)+1,0)</f>
        <v>0</v>
      </c>
      <c r="EN443" s="259">
        <f t="shared" ca="1" si="823"/>
        <v>443</v>
      </c>
      <c r="EP443" s="259" t="str">
        <f t="shared" ca="1" si="816"/>
        <v/>
      </c>
    </row>
    <row r="444" spans="52:146">
      <c r="AZ444" s="259" t="str">
        <f t="shared" ca="1" si="840"/>
        <v/>
      </c>
      <c r="BA444" s="259">
        <f t="shared" ca="1" si="864"/>
        <v>0</v>
      </c>
      <c r="BB444" s="259">
        <f t="shared" ca="1" si="841"/>
        <v>0</v>
      </c>
      <c r="BC444" s="259">
        <f t="shared" ca="1" si="842"/>
        <v>0</v>
      </c>
      <c r="BD444" s="259">
        <f t="shared" ca="1" si="843"/>
        <v>0</v>
      </c>
      <c r="BE444" s="259">
        <f t="shared" ca="1" si="844"/>
        <v>0</v>
      </c>
      <c r="BQ444" s="259" t="str">
        <f ca="1">IFERROR(INDEX($BN$3:$BO$200,MATCH(ROWS(BQ$3:BQ444),$BP$3:$BP$220,0),1),"")</f>
        <v/>
      </c>
      <c r="CX444" s="259">
        <f t="shared" ca="1" si="867"/>
        <v>25</v>
      </c>
      <c r="CY444" s="259" t="str">
        <f t="shared" ca="1" si="865"/>
        <v>MASTRO</v>
      </c>
      <c r="CZ444" s="259" t="e">
        <f t="shared" ca="1" si="869"/>
        <v>#N/A</v>
      </c>
      <c r="DA444" s="259" t="str">
        <f t="shared" ca="1" si="874"/>
        <v/>
      </c>
      <c r="DB444" s="259" t="str">
        <f t="shared" ca="1" si="870"/>
        <v/>
      </c>
      <c r="DC444" s="259" t="str">
        <f t="shared" ca="1" si="871"/>
        <v/>
      </c>
      <c r="DD444" s="259" t="str">
        <f t="shared" ca="1" si="872"/>
        <v/>
      </c>
      <c r="DE444" s="259" t="str">
        <f t="shared" ca="1" si="873"/>
        <v/>
      </c>
      <c r="DF444" s="259">
        <f ca="1">IF(AND(CX444=$DE$2,$DF$2&lt;&gt;0),0,IF(AND(DB444&lt;&gt;"",OR(DB443&lt;&gt;"",DB445&lt;&gt;"")),MAX($DF$2:DF443)+1,0))</f>
        <v>0</v>
      </c>
      <c r="EC444" s="259">
        <f>IF(IF(DG444&lt;&gt;"",REPLACE(DG444,3,1,""),0)&lt;&gt;0,MAX(EC$2:EC443)+1,0)</f>
        <v>0</v>
      </c>
      <c r="ED444" s="259">
        <f t="shared" ca="1" si="815"/>
        <v>0</v>
      </c>
      <c r="EL444" s="259">
        <f t="shared" si="822"/>
        <v>442</v>
      </c>
      <c r="EM444" s="259">
        <f ca="1">IF(AND(BA444&gt;0,BA444&lt;=$EM$1),MAX($EM$2:EM443)+1,0)</f>
        <v>0</v>
      </c>
      <c r="EN444" s="259">
        <f t="shared" ca="1" si="823"/>
        <v>444</v>
      </c>
      <c r="EP444" s="259" t="str">
        <f t="shared" ca="1" si="816"/>
        <v/>
      </c>
    </row>
    <row r="445" spans="52:146">
      <c r="AZ445" s="259" t="str">
        <f t="shared" ca="1" si="840"/>
        <v/>
      </c>
      <c r="BA445" s="259">
        <f t="shared" ca="1" si="864"/>
        <v>0</v>
      </c>
      <c r="BB445" s="259">
        <f t="shared" ca="1" si="841"/>
        <v>0</v>
      </c>
      <c r="BC445" s="259">
        <f t="shared" ca="1" si="842"/>
        <v>0</v>
      </c>
      <c r="BD445" s="259">
        <f t="shared" ca="1" si="843"/>
        <v>0</v>
      </c>
      <c r="BE445" s="259">
        <f t="shared" ca="1" si="844"/>
        <v>0</v>
      </c>
      <c r="BQ445" s="259" t="str">
        <f ca="1">IFERROR(INDEX($BN$3:$BO$200,MATCH(ROWS(BQ$3:BQ445),$BP$3:$BP$220,0),1),"")</f>
        <v/>
      </c>
      <c r="CX445" s="259">
        <f t="shared" ca="1" si="867"/>
        <v>25</v>
      </c>
      <c r="CY445" s="259" t="str">
        <f t="shared" ca="1" si="865"/>
        <v>MASTRO</v>
      </c>
      <c r="CZ445" s="259" t="e">
        <f t="shared" ca="1" si="869"/>
        <v>#N/A</v>
      </c>
      <c r="DA445" s="259" t="str">
        <f t="shared" ca="1" si="874"/>
        <v/>
      </c>
      <c r="DB445" s="259" t="str">
        <f t="shared" ca="1" si="870"/>
        <v/>
      </c>
      <c r="DC445" s="259" t="str">
        <f t="shared" ca="1" si="871"/>
        <v/>
      </c>
      <c r="DD445" s="259" t="str">
        <f t="shared" ca="1" si="872"/>
        <v/>
      </c>
      <c r="DE445" s="259" t="str">
        <f t="shared" ca="1" si="873"/>
        <v/>
      </c>
      <c r="DF445" s="259">
        <f ca="1">IF(AND(CX445=$DE$2,$DF$2&lt;&gt;0),0,IF(AND(DB445&lt;&gt;"",OR(DB444&lt;&gt;"",DB446&lt;&gt;"")),MAX($DF$2:DF444)+1,0))</f>
        <v>0</v>
      </c>
      <c r="EC445" s="259">
        <f>IF(IF(DG445&lt;&gt;"",REPLACE(DG445,3,1,""),0)&lt;&gt;0,MAX(EC$2:EC444)+1,0)</f>
        <v>0</v>
      </c>
      <c r="ED445" s="259">
        <f t="shared" ca="1" si="815"/>
        <v>0</v>
      </c>
      <c r="EL445" s="259">
        <f t="shared" si="822"/>
        <v>443</v>
      </c>
      <c r="EM445" s="259">
        <f ca="1">IF(AND(BA445&gt;0,BA445&lt;=$EM$1),MAX($EM$2:EM444)+1,0)</f>
        <v>0</v>
      </c>
      <c r="EN445" s="259">
        <f t="shared" ca="1" si="823"/>
        <v>445</v>
      </c>
      <c r="EP445" s="259" t="str">
        <f t="shared" ca="1" si="816"/>
        <v/>
      </c>
    </row>
    <row r="446" spans="52:146">
      <c r="AZ446" s="259" t="str">
        <f t="shared" ca="1" si="840"/>
        <v/>
      </c>
      <c r="BA446" s="259">
        <f t="shared" ca="1" si="864"/>
        <v>0</v>
      </c>
      <c r="BB446" s="259">
        <f t="shared" ca="1" si="841"/>
        <v>0</v>
      </c>
      <c r="BC446" s="259">
        <f t="shared" ca="1" si="842"/>
        <v>0</v>
      </c>
      <c r="BD446" s="259">
        <f t="shared" ca="1" si="843"/>
        <v>0</v>
      </c>
      <c r="BE446" s="259">
        <f t="shared" ca="1" si="844"/>
        <v>0</v>
      </c>
      <c r="BQ446" s="259" t="str">
        <f ca="1">IFERROR(INDEX($BN$3:$BO$200,MATCH(ROWS(BQ$3:BQ446),$BP$3:$BP$220,0),1),"")</f>
        <v/>
      </c>
      <c r="CX446" s="259">
        <f t="shared" ca="1" si="867"/>
        <v>25</v>
      </c>
      <c r="CY446" s="259" t="str">
        <f t="shared" ca="1" si="865"/>
        <v>MASTRO</v>
      </c>
      <c r="CZ446" s="259" t="e">
        <f t="shared" ca="1" si="869"/>
        <v>#N/A</v>
      </c>
      <c r="DA446" s="259" t="str">
        <f t="shared" ca="1" si="874"/>
        <v/>
      </c>
      <c r="DB446" s="259" t="str">
        <f t="shared" ca="1" si="870"/>
        <v/>
      </c>
      <c r="DC446" s="259" t="str">
        <f t="shared" ca="1" si="871"/>
        <v/>
      </c>
      <c r="DD446" s="259" t="str">
        <f t="shared" ca="1" si="872"/>
        <v/>
      </c>
      <c r="DE446" s="259" t="str">
        <f t="shared" ca="1" si="873"/>
        <v/>
      </c>
      <c r="DF446" s="259">
        <f ca="1">IF(AND(CX446=$DE$2,$DF$2&lt;&gt;0),0,IF(AND(DB446&lt;&gt;"",OR(DB445&lt;&gt;"",DB447&lt;&gt;"")),MAX($DF$2:DF445)+1,0))</f>
        <v>0</v>
      </c>
      <c r="EC446" s="259">
        <f>IF(IF(DG446&lt;&gt;"",REPLACE(DG446,3,1,""),0)&lt;&gt;0,MAX(EC$2:EC445)+1,0)</f>
        <v>0</v>
      </c>
      <c r="ED446" s="259">
        <f t="shared" ca="1" si="815"/>
        <v>0</v>
      </c>
      <c r="EL446" s="259">
        <f t="shared" si="822"/>
        <v>444</v>
      </c>
      <c r="EM446" s="259">
        <f ca="1">IF(AND(BA446&gt;0,BA446&lt;=$EM$1),MAX($EM$2:EM445)+1,0)</f>
        <v>0</v>
      </c>
      <c r="EN446" s="259">
        <f t="shared" ca="1" si="823"/>
        <v>446</v>
      </c>
      <c r="EP446" s="259" t="str">
        <f t="shared" ca="1" si="816"/>
        <v/>
      </c>
    </row>
    <row r="447" spans="52:146">
      <c r="AZ447" s="259" t="str">
        <f t="shared" ca="1" si="840"/>
        <v/>
      </c>
      <c r="BA447" s="259">
        <f t="shared" ca="1" si="864"/>
        <v>0</v>
      </c>
      <c r="BB447" s="259">
        <f t="shared" ca="1" si="841"/>
        <v>0</v>
      </c>
      <c r="BC447" s="259">
        <f t="shared" ca="1" si="842"/>
        <v>0</v>
      </c>
      <c r="BD447" s="259">
        <f t="shared" ca="1" si="843"/>
        <v>0</v>
      </c>
      <c r="BE447" s="259">
        <f t="shared" ca="1" si="844"/>
        <v>0</v>
      </c>
      <c r="BQ447" s="259" t="str">
        <f ca="1">IFERROR(INDEX($BN$3:$BO$200,MATCH(ROWS(BQ$3:BQ447),$BP$3:$BP$220,0),1),"")</f>
        <v/>
      </c>
      <c r="CX447" s="259">
        <f t="shared" ca="1" si="867"/>
        <v>25</v>
      </c>
      <c r="CY447" s="259" t="str">
        <f t="shared" ca="1" si="865"/>
        <v>MASTRO</v>
      </c>
      <c r="CZ447" s="259" t="e">
        <f t="shared" ca="1" si="869"/>
        <v>#N/A</v>
      </c>
      <c r="DA447" s="259" t="str">
        <f t="shared" ca="1" si="874"/>
        <v/>
      </c>
      <c r="DB447" s="259" t="str">
        <f t="shared" ca="1" si="870"/>
        <v/>
      </c>
      <c r="DC447" s="259" t="str">
        <f t="shared" ca="1" si="871"/>
        <v/>
      </c>
      <c r="DD447" s="259" t="str">
        <f t="shared" ca="1" si="872"/>
        <v/>
      </c>
      <c r="DE447" s="259" t="str">
        <f t="shared" ca="1" si="873"/>
        <v/>
      </c>
      <c r="DF447" s="259">
        <f ca="1">IF(AND(CX447=$DE$2,$DF$2&lt;&gt;0),0,IF(AND(DB447&lt;&gt;"",OR(DB446&lt;&gt;"",DB448&lt;&gt;"")),MAX($DF$2:DF446)+1,0))</f>
        <v>0</v>
      </c>
      <c r="EC447" s="259">
        <f>IF(IF(DG447&lt;&gt;"",REPLACE(DG447,3,1,""),0)&lt;&gt;0,MAX(EC$2:EC446)+1,0)</f>
        <v>0</v>
      </c>
      <c r="ED447" s="259">
        <f t="shared" ca="1" si="815"/>
        <v>0</v>
      </c>
      <c r="EL447" s="259">
        <f t="shared" si="822"/>
        <v>445</v>
      </c>
      <c r="EM447" s="259">
        <f ca="1">IF(AND(BA447&gt;0,BA447&lt;=$EM$1),MAX($EM$2:EM446)+1,0)</f>
        <v>0</v>
      </c>
      <c r="EN447" s="259">
        <f t="shared" ca="1" si="823"/>
        <v>447</v>
      </c>
      <c r="EP447" s="259" t="str">
        <f t="shared" ca="1" si="816"/>
        <v/>
      </c>
    </row>
    <row r="448" spans="52:146">
      <c r="AZ448" s="259" t="str">
        <f t="shared" ca="1" si="840"/>
        <v/>
      </c>
      <c r="BA448" s="259">
        <f t="shared" ca="1" si="864"/>
        <v>0</v>
      </c>
      <c r="BB448" s="259">
        <f t="shared" ca="1" si="841"/>
        <v>0</v>
      </c>
      <c r="BC448" s="259">
        <f t="shared" ca="1" si="842"/>
        <v>0</v>
      </c>
      <c r="BD448" s="259">
        <f t="shared" ca="1" si="843"/>
        <v>0</v>
      </c>
      <c r="BE448" s="259">
        <f t="shared" ca="1" si="844"/>
        <v>0</v>
      </c>
      <c r="BQ448" s="259" t="str">
        <f ca="1">IFERROR(INDEX($BN$3:$BO$200,MATCH(ROWS(BQ$3:BQ448),$BP$3:$BP$220,0),1),"")</f>
        <v/>
      </c>
      <c r="CX448" s="259">
        <f t="shared" ca="1" si="867"/>
        <v>25</v>
      </c>
      <c r="CY448" s="259" t="str">
        <f t="shared" ca="1" si="865"/>
        <v>MASTRO</v>
      </c>
      <c r="CZ448" s="259" t="e">
        <f t="shared" ca="1" si="869"/>
        <v>#N/A</v>
      </c>
      <c r="DA448" s="259" t="str">
        <f t="shared" ca="1" si="874"/>
        <v/>
      </c>
      <c r="DB448" s="259" t="str">
        <f t="shared" ca="1" si="870"/>
        <v/>
      </c>
      <c r="DC448" s="259" t="str">
        <f t="shared" ca="1" si="871"/>
        <v/>
      </c>
      <c r="DD448" s="259" t="str">
        <f t="shared" ca="1" si="872"/>
        <v/>
      </c>
      <c r="DE448" s="259" t="str">
        <f t="shared" ca="1" si="873"/>
        <v/>
      </c>
      <c r="DF448" s="259">
        <f ca="1">IF(AND(CX448=$DE$2,$DF$2&lt;&gt;0),0,IF(AND(DB448&lt;&gt;"",OR(DB447&lt;&gt;"",DB449&lt;&gt;"")),MAX($DF$2:DF447)+1,0))</f>
        <v>0</v>
      </c>
      <c r="EC448" s="259">
        <f>IF(IF(DG448&lt;&gt;"",REPLACE(DG448,3,1,""),0)&lt;&gt;0,MAX(EC$2:EC447)+1,0)</f>
        <v>0</v>
      </c>
      <c r="ED448" s="259">
        <f t="shared" ca="1" si="815"/>
        <v>0</v>
      </c>
      <c r="EL448" s="259">
        <f t="shared" si="822"/>
        <v>446</v>
      </c>
      <c r="EM448" s="259">
        <f ca="1">IF(AND(BA448&gt;0,BA448&lt;=$EM$1),MAX($EM$2:EM447)+1,0)</f>
        <v>0</v>
      </c>
      <c r="EN448" s="259">
        <f t="shared" ca="1" si="823"/>
        <v>448</v>
      </c>
      <c r="EP448" s="259" t="str">
        <f t="shared" ca="1" si="816"/>
        <v/>
      </c>
    </row>
    <row r="449" spans="52:146">
      <c r="AZ449" s="259" t="str">
        <f t="shared" ca="1" si="840"/>
        <v/>
      </c>
      <c r="BA449" s="259">
        <f t="shared" ca="1" si="864"/>
        <v>0</v>
      </c>
      <c r="BB449" s="259">
        <f t="shared" ca="1" si="841"/>
        <v>0</v>
      </c>
      <c r="BC449" s="259">
        <f t="shared" ca="1" si="842"/>
        <v>0</v>
      </c>
      <c r="BD449" s="259">
        <f t="shared" ca="1" si="843"/>
        <v>0</v>
      </c>
      <c r="BE449" s="259">
        <f t="shared" ca="1" si="844"/>
        <v>0</v>
      </c>
      <c r="BQ449" s="259" t="str">
        <f ca="1">IFERROR(INDEX($BN$3:$BO$200,MATCH(ROWS(BQ$3:BQ449),$BP$3:$BP$220,0),1),"")</f>
        <v/>
      </c>
      <c r="CX449" s="259">
        <f t="shared" ca="1" si="867"/>
        <v>25</v>
      </c>
      <c r="CY449" s="259" t="str">
        <f t="shared" ca="1" si="865"/>
        <v>MASTRO</v>
      </c>
      <c r="CZ449" s="259" t="e">
        <f t="shared" ca="1" si="869"/>
        <v>#N/A</v>
      </c>
      <c r="DA449" s="259" t="str">
        <f t="shared" ca="1" si="874"/>
        <v/>
      </c>
      <c r="DB449" s="259" t="str">
        <f t="shared" ca="1" si="870"/>
        <v/>
      </c>
      <c r="DC449" s="259" t="str">
        <f t="shared" ca="1" si="871"/>
        <v/>
      </c>
      <c r="DD449" s="259" t="str">
        <f t="shared" ca="1" si="872"/>
        <v/>
      </c>
      <c r="DE449" s="259" t="str">
        <f t="shared" ca="1" si="873"/>
        <v/>
      </c>
      <c r="DF449" s="259">
        <f ca="1">IF(AND(CX449=$DE$2,$DF$2&lt;&gt;0),0,IF(AND(DB449&lt;&gt;"",OR(DB448&lt;&gt;"",DB450&lt;&gt;"")),MAX($DF$2:DF448)+1,0))</f>
        <v>0</v>
      </c>
      <c r="EC449" s="259">
        <f>IF(IF(DG449&lt;&gt;"",REPLACE(DG449,3,1,""),0)&lt;&gt;0,MAX(EC$2:EC448)+1,0)</f>
        <v>0</v>
      </c>
      <c r="ED449" s="259">
        <f t="shared" ca="1" si="815"/>
        <v>0</v>
      </c>
      <c r="EL449" s="259">
        <f t="shared" si="822"/>
        <v>447</v>
      </c>
      <c r="EM449" s="259">
        <f ca="1">IF(AND(BA449&gt;0,BA449&lt;=$EM$1),MAX($EM$2:EM448)+1,0)</f>
        <v>0</v>
      </c>
      <c r="EN449" s="259">
        <f t="shared" ca="1" si="823"/>
        <v>449</v>
      </c>
      <c r="EP449" s="259" t="str">
        <f t="shared" ca="1" si="816"/>
        <v/>
      </c>
    </row>
    <row r="450" spans="52:146">
      <c r="AZ450" s="259" t="str">
        <f t="shared" ca="1" si="840"/>
        <v/>
      </c>
      <c r="BA450" s="259">
        <f t="shared" ca="1" si="864"/>
        <v>0</v>
      </c>
      <c r="BB450" s="259">
        <f t="shared" ca="1" si="841"/>
        <v>0</v>
      </c>
      <c r="BC450" s="259">
        <f t="shared" ca="1" si="842"/>
        <v>0</v>
      </c>
      <c r="BD450" s="259">
        <f t="shared" ca="1" si="843"/>
        <v>0</v>
      </c>
      <c r="BE450" s="259">
        <f t="shared" ca="1" si="844"/>
        <v>0</v>
      </c>
      <c r="BQ450" s="259" t="str">
        <f ca="1">IFERROR(INDEX($BN$3:$BO$200,MATCH(ROWS(BQ$3:BQ450),$BP$3:$BP$220,0),1),"")</f>
        <v/>
      </c>
      <c r="CX450" s="259">
        <f t="shared" ca="1" si="867"/>
        <v>25</v>
      </c>
      <c r="CY450" s="259" t="str">
        <f t="shared" ca="1" si="865"/>
        <v>MASTRO</v>
      </c>
      <c r="CZ450" s="259" t="e">
        <f t="shared" ca="1" si="869"/>
        <v>#N/A</v>
      </c>
      <c r="DA450" s="259" t="str">
        <f t="shared" ca="1" si="874"/>
        <v/>
      </c>
      <c r="DB450" s="259" t="str">
        <f t="shared" ca="1" si="870"/>
        <v/>
      </c>
      <c r="DC450" s="259" t="str">
        <f t="shared" ca="1" si="871"/>
        <v/>
      </c>
      <c r="DD450" s="259" t="str">
        <f t="shared" ca="1" si="872"/>
        <v/>
      </c>
      <c r="DE450" s="259" t="str">
        <f t="shared" ca="1" si="873"/>
        <v/>
      </c>
      <c r="DF450" s="259">
        <f ca="1">IF(AND(CX450=$DE$2,$DF$2&lt;&gt;0),0,IF(AND(DB450&lt;&gt;"",OR(DB449&lt;&gt;"",DB451&lt;&gt;"")),MAX($DF$2:DF449)+1,0))</f>
        <v>0</v>
      </c>
      <c r="EC450" s="259">
        <f>IF(IF(DG450&lt;&gt;"",REPLACE(DG450,3,1,""),0)&lt;&gt;0,MAX(EC$2:EC449)+1,0)</f>
        <v>0</v>
      </c>
      <c r="ED450" s="259">
        <f t="shared" ca="1" si="815"/>
        <v>0</v>
      </c>
      <c r="EL450" s="259">
        <f t="shared" si="822"/>
        <v>448</v>
      </c>
      <c r="EM450" s="259">
        <f ca="1">IF(AND(BA450&gt;0,BA450&lt;=$EM$1),MAX($EM$2:EM449)+1,0)</f>
        <v>0</v>
      </c>
      <c r="EN450" s="259">
        <f t="shared" ca="1" si="823"/>
        <v>450</v>
      </c>
      <c r="EP450" s="259" t="str">
        <f t="shared" ca="1" si="816"/>
        <v/>
      </c>
    </row>
    <row r="451" spans="52:146">
      <c r="AZ451" s="259" t="str">
        <f t="shared" ca="1" si="840"/>
        <v/>
      </c>
      <c r="BA451" s="259">
        <f t="shared" ca="1" si="864"/>
        <v>0</v>
      </c>
      <c r="BB451" s="259">
        <f t="shared" ca="1" si="841"/>
        <v>0</v>
      </c>
      <c r="BC451" s="259">
        <f t="shared" ca="1" si="842"/>
        <v>0</v>
      </c>
      <c r="BD451" s="259">
        <f t="shared" ca="1" si="843"/>
        <v>0</v>
      </c>
      <c r="BE451" s="259">
        <f t="shared" ca="1" si="844"/>
        <v>0</v>
      </c>
      <c r="BQ451" s="259" t="str">
        <f ca="1">IFERROR(INDEX($BN$3:$BO$200,MATCH(ROWS(BQ$3:BQ451),$BP$3:$BP$220,0),1),"")</f>
        <v/>
      </c>
      <c r="CX451" s="259">
        <f t="shared" ca="1" si="867"/>
        <v>25</v>
      </c>
      <c r="CY451" s="259" t="str">
        <f t="shared" ca="1" si="865"/>
        <v>MASTRO</v>
      </c>
      <c r="CZ451" s="259" t="e">
        <f t="shared" ca="1" si="869"/>
        <v>#N/A</v>
      </c>
      <c r="DA451" s="259" t="str">
        <f t="shared" ca="1" si="874"/>
        <v/>
      </c>
      <c r="DB451" s="259" t="str">
        <f t="shared" ca="1" si="870"/>
        <v/>
      </c>
      <c r="DC451" s="259" t="str">
        <f t="shared" ca="1" si="871"/>
        <v/>
      </c>
      <c r="DD451" s="259" t="str">
        <f t="shared" ca="1" si="872"/>
        <v/>
      </c>
      <c r="DE451" s="259" t="str">
        <f t="shared" ca="1" si="873"/>
        <v/>
      </c>
      <c r="DF451" s="259">
        <f ca="1">IF(AND(CX451=$DE$2,$DF$2&lt;&gt;0),0,IF(AND(DB451&lt;&gt;"",OR(DB450&lt;&gt;"",DB452&lt;&gt;"")),MAX($DF$2:DF450)+1,0))</f>
        <v>0</v>
      </c>
      <c r="EC451" s="259">
        <f>IF(IF(DG451&lt;&gt;"",REPLACE(DG451,3,1,""),0)&lt;&gt;0,MAX(EC$2:EC450)+1,0)</f>
        <v>0</v>
      </c>
      <c r="ED451" s="259">
        <f t="shared" ref="ED451:ED500" ca="1" si="875">IFERROR(INDEX(PIANO_DEI_CONTI,MATCH(BB451,DENOMINAZIONE,0),5),"")</f>
        <v>0</v>
      </c>
      <c r="EL451" s="259">
        <f t="shared" si="822"/>
        <v>449</v>
      </c>
      <c r="EM451" s="259">
        <f ca="1">IF(AND(BA451&gt;0,BA451&lt;=$EM$1),MAX($EM$2:EM450)+1,0)</f>
        <v>0</v>
      </c>
      <c r="EN451" s="259">
        <f t="shared" ca="1" si="823"/>
        <v>451</v>
      </c>
      <c r="EP451" s="259" t="str">
        <f t="shared" ref="EP451:EP500" ca="1" si="876">IFERROR(INDEX(PIANO_DEI_CONTI,MATCH(EZ451,DENOMINAZIONE,0),7),"")</f>
        <v/>
      </c>
    </row>
    <row r="452" spans="52:146">
      <c r="AZ452" s="259" t="str">
        <f t="shared" ca="1" si="840"/>
        <v/>
      </c>
      <c r="BA452" s="259">
        <f t="shared" ca="1" si="864"/>
        <v>0</v>
      </c>
      <c r="BB452" s="259">
        <f t="shared" ca="1" si="841"/>
        <v>0</v>
      </c>
      <c r="BC452" s="259">
        <f t="shared" ca="1" si="842"/>
        <v>0</v>
      </c>
      <c r="BD452" s="259">
        <f t="shared" ca="1" si="843"/>
        <v>0</v>
      </c>
      <c r="BE452" s="259">
        <f t="shared" ca="1" si="844"/>
        <v>0</v>
      </c>
      <c r="BQ452" s="259" t="str">
        <f ca="1">IFERROR(INDEX($BN$3:$BO$200,MATCH(ROWS(BQ$3:BQ452),$BP$3:$BP$220,0),1),"")</f>
        <v/>
      </c>
      <c r="CX452" s="259" t="str">
        <f>IFERROR(IF(CX434+1=1,"",(CX434+1)),"")</f>
        <v/>
      </c>
      <c r="CY452" s="259" t="str">
        <f t="shared" ca="1" si="865"/>
        <v>MASTRO</v>
      </c>
      <c r="DB452" s="259" t="str">
        <f t="shared" ref="DB452" ca="1" si="877">CY452</f>
        <v>MASTRO</v>
      </c>
      <c r="DF452" s="259">
        <f ca="1">IF(AND(CX452=$DE$2,$DF$2&lt;&gt;0),0,IF(AND(DB452&lt;&gt;"",OR(DB451&lt;&gt;"",DB453&lt;&gt;"")),MAX($DF$2:DF451)+1,0))</f>
        <v>0</v>
      </c>
      <c r="EC452" s="259">
        <f>IF(IF(DG452&lt;&gt;"",REPLACE(DG452,3,1,""),0)&lt;&gt;0,MAX(EC$2:EC451)+1,0)</f>
        <v>0</v>
      </c>
      <c r="ED452" s="259">
        <f t="shared" ca="1" si="875"/>
        <v>0</v>
      </c>
      <c r="EL452" s="259">
        <f t="shared" ref="EL452:EL500" si="878">ROW()-2</f>
        <v>450</v>
      </c>
      <c r="EM452" s="259">
        <f ca="1">IF(AND(BA452&gt;0,BA452&lt;=$EM$1),MAX($EM$2:EM451)+1,0)</f>
        <v>0</v>
      </c>
      <c r="EN452" s="259">
        <f t="shared" ref="EN452:EN500" ca="1" si="879">IF(EM452=$EL$1,ROW(),0)</f>
        <v>452</v>
      </c>
      <c r="EP452" s="259" t="str">
        <f t="shared" ca="1" si="876"/>
        <v/>
      </c>
    </row>
    <row r="453" spans="52:146">
      <c r="AZ453" s="259" t="str">
        <f t="shared" ca="1" si="840"/>
        <v/>
      </c>
      <c r="BA453" s="259">
        <f t="shared" ca="1" si="864"/>
        <v>0</v>
      </c>
      <c r="BB453" s="259">
        <f t="shared" ca="1" si="841"/>
        <v>0</v>
      </c>
      <c r="BC453" s="259">
        <f t="shared" ca="1" si="842"/>
        <v>0</v>
      </c>
      <c r="BD453" s="259">
        <f t="shared" ca="1" si="843"/>
        <v>0</v>
      </c>
      <c r="BE453" s="259">
        <f t="shared" ca="1" si="844"/>
        <v>0</v>
      </c>
      <c r="BQ453" s="259" t="str">
        <f ca="1">IFERROR(INDEX($BN$3:$BO$200,MATCH(ROWS(BQ$3:BQ453),$BP$3:$BP$220,0),1),"")</f>
        <v/>
      </c>
      <c r="CX453" s="259">
        <f ca="1">$EA$28</f>
        <v>26</v>
      </c>
      <c r="CY453" s="259" t="str">
        <f t="shared" ca="1" si="865"/>
        <v>MASTRO</v>
      </c>
      <c r="DA453" s="259" t="str">
        <f ca="1">IF(CY452="MASTRO","Conto n.","")</f>
        <v>Conto n.</v>
      </c>
      <c r="DB453" s="259" t="str">
        <f ca="1">IF(CY453=0,"",INDEX(PIANO_DEI_CONTI,MATCH(DC453,DENOMINAZIONE,0),1))</f>
        <v/>
      </c>
      <c r="DC453" s="259" t="str">
        <f ca="1">IF(OR(CY453=0,CY453="mastro"),"",CY453)</f>
        <v/>
      </c>
      <c r="DD453" s="259" t="str">
        <f ca="1">IF(AND($DA$2=TRUE,OR(INDEX(PIANO_DEI_CONTI,MATCH($DC453,DENOMINAZIONE,0),4)="A",INDEX(PIANO_DEI_CONTI,MATCH($DC453,DENOMINAZIONE,0),4)="D/A"),SUMIFS(AVERE,DENOMINAZIONE_GIORNALE,"="&amp;$DC453)&gt;SUMIFS(DARE,DENOMINAZIONE_GIORNALE,"="&amp;$DC453)),CONCATENATE("s ",FIXED(ABS(SUMIFS(AVERE,DENOMINAZIONE_GIORNALE,"="&amp;$DC453)-SUMIFS(DARE,DENOMINAZIONE_GIORNALE,"="&amp;$DC453)),2)),"")</f>
        <v/>
      </c>
      <c r="DE453" s="259" t="str">
        <f ca="1">IF(AND($DA$2=TRUE,OR(INDEX(PIANO_DEI_CONTI,MATCH($DC453,DENOMINAZIONE,0),4)="D",INDEX(PIANO_DEI_CONTI,MATCH($DC453,DENOMINAZIONE,0),4)="D/A"),SUMIFS(DARE,DENOMINAZIONE_GIORNALE,"="&amp;$DC453)&gt;SUMIFS(AVERE,DENOMINAZIONE_GIORNALE,"="&amp;$DC453)),CONCATENATE("s ",FIXED(ABS(SUMIFS(DARE,DENOMINAZIONE_GIORNALE,"="&amp;$DC453)-SUMIFS(AVERE,DENOMINAZIONE_GIORNALE,"="&amp;$DC453)),2)),"")</f>
        <v/>
      </c>
      <c r="DF453" s="259">
        <f ca="1">IF(AND(CX453=$DE$2,$DF$2&lt;&gt;0),0,IF(AND(DB453&lt;&gt;"",OR(DB452&lt;&gt;"",DB454&lt;&gt;"")),MAX($DF$2:DF452)+1,0))</f>
        <v>0</v>
      </c>
      <c r="EC453" s="259">
        <f>IF(IF(DG453&lt;&gt;"",REPLACE(DG453,3,1,""),0)&lt;&gt;0,MAX(EC$2:EC452)+1,0)</f>
        <v>0</v>
      </c>
      <c r="ED453" s="259">
        <f t="shared" ca="1" si="875"/>
        <v>0</v>
      </c>
      <c r="EL453" s="259">
        <f t="shared" si="878"/>
        <v>451</v>
      </c>
      <c r="EM453" s="259">
        <f ca="1">IF(AND(BA453&gt;0,BA453&lt;=$EM$1),MAX($EM$2:EM452)+1,0)</f>
        <v>0</v>
      </c>
      <c r="EN453" s="259">
        <f t="shared" ca="1" si="879"/>
        <v>453</v>
      </c>
      <c r="EP453" s="259" t="str">
        <f t="shared" ca="1" si="876"/>
        <v/>
      </c>
    </row>
    <row r="454" spans="52:146">
      <c r="AZ454" s="259" t="str">
        <f t="shared" ca="1" si="840"/>
        <v/>
      </c>
      <c r="BA454" s="259">
        <f t="shared" ca="1" si="864"/>
        <v>0</v>
      </c>
      <c r="BB454" s="259">
        <f t="shared" ca="1" si="841"/>
        <v>0</v>
      </c>
      <c r="BC454" s="259">
        <f t="shared" ca="1" si="842"/>
        <v>0</v>
      </c>
      <c r="BD454" s="259">
        <f t="shared" ca="1" si="843"/>
        <v>0</v>
      </c>
      <c r="BE454" s="259">
        <f t="shared" ca="1" si="844"/>
        <v>0</v>
      </c>
      <c r="BQ454" s="259" t="str">
        <f ca="1">IFERROR(INDEX($BN$3:$BO$200,MATCH(ROWS(BQ$3:BQ454),$BP$3:$BP$220,0),1),"")</f>
        <v/>
      </c>
      <c r="CX454" s="259">
        <f t="shared" ref="CX454:CX469" ca="1" si="880">$EA$28</f>
        <v>26</v>
      </c>
      <c r="CY454" s="259" t="str">
        <f t="shared" ca="1" si="865"/>
        <v>MASTRO</v>
      </c>
      <c r="DA454" s="259" t="str">
        <f ca="1">IF(DB453="","","Num. riga")</f>
        <v/>
      </c>
      <c r="DB454" s="259" t="str">
        <f t="shared" ref="DB454" ca="1" si="881">IF(DB453="","","Data")</f>
        <v/>
      </c>
      <c r="DC454" s="259" t="str">
        <f ca="1">IF(DB453="","","Operazioni")</f>
        <v/>
      </c>
      <c r="DD454" s="259" t="str">
        <f ca="1">IF(DB453="","","Dare        ")</f>
        <v/>
      </c>
      <c r="DE454" s="259" t="str">
        <f ca="1">IF(DB453="","","Avere        ")</f>
        <v/>
      </c>
      <c r="DF454" s="259">
        <f ca="1">IF(AND(CX454=$DE$2,$DF$2&lt;&gt;0),0,IF(AND(DB454&lt;&gt;"",OR(DB453&lt;&gt;"",DB455&lt;&gt;"")),MAX($DF$2:DF453)+1,0))</f>
        <v>0</v>
      </c>
      <c r="EC454" s="259">
        <f>IF(IF(DG454&lt;&gt;"",REPLACE(DG454,3,1,""),0)&lt;&gt;0,MAX(EC$2:EC453)+1,0)</f>
        <v>0</v>
      </c>
      <c r="ED454" s="259">
        <f t="shared" ca="1" si="875"/>
        <v>0</v>
      </c>
      <c r="EL454" s="259">
        <f t="shared" si="878"/>
        <v>452</v>
      </c>
      <c r="EM454" s="259">
        <f ca="1">IF(AND(BA454&gt;0,BA454&lt;=$EM$1),MAX($EM$2:EM453)+1,0)</f>
        <v>0</v>
      </c>
      <c r="EN454" s="259">
        <f t="shared" ca="1" si="879"/>
        <v>454</v>
      </c>
      <c r="EP454" s="259" t="str">
        <f t="shared" ca="1" si="876"/>
        <v/>
      </c>
    </row>
    <row r="455" spans="52:146">
      <c r="AZ455" s="259" t="str">
        <f t="shared" ca="1" si="840"/>
        <v/>
      </c>
      <c r="BA455" s="259">
        <f t="shared" ca="1" si="864"/>
        <v>0</v>
      </c>
      <c r="BB455" s="259">
        <f t="shared" ca="1" si="841"/>
        <v>0</v>
      </c>
      <c r="BC455" s="259">
        <f t="shared" ca="1" si="842"/>
        <v>0</v>
      </c>
      <c r="BD455" s="259">
        <f t="shared" ca="1" si="843"/>
        <v>0</v>
      </c>
      <c r="BE455" s="259">
        <f t="shared" ca="1" si="844"/>
        <v>0</v>
      </c>
      <c r="BQ455" s="259" t="str">
        <f ca="1">IFERROR(INDEX($BN$3:$BO$200,MATCH(ROWS(BQ$3:BQ455),$BP$3:$BP$220,0),1),"")</f>
        <v/>
      </c>
      <c r="CX455" s="259">
        <f t="shared" ca="1" si="880"/>
        <v>26</v>
      </c>
      <c r="CY455" s="259" t="str">
        <f t="shared" ca="1" si="865"/>
        <v>MASTRO</v>
      </c>
      <c r="CZ455" s="259" t="e">
        <f t="shared" ref="CZ455:CZ469" ca="1" si="882">SUM(MATCH($CY455,INDIRECT(ADDRESS(SUM(CZ454)+3,54)&amp;":"&amp;ADDRESS(400,54)),0),CZ454)</f>
        <v>#N/A</v>
      </c>
      <c r="DA455" s="259" t="str">
        <f ca="1">IFERROR(INDEX(LIBRO_GIORNALE,CZ455,1),"")</f>
        <v/>
      </c>
      <c r="DB455" s="259" t="str">
        <f t="shared" ref="DB455:DB469" ca="1" si="883">IF(RIGHT(TEXT(IFERROR(INDEX(LIBRO_GIORNALE,CZ455,2),""),"gg/mm/aa"),1)="a",TEXT(IFERROR(INDEX(LIBRO_GIORNALE,CZ455,2),""),"dd/mm/yy"),TEXT(IFERROR(INDEX(LIBRO_GIORNALE,CZ455,2),""),"gg/mm/aa"))</f>
        <v/>
      </c>
      <c r="DC455" s="259" t="str">
        <f t="shared" ref="DC455:DC469" ca="1" si="884">IF(IFERROR(INDEX(LIBRO_GIORNALE,CZ455,4),"")=0,"manca la descrizione dell'operazione",IFERROR(INDEX(LIBRO_GIORNALE,CZ455,4),""))</f>
        <v/>
      </c>
      <c r="DD455" s="259" t="str">
        <f t="shared" ref="DD455:DD469" ca="1" si="885">IFERROR(IF(INDEX(LIBRO_GIORNALE,CZ455,5)&gt;0,INDEX(LIBRO_GIORNALE,CZ455,5),""),"")</f>
        <v/>
      </c>
      <c r="DE455" s="259" t="str">
        <f t="shared" ref="DE455:DE469" ca="1" si="886">IFERROR(IF(INDEX(LIBRO_GIORNALE,CZ455,6)&gt;0,INDEX(LIBRO_GIORNALE,CZ455,6),""),"")</f>
        <v/>
      </c>
      <c r="DF455" s="259">
        <f ca="1">IF(AND(CX455=$DE$2,$DF$2&lt;&gt;0),0,IF(AND(DB455&lt;&gt;"",OR(DB454&lt;&gt;"",DB456&lt;&gt;"")),MAX($DF$2:DF454)+1,0))</f>
        <v>0</v>
      </c>
      <c r="EC455" s="259">
        <f>IF(IF(DG455&lt;&gt;"",REPLACE(DG455,3,1,""),0)&lt;&gt;0,MAX(EC$2:EC454)+1,0)</f>
        <v>0</v>
      </c>
      <c r="ED455" s="259">
        <f t="shared" ca="1" si="875"/>
        <v>0</v>
      </c>
      <c r="EL455" s="259">
        <f t="shared" si="878"/>
        <v>453</v>
      </c>
      <c r="EM455" s="259">
        <f ca="1">IF(AND(BA455&gt;0,BA455&lt;=$EM$1),MAX($EM$2:EM454)+1,0)</f>
        <v>0</v>
      </c>
      <c r="EN455" s="259">
        <f t="shared" ca="1" si="879"/>
        <v>455</v>
      </c>
      <c r="EP455" s="259" t="str">
        <f t="shared" ca="1" si="876"/>
        <v/>
      </c>
    </row>
    <row r="456" spans="52:146">
      <c r="AZ456" s="259" t="str">
        <f t="shared" ca="1" si="840"/>
        <v/>
      </c>
      <c r="BA456" s="259">
        <f t="shared" ca="1" si="864"/>
        <v>0</v>
      </c>
      <c r="BB456" s="259">
        <f t="shared" ca="1" si="841"/>
        <v>0</v>
      </c>
      <c r="BC456" s="259">
        <f t="shared" ca="1" si="842"/>
        <v>0</v>
      </c>
      <c r="BD456" s="259">
        <f t="shared" ca="1" si="843"/>
        <v>0</v>
      </c>
      <c r="BE456" s="259">
        <f t="shared" ca="1" si="844"/>
        <v>0</v>
      </c>
      <c r="BQ456" s="259" t="str">
        <f ca="1">IFERROR(INDEX($BN$3:$BO$200,MATCH(ROWS(BQ$3:BQ456),$BP$3:$BP$220,0),1),"")</f>
        <v/>
      </c>
      <c r="CX456" s="259">
        <f t="shared" ca="1" si="880"/>
        <v>26</v>
      </c>
      <c r="CY456" s="259" t="str">
        <f t="shared" ca="1" si="865"/>
        <v>MASTRO</v>
      </c>
      <c r="CZ456" s="259" t="e">
        <f t="shared" ca="1" si="882"/>
        <v>#N/A</v>
      </c>
      <c r="DA456" s="259" t="str">
        <f t="shared" ref="DA456:DA469" ca="1" si="887">IFERROR(INDEX(LIBRO_GIORNALE,CZ456,1),"")</f>
        <v/>
      </c>
      <c r="DB456" s="259" t="str">
        <f t="shared" ca="1" si="883"/>
        <v/>
      </c>
      <c r="DC456" s="259" t="str">
        <f t="shared" ca="1" si="884"/>
        <v/>
      </c>
      <c r="DD456" s="259" t="str">
        <f t="shared" ca="1" si="885"/>
        <v/>
      </c>
      <c r="DE456" s="259" t="str">
        <f t="shared" ca="1" si="886"/>
        <v/>
      </c>
      <c r="DF456" s="259">
        <f ca="1">IF(AND(CX456=$DE$2,$DF$2&lt;&gt;0),0,IF(AND(DB456&lt;&gt;"",OR(DB455&lt;&gt;"",DB457&lt;&gt;"")),MAX($DF$2:DF455)+1,0))</f>
        <v>0</v>
      </c>
      <c r="EC456" s="259">
        <f>IF(IF(DG456&lt;&gt;"",REPLACE(DG456,3,1,""),0)&lt;&gt;0,MAX(EC$2:EC455)+1,0)</f>
        <v>0</v>
      </c>
      <c r="ED456" s="259">
        <f t="shared" ca="1" si="875"/>
        <v>0</v>
      </c>
      <c r="EL456" s="259">
        <f t="shared" si="878"/>
        <v>454</v>
      </c>
      <c r="EM456" s="259">
        <f ca="1">IF(AND(BA456&gt;0,BA456&lt;=$EM$1),MAX($EM$2:EM455)+1,0)</f>
        <v>0</v>
      </c>
      <c r="EN456" s="259">
        <f t="shared" ca="1" si="879"/>
        <v>456</v>
      </c>
      <c r="EP456" s="259" t="str">
        <f t="shared" ca="1" si="876"/>
        <v/>
      </c>
    </row>
    <row r="457" spans="52:146">
      <c r="AZ457" s="259" t="str">
        <f t="shared" ca="1" si="840"/>
        <v/>
      </c>
      <c r="BA457" s="259">
        <f t="shared" ca="1" si="864"/>
        <v>0</v>
      </c>
      <c r="BB457" s="259">
        <f t="shared" ca="1" si="841"/>
        <v>0</v>
      </c>
      <c r="BC457" s="259">
        <f t="shared" ca="1" si="842"/>
        <v>0</v>
      </c>
      <c r="BD457" s="259">
        <f t="shared" ca="1" si="843"/>
        <v>0</v>
      </c>
      <c r="BE457" s="259">
        <f t="shared" ca="1" si="844"/>
        <v>0</v>
      </c>
      <c r="BQ457" s="259" t="str">
        <f ca="1">IFERROR(INDEX($BN$3:$BO$200,MATCH(ROWS(BQ$3:BQ457),$BP$3:$BP$220,0),1),"")</f>
        <v/>
      </c>
      <c r="CX457" s="259">
        <f t="shared" ca="1" si="880"/>
        <v>26</v>
      </c>
      <c r="CY457" s="259" t="str">
        <f t="shared" ca="1" si="865"/>
        <v>MASTRO</v>
      </c>
      <c r="CZ457" s="259" t="e">
        <f t="shared" ca="1" si="882"/>
        <v>#N/A</v>
      </c>
      <c r="DA457" s="259" t="str">
        <f t="shared" ca="1" si="887"/>
        <v/>
      </c>
      <c r="DB457" s="259" t="str">
        <f t="shared" ca="1" si="883"/>
        <v/>
      </c>
      <c r="DC457" s="259" t="str">
        <f t="shared" ca="1" si="884"/>
        <v/>
      </c>
      <c r="DD457" s="259" t="str">
        <f t="shared" ca="1" si="885"/>
        <v/>
      </c>
      <c r="DE457" s="259" t="str">
        <f t="shared" ca="1" si="886"/>
        <v/>
      </c>
      <c r="DF457" s="259">
        <f ca="1">IF(AND(CX457=$DE$2,$DF$2&lt;&gt;0),0,IF(AND(DB457&lt;&gt;"",OR(DB456&lt;&gt;"",DB458&lt;&gt;"")),MAX($DF$2:DF456)+1,0))</f>
        <v>0</v>
      </c>
      <c r="EC457" s="259">
        <f>IF(IF(DG457&lt;&gt;"",REPLACE(DG457,3,1,""),0)&lt;&gt;0,MAX(EC$2:EC456)+1,0)</f>
        <v>0</v>
      </c>
      <c r="ED457" s="259">
        <f t="shared" ca="1" si="875"/>
        <v>0</v>
      </c>
      <c r="EL457" s="259">
        <f t="shared" si="878"/>
        <v>455</v>
      </c>
      <c r="EM457" s="259">
        <f ca="1">IF(AND(BA457&gt;0,BA457&lt;=$EM$1),MAX($EM$2:EM456)+1,0)</f>
        <v>0</v>
      </c>
      <c r="EN457" s="259">
        <f t="shared" ca="1" si="879"/>
        <v>457</v>
      </c>
      <c r="EP457" s="259" t="str">
        <f t="shared" ca="1" si="876"/>
        <v/>
      </c>
    </row>
    <row r="458" spans="52:146">
      <c r="AZ458" s="259" t="str">
        <f t="shared" ca="1" si="840"/>
        <v/>
      </c>
      <c r="BA458" s="259">
        <f t="shared" ca="1" si="864"/>
        <v>0</v>
      </c>
      <c r="BB458" s="259">
        <f t="shared" ca="1" si="841"/>
        <v>0</v>
      </c>
      <c r="BC458" s="259">
        <f t="shared" ca="1" si="842"/>
        <v>0</v>
      </c>
      <c r="BD458" s="259">
        <f t="shared" ca="1" si="843"/>
        <v>0</v>
      </c>
      <c r="BE458" s="259">
        <f t="shared" ca="1" si="844"/>
        <v>0</v>
      </c>
      <c r="BQ458" s="259" t="str">
        <f ca="1">IFERROR(INDEX($BN$3:$BO$200,MATCH(ROWS(BQ$3:BQ458),$BP$3:$BP$220,0),1),"")</f>
        <v/>
      </c>
      <c r="CX458" s="259">
        <f t="shared" ca="1" si="880"/>
        <v>26</v>
      </c>
      <c r="CY458" s="259" t="str">
        <f t="shared" ca="1" si="865"/>
        <v>MASTRO</v>
      </c>
      <c r="CZ458" s="259" t="e">
        <f t="shared" ca="1" si="882"/>
        <v>#N/A</v>
      </c>
      <c r="DA458" s="259" t="str">
        <f t="shared" ca="1" si="887"/>
        <v/>
      </c>
      <c r="DB458" s="259" t="str">
        <f t="shared" ca="1" si="883"/>
        <v/>
      </c>
      <c r="DC458" s="259" t="str">
        <f t="shared" ca="1" si="884"/>
        <v/>
      </c>
      <c r="DD458" s="259" t="str">
        <f t="shared" ca="1" si="885"/>
        <v/>
      </c>
      <c r="DE458" s="259" t="str">
        <f t="shared" ca="1" si="886"/>
        <v/>
      </c>
      <c r="DF458" s="259">
        <f ca="1">IF(AND(CX458=$DE$2,$DF$2&lt;&gt;0),0,IF(AND(DB458&lt;&gt;"",OR(DB457&lt;&gt;"",DB459&lt;&gt;"")),MAX($DF$2:DF457)+1,0))</f>
        <v>0</v>
      </c>
      <c r="EC458" s="259">
        <f>IF(IF(DG458&lt;&gt;"",REPLACE(DG458,3,1,""),0)&lt;&gt;0,MAX(EC$2:EC457)+1,0)</f>
        <v>0</v>
      </c>
      <c r="ED458" s="259">
        <f t="shared" ca="1" si="875"/>
        <v>0</v>
      </c>
      <c r="EL458" s="259">
        <f t="shared" si="878"/>
        <v>456</v>
      </c>
      <c r="EM458" s="259">
        <f ca="1">IF(AND(BA458&gt;0,BA458&lt;=$EM$1),MAX($EM$2:EM457)+1,0)</f>
        <v>0</v>
      </c>
      <c r="EN458" s="259">
        <f t="shared" ca="1" si="879"/>
        <v>458</v>
      </c>
      <c r="EP458" s="259" t="str">
        <f t="shared" ca="1" si="876"/>
        <v/>
      </c>
    </row>
    <row r="459" spans="52:146">
      <c r="AZ459" s="259" t="str">
        <f t="shared" ca="1" si="840"/>
        <v/>
      </c>
      <c r="BA459" s="259">
        <f t="shared" ca="1" si="864"/>
        <v>0</v>
      </c>
      <c r="BB459" s="259">
        <f t="shared" ca="1" si="841"/>
        <v>0</v>
      </c>
      <c r="BC459" s="259">
        <f t="shared" ca="1" si="842"/>
        <v>0</v>
      </c>
      <c r="BD459" s="259">
        <f t="shared" ca="1" si="843"/>
        <v>0</v>
      </c>
      <c r="BE459" s="259">
        <f t="shared" ca="1" si="844"/>
        <v>0</v>
      </c>
      <c r="BQ459" s="259" t="str">
        <f ca="1">IFERROR(INDEX($BN$3:$BO$200,MATCH(ROWS(BQ$3:BQ459),$BP$3:$BP$220,0),1),"")</f>
        <v/>
      </c>
      <c r="CX459" s="259">
        <f t="shared" ca="1" si="880"/>
        <v>26</v>
      </c>
      <c r="CY459" s="259" t="str">
        <f t="shared" ca="1" si="865"/>
        <v>MASTRO</v>
      </c>
      <c r="CZ459" s="259" t="e">
        <f t="shared" ca="1" si="882"/>
        <v>#N/A</v>
      </c>
      <c r="DA459" s="259" t="str">
        <f t="shared" ca="1" si="887"/>
        <v/>
      </c>
      <c r="DB459" s="259" t="str">
        <f t="shared" ca="1" si="883"/>
        <v/>
      </c>
      <c r="DC459" s="259" t="str">
        <f t="shared" ca="1" si="884"/>
        <v/>
      </c>
      <c r="DD459" s="259" t="str">
        <f t="shared" ca="1" si="885"/>
        <v/>
      </c>
      <c r="DE459" s="259" t="str">
        <f t="shared" ca="1" si="886"/>
        <v/>
      </c>
      <c r="DF459" s="259">
        <f ca="1">IF(AND(CX459=$DE$2,$DF$2&lt;&gt;0),0,IF(AND(DB459&lt;&gt;"",OR(DB458&lt;&gt;"",DB460&lt;&gt;"")),MAX($DF$2:DF458)+1,0))</f>
        <v>0</v>
      </c>
      <c r="EC459" s="259">
        <f>IF(IF(DG459&lt;&gt;"",REPLACE(DG459,3,1,""),0)&lt;&gt;0,MAX(EC$2:EC458)+1,0)</f>
        <v>0</v>
      </c>
      <c r="ED459" s="259">
        <f t="shared" ca="1" si="875"/>
        <v>0</v>
      </c>
      <c r="EL459" s="259">
        <f t="shared" si="878"/>
        <v>457</v>
      </c>
      <c r="EM459" s="259">
        <f ca="1">IF(AND(BA459&gt;0,BA459&lt;=$EM$1),MAX($EM$2:EM458)+1,0)</f>
        <v>0</v>
      </c>
      <c r="EN459" s="259">
        <f t="shared" ca="1" si="879"/>
        <v>459</v>
      </c>
      <c r="EP459" s="259" t="str">
        <f t="shared" ca="1" si="876"/>
        <v/>
      </c>
    </row>
    <row r="460" spans="52:146">
      <c r="AZ460" s="259" t="str">
        <f t="shared" ref="AZ460:AZ500" ca="1" si="888">IF(BA460&lt;&gt;0,ROW()-202,"")</f>
        <v/>
      </c>
      <c r="BA460" s="259">
        <f t="shared" ca="1" si="864"/>
        <v>0</v>
      </c>
      <c r="BB460" s="259">
        <f t="shared" ref="BB460:BB500" ca="1" si="889">IF($BA460=0,0,EZ360)</f>
        <v>0</v>
      </c>
      <c r="BC460" s="259">
        <f t="shared" ref="BC460:BC500" ca="1" si="890">IF($BA460=0,0,FA360)</f>
        <v>0</v>
      </c>
      <c r="BD460" s="259">
        <f t="shared" ref="BD460:BD500" ca="1" si="891">IF($BA460=0,0,FB360)</f>
        <v>0</v>
      </c>
      <c r="BE460" s="259">
        <f t="shared" ref="BE460:BE500" ca="1" si="892">IF($BA460=0,0,FC360)</f>
        <v>0</v>
      </c>
      <c r="BQ460" s="259" t="str">
        <f ca="1">IFERROR(INDEX($BN$3:$BO$200,MATCH(ROWS(BQ$3:BQ460),$BP$3:$BP$220,0),1),"")</f>
        <v/>
      </c>
      <c r="CX460" s="259">
        <f t="shared" ca="1" si="880"/>
        <v>26</v>
      </c>
      <c r="CY460" s="259" t="str">
        <f t="shared" ca="1" si="865"/>
        <v>MASTRO</v>
      </c>
      <c r="CZ460" s="259" t="e">
        <f t="shared" ca="1" si="882"/>
        <v>#N/A</v>
      </c>
      <c r="DA460" s="259" t="str">
        <f t="shared" ca="1" si="887"/>
        <v/>
      </c>
      <c r="DB460" s="259" t="str">
        <f t="shared" ca="1" si="883"/>
        <v/>
      </c>
      <c r="DC460" s="259" t="str">
        <f t="shared" ca="1" si="884"/>
        <v/>
      </c>
      <c r="DD460" s="259" t="str">
        <f t="shared" ca="1" si="885"/>
        <v/>
      </c>
      <c r="DE460" s="259" t="str">
        <f t="shared" ca="1" si="886"/>
        <v/>
      </c>
      <c r="DF460" s="259">
        <f ca="1">IF(AND(CX460=$DE$2,$DF$2&lt;&gt;0),0,IF(AND(DB460&lt;&gt;"",OR(DB459&lt;&gt;"",DB461&lt;&gt;"")),MAX($DF$2:DF459)+1,0))</f>
        <v>0</v>
      </c>
      <c r="EC460" s="259">
        <f>IF(IF(DG460&lt;&gt;"",REPLACE(DG460,3,1,""),0)&lt;&gt;0,MAX(EC$2:EC459)+1,0)</f>
        <v>0</v>
      </c>
      <c r="ED460" s="259">
        <f t="shared" ca="1" si="875"/>
        <v>0</v>
      </c>
      <c r="EL460" s="259">
        <f t="shared" si="878"/>
        <v>458</v>
      </c>
      <c r="EM460" s="259">
        <f ca="1">IF(AND(BA460&gt;0,BA460&lt;=$EM$1),MAX($EM$2:EM459)+1,0)</f>
        <v>0</v>
      </c>
      <c r="EN460" s="259">
        <f t="shared" ca="1" si="879"/>
        <v>460</v>
      </c>
      <c r="EP460" s="259" t="str">
        <f t="shared" ca="1" si="876"/>
        <v/>
      </c>
    </row>
    <row r="461" spans="52:146">
      <c r="AZ461" s="259" t="str">
        <f t="shared" ca="1" si="888"/>
        <v/>
      </c>
      <c r="BA461" s="259">
        <f t="shared" ca="1" si="864"/>
        <v>0</v>
      </c>
      <c r="BB461" s="259">
        <f t="shared" ca="1" si="889"/>
        <v>0</v>
      </c>
      <c r="BC461" s="259">
        <f t="shared" ca="1" si="890"/>
        <v>0</v>
      </c>
      <c r="BD461" s="259">
        <f t="shared" ca="1" si="891"/>
        <v>0</v>
      </c>
      <c r="BE461" s="259">
        <f t="shared" ca="1" si="892"/>
        <v>0</v>
      </c>
      <c r="BQ461" s="259" t="str">
        <f ca="1">IFERROR(INDEX($BN$3:$BO$200,MATCH(ROWS(BQ$3:BQ461),$BP$3:$BP$220,0),1),"")</f>
        <v/>
      </c>
      <c r="CX461" s="259">
        <f t="shared" ca="1" si="880"/>
        <v>26</v>
      </c>
      <c r="CY461" s="259" t="str">
        <f t="shared" ca="1" si="865"/>
        <v>MASTRO</v>
      </c>
      <c r="CZ461" s="259" t="e">
        <f t="shared" ca="1" si="882"/>
        <v>#N/A</v>
      </c>
      <c r="DA461" s="259" t="str">
        <f t="shared" ca="1" si="887"/>
        <v/>
      </c>
      <c r="DB461" s="259" t="str">
        <f t="shared" ca="1" si="883"/>
        <v/>
      </c>
      <c r="DC461" s="259" t="str">
        <f t="shared" ca="1" si="884"/>
        <v/>
      </c>
      <c r="DD461" s="259" t="str">
        <f t="shared" ca="1" si="885"/>
        <v/>
      </c>
      <c r="DE461" s="259" t="str">
        <f t="shared" ca="1" si="886"/>
        <v/>
      </c>
      <c r="DF461" s="259">
        <f ca="1">IF(AND(CX461=$DE$2,$DF$2&lt;&gt;0),0,IF(AND(DB461&lt;&gt;"",OR(DB460&lt;&gt;"",DB462&lt;&gt;"")),MAX($DF$2:DF460)+1,0))</f>
        <v>0</v>
      </c>
      <c r="EC461" s="259">
        <f>IF(IF(DG461&lt;&gt;"",REPLACE(DG461,3,1,""),0)&lt;&gt;0,MAX(EC$2:EC460)+1,0)</f>
        <v>0</v>
      </c>
      <c r="ED461" s="259">
        <f t="shared" ca="1" si="875"/>
        <v>0</v>
      </c>
      <c r="EL461" s="259">
        <f t="shared" si="878"/>
        <v>459</v>
      </c>
      <c r="EM461" s="259">
        <f ca="1">IF(AND(BA461&gt;0,BA461&lt;=$EM$1),MAX($EM$2:EM460)+1,0)</f>
        <v>0</v>
      </c>
      <c r="EN461" s="259">
        <f t="shared" ca="1" si="879"/>
        <v>461</v>
      </c>
      <c r="EP461" s="259" t="str">
        <f t="shared" ca="1" si="876"/>
        <v/>
      </c>
    </row>
    <row r="462" spans="52:146">
      <c r="AZ462" s="259" t="str">
        <f t="shared" ca="1" si="888"/>
        <v/>
      </c>
      <c r="BA462" s="259">
        <f t="shared" ca="1" si="864"/>
        <v>0</v>
      </c>
      <c r="BB462" s="259">
        <f t="shared" ca="1" si="889"/>
        <v>0</v>
      </c>
      <c r="BC462" s="259">
        <f t="shared" ca="1" si="890"/>
        <v>0</v>
      </c>
      <c r="BD462" s="259">
        <f t="shared" ca="1" si="891"/>
        <v>0</v>
      </c>
      <c r="BE462" s="259">
        <f t="shared" ca="1" si="892"/>
        <v>0</v>
      </c>
      <c r="BQ462" s="259" t="str">
        <f ca="1">IFERROR(INDEX($BN$3:$BO$200,MATCH(ROWS(BQ$3:BQ462),$BP$3:$BP$220,0),1),"")</f>
        <v/>
      </c>
      <c r="CX462" s="259">
        <f t="shared" ca="1" si="880"/>
        <v>26</v>
      </c>
      <c r="CY462" s="259" t="str">
        <f t="shared" ca="1" si="865"/>
        <v>MASTRO</v>
      </c>
      <c r="CZ462" s="259" t="e">
        <f t="shared" ca="1" si="882"/>
        <v>#N/A</v>
      </c>
      <c r="DA462" s="259" t="str">
        <f t="shared" ca="1" si="887"/>
        <v/>
      </c>
      <c r="DB462" s="259" t="str">
        <f t="shared" ca="1" si="883"/>
        <v/>
      </c>
      <c r="DC462" s="259" t="str">
        <f t="shared" ca="1" si="884"/>
        <v/>
      </c>
      <c r="DD462" s="259" t="str">
        <f t="shared" ca="1" si="885"/>
        <v/>
      </c>
      <c r="DE462" s="259" t="str">
        <f t="shared" ca="1" si="886"/>
        <v/>
      </c>
      <c r="DF462" s="259">
        <f ca="1">IF(AND(CX462=$DE$2,$DF$2&lt;&gt;0),0,IF(AND(DB462&lt;&gt;"",OR(DB461&lt;&gt;"",DB463&lt;&gt;"")),MAX($DF$2:DF461)+1,0))</f>
        <v>0</v>
      </c>
      <c r="EC462" s="259">
        <f>IF(IF(DG462&lt;&gt;"",REPLACE(DG462,3,1,""),0)&lt;&gt;0,MAX(EC$2:EC461)+1,0)</f>
        <v>0</v>
      </c>
      <c r="ED462" s="259">
        <f t="shared" ca="1" si="875"/>
        <v>0</v>
      </c>
      <c r="EL462" s="259">
        <f t="shared" si="878"/>
        <v>460</v>
      </c>
      <c r="EM462" s="259">
        <f ca="1">IF(AND(BA462&gt;0,BA462&lt;=$EM$1),MAX($EM$2:EM461)+1,0)</f>
        <v>0</v>
      </c>
      <c r="EN462" s="259">
        <f t="shared" ca="1" si="879"/>
        <v>462</v>
      </c>
      <c r="EP462" s="259" t="str">
        <f t="shared" ca="1" si="876"/>
        <v/>
      </c>
    </row>
    <row r="463" spans="52:146">
      <c r="AZ463" s="259" t="str">
        <f t="shared" ca="1" si="888"/>
        <v/>
      </c>
      <c r="BA463" s="259">
        <f t="shared" ca="1" si="864"/>
        <v>0</v>
      </c>
      <c r="BB463" s="259">
        <f t="shared" ca="1" si="889"/>
        <v>0</v>
      </c>
      <c r="BC463" s="259">
        <f t="shared" ca="1" si="890"/>
        <v>0</v>
      </c>
      <c r="BD463" s="259">
        <f t="shared" ca="1" si="891"/>
        <v>0</v>
      </c>
      <c r="BE463" s="259">
        <f t="shared" ca="1" si="892"/>
        <v>0</v>
      </c>
      <c r="BQ463" s="259" t="str">
        <f ca="1">IFERROR(INDEX($BN$3:$BO$200,MATCH(ROWS(BQ$3:BQ463),$BP$3:$BP$220,0),1),"")</f>
        <v/>
      </c>
      <c r="CX463" s="259">
        <f t="shared" ca="1" si="880"/>
        <v>26</v>
      </c>
      <c r="CY463" s="259" t="str">
        <f t="shared" ca="1" si="865"/>
        <v>MASTRO</v>
      </c>
      <c r="CZ463" s="259" t="e">
        <f t="shared" ca="1" si="882"/>
        <v>#N/A</v>
      </c>
      <c r="DA463" s="259" t="str">
        <f t="shared" ca="1" si="887"/>
        <v/>
      </c>
      <c r="DB463" s="259" t="str">
        <f t="shared" ca="1" si="883"/>
        <v/>
      </c>
      <c r="DC463" s="259" t="str">
        <f t="shared" ca="1" si="884"/>
        <v/>
      </c>
      <c r="DD463" s="259" t="str">
        <f t="shared" ca="1" si="885"/>
        <v/>
      </c>
      <c r="DE463" s="259" t="str">
        <f t="shared" ca="1" si="886"/>
        <v/>
      </c>
      <c r="DF463" s="259">
        <f ca="1">IF(AND(CX463=$DE$2,$DF$2&lt;&gt;0),0,IF(AND(DB463&lt;&gt;"",OR(DB462&lt;&gt;"",DB464&lt;&gt;"")),MAX($DF$2:DF462)+1,0))</f>
        <v>0</v>
      </c>
      <c r="EC463" s="259">
        <f>IF(IF(DG463&lt;&gt;"",REPLACE(DG463,3,1,""),0)&lt;&gt;0,MAX(EC$2:EC462)+1,0)</f>
        <v>0</v>
      </c>
      <c r="ED463" s="259">
        <f t="shared" ca="1" si="875"/>
        <v>0</v>
      </c>
      <c r="EL463" s="259">
        <f t="shared" si="878"/>
        <v>461</v>
      </c>
      <c r="EM463" s="259">
        <f ca="1">IF(AND(BA463&gt;0,BA463&lt;=$EM$1),MAX($EM$2:EM462)+1,0)</f>
        <v>0</v>
      </c>
      <c r="EN463" s="259">
        <f t="shared" ca="1" si="879"/>
        <v>463</v>
      </c>
      <c r="EP463" s="259" t="str">
        <f t="shared" ca="1" si="876"/>
        <v/>
      </c>
    </row>
    <row r="464" spans="52:146">
      <c r="AZ464" s="259" t="str">
        <f t="shared" ca="1" si="888"/>
        <v/>
      </c>
      <c r="BA464" s="259">
        <f t="shared" ca="1" si="864"/>
        <v>0</v>
      </c>
      <c r="BB464" s="259">
        <f t="shared" ca="1" si="889"/>
        <v>0</v>
      </c>
      <c r="BC464" s="259">
        <f t="shared" ca="1" si="890"/>
        <v>0</v>
      </c>
      <c r="BD464" s="259">
        <f t="shared" ca="1" si="891"/>
        <v>0</v>
      </c>
      <c r="BE464" s="259">
        <f t="shared" ca="1" si="892"/>
        <v>0</v>
      </c>
      <c r="BQ464" s="259" t="str">
        <f ca="1">IFERROR(INDEX($BN$3:$BO$200,MATCH(ROWS(BQ$3:BQ464),$BP$3:$BP$220,0),1),"")</f>
        <v/>
      </c>
      <c r="CX464" s="259">
        <f t="shared" ca="1" si="880"/>
        <v>26</v>
      </c>
      <c r="CY464" s="259" t="str">
        <f t="shared" ca="1" si="865"/>
        <v>MASTRO</v>
      </c>
      <c r="CZ464" s="259" t="e">
        <f t="shared" ca="1" si="882"/>
        <v>#N/A</v>
      </c>
      <c r="DA464" s="259" t="str">
        <f t="shared" ca="1" si="887"/>
        <v/>
      </c>
      <c r="DB464" s="259" t="str">
        <f t="shared" ca="1" si="883"/>
        <v/>
      </c>
      <c r="DC464" s="259" t="str">
        <f t="shared" ca="1" si="884"/>
        <v/>
      </c>
      <c r="DD464" s="259" t="str">
        <f t="shared" ca="1" si="885"/>
        <v/>
      </c>
      <c r="DE464" s="259" t="str">
        <f t="shared" ca="1" si="886"/>
        <v/>
      </c>
      <c r="DF464" s="259">
        <f ca="1">IF(AND(CX464=$DE$2,$DF$2&lt;&gt;0),0,IF(AND(DB464&lt;&gt;"",OR(DB463&lt;&gt;"",DB465&lt;&gt;"")),MAX($DF$2:DF463)+1,0))</f>
        <v>0</v>
      </c>
      <c r="EC464" s="259">
        <f>IF(IF(DG464&lt;&gt;"",REPLACE(DG464,3,1,""),0)&lt;&gt;0,MAX(EC$2:EC463)+1,0)</f>
        <v>0</v>
      </c>
      <c r="ED464" s="259">
        <f t="shared" ca="1" si="875"/>
        <v>0</v>
      </c>
      <c r="EL464" s="259">
        <f t="shared" si="878"/>
        <v>462</v>
      </c>
      <c r="EM464" s="259">
        <f ca="1">IF(AND(BA464&gt;0,BA464&lt;=$EM$1),MAX($EM$2:EM463)+1,0)</f>
        <v>0</v>
      </c>
      <c r="EN464" s="259">
        <f t="shared" ca="1" si="879"/>
        <v>464</v>
      </c>
      <c r="EP464" s="259" t="str">
        <f t="shared" ca="1" si="876"/>
        <v/>
      </c>
    </row>
    <row r="465" spans="52:146">
      <c r="AZ465" s="259" t="str">
        <f t="shared" ca="1" si="888"/>
        <v/>
      </c>
      <c r="BA465" s="259">
        <f t="shared" ca="1" si="864"/>
        <v>0</v>
      </c>
      <c r="BB465" s="259">
        <f t="shared" ca="1" si="889"/>
        <v>0</v>
      </c>
      <c r="BC465" s="259">
        <f t="shared" ca="1" si="890"/>
        <v>0</v>
      </c>
      <c r="BD465" s="259">
        <f t="shared" ca="1" si="891"/>
        <v>0</v>
      </c>
      <c r="BE465" s="259">
        <f t="shared" ca="1" si="892"/>
        <v>0</v>
      </c>
      <c r="BQ465" s="259" t="str">
        <f ca="1">IFERROR(INDEX($BN$3:$BO$200,MATCH(ROWS(BQ$3:BQ465),$BP$3:$BP$220,0),1),"")</f>
        <v/>
      </c>
      <c r="CX465" s="259">
        <f t="shared" ca="1" si="880"/>
        <v>26</v>
      </c>
      <c r="CY465" s="259" t="str">
        <f t="shared" ca="1" si="865"/>
        <v>MASTRO</v>
      </c>
      <c r="CZ465" s="259" t="e">
        <f t="shared" ca="1" si="882"/>
        <v>#N/A</v>
      </c>
      <c r="DA465" s="259" t="str">
        <f t="shared" ca="1" si="887"/>
        <v/>
      </c>
      <c r="DB465" s="259" t="str">
        <f t="shared" ca="1" si="883"/>
        <v/>
      </c>
      <c r="DC465" s="259" t="str">
        <f t="shared" ca="1" si="884"/>
        <v/>
      </c>
      <c r="DD465" s="259" t="str">
        <f t="shared" ca="1" si="885"/>
        <v/>
      </c>
      <c r="DE465" s="259" t="str">
        <f t="shared" ca="1" si="886"/>
        <v/>
      </c>
      <c r="DF465" s="259">
        <f ca="1">IF(AND(CX465=$DE$2,$DF$2&lt;&gt;0),0,IF(AND(DB465&lt;&gt;"",OR(DB464&lt;&gt;"",DB466&lt;&gt;"")),MAX($DF$2:DF464)+1,0))</f>
        <v>0</v>
      </c>
      <c r="EC465" s="259">
        <f>IF(IF(DG465&lt;&gt;"",REPLACE(DG465,3,1,""),0)&lt;&gt;0,MAX(EC$2:EC464)+1,0)</f>
        <v>0</v>
      </c>
      <c r="ED465" s="259">
        <f t="shared" ca="1" si="875"/>
        <v>0</v>
      </c>
      <c r="EL465" s="259">
        <f t="shared" si="878"/>
        <v>463</v>
      </c>
      <c r="EM465" s="259">
        <f ca="1">IF(AND(BA465&gt;0,BA465&lt;=$EM$1),MAX($EM$2:EM464)+1,0)</f>
        <v>0</v>
      </c>
      <c r="EN465" s="259">
        <f t="shared" ca="1" si="879"/>
        <v>465</v>
      </c>
      <c r="EP465" s="259" t="str">
        <f t="shared" ca="1" si="876"/>
        <v/>
      </c>
    </row>
    <row r="466" spans="52:146">
      <c r="AZ466" s="259" t="str">
        <f t="shared" ca="1" si="888"/>
        <v/>
      </c>
      <c r="BA466" s="259">
        <f t="shared" ca="1" si="864"/>
        <v>0</v>
      </c>
      <c r="BB466" s="259">
        <f t="shared" ca="1" si="889"/>
        <v>0</v>
      </c>
      <c r="BC466" s="259">
        <f t="shared" ca="1" si="890"/>
        <v>0</v>
      </c>
      <c r="BD466" s="259">
        <f t="shared" ca="1" si="891"/>
        <v>0</v>
      </c>
      <c r="BE466" s="259">
        <f t="shared" ca="1" si="892"/>
        <v>0</v>
      </c>
      <c r="BQ466" s="259" t="str">
        <f ca="1">IFERROR(INDEX($BN$3:$BO$200,MATCH(ROWS(BQ$3:BQ466),$BP$3:$BP$220,0),1),"")</f>
        <v/>
      </c>
      <c r="CX466" s="259">
        <f t="shared" ca="1" si="880"/>
        <v>26</v>
      </c>
      <c r="CY466" s="259" t="str">
        <f t="shared" ca="1" si="865"/>
        <v>MASTRO</v>
      </c>
      <c r="CZ466" s="259" t="e">
        <f t="shared" ca="1" si="882"/>
        <v>#N/A</v>
      </c>
      <c r="DA466" s="259" t="str">
        <f t="shared" ca="1" si="887"/>
        <v/>
      </c>
      <c r="DB466" s="259" t="str">
        <f t="shared" ca="1" si="883"/>
        <v/>
      </c>
      <c r="DC466" s="259" t="str">
        <f t="shared" ca="1" si="884"/>
        <v/>
      </c>
      <c r="DD466" s="259" t="str">
        <f t="shared" ca="1" si="885"/>
        <v/>
      </c>
      <c r="DE466" s="259" t="str">
        <f t="shared" ca="1" si="886"/>
        <v/>
      </c>
      <c r="DF466" s="259">
        <f ca="1">IF(AND(CX466=$DE$2,$DF$2&lt;&gt;0),0,IF(AND(DB466&lt;&gt;"",OR(DB465&lt;&gt;"",DB467&lt;&gt;"")),MAX($DF$2:DF465)+1,0))</f>
        <v>0</v>
      </c>
      <c r="EC466" s="259">
        <f>IF(IF(DG466&lt;&gt;"",REPLACE(DG466,3,1,""),0)&lt;&gt;0,MAX(EC$2:EC465)+1,0)</f>
        <v>0</v>
      </c>
      <c r="ED466" s="259">
        <f t="shared" ca="1" si="875"/>
        <v>0</v>
      </c>
      <c r="EL466" s="259">
        <f t="shared" si="878"/>
        <v>464</v>
      </c>
      <c r="EM466" s="259">
        <f ca="1">IF(AND(BA466&gt;0,BA466&lt;=$EM$1),MAX($EM$2:EM465)+1,0)</f>
        <v>0</v>
      </c>
      <c r="EN466" s="259">
        <f t="shared" ca="1" si="879"/>
        <v>466</v>
      </c>
      <c r="EP466" s="259" t="str">
        <f t="shared" ca="1" si="876"/>
        <v/>
      </c>
    </row>
    <row r="467" spans="52:146">
      <c r="AZ467" s="259" t="str">
        <f t="shared" ca="1" si="888"/>
        <v/>
      </c>
      <c r="BA467" s="259">
        <f t="shared" ca="1" si="864"/>
        <v>0</v>
      </c>
      <c r="BB467" s="259">
        <f t="shared" ca="1" si="889"/>
        <v>0</v>
      </c>
      <c r="BC467" s="259">
        <f t="shared" ca="1" si="890"/>
        <v>0</v>
      </c>
      <c r="BD467" s="259">
        <f t="shared" ca="1" si="891"/>
        <v>0</v>
      </c>
      <c r="BE467" s="259">
        <f t="shared" ca="1" si="892"/>
        <v>0</v>
      </c>
      <c r="BQ467" s="259" t="str">
        <f ca="1">IFERROR(INDEX($BN$3:$BO$200,MATCH(ROWS(BQ$3:BQ467),$BP$3:$BP$220,0),1),"")</f>
        <v/>
      </c>
      <c r="CX467" s="259">
        <f t="shared" ca="1" si="880"/>
        <v>26</v>
      </c>
      <c r="CY467" s="259" t="str">
        <f t="shared" ca="1" si="865"/>
        <v>MASTRO</v>
      </c>
      <c r="CZ467" s="259" t="e">
        <f t="shared" ca="1" si="882"/>
        <v>#N/A</v>
      </c>
      <c r="DA467" s="259" t="str">
        <f t="shared" ca="1" si="887"/>
        <v/>
      </c>
      <c r="DB467" s="259" t="str">
        <f t="shared" ca="1" si="883"/>
        <v/>
      </c>
      <c r="DC467" s="259" t="str">
        <f t="shared" ca="1" si="884"/>
        <v/>
      </c>
      <c r="DD467" s="259" t="str">
        <f t="shared" ca="1" si="885"/>
        <v/>
      </c>
      <c r="DE467" s="259" t="str">
        <f t="shared" ca="1" si="886"/>
        <v/>
      </c>
      <c r="DF467" s="259">
        <f ca="1">IF(AND(CX467=$DE$2,$DF$2&lt;&gt;0),0,IF(AND(DB467&lt;&gt;"",OR(DB466&lt;&gt;"",DB468&lt;&gt;"")),MAX($DF$2:DF466)+1,0))</f>
        <v>0</v>
      </c>
      <c r="EC467" s="259">
        <f>IF(IF(DG467&lt;&gt;"",REPLACE(DG467,3,1,""),0)&lt;&gt;0,MAX(EC$2:EC466)+1,0)</f>
        <v>0</v>
      </c>
      <c r="ED467" s="259">
        <f t="shared" ca="1" si="875"/>
        <v>0</v>
      </c>
      <c r="EL467" s="259">
        <f t="shared" si="878"/>
        <v>465</v>
      </c>
      <c r="EM467" s="259">
        <f ca="1">IF(AND(BA467&gt;0,BA467&lt;=$EM$1),MAX($EM$2:EM466)+1,0)</f>
        <v>0</v>
      </c>
      <c r="EN467" s="259">
        <f t="shared" ca="1" si="879"/>
        <v>467</v>
      </c>
      <c r="EP467" s="259" t="str">
        <f t="shared" ca="1" si="876"/>
        <v/>
      </c>
    </row>
    <row r="468" spans="52:146">
      <c r="AZ468" s="259" t="str">
        <f t="shared" ca="1" si="888"/>
        <v/>
      </c>
      <c r="BA468" s="259">
        <f t="shared" ca="1" si="864"/>
        <v>0</v>
      </c>
      <c r="BB468" s="259">
        <f t="shared" ca="1" si="889"/>
        <v>0</v>
      </c>
      <c r="BC468" s="259">
        <f t="shared" ca="1" si="890"/>
        <v>0</v>
      </c>
      <c r="BD468" s="259">
        <f t="shared" ca="1" si="891"/>
        <v>0</v>
      </c>
      <c r="BE468" s="259">
        <f t="shared" ca="1" si="892"/>
        <v>0</v>
      </c>
      <c r="BQ468" s="259" t="str">
        <f ca="1">IFERROR(INDEX($BN$3:$BO$200,MATCH(ROWS(BQ$3:BQ468),$BP$3:$BP$220,0),1),"")</f>
        <v/>
      </c>
      <c r="CX468" s="259">
        <f t="shared" ca="1" si="880"/>
        <v>26</v>
      </c>
      <c r="CY468" s="259" t="str">
        <f t="shared" ca="1" si="865"/>
        <v>MASTRO</v>
      </c>
      <c r="CZ468" s="259" t="e">
        <f t="shared" ca="1" si="882"/>
        <v>#N/A</v>
      </c>
      <c r="DA468" s="259" t="str">
        <f t="shared" ca="1" si="887"/>
        <v/>
      </c>
      <c r="DB468" s="259" t="str">
        <f t="shared" ca="1" si="883"/>
        <v/>
      </c>
      <c r="DC468" s="259" t="str">
        <f t="shared" ca="1" si="884"/>
        <v/>
      </c>
      <c r="DD468" s="259" t="str">
        <f t="shared" ca="1" si="885"/>
        <v/>
      </c>
      <c r="DE468" s="259" t="str">
        <f t="shared" ca="1" si="886"/>
        <v/>
      </c>
      <c r="DF468" s="259">
        <f ca="1">IF(AND(CX468=$DE$2,$DF$2&lt;&gt;0),0,IF(AND(DB468&lt;&gt;"",OR(DB467&lt;&gt;"",DB469&lt;&gt;"")),MAX($DF$2:DF467)+1,0))</f>
        <v>0</v>
      </c>
      <c r="EC468" s="259">
        <f>IF(IF(DG468&lt;&gt;"",REPLACE(DG468,3,1,""),0)&lt;&gt;0,MAX(EC$2:EC467)+1,0)</f>
        <v>0</v>
      </c>
      <c r="ED468" s="259">
        <f t="shared" ca="1" si="875"/>
        <v>0</v>
      </c>
      <c r="EL468" s="259">
        <f t="shared" si="878"/>
        <v>466</v>
      </c>
      <c r="EM468" s="259">
        <f ca="1">IF(AND(BA468&gt;0,BA468&lt;=$EM$1),MAX($EM$2:EM467)+1,0)</f>
        <v>0</v>
      </c>
      <c r="EN468" s="259">
        <f t="shared" ca="1" si="879"/>
        <v>468</v>
      </c>
      <c r="EP468" s="259" t="str">
        <f t="shared" ca="1" si="876"/>
        <v/>
      </c>
    </row>
    <row r="469" spans="52:146">
      <c r="AZ469" s="259" t="str">
        <f t="shared" ca="1" si="888"/>
        <v/>
      </c>
      <c r="BA469" s="259">
        <f t="shared" ca="1" si="864"/>
        <v>0</v>
      </c>
      <c r="BB469" s="259">
        <f t="shared" ca="1" si="889"/>
        <v>0</v>
      </c>
      <c r="BC469" s="259">
        <f t="shared" ca="1" si="890"/>
        <v>0</v>
      </c>
      <c r="BD469" s="259">
        <f t="shared" ca="1" si="891"/>
        <v>0</v>
      </c>
      <c r="BE469" s="259">
        <f t="shared" ca="1" si="892"/>
        <v>0</v>
      </c>
      <c r="BQ469" s="259" t="str">
        <f ca="1">IFERROR(INDEX($BN$3:$BO$200,MATCH(ROWS(BQ$3:BQ469),$BP$3:$BP$220,0),1),"")</f>
        <v/>
      </c>
      <c r="CX469" s="259">
        <f t="shared" ca="1" si="880"/>
        <v>26</v>
      </c>
      <c r="CY469" s="259" t="str">
        <f t="shared" ref="CY469:CY497" ca="1" si="893">IF(ISERROR(INDEX($CV$3:$CX$2300,MATCH(CX469,$CW$3:$CW$2300,0),1)),"MASTRO",INDEX($CV$3:$CX$2300,MATCH(CX469,$CW$3:$CW$2300,0),1))</f>
        <v>MASTRO</v>
      </c>
      <c r="CZ469" s="259" t="e">
        <f t="shared" ca="1" si="882"/>
        <v>#N/A</v>
      </c>
      <c r="DA469" s="259" t="str">
        <f t="shared" ca="1" si="887"/>
        <v/>
      </c>
      <c r="DB469" s="259" t="str">
        <f t="shared" ca="1" si="883"/>
        <v/>
      </c>
      <c r="DC469" s="259" t="str">
        <f t="shared" ca="1" si="884"/>
        <v/>
      </c>
      <c r="DD469" s="259" t="str">
        <f t="shared" ca="1" si="885"/>
        <v/>
      </c>
      <c r="DE469" s="259" t="str">
        <f t="shared" ca="1" si="886"/>
        <v/>
      </c>
      <c r="DF469" s="259">
        <f ca="1">IF(AND(CX469=$DE$2,$DF$2&lt;&gt;0),0,IF(AND(DB469&lt;&gt;"",OR(DB468&lt;&gt;"",DB470&lt;&gt;"")),MAX($DF$2:DF468)+1,0))</f>
        <v>0</v>
      </c>
      <c r="EC469" s="259">
        <f>IF(IF(DG469&lt;&gt;"",REPLACE(DG469,3,1,""),0)&lt;&gt;0,MAX(EC$2:EC468)+1,0)</f>
        <v>0</v>
      </c>
      <c r="ED469" s="259">
        <f t="shared" ca="1" si="875"/>
        <v>0</v>
      </c>
      <c r="EL469" s="259">
        <f t="shared" si="878"/>
        <v>467</v>
      </c>
      <c r="EM469" s="259">
        <f ca="1">IF(AND(BA469&gt;0,BA469&lt;=$EM$1),MAX($EM$2:EM468)+1,0)</f>
        <v>0</v>
      </c>
      <c r="EN469" s="259">
        <f t="shared" ca="1" si="879"/>
        <v>469</v>
      </c>
      <c r="EP469" s="259" t="str">
        <f t="shared" ca="1" si="876"/>
        <v/>
      </c>
    </row>
    <row r="470" spans="52:146">
      <c r="AZ470" s="259" t="str">
        <f t="shared" ca="1" si="888"/>
        <v/>
      </c>
      <c r="BA470" s="259">
        <f t="shared" ca="1" si="864"/>
        <v>0</v>
      </c>
      <c r="BB470" s="259">
        <f t="shared" ca="1" si="889"/>
        <v>0</v>
      </c>
      <c r="BC470" s="259">
        <f t="shared" ca="1" si="890"/>
        <v>0</v>
      </c>
      <c r="BD470" s="259">
        <f t="shared" ca="1" si="891"/>
        <v>0</v>
      </c>
      <c r="BE470" s="259">
        <f t="shared" ca="1" si="892"/>
        <v>0</v>
      </c>
      <c r="BQ470" s="259" t="str">
        <f ca="1">IFERROR(INDEX($BN$3:$BO$200,MATCH(ROWS(BQ$3:BQ470),$BP$3:$BP$220,0),1),"")</f>
        <v/>
      </c>
      <c r="CX470" s="259" t="str">
        <f>IFERROR(IF(CX452+1=1,"",(CX452+1)),"")</f>
        <v/>
      </c>
      <c r="CY470" s="259" t="str">
        <f t="shared" ca="1" si="893"/>
        <v>MASTRO</v>
      </c>
      <c r="DB470" s="259" t="str">
        <f t="shared" ref="DB470" ca="1" si="894">CY470</f>
        <v>MASTRO</v>
      </c>
      <c r="DF470" s="259">
        <f ca="1">IF(AND(CX470=$DE$2,$DF$2&lt;&gt;0),0,IF(AND(DB470&lt;&gt;"",OR(DB469&lt;&gt;"",DB471&lt;&gt;"")),MAX($DF$2:DF469)+1,0))</f>
        <v>0</v>
      </c>
      <c r="EC470" s="259">
        <f>IF(IF(DG470&lt;&gt;"",REPLACE(DG470,3,1,""),0)&lt;&gt;0,MAX(EC$2:EC469)+1,0)</f>
        <v>0</v>
      </c>
      <c r="ED470" s="259">
        <f t="shared" ca="1" si="875"/>
        <v>0</v>
      </c>
      <c r="EL470" s="259">
        <f t="shared" si="878"/>
        <v>468</v>
      </c>
      <c r="EM470" s="259">
        <f ca="1">IF(AND(BA470&gt;0,BA470&lt;=$EM$1),MAX($EM$2:EM469)+1,0)</f>
        <v>0</v>
      </c>
      <c r="EN470" s="259">
        <f t="shared" ca="1" si="879"/>
        <v>470</v>
      </c>
      <c r="EP470" s="259" t="str">
        <f t="shared" ca="1" si="876"/>
        <v/>
      </c>
    </row>
    <row r="471" spans="52:146">
      <c r="AZ471" s="259" t="str">
        <f t="shared" ca="1" si="888"/>
        <v/>
      </c>
      <c r="BA471" s="259">
        <f t="shared" ca="1" si="864"/>
        <v>0</v>
      </c>
      <c r="BB471" s="259">
        <f t="shared" ca="1" si="889"/>
        <v>0</v>
      </c>
      <c r="BC471" s="259">
        <f t="shared" ca="1" si="890"/>
        <v>0</v>
      </c>
      <c r="BD471" s="259">
        <f t="shared" ca="1" si="891"/>
        <v>0</v>
      </c>
      <c r="BE471" s="259">
        <f t="shared" ca="1" si="892"/>
        <v>0</v>
      </c>
      <c r="BQ471" s="259" t="str">
        <f ca="1">IFERROR(INDEX($BN$3:$BO$200,MATCH(ROWS(BQ$3:BQ471),$BP$3:$BP$220,0),1),"")</f>
        <v/>
      </c>
      <c r="CX471" s="259">
        <f ca="1">$EA$29</f>
        <v>27</v>
      </c>
      <c r="CY471" s="259" t="str">
        <f t="shared" ca="1" si="893"/>
        <v>MASTRO</v>
      </c>
      <c r="DA471" s="259" t="str">
        <f ca="1">IF(CY470="MASTRO","Conto n.","")</f>
        <v>Conto n.</v>
      </c>
      <c r="DB471" s="259" t="str">
        <f ca="1">IF(CY471=0,"",INDEX(PIANO_DEI_CONTI,MATCH(DC471,DENOMINAZIONE,0),1))</f>
        <v/>
      </c>
      <c r="DC471" s="259" t="str">
        <f ca="1">IF(OR(CY471=0,CY471="mastro"),"",CY471)</f>
        <v/>
      </c>
      <c r="DD471" s="259" t="str">
        <f ca="1">IF(AND($DA$2=TRUE,OR(INDEX(PIANO_DEI_CONTI,MATCH($DC471,DENOMINAZIONE,0),4)="A",INDEX(PIANO_DEI_CONTI,MATCH($DC471,DENOMINAZIONE,0),4)="D/A"),SUMIFS(AVERE,DENOMINAZIONE_GIORNALE,"="&amp;$DC471)&gt;SUMIFS(DARE,DENOMINAZIONE_GIORNALE,"="&amp;$DC471)),CONCATENATE("s ",FIXED(ABS(SUMIFS(AVERE,DENOMINAZIONE_GIORNALE,"="&amp;$DC471)-SUMIFS(DARE,DENOMINAZIONE_GIORNALE,"="&amp;$DC471)),2)),"")</f>
        <v/>
      </c>
      <c r="DE471" s="259" t="str">
        <f ca="1">IF(AND($DA$2=TRUE,OR(INDEX(PIANO_DEI_CONTI,MATCH($DC471,DENOMINAZIONE,0),4)="D",INDEX(PIANO_DEI_CONTI,MATCH($DC471,DENOMINAZIONE,0),4)="D/A"),SUMIFS(DARE,DENOMINAZIONE_GIORNALE,"="&amp;$DC471)&gt;SUMIFS(AVERE,DENOMINAZIONE_GIORNALE,"="&amp;$DC471)),CONCATENATE("s ",FIXED(ABS(SUMIFS(DARE,DENOMINAZIONE_GIORNALE,"="&amp;$DC471)-SUMIFS(AVERE,DENOMINAZIONE_GIORNALE,"="&amp;$DC471)),2)),"")</f>
        <v/>
      </c>
      <c r="DF471" s="259">
        <f ca="1">IF(AND(CX471=$DE$2,$DF$2&lt;&gt;0),0,IF(AND(DB471&lt;&gt;"",OR(DB470&lt;&gt;"",DB472&lt;&gt;"")),MAX($DF$2:DF470)+1,0))</f>
        <v>0</v>
      </c>
      <c r="EC471" s="259">
        <f>IF(IF(DG471&lt;&gt;"",REPLACE(DG471,3,1,""),0)&lt;&gt;0,MAX(EC$2:EC470)+1,0)</f>
        <v>0</v>
      </c>
      <c r="ED471" s="259">
        <f t="shared" ca="1" si="875"/>
        <v>0</v>
      </c>
      <c r="EL471" s="259">
        <f t="shared" si="878"/>
        <v>469</v>
      </c>
      <c r="EM471" s="259">
        <f ca="1">IF(AND(BA471&gt;0,BA471&lt;=$EM$1),MAX($EM$2:EM470)+1,0)</f>
        <v>0</v>
      </c>
      <c r="EN471" s="259">
        <f t="shared" ca="1" si="879"/>
        <v>471</v>
      </c>
      <c r="EP471" s="259" t="str">
        <f t="shared" ca="1" si="876"/>
        <v/>
      </c>
    </row>
    <row r="472" spans="52:146">
      <c r="AZ472" s="259" t="str">
        <f t="shared" ca="1" si="888"/>
        <v/>
      </c>
      <c r="BA472" s="259">
        <f t="shared" ca="1" si="864"/>
        <v>0</v>
      </c>
      <c r="BB472" s="259">
        <f t="shared" ca="1" si="889"/>
        <v>0</v>
      </c>
      <c r="BC472" s="259">
        <f t="shared" ca="1" si="890"/>
        <v>0</v>
      </c>
      <c r="BD472" s="259">
        <f t="shared" ca="1" si="891"/>
        <v>0</v>
      </c>
      <c r="BE472" s="259">
        <f t="shared" ca="1" si="892"/>
        <v>0</v>
      </c>
      <c r="BQ472" s="259" t="str">
        <f ca="1">IFERROR(INDEX($BN$3:$BO$200,MATCH(ROWS(BQ$3:BQ472),$BP$3:$BP$220,0),1),"")</f>
        <v/>
      </c>
      <c r="CX472" s="259">
        <f t="shared" ref="CX472:CX487" ca="1" si="895">$EA$29</f>
        <v>27</v>
      </c>
      <c r="CY472" s="259" t="str">
        <f t="shared" ca="1" si="893"/>
        <v>MASTRO</v>
      </c>
      <c r="DA472" s="259" t="str">
        <f ca="1">IF(DB471="","","Num. riga")</f>
        <v/>
      </c>
      <c r="DB472" s="259" t="str">
        <f t="shared" ref="DB472" ca="1" si="896">IF(DB471="","","Data")</f>
        <v/>
      </c>
      <c r="DC472" s="259" t="str">
        <f ca="1">IF(DB471="","","Operazioni")</f>
        <v/>
      </c>
      <c r="DD472" s="259" t="str">
        <f ca="1">IF(DB471="","","Dare        ")</f>
        <v/>
      </c>
      <c r="DE472" s="259" t="str">
        <f ca="1">IF(DB471="","","Avere        ")</f>
        <v/>
      </c>
      <c r="DF472" s="259">
        <f ca="1">IF(AND(CX472=$DE$2,$DF$2&lt;&gt;0),0,IF(AND(DB472&lt;&gt;"",OR(DB471&lt;&gt;"",DB473&lt;&gt;"")),MAX($DF$2:DF471)+1,0))</f>
        <v>0</v>
      </c>
      <c r="EC472" s="259">
        <f>IF(IF(DG472&lt;&gt;"",REPLACE(DG472,3,1,""),0)&lt;&gt;0,MAX(EC$2:EC471)+1,0)</f>
        <v>0</v>
      </c>
      <c r="ED472" s="259">
        <f t="shared" ca="1" si="875"/>
        <v>0</v>
      </c>
      <c r="EL472" s="259">
        <f t="shared" si="878"/>
        <v>470</v>
      </c>
      <c r="EM472" s="259">
        <f ca="1">IF(AND(BA472&gt;0,BA472&lt;=$EM$1),MAX($EM$2:EM471)+1,0)</f>
        <v>0</v>
      </c>
      <c r="EN472" s="259">
        <f t="shared" ca="1" si="879"/>
        <v>472</v>
      </c>
      <c r="EP472" s="259" t="str">
        <f t="shared" ca="1" si="876"/>
        <v/>
      </c>
    </row>
    <row r="473" spans="52:146">
      <c r="AZ473" s="259" t="str">
        <f t="shared" ca="1" si="888"/>
        <v/>
      </c>
      <c r="BA473" s="259">
        <f t="shared" ca="1" si="864"/>
        <v>0</v>
      </c>
      <c r="BB473" s="259">
        <f t="shared" ca="1" si="889"/>
        <v>0</v>
      </c>
      <c r="BC473" s="259">
        <f t="shared" ca="1" si="890"/>
        <v>0</v>
      </c>
      <c r="BD473" s="259">
        <f t="shared" ca="1" si="891"/>
        <v>0</v>
      </c>
      <c r="BE473" s="259">
        <f t="shared" ca="1" si="892"/>
        <v>0</v>
      </c>
      <c r="BQ473" s="259" t="str">
        <f ca="1">IFERROR(INDEX($BN$3:$BO$200,MATCH(ROWS(BQ$3:BQ473),$BP$3:$BP$220,0),1),"")</f>
        <v/>
      </c>
      <c r="CX473" s="259">
        <f t="shared" ca="1" si="895"/>
        <v>27</v>
      </c>
      <c r="CY473" s="259" t="str">
        <f t="shared" ca="1" si="893"/>
        <v>MASTRO</v>
      </c>
      <c r="CZ473" s="259" t="e">
        <f t="shared" ref="CZ473:CZ487" ca="1" si="897">SUM(MATCH($CY473,INDIRECT(ADDRESS(SUM(CZ472)+3,54)&amp;":"&amp;ADDRESS(400,54)),0),CZ472)</f>
        <v>#N/A</v>
      </c>
      <c r="DA473" s="259" t="str">
        <f ca="1">IFERROR(INDEX(LIBRO_GIORNALE,CZ473,1),"")</f>
        <v/>
      </c>
      <c r="DB473" s="259" t="str">
        <f t="shared" ref="DB473:DB487" ca="1" si="898">IF(RIGHT(TEXT(IFERROR(INDEX(LIBRO_GIORNALE,CZ473,2),""),"gg/mm/aa"),1)="a",TEXT(IFERROR(INDEX(LIBRO_GIORNALE,CZ473,2),""),"dd/mm/yy"),TEXT(IFERROR(INDEX(LIBRO_GIORNALE,CZ473,2),""),"gg/mm/aa"))</f>
        <v/>
      </c>
      <c r="DC473" s="259" t="str">
        <f t="shared" ref="DC473:DC487" ca="1" si="899">IF(IFERROR(INDEX(LIBRO_GIORNALE,CZ473,4),"")=0,"manca la descrizione dell'operazione",IFERROR(INDEX(LIBRO_GIORNALE,CZ473,4),""))</f>
        <v/>
      </c>
      <c r="DD473" s="259" t="str">
        <f t="shared" ref="DD473:DD487" ca="1" si="900">IFERROR(IF(INDEX(LIBRO_GIORNALE,CZ473,5)&gt;0,INDEX(LIBRO_GIORNALE,CZ473,5),""),"")</f>
        <v/>
      </c>
      <c r="DE473" s="259" t="str">
        <f t="shared" ref="DE473:DE487" ca="1" si="901">IFERROR(IF(INDEX(LIBRO_GIORNALE,CZ473,6)&gt;0,INDEX(LIBRO_GIORNALE,CZ473,6),""),"")</f>
        <v/>
      </c>
      <c r="DF473" s="259">
        <f ca="1">IF(AND(CX473=$DE$2,$DF$2&lt;&gt;0),0,IF(AND(DB473&lt;&gt;"",OR(DB472&lt;&gt;"",DB474&lt;&gt;"")),MAX($DF$2:DF472)+1,0))</f>
        <v>0</v>
      </c>
      <c r="EC473" s="259">
        <f>IF(IF(DG473&lt;&gt;"",REPLACE(DG473,3,1,""),0)&lt;&gt;0,MAX(EC$2:EC472)+1,0)</f>
        <v>0</v>
      </c>
      <c r="ED473" s="259">
        <f t="shared" ca="1" si="875"/>
        <v>0</v>
      </c>
      <c r="EL473" s="259">
        <f t="shared" si="878"/>
        <v>471</v>
      </c>
      <c r="EM473" s="259">
        <f ca="1">IF(AND(BA473&gt;0,BA473&lt;=$EM$1),MAX($EM$2:EM472)+1,0)</f>
        <v>0</v>
      </c>
      <c r="EN473" s="259">
        <f t="shared" ca="1" si="879"/>
        <v>473</v>
      </c>
      <c r="EP473" s="259" t="str">
        <f t="shared" ca="1" si="876"/>
        <v/>
      </c>
    </row>
    <row r="474" spans="52:146">
      <c r="AZ474" s="259" t="str">
        <f t="shared" ca="1" si="888"/>
        <v/>
      </c>
      <c r="BA474" s="259">
        <f t="shared" ca="1" si="864"/>
        <v>0</v>
      </c>
      <c r="BB474" s="259">
        <f t="shared" ca="1" si="889"/>
        <v>0</v>
      </c>
      <c r="BC474" s="259">
        <f t="shared" ca="1" si="890"/>
        <v>0</v>
      </c>
      <c r="BD474" s="259">
        <f t="shared" ca="1" si="891"/>
        <v>0</v>
      </c>
      <c r="BE474" s="259">
        <f t="shared" ca="1" si="892"/>
        <v>0</v>
      </c>
      <c r="BQ474" s="259" t="str">
        <f ca="1">IFERROR(INDEX($BN$3:$BO$200,MATCH(ROWS(BQ$3:BQ474),$BP$3:$BP$220,0),1),"")</f>
        <v/>
      </c>
      <c r="CX474" s="259">
        <f t="shared" ca="1" si="895"/>
        <v>27</v>
      </c>
      <c r="CY474" s="259" t="str">
        <f t="shared" ca="1" si="893"/>
        <v>MASTRO</v>
      </c>
      <c r="CZ474" s="259" t="e">
        <f t="shared" ca="1" si="897"/>
        <v>#N/A</v>
      </c>
      <c r="DA474" s="259" t="str">
        <f t="shared" ref="DA474:DA487" ca="1" si="902">IFERROR(INDEX(LIBRO_GIORNALE,CZ474,1),"")</f>
        <v/>
      </c>
      <c r="DB474" s="259" t="str">
        <f t="shared" ca="1" si="898"/>
        <v/>
      </c>
      <c r="DC474" s="259" t="str">
        <f t="shared" ca="1" si="899"/>
        <v/>
      </c>
      <c r="DD474" s="259" t="str">
        <f t="shared" ca="1" si="900"/>
        <v/>
      </c>
      <c r="DE474" s="259" t="str">
        <f t="shared" ca="1" si="901"/>
        <v/>
      </c>
      <c r="DF474" s="259">
        <f ca="1">IF(AND(CX474=$DE$2,$DF$2&lt;&gt;0),0,IF(AND(DB474&lt;&gt;"",OR(DB473&lt;&gt;"",DB475&lt;&gt;"")),MAX($DF$2:DF473)+1,0))</f>
        <v>0</v>
      </c>
      <c r="EC474" s="259">
        <f>IF(IF(DG474&lt;&gt;"",REPLACE(DG474,3,1,""),0)&lt;&gt;0,MAX(EC$2:EC473)+1,0)</f>
        <v>0</v>
      </c>
      <c r="ED474" s="259">
        <f t="shared" ca="1" si="875"/>
        <v>0</v>
      </c>
      <c r="EL474" s="259">
        <f t="shared" si="878"/>
        <v>472</v>
      </c>
      <c r="EM474" s="259">
        <f ca="1">IF(AND(BA474&gt;0,BA474&lt;=$EM$1),MAX($EM$2:EM473)+1,0)</f>
        <v>0</v>
      </c>
      <c r="EN474" s="259">
        <f t="shared" ca="1" si="879"/>
        <v>474</v>
      </c>
      <c r="EP474" s="259" t="str">
        <f t="shared" ca="1" si="876"/>
        <v/>
      </c>
    </row>
    <row r="475" spans="52:146">
      <c r="AZ475" s="259" t="str">
        <f t="shared" ca="1" si="888"/>
        <v/>
      </c>
      <c r="BA475" s="259">
        <f t="shared" ca="1" si="864"/>
        <v>0</v>
      </c>
      <c r="BB475" s="259">
        <f t="shared" ca="1" si="889"/>
        <v>0</v>
      </c>
      <c r="BC475" s="259">
        <f t="shared" ca="1" si="890"/>
        <v>0</v>
      </c>
      <c r="BD475" s="259">
        <f t="shared" ca="1" si="891"/>
        <v>0</v>
      </c>
      <c r="BE475" s="259">
        <f t="shared" ca="1" si="892"/>
        <v>0</v>
      </c>
      <c r="BQ475" s="259" t="str">
        <f ca="1">IFERROR(INDEX($BN$3:$BO$200,MATCH(ROWS(BQ$3:BQ475),$BP$3:$BP$220,0),1),"")</f>
        <v/>
      </c>
      <c r="CX475" s="259">
        <f t="shared" ca="1" si="895"/>
        <v>27</v>
      </c>
      <c r="CY475" s="259" t="str">
        <f t="shared" ca="1" si="893"/>
        <v>MASTRO</v>
      </c>
      <c r="CZ475" s="259" t="e">
        <f t="shared" ca="1" si="897"/>
        <v>#N/A</v>
      </c>
      <c r="DA475" s="259" t="str">
        <f t="shared" ca="1" si="902"/>
        <v/>
      </c>
      <c r="DB475" s="259" t="str">
        <f t="shared" ca="1" si="898"/>
        <v/>
      </c>
      <c r="DC475" s="259" t="str">
        <f t="shared" ca="1" si="899"/>
        <v/>
      </c>
      <c r="DD475" s="259" t="str">
        <f t="shared" ca="1" si="900"/>
        <v/>
      </c>
      <c r="DE475" s="259" t="str">
        <f t="shared" ca="1" si="901"/>
        <v/>
      </c>
      <c r="DF475" s="259">
        <f ca="1">IF(AND(CX475=$DE$2,$DF$2&lt;&gt;0),0,IF(AND(DB475&lt;&gt;"",OR(DB474&lt;&gt;"",DB476&lt;&gt;"")),MAX($DF$2:DF474)+1,0))</f>
        <v>0</v>
      </c>
      <c r="EC475" s="259">
        <f>IF(IF(DG475&lt;&gt;"",REPLACE(DG475,3,1,""),0)&lt;&gt;0,MAX(EC$2:EC474)+1,0)</f>
        <v>0</v>
      </c>
      <c r="ED475" s="259">
        <f t="shared" ca="1" si="875"/>
        <v>0</v>
      </c>
      <c r="EL475" s="259">
        <f t="shared" si="878"/>
        <v>473</v>
      </c>
      <c r="EM475" s="259">
        <f ca="1">IF(AND(BA475&gt;0,BA475&lt;=$EM$1),MAX($EM$2:EM474)+1,0)</f>
        <v>0</v>
      </c>
      <c r="EN475" s="259">
        <f t="shared" ca="1" si="879"/>
        <v>475</v>
      </c>
      <c r="EP475" s="259" t="str">
        <f t="shared" ca="1" si="876"/>
        <v/>
      </c>
    </row>
    <row r="476" spans="52:146">
      <c r="AZ476" s="259" t="str">
        <f t="shared" ca="1" si="888"/>
        <v/>
      </c>
      <c r="BA476" s="259">
        <f t="shared" ca="1" si="864"/>
        <v>0</v>
      </c>
      <c r="BB476" s="259">
        <f t="shared" ca="1" si="889"/>
        <v>0</v>
      </c>
      <c r="BC476" s="259">
        <f t="shared" ca="1" si="890"/>
        <v>0</v>
      </c>
      <c r="BD476" s="259">
        <f t="shared" ca="1" si="891"/>
        <v>0</v>
      </c>
      <c r="BE476" s="259">
        <f t="shared" ca="1" si="892"/>
        <v>0</v>
      </c>
      <c r="BQ476" s="259" t="str">
        <f ca="1">IFERROR(INDEX($BN$3:$BO$200,MATCH(ROWS(BQ$3:BQ476),$BP$3:$BP$220,0),1),"")</f>
        <v/>
      </c>
      <c r="CX476" s="259">
        <f t="shared" ca="1" si="895"/>
        <v>27</v>
      </c>
      <c r="CY476" s="259" t="str">
        <f t="shared" ca="1" si="893"/>
        <v>MASTRO</v>
      </c>
      <c r="CZ476" s="259" t="e">
        <f t="shared" ca="1" si="897"/>
        <v>#N/A</v>
      </c>
      <c r="DA476" s="259" t="str">
        <f t="shared" ca="1" si="902"/>
        <v/>
      </c>
      <c r="DB476" s="259" t="str">
        <f t="shared" ca="1" si="898"/>
        <v/>
      </c>
      <c r="DC476" s="259" t="str">
        <f t="shared" ca="1" si="899"/>
        <v/>
      </c>
      <c r="DD476" s="259" t="str">
        <f t="shared" ca="1" si="900"/>
        <v/>
      </c>
      <c r="DE476" s="259" t="str">
        <f t="shared" ca="1" si="901"/>
        <v/>
      </c>
      <c r="DF476" s="259">
        <f ca="1">IF(AND(CX476=$DE$2,$DF$2&lt;&gt;0),0,IF(AND(DB476&lt;&gt;"",OR(DB475&lt;&gt;"",DB477&lt;&gt;"")),MAX($DF$2:DF475)+1,0))</f>
        <v>0</v>
      </c>
      <c r="EC476" s="259">
        <f>IF(IF(DG476&lt;&gt;"",REPLACE(DG476,3,1,""),0)&lt;&gt;0,MAX(EC$2:EC475)+1,0)</f>
        <v>0</v>
      </c>
      <c r="ED476" s="259">
        <f t="shared" ca="1" si="875"/>
        <v>0</v>
      </c>
      <c r="EL476" s="259">
        <f t="shared" si="878"/>
        <v>474</v>
      </c>
      <c r="EM476" s="259">
        <f ca="1">IF(AND(BA476&gt;0,BA476&lt;=$EM$1),MAX($EM$2:EM475)+1,0)</f>
        <v>0</v>
      </c>
      <c r="EN476" s="259">
        <f t="shared" ca="1" si="879"/>
        <v>476</v>
      </c>
      <c r="EP476" s="259" t="str">
        <f t="shared" ca="1" si="876"/>
        <v/>
      </c>
    </row>
    <row r="477" spans="52:146">
      <c r="AZ477" s="259" t="str">
        <f t="shared" ca="1" si="888"/>
        <v/>
      </c>
      <c r="BA477" s="259">
        <f t="shared" ca="1" si="864"/>
        <v>0</v>
      </c>
      <c r="BB477" s="259">
        <f t="shared" ca="1" si="889"/>
        <v>0</v>
      </c>
      <c r="BC477" s="259">
        <f t="shared" ca="1" si="890"/>
        <v>0</v>
      </c>
      <c r="BD477" s="259">
        <f t="shared" ca="1" si="891"/>
        <v>0</v>
      </c>
      <c r="BE477" s="259">
        <f t="shared" ca="1" si="892"/>
        <v>0</v>
      </c>
      <c r="BQ477" s="259" t="str">
        <f ca="1">IFERROR(INDEX($BN$3:$BO$200,MATCH(ROWS(BQ$3:BQ477),$BP$3:$BP$220,0),1),"")</f>
        <v/>
      </c>
      <c r="CX477" s="259">
        <f t="shared" ca="1" si="895"/>
        <v>27</v>
      </c>
      <c r="CY477" s="259" t="str">
        <f t="shared" ca="1" si="893"/>
        <v>MASTRO</v>
      </c>
      <c r="CZ477" s="259" t="e">
        <f t="shared" ca="1" si="897"/>
        <v>#N/A</v>
      </c>
      <c r="DA477" s="259" t="str">
        <f t="shared" ca="1" si="902"/>
        <v/>
      </c>
      <c r="DB477" s="259" t="str">
        <f t="shared" ca="1" si="898"/>
        <v/>
      </c>
      <c r="DC477" s="259" t="str">
        <f t="shared" ca="1" si="899"/>
        <v/>
      </c>
      <c r="DD477" s="259" t="str">
        <f t="shared" ca="1" si="900"/>
        <v/>
      </c>
      <c r="DE477" s="259" t="str">
        <f t="shared" ca="1" si="901"/>
        <v/>
      </c>
      <c r="DF477" s="259">
        <f ca="1">IF(AND(CX477=$DE$2,$DF$2&lt;&gt;0),0,IF(AND(DB477&lt;&gt;"",OR(DB476&lt;&gt;"",DB478&lt;&gt;"")),MAX($DF$2:DF476)+1,0))</f>
        <v>0</v>
      </c>
      <c r="EC477" s="259">
        <f>IF(IF(DG477&lt;&gt;"",REPLACE(DG477,3,1,""),0)&lt;&gt;0,MAX(EC$2:EC476)+1,0)</f>
        <v>0</v>
      </c>
      <c r="ED477" s="259">
        <f t="shared" ca="1" si="875"/>
        <v>0</v>
      </c>
      <c r="EL477" s="259">
        <f t="shared" si="878"/>
        <v>475</v>
      </c>
      <c r="EM477" s="259">
        <f ca="1">IF(AND(BA477&gt;0,BA477&lt;=$EM$1),MAX($EM$2:EM476)+1,0)</f>
        <v>0</v>
      </c>
      <c r="EN477" s="259">
        <f t="shared" ca="1" si="879"/>
        <v>477</v>
      </c>
      <c r="EP477" s="259" t="str">
        <f t="shared" ca="1" si="876"/>
        <v/>
      </c>
    </row>
    <row r="478" spans="52:146">
      <c r="AZ478" s="259" t="str">
        <f t="shared" ca="1" si="888"/>
        <v/>
      </c>
      <c r="BA478" s="259">
        <f t="shared" ca="1" si="864"/>
        <v>0</v>
      </c>
      <c r="BB478" s="259">
        <f t="shared" ca="1" si="889"/>
        <v>0</v>
      </c>
      <c r="BC478" s="259">
        <f t="shared" ca="1" si="890"/>
        <v>0</v>
      </c>
      <c r="BD478" s="259">
        <f t="shared" ca="1" si="891"/>
        <v>0</v>
      </c>
      <c r="BE478" s="259">
        <f t="shared" ca="1" si="892"/>
        <v>0</v>
      </c>
      <c r="BQ478" s="259" t="str">
        <f ca="1">IFERROR(INDEX($BN$3:$BO$200,MATCH(ROWS(BQ$3:BQ478),$BP$3:$BP$220,0),1),"")</f>
        <v/>
      </c>
      <c r="CX478" s="259">
        <f t="shared" ca="1" si="895"/>
        <v>27</v>
      </c>
      <c r="CY478" s="259" t="str">
        <f t="shared" ca="1" si="893"/>
        <v>MASTRO</v>
      </c>
      <c r="CZ478" s="259" t="e">
        <f t="shared" ca="1" si="897"/>
        <v>#N/A</v>
      </c>
      <c r="DA478" s="259" t="str">
        <f t="shared" ca="1" si="902"/>
        <v/>
      </c>
      <c r="DB478" s="259" t="str">
        <f t="shared" ca="1" si="898"/>
        <v/>
      </c>
      <c r="DC478" s="259" t="str">
        <f t="shared" ca="1" si="899"/>
        <v/>
      </c>
      <c r="DD478" s="259" t="str">
        <f t="shared" ca="1" si="900"/>
        <v/>
      </c>
      <c r="DE478" s="259" t="str">
        <f t="shared" ca="1" si="901"/>
        <v/>
      </c>
      <c r="DF478" s="259">
        <f ca="1">IF(AND(CX478=$DE$2,$DF$2&lt;&gt;0),0,IF(AND(DB478&lt;&gt;"",OR(DB477&lt;&gt;"",DB479&lt;&gt;"")),MAX($DF$2:DF477)+1,0))</f>
        <v>0</v>
      </c>
      <c r="EC478" s="259">
        <f>IF(IF(DG478&lt;&gt;"",REPLACE(DG478,3,1,""),0)&lt;&gt;0,MAX(EC$2:EC477)+1,0)</f>
        <v>0</v>
      </c>
      <c r="ED478" s="259">
        <f t="shared" ca="1" si="875"/>
        <v>0</v>
      </c>
      <c r="EL478" s="259">
        <f t="shared" si="878"/>
        <v>476</v>
      </c>
      <c r="EM478" s="259">
        <f ca="1">IF(AND(BA478&gt;0,BA478&lt;=$EM$1),MAX($EM$2:EM477)+1,0)</f>
        <v>0</v>
      </c>
      <c r="EN478" s="259">
        <f t="shared" ca="1" si="879"/>
        <v>478</v>
      </c>
      <c r="EP478" s="259" t="str">
        <f t="shared" ca="1" si="876"/>
        <v/>
      </c>
    </row>
    <row r="479" spans="52:146">
      <c r="AZ479" s="259" t="str">
        <f t="shared" ca="1" si="888"/>
        <v/>
      </c>
      <c r="BA479" s="259">
        <f t="shared" ca="1" si="864"/>
        <v>0</v>
      </c>
      <c r="BB479" s="259">
        <f t="shared" ca="1" si="889"/>
        <v>0</v>
      </c>
      <c r="BC479" s="259">
        <f t="shared" ca="1" si="890"/>
        <v>0</v>
      </c>
      <c r="BD479" s="259">
        <f t="shared" ca="1" si="891"/>
        <v>0</v>
      </c>
      <c r="BE479" s="259">
        <f t="shared" ca="1" si="892"/>
        <v>0</v>
      </c>
      <c r="BQ479" s="259" t="str">
        <f ca="1">IFERROR(INDEX($BN$3:$BO$200,MATCH(ROWS(BQ$3:BQ479),$BP$3:$BP$220,0),1),"")</f>
        <v/>
      </c>
      <c r="CX479" s="259">
        <f t="shared" ca="1" si="895"/>
        <v>27</v>
      </c>
      <c r="CY479" s="259" t="str">
        <f t="shared" ca="1" si="893"/>
        <v>MASTRO</v>
      </c>
      <c r="CZ479" s="259" t="e">
        <f t="shared" ca="1" si="897"/>
        <v>#N/A</v>
      </c>
      <c r="DA479" s="259" t="str">
        <f t="shared" ca="1" si="902"/>
        <v/>
      </c>
      <c r="DB479" s="259" t="str">
        <f t="shared" ca="1" si="898"/>
        <v/>
      </c>
      <c r="DC479" s="259" t="str">
        <f t="shared" ca="1" si="899"/>
        <v/>
      </c>
      <c r="DD479" s="259" t="str">
        <f t="shared" ca="1" si="900"/>
        <v/>
      </c>
      <c r="DE479" s="259" t="str">
        <f t="shared" ca="1" si="901"/>
        <v/>
      </c>
      <c r="DF479" s="259">
        <f ca="1">IF(AND(CX479=$DE$2,$DF$2&lt;&gt;0),0,IF(AND(DB479&lt;&gt;"",OR(DB478&lt;&gt;"",DB480&lt;&gt;"")),MAX($DF$2:DF478)+1,0))</f>
        <v>0</v>
      </c>
      <c r="EC479" s="259">
        <f>IF(IF(DG479&lt;&gt;"",REPLACE(DG479,3,1,""),0)&lt;&gt;0,MAX(EC$2:EC478)+1,0)</f>
        <v>0</v>
      </c>
      <c r="ED479" s="259">
        <f t="shared" ca="1" si="875"/>
        <v>0</v>
      </c>
      <c r="EL479" s="259">
        <f t="shared" si="878"/>
        <v>477</v>
      </c>
      <c r="EM479" s="259">
        <f ca="1">IF(AND(BA479&gt;0,BA479&lt;=$EM$1),MAX($EM$2:EM478)+1,0)</f>
        <v>0</v>
      </c>
      <c r="EN479" s="259">
        <f t="shared" ca="1" si="879"/>
        <v>479</v>
      </c>
      <c r="EP479" s="259" t="str">
        <f t="shared" ca="1" si="876"/>
        <v/>
      </c>
    </row>
    <row r="480" spans="52:146">
      <c r="AZ480" s="259" t="str">
        <f t="shared" ca="1" si="888"/>
        <v/>
      </c>
      <c r="BA480" s="259">
        <f t="shared" ca="1" si="864"/>
        <v>0</v>
      </c>
      <c r="BB480" s="259">
        <f t="shared" ca="1" si="889"/>
        <v>0</v>
      </c>
      <c r="BC480" s="259">
        <f t="shared" ca="1" si="890"/>
        <v>0</v>
      </c>
      <c r="BD480" s="259">
        <f t="shared" ca="1" si="891"/>
        <v>0</v>
      </c>
      <c r="BE480" s="259">
        <f t="shared" ca="1" si="892"/>
        <v>0</v>
      </c>
      <c r="BQ480" s="259" t="str">
        <f ca="1">IFERROR(INDEX($BN$3:$BO$200,MATCH(ROWS(BQ$3:BQ480),$BP$3:$BP$220,0),1),"")</f>
        <v/>
      </c>
      <c r="CX480" s="259">
        <f t="shared" ca="1" si="895"/>
        <v>27</v>
      </c>
      <c r="CY480" s="259" t="str">
        <f t="shared" ca="1" si="893"/>
        <v>MASTRO</v>
      </c>
      <c r="CZ480" s="259" t="e">
        <f t="shared" ca="1" si="897"/>
        <v>#N/A</v>
      </c>
      <c r="DA480" s="259" t="str">
        <f t="shared" ca="1" si="902"/>
        <v/>
      </c>
      <c r="DB480" s="259" t="str">
        <f t="shared" ca="1" si="898"/>
        <v/>
      </c>
      <c r="DC480" s="259" t="str">
        <f t="shared" ca="1" si="899"/>
        <v/>
      </c>
      <c r="DD480" s="259" t="str">
        <f t="shared" ca="1" si="900"/>
        <v/>
      </c>
      <c r="DE480" s="259" t="str">
        <f t="shared" ca="1" si="901"/>
        <v/>
      </c>
      <c r="DF480" s="259">
        <f ca="1">IF(AND(CX480=$DE$2,$DF$2&lt;&gt;0),0,IF(AND(DB480&lt;&gt;"",OR(DB479&lt;&gt;"",DB481&lt;&gt;"")),MAX($DF$2:DF479)+1,0))</f>
        <v>0</v>
      </c>
      <c r="EC480" s="259">
        <f>IF(IF(DG480&lt;&gt;"",REPLACE(DG480,3,1,""),0)&lt;&gt;0,MAX(EC$2:EC479)+1,0)</f>
        <v>0</v>
      </c>
      <c r="ED480" s="259">
        <f t="shared" ca="1" si="875"/>
        <v>0</v>
      </c>
      <c r="EL480" s="259">
        <f t="shared" si="878"/>
        <v>478</v>
      </c>
      <c r="EM480" s="259">
        <f ca="1">IF(AND(BA480&gt;0,BA480&lt;=$EM$1),MAX($EM$2:EM479)+1,0)</f>
        <v>0</v>
      </c>
      <c r="EN480" s="259">
        <f t="shared" ca="1" si="879"/>
        <v>480</v>
      </c>
      <c r="EP480" s="259" t="str">
        <f t="shared" ca="1" si="876"/>
        <v/>
      </c>
    </row>
    <row r="481" spans="52:146">
      <c r="AZ481" s="259" t="str">
        <f t="shared" ca="1" si="888"/>
        <v/>
      </c>
      <c r="BA481" s="259">
        <f t="shared" ca="1" si="864"/>
        <v>0</v>
      </c>
      <c r="BB481" s="259">
        <f t="shared" ca="1" si="889"/>
        <v>0</v>
      </c>
      <c r="BC481" s="259">
        <f t="shared" ca="1" si="890"/>
        <v>0</v>
      </c>
      <c r="BD481" s="259">
        <f t="shared" ca="1" si="891"/>
        <v>0</v>
      </c>
      <c r="BE481" s="259">
        <f t="shared" ca="1" si="892"/>
        <v>0</v>
      </c>
      <c r="BQ481" s="259" t="str">
        <f ca="1">IFERROR(INDEX($BN$3:$BO$200,MATCH(ROWS(BQ$3:BQ481),$BP$3:$BP$220,0),1),"")</f>
        <v/>
      </c>
      <c r="CX481" s="259">
        <f t="shared" ca="1" si="895"/>
        <v>27</v>
      </c>
      <c r="CY481" s="259" t="str">
        <f t="shared" ca="1" si="893"/>
        <v>MASTRO</v>
      </c>
      <c r="CZ481" s="259" t="e">
        <f t="shared" ca="1" si="897"/>
        <v>#N/A</v>
      </c>
      <c r="DA481" s="259" t="str">
        <f t="shared" ca="1" si="902"/>
        <v/>
      </c>
      <c r="DB481" s="259" t="str">
        <f t="shared" ca="1" si="898"/>
        <v/>
      </c>
      <c r="DC481" s="259" t="str">
        <f t="shared" ca="1" si="899"/>
        <v/>
      </c>
      <c r="DD481" s="259" t="str">
        <f t="shared" ca="1" si="900"/>
        <v/>
      </c>
      <c r="DE481" s="259" t="str">
        <f t="shared" ca="1" si="901"/>
        <v/>
      </c>
      <c r="DF481" s="259">
        <f ca="1">IF(AND(CX481=$DE$2,$DF$2&lt;&gt;0),0,IF(AND(DB481&lt;&gt;"",OR(DB480&lt;&gt;"",DB482&lt;&gt;"")),MAX($DF$2:DF480)+1,0))</f>
        <v>0</v>
      </c>
      <c r="EC481" s="259">
        <f>IF(IF(DG481&lt;&gt;"",REPLACE(DG481,3,1,""),0)&lt;&gt;0,MAX(EC$2:EC480)+1,0)</f>
        <v>0</v>
      </c>
      <c r="ED481" s="259">
        <f t="shared" ca="1" si="875"/>
        <v>0</v>
      </c>
      <c r="EL481" s="259">
        <f t="shared" si="878"/>
        <v>479</v>
      </c>
      <c r="EM481" s="259">
        <f ca="1">IF(AND(BA481&gt;0,BA481&lt;=$EM$1),MAX($EM$2:EM480)+1,0)</f>
        <v>0</v>
      </c>
      <c r="EN481" s="259">
        <f t="shared" ca="1" si="879"/>
        <v>481</v>
      </c>
      <c r="EP481" s="259" t="str">
        <f t="shared" ca="1" si="876"/>
        <v/>
      </c>
    </row>
    <row r="482" spans="52:146">
      <c r="AZ482" s="259" t="str">
        <f t="shared" ca="1" si="888"/>
        <v/>
      </c>
      <c r="BA482" s="259">
        <f t="shared" ca="1" si="864"/>
        <v>0</v>
      </c>
      <c r="BB482" s="259">
        <f t="shared" ca="1" si="889"/>
        <v>0</v>
      </c>
      <c r="BC482" s="259">
        <f t="shared" ca="1" si="890"/>
        <v>0</v>
      </c>
      <c r="BD482" s="259">
        <f t="shared" ca="1" si="891"/>
        <v>0</v>
      </c>
      <c r="BE482" s="259">
        <f t="shared" ca="1" si="892"/>
        <v>0</v>
      </c>
      <c r="BQ482" s="259" t="str">
        <f ca="1">IFERROR(INDEX($BN$3:$BO$200,MATCH(ROWS(BQ$3:BQ482),$BP$3:$BP$220,0),1),"")</f>
        <v/>
      </c>
      <c r="CX482" s="259">
        <f t="shared" ca="1" si="895"/>
        <v>27</v>
      </c>
      <c r="CY482" s="259" t="str">
        <f t="shared" ca="1" si="893"/>
        <v>MASTRO</v>
      </c>
      <c r="CZ482" s="259" t="e">
        <f t="shared" ca="1" si="897"/>
        <v>#N/A</v>
      </c>
      <c r="DA482" s="259" t="str">
        <f t="shared" ca="1" si="902"/>
        <v/>
      </c>
      <c r="DB482" s="259" t="str">
        <f t="shared" ca="1" si="898"/>
        <v/>
      </c>
      <c r="DC482" s="259" t="str">
        <f t="shared" ca="1" si="899"/>
        <v/>
      </c>
      <c r="DD482" s="259" t="str">
        <f t="shared" ca="1" si="900"/>
        <v/>
      </c>
      <c r="DE482" s="259" t="str">
        <f t="shared" ca="1" si="901"/>
        <v/>
      </c>
      <c r="DF482" s="259">
        <f ca="1">IF(AND(CX482=$DE$2,$DF$2&lt;&gt;0),0,IF(AND(DB482&lt;&gt;"",OR(DB481&lt;&gt;"",DB483&lt;&gt;"")),MAX($DF$2:DF481)+1,0))</f>
        <v>0</v>
      </c>
      <c r="EC482" s="259">
        <f>IF(IF(DG482&lt;&gt;"",REPLACE(DG482,3,1,""),0)&lt;&gt;0,MAX(EC$2:EC481)+1,0)</f>
        <v>0</v>
      </c>
      <c r="ED482" s="259">
        <f t="shared" ca="1" si="875"/>
        <v>0</v>
      </c>
      <c r="EL482" s="259">
        <f t="shared" si="878"/>
        <v>480</v>
      </c>
      <c r="EM482" s="259">
        <f ca="1">IF(AND(BA482&gt;0,BA482&lt;=$EM$1),MAX($EM$2:EM481)+1,0)</f>
        <v>0</v>
      </c>
      <c r="EN482" s="259">
        <f t="shared" ca="1" si="879"/>
        <v>482</v>
      </c>
      <c r="EP482" s="259" t="str">
        <f t="shared" ca="1" si="876"/>
        <v/>
      </c>
    </row>
    <row r="483" spans="52:146">
      <c r="AZ483" s="259" t="str">
        <f t="shared" ca="1" si="888"/>
        <v/>
      </c>
      <c r="BA483" s="259">
        <f t="shared" ca="1" si="864"/>
        <v>0</v>
      </c>
      <c r="BB483" s="259">
        <f t="shared" ca="1" si="889"/>
        <v>0</v>
      </c>
      <c r="BC483" s="259">
        <f t="shared" ca="1" si="890"/>
        <v>0</v>
      </c>
      <c r="BD483" s="259">
        <f t="shared" ca="1" si="891"/>
        <v>0</v>
      </c>
      <c r="BE483" s="259">
        <f t="shared" ca="1" si="892"/>
        <v>0</v>
      </c>
      <c r="BQ483" s="259" t="str">
        <f ca="1">IFERROR(INDEX($BN$3:$BO$200,MATCH(ROWS(BQ$3:BQ483),$BP$3:$BP$220,0),1),"")</f>
        <v/>
      </c>
      <c r="CX483" s="259">
        <f t="shared" ca="1" si="895"/>
        <v>27</v>
      </c>
      <c r="CY483" s="259" t="str">
        <f t="shared" ca="1" si="893"/>
        <v>MASTRO</v>
      </c>
      <c r="CZ483" s="259" t="e">
        <f t="shared" ca="1" si="897"/>
        <v>#N/A</v>
      </c>
      <c r="DA483" s="259" t="str">
        <f t="shared" ca="1" si="902"/>
        <v/>
      </c>
      <c r="DB483" s="259" t="str">
        <f t="shared" ca="1" si="898"/>
        <v/>
      </c>
      <c r="DC483" s="259" t="str">
        <f t="shared" ca="1" si="899"/>
        <v/>
      </c>
      <c r="DD483" s="259" t="str">
        <f t="shared" ca="1" si="900"/>
        <v/>
      </c>
      <c r="DE483" s="259" t="str">
        <f t="shared" ca="1" si="901"/>
        <v/>
      </c>
      <c r="DF483" s="259">
        <f ca="1">IF(AND(CX483=$DE$2,$DF$2&lt;&gt;0),0,IF(AND(DB483&lt;&gt;"",OR(DB482&lt;&gt;"",DB484&lt;&gt;"")),MAX($DF$2:DF482)+1,0))</f>
        <v>0</v>
      </c>
      <c r="EC483" s="259">
        <f>IF(IF(DG483&lt;&gt;"",REPLACE(DG483,3,1,""),0)&lt;&gt;0,MAX(EC$2:EC482)+1,0)</f>
        <v>0</v>
      </c>
      <c r="ED483" s="259">
        <f t="shared" ca="1" si="875"/>
        <v>0</v>
      </c>
      <c r="EL483" s="259">
        <f t="shared" si="878"/>
        <v>481</v>
      </c>
      <c r="EM483" s="259">
        <f ca="1">IF(AND(BA483&gt;0,BA483&lt;=$EM$1),MAX($EM$2:EM482)+1,0)</f>
        <v>0</v>
      </c>
      <c r="EN483" s="259">
        <f t="shared" ca="1" si="879"/>
        <v>483</v>
      </c>
      <c r="EP483" s="259" t="str">
        <f t="shared" ca="1" si="876"/>
        <v/>
      </c>
    </row>
    <row r="484" spans="52:146">
      <c r="AZ484" s="259" t="str">
        <f t="shared" ca="1" si="888"/>
        <v/>
      </c>
      <c r="BA484" s="259">
        <f t="shared" ca="1" si="864"/>
        <v>0</v>
      </c>
      <c r="BB484" s="259">
        <f t="shared" ca="1" si="889"/>
        <v>0</v>
      </c>
      <c r="BC484" s="259">
        <f t="shared" ca="1" si="890"/>
        <v>0</v>
      </c>
      <c r="BD484" s="259">
        <f t="shared" ca="1" si="891"/>
        <v>0</v>
      </c>
      <c r="BE484" s="259">
        <f t="shared" ca="1" si="892"/>
        <v>0</v>
      </c>
      <c r="BQ484" s="259" t="str">
        <f ca="1">IFERROR(INDEX($BN$3:$BO$200,MATCH(ROWS(BQ$3:BQ484),$BP$3:$BP$220,0),1),"")</f>
        <v/>
      </c>
      <c r="CX484" s="259">
        <f t="shared" ca="1" si="895"/>
        <v>27</v>
      </c>
      <c r="CY484" s="259" t="str">
        <f t="shared" ca="1" si="893"/>
        <v>MASTRO</v>
      </c>
      <c r="CZ484" s="259" t="e">
        <f t="shared" ca="1" si="897"/>
        <v>#N/A</v>
      </c>
      <c r="DA484" s="259" t="str">
        <f t="shared" ca="1" si="902"/>
        <v/>
      </c>
      <c r="DB484" s="259" t="str">
        <f t="shared" ca="1" si="898"/>
        <v/>
      </c>
      <c r="DC484" s="259" t="str">
        <f t="shared" ca="1" si="899"/>
        <v/>
      </c>
      <c r="DD484" s="259" t="str">
        <f t="shared" ca="1" si="900"/>
        <v/>
      </c>
      <c r="DE484" s="259" t="str">
        <f t="shared" ca="1" si="901"/>
        <v/>
      </c>
      <c r="DF484" s="259">
        <f ca="1">IF(AND(CX484=$DE$2,$DF$2&lt;&gt;0),0,IF(AND(DB484&lt;&gt;"",OR(DB483&lt;&gt;"",DB485&lt;&gt;"")),MAX($DF$2:DF483)+1,0))</f>
        <v>0</v>
      </c>
      <c r="EC484" s="259">
        <f>IF(IF(DG484&lt;&gt;"",REPLACE(DG484,3,1,""),0)&lt;&gt;0,MAX(EC$2:EC483)+1,0)</f>
        <v>0</v>
      </c>
      <c r="ED484" s="259">
        <f t="shared" ca="1" si="875"/>
        <v>0</v>
      </c>
      <c r="EL484" s="259">
        <f t="shared" si="878"/>
        <v>482</v>
      </c>
      <c r="EM484" s="259">
        <f ca="1">IF(AND(BA484&gt;0,BA484&lt;=$EM$1),MAX($EM$2:EM483)+1,0)</f>
        <v>0</v>
      </c>
      <c r="EN484" s="259">
        <f t="shared" ca="1" si="879"/>
        <v>484</v>
      </c>
      <c r="EP484" s="259" t="str">
        <f t="shared" ca="1" si="876"/>
        <v/>
      </c>
    </row>
    <row r="485" spans="52:146">
      <c r="AZ485" s="259" t="str">
        <f t="shared" ca="1" si="888"/>
        <v/>
      </c>
      <c r="BA485" s="259">
        <f t="shared" ca="1" si="864"/>
        <v>0</v>
      </c>
      <c r="BB485" s="259">
        <f t="shared" ca="1" si="889"/>
        <v>0</v>
      </c>
      <c r="BC485" s="259">
        <f t="shared" ca="1" si="890"/>
        <v>0</v>
      </c>
      <c r="BD485" s="259">
        <f t="shared" ca="1" si="891"/>
        <v>0</v>
      </c>
      <c r="BE485" s="259">
        <f t="shared" ca="1" si="892"/>
        <v>0</v>
      </c>
      <c r="BQ485" s="259" t="str">
        <f ca="1">IFERROR(INDEX($BN$3:$BO$200,MATCH(ROWS(BQ$3:BQ485),$BP$3:$BP$220,0),1),"")</f>
        <v/>
      </c>
      <c r="CX485" s="259">
        <f t="shared" ca="1" si="895"/>
        <v>27</v>
      </c>
      <c r="CY485" s="259" t="str">
        <f t="shared" ca="1" si="893"/>
        <v>MASTRO</v>
      </c>
      <c r="CZ485" s="259" t="e">
        <f t="shared" ca="1" si="897"/>
        <v>#N/A</v>
      </c>
      <c r="DA485" s="259" t="str">
        <f t="shared" ca="1" si="902"/>
        <v/>
      </c>
      <c r="DB485" s="259" t="str">
        <f t="shared" ca="1" si="898"/>
        <v/>
      </c>
      <c r="DC485" s="259" t="str">
        <f t="shared" ca="1" si="899"/>
        <v/>
      </c>
      <c r="DD485" s="259" t="str">
        <f t="shared" ca="1" si="900"/>
        <v/>
      </c>
      <c r="DE485" s="259" t="str">
        <f t="shared" ca="1" si="901"/>
        <v/>
      </c>
      <c r="DF485" s="259">
        <f ca="1">IF(AND(CX485=$DE$2,$DF$2&lt;&gt;0),0,IF(AND(DB485&lt;&gt;"",OR(DB484&lt;&gt;"",DB486&lt;&gt;"")),MAX($DF$2:DF484)+1,0))</f>
        <v>0</v>
      </c>
      <c r="EC485" s="259">
        <f>IF(IF(DG485&lt;&gt;"",REPLACE(DG485,3,1,""),0)&lt;&gt;0,MAX(EC$2:EC484)+1,0)</f>
        <v>0</v>
      </c>
      <c r="ED485" s="259">
        <f t="shared" ca="1" si="875"/>
        <v>0</v>
      </c>
      <c r="EL485" s="259">
        <f t="shared" si="878"/>
        <v>483</v>
      </c>
      <c r="EM485" s="259">
        <f ca="1">IF(AND(BA485&gt;0,BA485&lt;=$EM$1),MAX($EM$2:EM484)+1,0)</f>
        <v>0</v>
      </c>
      <c r="EN485" s="259">
        <f t="shared" ca="1" si="879"/>
        <v>485</v>
      </c>
      <c r="EP485" s="259" t="str">
        <f t="shared" ca="1" si="876"/>
        <v/>
      </c>
    </row>
    <row r="486" spans="52:146">
      <c r="AZ486" s="259" t="str">
        <f t="shared" ca="1" si="888"/>
        <v/>
      </c>
      <c r="BA486" s="259">
        <f t="shared" ca="1" si="864"/>
        <v>0</v>
      </c>
      <c r="BB486" s="259">
        <f t="shared" ca="1" si="889"/>
        <v>0</v>
      </c>
      <c r="BC486" s="259">
        <f t="shared" ca="1" si="890"/>
        <v>0</v>
      </c>
      <c r="BD486" s="259">
        <f t="shared" ca="1" si="891"/>
        <v>0</v>
      </c>
      <c r="BE486" s="259">
        <f t="shared" ca="1" si="892"/>
        <v>0</v>
      </c>
      <c r="BQ486" s="259" t="str">
        <f ca="1">IFERROR(INDEX($BN$3:$BO$200,MATCH(ROWS(BQ$3:BQ486),$BP$3:$BP$220,0),1),"")</f>
        <v/>
      </c>
      <c r="CX486" s="259">
        <f t="shared" ca="1" si="895"/>
        <v>27</v>
      </c>
      <c r="CY486" s="259" t="str">
        <f t="shared" ca="1" si="893"/>
        <v>MASTRO</v>
      </c>
      <c r="CZ486" s="259" t="e">
        <f t="shared" ca="1" si="897"/>
        <v>#N/A</v>
      </c>
      <c r="DA486" s="259" t="str">
        <f t="shared" ca="1" si="902"/>
        <v/>
      </c>
      <c r="DB486" s="259" t="str">
        <f t="shared" ca="1" si="898"/>
        <v/>
      </c>
      <c r="DC486" s="259" t="str">
        <f t="shared" ca="1" si="899"/>
        <v/>
      </c>
      <c r="DD486" s="259" t="str">
        <f t="shared" ca="1" si="900"/>
        <v/>
      </c>
      <c r="DE486" s="259" t="str">
        <f t="shared" ca="1" si="901"/>
        <v/>
      </c>
      <c r="DF486" s="259">
        <f ca="1">IF(AND(CX486=$DE$2,$DF$2&lt;&gt;0),0,IF(AND(DB486&lt;&gt;"",OR(DB485&lt;&gt;"",DB487&lt;&gt;"")),MAX($DF$2:DF485)+1,0))</f>
        <v>0</v>
      </c>
      <c r="EC486" s="259">
        <f>IF(IF(DG486&lt;&gt;"",REPLACE(DG486,3,1,""),0)&lt;&gt;0,MAX(EC$2:EC485)+1,0)</f>
        <v>0</v>
      </c>
      <c r="ED486" s="259">
        <f t="shared" ca="1" si="875"/>
        <v>0</v>
      </c>
      <c r="EL486" s="259">
        <f t="shared" si="878"/>
        <v>484</v>
      </c>
      <c r="EM486" s="259">
        <f ca="1">IF(AND(BA486&gt;0,BA486&lt;=$EM$1),MAX($EM$2:EM485)+1,0)</f>
        <v>0</v>
      </c>
      <c r="EN486" s="259">
        <f t="shared" ca="1" si="879"/>
        <v>486</v>
      </c>
      <c r="EP486" s="259" t="str">
        <f t="shared" ca="1" si="876"/>
        <v/>
      </c>
    </row>
    <row r="487" spans="52:146">
      <c r="AZ487" s="259" t="str">
        <f t="shared" ca="1" si="888"/>
        <v/>
      </c>
      <c r="BA487" s="259">
        <f t="shared" ref="BA487:BA500" ca="1" si="903">IF(AND(EY387&gt;=INIZIO_AC,EY387&gt;=INIZIO_A_PC,EY387&lt;=FINE_AC),EY387,0)</f>
        <v>0</v>
      </c>
      <c r="BB487" s="259">
        <f t="shared" ca="1" si="889"/>
        <v>0</v>
      </c>
      <c r="BC487" s="259">
        <f t="shared" ca="1" si="890"/>
        <v>0</v>
      </c>
      <c r="BD487" s="259">
        <f t="shared" ca="1" si="891"/>
        <v>0</v>
      </c>
      <c r="BE487" s="259">
        <f t="shared" ca="1" si="892"/>
        <v>0</v>
      </c>
      <c r="BQ487" s="259" t="str">
        <f ca="1">IFERROR(INDEX($BN$3:$BO$200,MATCH(ROWS(BQ$3:BQ487),$BP$3:$BP$220,0),1),"")</f>
        <v/>
      </c>
      <c r="CX487" s="259">
        <f t="shared" ca="1" si="895"/>
        <v>27</v>
      </c>
      <c r="CY487" s="259" t="str">
        <f t="shared" ca="1" si="893"/>
        <v>MASTRO</v>
      </c>
      <c r="CZ487" s="259" t="e">
        <f t="shared" ca="1" si="897"/>
        <v>#N/A</v>
      </c>
      <c r="DA487" s="259" t="str">
        <f t="shared" ca="1" si="902"/>
        <v/>
      </c>
      <c r="DB487" s="259" t="str">
        <f t="shared" ca="1" si="898"/>
        <v/>
      </c>
      <c r="DC487" s="259" t="str">
        <f t="shared" ca="1" si="899"/>
        <v/>
      </c>
      <c r="DD487" s="259" t="str">
        <f t="shared" ca="1" si="900"/>
        <v/>
      </c>
      <c r="DE487" s="259" t="str">
        <f t="shared" ca="1" si="901"/>
        <v/>
      </c>
      <c r="DF487" s="259">
        <f ca="1">IF(AND(CX487=$DE$2,$DF$2&lt;&gt;0),0,IF(AND(DB487&lt;&gt;"",OR(DB486&lt;&gt;"",DB488&lt;&gt;"")),MAX($DF$2:DF486)+1,0))</f>
        <v>0</v>
      </c>
      <c r="EC487" s="259">
        <f>IF(IF(DG487&lt;&gt;"",REPLACE(DG487,3,1,""),0)&lt;&gt;0,MAX(EC$2:EC486)+1,0)</f>
        <v>0</v>
      </c>
      <c r="ED487" s="259">
        <f t="shared" ca="1" si="875"/>
        <v>0</v>
      </c>
      <c r="EL487" s="259">
        <f t="shared" si="878"/>
        <v>485</v>
      </c>
      <c r="EM487" s="259">
        <f ca="1">IF(AND(BA487&gt;0,BA487&lt;=$EM$1),MAX($EM$2:EM486)+1,0)</f>
        <v>0</v>
      </c>
      <c r="EN487" s="259">
        <f t="shared" ca="1" si="879"/>
        <v>487</v>
      </c>
      <c r="EP487" s="259" t="str">
        <f t="shared" ca="1" si="876"/>
        <v/>
      </c>
    </row>
    <row r="488" spans="52:146">
      <c r="AZ488" s="259" t="str">
        <f t="shared" ca="1" si="888"/>
        <v/>
      </c>
      <c r="BA488" s="259">
        <f t="shared" ca="1" si="903"/>
        <v>0</v>
      </c>
      <c r="BB488" s="259">
        <f t="shared" ca="1" si="889"/>
        <v>0</v>
      </c>
      <c r="BC488" s="259">
        <f t="shared" ca="1" si="890"/>
        <v>0</v>
      </c>
      <c r="BD488" s="259">
        <f t="shared" ca="1" si="891"/>
        <v>0</v>
      </c>
      <c r="BE488" s="259">
        <f t="shared" ca="1" si="892"/>
        <v>0</v>
      </c>
      <c r="BQ488" s="259" t="str">
        <f ca="1">IFERROR(INDEX($BN$3:$BO$200,MATCH(ROWS(BQ$3:BQ488),$BP$3:$BP$220,0),1),"")</f>
        <v/>
      </c>
      <c r="CX488" s="259" t="str">
        <f>IFERROR(IF(CX470+1=1,"",(CX470+1)),"")</f>
        <v/>
      </c>
      <c r="CY488" s="259" t="str">
        <f t="shared" ca="1" si="893"/>
        <v>MASTRO</v>
      </c>
      <c r="DB488" s="259" t="str">
        <f t="shared" ref="DB488" ca="1" si="904">CY488</f>
        <v>MASTRO</v>
      </c>
      <c r="DF488" s="259">
        <f ca="1">IF(AND(CX488=$DE$2,$DF$2&lt;&gt;0),0,IF(AND(DB488&lt;&gt;"",OR(DB487&lt;&gt;"",DB489&lt;&gt;"")),MAX($DF$2:DF487)+1,0))</f>
        <v>0</v>
      </c>
      <c r="EC488" s="259">
        <f>IF(IF(DG488&lt;&gt;"",REPLACE(DG488,3,1,""),0)&lt;&gt;0,MAX(EC$2:EC487)+1,0)</f>
        <v>0</v>
      </c>
      <c r="ED488" s="259">
        <f t="shared" ca="1" si="875"/>
        <v>0</v>
      </c>
      <c r="EL488" s="259">
        <f t="shared" si="878"/>
        <v>486</v>
      </c>
      <c r="EM488" s="259">
        <f ca="1">IF(AND(BA488&gt;0,BA488&lt;=$EM$1),MAX($EM$2:EM487)+1,0)</f>
        <v>0</v>
      </c>
      <c r="EN488" s="259">
        <f t="shared" ca="1" si="879"/>
        <v>488</v>
      </c>
      <c r="EP488" s="259" t="str">
        <f t="shared" ca="1" si="876"/>
        <v/>
      </c>
    </row>
    <row r="489" spans="52:146">
      <c r="AZ489" s="259" t="str">
        <f t="shared" ca="1" si="888"/>
        <v/>
      </c>
      <c r="BA489" s="259">
        <f t="shared" ca="1" si="903"/>
        <v>0</v>
      </c>
      <c r="BB489" s="259">
        <f t="shared" ca="1" si="889"/>
        <v>0</v>
      </c>
      <c r="BC489" s="259">
        <f t="shared" ca="1" si="890"/>
        <v>0</v>
      </c>
      <c r="BD489" s="259">
        <f t="shared" ca="1" si="891"/>
        <v>0</v>
      </c>
      <c r="BE489" s="259">
        <f t="shared" ca="1" si="892"/>
        <v>0</v>
      </c>
      <c r="BQ489" s="259" t="str">
        <f ca="1">IFERROR(INDEX($BN$3:$BO$200,MATCH(ROWS(BQ$3:BQ489),$BP$3:$BP$220,0),1),"")</f>
        <v/>
      </c>
      <c r="CX489" s="259">
        <f ca="1">$EA$30</f>
        <v>28</v>
      </c>
      <c r="CY489" s="259" t="str">
        <f t="shared" ca="1" si="893"/>
        <v>MASTRO</v>
      </c>
      <c r="DA489" s="259" t="str">
        <f ca="1">IF(CY488="MASTRO","Conto n.","")</f>
        <v>Conto n.</v>
      </c>
      <c r="DB489" s="259" t="str">
        <f ca="1">IF(CY489=0,"",INDEX(PIANO_DEI_CONTI,MATCH(DC489,DENOMINAZIONE,0),1))</f>
        <v/>
      </c>
      <c r="DC489" s="259" t="str">
        <f ca="1">IF(OR(CY489=0,CY489="mastro"),"",CY489)</f>
        <v/>
      </c>
      <c r="DD489" s="259" t="str">
        <f ca="1">IF(AND($DA$2=TRUE,OR(INDEX(PIANO_DEI_CONTI,MATCH($DC489,DENOMINAZIONE,0),4)="A",INDEX(PIANO_DEI_CONTI,MATCH($DC489,DENOMINAZIONE,0),4)="D/A"),SUMIFS(AVERE,DENOMINAZIONE_GIORNALE,"="&amp;$DC489)&gt;SUMIFS(DARE,DENOMINAZIONE_GIORNALE,"="&amp;$DC489)),CONCATENATE("s ",FIXED(ABS(SUMIFS(AVERE,DENOMINAZIONE_GIORNALE,"="&amp;$DC489)-SUMIFS(DARE,DENOMINAZIONE_GIORNALE,"="&amp;$DC489)),2)),"")</f>
        <v/>
      </c>
      <c r="DE489" s="259" t="str">
        <f ca="1">IF(AND($DA$2=TRUE,OR(INDEX(PIANO_DEI_CONTI,MATCH($DC489,DENOMINAZIONE,0),4)="D",INDEX(PIANO_DEI_CONTI,MATCH($DC489,DENOMINAZIONE,0),4)="D/A"),SUMIFS(DARE,DENOMINAZIONE_GIORNALE,"="&amp;$DC489)&gt;SUMIFS(AVERE,DENOMINAZIONE_GIORNALE,"="&amp;$DC489)),CONCATENATE("s ",FIXED(ABS(SUMIFS(DARE,DENOMINAZIONE_GIORNALE,"="&amp;$DC489)-SUMIFS(AVERE,DENOMINAZIONE_GIORNALE,"="&amp;$DC489)),2)),"")</f>
        <v/>
      </c>
      <c r="DF489" s="259">
        <f ca="1">IF(AND(CX489=$DE$2,$DF$2&lt;&gt;0),0,IF(AND(DB489&lt;&gt;"",OR(DB488&lt;&gt;"",DB490&lt;&gt;"")),MAX($DF$2:DF488)+1,0))</f>
        <v>0</v>
      </c>
      <c r="EC489" s="259">
        <f>IF(IF(DG489&lt;&gt;"",REPLACE(DG489,3,1,""),0)&lt;&gt;0,MAX(EC$2:EC488)+1,0)</f>
        <v>0</v>
      </c>
      <c r="ED489" s="259">
        <f t="shared" ca="1" si="875"/>
        <v>0</v>
      </c>
      <c r="EL489" s="259">
        <f t="shared" si="878"/>
        <v>487</v>
      </c>
      <c r="EM489" s="259">
        <f ca="1">IF(AND(BA489&gt;0,BA489&lt;=$EM$1),MAX($EM$2:EM488)+1,0)</f>
        <v>0</v>
      </c>
      <c r="EN489" s="259">
        <f t="shared" ca="1" si="879"/>
        <v>489</v>
      </c>
      <c r="EP489" s="259" t="str">
        <f t="shared" ca="1" si="876"/>
        <v/>
      </c>
    </row>
    <row r="490" spans="52:146">
      <c r="AZ490" s="259" t="str">
        <f t="shared" ca="1" si="888"/>
        <v/>
      </c>
      <c r="BA490" s="259">
        <f t="shared" ca="1" si="903"/>
        <v>0</v>
      </c>
      <c r="BB490" s="259">
        <f t="shared" ca="1" si="889"/>
        <v>0</v>
      </c>
      <c r="BC490" s="259">
        <f t="shared" ca="1" si="890"/>
        <v>0</v>
      </c>
      <c r="BD490" s="259">
        <f t="shared" ca="1" si="891"/>
        <v>0</v>
      </c>
      <c r="BE490" s="259">
        <f t="shared" ca="1" si="892"/>
        <v>0</v>
      </c>
      <c r="BQ490" s="259" t="str">
        <f ca="1">IFERROR(INDEX($BN$3:$BO$200,MATCH(ROWS(BQ$3:BQ490),$BP$3:$BP$220,0),1),"")</f>
        <v/>
      </c>
      <c r="CX490" s="259">
        <f t="shared" ref="CX490:CX505" ca="1" si="905">$EA$30</f>
        <v>28</v>
      </c>
      <c r="CY490" s="259" t="str">
        <f t="shared" ca="1" si="893"/>
        <v>MASTRO</v>
      </c>
      <c r="DA490" s="259" t="str">
        <f ca="1">IF(DB489="","","Num. riga")</f>
        <v/>
      </c>
      <c r="DB490" s="259" t="str">
        <f t="shared" ref="DB490" ca="1" si="906">IF(DB489="","","Data")</f>
        <v/>
      </c>
      <c r="DC490" s="259" t="str">
        <f ca="1">IF(DB489="","","Operazioni")</f>
        <v/>
      </c>
      <c r="DD490" s="259" t="str">
        <f ca="1">IF(DB489="","","Dare        ")</f>
        <v/>
      </c>
      <c r="DE490" s="259" t="str">
        <f ca="1">IF(DB489="","","Avere        ")</f>
        <v/>
      </c>
      <c r="DF490" s="259">
        <f ca="1">IF(AND(CX490=$DE$2,$DF$2&lt;&gt;0),0,IF(AND(DB490&lt;&gt;"",OR(DB489&lt;&gt;"",DB491&lt;&gt;"")),MAX($DF$2:DF489)+1,0))</f>
        <v>0</v>
      </c>
      <c r="EC490" s="259">
        <f>IF(IF(DG490&lt;&gt;"",REPLACE(DG490,3,1,""),0)&lt;&gt;0,MAX(EC$2:EC489)+1,0)</f>
        <v>0</v>
      </c>
      <c r="ED490" s="259">
        <f t="shared" ca="1" si="875"/>
        <v>0</v>
      </c>
      <c r="EL490" s="259">
        <f t="shared" si="878"/>
        <v>488</v>
      </c>
      <c r="EM490" s="259">
        <f ca="1">IF(AND(BA490&gt;0,BA490&lt;=$EM$1),MAX($EM$2:EM489)+1,0)</f>
        <v>0</v>
      </c>
      <c r="EN490" s="259">
        <f t="shared" ca="1" si="879"/>
        <v>490</v>
      </c>
      <c r="EP490" s="259" t="str">
        <f t="shared" ca="1" si="876"/>
        <v/>
      </c>
    </row>
    <row r="491" spans="52:146">
      <c r="AZ491" s="259" t="str">
        <f t="shared" ca="1" si="888"/>
        <v/>
      </c>
      <c r="BA491" s="259">
        <f t="shared" ca="1" si="903"/>
        <v>0</v>
      </c>
      <c r="BB491" s="259">
        <f t="shared" ca="1" si="889"/>
        <v>0</v>
      </c>
      <c r="BC491" s="259">
        <f t="shared" ca="1" si="890"/>
        <v>0</v>
      </c>
      <c r="BD491" s="259">
        <f t="shared" ca="1" si="891"/>
        <v>0</v>
      </c>
      <c r="BE491" s="259">
        <f t="shared" ca="1" si="892"/>
        <v>0</v>
      </c>
      <c r="BQ491" s="259" t="str">
        <f ca="1">IFERROR(INDEX($BN$3:$BO$200,MATCH(ROWS(BQ$3:BQ491),$BP$3:$BP$220,0),1),"")</f>
        <v/>
      </c>
      <c r="CX491" s="259">
        <f t="shared" ca="1" si="905"/>
        <v>28</v>
      </c>
      <c r="CY491" s="259" t="str">
        <f t="shared" ca="1" si="893"/>
        <v>MASTRO</v>
      </c>
      <c r="CZ491" s="259" t="e">
        <f t="shared" ref="CZ491:CZ505" ca="1" si="907">SUM(MATCH($CY491,INDIRECT(ADDRESS(SUM(CZ490)+3,54)&amp;":"&amp;ADDRESS(400,54)),0),CZ490)</f>
        <v>#N/A</v>
      </c>
      <c r="DA491" s="259" t="str">
        <f ca="1">IFERROR(INDEX(LIBRO_GIORNALE,CZ491,1),"")</f>
        <v/>
      </c>
      <c r="DB491" s="259" t="str">
        <f t="shared" ref="DB491:DB505" ca="1" si="908">IF(RIGHT(TEXT(IFERROR(INDEX(LIBRO_GIORNALE,CZ491,2),""),"gg/mm/aa"),1)="a",TEXT(IFERROR(INDEX(LIBRO_GIORNALE,CZ491,2),""),"dd/mm/yy"),TEXT(IFERROR(INDEX(LIBRO_GIORNALE,CZ491,2),""),"gg/mm/aa"))</f>
        <v/>
      </c>
      <c r="DC491" s="259" t="str">
        <f t="shared" ref="DC491:DC505" ca="1" si="909">IF(IFERROR(INDEX(LIBRO_GIORNALE,CZ491,4),"")=0,"manca la descrizione dell'operazione",IFERROR(INDEX(LIBRO_GIORNALE,CZ491,4),""))</f>
        <v/>
      </c>
      <c r="DD491" s="259" t="str">
        <f t="shared" ref="DD491:DD505" ca="1" si="910">IFERROR(IF(INDEX(LIBRO_GIORNALE,CZ491,5)&gt;0,INDEX(LIBRO_GIORNALE,CZ491,5),""),"")</f>
        <v/>
      </c>
      <c r="DE491" s="259" t="str">
        <f t="shared" ref="DE491:DE505" ca="1" si="911">IFERROR(IF(INDEX(LIBRO_GIORNALE,CZ491,6)&gt;0,INDEX(LIBRO_GIORNALE,CZ491,6),""),"")</f>
        <v/>
      </c>
      <c r="DF491" s="259">
        <f ca="1">IF(AND(CX491=$DE$2,$DF$2&lt;&gt;0),0,IF(AND(DB491&lt;&gt;"",OR(DB490&lt;&gt;"",DB492&lt;&gt;"")),MAX($DF$2:DF490)+1,0))</f>
        <v>0</v>
      </c>
      <c r="EC491" s="259">
        <f>IF(IF(DG491&lt;&gt;"",REPLACE(DG491,3,1,""),0)&lt;&gt;0,MAX(EC$2:EC490)+1,0)</f>
        <v>0</v>
      </c>
      <c r="ED491" s="259">
        <f t="shared" ca="1" si="875"/>
        <v>0</v>
      </c>
      <c r="EL491" s="259">
        <f t="shared" si="878"/>
        <v>489</v>
      </c>
      <c r="EM491" s="259">
        <f ca="1">IF(AND(BA491&gt;0,BA491&lt;=$EM$1),MAX($EM$2:EM490)+1,0)</f>
        <v>0</v>
      </c>
      <c r="EN491" s="259">
        <f t="shared" ca="1" si="879"/>
        <v>491</v>
      </c>
      <c r="EP491" s="259" t="str">
        <f t="shared" ca="1" si="876"/>
        <v/>
      </c>
    </row>
    <row r="492" spans="52:146">
      <c r="AZ492" s="259" t="str">
        <f t="shared" ca="1" si="888"/>
        <v/>
      </c>
      <c r="BA492" s="259">
        <f t="shared" ca="1" si="903"/>
        <v>0</v>
      </c>
      <c r="BB492" s="259">
        <f t="shared" ca="1" si="889"/>
        <v>0</v>
      </c>
      <c r="BC492" s="259">
        <f t="shared" ca="1" si="890"/>
        <v>0</v>
      </c>
      <c r="BD492" s="259">
        <f t="shared" ca="1" si="891"/>
        <v>0</v>
      </c>
      <c r="BE492" s="259">
        <f t="shared" ca="1" si="892"/>
        <v>0</v>
      </c>
      <c r="BQ492" s="259" t="str">
        <f ca="1">IFERROR(INDEX($BN$3:$BO$200,MATCH(ROWS(BQ$3:BQ492),$BP$3:$BP$220,0),1),"")</f>
        <v/>
      </c>
      <c r="CX492" s="259">
        <f t="shared" ca="1" si="905"/>
        <v>28</v>
      </c>
      <c r="CY492" s="259" t="str">
        <f t="shared" ca="1" si="893"/>
        <v>MASTRO</v>
      </c>
      <c r="CZ492" s="259" t="e">
        <f t="shared" ca="1" si="907"/>
        <v>#N/A</v>
      </c>
      <c r="DA492" s="259" t="str">
        <f t="shared" ref="DA492:DA505" ca="1" si="912">IFERROR(INDEX(LIBRO_GIORNALE,CZ492,1),"")</f>
        <v/>
      </c>
      <c r="DB492" s="259" t="str">
        <f t="shared" ca="1" si="908"/>
        <v/>
      </c>
      <c r="DC492" s="259" t="str">
        <f t="shared" ca="1" si="909"/>
        <v/>
      </c>
      <c r="DD492" s="259" t="str">
        <f t="shared" ca="1" si="910"/>
        <v/>
      </c>
      <c r="DE492" s="259" t="str">
        <f t="shared" ca="1" si="911"/>
        <v/>
      </c>
      <c r="DF492" s="259">
        <f ca="1">IF(AND(CX492=$DE$2,$DF$2&lt;&gt;0),0,IF(AND(DB492&lt;&gt;"",OR(DB491&lt;&gt;"",DB493&lt;&gt;"")),MAX($DF$2:DF491)+1,0))</f>
        <v>0</v>
      </c>
      <c r="EC492" s="259">
        <f>IF(IF(DG492&lt;&gt;"",REPLACE(DG492,3,1,""),0)&lt;&gt;0,MAX(EC$2:EC491)+1,0)</f>
        <v>0</v>
      </c>
      <c r="ED492" s="259">
        <f t="shared" ca="1" si="875"/>
        <v>0</v>
      </c>
      <c r="EL492" s="259">
        <f t="shared" si="878"/>
        <v>490</v>
      </c>
      <c r="EM492" s="259">
        <f ca="1">IF(AND(BA492&gt;0,BA492&lt;=$EM$1),MAX($EM$2:EM491)+1,0)</f>
        <v>0</v>
      </c>
      <c r="EN492" s="259">
        <f t="shared" ca="1" si="879"/>
        <v>492</v>
      </c>
      <c r="EP492" s="259" t="str">
        <f t="shared" ca="1" si="876"/>
        <v/>
      </c>
    </row>
    <row r="493" spans="52:146">
      <c r="AZ493" s="259" t="str">
        <f t="shared" ca="1" si="888"/>
        <v/>
      </c>
      <c r="BA493" s="259">
        <f t="shared" ca="1" si="903"/>
        <v>0</v>
      </c>
      <c r="BB493" s="259">
        <f t="shared" ca="1" si="889"/>
        <v>0</v>
      </c>
      <c r="BC493" s="259">
        <f t="shared" ca="1" si="890"/>
        <v>0</v>
      </c>
      <c r="BD493" s="259">
        <f t="shared" ca="1" si="891"/>
        <v>0</v>
      </c>
      <c r="BE493" s="259">
        <f t="shared" ca="1" si="892"/>
        <v>0</v>
      </c>
      <c r="BQ493" s="259" t="str">
        <f ca="1">IFERROR(INDEX($BN$3:$BO$200,MATCH(ROWS(BQ$3:BQ493),$BP$3:$BP$220,0),1),"")</f>
        <v/>
      </c>
      <c r="CX493" s="259">
        <f t="shared" ca="1" si="905"/>
        <v>28</v>
      </c>
      <c r="CY493" s="259" t="str">
        <f t="shared" ca="1" si="893"/>
        <v>MASTRO</v>
      </c>
      <c r="CZ493" s="259" t="e">
        <f t="shared" ca="1" si="907"/>
        <v>#N/A</v>
      </c>
      <c r="DA493" s="259" t="str">
        <f t="shared" ca="1" si="912"/>
        <v/>
      </c>
      <c r="DB493" s="259" t="str">
        <f t="shared" ca="1" si="908"/>
        <v/>
      </c>
      <c r="DC493" s="259" t="str">
        <f t="shared" ca="1" si="909"/>
        <v/>
      </c>
      <c r="DD493" s="259" t="str">
        <f t="shared" ca="1" si="910"/>
        <v/>
      </c>
      <c r="DE493" s="259" t="str">
        <f t="shared" ca="1" si="911"/>
        <v/>
      </c>
      <c r="DF493" s="259">
        <f ca="1">IF(AND(CX493=$DE$2,$DF$2&lt;&gt;0),0,IF(AND(DB493&lt;&gt;"",OR(DB492&lt;&gt;"",DB494&lt;&gt;"")),MAX($DF$2:DF492)+1,0))</f>
        <v>0</v>
      </c>
      <c r="EC493" s="259">
        <f>IF(IF(DG493&lt;&gt;"",REPLACE(DG493,3,1,""),0)&lt;&gt;0,MAX(EC$2:EC492)+1,0)</f>
        <v>0</v>
      </c>
      <c r="ED493" s="259">
        <f t="shared" ca="1" si="875"/>
        <v>0</v>
      </c>
      <c r="EL493" s="259">
        <f t="shared" si="878"/>
        <v>491</v>
      </c>
      <c r="EM493" s="259">
        <f ca="1">IF(AND(BA493&gt;0,BA493&lt;=$EM$1),MAX($EM$2:EM492)+1,0)</f>
        <v>0</v>
      </c>
      <c r="EN493" s="259">
        <f t="shared" ca="1" si="879"/>
        <v>493</v>
      </c>
      <c r="EP493" s="259" t="str">
        <f t="shared" ca="1" si="876"/>
        <v/>
      </c>
    </row>
    <row r="494" spans="52:146">
      <c r="AZ494" s="259" t="str">
        <f t="shared" ca="1" si="888"/>
        <v/>
      </c>
      <c r="BA494" s="259">
        <f t="shared" ca="1" si="903"/>
        <v>0</v>
      </c>
      <c r="BB494" s="259">
        <f t="shared" ca="1" si="889"/>
        <v>0</v>
      </c>
      <c r="BC494" s="259">
        <f t="shared" ca="1" si="890"/>
        <v>0</v>
      </c>
      <c r="BD494" s="259">
        <f t="shared" ca="1" si="891"/>
        <v>0</v>
      </c>
      <c r="BE494" s="259">
        <f t="shared" ca="1" si="892"/>
        <v>0</v>
      </c>
      <c r="BQ494" s="259" t="str">
        <f ca="1">IFERROR(INDEX($BN$3:$BO$200,MATCH(ROWS(BQ$3:BQ494),$BP$3:$BP$220,0),1),"")</f>
        <v/>
      </c>
      <c r="CX494" s="259">
        <f t="shared" ca="1" si="905"/>
        <v>28</v>
      </c>
      <c r="CY494" s="259" t="str">
        <f t="shared" ca="1" si="893"/>
        <v>MASTRO</v>
      </c>
      <c r="CZ494" s="259" t="e">
        <f t="shared" ca="1" si="907"/>
        <v>#N/A</v>
      </c>
      <c r="DA494" s="259" t="str">
        <f t="shared" ca="1" si="912"/>
        <v/>
      </c>
      <c r="DB494" s="259" t="str">
        <f t="shared" ca="1" si="908"/>
        <v/>
      </c>
      <c r="DC494" s="259" t="str">
        <f t="shared" ca="1" si="909"/>
        <v/>
      </c>
      <c r="DD494" s="259" t="str">
        <f t="shared" ca="1" si="910"/>
        <v/>
      </c>
      <c r="DE494" s="259" t="str">
        <f t="shared" ca="1" si="911"/>
        <v/>
      </c>
      <c r="DF494" s="259">
        <f ca="1">IF(AND(CX494=$DE$2,$DF$2&lt;&gt;0),0,IF(AND(DB494&lt;&gt;"",OR(DB493&lt;&gt;"",DB495&lt;&gt;"")),MAX($DF$2:DF493)+1,0))</f>
        <v>0</v>
      </c>
      <c r="EC494" s="259">
        <f>IF(IF(DG494&lt;&gt;"",REPLACE(DG494,3,1,""),0)&lt;&gt;0,MAX(EC$2:EC493)+1,0)</f>
        <v>0</v>
      </c>
      <c r="ED494" s="259">
        <f t="shared" ca="1" si="875"/>
        <v>0</v>
      </c>
      <c r="EL494" s="259">
        <f t="shared" si="878"/>
        <v>492</v>
      </c>
      <c r="EM494" s="259">
        <f ca="1">IF(AND(BA494&gt;0,BA494&lt;=$EM$1),MAX($EM$2:EM493)+1,0)</f>
        <v>0</v>
      </c>
      <c r="EN494" s="259">
        <f t="shared" ca="1" si="879"/>
        <v>494</v>
      </c>
      <c r="EP494" s="259" t="str">
        <f t="shared" ca="1" si="876"/>
        <v/>
      </c>
    </row>
    <row r="495" spans="52:146">
      <c r="AZ495" s="259" t="str">
        <f t="shared" ca="1" si="888"/>
        <v/>
      </c>
      <c r="BA495" s="259">
        <f t="shared" ca="1" si="903"/>
        <v>0</v>
      </c>
      <c r="BB495" s="259">
        <f t="shared" ca="1" si="889"/>
        <v>0</v>
      </c>
      <c r="BC495" s="259">
        <f t="shared" ca="1" si="890"/>
        <v>0</v>
      </c>
      <c r="BD495" s="259">
        <f t="shared" ca="1" si="891"/>
        <v>0</v>
      </c>
      <c r="BE495" s="259">
        <f t="shared" ca="1" si="892"/>
        <v>0</v>
      </c>
      <c r="BQ495" s="259" t="str">
        <f ca="1">IFERROR(INDEX($BN$3:$BO$200,MATCH(ROWS(BQ$3:BQ495),$BP$3:$BP$220,0),1),"")</f>
        <v/>
      </c>
      <c r="CX495" s="259">
        <f t="shared" ca="1" si="905"/>
        <v>28</v>
      </c>
      <c r="CY495" s="259" t="str">
        <f t="shared" ca="1" si="893"/>
        <v>MASTRO</v>
      </c>
      <c r="CZ495" s="259" t="e">
        <f t="shared" ca="1" si="907"/>
        <v>#N/A</v>
      </c>
      <c r="DA495" s="259" t="str">
        <f t="shared" ca="1" si="912"/>
        <v/>
      </c>
      <c r="DB495" s="259" t="str">
        <f t="shared" ca="1" si="908"/>
        <v/>
      </c>
      <c r="DC495" s="259" t="str">
        <f t="shared" ca="1" si="909"/>
        <v/>
      </c>
      <c r="DD495" s="259" t="str">
        <f t="shared" ca="1" si="910"/>
        <v/>
      </c>
      <c r="DE495" s="259" t="str">
        <f t="shared" ca="1" si="911"/>
        <v/>
      </c>
      <c r="DF495" s="259">
        <f ca="1">IF(AND(CX495=$DE$2,$DF$2&lt;&gt;0),0,IF(AND(DB495&lt;&gt;"",OR(DB494&lt;&gt;"",DB496&lt;&gt;"")),MAX($DF$2:DF494)+1,0))</f>
        <v>0</v>
      </c>
      <c r="EC495" s="259">
        <f>IF(IF(DG495&lt;&gt;"",REPLACE(DG495,3,1,""),0)&lt;&gt;0,MAX(EC$2:EC494)+1,0)</f>
        <v>0</v>
      </c>
      <c r="ED495" s="259">
        <f t="shared" ca="1" si="875"/>
        <v>0</v>
      </c>
      <c r="EL495" s="259">
        <f t="shared" si="878"/>
        <v>493</v>
      </c>
      <c r="EM495" s="259">
        <f ca="1">IF(AND(BA495&gt;0,BA495&lt;=$EM$1),MAX($EM$2:EM494)+1,0)</f>
        <v>0</v>
      </c>
      <c r="EN495" s="259">
        <f t="shared" ca="1" si="879"/>
        <v>495</v>
      </c>
      <c r="EP495" s="259" t="str">
        <f t="shared" ca="1" si="876"/>
        <v/>
      </c>
    </row>
    <row r="496" spans="52:146">
      <c r="AZ496" s="259" t="str">
        <f t="shared" ca="1" si="888"/>
        <v/>
      </c>
      <c r="BA496" s="259">
        <f t="shared" ca="1" si="903"/>
        <v>0</v>
      </c>
      <c r="BB496" s="259">
        <f t="shared" ca="1" si="889"/>
        <v>0</v>
      </c>
      <c r="BC496" s="259">
        <f t="shared" ca="1" si="890"/>
        <v>0</v>
      </c>
      <c r="BD496" s="259">
        <f t="shared" ca="1" si="891"/>
        <v>0</v>
      </c>
      <c r="BE496" s="259">
        <f t="shared" ca="1" si="892"/>
        <v>0</v>
      </c>
      <c r="BQ496" s="259" t="str">
        <f ca="1">IFERROR(INDEX($BN$3:$BO$200,MATCH(ROWS(BQ$3:BQ496),$BP$3:$BP$220,0),1),"")</f>
        <v/>
      </c>
      <c r="CX496" s="259">
        <f t="shared" ca="1" si="905"/>
        <v>28</v>
      </c>
      <c r="CY496" s="259" t="str">
        <f t="shared" ca="1" si="893"/>
        <v>MASTRO</v>
      </c>
      <c r="CZ496" s="259" t="e">
        <f t="shared" ca="1" si="907"/>
        <v>#N/A</v>
      </c>
      <c r="DA496" s="259" t="str">
        <f t="shared" ca="1" si="912"/>
        <v/>
      </c>
      <c r="DB496" s="259" t="str">
        <f t="shared" ca="1" si="908"/>
        <v/>
      </c>
      <c r="DC496" s="259" t="str">
        <f t="shared" ca="1" si="909"/>
        <v/>
      </c>
      <c r="DD496" s="259" t="str">
        <f t="shared" ca="1" si="910"/>
        <v/>
      </c>
      <c r="DE496" s="259" t="str">
        <f t="shared" ca="1" si="911"/>
        <v/>
      </c>
      <c r="DF496" s="259">
        <f ca="1">IF(AND(CX496=$DE$2,$DF$2&lt;&gt;0),0,IF(AND(DB496&lt;&gt;"",OR(DB495&lt;&gt;"",DB497&lt;&gt;"")),MAX($DF$2:DF495)+1,0))</f>
        <v>0</v>
      </c>
      <c r="EC496" s="259">
        <f>IF(IF(DG496&lt;&gt;"",REPLACE(DG496,3,1,""),0)&lt;&gt;0,MAX(EC$2:EC495)+1,0)</f>
        <v>0</v>
      </c>
      <c r="ED496" s="259">
        <f t="shared" ca="1" si="875"/>
        <v>0</v>
      </c>
      <c r="EL496" s="259">
        <f t="shared" si="878"/>
        <v>494</v>
      </c>
      <c r="EM496" s="259">
        <f ca="1">IF(AND(BA496&gt;0,BA496&lt;=$EM$1),MAX($EM$2:EM495)+1,0)</f>
        <v>0</v>
      </c>
      <c r="EN496" s="259">
        <f t="shared" ca="1" si="879"/>
        <v>496</v>
      </c>
      <c r="EP496" s="259" t="str">
        <f t="shared" ca="1" si="876"/>
        <v/>
      </c>
    </row>
    <row r="497" spans="52:146">
      <c r="AZ497" s="259" t="str">
        <f t="shared" ca="1" si="888"/>
        <v/>
      </c>
      <c r="BA497" s="259">
        <f t="shared" ca="1" si="903"/>
        <v>0</v>
      </c>
      <c r="BB497" s="259">
        <f t="shared" ca="1" si="889"/>
        <v>0</v>
      </c>
      <c r="BC497" s="259">
        <f t="shared" ca="1" si="890"/>
        <v>0</v>
      </c>
      <c r="BD497" s="259">
        <f t="shared" ca="1" si="891"/>
        <v>0</v>
      </c>
      <c r="BE497" s="259">
        <f t="shared" ca="1" si="892"/>
        <v>0</v>
      </c>
      <c r="BQ497" s="259" t="str">
        <f ca="1">IFERROR(INDEX($BN$3:$BO$200,MATCH(ROWS(BQ$3:BQ497),$BP$3:$BP$220,0),1),"")</f>
        <v/>
      </c>
      <c r="CX497" s="259">
        <f t="shared" ca="1" si="905"/>
        <v>28</v>
      </c>
      <c r="CY497" s="259" t="str">
        <f t="shared" ca="1" si="893"/>
        <v>MASTRO</v>
      </c>
      <c r="CZ497" s="259" t="e">
        <f t="shared" ca="1" si="907"/>
        <v>#N/A</v>
      </c>
      <c r="DA497" s="259" t="str">
        <f t="shared" ca="1" si="912"/>
        <v/>
      </c>
      <c r="DB497" s="259" t="str">
        <f t="shared" ca="1" si="908"/>
        <v/>
      </c>
      <c r="DC497" s="259" t="str">
        <f t="shared" ca="1" si="909"/>
        <v/>
      </c>
      <c r="DD497" s="259" t="str">
        <f t="shared" ca="1" si="910"/>
        <v/>
      </c>
      <c r="DE497" s="259" t="str">
        <f t="shared" ca="1" si="911"/>
        <v/>
      </c>
      <c r="DF497" s="259">
        <f ca="1">IF(AND(CX497=$DE$2,$DF$2&lt;&gt;0),0,IF(AND(DB497&lt;&gt;"",OR(DB496&lt;&gt;"",DB498&lt;&gt;"")),MAX($DF$2:DF496)+1,0))</f>
        <v>0</v>
      </c>
      <c r="EC497" s="259">
        <f>IF(IF(DG497&lt;&gt;"",REPLACE(DG497,3,1,""),0)&lt;&gt;0,MAX(EC$2:EC496)+1,0)</f>
        <v>0</v>
      </c>
      <c r="ED497" s="259">
        <f t="shared" ca="1" si="875"/>
        <v>0</v>
      </c>
      <c r="EL497" s="259">
        <f t="shared" si="878"/>
        <v>495</v>
      </c>
      <c r="EM497" s="259">
        <f ca="1">IF(AND(BA497&gt;0,BA497&lt;=$EM$1),MAX($EM$2:EM496)+1,0)</f>
        <v>0</v>
      </c>
      <c r="EN497" s="259">
        <f t="shared" ca="1" si="879"/>
        <v>497</v>
      </c>
      <c r="EP497" s="259" t="str">
        <f t="shared" ca="1" si="876"/>
        <v/>
      </c>
    </row>
    <row r="498" spans="52:146">
      <c r="AZ498" s="259" t="str">
        <f t="shared" ca="1" si="888"/>
        <v/>
      </c>
      <c r="BA498" s="259">
        <f t="shared" ca="1" si="903"/>
        <v>0</v>
      </c>
      <c r="BB498" s="259">
        <f t="shared" ca="1" si="889"/>
        <v>0</v>
      </c>
      <c r="BC498" s="259">
        <f t="shared" ca="1" si="890"/>
        <v>0</v>
      </c>
      <c r="BD498" s="259">
        <f t="shared" ca="1" si="891"/>
        <v>0</v>
      </c>
      <c r="BE498" s="259">
        <f t="shared" ca="1" si="892"/>
        <v>0</v>
      </c>
      <c r="BQ498" s="259" t="str">
        <f ca="1">IFERROR(INDEX($BN$3:$BO$200,MATCH(ROWS(BQ$3:BQ498),$BP$3:$BP$220,0),1),"")</f>
        <v/>
      </c>
      <c r="CX498" s="259">
        <f t="shared" ca="1" si="905"/>
        <v>28</v>
      </c>
      <c r="CY498" s="259" t="str">
        <f t="shared" ref="CY498:CY532" ca="1" si="913">IF(ISERROR(INDEX($CV$3:$CX$2300,MATCH(CX498,$CW$3:$CW$2300,0),1)),"MASTRO",INDEX($CV$3:$CX$2300,MATCH(CX498,$CW$3:$CW$2300,0),1))</f>
        <v>MASTRO</v>
      </c>
      <c r="CZ498" s="259" t="e">
        <f t="shared" ca="1" si="907"/>
        <v>#N/A</v>
      </c>
      <c r="DA498" s="259" t="str">
        <f t="shared" ca="1" si="912"/>
        <v/>
      </c>
      <c r="DB498" s="259" t="str">
        <f t="shared" ca="1" si="908"/>
        <v/>
      </c>
      <c r="DC498" s="259" t="str">
        <f t="shared" ca="1" si="909"/>
        <v/>
      </c>
      <c r="DD498" s="259" t="str">
        <f t="shared" ca="1" si="910"/>
        <v/>
      </c>
      <c r="DE498" s="259" t="str">
        <f t="shared" ca="1" si="911"/>
        <v/>
      </c>
      <c r="DF498" s="259">
        <f ca="1">IF(AND(CX498=$DE$2,$DF$2&lt;&gt;0),0,IF(AND(DB498&lt;&gt;"",OR(DB497&lt;&gt;"",DB499&lt;&gt;"")),MAX($DF$2:DF497)+1,0))</f>
        <v>0</v>
      </c>
      <c r="EC498" s="259">
        <f>IF(IF(DG498&lt;&gt;"",REPLACE(DG498,3,1,""),0)&lt;&gt;0,MAX(EC$2:EC497)+1,0)</f>
        <v>0</v>
      </c>
      <c r="ED498" s="259">
        <f t="shared" ca="1" si="875"/>
        <v>0</v>
      </c>
      <c r="EL498" s="259">
        <f t="shared" si="878"/>
        <v>496</v>
      </c>
      <c r="EM498" s="259">
        <f ca="1">IF(AND(BA498&gt;0,BA498&lt;=$EM$1),MAX($EM$2:EM497)+1,0)</f>
        <v>0</v>
      </c>
      <c r="EN498" s="259">
        <f t="shared" ca="1" si="879"/>
        <v>498</v>
      </c>
      <c r="EP498" s="259" t="str">
        <f t="shared" ca="1" si="876"/>
        <v/>
      </c>
    </row>
    <row r="499" spans="52:146">
      <c r="AZ499" s="259" t="str">
        <f t="shared" ca="1" si="888"/>
        <v/>
      </c>
      <c r="BA499" s="259">
        <f t="shared" ca="1" si="903"/>
        <v>0</v>
      </c>
      <c r="BB499" s="259">
        <f t="shared" ca="1" si="889"/>
        <v>0</v>
      </c>
      <c r="BC499" s="259">
        <f t="shared" ca="1" si="890"/>
        <v>0</v>
      </c>
      <c r="BD499" s="259">
        <f t="shared" ca="1" si="891"/>
        <v>0</v>
      </c>
      <c r="BE499" s="259">
        <f t="shared" ca="1" si="892"/>
        <v>0</v>
      </c>
      <c r="BQ499" s="259" t="str">
        <f ca="1">IFERROR(INDEX($BN$3:$BO$200,MATCH(ROWS(BQ$3:BQ499),$BP$3:$BP$220,0),1),"")</f>
        <v/>
      </c>
      <c r="CX499" s="259">
        <f t="shared" ca="1" si="905"/>
        <v>28</v>
      </c>
      <c r="CY499" s="259" t="str">
        <f t="shared" ca="1" si="913"/>
        <v>MASTRO</v>
      </c>
      <c r="CZ499" s="259" t="e">
        <f t="shared" ca="1" si="907"/>
        <v>#N/A</v>
      </c>
      <c r="DA499" s="259" t="str">
        <f t="shared" ca="1" si="912"/>
        <v/>
      </c>
      <c r="DB499" s="259" t="str">
        <f t="shared" ca="1" si="908"/>
        <v/>
      </c>
      <c r="DC499" s="259" t="str">
        <f t="shared" ca="1" si="909"/>
        <v/>
      </c>
      <c r="DD499" s="259" t="str">
        <f t="shared" ca="1" si="910"/>
        <v/>
      </c>
      <c r="DE499" s="259" t="str">
        <f t="shared" ca="1" si="911"/>
        <v/>
      </c>
      <c r="DF499" s="259">
        <f ca="1">IF(AND(CX499=$DE$2,$DF$2&lt;&gt;0),0,IF(AND(DB499&lt;&gt;"",OR(DB498&lt;&gt;"",DB500&lt;&gt;"")),MAX($DF$2:DF498)+1,0))</f>
        <v>0</v>
      </c>
      <c r="EC499" s="259">
        <f>IF(IF(DG499&lt;&gt;"",REPLACE(DG499,3,1,""),0)&lt;&gt;0,MAX(EC$2:EC498)+1,0)</f>
        <v>0</v>
      </c>
      <c r="ED499" s="259">
        <f t="shared" ca="1" si="875"/>
        <v>0</v>
      </c>
      <c r="EL499" s="259">
        <f t="shared" si="878"/>
        <v>497</v>
      </c>
      <c r="EM499" s="259">
        <f ca="1">IF(AND(BA499&gt;0,BA499&lt;=$EM$1),MAX($EM$2:EM498)+1,0)</f>
        <v>0</v>
      </c>
      <c r="EN499" s="259">
        <f t="shared" ca="1" si="879"/>
        <v>499</v>
      </c>
      <c r="EP499" s="259" t="str">
        <f t="shared" ca="1" si="876"/>
        <v/>
      </c>
    </row>
    <row r="500" spans="52:146">
      <c r="AZ500" s="259" t="str">
        <f t="shared" ca="1" si="888"/>
        <v/>
      </c>
      <c r="BA500" s="259">
        <f t="shared" ca="1" si="903"/>
        <v>0</v>
      </c>
      <c r="BB500" s="259">
        <f t="shared" ca="1" si="889"/>
        <v>0</v>
      </c>
      <c r="BC500" s="259">
        <f t="shared" ca="1" si="890"/>
        <v>0</v>
      </c>
      <c r="BD500" s="259">
        <f t="shared" ca="1" si="891"/>
        <v>0</v>
      </c>
      <c r="BE500" s="259">
        <f t="shared" ca="1" si="892"/>
        <v>0</v>
      </c>
      <c r="BQ500" s="259" t="str">
        <f ca="1">IFERROR(INDEX($BN$3:$BO$200,MATCH(ROWS(BQ$3:BQ500),$BP$3:$BP$220,0),1),"")</f>
        <v/>
      </c>
      <c r="CX500" s="259">
        <f t="shared" ca="1" si="905"/>
        <v>28</v>
      </c>
      <c r="CY500" s="259" t="str">
        <f t="shared" ca="1" si="913"/>
        <v>MASTRO</v>
      </c>
      <c r="CZ500" s="259" t="e">
        <f t="shared" ca="1" si="907"/>
        <v>#N/A</v>
      </c>
      <c r="DA500" s="259" t="str">
        <f t="shared" ca="1" si="912"/>
        <v/>
      </c>
      <c r="DB500" s="259" t="str">
        <f t="shared" ca="1" si="908"/>
        <v/>
      </c>
      <c r="DC500" s="259" t="str">
        <f t="shared" ca="1" si="909"/>
        <v/>
      </c>
      <c r="DD500" s="259" t="str">
        <f t="shared" ca="1" si="910"/>
        <v/>
      </c>
      <c r="DE500" s="259" t="str">
        <f t="shared" ca="1" si="911"/>
        <v/>
      </c>
      <c r="DF500" s="259">
        <f ca="1">IF(AND(CX500=$DE$2,$DF$2&lt;&gt;0),0,IF(AND(DB500&lt;&gt;"",OR(DB499&lt;&gt;"",DB501&lt;&gt;"")),MAX($DF$2:DF499)+1,0))</f>
        <v>0</v>
      </c>
      <c r="EC500" s="259">
        <f>IF(IF(DG500&lt;&gt;"",REPLACE(DG500,3,1,""),0)&lt;&gt;0,MAX(EC$2:EC499)+1,0)</f>
        <v>0</v>
      </c>
      <c r="ED500" s="259">
        <f t="shared" ca="1" si="875"/>
        <v>0</v>
      </c>
      <c r="EL500" s="259">
        <f t="shared" si="878"/>
        <v>498</v>
      </c>
      <c r="EM500" s="259">
        <f ca="1">IF(AND(BA500&gt;0,BA500&lt;=$EM$1),MAX($EM$2:EM499)+1,0)</f>
        <v>0</v>
      </c>
      <c r="EN500" s="259">
        <f t="shared" ca="1" si="879"/>
        <v>500</v>
      </c>
      <c r="EP500" s="259" t="str">
        <f t="shared" ca="1" si="876"/>
        <v/>
      </c>
    </row>
    <row r="501" spans="52:146">
      <c r="CX501" s="259">
        <f t="shared" ca="1" si="905"/>
        <v>28</v>
      </c>
      <c r="CY501" s="259" t="str">
        <f t="shared" ca="1" si="913"/>
        <v>MASTRO</v>
      </c>
      <c r="CZ501" s="259" t="e">
        <f t="shared" ca="1" si="907"/>
        <v>#N/A</v>
      </c>
      <c r="DA501" s="259" t="str">
        <f t="shared" ca="1" si="912"/>
        <v/>
      </c>
      <c r="DB501" s="259" t="str">
        <f t="shared" ca="1" si="908"/>
        <v/>
      </c>
      <c r="DC501" s="259" t="str">
        <f t="shared" ca="1" si="909"/>
        <v/>
      </c>
      <c r="DD501" s="259" t="str">
        <f t="shared" ca="1" si="910"/>
        <v/>
      </c>
      <c r="DE501" s="259" t="str">
        <f t="shared" ca="1" si="911"/>
        <v/>
      </c>
      <c r="DF501" s="259">
        <f ca="1">IF(AND(CX501=$DE$2,$DF$2&lt;&gt;0),0,IF(AND(DB501&lt;&gt;"",OR(DB500&lt;&gt;"",DB502&lt;&gt;"")),MAX($DF$2:DF500)+1,0))</f>
        <v>0</v>
      </c>
    </row>
    <row r="502" spans="52:146">
      <c r="CX502" s="259">
        <f t="shared" ca="1" si="905"/>
        <v>28</v>
      </c>
      <c r="CY502" s="259" t="str">
        <f t="shared" ca="1" si="913"/>
        <v>MASTRO</v>
      </c>
      <c r="CZ502" s="259" t="e">
        <f t="shared" ca="1" si="907"/>
        <v>#N/A</v>
      </c>
      <c r="DA502" s="259" t="str">
        <f t="shared" ca="1" si="912"/>
        <v/>
      </c>
      <c r="DB502" s="259" t="str">
        <f t="shared" ca="1" si="908"/>
        <v/>
      </c>
      <c r="DC502" s="259" t="str">
        <f t="shared" ca="1" si="909"/>
        <v/>
      </c>
      <c r="DD502" s="259" t="str">
        <f t="shared" ca="1" si="910"/>
        <v/>
      </c>
      <c r="DE502" s="259" t="str">
        <f t="shared" ca="1" si="911"/>
        <v/>
      </c>
      <c r="DF502" s="259">
        <f ca="1">IF(AND(CX502=$DE$2,$DF$2&lt;&gt;0),0,IF(AND(DB502&lt;&gt;"",OR(DB501&lt;&gt;"",DB503&lt;&gt;"")),MAX($DF$2:DF501)+1,0))</f>
        <v>0</v>
      </c>
    </row>
    <row r="503" spans="52:146">
      <c r="CX503" s="259">
        <f t="shared" ca="1" si="905"/>
        <v>28</v>
      </c>
      <c r="CY503" s="259" t="str">
        <f t="shared" ca="1" si="913"/>
        <v>MASTRO</v>
      </c>
      <c r="CZ503" s="259" t="e">
        <f t="shared" ca="1" si="907"/>
        <v>#N/A</v>
      </c>
      <c r="DA503" s="259" t="str">
        <f t="shared" ca="1" si="912"/>
        <v/>
      </c>
      <c r="DB503" s="259" t="str">
        <f t="shared" ca="1" si="908"/>
        <v/>
      </c>
      <c r="DC503" s="259" t="str">
        <f t="shared" ca="1" si="909"/>
        <v/>
      </c>
      <c r="DD503" s="259" t="str">
        <f t="shared" ca="1" si="910"/>
        <v/>
      </c>
      <c r="DE503" s="259" t="str">
        <f t="shared" ca="1" si="911"/>
        <v/>
      </c>
      <c r="DF503" s="259">
        <f ca="1">IF(AND(CX503=$DE$2,$DF$2&lt;&gt;0),0,IF(AND(DB503&lt;&gt;"",OR(DB502&lt;&gt;"",DB504&lt;&gt;"")),MAX($DF$2:DF502)+1,0))</f>
        <v>0</v>
      </c>
    </row>
    <row r="504" spans="52:146">
      <c r="CX504" s="259">
        <f t="shared" ca="1" si="905"/>
        <v>28</v>
      </c>
      <c r="CY504" s="259" t="str">
        <f t="shared" ca="1" si="913"/>
        <v>MASTRO</v>
      </c>
      <c r="CZ504" s="259" t="e">
        <f t="shared" ca="1" si="907"/>
        <v>#N/A</v>
      </c>
      <c r="DA504" s="259" t="str">
        <f t="shared" ca="1" si="912"/>
        <v/>
      </c>
      <c r="DB504" s="259" t="str">
        <f t="shared" ca="1" si="908"/>
        <v/>
      </c>
      <c r="DC504" s="259" t="str">
        <f t="shared" ca="1" si="909"/>
        <v/>
      </c>
      <c r="DD504" s="259" t="str">
        <f t="shared" ca="1" si="910"/>
        <v/>
      </c>
      <c r="DE504" s="259" t="str">
        <f t="shared" ca="1" si="911"/>
        <v/>
      </c>
      <c r="DF504" s="259">
        <f ca="1">IF(AND(CX504=$DE$2,$DF$2&lt;&gt;0),0,IF(AND(DB504&lt;&gt;"",OR(DB503&lt;&gt;"",DB505&lt;&gt;"")),MAX($DF$2:DF503)+1,0))</f>
        <v>0</v>
      </c>
    </row>
    <row r="505" spans="52:146">
      <c r="CX505" s="259">
        <f t="shared" ca="1" si="905"/>
        <v>28</v>
      </c>
      <c r="CY505" s="259" t="str">
        <f t="shared" ca="1" si="913"/>
        <v>MASTRO</v>
      </c>
      <c r="CZ505" s="259" t="e">
        <f t="shared" ca="1" si="907"/>
        <v>#N/A</v>
      </c>
      <c r="DA505" s="259" t="str">
        <f t="shared" ca="1" si="912"/>
        <v/>
      </c>
      <c r="DB505" s="259" t="str">
        <f t="shared" ca="1" si="908"/>
        <v/>
      </c>
      <c r="DC505" s="259" t="str">
        <f t="shared" ca="1" si="909"/>
        <v/>
      </c>
      <c r="DD505" s="259" t="str">
        <f t="shared" ca="1" si="910"/>
        <v/>
      </c>
      <c r="DE505" s="259" t="str">
        <f t="shared" ca="1" si="911"/>
        <v/>
      </c>
      <c r="DF505" s="259">
        <f ca="1">IF(AND(CX505=$DE$2,$DF$2&lt;&gt;0),0,IF(AND(DB505&lt;&gt;"",OR(DB504&lt;&gt;"",DB506&lt;&gt;"")),MAX($DF$2:DF504)+1,0))</f>
        <v>0</v>
      </c>
    </row>
    <row r="506" spans="52:146">
      <c r="CX506" s="259" t="str">
        <f>IFERROR(IF(CX488+1=1,"",(CX488+1)),"")</f>
        <v/>
      </c>
      <c r="CY506" s="259" t="str">
        <f t="shared" ca="1" si="913"/>
        <v>MASTRO</v>
      </c>
      <c r="DB506" s="259" t="str">
        <f t="shared" ref="DB506" ca="1" si="914">CY506</f>
        <v>MASTRO</v>
      </c>
      <c r="DF506" s="259">
        <f ca="1">IF(AND(CX506=$DE$2,$DF$2&lt;&gt;0),0,IF(AND(DB506&lt;&gt;"",OR(DB505&lt;&gt;"",DB507&lt;&gt;"")),MAX($DF$2:DF505)+1,0))</f>
        <v>0</v>
      </c>
    </row>
    <row r="507" spans="52:146">
      <c r="CX507" s="259">
        <f ca="1">$EA$31</f>
        <v>29</v>
      </c>
      <c r="CY507" s="259" t="str">
        <f t="shared" ca="1" si="913"/>
        <v>MASTRO</v>
      </c>
      <c r="DA507" s="259" t="str">
        <f ca="1">IF(CY506="MASTRO","Conto n.","")</f>
        <v>Conto n.</v>
      </c>
      <c r="DB507" s="259" t="str">
        <f ca="1">IF(CY507=0,"",INDEX(PIANO_DEI_CONTI,MATCH(DC507,DENOMINAZIONE,0),1))</f>
        <v/>
      </c>
      <c r="DC507" s="259" t="str">
        <f ca="1">IF(OR(CY507=0,CY507="mastro"),"",CY507)</f>
        <v/>
      </c>
      <c r="DD507" s="259" t="str">
        <f ca="1">IF(AND($DA$2=TRUE,OR(INDEX(PIANO_DEI_CONTI,MATCH($DC507,DENOMINAZIONE,0),4)="A",INDEX(PIANO_DEI_CONTI,MATCH($DC507,DENOMINAZIONE,0),4)="D/A"),SUMIFS(AVERE,DENOMINAZIONE_GIORNALE,"="&amp;$DC507)&gt;SUMIFS(DARE,DENOMINAZIONE_GIORNALE,"="&amp;$DC507)),CONCATENATE("s ",FIXED(ABS(SUMIFS(AVERE,DENOMINAZIONE_GIORNALE,"="&amp;$DC507)-SUMIFS(DARE,DENOMINAZIONE_GIORNALE,"="&amp;$DC507)),2)),"")</f>
        <v/>
      </c>
      <c r="DE507" s="259" t="str">
        <f ca="1">IF(AND($DA$2=TRUE,OR(INDEX(PIANO_DEI_CONTI,MATCH($DC507,DENOMINAZIONE,0),4)="D",INDEX(PIANO_DEI_CONTI,MATCH($DC507,DENOMINAZIONE,0),4)="D/A"),SUMIFS(DARE,DENOMINAZIONE_GIORNALE,"="&amp;$DC507)&gt;SUMIFS(AVERE,DENOMINAZIONE_GIORNALE,"="&amp;$DC507)),CONCATENATE("s ",FIXED(ABS(SUMIFS(DARE,DENOMINAZIONE_GIORNALE,"="&amp;$DC507)-SUMIFS(AVERE,DENOMINAZIONE_GIORNALE,"="&amp;$DC507)),2)),"")</f>
        <v/>
      </c>
      <c r="DF507" s="259">
        <f ca="1">IF(AND(CX507=$DE$2,$DF$2&lt;&gt;0),0,IF(AND(DB507&lt;&gt;"",OR(DB506&lt;&gt;"",DB508&lt;&gt;"")),MAX($DF$2:DF506)+1,0))</f>
        <v>0</v>
      </c>
    </row>
    <row r="508" spans="52:146">
      <c r="CX508" s="259">
        <f t="shared" ref="CX508:CX523" ca="1" si="915">$EA$31</f>
        <v>29</v>
      </c>
      <c r="CY508" s="259" t="str">
        <f t="shared" ca="1" si="913"/>
        <v>MASTRO</v>
      </c>
      <c r="DA508" s="259" t="str">
        <f ca="1">IF(DB507="","","Num. riga")</f>
        <v/>
      </c>
      <c r="DB508" s="259" t="str">
        <f t="shared" ref="DB508" ca="1" si="916">IF(DB507="","","Data")</f>
        <v/>
      </c>
      <c r="DC508" s="259" t="str">
        <f ca="1">IF(DB507="","","Operazioni")</f>
        <v/>
      </c>
      <c r="DD508" s="259" t="str">
        <f ca="1">IF(DB507="","","Dare        ")</f>
        <v/>
      </c>
      <c r="DE508" s="259" t="str">
        <f ca="1">IF(DB507="","","Avere        ")</f>
        <v/>
      </c>
      <c r="DF508" s="259">
        <f ca="1">IF(AND(CX508=$DE$2,$DF$2&lt;&gt;0),0,IF(AND(DB508&lt;&gt;"",OR(DB507&lt;&gt;"",DB509&lt;&gt;"")),MAX($DF$2:DF507)+1,0))</f>
        <v>0</v>
      </c>
    </row>
    <row r="509" spans="52:146">
      <c r="CX509" s="259">
        <f t="shared" ca="1" si="915"/>
        <v>29</v>
      </c>
      <c r="CY509" s="259" t="str">
        <f t="shared" ca="1" si="913"/>
        <v>MASTRO</v>
      </c>
      <c r="CZ509" s="259" t="e">
        <f t="shared" ref="CZ509:CZ523" ca="1" si="917">SUM(MATCH($CY509,INDIRECT(ADDRESS(SUM(CZ508)+3,54)&amp;":"&amp;ADDRESS(400,54)),0),CZ508)</f>
        <v>#N/A</v>
      </c>
      <c r="DA509" s="259" t="str">
        <f ca="1">IFERROR(INDEX(LIBRO_GIORNALE,CZ509,1),"")</f>
        <v/>
      </c>
      <c r="DB509" s="259" t="str">
        <f t="shared" ref="DB509:DB523" ca="1" si="918">IF(RIGHT(TEXT(IFERROR(INDEX(LIBRO_GIORNALE,CZ509,2),""),"gg/mm/aa"),1)="a",TEXT(IFERROR(INDEX(LIBRO_GIORNALE,CZ509,2),""),"dd/mm/yy"),TEXT(IFERROR(INDEX(LIBRO_GIORNALE,CZ509,2),""),"gg/mm/aa"))</f>
        <v/>
      </c>
      <c r="DC509" s="259" t="str">
        <f t="shared" ref="DC509:DC523" ca="1" si="919">IF(IFERROR(INDEX(LIBRO_GIORNALE,CZ509,4),"")=0,"manca la descrizione dell'operazione",IFERROR(INDEX(LIBRO_GIORNALE,CZ509,4),""))</f>
        <v/>
      </c>
      <c r="DD509" s="259" t="str">
        <f t="shared" ref="DD509:DD523" ca="1" si="920">IFERROR(IF(INDEX(LIBRO_GIORNALE,CZ509,5)&gt;0,INDEX(LIBRO_GIORNALE,CZ509,5),""),"")</f>
        <v/>
      </c>
      <c r="DE509" s="259" t="str">
        <f t="shared" ref="DE509:DE523" ca="1" si="921">IFERROR(IF(INDEX(LIBRO_GIORNALE,CZ509,6)&gt;0,INDEX(LIBRO_GIORNALE,CZ509,6),""),"")</f>
        <v/>
      </c>
      <c r="DF509" s="259">
        <f ca="1">IF(AND(CX509=$DE$2,$DF$2&lt;&gt;0),0,IF(AND(DB509&lt;&gt;"",OR(DB508&lt;&gt;"",DB510&lt;&gt;"")),MAX($DF$2:DF508)+1,0))</f>
        <v>0</v>
      </c>
    </row>
    <row r="510" spans="52:146">
      <c r="CX510" s="259">
        <f t="shared" ca="1" si="915"/>
        <v>29</v>
      </c>
      <c r="CY510" s="259" t="str">
        <f t="shared" ca="1" si="913"/>
        <v>MASTRO</v>
      </c>
      <c r="CZ510" s="259" t="e">
        <f t="shared" ca="1" si="917"/>
        <v>#N/A</v>
      </c>
      <c r="DA510" s="259" t="str">
        <f t="shared" ref="DA510:DA523" ca="1" si="922">IFERROR(INDEX(LIBRO_GIORNALE,CZ510,1),"")</f>
        <v/>
      </c>
      <c r="DB510" s="259" t="str">
        <f t="shared" ca="1" si="918"/>
        <v/>
      </c>
      <c r="DC510" s="259" t="str">
        <f t="shared" ca="1" si="919"/>
        <v/>
      </c>
      <c r="DD510" s="259" t="str">
        <f t="shared" ca="1" si="920"/>
        <v/>
      </c>
      <c r="DE510" s="259" t="str">
        <f t="shared" ca="1" si="921"/>
        <v/>
      </c>
      <c r="DF510" s="259">
        <f ca="1">IF(AND(CX510=$DE$2,$DF$2&lt;&gt;0),0,IF(AND(DB510&lt;&gt;"",OR(DB509&lt;&gt;"",DB511&lt;&gt;"")),MAX($DF$2:DF509)+1,0))</f>
        <v>0</v>
      </c>
    </row>
    <row r="511" spans="52:146">
      <c r="CX511" s="259">
        <f t="shared" ca="1" si="915"/>
        <v>29</v>
      </c>
      <c r="CY511" s="259" t="str">
        <f t="shared" ca="1" si="913"/>
        <v>MASTRO</v>
      </c>
      <c r="CZ511" s="259" t="e">
        <f t="shared" ca="1" si="917"/>
        <v>#N/A</v>
      </c>
      <c r="DA511" s="259" t="str">
        <f t="shared" ca="1" si="922"/>
        <v/>
      </c>
      <c r="DB511" s="259" t="str">
        <f t="shared" ca="1" si="918"/>
        <v/>
      </c>
      <c r="DC511" s="259" t="str">
        <f t="shared" ca="1" si="919"/>
        <v/>
      </c>
      <c r="DD511" s="259" t="str">
        <f t="shared" ca="1" si="920"/>
        <v/>
      </c>
      <c r="DE511" s="259" t="str">
        <f t="shared" ca="1" si="921"/>
        <v/>
      </c>
      <c r="DF511" s="259">
        <f ca="1">IF(AND(CX511=$DE$2,$DF$2&lt;&gt;0),0,IF(AND(DB511&lt;&gt;"",OR(DB510&lt;&gt;"",DB512&lt;&gt;"")),MAX($DF$2:DF510)+1,0))</f>
        <v>0</v>
      </c>
    </row>
    <row r="512" spans="52:146">
      <c r="CX512" s="259">
        <f t="shared" ca="1" si="915"/>
        <v>29</v>
      </c>
      <c r="CY512" s="259" t="str">
        <f t="shared" ca="1" si="913"/>
        <v>MASTRO</v>
      </c>
      <c r="CZ512" s="259" t="e">
        <f t="shared" ca="1" si="917"/>
        <v>#N/A</v>
      </c>
      <c r="DA512" s="259" t="str">
        <f t="shared" ca="1" si="922"/>
        <v/>
      </c>
      <c r="DB512" s="259" t="str">
        <f t="shared" ca="1" si="918"/>
        <v/>
      </c>
      <c r="DC512" s="259" t="str">
        <f t="shared" ca="1" si="919"/>
        <v/>
      </c>
      <c r="DD512" s="259" t="str">
        <f t="shared" ca="1" si="920"/>
        <v/>
      </c>
      <c r="DE512" s="259" t="str">
        <f t="shared" ca="1" si="921"/>
        <v/>
      </c>
      <c r="DF512" s="259">
        <f ca="1">IF(AND(CX512=$DE$2,$DF$2&lt;&gt;0),0,IF(AND(DB512&lt;&gt;"",OR(DB511&lt;&gt;"",DB513&lt;&gt;"")),MAX($DF$2:DF511)+1,0))</f>
        <v>0</v>
      </c>
    </row>
    <row r="513" spans="102:110">
      <c r="CX513" s="259">
        <f t="shared" ca="1" si="915"/>
        <v>29</v>
      </c>
      <c r="CY513" s="259" t="str">
        <f t="shared" ca="1" si="913"/>
        <v>MASTRO</v>
      </c>
      <c r="CZ513" s="259" t="e">
        <f t="shared" ca="1" si="917"/>
        <v>#N/A</v>
      </c>
      <c r="DA513" s="259" t="str">
        <f t="shared" ca="1" si="922"/>
        <v/>
      </c>
      <c r="DB513" s="259" t="str">
        <f t="shared" ca="1" si="918"/>
        <v/>
      </c>
      <c r="DC513" s="259" t="str">
        <f t="shared" ca="1" si="919"/>
        <v/>
      </c>
      <c r="DD513" s="259" t="str">
        <f t="shared" ca="1" si="920"/>
        <v/>
      </c>
      <c r="DE513" s="259" t="str">
        <f t="shared" ca="1" si="921"/>
        <v/>
      </c>
      <c r="DF513" s="259">
        <f ca="1">IF(AND(CX513=$DE$2,$DF$2&lt;&gt;0),0,IF(AND(DB513&lt;&gt;"",OR(DB512&lt;&gt;"",DB514&lt;&gt;"")),MAX($DF$2:DF512)+1,0))</f>
        <v>0</v>
      </c>
    </row>
    <row r="514" spans="102:110">
      <c r="CX514" s="259">
        <f t="shared" ca="1" si="915"/>
        <v>29</v>
      </c>
      <c r="CY514" s="259" t="str">
        <f t="shared" ca="1" si="913"/>
        <v>MASTRO</v>
      </c>
      <c r="CZ514" s="259" t="e">
        <f t="shared" ca="1" si="917"/>
        <v>#N/A</v>
      </c>
      <c r="DA514" s="259" t="str">
        <f t="shared" ca="1" si="922"/>
        <v/>
      </c>
      <c r="DB514" s="259" t="str">
        <f t="shared" ca="1" si="918"/>
        <v/>
      </c>
      <c r="DC514" s="259" t="str">
        <f t="shared" ca="1" si="919"/>
        <v/>
      </c>
      <c r="DD514" s="259" t="str">
        <f t="shared" ca="1" si="920"/>
        <v/>
      </c>
      <c r="DE514" s="259" t="str">
        <f t="shared" ca="1" si="921"/>
        <v/>
      </c>
      <c r="DF514" s="259">
        <f ca="1">IF(AND(CX514=$DE$2,$DF$2&lt;&gt;0),0,IF(AND(DB514&lt;&gt;"",OR(DB513&lt;&gt;"",DB515&lt;&gt;"")),MAX($DF$2:DF513)+1,0))</f>
        <v>0</v>
      </c>
    </row>
    <row r="515" spans="102:110">
      <c r="CX515" s="259">
        <f t="shared" ca="1" si="915"/>
        <v>29</v>
      </c>
      <c r="CY515" s="259" t="str">
        <f t="shared" ca="1" si="913"/>
        <v>MASTRO</v>
      </c>
      <c r="CZ515" s="259" t="e">
        <f t="shared" ca="1" si="917"/>
        <v>#N/A</v>
      </c>
      <c r="DA515" s="259" t="str">
        <f t="shared" ca="1" si="922"/>
        <v/>
      </c>
      <c r="DB515" s="259" t="str">
        <f t="shared" ca="1" si="918"/>
        <v/>
      </c>
      <c r="DC515" s="259" t="str">
        <f t="shared" ca="1" si="919"/>
        <v/>
      </c>
      <c r="DD515" s="259" t="str">
        <f t="shared" ca="1" si="920"/>
        <v/>
      </c>
      <c r="DE515" s="259" t="str">
        <f t="shared" ca="1" si="921"/>
        <v/>
      </c>
      <c r="DF515" s="259">
        <f ca="1">IF(AND(CX515=$DE$2,$DF$2&lt;&gt;0),0,IF(AND(DB515&lt;&gt;"",OR(DB514&lt;&gt;"",DB516&lt;&gt;"")),MAX($DF$2:DF514)+1,0))</f>
        <v>0</v>
      </c>
    </row>
    <row r="516" spans="102:110">
      <c r="CX516" s="259">
        <f t="shared" ca="1" si="915"/>
        <v>29</v>
      </c>
      <c r="CY516" s="259" t="str">
        <f t="shared" ca="1" si="913"/>
        <v>MASTRO</v>
      </c>
      <c r="CZ516" s="259" t="e">
        <f t="shared" ca="1" si="917"/>
        <v>#N/A</v>
      </c>
      <c r="DA516" s="259" t="str">
        <f t="shared" ca="1" si="922"/>
        <v/>
      </c>
      <c r="DB516" s="259" t="str">
        <f t="shared" ca="1" si="918"/>
        <v/>
      </c>
      <c r="DC516" s="259" t="str">
        <f t="shared" ca="1" si="919"/>
        <v/>
      </c>
      <c r="DD516" s="259" t="str">
        <f t="shared" ca="1" si="920"/>
        <v/>
      </c>
      <c r="DE516" s="259" t="str">
        <f t="shared" ca="1" si="921"/>
        <v/>
      </c>
      <c r="DF516" s="259">
        <f ca="1">IF(AND(CX516=$DE$2,$DF$2&lt;&gt;0),0,IF(AND(DB516&lt;&gt;"",OR(DB515&lt;&gt;"",DB517&lt;&gt;"")),MAX($DF$2:DF515)+1,0))</f>
        <v>0</v>
      </c>
    </row>
    <row r="517" spans="102:110">
      <c r="CX517" s="259">
        <f t="shared" ca="1" si="915"/>
        <v>29</v>
      </c>
      <c r="CY517" s="259" t="str">
        <f t="shared" ca="1" si="913"/>
        <v>MASTRO</v>
      </c>
      <c r="CZ517" s="259" t="e">
        <f t="shared" ca="1" si="917"/>
        <v>#N/A</v>
      </c>
      <c r="DA517" s="259" t="str">
        <f t="shared" ca="1" si="922"/>
        <v/>
      </c>
      <c r="DB517" s="259" t="str">
        <f t="shared" ca="1" si="918"/>
        <v/>
      </c>
      <c r="DC517" s="259" t="str">
        <f t="shared" ca="1" si="919"/>
        <v/>
      </c>
      <c r="DD517" s="259" t="str">
        <f t="shared" ca="1" si="920"/>
        <v/>
      </c>
      <c r="DE517" s="259" t="str">
        <f t="shared" ca="1" si="921"/>
        <v/>
      </c>
      <c r="DF517" s="259">
        <f ca="1">IF(AND(CX517=$DE$2,$DF$2&lt;&gt;0),0,IF(AND(DB517&lt;&gt;"",OR(DB516&lt;&gt;"",DB518&lt;&gt;"")),MAX($DF$2:DF516)+1,0))</f>
        <v>0</v>
      </c>
    </row>
    <row r="518" spans="102:110">
      <c r="CX518" s="259">
        <f t="shared" ca="1" si="915"/>
        <v>29</v>
      </c>
      <c r="CY518" s="259" t="str">
        <f t="shared" ca="1" si="913"/>
        <v>MASTRO</v>
      </c>
      <c r="CZ518" s="259" t="e">
        <f t="shared" ca="1" si="917"/>
        <v>#N/A</v>
      </c>
      <c r="DA518" s="259" t="str">
        <f t="shared" ca="1" si="922"/>
        <v/>
      </c>
      <c r="DB518" s="259" t="str">
        <f t="shared" ca="1" si="918"/>
        <v/>
      </c>
      <c r="DC518" s="259" t="str">
        <f t="shared" ca="1" si="919"/>
        <v/>
      </c>
      <c r="DD518" s="259" t="str">
        <f t="shared" ca="1" si="920"/>
        <v/>
      </c>
      <c r="DE518" s="259" t="str">
        <f t="shared" ca="1" si="921"/>
        <v/>
      </c>
      <c r="DF518" s="259">
        <f ca="1">IF(AND(CX518=$DE$2,$DF$2&lt;&gt;0),0,IF(AND(DB518&lt;&gt;"",OR(DB517&lt;&gt;"",DB519&lt;&gt;"")),MAX($DF$2:DF517)+1,0))</f>
        <v>0</v>
      </c>
    </row>
    <row r="519" spans="102:110">
      <c r="CX519" s="259">
        <f t="shared" ca="1" si="915"/>
        <v>29</v>
      </c>
      <c r="CY519" s="259" t="str">
        <f t="shared" ca="1" si="913"/>
        <v>MASTRO</v>
      </c>
      <c r="CZ519" s="259" t="e">
        <f t="shared" ca="1" si="917"/>
        <v>#N/A</v>
      </c>
      <c r="DA519" s="259" t="str">
        <f t="shared" ca="1" si="922"/>
        <v/>
      </c>
      <c r="DB519" s="259" t="str">
        <f t="shared" ca="1" si="918"/>
        <v/>
      </c>
      <c r="DC519" s="259" t="str">
        <f t="shared" ca="1" si="919"/>
        <v/>
      </c>
      <c r="DD519" s="259" t="str">
        <f t="shared" ca="1" si="920"/>
        <v/>
      </c>
      <c r="DE519" s="259" t="str">
        <f t="shared" ca="1" si="921"/>
        <v/>
      </c>
      <c r="DF519" s="259">
        <f ca="1">IF(AND(CX519=$DE$2,$DF$2&lt;&gt;0),0,IF(AND(DB519&lt;&gt;"",OR(DB518&lt;&gt;"",DB520&lt;&gt;"")),MAX($DF$2:DF518)+1,0))</f>
        <v>0</v>
      </c>
    </row>
    <row r="520" spans="102:110">
      <c r="CX520" s="259">
        <f t="shared" ca="1" si="915"/>
        <v>29</v>
      </c>
      <c r="CY520" s="259" t="str">
        <f t="shared" ca="1" si="913"/>
        <v>MASTRO</v>
      </c>
      <c r="CZ520" s="259" t="e">
        <f t="shared" ca="1" si="917"/>
        <v>#N/A</v>
      </c>
      <c r="DA520" s="259" t="str">
        <f t="shared" ca="1" si="922"/>
        <v/>
      </c>
      <c r="DB520" s="259" t="str">
        <f t="shared" ca="1" si="918"/>
        <v/>
      </c>
      <c r="DC520" s="259" t="str">
        <f t="shared" ca="1" si="919"/>
        <v/>
      </c>
      <c r="DD520" s="259" t="str">
        <f t="shared" ca="1" si="920"/>
        <v/>
      </c>
      <c r="DE520" s="259" t="str">
        <f t="shared" ca="1" si="921"/>
        <v/>
      </c>
      <c r="DF520" s="259">
        <f ca="1">IF(AND(CX520=$DE$2,$DF$2&lt;&gt;0),0,IF(AND(DB520&lt;&gt;"",OR(DB519&lt;&gt;"",DB521&lt;&gt;"")),MAX($DF$2:DF519)+1,0))</f>
        <v>0</v>
      </c>
    </row>
    <row r="521" spans="102:110">
      <c r="CX521" s="259">
        <f t="shared" ca="1" si="915"/>
        <v>29</v>
      </c>
      <c r="CY521" s="259" t="str">
        <f t="shared" ca="1" si="913"/>
        <v>MASTRO</v>
      </c>
      <c r="CZ521" s="259" t="e">
        <f t="shared" ca="1" si="917"/>
        <v>#N/A</v>
      </c>
      <c r="DA521" s="259" t="str">
        <f t="shared" ca="1" si="922"/>
        <v/>
      </c>
      <c r="DB521" s="259" t="str">
        <f t="shared" ca="1" si="918"/>
        <v/>
      </c>
      <c r="DC521" s="259" t="str">
        <f t="shared" ca="1" si="919"/>
        <v/>
      </c>
      <c r="DD521" s="259" t="str">
        <f t="shared" ca="1" si="920"/>
        <v/>
      </c>
      <c r="DE521" s="259" t="str">
        <f t="shared" ca="1" si="921"/>
        <v/>
      </c>
      <c r="DF521" s="259">
        <f ca="1">IF(AND(CX521=$DE$2,$DF$2&lt;&gt;0),0,IF(AND(DB521&lt;&gt;"",OR(DB520&lt;&gt;"",DB522&lt;&gt;"")),MAX($DF$2:DF520)+1,0))</f>
        <v>0</v>
      </c>
    </row>
    <row r="522" spans="102:110">
      <c r="CX522" s="259">
        <f t="shared" ca="1" si="915"/>
        <v>29</v>
      </c>
      <c r="CY522" s="259" t="str">
        <f t="shared" ca="1" si="913"/>
        <v>MASTRO</v>
      </c>
      <c r="CZ522" s="259" t="e">
        <f t="shared" ca="1" si="917"/>
        <v>#N/A</v>
      </c>
      <c r="DA522" s="259" t="str">
        <f t="shared" ca="1" si="922"/>
        <v/>
      </c>
      <c r="DB522" s="259" t="str">
        <f t="shared" ca="1" si="918"/>
        <v/>
      </c>
      <c r="DC522" s="259" t="str">
        <f t="shared" ca="1" si="919"/>
        <v/>
      </c>
      <c r="DD522" s="259" t="str">
        <f t="shared" ca="1" si="920"/>
        <v/>
      </c>
      <c r="DE522" s="259" t="str">
        <f t="shared" ca="1" si="921"/>
        <v/>
      </c>
      <c r="DF522" s="259">
        <f ca="1">IF(AND(CX522=$DE$2,$DF$2&lt;&gt;0),0,IF(AND(DB522&lt;&gt;"",OR(DB521&lt;&gt;"",DB523&lt;&gt;"")),MAX($DF$2:DF521)+1,0))</f>
        <v>0</v>
      </c>
    </row>
    <row r="523" spans="102:110">
      <c r="CX523" s="259">
        <f t="shared" ca="1" si="915"/>
        <v>29</v>
      </c>
      <c r="CY523" s="259" t="str">
        <f t="shared" ca="1" si="913"/>
        <v>MASTRO</v>
      </c>
      <c r="CZ523" s="259" t="e">
        <f t="shared" ca="1" si="917"/>
        <v>#N/A</v>
      </c>
      <c r="DA523" s="259" t="str">
        <f t="shared" ca="1" si="922"/>
        <v/>
      </c>
      <c r="DB523" s="259" t="str">
        <f t="shared" ca="1" si="918"/>
        <v/>
      </c>
      <c r="DC523" s="259" t="str">
        <f t="shared" ca="1" si="919"/>
        <v/>
      </c>
      <c r="DD523" s="259" t="str">
        <f t="shared" ca="1" si="920"/>
        <v/>
      </c>
      <c r="DE523" s="259" t="str">
        <f t="shared" ca="1" si="921"/>
        <v/>
      </c>
      <c r="DF523" s="259">
        <f ca="1">IF(AND(CX523=$DE$2,$DF$2&lt;&gt;0),0,IF(AND(DB523&lt;&gt;"",OR(DB522&lt;&gt;"",DB524&lt;&gt;"")),MAX($DF$2:DF522)+1,0))</f>
        <v>0</v>
      </c>
    </row>
    <row r="524" spans="102:110">
      <c r="CX524" s="259" t="str">
        <f>IFERROR(IF(CX506+1=1,"",(CX506+1)),"")</f>
        <v/>
      </c>
      <c r="CY524" s="259" t="str">
        <f t="shared" ca="1" si="913"/>
        <v>MASTRO</v>
      </c>
      <c r="DB524" s="259" t="str">
        <f t="shared" ref="DB524" ca="1" si="923">CY524</f>
        <v>MASTRO</v>
      </c>
      <c r="DF524" s="259">
        <f ca="1">IF(AND(CX524=$DE$2,$DF$2&lt;&gt;0),0,IF(AND(DB524&lt;&gt;"",OR(DB523&lt;&gt;"",DB525&lt;&gt;"")),MAX($DF$2:DF523)+1,0))</f>
        <v>0</v>
      </c>
    </row>
    <row r="525" spans="102:110">
      <c r="CX525" s="259">
        <f ca="1">$EA$32</f>
        <v>30</v>
      </c>
      <c r="CY525" s="259" t="str">
        <f t="shared" ca="1" si="913"/>
        <v>MASTRO</v>
      </c>
      <c r="DA525" s="259" t="str">
        <f ca="1">IF(CY524="MASTRO","Conto n.","")</f>
        <v>Conto n.</v>
      </c>
      <c r="DB525" s="259" t="str">
        <f ca="1">IF(CY525=0,"",INDEX(PIANO_DEI_CONTI,MATCH(DC525,DENOMINAZIONE,0),1))</f>
        <v/>
      </c>
      <c r="DC525" s="259" t="str">
        <f ca="1">IF(OR(CY525=0,CY525="mastro"),"",CY525)</f>
        <v/>
      </c>
      <c r="DD525" s="259" t="str">
        <f ca="1">IF(AND($DA$2=TRUE,OR(INDEX(PIANO_DEI_CONTI,MATCH($DC525,DENOMINAZIONE,0),4)="A",INDEX(PIANO_DEI_CONTI,MATCH($DC525,DENOMINAZIONE,0),4)="D/A"),SUMIFS(AVERE,DENOMINAZIONE_GIORNALE,"="&amp;$DC525)&gt;SUMIFS(DARE,DENOMINAZIONE_GIORNALE,"="&amp;$DC525)),CONCATENATE("s ",FIXED(ABS(SUMIFS(AVERE,DENOMINAZIONE_GIORNALE,"="&amp;$DC525)-SUMIFS(DARE,DENOMINAZIONE_GIORNALE,"="&amp;$DC525)),2)),"")</f>
        <v/>
      </c>
      <c r="DE525" s="259" t="str">
        <f ca="1">IF(AND($DA$2=TRUE,OR(INDEX(PIANO_DEI_CONTI,MATCH($DC525,DENOMINAZIONE,0),4)="D",INDEX(PIANO_DEI_CONTI,MATCH($DC525,DENOMINAZIONE,0),4)="D/A"),SUMIFS(DARE,DENOMINAZIONE_GIORNALE,"="&amp;$DC525)&gt;SUMIFS(AVERE,DENOMINAZIONE_GIORNALE,"="&amp;$DC525)),CONCATENATE("s ",FIXED(ABS(SUMIFS(DARE,DENOMINAZIONE_GIORNALE,"="&amp;$DC525)-SUMIFS(AVERE,DENOMINAZIONE_GIORNALE,"="&amp;$DC525)),2)),"")</f>
        <v/>
      </c>
      <c r="DF525" s="259">
        <f ca="1">IF(AND(CX525=$DE$2,$DF$2&lt;&gt;0),0,IF(AND(DB525&lt;&gt;"",OR(DB524&lt;&gt;"",DB526&lt;&gt;"")),MAX($DF$2:DF524)+1,0))</f>
        <v>0</v>
      </c>
    </row>
    <row r="526" spans="102:110">
      <c r="CX526" s="259">
        <f t="shared" ref="CX526:CX541" ca="1" si="924">$EA$32</f>
        <v>30</v>
      </c>
      <c r="CY526" s="259" t="str">
        <f t="shared" ca="1" si="913"/>
        <v>MASTRO</v>
      </c>
      <c r="DA526" s="259" t="str">
        <f ca="1">IF(DB525="","","Num. riga")</f>
        <v/>
      </c>
      <c r="DB526" s="259" t="str">
        <f t="shared" ref="DB526" ca="1" si="925">IF(DB525="","","Data")</f>
        <v/>
      </c>
      <c r="DC526" s="259" t="str">
        <f ca="1">IF(DB525="","","Operazioni")</f>
        <v/>
      </c>
      <c r="DD526" s="259" t="str">
        <f ca="1">IF(DB525="","","Dare        ")</f>
        <v/>
      </c>
      <c r="DE526" s="259" t="str">
        <f ca="1">IF(DB525="","","Avere        ")</f>
        <v/>
      </c>
      <c r="DF526" s="259">
        <f ca="1">IF(AND(CX526=$DE$2,$DF$2&lt;&gt;0),0,IF(AND(DB526&lt;&gt;"",OR(DB525&lt;&gt;"",DB527&lt;&gt;"")),MAX($DF$2:DF525)+1,0))</f>
        <v>0</v>
      </c>
    </row>
    <row r="527" spans="102:110">
      <c r="CX527" s="259">
        <f t="shared" ca="1" si="924"/>
        <v>30</v>
      </c>
      <c r="CY527" s="259" t="str">
        <f t="shared" ca="1" si="913"/>
        <v>MASTRO</v>
      </c>
      <c r="CZ527" s="259" t="e">
        <f t="shared" ref="CZ527:CZ541" ca="1" si="926">SUM(MATCH($CY527,INDIRECT(ADDRESS(SUM(CZ526)+3,54)&amp;":"&amp;ADDRESS(400,54)),0),CZ526)</f>
        <v>#N/A</v>
      </c>
      <c r="DA527" s="259" t="str">
        <f ca="1">IFERROR(INDEX(LIBRO_GIORNALE,CZ527,1),"")</f>
        <v/>
      </c>
      <c r="DB527" s="259" t="str">
        <f t="shared" ref="DB527:DB541" ca="1" si="927">IF(RIGHT(TEXT(IFERROR(INDEX(LIBRO_GIORNALE,CZ527,2),""),"gg/mm/aa"),1)="a",TEXT(IFERROR(INDEX(LIBRO_GIORNALE,CZ527,2),""),"dd/mm/yy"),TEXT(IFERROR(INDEX(LIBRO_GIORNALE,CZ527,2),""),"gg/mm/aa"))</f>
        <v/>
      </c>
      <c r="DC527" s="259" t="str">
        <f t="shared" ref="DC527:DC541" ca="1" si="928">IF(IFERROR(INDEX(LIBRO_GIORNALE,CZ527,4),"")=0,"manca la descrizione dell'operazione",IFERROR(INDEX(LIBRO_GIORNALE,CZ527,4),""))</f>
        <v/>
      </c>
      <c r="DD527" s="259" t="str">
        <f t="shared" ref="DD527:DD541" ca="1" si="929">IFERROR(IF(INDEX(LIBRO_GIORNALE,CZ527,5)&gt;0,INDEX(LIBRO_GIORNALE,CZ527,5),""),"")</f>
        <v/>
      </c>
      <c r="DE527" s="259" t="str">
        <f t="shared" ref="DE527:DE541" ca="1" si="930">IFERROR(IF(INDEX(LIBRO_GIORNALE,CZ527,6)&gt;0,INDEX(LIBRO_GIORNALE,CZ527,6),""),"")</f>
        <v/>
      </c>
      <c r="DF527" s="259">
        <f ca="1">IF(AND(CX527=$DE$2,$DF$2&lt;&gt;0),0,IF(AND(DB527&lt;&gt;"",OR(DB526&lt;&gt;"",DB528&lt;&gt;"")),MAX($DF$2:DF526)+1,0))</f>
        <v>0</v>
      </c>
    </row>
    <row r="528" spans="102:110">
      <c r="CX528" s="259">
        <f t="shared" ca="1" si="924"/>
        <v>30</v>
      </c>
      <c r="CY528" s="259" t="str">
        <f t="shared" ca="1" si="913"/>
        <v>MASTRO</v>
      </c>
      <c r="CZ528" s="259" t="e">
        <f t="shared" ca="1" si="926"/>
        <v>#N/A</v>
      </c>
      <c r="DA528" s="259" t="str">
        <f t="shared" ref="DA528:DA541" ca="1" si="931">IFERROR(INDEX(LIBRO_GIORNALE,CZ528,1),"")</f>
        <v/>
      </c>
      <c r="DB528" s="259" t="str">
        <f t="shared" ca="1" si="927"/>
        <v/>
      </c>
      <c r="DC528" s="259" t="str">
        <f t="shared" ca="1" si="928"/>
        <v/>
      </c>
      <c r="DD528" s="259" t="str">
        <f t="shared" ca="1" si="929"/>
        <v/>
      </c>
      <c r="DE528" s="259" t="str">
        <f t="shared" ca="1" si="930"/>
        <v/>
      </c>
      <c r="DF528" s="259">
        <f ca="1">IF(AND(CX528=$DE$2,$DF$2&lt;&gt;0),0,IF(AND(DB528&lt;&gt;"",OR(DB527&lt;&gt;"",DB529&lt;&gt;"")),MAX($DF$2:DF527)+1,0))</f>
        <v>0</v>
      </c>
    </row>
    <row r="529" spans="102:110">
      <c r="CX529" s="259">
        <f t="shared" ca="1" si="924"/>
        <v>30</v>
      </c>
      <c r="CY529" s="259" t="str">
        <f t="shared" ca="1" si="913"/>
        <v>MASTRO</v>
      </c>
      <c r="CZ529" s="259" t="e">
        <f t="shared" ca="1" si="926"/>
        <v>#N/A</v>
      </c>
      <c r="DA529" s="259" t="str">
        <f t="shared" ca="1" si="931"/>
        <v/>
      </c>
      <c r="DB529" s="259" t="str">
        <f t="shared" ca="1" si="927"/>
        <v/>
      </c>
      <c r="DC529" s="259" t="str">
        <f t="shared" ca="1" si="928"/>
        <v/>
      </c>
      <c r="DD529" s="259" t="str">
        <f t="shared" ca="1" si="929"/>
        <v/>
      </c>
      <c r="DE529" s="259" t="str">
        <f t="shared" ca="1" si="930"/>
        <v/>
      </c>
      <c r="DF529" s="259">
        <f ca="1">IF(AND(CX529=$DE$2,$DF$2&lt;&gt;0),0,IF(AND(DB529&lt;&gt;"",OR(DB528&lt;&gt;"",DB530&lt;&gt;"")),MAX($DF$2:DF528)+1,0))</f>
        <v>0</v>
      </c>
    </row>
    <row r="530" spans="102:110">
      <c r="CX530" s="259">
        <f t="shared" ca="1" si="924"/>
        <v>30</v>
      </c>
      <c r="CY530" s="259" t="str">
        <f t="shared" ca="1" si="913"/>
        <v>MASTRO</v>
      </c>
      <c r="CZ530" s="259" t="e">
        <f t="shared" ca="1" si="926"/>
        <v>#N/A</v>
      </c>
      <c r="DA530" s="259" t="str">
        <f t="shared" ca="1" si="931"/>
        <v/>
      </c>
      <c r="DB530" s="259" t="str">
        <f t="shared" ca="1" si="927"/>
        <v/>
      </c>
      <c r="DC530" s="259" t="str">
        <f t="shared" ca="1" si="928"/>
        <v/>
      </c>
      <c r="DD530" s="259" t="str">
        <f t="shared" ca="1" si="929"/>
        <v/>
      </c>
      <c r="DE530" s="259" t="str">
        <f t="shared" ca="1" si="930"/>
        <v/>
      </c>
      <c r="DF530" s="259">
        <f ca="1">IF(AND(CX530=$DE$2,$DF$2&lt;&gt;0),0,IF(AND(DB530&lt;&gt;"",OR(DB529&lt;&gt;"",DB531&lt;&gt;"")),MAX($DF$2:DF529)+1,0))</f>
        <v>0</v>
      </c>
    </row>
    <row r="531" spans="102:110">
      <c r="CX531" s="259">
        <f t="shared" ca="1" si="924"/>
        <v>30</v>
      </c>
      <c r="CY531" s="259" t="str">
        <f t="shared" ca="1" si="913"/>
        <v>MASTRO</v>
      </c>
      <c r="CZ531" s="259" t="e">
        <f t="shared" ca="1" si="926"/>
        <v>#N/A</v>
      </c>
      <c r="DA531" s="259" t="str">
        <f t="shared" ca="1" si="931"/>
        <v/>
      </c>
      <c r="DB531" s="259" t="str">
        <f t="shared" ca="1" si="927"/>
        <v/>
      </c>
      <c r="DC531" s="259" t="str">
        <f t="shared" ca="1" si="928"/>
        <v/>
      </c>
      <c r="DD531" s="259" t="str">
        <f t="shared" ca="1" si="929"/>
        <v/>
      </c>
      <c r="DE531" s="259" t="str">
        <f t="shared" ca="1" si="930"/>
        <v/>
      </c>
      <c r="DF531" s="259">
        <f ca="1">IF(AND(CX531=$DE$2,$DF$2&lt;&gt;0),0,IF(AND(DB531&lt;&gt;"",OR(DB530&lt;&gt;"",DB532&lt;&gt;"")),MAX($DF$2:DF530)+1,0))</f>
        <v>0</v>
      </c>
    </row>
    <row r="532" spans="102:110">
      <c r="CX532" s="259">
        <f t="shared" ca="1" si="924"/>
        <v>30</v>
      </c>
      <c r="CY532" s="259" t="str">
        <f t="shared" ca="1" si="913"/>
        <v>MASTRO</v>
      </c>
      <c r="CZ532" s="259" t="e">
        <f t="shared" ca="1" si="926"/>
        <v>#N/A</v>
      </c>
      <c r="DA532" s="259" t="str">
        <f t="shared" ca="1" si="931"/>
        <v/>
      </c>
      <c r="DB532" s="259" t="str">
        <f t="shared" ca="1" si="927"/>
        <v/>
      </c>
      <c r="DC532" s="259" t="str">
        <f t="shared" ca="1" si="928"/>
        <v/>
      </c>
      <c r="DD532" s="259" t="str">
        <f t="shared" ca="1" si="929"/>
        <v/>
      </c>
      <c r="DE532" s="259" t="str">
        <f t="shared" ca="1" si="930"/>
        <v/>
      </c>
      <c r="DF532" s="259">
        <f ca="1">IF(AND(CX532=$DE$2,$DF$2&lt;&gt;0),0,IF(AND(DB532&lt;&gt;"",OR(DB531&lt;&gt;"",DB533&lt;&gt;"")),MAX($DF$2:DF531)+1,0))</f>
        <v>0</v>
      </c>
    </row>
    <row r="533" spans="102:110">
      <c r="CX533" s="259">
        <f t="shared" ca="1" si="924"/>
        <v>30</v>
      </c>
      <c r="CY533" s="259" t="str">
        <f t="shared" ref="CY533:CY564" ca="1" si="932">IF(ISERROR(INDEX($CV$3:$CX$2300,MATCH(CX533,$CW$3:$CW$2300,0),1)),"MASTRO",INDEX($CV$3:$CX$2300,MATCH(CX533,$CW$3:$CW$2300,0),1))</f>
        <v>MASTRO</v>
      </c>
      <c r="CZ533" s="259" t="e">
        <f t="shared" ca="1" si="926"/>
        <v>#N/A</v>
      </c>
      <c r="DA533" s="259" t="str">
        <f t="shared" ca="1" si="931"/>
        <v/>
      </c>
      <c r="DB533" s="259" t="str">
        <f t="shared" ca="1" si="927"/>
        <v/>
      </c>
      <c r="DC533" s="259" t="str">
        <f t="shared" ca="1" si="928"/>
        <v/>
      </c>
      <c r="DD533" s="259" t="str">
        <f t="shared" ca="1" si="929"/>
        <v/>
      </c>
      <c r="DE533" s="259" t="str">
        <f t="shared" ca="1" si="930"/>
        <v/>
      </c>
      <c r="DF533" s="259">
        <f ca="1">IF(AND(CX533=$DE$2,$DF$2&lt;&gt;0),0,IF(AND(DB533&lt;&gt;"",OR(DB532&lt;&gt;"",DB534&lt;&gt;"")),MAX($DF$2:DF532)+1,0))</f>
        <v>0</v>
      </c>
    </row>
    <row r="534" spans="102:110">
      <c r="CX534" s="259">
        <f t="shared" ca="1" si="924"/>
        <v>30</v>
      </c>
      <c r="CY534" s="259" t="str">
        <f t="shared" ca="1" si="932"/>
        <v>MASTRO</v>
      </c>
      <c r="CZ534" s="259" t="e">
        <f t="shared" ca="1" si="926"/>
        <v>#N/A</v>
      </c>
      <c r="DA534" s="259" t="str">
        <f t="shared" ca="1" si="931"/>
        <v/>
      </c>
      <c r="DB534" s="259" t="str">
        <f t="shared" ca="1" si="927"/>
        <v/>
      </c>
      <c r="DC534" s="259" t="str">
        <f t="shared" ca="1" si="928"/>
        <v/>
      </c>
      <c r="DD534" s="259" t="str">
        <f t="shared" ca="1" si="929"/>
        <v/>
      </c>
      <c r="DE534" s="259" t="str">
        <f t="shared" ca="1" si="930"/>
        <v/>
      </c>
      <c r="DF534" s="259">
        <f ca="1">IF(AND(CX534=$DE$2,$DF$2&lt;&gt;0),0,IF(AND(DB534&lt;&gt;"",OR(DB533&lt;&gt;"",DB535&lt;&gt;"")),MAX($DF$2:DF533)+1,0))</f>
        <v>0</v>
      </c>
    </row>
    <row r="535" spans="102:110">
      <c r="CX535" s="259">
        <f t="shared" ca="1" si="924"/>
        <v>30</v>
      </c>
      <c r="CY535" s="259" t="str">
        <f t="shared" ca="1" si="932"/>
        <v>MASTRO</v>
      </c>
      <c r="CZ535" s="259" t="e">
        <f t="shared" ca="1" si="926"/>
        <v>#N/A</v>
      </c>
      <c r="DA535" s="259" t="str">
        <f t="shared" ca="1" si="931"/>
        <v/>
      </c>
      <c r="DB535" s="259" t="str">
        <f t="shared" ca="1" si="927"/>
        <v/>
      </c>
      <c r="DC535" s="259" t="str">
        <f t="shared" ca="1" si="928"/>
        <v/>
      </c>
      <c r="DD535" s="259" t="str">
        <f t="shared" ca="1" si="929"/>
        <v/>
      </c>
      <c r="DE535" s="259" t="str">
        <f t="shared" ca="1" si="930"/>
        <v/>
      </c>
      <c r="DF535" s="259">
        <f ca="1">IF(AND(CX535=$DE$2,$DF$2&lt;&gt;0),0,IF(AND(DB535&lt;&gt;"",OR(DB534&lt;&gt;"",DB536&lt;&gt;"")),MAX($DF$2:DF534)+1,0))</f>
        <v>0</v>
      </c>
    </row>
    <row r="536" spans="102:110">
      <c r="CX536" s="259">
        <f t="shared" ca="1" si="924"/>
        <v>30</v>
      </c>
      <c r="CY536" s="259" t="str">
        <f t="shared" ca="1" si="932"/>
        <v>MASTRO</v>
      </c>
      <c r="CZ536" s="259" t="e">
        <f t="shared" ca="1" si="926"/>
        <v>#N/A</v>
      </c>
      <c r="DA536" s="259" t="str">
        <f t="shared" ca="1" si="931"/>
        <v/>
      </c>
      <c r="DB536" s="259" t="str">
        <f t="shared" ca="1" si="927"/>
        <v/>
      </c>
      <c r="DC536" s="259" t="str">
        <f t="shared" ca="1" si="928"/>
        <v/>
      </c>
      <c r="DD536" s="259" t="str">
        <f t="shared" ca="1" si="929"/>
        <v/>
      </c>
      <c r="DE536" s="259" t="str">
        <f t="shared" ca="1" si="930"/>
        <v/>
      </c>
      <c r="DF536" s="259">
        <f ca="1">IF(AND(CX536=$DE$2,$DF$2&lt;&gt;0),0,IF(AND(DB536&lt;&gt;"",OR(DB535&lt;&gt;"",DB537&lt;&gt;"")),MAX($DF$2:DF535)+1,0))</f>
        <v>0</v>
      </c>
    </row>
    <row r="537" spans="102:110">
      <c r="CX537" s="259">
        <f t="shared" ca="1" si="924"/>
        <v>30</v>
      </c>
      <c r="CY537" s="259" t="str">
        <f t="shared" ca="1" si="932"/>
        <v>MASTRO</v>
      </c>
      <c r="CZ537" s="259" t="e">
        <f t="shared" ca="1" si="926"/>
        <v>#N/A</v>
      </c>
      <c r="DA537" s="259" t="str">
        <f t="shared" ca="1" si="931"/>
        <v/>
      </c>
      <c r="DB537" s="259" t="str">
        <f t="shared" ca="1" si="927"/>
        <v/>
      </c>
      <c r="DC537" s="259" t="str">
        <f t="shared" ca="1" si="928"/>
        <v/>
      </c>
      <c r="DD537" s="259" t="str">
        <f t="shared" ca="1" si="929"/>
        <v/>
      </c>
      <c r="DE537" s="259" t="str">
        <f t="shared" ca="1" si="930"/>
        <v/>
      </c>
      <c r="DF537" s="259">
        <f ca="1">IF(AND(CX537=$DE$2,$DF$2&lt;&gt;0),0,IF(AND(DB537&lt;&gt;"",OR(DB536&lt;&gt;"",DB538&lt;&gt;"")),MAX($DF$2:DF536)+1,0))</f>
        <v>0</v>
      </c>
    </row>
    <row r="538" spans="102:110">
      <c r="CX538" s="259">
        <f t="shared" ca="1" si="924"/>
        <v>30</v>
      </c>
      <c r="CY538" s="259" t="str">
        <f t="shared" ca="1" si="932"/>
        <v>MASTRO</v>
      </c>
      <c r="CZ538" s="259" t="e">
        <f t="shared" ca="1" si="926"/>
        <v>#N/A</v>
      </c>
      <c r="DA538" s="259" t="str">
        <f t="shared" ca="1" si="931"/>
        <v/>
      </c>
      <c r="DB538" s="259" t="str">
        <f t="shared" ca="1" si="927"/>
        <v/>
      </c>
      <c r="DC538" s="259" t="str">
        <f t="shared" ca="1" si="928"/>
        <v/>
      </c>
      <c r="DD538" s="259" t="str">
        <f t="shared" ca="1" si="929"/>
        <v/>
      </c>
      <c r="DE538" s="259" t="str">
        <f t="shared" ca="1" si="930"/>
        <v/>
      </c>
      <c r="DF538" s="259">
        <f ca="1">IF(AND(CX538=$DE$2,$DF$2&lt;&gt;0),0,IF(AND(DB538&lt;&gt;"",OR(DB537&lt;&gt;"",DB539&lt;&gt;"")),MAX($DF$2:DF537)+1,0))</f>
        <v>0</v>
      </c>
    </row>
    <row r="539" spans="102:110">
      <c r="CX539" s="259">
        <f t="shared" ca="1" si="924"/>
        <v>30</v>
      </c>
      <c r="CY539" s="259" t="str">
        <f t="shared" ca="1" si="932"/>
        <v>MASTRO</v>
      </c>
      <c r="CZ539" s="259" t="e">
        <f t="shared" ca="1" si="926"/>
        <v>#N/A</v>
      </c>
      <c r="DA539" s="259" t="str">
        <f t="shared" ca="1" si="931"/>
        <v/>
      </c>
      <c r="DB539" s="259" t="str">
        <f t="shared" ca="1" si="927"/>
        <v/>
      </c>
      <c r="DC539" s="259" t="str">
        <f t="shared" ca="1" si="928"/>
        <v/>
      </c>
      <c r="DD539" s="259" t="str">
        <f t="shared" ca="1" si="929"/>
        <v/>
      </c>
      <c r="DE539" s="259" t="str">
        <f t="shared" ca="1" si="930"/>
        <v/>
      </c>
      <c r="DF539" s="259">
        <f ca="1">IF(AND(CX539=$DE$2,$DF$2&lt;&gt;0),0,IF(AND(DB539&lt;&gt;"",OR(DB538&lt;&gt;"",DB540&lt;&gt;"")),MAX($DF$2:DF538)+1,0))</f>
        <v>0</v>
      </c>
    </row>
    <row r="540" spans="102:110">
      <c r="CX540" s="259">
        <f t="shared" ca="1" si="924"/>
        <v>30</v>
      </c>
      <c r="CY540" s="259" t="str">
        <f t="shared" ca="1" si="932"/>
        <v>MASTRO</v>
      </c>
      <c r="CZ540" s="259" t="e">
        <f t="shared" ca="1" si="926"/>
        <v>#N/A</v>
      </c>
      <c r="DA540" s="259" t="str">
        <f t="shared" ca="1" si="931"/>
        <v/>
      </c>
      <c r="DB540" s="259" t="str">
        <f t="shared" ca="1" si="927"/>
        <v/>
      </c>
      <c r="DC540" s="259" t="str">
        <f t="shared" ca="1" si="928"/>
        <v/>
      </c>
      <c r="DD540" s="259" t="str">
        <f t="shared" ca="1" si="929"/>
        <v/>
      </c>
      <c r="DE540" s="259" t="str">
        <f t="shared" ca="1" si="930"/>
        <v/>
      </c>
      <c r="DF540" s="259">
        <f ca="1">IF(AND(CX540=$DE$2,$DF$2&lt;&gt;0),0,IF(AND(DB540&lt;&gt;"",OR(DB539&lt;&gt;"",DB541&lt;&gt;"")),MAX($DF$2:DF539)+1,0))</f>
        <v>0</v>
      </c>
    </row>
    <row r="541" spans="102:110">
      <c r="CX541" s="259">
        <f t="shared" ca="1" si="924"/>
        <v>30</v>
      </c>
      <c r="CY541" s="259" t="str">
        <f t="shared" ca="1" si="932"/>
        <v>MASTRO</v>
      </c>
      <c r="CZ541" s="259" t="e">
        <f t="shared" ca="1" si="926"/>
        <v>#N/A</v>
      </c>
      <c r="DA541" s="259" t="str">
        <f t="shared" ca="1" si="931"/>
        <v/>
      </c>
      <c r="DB541" s="259" t="str">
        <f t="shared" ca="1" si="927"/>
        <v/>
      </c>
      <c r="DC541" s="259" t="str">
        <f t="shared" ca="1" si="928"/>
        <v/>
      </c>
      <c r="DD541" s="259" t="str">
        <f t="shared" ca="1" si="929"/>
        <v/>
      </c>
      <c r="DE541" s="259" t="str">
        <f t="shared" ca="1" si="930"/>
        <v/>
      </c>
      <c r="DF541" s="259">
        <f ca="1">IF(AND(CX541=$DE$2,$DF$2&lt;&gt;0),0,IF(AND(DB541&lt;&gt;"",OR(DB540&lt;&gt;"",DB542&lt;&gt;"")),MAX($DF$2:DF540)+1,0))</f>
        <v>0</v>
      </c>
    </row>
    <row r="542" spans="102:110">
      <c r="CX542" s="259" t="str">
        <f>IFERROR(IF(CX524+1=1,"",(CX524+1)),"")</f>
        <v/>
      </c>
      <c r="CY542" s="259" t="str">
        <f t="shared" ca="1" si="932"/>
        <v>MASTRO</v>
      </c>
      <c r="DB542" s="259" t="str">
        <f t="shared" ref="DB542" ca="1" si="933">CY542</f>
        <v>MASTRO</v>
      </c>
      <c r="DF542" s="259">
        <f ca="1">IF(AND(CX542=$DE$2,$DF$2&lt;&gt;0),0,IF(AND(DB542&lt;&gt;"",OR(DB541&lt;&gt;"",DB543&lt;&gt;"")),MAX($DF$2:DF541)+1,0))</f>
        <v>0</v>
      </c>
    </row>
    <row r="543" spans="102:110">
      <c r="CX543" s="259">
        <f ca="1">$EA$33</f>
        <v>31</v>
      </c>
      <c r="CY543" s="259" t="str">
        <f t="shared" ca="1" si="932"/>
        <v>MASTRO</v>
      </c>
      <c r="DA543" s="259" t="str">
        <f ca="1">IF(CY542="MASTRO","Conto n.","")</f>
        <v>Conto n.</v>
      </c>
      <c r="DB543" s="259" t="str">
        <f ca="1">IF(CY543=0,"",INDEX(PIANO_DEI_CONTI,MATCH(DC543,DENOMINAZIONE,0),1))</f>
        <v/>
      </c>
      <c r="DC543" s="259" t="str">
        <f ca="1">IF(OR(CY543=0,CY543="mastro"),"",CY543)</f>
        <v/>
      </c>
      <c r="DD543" s="259" t="str">
        <f ca="1">IF(AND($DA$2=TRUE,OR(INDEX(PIANO_DEI_CONTI,MATCH($DC543,DENOMINAZIONE,0),4)="A",INDEX(PIANO_DEI_CONTI,MATCH($DC543,DENOMINAZIONE,0),4)="D/A"),SUMIFS(AVERE,DENOMINAZIONE_GIORNALE,"="&amp;$DC543)&gt;SUMIFS(DARE,DENOMINAZIONE_GIORNALE,"="&amp;$DC543)),CONCATENATE("s ",FIXED(ABS(SUMIFS(AVERE,DENOMINAZIONE_GIORNALE,"="&amp;$DC543)-SUMIFS(DARE,DENOMINAZIONE_GIORNALE,"="&amp;$DC543)),2)),"")</f>
        <v/>
      </c>
      <c r="DE543" s="259" t="str">
        <f ca="1">IF(AND($DA$2=TRUE,OR(INDEX(PIANO_DEI_CONTI,MATCH($DC543,DENOMINAZIONE,0),4)="D",INDEX(PIANO_DEI_CONTI,MATCH($DC543,DENOMINAZIONE,0),4)="D/A"),SUMIFS(DARE,DENOMINAZIONE_GIORNALE,"="&amp;$DC543)&gt;SUMIFS(AVERE,DENOMINAZIONE_GIORNALE,"="&amp;$DC543)),CONCATENATE("s ",FIXED(ABS(SUMIFS(DARE,DENOMINAZIONE_GIORNALE,"="&amp;$DC543)-SUMIFS(AVERE,DENOMINAZIONE_GIORNALE,"="&amp;$DC543)),2)),"")</f>
        <v/>
      </c>
      <c r="DF543" s="259">
        <f ca="1">IF(AND(CX543=$DE$2,$DF$2&lt;&gt;0),0,IF(AND(DB543&lt;&gt;"",OR(DB542&lt;&gt;"",DB544&lt;&gt;"")),MAX($DF$2:DF542)+1,0))</f>
        <v>0</v>
      </c>
    </row>
    <row r="544" spans="102:110">
      <c r="CX544" s="259">
        <f t="shared" ref="CX544:CX559" ca="1" si="934">$EA$33</f>
        <v>31</v>
      </c>
      <c r="CY544" s="259" t="str">
        <f t="shared" ca="1" si="932"/>
        <v>MASTRO</v>
      </c>
      <c r="DA544" s="259" t="str">
        <f ca="1">IF(DB543="","","Num. riga")</f>
        <v/>
      </c>
      <c r="DB544" s="259" t="str">
        <f t="shared" ref="DB544" ca="1" si="935">IF(DB543="","","Data")</f>
        <v/>
      </c>
      <c r="DC544" s="259" t="str">
        <f ca="1">IF(DB543="","","Operazioni")</f>
        <v/>
      </c>
      <c r="DD544" s="259" t="str">
        <f ca="1">IF(DB543="","","Dare        ")</f>
        <v/>
      </c>
      <c r="DE544" s="259" t="str">
        <f ca="1">IF(DB543="","","Avere        ")</f>
        <v/>
      </c>
      <c r="DF544" s="259">
        <f ca="1">IF(AND(CX544=$DE$2,$DF$2&lt;&gt;0),0,IF(AND(DB544&lt;&gt;"",OR(DB543&lt;&gt;"",DB545&lt;&gt;"")),MAX($DF$2:DF543)+1,0))</f>
        <v>0</v>
      </c>
    </row>
    <row r="545" spans="102:110">
      <c r="CX545" s="259">
        <f t="shared" ca="1" si="934"/>
        <v>31</v>
      </c>
      <c r="CY545" s="259" t="str">
        <f t="shared" ca="1" si="932"/>
        <v>MASTRO</v>
      </c>
      <c r="CZ545" s="259" t="e">
        <f t="shared" ref="CZ545:CZ559" ca="1" si="936">SUM(MATCH($CY545,INDIRECT(ADDRESS(SUM(CZ544)+3,54)&amp;":"&amp;ADDRESS(400,54)),0),CZ544)</f>
        <v>#N/A</v>
      </c>
      <c r="DA545" s="259" t="str">
        <f ca="1">IFERROR(INDEX(LIBRO_GIORNALE,CZ545,1),"")</f>
        <v/>
      </c>
      <c r="DB545" s="259" t="str">
        <f t="shared" ref="DB545:DB559" ca="1" si="937">IF(RIGHT(TEXT(IFERROR(INDEX(LIBRO_GIORNALE,CZ545,2),""),"gg/mm/aa"),1)="a",TEXT(IFERROR(INDEX(LIBRO_GIORNALE,CZ545,2),""),"dd/mm/yy"),TEXT(IFERROR(INDEX(LIBRO_GIORNALE,CZ545,2),""),"gg/mm/aa"))</f>
        <v/>
      </c>
      <c r="DC545" s="259" t="str">
        <f t="shared" ref="DC545:DC559" ca="1" si="938">IF(IFERROR(INDEX(LIBRO_GIORNALE,CZ545,4),"")=0,"manca la descrizione dell'operazione",IFERROR(INDEX(LIBRO_GIORNALE,CZ545,4),""))</f>
        <v/>
      </c>
      <c r="DD545" s="259" t="str">
        <f t="shared" ref="DD545:DD559" ca="1" si="939">IFERROR(IF(INDEX(LIBRO_GIORNALE,CZ545,5)&gt;0,INDEX(LIBRO_GIORNALE,CZ545,5),""),"")</f>
        <v/>
      </c>
      <c r="DE545" s="259" t="str">
        <f t="shared" ref="DE545:DE559" ca="1" si="940">IFERROR(IF(INDEX(LIBRO_GIORNALE,CZ545,6)&gt;0,INDEX(LIBRO_GIORNALE,CZ545,6),""),"")</f>
        <v/>
      </c>
      <c r="DF545" s="259">
        <f ca="1">IF(AND(CX545=$DE$2,$DF$2&lt;&gt;0),0,IF(AND(DB545&lt;&gt;"",OR(DB544&lt;&gt;"",DB546&lt;&gt;"")),MAX($DF$2:DF544)+1,0))</f>
        <v>0</v>
      </c>
    </row>
    <row r="546" spans="102:110">
      <c r="CX546" s="259">
        <f t="shared" ca="1" si="934"/>
        <v>31</v>
      </c>
      <c r="CY546" s="259" t="str">
        <f t="shared" ca="1" si="932"/>
        <v>MASTRO</v>
      </c>
      <c r="CZ546" s="259" t="e">
        <f t="shared" ca="1" si="936"/>
        <v>#N/A</v>
      </c>
      <c r="DA546" s="259" t="str">
        <f t="shared" ref="DA546:DA559" ca="1" si="941">IFERROR(INDEX(LIBRO_GIORNALE,CZ546,1),"")</f>
        <v/>
      </c>
      <c r="DB546" s="259" t="str">
        <f t="shared" ca="1" si="937"/>
        <v/>
      </c>
      <c r="DC546" s="259" t="str">
        <f t="shared" ca="1" si="938"/>
        <v/>
      </c>
      <c r="DD546" s="259" t="str">
        <f t="shared" ca="1" si="939"/>
        <v/>
      </c>
      <c r="DE546" s="259" t="str">
        <f t="shared" ca="1" si="940"/>
        <v/>
      </c>
      <c r="DF546" s="259">
        <f ca="1">IF(AND(CX546=$DE$2,$DF$2&lt;&gt;0),0,IF(AND(DB546&lt;&gt;"",OR(DB545&lt;&gt;"",DB547&lt;&gt;"")),MAX($DF$2:DF545)+1,0))</f>
        <v>0</v>
      </c>
    </row>
    <row r="547" spans="102:110">
      <c r="CX547" s="259">
        <f t="shared" ca="1" si="934"/>
        <v>31</v>
      </c>
      <c r="CY547" s="259" t="str">
        <f t="shared" ca="1" si="932"/>
        <v>MASTRO</v>
      </c>
      <c r="CZ547" s="259" t="e">
        <f t="shared" ca="1" si="936"/>
        <v>#N/A</v>
      </c>
      <c r="DA547" s="259" t="str">
        <f t="shared" ca="1" si="941"/>
        <v/>
      </c>
      <c r="DB547" s="259" t="str">
        <f t="shared" ca="1" si="937"/>
        <v/>
      </c>
      <c r="DC547" s="259" t="str">
        <f t="shared" ca="1" si="938"/>
        <v/>
      </c>
      <c r="DD547" s="259" t="str">
        <f t="shared" ca="1" si="939"/>
        <v/>
      </c>
      <c r="DE547" s="259" t="str">
        <f t="shared" ca="1" si="940"/>
        <v/>
      </c>
      <c r="DF547" s="259">
        <f ca="1">IF(AND(CX547=$DE$2,$DF$2&lt;&gt;0),0,IF(AND(DB547&lt;&gt;"",OR(DB546&lt;&gt;"",DB548&lt;&gt;"")),MAX($DF$2:DF546)+1,0))</f>
        <v>0</v>
      </c>
    </row>
    <row r="548" spans="102:110">
      <c r="CX548" s="259">
        <f t="shared" ca="1" si="934"/>
        <v>31</v>
      </c>
      <c r="CY548" s="259" t="str">
        <f t="shared" ca="1" si="932"/>
        <v>MASTRO</v>
      </c>
      <c r="CZ548" s="259" t="e">
        <f t="shared" ca="1" si="936"/>
        <v>#N/A</v>
      </c>
      <c r="DA548" s="259" t="str">
        <f t="shared" ca="1" si="941"/>
        <v/>
      </c>
      <c r="DB548" s="259" t="str">
        <f t="shared" ca="1" si="937"/>
        <v/>
      </c>
      <c r="DC548" s="259" t="str">
        <f t="shared" ca="1" si="938"/>
        <v/>
      </c>
      <c r="DD548" s="259" t="str">
        <f t="shared" ca="1" si="939"/>
        <v/>
      </c>
      <c r="DE548" s="259" t="str">
        <f t="shared" ca="1" si="940"/>
        <v/>
      </c>
      <c r="DF548" s="259">
        <f ca="1">IF(AND(CX548=$DE$2,$DF$2&lt;&gt;0),0,IF(AND(DB548&lt;&gt;"",OR(DB547&lt;&gt;"",DB549&lt;&gt;"")),MAX($DF$2:DF547)+1,0))</f>
        <v>0</v>
      </c>
    </row>
    <row r="549" spans="102:110">
      <c r="CX549" s="259">
        <f t="shared" ca="1" si="934"/>
        <v>31</v>
      </c>
      <c r="CY549" s="259" t="str">
        <f t="shared" ca="1" si="932"/>
        <v>MASTRO</v>
      </c>
      <c r="CZ549" s="259" t="e">
        <f t="shared" ca="1" si="936"/>
        <v>#N/A</v>
      </c>
      <c r="DA549" s="259" t="str">
        <f t="shared" ca="1" si="941"/>
        <v/>
      </c>
      <c r="DB549" s="259" t="str">
        <f t="shared" ca="1" si="937"/>
        <v/>
      </c>
      <c r="DC549" s="259" t="str">
        <f t="shared" ca="1" si="938"/>
        <v/>
      </c>
      <c r="DD549" s="259" t="str">
        <f t="shared" ca="1" si="939"/>
        <v/>
      </c>
      <c r="DE549" s="259" t="str">
        <f t="shared" ca="1" si="940"/>
        <v/>
      </c>
      <c r="DF549" s="259">
        <f ca="1">IF(AND(CX549=$DE$2,$DF$2&lt;&gt;0),0,IF(AND(DB549&lt;&gt;"",OR(DB548&lt;&gt;"",DB550&lt;&gt;"")),MAX($DF$2:DF548)+1,0))</f>
        <v>0</v>
      </c>
    </row>
    <row r="550" spans="102:110">
      <c r="CX550" s="259">
        <f t="shared" ca="1" si="934"/>
        <v>31</v>
      </c>
      <c r="CY550" s="259" t="str">
        <f t="shared" ca="1" si="932"/>
        <v>MASTRO</v>
      </c>
      <c r="CZ550" s="259" t="e">
        <f t="shared" ca="1" si="936"/>
        <v>#N/A</v>
      </c>
      <c r="DA550" s="259" t="str">
        <f t="shared" ca="1" si="941"/>
        <v/>
      </c>
      <c r="DB550" s="259" t="str">
        <f t="shared" ca="1" si="937"/>
        <v/>
      </c>
      <c r="DC550" s="259" t="str">
        <f t="shared" ca="1" si="938"/>
        <v/>
      </c>
      <c r="DD550" s="259" t="str">
        <f t="shared" ca="1" si="939"/>
        <v/>
      </c>
      <c r="DE550" s="259" t="str">
        <f t="shared" ca="1" si="940"/>
        <v/>
      </c>
      <c r="DF550" s="259">
        <f ca="1">IF(AND(CX550=$DE$2,$DF$2&lt;&gt;0),0,IF(AND(DB550&lt;&gt;"",OR(DB549&lt;&gt;"",DB551&lt;&gt;"")),MAX($DF$2:DF549)+1,0))</f>
        <v>0</v>
      </c>
    </row>
    <row r="551" spans="102:110">
      <c r="CX551" s="259">
        <f t="shared" ca="1" si="934"/>
        <v>31</v>
      </c>
      <c r="CY551" s="259" t="str">
        <f t="shared" ca="1" si="932"/>
        <v>MASTRO</v>
      </c>
      <c r="CZ551" s="259" t="e">
        <f t="shared" ca="1" si="936"/>
        <v>#N/A</v>
      </c>
      <c r="DA551" s="259" t="str">
        <f t="shared" ca="1" si="941"/>
        <v/>
      </c>
      <c r="DB551" s="259" t="str">
        <f t="shared" ca="1" si="937"/>
        <v/>
      </c>
      <c r="DC551" s="259" t="str">
        <f t="shared" ca="1" si="938"/>
        <v/>
      </c>
      <c r="DD551" s="259" t="str">
        <f t="shared" ca="1" si="939"/>
        <v/>
      </c>
      <c r="DE551" s="259" t="str">
        <f t="shared" ca="1" si="940"/>
        <v/>
      </c>
      <c r="DF551" s="259">
        <f ca="1">IF(AND(CX551=$DE$2,$DF$2&lt;&gt;0),0,IF(AND(DB551&lt;&gt;"",OR(DB550&lt;&gt;"",DB552&lt;&gt;"")),MAX($DF$2:DF550)+1,0))</f>
        <v>0</v>
      </c>
    </row>
    <row r="552" spans="102:110">
      <c r="CX552" s="259">
        <f t="shared" ca="1" si="934"/>
        <v>31</v>
      </c>
      <c r="CY552" s="259" t="str">
        <f t="shared" ca="1" si="932"/>
        <v>MASTRO</v>
      </c>
      <c r="CZ552" s="259" t="e">
        <f t="shared" ca="1" si="936"/>
        <v>#N/A</v>
      </c>
      <c r="DA552" s="259" t="str">
        <f t="shared" ca="1" si="941"/>
        <v/>
      </c>
      <c r="DB552" s="259" t="str">
        <f t="shared" ca="1" si="937"/>
        <v/>
      </c>
      <c r="DC552" s="259" t="str">
        <f t="shared" ca="1" si="938"/>
        <v/>
      </c>
      <c r="DD552" s="259" t="str">
        <f t="shared" ca="1" si="939"/>
        <v/>
      </c>
      <c r="DE552" s="259" t="str">
        <f t="shared" ca="1" si="940"/>
        <v/>
      </c>
      <c r="DF552" s="259">
        <f ca="1">IF(AND(CX552=$DE$2,$DF$2&lt;&gt;0),0,IF(AND(DB552&lt;&gt;"",OR(DB551&lt;&gt;"",DB553&lt;&gt;"")),MAX($DF$2:DF551)+1,0))</f>
        <v>0</v>
      </c>
    </row>
    <row r="553" spans="102:110">
      <c r="CX553" s="259">
        <f t="shared" ca="1" si="934"/>
        <v>31</v>
      </c>
      <c r="CY553" s="259" t="str">
        <f t="shared" ca="1" si="932"/>
        <v>MASTRO</v>
      </c>
      <c r="CZ553" s="259" t="e">
        <f t="shared" ca="1" si="936"/>
        <v>#N/A</v>
      </c>
      <c r="DA553" s="259" t="str">
        <f t="shared" ca="1" si="941"/>
        <v/>
      </c>
      <c r="DB553" s="259" t="str">
        <f t="shared" ca="1" si="937"/>
        <v/>
      </c>
      <c r="DC553" s="259" t="str">
        <f t="shared" ca="1" si="938"/>
        <v/>
      </c>
      <c r="DD553" s="259" t="str">
        <f t="shared" ca="1" si="939"/>
        <v/>
      </c>
      <c r="DE553" s="259" t="str">
        <f t="shared" ca="1" si="940"/>
        <v/>
      </c>
      <c r="DF553" s="259">
        <f ca="1">IF(AND(CX553=$DE$2,$DF$2&lt;&gt;0),0,IF(AND(DB553&lt;&gt;"",OR(DB552&lt;&gt;"",DB554&lt;&gt;"")),MAX($DF$2:DF552)+1,0))</f>
        <v>0</v>
      </c>
    </row>
    <row r="554" spans="102:110">
      <c r="CX554" s="259">
        <f t="shared" ca="1" si="934"/>
        <v>31</v>
      </c>
      <c r="CY554" s="259" t="str">
        <f t="shared" ca="1" si="932"/>
        <v>MASTRO</v>
      </c>
      <c r="CZ554" s="259" t="e">
        <f t="shared" ca="1" si="936"/>
        <v>#N/A</v>
      </c>
      <c r="DA554" s="259" t="str">
        <f t="shared" ca="1" si="941"/>
        <v/>
      </c>
      <c r="DB554" s="259" t="str">
        <f t="shared" ca="1" si="937"/>
        <v/>
      </c>
      <c r="DC554" s="259" t="str">
        <f t="shared" ca="1" si="938"/>
        <v/>
      </c>
      <c r="DD554" s="259" t="str">
        <f t="shared" ca="1" si="939"/>
        <v/>
      </c>
      <c r="DE554" s="259" t="str">
        <f t="shared" ca="1" si="940"/>
        <v/>
      </c>
      <c r="DF554" s="259">
        <f ca="1">IF(AND(CX554=$DE$2,$DF$2&lt;&gt;0),0,IF(AND(DB554&lt;&gt;"",OR(DB553&lt;&gt;"",DB555&lt;&gt;"")),MAX($DF$2:DF553)+1,0))</f>
        <v>0</v>
      </c>
    </row>
    <row r="555" spans="102:110">
      <c r="CX555" s="259">
        <f t="shared" ca="1" si="934"/>
        <v>31</v>
      </c>
      <c r="CY555" s="259" t="str">
        <f t="shared" ca="1" si="932"/>
        <v>MASTRO</v>
      </c>
      <c r="CZ555" s="259" t="e">
        <f t="shared" ca="1" si="936"/>
        <v>#N/A</v>
      </c>
      <c r="DA555" s="259" t="str">
        <f t="shared" ca="1" si="941"/>
        <v/>
      </c>
      <c r="DB555" s="259" t="str">
        <f t="shared" ca="1" si="937"/>
        <v/>
      </c>
      <c r="DC555" s="259" t="str">
        <f t="shared" ca="1" si="938"/>
        <v/>
      </c>
      <c r="DD555" s="259" t="str">
        <f t="shared" ca="1" si="939"/>
        <v/>
      </c>
      <c r="DE555" s="259" t="str">
        <f t="shared" ca="1" si="940"/>
        <v/>
      </c>
      <c r="DF555" s="259">
        <f ca="1">IF(AND(CX555=$DE$2,$DF$2&lt;&gt;0),0,IF(AND(DB555&lt;&gt;"",OR(DB554&lt;&gt;"",DB556&lt;&gt;"")),MAX($DF$2:DF554)+1,0))</f>
        <v>0</v>
      </c>
    </row>
    <row r="556" spans="102:110">
      <c r="CX556" s="259">
        <f t="shared" ca="1" si="934"/>
        <v>31</v>
      </c>
      <c r="CY556" s="259" t="str">
        <f t="shared" ca="1" si="932"/>
        <v>MASTRO</v>
      </c>
      <c r="CZ556" s="259" t="e">
        <f t="shared" ca="1" si="936"/>
        <v>#N/A</v>
      </c>
      <c r="DA556" s="259" t="str">
        <f t="shared" ca="1" si="941"/>
        <v/>
      </c>
      <c r="DB556" s="259" t="str">
        <f t="shared" ca="1" si="937"/>
        <v/>
      </c>
      <c r="DC556" s="259" t="str">
        <f t="shared" ca="1" si="938"/>
        <v/>
      </c>
      <c r="DD556" s="259" t="str">
        <f t="shared" ca="1" si="939"/>
        <v/>
      </c>
      <c r="DE556" s="259" t="str">
        <f t="shared" ca="1" si="940"/>
        <v/>
      </c>
      <c r="DF556" s="259">
        <f ca="1">IF(AND(CX556=$DE$2,$DF$2&lt;&gt;0),0,IF(AND(DB556&lt;&gt;"",OR(DB555&lt;&gt;"",DB557&lt;&gt;"")),MAX($DF$2:DF555)+1,0))</f>
        <v>0</v>
      </c>
    </row>
    <row r="557" spans="102:110">
      <c r="CX557" s="259">
        <f t="shared" ca="1" si="934"/>
        <v>31</v>
      </c>
      <c r="CY557" s="259" t="str">
        <f t="shared" ca="1" si="932"/>
        <v>MASTRO</v>
      </c>
      <c r="CZ557" s="259" t="e">
        <f t="shared" ca="1" si="936"/>
        <v>#N/A</v>
      </c>
      <c r="DA557" s="259" t="str">
        <f t="shared" ca="1" si="941"/>
        <v/>
      </c>
      <c r="DB557" s="259" t="str">
        <f t="shared" ca="1" si="937"/>
        <v/>
      </c>
      <c r="DC557" s="259" t="str">
        <f t="shared" ca="1" si="938"/>
        <v/>
      </c>
      <c r="DD557" s="259" t="str">
        <f t="shared" ca="1" si="939"/>
        <v/>
      </c>
      <c r="DE557" s="259" t="str">
        <f t="shared" ca="1" si="940"/>
        <v/>
      </c>
      <c r="DF557" s="259">
        <f ca="1">IF(AND(CX557=$DE$2,$DF$2&lt;&gt;0),0,IF(AND(DB557&lt;&gt;"",OR(DB556&lt;&gt;"",DB558&lt;&gt;"")),MAX($DF$2:DF556)+1,0))</f>
        <v>0</v>
      </c>
    </row>
    <row r="558" spans="102:110">
      <c r="CX558" s="259">
        <f t="shared" ca="1" si="934"/>
        <v>31</v>
      </c>
      <c r="CY558" s="259" t="str">
        <f t="shared" ca="1" si="932"/>
        <v>MASTRO</v>
      </c>
      <c r="CZ558" s="259" t="e">
        <f t="shared" ca="1" si="936"/>
        <v>#N/A</v>
      </c>
      <c r="DA558" s="259" t="str">
        <f t="shared" ca="1" si="941"/>
        <v/>
      </c>
      <c r="DB558" s="259" t="str">
        <f t="shared" ca="1" si="937"/>
        <v/>
      </c>
      <c r="DC558" s="259" t="str">
        <f t="shared" ca="1" si="938"/>
        <v/>
      </c>
      <c r="DD558" s="259" t="str">
        <f t="shared" ca="1" si="939"/>
        <v/>
      </c>
      <c r="DE558" s="259" t="str">
        <f t="shared" ca="1" si="940"/>
        <v/>
      </c>
      <c r="DF558" s="259">
        <f ca="1">IF(AND(CX558=$DE$2,$DF$2&lt;&gt;0),0,IF(AND(DB558&lt;&gt;"",OR(DB557&lt;&gt;"",DB559&lt;&gt;"")),MAX($DF$2:DF557)+1,0))</f>
        <v>0</v>
      </c>
    </row>
    <row r="559" spans="102:110">
      <c r="CX559" s="259">
        <f t="shared" ca="1" si="934"/>
        <v>31</v>
      </c>
      <c r="CY559" s="259" t="str">
        <f t="shared" ca="1" si="932"/>
        <v>MASTRO</v>
      </c>
      <c r="CZ559" s="259" t="e">
        <f t="shared" ca="1" si="936"/>
        <v>#N/A</v>
      </c>
      <c r="DA559" s="259" t="str">
        <f t="shared" ca="1" si="941"/>
        <v/>
      </c>
      <c r="DB559" s="259" t="str">
        <f t="shared" ca="1" si="937"/>
        <v/>
      </c>
      <c r="DC559" s="259" t="str">
        <f t="shared" ca="1" si="938"/>
        <v/>
      </c>
      <c r="DD559" s="259" t="str">
        <f t="shared" ca="1" si="939"/>
        <v/>
      </c>
      <c r="DE559" s="259" t="str">
        <f t="shared" ca="1" si="940"/>
        <v/>
      </c>
      <c r="DF559" s="259">
        <f ca="1">IF(AND(CX559=$DE$2,$DF$2&lt;&gt;0),0,IF(AND(DB559&lt;&gt;"",OR(DB558&lt;&gt;"",DB560&lt;&gt;"")),MAX($DF$2:DF558)+1,0))</f>
        <v>0</v>
      </c>
    </row>
    <row r="560" spans="102:110">
      <c r="CX560" s="259" t="str">
        <f>IFERROR(IF(CX542+1=1,"",(CX542+1)),"")</f>
        <v/>
      </c>
      <c r="CY560" s="259" t="str">
        <f t="shared" ca="1" si="932"/>
        <v>MASTRO</v>
      </c>
      <c r="DB560" s="259" t="str">
        <f t="shared" ref="DB560" ca="1" si="942">CY560</f>
        <v>MASTRO</v>
      </c>
      <c r="DF560" s="259">
        <f ca="1">IF(AND(CX560=$DE$2,$DF$2&lt;&gt;0),0,IF(AND(DB560&lt;&gt;"",OR(DB559&lt;&gt;"",DB561&lt;&gt;"")),MAX($DF$2:DF559)+1,0))</f>
        <v>0</v>
      </c>
    </row>
    <row r="561" spans="102:110">
      <c r="CX561" s="259">
        <f ca="1">$EA$34</f>
        <v>32</v>
      </c>
      <c r="CY561" s="259" t="str">
        <f t="shared" ca="1" si="932"/>
        <v>MASTRO</v>
      </c>
      <c r="DA561" s="259" t="str">
        <f ca="1">IF(CY560="MASTRO","Conto n.","")</f>
        <v>Conto n.</v>
      </c>
      <c r="DB561" s="259" t="str">
        <f ca="1">IF(CY561=0,"",INDEX(PIANO_DEI_CONTI,MATCH(DC561,DENOMINAZIONE,0),1))</f>
        <v/>
      </c>
      <c r="DC561" s="259" t="str">
        <f ca="1">IF(OR(CY561=0,CY561="mastro"),"",CY561)</f>
        <v/>
      </c>
      <c r="DD561" s="259" t="str">
        <f ca="1">IF(AND($DA$2=TRUE,OR(INDEX(PIANO_DEI_CONTI,MATCH($DC561,DENOMINAZIONE,0),4)="A",INDEX(PIANO_DEI_CONTI,MATCH($DC561,DENOMINAZIONE,0),4)="D/A"),SUMIFS(AVERE,DENOMINAZIONE_GIORNALE,"="&amp;$DC561)&gt;SUMIFS(DARE,DENOMINAZIONE_GIORNALE,"="&amp;$DC561)),CONCATENATE("s ",FIXED(ABS(SUMIFS(AVERE,DENOMINAZIONE_GIORNALE,"="&amp;$DC561)-SUMIFS(DARE,DENOMINAZIONE_GIORNALE,"="&amp;$DC561)),2)),"")</f>
        <v/>
      </c>
      <c r="DE561" s="259" t="str">
        <f ca="1">IF(AND($DA$2=TRUE,OR(INDEX(PIANO_DEI_CONTI,MATCH($DC561,DENOMINAZIONE,0),4)="D",INDEX(PIANO_DEI_CONTI,MATCH($DC561,DENOMINAZIONE,0),4)="D/A"),SUMIFS(DARE,DENOMINAZIONE_GIORNALE,"="&amp;$DC561)&gt;SUMIFS(AVERE,DENOMINAZIONE_GIORNALE,"="&amp;$DC561)),CONCATENATE("s ",FIXED(ABS(SUMIFS(DARE,DENOMINAZIONE_GIORNALE,"="&amp;$DC561)-SUMIFS(AVERE,DENOMINAZIONE_GIORNALE,"="&amp;$DC561)),2)),"")</f>
        <v/>
      </c>
      <c r="DF561" s="259">
        <f ca="1">IF(AND(CX561=$DE$2,$DF$2&lt;&gt;0),0,IF(AND(DB561&lt;&gt;"",OR(DB560&lt;&gt;"",DB562&lt;&gt;"")),MAX($DF$2:DF560)+1,0))</f>
        <v>0</v>
      </c>
    </row>
    <row r="562" spans="102:110">
      <c r="CX562" s="259">
        <f t="shared" ref="CX562:CX577" ca="1" si="943">$EA$34</f>
        <v>32</v>
      </c>
      <c r="CY562" s="259" t="str">
        <f t="shared" ca="1" si="932"/>
        <v>MASTRO</v>
      </c>
      <c r="DA562" s="259" t="str">
        <f ca="1">IF(DB561="","","Num. riga")</f>
        <v/>
      </c>
      <c r="DB562" s="259" t="str">
        <f t="shared" ref="DB562" ca="1" si="944">IF(DB561="","","Data")</f>
        <v/>
      </c>
      <c r="DC562" s="259" t="str">
        <f ca="1">IF(DB561="","","Operazioni")</f>
        <v/>
      </c>
      <c r="DD562" s="259" t="str">
        <f ca="1">IF(DB561="","","Dare        ")</f>
        <v/>
      </c>
      <c r="DE562" s="259" t="str">
        <f ca="1">IF(DB561="","","Avere        ")</f>
        <v/>
      </c>
      <c r="DF562" s="259">
        <f ca="1">IF(AND(CX562=$DE$2,$DF$2&lt;&gt;0),0,IF(AND(DB562&lt;&gt;"",OR(DB561&lt;&gt;"",DB563&lt;&gt;"")),MAX($DF$2:DF561)+1,0))</f>
        <v>0</v>
      </c>
    </row>
    <row r="563" spans="102:110">
      <c r="CX563" s="259">
        <f t="shared" ca="1" si="943"/>
        <v>32</v>
      </c>
      <c r="CY563" s="259" t="str">
        <f t="shared" ca="1" si="932"/>
        <v>MASTRO</v>
      </c>
      <c r="CZ563" s="259" t="e">
        <f t="shared" ref="CZ563:CZ577" ca="1" si="945">SUM(MATCH($CY563,INDIRECT(ADDRESS(SUM(CZ562)+3,54)&amp;":"&amp;ADDRESS(400,54)),0),CZ562)</f>
        <v>#N/A</v>
      </c>
      <c r="DA563" s="259" t="str">
        <f ca="1">IFERROR(INDEX(LIBRO_GIORNALE,CZ563,1),"")</f>
        <v/>
      </c>
      <c r="DB563" s="259" t="str">
        <f t="shared" ref="DB563:DB577" ca="1" si="946">IF(RIGHT(TEXT(IFERROR(INDEX(LIBRO_GIORNALE,CZ563,2),""),"gg/mm/aa"),1)="a",TEXT(IFERROR(INDEX(LIBRO_GIORNALE,CZ563,2),""),"dd/mm/yy"),TEXT(IFERROR(INDEX(LIBRO_GIORNALE,CZ563,2),""),"gg/mm/aa"))</f>
        <v/>
      </c>
      <c r="DC563" s="259" t="str">
        <f t="shared" ref="DC563:DC577" ca="1" si="947">IF(IFERROR(INDEX(LIBRO_GIORNALE,CZ563,4),"")=0,"manca la descrizione dell'operazione",IFERROR(INDEX(LIBRO_GIORNALE,CZ563,4),""))</f>
        <v/>
      </c>
      <c r="DD563" s="259" t="str">
        <f t="shared" ref="DD563:DD577" ca="1" si="948">IFERROR(IF(INDEX(LIBRO_GIORNALE,CZ563,5)&gt;0,INDEX(LIBRO_GIORNALE,CZ563,5),""),"")</f>
        <v/>
      </c>
      <c r="DE563" s="259" t="str">
        <f t="shared" ref="DE563:DE577" ca="1" si="949">IFERROR(IF(INDEX(LIBRO_GIORNALE,CZ563,6)&gt;0,INDEX(LIBRO_GIORNALE,CZ563,6),""),"")</f>
        <v/>
      </c>
      <c r="DF563" s="259">
        <f ca="1">IF(AND(CX563=$DE$2,$DF$2&lt;&gt;0),0,IF(AND(DB563&lt;&gt;"",OR(DB562&lt;&gt;"",DB564&lt;&gt;"")),MAX($DF$2:DF562)+1,0))</f>
        <v>0</v>
      </c>
    </row>
    <row r="564" spans="102:110">
      <c r="CX564" s="259">
        <f t="shared" ca="1" si="943"/>
        <v>32</v>
      </c>
      <c r="CY564" s="259" t="str">
        <f t="shared" ca="1" si="932"/>
        <v>MASTRO</v>
      </c>
      <c r="CZ564" s="259" t="e">
        <f t="shared" ca="1" si="945"/>
        <v>#N/A</v>
      </c>
      <c r="DA564" s="259" t="str">
        <f t="shared" ref="DA564:DA577" ca="1" si="950">IFERROR(INDEX(LIBRO_GIORNALE,CZ564,1),"")</f>
        <v/>
      </c>
      <c r="DB564" s="259" t="str">
        <f t="shared" ca="1" si="946"/>
        <v/>
      </c>
      <c r="DC564" s="259" t="str">
        <f t="shared" ca="1" si="947"/>
        <v/>
      </c>
      <c r="DD564" s="259" t="str">
        <f t="shared" ca="1" si="948"/>
        <v/>
      </c>
      <c r="DE564" s="259" t="str">
        <f t="shared" ca="1" si="949"/>
        <v/>
      </c>
      <c r="DF564" s="259">
        <f ca="1">IF(AND(CX564=$DE$2,$DF$2&lt;&gt;0),0,IF(AND(DB564&lt;&gt;"",OR(DB563&lt;&gt;"",DB565&lt;&gt;"")),MAX($DF$2:DF563)+1,0))</f>
        <v>0</v>
      </c>
    </row>
    <row r="565" spans="102:110">
      <c r="CX565" s="259">
        <f t="shared" ca="1" si="943"/>
        <v>32</v>
      </c>
      <c r="CY565" s="259" t="str">
        <f t="shared" ref="CY565:CY595" ca="1" si="951">IF(ISERROR(INDEX($CV$3:$CX$2300,MATCH(CX565,$CW$3:$CW$2300,0),1)),"MASTRO",INDEX($CV$3:$CX$2300,MATCH(CX565,$CW$3:$CW$2300,0),1))</f>
        <v>MASTRO</v>
      </c>
      <c r="CZ565" s="259" t="e">
        <f t="shared" ca="1" si="945"/>
        <v>#N/A</v>
      </c>
      <c r="DA565" s="259" t="str">
        <f t="shared" ca="1" si="950"/>
        <v/>
      </c>
      <c r="DB565" s="259" t="str">
        <f t="shared" ca="1" si="946"/>
        <v/>
      </c>
      <c r="DC565" s="259" t="str">
        <f t="shared" ca="1" si="947"/>
        <v/>
      </c>
      <c r="DD565" s="259" t="str">
        <f t="shared" ca="1" si="948"/>
        <v/>
      </c>
      <c r="DE565" s="259" t="str">
        <f t="shared" ca="1" si="949"/>
        <v/>
      </c>
      <c r="DF565" s="259">
        <f ca="1">IF(AND(CX565=$DE$2,$DF$2&lt;&gt;0),0,IF(AND(DB565&lt;&gt;"",OR(DB564&lt;&gt;"",DB566&lt;&gt;"")),MAX($DF$2:DF564)+1,0))</f>
        <v>0</v>
      </c>
    </row>
    <row r="566" spans="102:110">
      <c r="CX566" s="259">
        <f t="shared" ca="1" si="943"/>
        <v>32</v>
      </c>
      <c r="CY566" s="259" t="str">
        <f t="shared" ca="1" si="951"/>
        <v>MASTRO</v>
      </c>
      <c r="CZ566" s="259" t="e">
        <f t="shared" ca="1" si="945"/>
        <v>#N/A</v>
      </c>
      <c r="DA566" s="259" t="str">
        <f t="shared" ca="1" si="950"/>
        <v/>
      </c>
      <c r="DB566" s="259" t="str">
        <f t="shared" ca="1" si="946"/>
        <v/>
      </c>
      <c r="DC566" s="259" t="str">
        <f t="shared" ca="1" si="947"/>
        <v/>
      </c>
      <c r="DD566" s="259" t="str">
        <f t="shared" ca="1" si="948"/>
        <v/>
      </c>
      <c r="DE566" s="259" t="str">
        <f t="shared" ca="1" si="949"/>
        <v/>
      </c>
      <c r="DF566" s="259">
        <f ca="1">IF(AND(CX566=$DE$2,$DF$2&lt;&gt;0),0,IF(AND(DB566&lt;&gt;"",OR(DB565&lt;&gt;"",DB567&lt;&gt;"")),MAX($DF$2:DF565)+1,0))</f>
        <v>0</v>
      </c>
    </row>
    <row r="567" spans="102:110">
      <c r="CX567" s="259">
        <f t="shared" ca="1" si="943"/>
        <v>32</v>
      </c>
      <c r="CY567" s="259" t="str">
        <f t="shared" ca="1" si="951"/>
        <v>MASTRO</v>
      </c>
      <c r="CZ567" s="259" t="e">
        <f t="shared" ca="1" si="945"/>
        <v>#N/A</v>
      </c>
      <c r="DA567" s="259" t="str">
        <f t="shared" ca="1" si="950"/>
        <v/>
      </c>
      <c r="DB567" s="259" t="str">
        <f t="shared" ca="1" si="946"/>
        <v/>
      </c>
      <c r="DC567" s="259" t="str">
        <f t="shared" ca="1" si="947"/>
        <v/>
      </c>
      <c r="DD567" s="259" t="str">
        <f t="shared" ca="1" si="948"/>
        <v/>
      </c>
      <c r="DE567" s="259" t="str">
        <f t="shared" ca="1" si="949"/>
        <v/>
      </c>
      <c r="DF567" s="259">
        <f ca="1">IF(AND(CX567=$DE$2,$DF$2&lt;&gt;0),0,IF(AND(DB567&lt;&gt;"",OR(DB566&lt;&gt;"",DB568&lt;&gt;"")),MAX($DF$2:DF566)+1,0))</f>
        <v>0</v>
      </c>
    </row>
    <row r="568" spans="102:110">
      <c r="CX568" s="259">
        <f t="shared" ca="1" si="943"/>
        <v>32</v>
      </c>
      <c r="CY568" s="259" t="str">
        <f t="shared" ca="1" si="951"/>
        <v>MASTRO</v>
      </c>
      <c r="CZ568" s="259" t="e">
        <f t="shared" ca="1" si="945"/>
        <v>#N/A</v>
      </c>
      <c r="DA568" s="259" t="str">
        <f t="shared" ca="1" si="950"/>
        <v/>
      </c>
      <c r="DB568" s="259" t="str">
        <f t="shared" ca="1" si="946"/>
        <v/>
      </c>
      <c r="DC568" s="259" t="str">
        <f t="shared" ca="1" si="947"/>
        <v/>
      </c>
      <c r="DD568" s="259" t="str">
        <f t="shared" ca="1" si="948"/>
        <v/>
      </c>
      <c r="DE568" s="259" t="str">
        <f t="shared" ca="1" si="949"/>
        <v/>
      </c>
      <c r="DF568" s="259">
        <f ca="1">IF(AND(CX568=$DE$2,$DF$2&lt;&gt;0),0,IF(AND(DB568&lt;&gt;"",OR(DB567&lt;&gt;"",DB569&lt;&gt;"")),MAX($DF$2:DF567)+1,0))</f>
        <v>0</v>
      </c>
    </row>
    <row r="569" spans="102:110">
      <c r="CX569" s="259">
        <f t="shared" ca="1" si="943"/>
        <v>32</v>
      </c>
      <c r="CY569" s="259" t="str">
        <f t="shared" ca="1" si="951"/>
        <v>MASTRO</v>
      </c>
      <c r="CZ569" s="259" t="e">
        <f t="shared" ca="1" si="945"/>
        <v>#N/A</v>
      </c>
      <c r="DA569" s="259" t="str">
        <f t="shared" ca="1" si="950"/>
        <v/>
      </c>
      <c r="DB569" s="259" t="str">
        <f t="shared" ca="1" si="946"/>
        <v/>
      </c>
      <c r="DC569" s="259" t="str">
        <f t="shared" ca="1" si="947"/>
        <v/>
      </c>
      <c r="DD569" s="259" t="str">
        <f t="shared" ca="1" si="948"/>
        <v/>
      </c>
      <c r="DE569" s="259" t="str">
        <f t="shared" ca="1" si="949"/>
        <v/>
      </c>
      <c r="DF569" s="259">
        <f ca="1">IF(AND(CX569=$DE$2,$DF$2&lt;&gt;0),0,IF(AND(DB569&lt;&gt;"",OR(DB568&lt;&gt;"",DB570&lt;&gt;"")),MAX($DF$2:DF568)+1,0))</f>
        <v>0</v>
      </c>
    </row>
    <row r="570" spans="102:110">
      <c r="CX570" s="259">
        <f t="shared" ca="1" si="943"/>
        <v>32</v>
      </c>
      <c r="CY570" s="259" t="str">
        <f t="shared" ca="1" si="951"/>
        <v>MASTRO</v>
      </c>
      <c r="CZ570" s="259" t="e">
        <f t="shared" ca="1" si="945"/>
        <v>#N/A</v>
      </c>
      <c r="DA570" s="259" t="str">
        <f t="shared" ca="1" si="950"/>
        <v/>
      </c>
      <c r="DB570" s="259" t="str">
        <f t="shared" ca="1" si="946"/>
        <v/>
      </c>
      <c r="DC570" s="259" t="str">
        <f t="shared" ca="1" si="947"/>
        <v/>
      </c>
      <c r="DD570" s="259" t="str">
        <f t="shared" ca="1" si="948"/>
        <v/>
      </c>
      <c r="DE570" s="259" t="str">
        <f t="shared" ca="1" si="949"/>
        <v/>
      </c>
      <c r="DF570" s="259">
        <f ca="1">IF(AND(CX570=$DE$2,$DF$2&lt;&gt;0),0,IF(AND(DB570&lt;&gt;"",OR(DB569&lt;&gt;"",DB571&lt;&gt;"")),MAX($DF$2:DF569)+1,0))</f>
        <v>0</v>
      </c>
    </row>
    <row r="571" spans="102:110">
      <c r="CX571" s="259">
        <f t="shared" ca="1" si="943"/>
        <v>32</v>
      </c>
      <c r="CY571" s="259" t="str">
        <f t="shared" ca="1" si="951"/>
        <v>MASTRO</v>
      </c>
      <c r="CZ571" s="259" t="e">
        <f t="shared" ca="1" si="945"/>
        <v>#N/A</v>
      </c>
      <c r="DA571" s="259" t="str">
        <f t="shared" ca="1" si="950"/>
        <v/>
      </c>
      <c r="DB571" s="259" t="str">
        <f t="shared" ca="1" si="946"/>
        <v/>
      </c>
      <c r="DC571" s="259" t="str">
        <f t="shared" ca="1" si="947"/>
        <v/>
      </c>
      <c r="DD571" s="259" t="str">
        <f t="shared" ca="1" si="948"/>
        <v/>
      </c>
      <c r="DE571" s="259" t="str">
        <f t="shared" ca="1" si="949"/>
        <v/>
      </c>
      <c r="DF571" s="259">
        <f ca="1">IF(AND(CX571=$DE$2,$DF$2&lt;&gt;0),0,IF(AND(DB571&lt;&gt;"",OR(DB570&lt;&gt;"",DB572&lt;&gt;"")),MAX($DF$2:DF570)+1,0))</f>
        <v>0</v>
      </c>
    </row>
    <row r="572" spans="102:110">
      <c r="CX572" s="259">
        <f t="shared" ca="1" si="943"/>
        <v>32</v>
      </c>
      <c r="CY572" s="259" t="str">
        <f t="shared" ca="1" si="951"/>
        <v>MASTRO</v>
      </c>
      <c r="CZ572" s="259" t="e">
        <f t="shared" ca="1" si="945"/>
        <v>#N/A</v>
      </c>
      <c r="DA572" s="259" t="str">
        <f t="shared" ca="1" si="950"/>
        <v/>
      </c>
      <c r="DB572" s="259" t="str">
        <f t="shared" ca="1" si="946"/>
        <v/>
      </c>
      <c r="DC572" s="259" t="str">
        <f t="shared" ca="1" si="947"/>
        <v/>
      </c>
      <c r="DD572" s="259" t="str">
        <f t="shared" ca="1" si="948"/>
        <v/>
      </c>
      <c r="DE572" s="259" t="str">
        <f t="shared" ca="1" si="949"/>
        <v/>
      </c>
      <c r="DF572" s="259">
        <f ca="1">IF(AND(CX572=$DE$2,$DF$2&lt;&gt;0),0,IF(AND(DB572&lt;&gt;"",OR(DB571&lt;&gt;"",DB573&lt;&gt;"")),MAX($DF$2:DF571)+1,0))</f>
        <v>0</v>
      </c>
    </row>
    <row r="573" spans="102:110">
      <c r="CX573" s="259">
        <f t="shared" ca="1" si="943"/>
        <v>32</v>
      </c>
      <c r="CY573" s="259" t="str">
        <f t="shared" ca="1" si="951"/>
        <v>MASTRO</v>
      </c>
      <c r="CZ573" s="259" t="e">
        <f t="shared" ca="1" si="945"/>
        <v>#N/A</v>
      </c>
      <c r="DA573" s="259" t="str">
        <f t="shared" ca="1" si="950"/>
        <v/>
      </c>
      <c r="DB573" s="259" t="str">
        <f t="shared" ca="1" si="946"/>
        <v/>
      </c>
      <c r="DC573" s="259" t="str">
        <f t="shared" ca="1" si="947"/>
        <v/>
      </c>
      <c r="DD573" s="259" t="str">
        <f t="shared" ca="1" si="948"/>
        <v/>
      </c>
      <c r="DE573" s="259" t="str">
        <f t="shared" ca="1" si="949"/>
        <v/>
      </c>
      <c r="DF573" s="259">
        <f ca="1">IF(AND(CX573=$DE$2,$DF$2&lt;&gt;0),0,IF(AND(DB573&lt;&gt;"",OR(DB572&lt;&gt;"",DB574&lt;&gt;"")),MAX($DF$2:DF572)+1,0))</f>
        <v>0</v>
      </c>
    </row>
    <row r="574" spans="102:110">
      <c r="CX574" s="259">
        <f t="shared" ca="1" si="943"/>
        <v>32</v>
      </c>
      <c r="CY574" s="259" t="str">
        <f t="shared" ca="1" si="951"/>
        <v>MASTRO</v>
      </c>
      <c r="CZ574" s="259" t="e">
        <f t="shared" ca="1" si="945"/>
        <v>#N/A</v>
      </c>
      <c r="DA574" s="259" t="str">
        <f t="shared" ca="1" si="950"/>
        <v/>
      </c>
      <c r="DB574" s="259" t="str">
        <f t="shared" ca="1" si="946"/>
        <v/>
      </c>
      <c r="DC574" s="259" t="str">
        <f t="shared" ca="1" si="947"/>
        <v/>
      </c>
      <c r="DD574" s="259" t="str">
        <f t="shared" ca="1" si="948"/>
        <v/>
      </c>
      <c r="DE574" s="259" t="str">
        <f t="shared" ca="1" si="949"/>
        <v/>
      </c>
      <c r="DF574" s="259">
        <f ca="1">IF(AND(CX574=$DE$2,$DF$2&lt;&gt;0),0,IF(AND(DB574&lt;&gt;"",OR(DB573&lt;&gt;"",DB575&lt;&gt;"")),MAX($DF$2:DF573)+1,0))</f>
        <v>0</v>
      </c>
    </row>
    <row r="575" spans="102:110">
      <c r="CX575" s="259">
        <f t="shared" ca="1" si="943"/>
        <v>32</v>
      </c>
      <c r="CY575" s="259" t="str">
        <f t="shared" ca="1" si="951"/>
        <v>MASTRO</v>
      </c>
      <c r="CZ575" s="259" t="e">
        <f t="shared" ca="1" si="945"/>
        <v>#N/A</v>
      </c>
      <c r="DA575" s="259" t="str">
        <f t="shared" ca="1" si="950"/>
        <v/>
      </c>
      <c r="DB575" s="259" t="str">
        <f t="shared" ca="1" si="946"/>
        <v/>
      </c>
      <c r="DC575" s="259" t="str">
        <f t="shared" ca="1" si="947"/>
        <v/>
      </c>
      <c r="DD575" s="259" t="str">
        <f t="shared" ca="1" si="948"/>
        <v/>
      </c>
      <c r="DE575" s="259" t="str">
        <f t="shared" ca="1" si="949"/>
        <v/>
      </c>
      <c r="DF575" s="259">
        <f ca="1">IF(AND(CX575=$DE$2,$DF$2&lt;&gt;0),0,IF(AND(DB575&lt;&gt;"",OR(DB574&lt;&gt;"",DB576&lt;&gt;"")),MAX($DF$2:DF574)+1,0))</f>
        <v>0</v>
      </c>
    </row>
    <row r="576" spans="102:110">
      <c r="CX576" s="259">
        <f t="shared" ca="1" si="943"/>
        <v>32</v>
      </c>
      <c r="CY576" s="259" t="str">
        <f t="shared" ca="1" si="951"/>
        <v>MASTRO</v>
      </c>
      <c r="CZ576" s="259" t="e">
        <f t="shared" ca="1" si="945"/>
        <v>#N/A</v>
      </c>
      <c r="DA576" s="259" t="str">
        <f t="shared" ca="1" si="950"/>
        <v/>
      </c>
      <c r="DB576" s="259" t="str">
        <f t="shared" ca="1" si="946"/>
        <v/>
      </c>
      <c r="DC576" s="259" t="str">
        <f t="shared" ca="1" si="947"/>
        <v/>
      </c>
      <c r="DD576" s="259" t="str">
        <f t="shared" ca="1" si="948"/>
        <v/>
      </c>
      <c r="DE576" s="259" t="str">
        <f t="shared" ca="1" si="949"/>
        <v/>
      </c>
      <c r="DF576" s="259">
        <f ca="1">IF(AND(CX576=$DE$2,$DF$2&lt;&gt;0),0,IF(AND(DB576&lt;&gt;"",OR(DB575&lt;&gt;"",DB577&lt;&gt;"")),MAX($DF$2:DF575)+1,0))</f>
        <v>0</v>
      </c>
    </row>
    <row r="577" spans="102:110">
      <c r="CX577" s="259">
        <f t="shared" ca="1" si="943"/>
        <v>32</v>
      </c>
      <c r="CY577" s="259" t="str">
        <f t="shared" ca="1" si="951"/>
        <v>MASTRO</v>
      </c>
      <c r="CZ577" s="259" t="e">
        <f t="shared" ca="1" si="945"/>
        <v>#N/A</v>
      </c>
      <c r="DA577" s="259" t="str">
        <f t="shared" ca="1" si="950"/>
        <v/>
      </c>
      <c r="DB577" s="259" t="str">
        <f t="shared" ca="1" si="946"/>
        <v/>
      </c>
      <c r="DC577" s="259" t="str">
        <f t="shared" ca="1" si="947"/>
        <v/>
      </c>
      <c r="DD577" s="259" t="str">
        <f t="shared" ca="1" si="948"/>
        <v/>
      </c>
      <c r="DE577" s="259" t="str">
        <f t="shared" ca="1" si="949"/>
        <v/>
      </c>
      <c r="DF577" s="259">
        <f ca="1">IF(AND(CX577=$DE$2,$DF$2&lt;&gt;0),0,IF(AND(DB577&lt;&gt;"",OR(DB576&lt;&gt;"",DB578&lt;&gt;"")),MAX($DF$2:DF576)+1,0))</f>
        <v>0</v>
      </c>
    </row>
    <row r="578" spans="102:110">
      <c r="CX578" s="259" t="str">
        <f>IFERROR(IF(CX560+1=1,"",(CX560+1)),"")</f>
        <v/>
      </c>
      <c r="CY578" s="259" t="str">
        <f t="shared" ca="1" si="951"/>
        <v>MASTRO</v>
      </c>
      <c r="DB578" s="259" t="str">
        <f t="shared" ref="DB578" ca="1" si="952">CY578</f>
        <v>MASTRO</v>
      </c>
      <c r="DF578" s="259">
        <f ca="1">IF(AND(CX578=$DE$2,$DF$2&lt;&gt;0),0,IF(AND(DB578&lt;&gt;"",OR(DB577&lt;&gt;"",DB579&lt;&gt;"")),MAX($DF$2:DF577)+1,0))</f>
        <v>0</v>
      </c>
    </row>
    <row r="579" spans="102:110">
      <c r="CX579" s="259">
        <f ca="1">$EA$35</f>
        <v>33</v>
      </c>
      <c r="CY579" s="259" t="str">
        <f t="shared" ca="1" si="951"/>
        <v>MASTRO</v>
      </c>
      <c r="DA579" s="259" t="str">
        <f ca="1">IF(CY578="MASTRO","Conto n.","")</f>
        <v>Conto n.</v>
      </c>
      <c r="DB579" s="259" t="str">
        <f ca="1">IF(CY579=0,"",INDEX(PIANO_DEI_CONTI,MATCH(DC579,DENOMINAZIONE,0),1))</f>
        <v/>
      </c>
      <c r="DC579" s="259" t="str">
        <f ca="1">IF(OR(CY579=0,CY579="mastro"),"",CY579)</f>
        <v/>
      </c>
      <c r="DD579" s="259" t="str">
        <f ca="1">IF(AND($DA$2=TRUE,OR(INDEX(PIANO_DEI_CONTI,MATCH($DC579,DENOMINAZIONE,0),4)="A",INDEX(PIANO_DEI_CONTI,MATCH($DC579,DENOMINAZIONE,0),4)="D/A"),SUMIFS(AVERE,DENOMINAZIONE_GIORNALE,"="&amp;$DC579)&gt;SUMIFS(DARE,DENOMINAZIONE_GIORNALE,"="&amp;$DC579)),CONCATENATE("s ",FIXED(ABS(SUMIFS(AVERE,DENOMINAZIONE_GIORNALE,"="&amp;$DC579)-SUMIFS(DARE,DENOMINAZIONE_GIORNALE,"="&amp;$DC579)),2)),"")</f>
        <v/>
      </c>
      <c r="DE579" s="259" t="str">
        <f ca="1">IF(AND($DA$2=TRUE,OR(INDEX(PIANO_DEI_CONTI,MATCH($DC579,DENOMINAZIONE,0),4)="D",INDEX(PIANO_DEI_CONTI,MATCH($DC579,DENOMINAZIONE,0),4)="D/A"),SUMIFS(DARE,DENOMINAZIONE_GIORNALE,"="&amp;$DC579)&gt;SUMIFS(AVERE,DENOMINAZIONE_GIORNALE,"="&amp;$DC579)),CONCATENATE("s ",FIXED(ABS(SUMIFS(DARE,DENOMINAZIONE_GIORNALE,"="&amp;$DC579)-SUMIFS(AVERE,DENOMINAZIONE_GIORNALE,"="&amp;$DC579)),2)),"")</f>
        <v/>
      </c>
      <c r="DF579" s="259">
        <f ca="1">IF(AND(CX579=$DE$2,$DF$2&lt;&gt;0),0,IF(AND(DB579&lt;&gt;"",OR(DB578&lt;&gt;"",DB580&lt;&gt;"")),MAX($DF$2:DF578)+1,0))</f>
        <v>0</v>
      </c>
    </row>
    <row r="580" spans="102:110">
      <c r="CX580" s="259">
        <f t="shared" ref="CX580:CX595" ca="1" si="953">$EA$35</f>
        <v>33</v>
      </c>
      <c r="CY580" s="259" t="str">
        <f t="shared" ca="1" si="951"/>
        <v>MASTRO</v>
      </c>
      <c r="DA580" s="259" t="str">
        <f ca="1">IF(DB579="","","Num. riga")</f>
        <v/>
      </c>
      <c r="DB580" s="259" t="str">
        <f t="shared" ref="DB580" ca="1" si="954">IF(DB579="","","Data")</f>
        <v/>
      </c>
      <c r="DC580" s="259" t="str">
        <f ca="1">IF(DB579="","","Operazioni")</f>
        <v/>
      </c>
      <c r="DD580" s="259" t="str">
        <f ca="1">IF(DB579="","","Dare        ")</f>
        <v/>
      </c>
      <c r="DE580" s="259" t="str">
        <f ca="1">IF(DB579="","","Avere        ")</f>
        <v/>
      </c>
      <c r="DF580" s="259">
        <f ca="1">IF(AND(CX580=$DE$2,$DF$2&lt;&gt;0),0,IF(AND(DB580&lt;&gt;"",OR(DB579&lt;&gt;"",DB581&lt;&gt;"")),MAX($DF$2:DF579)+1,0))</f>
        <v>0</v>
      </c>
    </row>
    <row r="581" spans="102:110">
      <c r="CX581" s="259">
        <f t="shared" ca="1" si="953"/>
        <v>33</v>
      </c>
      <c r="CY581" s="259" t="str">
        <f t="shared" ca="1" si="951"/>
        <v>MASTRO</v>
      </c>
      <c r="CZ581" s="259" t="e">
        <f t="shared" ref="CZ581:CZ595" ca="1" si="955">SUM(MATCH($CY581,INDIRECT(ADDRESS(SUM(CZ580)+3,54)&amp;":"&amp;ADDRESS(400,54)),0),CZ580)</f>
        <v>#N/A</v>
      </c>
      <c r="DA581" s="259" t="str">
        <f ca="1">IFERROR(INDEX(LIBRO_GIORNALE,CZ581,1),"")</f>
        <v/>
      </c>
      <c r="DB581" s="259" t="str">
        <f t="shared" ref="DB581:DB595" ca="1" si="956">IF(RIGHT(TEXT(IFERROR(INDEX(LIBRO_GIORNALE,CZ581,2),""),"gg/mm/aa"),1)="a",TEXT(IFERROR(INDEX(LIBRO_GIORNALE,CZ581,2),""),"dd/mm/yy"),TEXT(IFERROR(INDEX(LIBRO_GIORNALE,CZ581,2),""),"gg/mm/aa"))</f>
        <v/>
      </c>
      <c r="DC581" s="259" t="str">
        <f t="shared" ref="DC581:DC595" ca="1" si="957">IF(IFERROR(INDEX(LIBRO_GIORNALE,CZ581,4),"")=0,"manca la descrizione dell'operazione",IFERROR(INDEX(LIBRO_GIORNALE,CZ581,4),""))</f>
        <v/>
      </c>
      <c r="DD581" s="259" t="str">
        <f t="shared" ref="DD581:DD595" ca="1" si="958">IFERROR(IF(INDEX(LIBRO_GIORNALE,CZ581,5)&gt;0,INDEX(LIBRO_GIORNALE,CZ581,5),""),"")</f>
        <v/>
      </c>
      <c r="DE581" s="259" t="str">
        <f t="shared" ref="DE581:DE595" ca="1" si="959">IFERROR(IF(INDEX(LIBRO_GIORNALE,CZ581,6)&gt;0,INDEX(LIBRO_GIORNALE,CZ581,6),""),"")</f>
        <v/>
      </c>
      <c r="DF581" s="259">
        <f ca="1">IF(AND(CX581=$DE$2,$DF$2&lt;&gt;0),0,IF(AND(DB581&lt;&gt;"",OR(DB580&lt;&gt;"",DB582&lt;&gt;"")),MAX($DF$2:DF580)+1,0))</f>
        <v>0</v>
      </c>
    </row>
    <row r="582" spans="102:110">
      <c r="CX582" s="259">
        <f t="shared" ca="1" si="953"/>
        <v>33</v>
      </c>
      <c r="CY582" s="259" t="str">
        <f t="shared" ca="1" si="951"/>
        <v>MASTRO</v>
      </c>
      <c r="CZ582" s="259" t="e">
        <f t="shared" ca="1" si="955"/>
        <v>#N/A</v>
      </c>
      <c r="DA582" s="259" t="str">
        <f t="shared" ref="DA582:DA595" ca="1" si="960">IFERROR(INDEX(LIBRO_GIORNALE,CZ582,1),"")</f>
        <v/>
      </c>
      <c r="DB582" s="259" t="str">
        <f t="shared" ca="1" si="956"/>
        <v/>
      </c>
      <c r="DC582" s="259" t="str">
        <f t="shared" ca="1" si="957"/>
        <v/>
      </c>
      <c r="DD582" s="259" t="str">
        <f t="shared" ca="1" si="958"/>
        <v/>
      </c>
      <c r="DE582" s="259" t="str">
        <f t="shared" ca="1" si="959"/>
        <v/>
      </c>
      <c r="DF582" s="259">
        <f ca="1">IF(AND(CX582=$DE$2,$DF$2&lt;&gt;0),0,IF(AND(DB582&lt;&gt;"",OR(DB581&lt;&gt;"",DB583&lt;&gt;"")),MAX($DF$2:DF581)+1,0))</f>
        <v>0</v>
      </c>
    </row>
    <row r="583" spans="102:110">
      <c r="CX583" s="259">
        <f t="shared" ca="1" si="953"/>
        <v>33</v>
      </c>
      <c r="CY583" s="259" t="str">
        <f t="shared" ca="1" si="951"/>
        <v>MASTRO</v>
      </c>
      <c r="CZ583" s="259" t="e">
        <f t="shared" ca="1" si="955"/>
        <v>#N/A</v>
      </c>
      <c r="DA583" s="259" t="str">
        <f t="shared" ca="1" si="960"/>
        <v/>
      </c>
      <c r="DB583" s="259" t="str">
        <f t="shared" ca="1" si="956"/>
        <v/>
      </c>
      <c r="DC583" s="259" t="str">
        <f t="shared" ca="1" si="957"/>
        <v/>
      </c>
      <c r="DD583" s="259" t="str">
        <f t="shared" ca="1" si="958"/>
        <v/>
      </c>
      <c r="DE583" s="259" t="str">
        <f t="shared" ca="1" si="959"/>
        <v/>
      </c>
      <c r="DF583" s="259">
        <f ca="1">IF(AND(CX583=$DE$2,$DF$2&lt;&gt;0),0,IF(AND(DB583&lt;&gt;"",OR(DB582&lt;&gt;"",DB584&lt;&gt;"")),MAX($DF$2:DF582)+1,0))</f>
        <v>0</v>
      </c>
    </row>
    <row r="584" spans="102:110">
      <c r="CX584" s="259">
        <f t="shared" ca="1" si="953"/>
        <v>33</v>
      </c>
      <c r="CY584" s="259" t="str">
        <f t="shared" ca="1" si="951"/>
        <v>MASTRO</v>
      </c>
      <c r="CZ584" s="259" t="e">
        <f t="shared" ca="1" si="955"/>
        <v>#N/A</v>
      </c>
      <c r="DA584" s="259" t="str">
        <f t="shared" ca="1" si="960"/>
        <v/>
      </c>
      <c r="DB584" s="259" t="str">
        <f t="shared" ca="1" si="956"/>
        <v/>
      </c>
      <c r="DC584" s="259" t="str">
        <f t="shared" ca="1" si="957"/>
        <v/>
      </c>
      <c r="DD584" s="259" t="str">
        <f t="shared" ca="1" si="958"/>
        <v/>
      </c>
      <c r="DE584" s="259" t="str">
        <f t="shared" ca="1" si="959"/>
        <v/>
      </c>
      <c r="DF584" s="259">
        <f ca="1">IF(AND(CX584=$DE$2,$DF$2&lt;&gt;0),0,IF(AND(DB584&lt;&gt;"",OR(DB583&lt;&gt;"",DB585&lt;&gt;"")),MAX($DF$2:DF583)+1,0))</f>
        <v>0</v>
      </c>
    </row>
    <row r="585" spans="102:110">
      <c r="CX585" s="259">
        <f t="shared" ca="1" si="953"/>
        <v>33</v>
      </c>
      <c r="CY585" s="259" t="str">
        <f t="shared" ca="1" si="951"/>
        <v>MASTRO</v>
      </c>
      <c r="CZ585" s="259" t="e">
        <f t="shared" ca="1" si="955"/>
        <v>#N/A</v>
      </c>
      <c r="DA585" s="259" t="str">
        <f t="shared" ca="1" si="960"/>
        <v/>
      </c>
      <c r="DB585" s="259" t="str">
        <f t="shared" ca="1" si="956"/>
        <v/>
      </c>
      <c r="DC585" s="259" t="str">
        <f t="shared" ca="1" si="957"/>
        <v/>
      </c>
      <c r="DD585" s="259" t="str">
        <f t="shared" ca="1" si="958"/>
        <v/>
      </c>
      <c r="DE585" s="259" t="str">
        <f t="shared" ca="1" si="959"/>
        <v/>
      </c>
      <c r="DF585" s="259">
        <f ca="1">IF(AND(CX585=$DE$2,$DF$2&lt;&gt;0),0,IF(AND(DB585&lt;&gt;"",OR(DB584&lt;&gt;"",DB586&lt;&gt;"")),MAX($DF$2:DF584)+1,0))</f>
        <v>0</v>
      </c>
    </row>
    <row r="586" spans="102:110">
      <c r="CX586" s="259">
        <f t="shared" ca="1" si="953"/>
        <v>33</v>
      </c>
      <c r="CY586" s="259" t="str">
        <f t="shared" ca="1" si="951"/>
        <v>MASTRO</v>
      </c>
      <c r="CZ586" s="259" t="e">
        <f t="shared" ca="1" si="955"/>
        <v>#N/A</v>
      </c>
      <c r="DA586" s="259" t="str">
        <f t="shared" ca="1" si="960"/>
        <v/>
      </c>
      <c r="DB586" s="259" t="str">
        <f t="shared" ca="1" si="956"/>
        <v/>
      </c>
      <c r="DC586" s="259" t="str">
        <f t="shared" ca="1" si="957"/>
        <v/>
      </c>
      <c r="DD586" s="259" t="str">
        <f t="shared" ca="1" si="958"/>
        <v/>
      </c>
      <c r="DE586" s="259" t="str">
        <f t="shared" ca="1" si="959"/>
        <v/>
      </c>
      <c r="DF586" s="259">
        <f ca="1">IF(AND(CX586=$DE$2,$DF$2&lt;&gt;0),0,IF(AND(DB586&lt;&gt;"",OR(DB585&lt;&gt;"",DB587&lt;&gt;"")),MAX($DF$2:DF585)+1,0))</f>
        <v>0</v>
      </c>
    </row>
    <row r="587" spans="102:110">
      <c r="CX587" s="259">
        <f t="shared" ca="1" si="953"/>
        <v>33</v>
      </c>
      <c r="CY587" s="259" t="str">
        <f t="shared" ca="1" si="951"/>
        <v>MASTRO</v>
      </c>
      <c r="CZ587" s="259" t="e">
        <f t="shared" ca="1" si="955"/>
        <v>#N/A</v>
      </c>
      <c r="DA587" s="259" t="str">
        <f t="shared" ca="1" si="960"/>
        <v/>
      </c>
      <c r="DB587" s="259" t="str">
        <f t="shared" ca="1" si="956"/>
        <v/>
      </c>
      <c r="DC587" s="259" t="str">
        <f t="shared" ca="1" si="957"/>
        <v/>
      </c>
      <c r="DD587" s="259" t="str">
        <f t="shared" ca="1" si="958"/>
        <v/>
      </c>
      <c r="DE587" s="259" t="str">
        <f t="shared" ca="1" si="959"/>
        <v/>
      </c>
      <c r="DF587" s="259">
        <f ca="1">IF(AND(CX587=$DE$2,$DF$2&lt;&gt;0),0,IF(AND(DB587&lt;&gt;"",OR(DB586&lt;&gt;"",DB588&lt;&gt;"")),MAX($DF$2:DF586)+1,0))</f>
        <v>0</v>
      </c>
    </row>
    <row r="588" spans="102:110">
      <c r="CX588" s="259">
        <f t="shared" ca="1" si="953"/>
        <v>33</v>
      </c>
      <c r="CY588" s="259" t="str">
        <f t="shared" ca="1" si="951"/>
        <v>MASTRO</v>
      </c>
      <c r="CZ588" s="259" t="e">
        <f t="shared" ca="1" si="955"/>
        <v>#N/A</v>
      </c>
      <c r="DA588" s="259" t="str">
        <f t="shared" ca="1" si="960"/>
        <v/>
      </c>
      <c r="DB588" s="259" t="str">
        <f t="shared" ca="1" si="956"/>
        <v/>
      </c>
      <c r="DC588" s="259" t="str">
        <f t="shared" ca="1" si="957"/>
        <v/>
      </c>
      <c r="DD588" s="259" t="str">
        <f t="shared" ca="1" si="958"/>
        <v/>
      </c>
      <c r="DE588" s="259" t="str">
        <f t="shared" ca="1" si="959"/>
        <v/>
      </c>
      <c r="DF588" s="259">
        <f ca="1">IF(AND(CX588=$DE$2,$DF$2&lt;&gt;0),0,IF(AND(DB588&lt;&gt;"",OR(DB587&lt;&gt;"",DB589&lt;&gt;"")),MAX($DF$2:DF587)+1,0))</f>
        <v>0</v>
      </c>
    </row>
    <row r="589" spans="102:110">
      <c r="CX589" s="259">
        <f t="shared" ca="1" si="953"/>
        <v>33</v>
      </c>
      <c r="CY589" s="259" t="str">
        <f t="shared" ca="1" si="951"/>
        <v>MASTRO</v>
      </c>
      <c r="CZ589" s="259" t="e">
        <f t="shared" ca="1" si="955"/>
        <v>#N/A</v>
      </c>
      <c r="DA589" s="259" t="str">
        <f t="shared" ca="1" si="960"/>
        <v/>
      </c>
      <c r="DB589" s="259" t="str">
        <f t="shared" ca="1" si="956"/>
        <v/>
      </c>
      <c r="DC589" s="259" t="str">
        <f t="shared" ca="1" si="957"/>
        <v/>
      </c>
      <c r="DD589" s="259" t="str">
        <f t="shared" ca="1" si="958"/>
        <v/>
      </c>
      <c r="DE589" s="259" t="str">
        <f t="shared" ca="1" si="959"/>
        <v/>
      </c>
      <c r="DF589" s="259">
        <f ca="1">IF(AND(CX589=$DE$2,$DF$2&lt;&gt;0),0,IF(AND(DB589&lt;&gt;"",OR(DB588&lt;&gt;"",DB590&lt;&gt;"")),MAX($DF$2:DF588)+1,0))</f>
        <v>0</v>
      </c>
    </row>
    <row r="590" spans="102:110">
      <c r="CX590" s="259">
        <f t="shared" ca="1" si="953"/>
        <v>33</v>
      </c>
      <c r="CY590" s="259" t="str">
        <f t="shared" ca="1" si="951"/>
        <v>MASTRO</v>
      </c>
      <c r="CZ590" s="259" t="e">
        <f t="shared" ca="1" si="955"/>
        <v>#N/A</v>
      </c>
      <c r="DA590" s="259" t="str">
        <f t="shared" ca="1" si="960"/>
        <v/>
      </c>
      <c r="DB590" s="259" t="str">
        <f t="shared" ca="1" si="956"/>
        <v/>
      </c>
      <c r="DC590" s="259" t="str">
        <f t="shared" ca="1" si="957"/>
        <v/>
      </c>
      <c r="DD590" s="259" t="str">
        <f t="shared" ca="1" si="958"/>
        <v/>
      </c>
      <c r="DE590" s="259" t="str">
        <f t="shared" ca="1" si="959"/>
        <v/>
      </c>
      <c r="DF590" s="259">
        <f ca="1">IF(AND(CX590=$DE$2,$DF$2&lt;&gt;0),0,IF(AND(DB590&lt;&gt;"",OR(DB589&lt;&gt;"",DB591&lt;&gt;"")),MAX($DF$2:DF589)+1,0))</f>
        <v>0</v>
      </c>
    </row>
    <row r="591" spans="102:110">
      <c r="CX591" s="259">
        <f t="shared" ca="1" si="953"/>
        <v>33</v>
      </c>
      <c r="CY591" s="259" t="str">
        <f t="shared" ca="1" si="951"/>
        <v>MASTRO</v>
      </c>
      <c r="CZ591" s="259" t="e">
        <f t="shared" ca="1" si="955"/>
        <v>#N/A</v>
      </c>
      <c r="DA591" s="259" t="str">
        <f t="shared" ca="1" si="960"/>
        <v/>
      </c>
      <c r="DB591" s="259" t="str">
        <f t="shared" ca="1" si="956"/>
        <v/>
      </c>
      <c r="DC591" s="259" t="str">
        <f t="shared" ca="1" si="957"/>
        <v/>
      </c>
      <c r="DD591" s="259" t="str">
        <f t="shared" ca="1" si="958"/>
        <v/>
      </c>
      <c r="DE591" s="259" t="str">
        <f t="shared" ca="1" si="959"/>
        <v/>
      </c>
      <c r="DF591" s="259">
        <f ca="1">IF(AND(CX591=$DE$2,$DF$2&lt;&gt;0),0,IF(AND(DB591&lt;&gt;"",OR(DB590&lt;&gt;"",DB592&lt;&gt;"")),MAX($DF$2:DF590)+1,0))</f>
        <v>0</v>
      </c>
    </row>
    <row r="592" spans="102:110">
      <c r="CX592" s="259">
        <f t="shared" ca="1" si="953"/>
        <v>33</v>
      </c>
      <c r="CY592" s="259" t="str">
        <f t="shared" ca="1" si="951"/>
        <v>MASTRO</v>
      </c>
      <c r="CZ592" s="259" t="e">
        <f t="shared" ca="1" si="955"/>
        <v>#N/A</v>
      </c>
      <c r="DA592" s="259" t="str">
        <f t="shared" ca="1" si="960"/>
        <v/>
      </c>
      <c r="DB592" s="259" t="str">
        <f t="shared" ca="1" si="956"/>
        <v/>
      </c>
      <c r="DC592" s="259" t="str">
        <f t="shared" ca="1" si="957"/>
        <v/>
      </c>
      <c r="DD592" s="259" t="str">
        <f t="shared" ca="1" si="958"/>
        <v/>
      </c>
      <c r="DE592" s="259" t="str">
        <f t="shared" ca="1" si="959"/>
        <v/>
      </c>
      <c r="DF592" s="259">
        <f ca="1">IF(AND(CX592=$DE$2,$DF$2&lt;&gt;0),0,IF(AND(DB592&lt;&gt;"",OR(DB591&lt;&gt;"",DB593&lt;&gt;"")),MAX($DF$2:DF591)+1,0))</f>
        <v>0</v>
      </c>
    </row>
    <row r="593" spans="102:110">
      <c r="CX593" s="259">
        <f t="shared" ca="1" si="953"/>
        <v>33</v>
      </c>
      <c r="CY593" s="259" t="str">
        <f t="shared" ca="1" si="951"/>
        <v>MASTRO</v>
      </c>
      <c r="CZ593" s="259" t="e">
        <f t="shared" ca="1" si="955"/>
        <v>#N/A</v>
      </c>
      <c r="DA593" s="259" t="str">
        <f t="shared" ca="1" si="960"/>
        <v/>
      </c>
      <c r="DB593" s="259" t="str">
        <f t="shared" ca="1" si="956"/>
        <v/>
      </c>
      <c r="DC593" s="259" t="str">
        <f t="shared" ca="1" si="957"/>
        <v/>
      </c>
      <c r="DD593" s="259" t="str">
        <f t="shared" ca="1" si="958"/>
        <v/>
      </c>
      <c r="DE593" s="259" t="str">
        <f t="shared" ca="1" si="959"/>
        <v/>
      </c>
      <c r="DF593" s="259">
        <f ca="1">IF(AND(CX593=$DE$2,$DF$2&lt;&gt;0),0,IF(AND(DB593&lt;&gt;"",OR(DB592&lt;&gt;"",DB594&lt;&gt;"")),MAX($DF$2:DF592)+1,0))</f>
        <v>0</v>
      </c>
    </row>
    <row r="594" spans="102:110">
      <c r="CX594" s="259">
        <f t="shared" ca="1" si="953"/>
        <v>33</v>
      </c>
      <c r="CY594" s="259" t="str">
        <f t="shared" ca="1" si="951"/>
        <v>MASTRO</v>
      </c>
      <c r="CZ594" s="259" t="e">
        <f t="shared" ca="1" si="955"/>
        <v>#N/A</v>
      </c>
      <c r="DA594" s="259" t="str">
        <f t="shared" ca="1" si="960"/>
        <v/>
      </c>
      <c r="DB594" s="259" t="str">
        <f t="shared" ca="1" si="956"/>
        <v/>
      </c>
      <c r="DC594" s="259" t="str">
        <f t="shared" ca="1" si="957"/>
        <v/>
      </c>
      <c r="DD594" s="259" t="str">
        <f t="shared" ca="1" si="958"/>
        <v/>
      </c>
      <c r="DE594" s="259" t="str">
        <f t="shared" ca="1" si="959"/>
        <v/>
      </c>
      <c r="DF594" s="259">
        <f ca="1">IF(AND(CX594=$DE$2,$DF$2&lt;&gt;0),0,IF(AND(DB594&lt;&gt;"",OR(DB593&lt;&gt;"",DB595&lt;&gt;"")),MAX($DF$2:DF593)+1,0))</f>
        <v>0</v>
      </c>
    </row>
    <row r="595" spans="102:110">
      <c r="CX595" s="259">
        <f t="shared" ca="1" si="953"/>
        <v>33</v>
      </c>
      <c r="CY595" s="259" t="str">
        <f t="shared" ca="1" si="951"/>
        <v>MASTRO</v>
      </c>
      <c r="CZ595" s="259" t="e">
        <f t="shared" ca="1" si="955"/>
        <v>#N/A</v>
      </c>
      <c r="DA595" s="259" t="str">
        <f t="shared" ca="1" si="960"/>
        <v/>
      </c>
      <c r="DB595" s="259" t="str">
        <f t="shared" ca="1" si="956"/>
        <v/>
      </c>
      <c r="DC595" s="259" t="str">
        <f t="shared" ca="1" si="957"/>
        <v/>
      </c>
      <c r="DD595" s="259" t="str">
        <f t="shared" ca="1" si="958"/>
        <v/>
      </c>
      <c r="DE595" s="259" t="str">
        <f t="shared" ca="1" si="959"/>
        <v/>
      </c>
      <c r="DF595" s="259">
        <f ca="1">IF(AND(CX595=$DE$2,$DF$2&lt;&gt;0),0,IF(AND(DB595&lt;&gt;"",OR(DB594&lt;&gt;"",DB596&lt;&gt;"")),MAX($DF$2:DF594)+1,0))</f>
        <v>0</v>
      </c>
    </row>
    <row r="596" spans="102:110">
      <c r="CX596" s="259" t="str">
        <f>IFERROR(IF(CX578+1=1,"",(CX578+1)),"")</f>
        <v/>
      </c>
      <c r="CY596" s="259" t="s">
        <v>269</v>
      </c>
      <c r="DB596" s="259" t="str">
        <f t="shared" ref="DB596" si="961">CY596</f>
        <v>MASTRO</v>
      </c>
      <c r="DF596" s="259">
        <f ca="1">IF(AND(CX596=$DE$2,$DF$2&lt;&gt;0),0,IF(AND(DB596&lt;&gt;"",OR(DB595&lt;&gt;"",DB597&lt;&gt;"")),MAX($DF$2:DF595)+1,0))</f>
        <v>0</v>
      </c>
    </row>
    <row r="597" spans="102:110">
      <c r="CX597" s="259">
        <f ca="1">$EA$36</f>
        <v>34</v>
      </c>
      <c r="CY597" s="259" t="str">
        <f t="shared" ref="CY597:CY630" ca="1" si="962">IF(ISERROR(INDEX($CV$3:$CX$2300,MATCH(CX597,$CW$3:$CW$2300,0),1)),"MASTRO",INDEX($CV$3:$CX$2300,MATCH(CX597,$CW$3:$CW$2300,0),1))</f>
        <v>MASTRO</v>
      </c>
      <c r="DA597" s="259" t="str">
        <f>IF(CY596="MASTRO","Conto n.","")</f>
        <v>Conto n.</v>
      </c>
      <c r="DB597" s="259" t="str">
        <f ca="1">IF(CY597=0,"",INDEX(PIANO_DEI_CONTI,MATCH(DC597,DENOMINAZIONE,0),1))</f>
        <v/>
      </c>
      <c r="DC597" s="259" t="str">
        <f ca="1">IF(OR(CY597=0,CY597="mastro"),"",CY597)</f>
        <v/>
      </c>
      <c r="DD597" s="259" t="str">
        <f ca="1">IF(AND($DA$2=TRUE,OR(INDEX(PIANO_DEI_CONTI,MATCH($DC597,DENOMINAZIONE,0),4)="A",INDEX(PIANO_DEI_CONTI,MATCH($DC597,DENOMINAZIONE,0),4)="D/A"),SUMIFS(AVERE,DENOMINAZIONE_GIORNALE,"="&amp;$DC597)&gt;SUMIFS(DARE,DENOMINAZIONE_GIORNALE,"="&amp;$DC597)),CONCATENATE("s ",FIXED(ABS(SUMIFS(AVERE,DENOMINAZIONE_GIORNALE,"="&amp;$DC597)-SUMIFS(DARE,DENOMINAZIONE_GIORNALE,"="&amp;$DC597)),2)),"")</f>
        <v/>
      </c>
      <c r="DE597" s="259" t="str">
        <f ca="1">IF(AND($DA$2=TRUE,OR(INDEX(PIANO_DEI_CONTI,MATCH($DC597,DENOMINAZIONE,0),4)="D",INDEX(PIANO_DEI_CONTI,MATCH($DC597,DENOMINAZIONE,0),4)="D/A"),SUMIFS(DARE,DENOMINAZIONE_GIORNALE,"="&amp;$DC597)&gt;SUMIFS(AVERE,DENOMINAZIONE_GIORNALE,"="&amp;$DC597)),CONCATENATE("s ",FIXED(ABS(SUMIFS(DARE,DENOMINAZIONE_GIORNALE,"="&amp;$DC597)-SUMIFS(AVERE,DENOMINAZIONE_GIORNALE,"="&amp;$DC597)),2)),"")</f>
        <v/>
      </c>
      <c r="DF597" s="259">
        <f ca="1">IF(AND(CX597=$DE$2,$DF$2&lt;&gt;0),0,IF(AND(DB597&lt;&gt;"",OR(DB596&lt;&gt;"",DB598&lt;&gt;"")),MAX($DF$2:DF596)+1,0))</f>
        <v>0</v>
      </c>
    </row>
    <row r="598" spans="102:110">
      <c r="CX598" s="259">
        <f t="shared" ref="CX598:CX613" ca="1" si="963">$EA$36</f>
        <v>34</v>
      </c>
      <c r="CY598" s="259" t="str">
        <f t="shared" ca="1" si="962"/>
        <v>MASTRO</v>
      </c>
      <c r="DA598" s="259" t="str">
        <f ca="1">IF(DB597="","","Num. riga")</f>
        <v/>
      </c>
      <c r="DB598" s="259" t="str">
        <f t="shared" ref="DB598" ca="1" si="964">IF(DB597="","","Data")</f>
        <v/>
      </c>
      <c r="DC598" s="259" t="str">
        <f ca="1">IF(DB597="","","Operazioni")</f>
        <v/>
      </c>
      <c r="DD598" s="259" t="str">
        <f ca="1">IF(DB597="","","Dare        ")</f>
        <v/>
      </c>
      <c r="DE598" s="259" t="str">
        <f ca="1">IF(DB597="","","Avere        ")</f>
        <v/>
      </c>
      <c r="DF598" s="259">
        <f ca="1">IF(AND(CX598=$DE$2,$DF$2&lt;&gt;0),0,IF(AND(DB598&lt;&gt;"",OR(DB597&lt;&gt;"",DB599&lt;&gt;"")),MAX($DF$2:DF597)+1,0))</f>
        <v>0</v>
      </c>
    </row>
    <row r="599" spans="102:110">
      <c r="CX599" s="259">
        <f t="shared" ca="1" si="963"/>
        <v>34</v>
      </c>
      <c r="CY599" s="259" t="str">
        <f t="shared" ca="1" si="962"/>
        <v>MASTRO</v>
      </c>
      <c r="CZ599" s="259" t="e">
        <f t="shared" ref="CZ599:CZ613" ca="1" si="965">SUM(MATCH($CY599,INDIRECT(ADDRESS(SUM(CZ598)+3,54)&amp;":"&amp;ADDRESS(400,54)),0),CZ598)</f>
        <v>#N/A</v>
      </c>
      <c r="DA599" s="259" t="str">
        <f ca="1">IFERROR(INDEX(LIBRO_GIORNALE,CZ599,1),"")</f>
        <v/>
      </c>
      <c r="DB599" s="259" t="str">
        <f t="shared" ref="DB599:DB613" ca="1" si="966">IF(RIGHT(TEXT(IFERROR(INDEX(LIBRO_GIORNALE,CZ599,2),""),"gg/mm/aa"),1)="a",TEXT(IFERROR(INDEX(LIBRO_GIORNALE,CZ599,2),""),"dd/mm/yy"),TEXT(IFERROR(INDEX(LIBRO_GIORNALE,CZ599,2),""),"gg/mm/aa"))</f>
        <v/>
      </c>
      <c r="DC599" s="259" t="str">
        <f t="shared" ref="DC599:DC613" ca="1" si="967">IF(IFERROR(INDEX(LIBRO_GIORNALE,CZ599,4),"")=0,"manca la descrizione dell'operazione",IFERROR(INDEX(LIBRO_GIORNALE,CZ599,4),""))</f>
        <v/>
      </c>
      <c r="DD599" s="259" t="str">
        <f t="shared" ref="DD599:DD613" ca="1" si="968">IFERROR(IF(INDEX(LIBRO_GIORNALE,CZ599,5)&gt;0,INDEX(LIBRO_GIORNALE,CZ599,5),""),"")</f>
        <v/>
      </c>
      <c r="DE599" s="259" t="str">
        <f t="shared" ref="DE599:DE613" ca="1" si="969">IFERROR(IF(INDEX(LIBRO_GIORNALE,CZ599,6)&gt;0,INDEX(LIBRO_GIORNALE,CZ599,6),""),"")</f>
        <v/>
      </c>
      <c r="DF599" s="259">
        <f ca="1">IF(AND(CX599=$DE$2,$DF$2&lt;&gt;0),0,IF(AND(DB599&lt;&gt;"",OR(DB598&lt;&gt;"",DB600&lt;&gt;"")),MAX($DF$2:DF598)+1,0))</f>
        <v>0</v>
      </c>
    </row>
    <row r="600" spans="102:110">
      <c r="CX600" s="259">
        <f t="shared" ca="1" si="963"/>
        <v>34</v>
      </c>
      <c r="CY600" s="259" t="str">
        <f t="shared" ca="1" si="962"/>
        <v>MASTRO</v>
      </c>
      <c r="CZ600" s="259" t="e">
        <f t="shared" ca="1" si="965"/>
        <v>#N/A</v>
      </c>
      <c r="DA600" s="259" t="str">
        <f t="shared" ref="DA600:DA613" ca="1" si="970">IFERROR(INDEX(LIBRO_GIORNALE,CZ600,1),"")</f>
        <v/>
      </c>
      <c r="DB600" s="259" t="str">
        <f t="shared" ca="1" si="966"/>
        <v/>
      </c>
      <c r="DC600" s="259" t="str">
        <f t="shared" ca="1" si="967"/>
        <v/>
      </c>
      <c r="DD600" s="259" t="str">
        <f t="shared" ca="1" si="968"/>
        <v/>
      </c>
      <c r="DE600" s="259" t="str">
        <f t="shared" ca="1" si="969"/>
        <v/>
      </c>
      <c r="DF600" s="259">
        <f ca="1">IF(AND(CX600=$DE$2,$DF$2&lt;&gt;0),0,IF(AND(DB600&lt;&gt;"",OR(DB599&lt;&gt;"",DB601&lt;&gt;"")),MAX($DF$2:DF599)+1,0))</f>
        <v>0</v>
      </c>
    </row>
    <row r="601" spans="102:110">
      <c r="CX601" s="259">
        <f t="shared" ca="1" si="963"/>
        <v>34</v>
      </c>
      <c r="CY601" s="259" t="str">
        <f t="shared" ca="1" si="962"/>
        <v>MASTRO</v>
      </c>
      <c r="CZ601" s="259" t="e">
        <f t="shared" ca="1" si="965"/>
        <v>#N/A</v>
      </c>
      <c r="DA601" s="259" t="str">
        <f t="shared" ca="1" si="970"/>
        <v/>
      </c>
      <c r="DB601" s="259" t="str">
        <f t="shared" ca="1" si="966"/>
        <v/>
      </c>
      <c r="DC601" s="259" t="str">
        <f t="shared" ca="1" si="967"/>
        <v/>
      </c>
      <c r="DD601" s="259" t="str">
        <f t="shared" ca="1" si="968"/>
        <v/>
      </c>
      <c r="DE601" s="259" t="str">
        <f t="shared" ca="1" si="969"/>
        <v/>
      </c>
      <c r="DF601" s="259">
        <f ca="1">IF(AND(CX601=$DE$2,$DF$2&lt;&gt;0),0,IF(AND(DB601&lt;&gt;"",OR(DB600&lt;&gt;"",DB602&lt;&gt;"")),MAX($DF$2:DF600)+1,0))</f>
        <v>0</v>
      </c>
    </row>
    <row r="602" spans="102:110">
      <c r="CX602" s="259">
        <f t="shared" ca="1" si="963"/>
        <v>34</v>
      </c>
      <c r="CY602" s="259" t="str">
        <f t="shared" ca="1" si="962"/>
        <v>MASTRO</v>
      </c>
      <c r="CZ602" s="259" t="e">
        <f t="shared" ca="1" si="965"/>
        <v>#N/A</v>
      </c>
      <c r="DA602" s="259" t="str">
        <f t="shared" ca="1" si="970"/>
        <v/>
      </c>
      <c r="DB602" s="259" t="str">
        <f t="shared" ca="1" si="966"/>
        <v/>
      </c>
      <c r="DC602" s="259" t="str">
        <f t="shared" ca="1" si="967"/>
        <v/>
      </c>
      <c r="DD602" s="259" t="str">
        <f t="shared" ca="1" si="968"/>
        <v/>
      </c>
      <c r="DE602" s="259" t="str">
        <f t="shared" ca="1" si="969"/>
        <v/>
      </c>
      <c r="DF602" s="259">
        <f ca="1">IF(AND(CX602=$DE$2,$DF$2&lt;&gt;0),0,IF(AND(DB602&lt;&gt;"",OR(DB601&lt;&gt;"",DB603&lt;&gt;"")),MAX($DF$2:DF601)+1,0))</f>
        <v>0</v>
      </c>
    </row>
    <row r="603" spans="102:110">
      <c r="CX603" s="259">
        <f t="shared" ca="1" si="963"/>
        <v>34</v>
      </c>
      <c r="CY603" s="259" t="str">
        <f t="shared" ca="1" si="962"/>
        <v>MASTRO</v>
      </c>
      <c r="CZ603" s="259" t="e">
        <f t="shared" ca="1" si="965"/>
        <v>#N/A</v>
      </c>
      <c r="DA603" s="259" t="str">
        <f t="shared" ca="1" si="970"/>
        <v/>
      </c>
      <c r="DB603" s="259" t="str">
        <f t="shared" ca="1" si="966"/>
        <v/>
      </c>
      <c r="DC603" s="259" t="str">
        <f t="shared" ca="1" si="967"/>
        <v/>
      </c>
      <c r="DD603" s="259" t="str">
        <f t="shared" ca="1" si="968"/>
        <v/>
      </c>
      <c r="DE603" s="259" t="str">
        <f t="shared" ca="1" si="969"/>
        <v/>
      </c>
      <c r="DF603" s="259">
        <f ca="1">IF(AND(CX603=$DE$2,$DF$2&lt;&gt;0),0,IF(AND(DB603&lt;&gt;"",OR(DB602&lt;&gt;"",DB604&lt;&gt;"")),MAX($DF$2:DF602)+1,0))</f>
        <v>0</v>
      </c>
    </row>
    <row r="604" spans="102:110">
      <c r="CX604" s="259">
        <f t="shared" ca="1" si="963"/>
        <v>34</v>
      </c>
      <c r="CY604" s="259" t="str">
        <f t="shared" ca="1" si="962"/>
        <v>MASTRO</v>
      </c>
      <c r="CZ604" s="259" t="e">
        <f t="shared" ca="1" si="965"/>
        <v>#N/A</v>
      </c>
      <c r="DA604" s="259" t="str">
        <f t="shared" ca="1" si="970"/>
        <v/>
      </c>
      <c r="DB604" s="259" t="str">
        <f t="shared" ca="1" si="966"/>
        <v/>
      </c>
      <c r="DC604" s="259" t="str">
        <f t="shared" ca="1" si="967"/>
        <v/>
      </c>
      <c r="DD604" s="259" t="str">
        <f t="shared" ca="1" si="968"/>
        <v/>
      </c>
      <c r="DE604" s="259" t="str">
        <f t="shared" ca="1" si="969"/>
        <v/>
      </c>
      <c r="DF604" s="259">
        <f ca="1">IF(AND(CX604=$DE$2,$DF$2&lt;&gt;0),0,IF(AND(DB604&lt;&gt;"",OR(DB603&lt;&gt;"",DB605&lt;&gt;"")),MAX($DF$2:DF603)+1,0))</f>
        <v>0</v>
      </c>
    </row>
    <row r="605" spans="102:110">
      <c r="CX605" s="259">
        <f t="shared" ca="1" si="963"/>
        <v>34</v>
      </c>
      <c r="CY605" s="259" t="str">
        <f t="shared" ca="1" si="962"/>
        <v>MASTRO</v>
      </c>
      <c r="CZ605" s="259" t="e">
        <f t="shared" ca="1" si="965"/>
        <v>#N/A</v>
      </c>
      <c r="DA605" s="259" t="str">
        <f t="shared" ca="1" si="970"/>
        <v/>
      </c>
      <c r="DB605" s="259" t="str">
        <f t="shared" ca="1" si="966"/>
        <v/>
      </c>
      <c r="DC605" s="259" t="str">
        <f t="shared" ca="1" si="967"/>
        <v/>
      </c>
      <c r="DD605" s="259" t="str">
        <f t="shared" ca="1" si="968"/>
        <v/>
      </c>
      <c r="DE605" s="259" t="str">
        <f t="shared" ca="1" si="969"/>
        <v/>
      </c>
      <c r="DF605" s="259">
        <f ca="1">IF(AND(CX605=$DE$2,$DF$2&lt;&gt;0),0,IF(AND(DB605&lt;&gt;"",OR(DB604&lt;&gt;"",DB606&lt;&gt;"")),MAX($DF$2:DF604)+1,0))</f>
        <v>0</v>
      </c>
    </row>
    <row r="606" spans="102:110">
      <c r="CX606" s="259">
        <f t="shared" ca="1" si="963"/>
        <v>34</v>
      </c>
      <c r="CY606" s="259" t="str">
        <f t="shared" ca="1" si="962"/>
        <v>MASTRO</v>
      </c>
      <c r="CZ606" s="259" t="e">
        <f t="shared" ca="1" si="965"/>
        <v>#N/A</v>
      </c>
      <c r="DA606" s="259" t="str">
        <f t="shared" ca="1" si="970"/>
        <v/>
      </c>
      <c r="DB606" s="259" t="str">
        <f t="shared" ca="1" si="966"/>
        <v/>
      </c>
      <c r="DC606" s="259" t="str">
        <f t="shared" ca="1" si="967"/>
        <v/>
      </c>
      <c r="DD606" s="259" t="str">
        <f t="shared" ca="1" si="968"/>
        <v/>
      </c>
      <c r="DE606" s="259" t="str">
        <f t="shared" ca="1" si="969"/>
        <v/>
      </c>
      <c r="DF606" s="259">
        <f ca="1">IF(AND(CX606=$DE$2,$DF$2&lt;&gt;0),0,IF(AND(DB606&lt;&gt;"",OR(DB605&lt;&gt;"",DB607&lt;&gt;"")),MAX($DF$2:DF605)+1,0))</f>
        <v>0</v>
      </c>
    </row>
    <row r="607" spans="102:110">
      <c r="CX607" s="259">
        <f t="shared" ca="1" si="963"/>
        <v>34</v>
      </c>
      <c r="CY607" s="259" t="str">
        <f t="shared" ca="1" si="962"/>
        <v>MASTRO</v>
      </c>
      <c r="CZ607" s="259" t="e">
        <f t="shared" ca="1" si="965"/>
        <v>#N/A</v>
      </c>
      <c r="DA607" s="259" t="str">
        <f t="shared" ca="1" si="970"/>
        <v/>
      </c>
      <c r="DB607" s="259" t="str">
        <f t="shared" ca="1" si="966"/>
        <v/>
      </c>
      <c r="DC607" s="259" t="str">
        <f t="shared" ca="1" si="967"/>
        <v/>
      </c>
      <c r="DD607" s="259" t="str">
        <f t="shared" ca="1" si="968"/>
        <v/>
      </c>
      <c r="DE607" s="259" t="str">
        <f t="shared" ca="1" si="969"/>
        <v/>
      </c>
      <c r="DF607" s="259">
        <f ca="1">IF(AND(CX607=$DE$2,$DF$2&lt;&gt;0),0,IF(AND(DB607&lt;&gt;"",OR(DB606&lt;&gt;"",DB608&lt;&gt;"")),MAX($DF$2:DF606)+1,0))</f>
        <v>0</v>
      </c>
    </row>
    <row r="608" spans="102:110">
      <c r="CX608" s="259">
        <f t="shared" ca="1" si="963"/>
        <v>34</v>
      </c>
      <c r="CY608" s="259" t="str">
        <f t="shared" ca="1" si="962"/>
        <v>MASTRO</v>
      </c>
      <c r="CZ608" s="259" t="e">
        <f t="shared" ca="1" si="965"/>
        <v>#N/A</v>
      </c>
      <c r="DA608" s="259" t="str">
        <f t="shared" ca="1" si="970"/>
        <v/>
      </c>
      <c r="DB608" s="259" t="str">
        <f t="shared" ca="1" si="966"/>
        <v/>
      </c>
      <c r="DC608" s="259" t="str">
        <f t="shared" ca="1" si="967"/>
        <v/>
      </c>
      <c r="DD608" s="259" t="str">
        <f t="shared" ca="1" si="968"/>
        <v/>
      </c>
      <c r="DE608" s="259" t="str">
        <f t="shared" ca="1" si="969"/>
        <v/>
      </c>
      <c r="DF608" s="259">
        <f ca="1">IF(AND(CX608=$DE$2,$DF$2&lt;&gt;0),0,IF(AND(DB608&lt;&gt;"",OR(DB607&lt;&gt;"",DB609&lt;&gt;"")),MAX($DF$2:DF607)+1,0))</f>
        <v>0</v>
      </c>
    </row>
    <row r="609" spans="102:110">
      <c r="CX609" s="259">
        <f t="shared" ca="1" si="963"/>
        <v>34</v>
      </c>
      <c r="CY609" s="259" t="str">
        <f t="shared" ca="1" si="962"/>
        <v>MASTRO</v>
      </c>
      <c r="CZ609" s="259" t="e">
        <f t="shared" ca="1" si="965"/>
        <v>#N/A</v>
      </c>
      <c r="DA609" s="259" t="str">
        <f t="shared" ca="1" si="970"/>
        <v/>
      </c>
      <c r="DB609" s="259" t="str">
        <f t="shared" ca="1" si="966"/>
        <v/>
      </c>
      <c r="DC609" s="259" t="str">
        <f t="shared" ca="1" si="967"/>
        <v/>
      </c>
      <c r="DD609" s="259" t="str">
        <f t="shared" ca="1" si="968"/>
        <v/>
      </c>
      <c r="DE609" s="259" t="str">
        <f t="shared" ca="1" si="969"/>
        <v/>
      </c>
      <c r="DF609" s="259">
        <f ca="1">IF(AND(CX609=$DE$2,$DF$2&lt;&gt;0),0,IF(AND(DB609&lt;&gt;"",OR(DB608&lt;&gt;"",DB610&lt;&gt;"")),MAX($DF$2:DF608)+1,0))</f>
        <v>0</v>
      </c>
    </row>
    <row r="610" spans="102:110">
      <c r="CX610" s="259">
        <f t="shared" ca="1" si="963"/>
        <v>34</v>
      </c>
      <c r="CY610" s="259" t="str">
        <f t="shared" ca="1" si="962"/>
        <v>MASTRO</v>
      </c>
      <c r="CZ610" s="259" t="e">
        <f t="shared" ca="1" si="965"/>
        <v>#N/A</v>
      </c>
      <c r="DA610" s="259" t="str">
        <f t="shared" ca="1" si="970"/>
        <v/>
      </c>
      <c r="DB610" s="259" t="str">
        <f t="shared" ca="1" si="966"/>
        <v/>
      </c>
      <c r="DC610" s="259" t="str">
        <f t="shared" ca="1" si="967"/>
        <v/>
      </c>
      <c r="DD610" s="259" t="str">
        <f t="shared" ca="1" si="968"/>
        <v/>
      </c>
      <c r="DE610" s="259" t="str">
        <f t="shared" ca="1" si="969"/>
        <v/>
      </c>
      <c r="DF610" s="259">
        <f ca="1">IF(AND(CX610=$DE$2,$DF$2&lt;&gt;0),0,IF(AND(DB610&lt;&gt;"",OR(DB609&lt;&gt;"",DB611&lt;&gt;"")),MAX($DF$2:DF609)+1,0))</f>
        <v>0</v>
      </c>
    </row>
    <row r="611" spans="102:110">
      <c r="CX611" s="259">
        <f t="shared" ca="1" si="963"/>
        <v>34</v>
      </c>
      <c r="CY611" s="259" t="str">
        <f t="shared" ca="1" si="962"/>
        <v>MASTRO</v>
      </c>
      <c r="CZ611" s="259" t="e">
        <f t="shared" ca="1" si="965"/>
        <v>#N/A</v>
      </c>
      <c r="DA611" s="259" t="str">
        <f t="shared" ca="1" si="970"/>
        <v/>
      </c>
      <c r="DB611" s="259" t="str">
        <f t="shared" ca="1" si="966"/>
        <v/>
      </c>
      <c r="DC611" s="259" t="str">
        <f t="shared" ca="1" si="967"/>
        <v/>
      </c>
      <c r="DD611" s="259" t="str">
        <f t="shared" ca="1" si="968"/>
        <v/>
      </c>
      <c r="DE611" s="259" t="str">
        <f t="shared" ca="1" si="969"/>
        <v/>
      </c>
      <c r="DF611" s="259">
        <f ca="1">IF(AND(CX611=$DE$2,$DF$2&lt;&gt;0),0,IF(AND(DB611&lt;&gt;"",OR(DB610&lt;&gt;"",DB612&lt;&gt;"")),MAX($DF$2:DF610)+1,0))</f>
        <v>0</v>
      </c>
    </row>
    <row r="612" spans="102:110">
      <c r="CX612" s="259">
        <f t="shared" ca="1" si="963"/>
        <v>34</v>
      </c>
      <c r="CY612" s="259" t="str">
        <f t="shared" ca="1" si="962"/>
        <v>MASTRO</v>
      </c>
      <c r="CZ612" s="259" t="e">
        <f t="shared" ca="1" si="965"/>
        <v>#N/A</v>
      </c>
      <c r="DA612" s="259" t="str">
        <f t="shared" ca="1" si="970"/>
        <v/>
      </c>
      <c r="DB612" s="259" t="str">
        <f t="shared" ca="1" si="966"/>
        <v/>
      </c>
      <c r="DC612" s="259" t="str">
        <f t="shared" ca="1" si="967"/>
        <v/>
      </c>
      <c r="DD612" s="259" t="str">
        <f t="shared" ca="1" si="968"/>
        <v/>
      </c>
      <c r="DE612" s="259" t="str">
        <f t="shared" ca="1" si="969"/>
        <v/>
      </c>
      <c r="DF612" s="259">
        <f ca="1">IF(AND(CX612=$DE$2,$DF$2&lt;&gt;0),0,IF(AND(DB612&lt;&gt;"",OR(DB611&lt;&gt;"",DB613&lt;&gt;"")),MAX($DF$2:DF611)+1,0))</f>
        <v>0</v>
      </c>
    </row>
    <row r="613" spans="102:110">
      <c r="CX613" s="259">
        <f t="shared" ca="1" si="963"/>
        <v>34</v>
      </c>
      <c r="CY613" s="259" t="str">
        <f t="shared" ca="1" si="962"/>
        <v>MASTRO</v>
      </c>
      <c r="CZ613" s="259" t="e">
        <f t="shared" ca="1" si="965"/>
        <v>#N/A</v>
      </c>
      <c r="DA613" s="259" t="str">
        <f t="shared" ca="1" si="970"/>
        <v/>
      </c>
      <c r="DB613" s="259" t="str">
        <f t="shared" ca="1" si="966"/>
        <v/>
      </c>
      <c r="DC613" s="259" t="str">
        <f t="shared" ca="1" si="967"/>
        <v/>
      </c>
      <c r="DD613" s="259" t="str">
        <f t="shared" ca="1" si="968"/>
        <v/>
      </c>
      <c r="DE613" s="259" t="str">
        <f t="shared" ca="1" si="969"/>
        <v/>
      </c>
      <c r="DF613" s="259">
        <f ca="1">IF(AND(CX613=$DE$2,$DF$2&lt;&gt;0),0,IF(AND(DB613&lt;&gt;"",OR(DB612&lt;&gt;"",DB614&lt;&gt;"")),MAX($DF$2:DF612)+1,0))</f>
        <v>0</v>
      </c>
    </row>
    <row r="614" spans="102:110">
      <c r="CX614" s="259" t="str">
        <f>IFERROR(IF(CX596+1=1,"",(CX596+1)),"")</f>
        <v/>
      </c>
      <c r="CY614" s="259" t="str">
        <f t="shared" ca="1" si="962"/>
        <v>MASTRO</v>
      </c>
      <c r="DB614" s="259" t="str">
        <f t="shared" ref="DB614" ca="1" si="971">CY614</f>
        <v>MASTRO</v>
      </c>
      <c r="DF614" s="259">
        <f ca="1">IF(AND(CX614=$DE$2,$DF$2&lt;&gt;0),0,IF(AND(DB614&lt;&gt;"",OR(DB613&lt;&gt;"",DB615&lt;&gt;"")),MAX($DF$2:DF613)+1,0))</f>
        <v>0</v>
      </c>
    </row>
    <row r="615" spans="102:110">
      <c r="CX615" s="259">
        <f ca="1">$EA$37</f>
        <v>35</v>
      </c>
      <c r="CY615" s="259" t="str">
        <f t="shared" ca="1" si="962"/>
        <v>MASTRO</v>
      </c>
      <c r="DA615" s="259" t="str">
        <f ca="1">IF(CY614="MASTRO","Conto n.","")</f>
        <v>Conto n.</v>
      </c>
      <c r="DB615" s="259" t="str">
        <f ca="1">IF(CY615=0,"",INDEX(PIANO_DEI_CONTI,MATCH(DC615,DENOMINAZIONE,0),1))</f>
        <v/>
      </c>
      <c r="DC615" s="259" t="str">
        <f ca="1">IF(OR(CY615=0,CY615="mastro"),"",CY615)</f>
        <v/>
      </c>
      <c r="DD615" s="259" t="str">
        <f ca="1">IF(AND($DA$2=TRUE,OR(INDEX(PIANO_DEI_CONTI,MATCH($DC615,DENOMINAZIONE,0),4)="A",INDEX(PIANO_DEI_CONTI,MATCH($DC615,DENOMINAZIONE,0),4)="D/A"),SUMIFS(AVERE,DENOMINAZIONE_GIORNALE,"="&amp;$DC615)&gt;SUMIFS(DARE,DENOMINAZIONE_GIORNALE,"="&amp;$DC615)),CONCATENATE("s ",FIXED(ABS(SUMIFS(AVERE,DENOMINAZIONE_GIORNALE,"="&amp;$DC615)-SUMIFS(DARE,DENOMINAZIONE_GIORNALE,"="&amp;$DC615)),2)),"")</f>
        <v/>
      </c>
      <c r="DE615" s="259" t="str">
        <f ca="1">IF(AND($DA$2=TRUE,OR(INDEX(PIANO_DEI_CONTI,MATCH($DC615,DENOMINAZIONE,0),4)="D",INDEX(PIANO_DEI_CONTI,MATCH($DC615,DENOMINAZIONE,0),4)="D/A"),SUMIFS(DARE,DENOMINAZIONE_GIORNALE,"="&amp;$DC615)&gt;SUMIFS(AVERE,DENOMINAZIONE_GIORNALE,"="&amp;$DC615)),CONCATENATE("s ",FIXED(ABS(SUMIFS(DARE,DENOMINAZIONE_GIORNALE,"="&amp;$DC615)-SUMIFS(AVERE,DENOMINAZIONE_GIORNALE,"="&amp;$DC615)),2)),"")</f>
        <v/>
      </c>
      <c r="DF615" s="259">
        <f ca="1">IF(AND(CX615=$DE$2,$DF$2&lt;&gt;0),0,IF(AND(DB615&lt;&gt;"",OR(DB614&lt;&gt;"",DB616&lt;&gt;"")),MAX($DF$2:DF614)+1,0))</f>
        <v>0</v>
      </c>
    </row>
    <row r="616" spans="102:110">
      <c r="CX616" s="259">
        <f t="shared" ref="CX616:CX631" ca="1" si="972">$EA$37</f>
        <v>35</v>
      </c>
      <c r="CY616" s="259" t="str">
        <f t="shared" ca="1" si="962"/>
        <v>MASTRO</v>
      </c>
      <c r="DA616" s="259" t="str">
        <f ca="1">IF(DB615="","","Num. riga")</f>
        <v/>
      </c>
      <c r="DB616" s="259" t="str">
        <f t="shared" ref="DB616" ca="1" si="973">IF(DB615="","","Data")</f>
        <v/>
      </c>
      <c r="DC616" s="259" t="str">
        <f ca="1">IF(DB615="","","Operazioni")</f>
        <v/>
      </c>
      <c r="DD616" s="259" t="str">
        <f ca="1">IF(DB615="","","Dare        ")</f>
        <v/>
      </c>
      <c r="DE616" s="259" t="str">
        <f ca="1">IF(DB615="","","Avere        ")</f>
        <v/>
      </c>
      <c r="DF616" s="259">
        <f ca="1">IF(AND(CX616=$DE$2,$DF$2&lt;&gt;0),0,IF(AND(DB616&lt;&gt;"",OR(DB615&lt;&gt;"",DB617&lt;&gt;"")),MAX($DF$2:DF615)+1,0))</f>
        <v>0</v>
      </c>
    </row>
    <row r="617" spans="102:110">
      <c r="CX617" s="259">
        <f t="shared" ca="1" si="972"/>
        <v>35</v>
      </c>
      <c r="CY617" s="259" t="str">
        <f t="shared" ca="1" si="962"/>
        <v>MASTRO</v>
      </c>
      <c r="CZ617" s="259" t="e">
        <f t="shared" ref="CZ617:CZ631" ca="1" si="974">SUM(MATCH($CY617,INDIRECT(ADDRESS(SUM(CZ616)+3,54)&amp;":"&amp;ADDRESS(400,54)),0),CZ616)</f>
        <v>#N/A</v>
      </c>
      <c r="DA617" s="259" t="str">
        <f ca="1">IFERROR(INDEX(LIBRO_GIORNALE,CZ617,1),"")</f>
        <v/>
      </c>
      <c r="DB617" s="259" t="str">
        <f t="shared" ref="DB617:DB631" ca="1" si="975">IF(RIGHT(TEXT(IFERROR(INDEX(LIBRO_GIORNALE,CZ617,2),""),"gg/mm/aa"),1)="a",TEXT(IFERROR(INDEX(LIBRO_GIORNALE,CZ617,2),""),"dd/mm/yy"),TEXT(IFERROR(INDEX(LIBRO_GIORNALE,CZ617,2),""),"gg/mm/aa"))</f>
        <v/>
      </c>
      <c r="DC617" s="259" t="str">
        <f t="shared" ref="DC617:DC631" ca="1" si="976">IF(IFERROR(INDEX(LIBRO_GIORNALE,CZ617,4),"")=0,"manca la descrizione dell'operazione",IFERROR(INDEX(LIBRO_GIORNALE,CZ617,4),""))</f>
        <v/>
      </c>
      <c r="DD617" s="259" t="str">
        <f t="shared" ref="DD617:DD631" ca="1" si="977">IFERROR(IF(INDEX(LIBRO_GIORNALE,CZ617,5)&gt;0,INDEX(LIBRO_GIORNALE,CZ617,5),""),"")</f>
        <v/>
      </c>
      <c r="DE617" s="259" t="str">
        <f t="shared" ref="DE617:DE631" ca="1" si="978">IFERROR(IF(INDEX(LIBRO_GIORNALE,CZ617,6)&gt;0,INDEX(LIBRO_GIORNALE,CZ617,6),""),"")</f>
        <v/>
      </c>
      <c r="DF617" s="259">
        <f ca="1">IF(AND(CX617=$DE$2,$DF$2&lt;&gt;0),0,IF(AND(DB617&lt;&gt;"",OR(DB616&lt;&gt;"",DB618&lt;&gt;"")),MAX($DF$2:DF616)+1,0))</f>
        <v>0</v>
      </c>
    </row>
    <row r="618" spans="102:110">
      <c r="CX618" s="259">
        <f t="shared" ca="1" si="972"/>
        <v>35</v>
      </c>
      <c r="CY618" s="259" t="str">
        <f t="shared" ca="1" si="962"/>
        <v>MASTRO</v>
      </c>
      <c r="CZ618" s="259" t="e">
        <f t="shared" ca="1" si="974"/>
        <v>#N/A</v>
      </c>
      <c r="DA618" s="259" t="str">
        <f t="shared" ref="DA618:DA631" ca="1" si="979">IFERROR(INDEX(LIBRO_GIORNALE,CZ618,1),"")</f>
        <v/>
      </c>
      <c r="DB618" s="259" t="str">
        <f t="shared" ca="1" si="975"/>
        <v/>
      </c>
      <c r="DC618" s="259" t="str">
        <f t="shared" ca="1" si="976"/>
        <v/>
      </c>
      <c r="DD618" s="259" t="str">
        <f t="shared" ca="1" si="977"/>
        <v/>
      </c>
      <c r="DE618" s="259" t="str">
        <f t="shared" ca="1" si="978"/>
        <v/>
      </c>
      <c r="DF618" s="259">
        <f ca="1">IF(AND(CX618=$DE$2,$DF$2&lt;&gt;0),0,IF(AND(DB618&lt;&gt;"",OR(DB617&lt;&gt;"",DB619&lt;&gt;"")),MAX($DF$2:DF617)+1,0))</f>
        <v>0</v>
      </c>
    </row>
    <row r="619" spans="102:110">
      <c r="CX619" s="259">
        <f t="shared" ca="1" si="972"/>
        <v>35</v>
      </c>
      <c r="CY619" s="259" t="str">
        <f t="shared" ca="1" si="962"/>
        <v>MASTRO</v>
      </c>
      <c r="CZ619" s="259" t="e">
        <f t="shared" ca="1" si="974"/>
        <v>#N/A</v>
      </c>
      <c r="DA619" s="259" t="str">
        <f t="shared" ca="1" si="979"/>
        <v/>
      </c>
      <c r="DB619" s="259" t="str">
        <f t="shared" ca="1" si="975"/>
        <v/>
      </c>
      <c r="DC619" s="259" t="str">
        <f t="shared" ca="1" si="976"/>
        <v/>
      </c>
      <c r="DD619" s="259" t="str">
        <f t="shared" ca="1" si="977"/>
        <v/>
      </c>
      <c r="DE619" s="259" t="str">
        <f t="shared" ca="1" si="978"/>
        <v/>
      </c>
      <c r="DF619" s="259">
        <f ca="1">IF(AND(CX619=$DE$2,$DF$2&lt;&gt;0),0,IF(AND(DB619&lt;&gt;"",OR(DB618&lt;&gt;"",DB620&lt;&gt;"")),MAX($DF$2:DF618)+1,0))</f>
        <v>0</v>
      </c>
    </row>
    <row r="620" spans="102:110">
      <c r="CX620" s="259">
        <f t="shared" ca="1" si="972"/>
        <v>35</v>
      </c>
      <c r="CY620" s="259" t="str">
        <f t="shared" ca="1" si="962"/>
        <v>MASTRO</v>
      </c>
      <c r="CZ620" s="259" t="e">
        <f t="shared" ca="1" si="974"/>
        <v>#N/A</v>
      </c>
      <c r="DA620" s="259" t="str">
        <f t="shared" ca="1" si="979"/>
        <v/>
      </c>
      <c r="DB620" s="259" t="str">
        <f t="shared" ca="1" si="975"/>
        <v/>
      </c>
      <c r="DC620" s="259" t="str">
        <f t="shared" ca="1" si="976"/>
        <v/>
      </c>
      <c r="DD620" s="259" t="str">
        <f t="shared" ca="1" si="977"/>
        <v/>
      </c>
      <c r="DE620" s="259" t="str">
        <f t="shared" ca="1" si="978"/>
        <v/>
      </c>
      <c r="DF620" s="259">
        <f ca="1">IF(AND(CX620=$DE$2,$DF$2&lt;&gt;0),0,IF(AND(DB620&lt;&gt;"",OR(DB619&lt;&gt;"",DB621&lt;&gt;"")),MAX($DF$2:DF619)+1,0))</f>
        <v>0</v>
      </c>
    </row>
    <row r="621" spans="102:110">
      <c r="CX621" s="259">
        <f t="shared" ca="1" si="972"/>
        <v>35</v>
      </c>
      <c r="CY621" s="259" t="str">
        <f t="shared" ca="1" si="962"/>
        <v>MASTRO</v>
      </c>
      <c r="CZ621" s="259" t="e">
        <f t="shared" ca="1" si="974"/>
        <v>#N/A</v>
      </c>
      <c r="DA621" s="259" t="str">
        <f t="shared" ca="1" si="979"/>
        <v/>
      </c>
      <c r="DB621" s="259" t="str">
        <f t="shared" ca="1" si="975"/>
        <v/>
      </c>
      <c r="DC621" s="259" t="str">
        <f t="shared" ca="1" si="976"/>
        <v/>
      </c>
      <c r="DD621" s="259" t="str">
        <f t="shared" ca="1" si="977"/>
        <v/>
      </c>
      <c r="DE621" s="259" t="str">
        <f t="shared" ca="1" si="978"/>
        <v/>
      </c>
      <c r="DF621" s="259">
        <f ca="1">IF(AND(CX621=$DE$2,$DF$2&lt;&gt;0),0,IF(AND(DB621&lt;&gt;"",OR(DB620&lt;&gt;"",DB622&lt;&gt;"")),MAX($DF$2:DF620)+1,0))</f>
        <v>0</v>
      </c>
    </row>
    <row r="622" spans="102:110">
      <c r="CX622" s="259">
        <f t="shared" ca="1" si="972"/>
        <v>35</v>
      </c>
      <c r="CY622" s="259" t="str">
        <f t="shared" ca="1" si="962"/>
        <v>MASTRO</v>
      </c>
      <c r="CZ622" s="259" t="e">
        <f t="shared" ca="1" si="974"/>
        <v>#N/A</v>
      </c>
      <c r="DA622" s="259" t="str">
        <f t="shared" ca="1" si="979"/>
        <v/>
      </c>
      <c r="DB622" s="259" t="str">
        <f t="shared" ca="1" si="975"/>
        <v/>
      </c>
      <c r="DC622" s="259" t="str">
        <f t="shared" ca="1" si="976"/>
        <v/>
      </c>
      <c r="DD622" s="259" t="str">
        <f t="shared" ca="1" si="977"/>
        <v/>
      </c>
      <c r="DE622" s="259" t="str">
        <f t="shared" ca="1" si="978"/>
        <v/>
      </c>
      <c r="DF622" s="259">
        <f ca="1">IF(AND(CX622=$DE$2,$DF$2&lt;&gt;0),0,IF(AND(DB622&lt;&gt;"",OR(DB621&lt;&gt;"",DB623&lt;&gt;"")),MAX($DF$2:DF621)+1,0))</f>
        <v>0</v>
      </c>
    </row>
    <row r="623" spans="102:110">
      <c r="CX623" s="259">
        <f t="shared" ca="1" si="972"/>
        <v>35</v>
      </c>
      <c r="CY623" s="259" t="str">
        <f t="shared" ca="1" si="962"/>
        <v>MASTRO</v>
      </c>
      <c r="CZ623" s="259" t="e">
        <f t="shared" ca="1" si="974"/>
        <v>#N/A</v>
      </c>
      <c r="DA623" s="259" t="str">
        <f t="shared" ca="1" si="979"/>
        <v/>
      </c>
      <c r="DB623" s="259" t="str">
        <f t="shared" ca="1" si="975"/>
        <v/>
      </c>
      <c r="DC623" s="259" t="str">
        <f t="shared" ca="1" si="976"/>
        <v/>
      </c>
      <c r="DD623" s="259" t="str">
        <f t="shared" ca="1" si="977"/>
        <v/>
      </c>
      <c r="DE623" s="259" t="str">
        <f t="shared" ca="1" si="978"/>
        <v/>
      </c>
      <c r="DF623" s="259">
        <f ca="1">IF(AND(CX623=$DE$2,$DF$2&lt;&gt;0),0,IF(AND(DB623&lt;&gt;"",OR(DB622&lt;&gt;"",DB624&lt;&gt;"")),MAX($DF$2:DF622)+1,0))</f>
        <v>0</v>
      </c>
    </row>
    <row r="624" spans="102:110">
      <c r="CX624" s="259">
        <f t="shared" ca="1" si="972"/>
        <v>35</v>
      </c>
      <c r="CY624" s="259" t="str">
        <f t="shared" ca="1" si="962"/>
        <v>MASTRO</v>
      </c>
      <c r="CZ624" s="259" t="e">
        <f t="shared" ca="1" si="974"/>
        <v>#N/A</v>
      </c>
      <c r="DA624" s="259" t="str">
        <f t="shared" ca="1" si="979"/>
        <v/>
      </c>
      <c r="DB624" s="259" t="str">
        <f t="shared" ca="1" si="975"/>
        <v/>
      </c>
      <c r="DC624" s="259" t="str">
        <f t="shared" ca="1" si="976"/>
        <v/>
      </c>
      <c r="DD624" s="259" t="str">
        <f t="shared" ca="1" si="977"/>
        <v/>
      </c>
      <c r="DE624" s="259" t="str">
        <f t="shared" ca="1" si="978"/>
        <v/>
      </c>
      <c r="DF624" s="259">
        <f ca="1">IF(AND(CX624=$DE$2,$DF$2&lt;&gt;0),0,IF(AND(DB624&lt;&gt;"",OR(DB623&lt;&gt;"",DB625&lt;&gt;"")),MAX($DF$2:DF623)+1,0))</f>
        <v>0</v>
      </c>
    </row>
    <row r="625" spans="102:110">
      <c r="CX625" s="259">
        <f t="shared" ca="1" si="972"/>
        <v>35</v>
      </c>
      <c r="CY625" s="259" t="str">
        <f t="shared" ca="1" si="962"/>
        <v>MASTRO</v>
      </c>
      <c r="CZ625" s="259" t="e">
        <f t="shared" ca="1" si="974"/>
        <v>#N/A</v>
      </c>
      <c r="DA625" s="259" t="str">
        <f t="shared" ca="1" si="979"/>
        <v/>
      </c>
      <c r="DB625" s="259" t="str">
        <f t="shared" ca="1" si="975"/>
        <v/>
      </c>
      <c r="DC625" s="259" t="str">
        <f t="shared" ca="1" si="976"/>
        <v/>
      </c>
      <c r="DD625" s="259" t="str">
        <f t="shared" ca="1" si="977"/>
        <v/>
      </c>
      <c r="DE625" s="259" t="str">
        <f t="shared" ca="1" si="978"/>
        <v/>
      </c>
      <c r="DF625" s="259">
        <f ca="1">IF(AND(CX625=$DE$2,$DF$2&lt;&gt;0),0,IF(AND(DB625&lt;&gt;"",OR(DB624&lt;&gt;"",DB626&lt;&gt;"")),MAX($DF$2:DF624)+1,0))</f>
        <v>0</v>
      </c>
    </row>
    <row r="626" spans="102:110">
      <c r="CX626" s="259">
        <f t="shared" ca="1" si="972"/>
        <v>35</v>
      </c>
      <c r="CY626" s="259" t="str">
        <f t="shared" ca="1" si="962"/>
        <v>MASTRO</v>
      </c>
      <c r="CZ626" s="259" t="e">
        <f t="shared" ca="1" si="974"/>
        <v>#N/A</v>
      </c>
      <c r="DA626" s="259" t="str">
        <f t="shared" ca="1" si="979"/>
        <v/>
      </c>
      <c r="DB626" s="259" t="str">
        <f t="shared" ca="1" si="975"/>
        <v/>
      </c>
      <c r="DC626" s="259" t="str">
        <f t="shared" ca="1" si="976"/>
        <v/>
      </c>
      <c r="DD626" s="259" t="str">
        <f t="shared" ca="1" si="977"/>
        <v/>
      </c>
      <c r="DE626" s="259" t="str">
        <f t="shared" ca="1" si="978"/>
        <v/>
      </c>
      <c r="DF626" s="259">
        <f ca="1">IF(AND(CX626=$DE$2,$DF$2&lt;&gt;0),0,IF(AND(DB626&lt;&gt;"",OR(DB625&lt;&gt;"",DB627&lt;&gt;"")),MAX($DF$2:DF625)+1,0))</f>
        <v>0</v>
      </c>
    </row>
    <row r="627" spans="102:110">
      <c r="CX627" s="259">
        <f t="shared" ca="1" si="972"/>
        <v>35</v>
      </c>
      <c r="CY627" s="259" t="str">
        <f t="shared" ca="1" si="962"/>
        <v>MASTRO</v>
      </c>
      <c r="CZ627" s="259" t="e">
        <f t="shared" ca="1" si="974"/>
        <v>#N/A</v>
      </c>
      <c r="DA627" s="259" t="str">
        <f t="shared" ca="1" si="979"/>
        <v/>
      </c>
      <c r="DB627" s="259" t="str">
        <f t="shared" ca="1" si="975"/>
        <v/>
      </c>
      <c r="DC627" s="259" t="str">
        <f t="shared" ca="1" si="976"/>
        <v/>
      </c>
      <c r="DD627" s="259" t="str">
        <f t="shared" ca="1" si="977"/>
        <v/>
      </c>
      <c r="DE627" s="259" t="str">
        <f t="shared" ca="1" si="978"/>
        <v/>
      </c>
      <c r="DF627" s="259">
        <f ca="1">IF(AND(CX627=$DE$2,$DF$2&lt;&gt;0),0,IF(AND(DB627&lt;&gt;"",OR(DB626&lt;&gt;"",DB628&lt;&gt;"")),MAX($DF$2:DF626)+1,0))</f>
        <v>0</v>
      </c>
    </row>
    <row r="628" spans="102:110">
      <c r="CX628" s="259">
        <f t="shared" ca="1" si="972"/>
        <v>35</v>
      </c>
      <c r="CY628" s="259" t="str">
        <f t="shared" ca="1" si="962"/>
        <v>MASTRO</v>
      </c>
      <c r="CZ628" s="259" t="e">
        <f t="shared" ca="1" si="974"/>
        <v>#N/A</v>
      </c>
      <c r="DA628" s="259" t="str">
        <f t="shared" ca="1" si="979"/>
        <v/>
      </c>
      <c r="DB628" s="259" t="str">
        <f t="shared" ca="1" si="975"/>
        <v/>
      </c>
      <c r="DC628" s="259" t="str">
        <f t="shared" ca="1" si="976"/>
        <v/>
      </c>
      <c r="DD628" s="259" t="str">
        <f t="shared" ca="1" si="977"/>
        <v/>
      </c>
      <c r="DE628" s="259" t="str">
        <f t="shared" ca="1" si="978"/>
        <v/>
      </c>
      <c r="DF628" s="259">
        <f ca="1">IF(AND(CX628=$DE$2,$DF$2&lt;&gt;0),0,IF(AND(DB628&lt;&gt;"",OR(DB627&lt;&gt;"",DB629&lt;&gt;"")),MAX($DF$2:DF627)+1,0))</f>
        <v>0</v>
      </c>
    </row>
    <row r="629" spans="102:110">
      <c r="CX629" s="259">
        <f t="shared" ca="1" si="972"/>
        <v>35</v>
      </c>
      <c r="CY629" s="259" t="str">
        <f t="shared" ca="1" si="962"/>
        <v>MASTRO</v>
      </c>
      <c r="CZ629" s="259" t="e">
        <f t="shared" ca="1" si="974"/>
        <v>#N/A</v>
      </c>
      <c r="DA629" s="259" t="str">
        <f t="shared" ca="1" si="979"/>
        <v/>
      </c>
      <c r="DB629" s="259" t="str">
        <f t="shared" ca="1" si="975"/>
        <v/>
      </c>
      <c r="DC629" s="259" t="str">
        <f t="shared" ca="1" si="976"/>
        <v/>
      </c>
      <c r="DD629" s="259" t="str">
        <f t="shared" ca="1" si="977"/>
        <v/>
      </c>
      <c r="DE629" s="259" t="str">
        <f t="shared" ca="1" si="978"/>
        <v/>
      </c>
      <c r="DF629" s="259">
        <f ca="1">IF(AND(CX629=$DE$2,$DF$2&lt;&gt;0),0,IF(AND(DB629&lt;&gt;"",OR(DB628&lt;&gt;"",DB630&lt;&gt;"")),MAX($DF$2:DF628)+1,0))</f>
        <v>0</v>
      </c>
    </row>
    <row r="630" spans="102:110">
      <c r="CX630" s="259">
        <f t="shared" ca="1" si="972"/>
        <v>35</v>
      </c>
      <c r="CY630" s="259" t="str">
        <f t="shared" ca="1" si="962"/>
        <v>MASTRO</v>
      </c>
      <c r="CZ630" s="259" t="e">
        <f t="shared" ca="1" si="974"/>
        <v>#N/A</v>
      </c>
      <c r="DA630" s="259" t="str">
        <f t="shared" ca="1" si="979"/>
        <v/>
      </c>
      <c r="DB630" s="259" t="str">
        <f t="shared" ca="1" si="975"/>
        <v/>
      </c>
      <c r="DC630" s="259" t="str">
        <f t="shared" ca="1" si="976"/>
        <v/>
      </c>
      <c r="DD630" s="259" t="str">
        <f t="shared" ca="1" si="977"/>
        <v/>
      </c>
      <c r="DE630" s="259" t="str">
        <f t="shared" ca="1" si="978"/>
        <v/>
      </c>
      <c r="DF630" s="259">
        <f ca="1">IF(AND(CX630=$DE$2,$DF$2&lt;&gt;0),0,IF(AND(DB630&lt;&gt;"",OR(DB629&lt;&gt;"",DB631&lt;&gt;"")),MAX($DF$2:DF629)+1,0))</f>
        <v>0</v>
      </c>
    </row>
    <row r="631" spans="102:110">
      <c r="CX631" s="259">
        <f t="shared" ca="1" si="972"/>
        <v>35</v>
      </c>
      <c r="CY631" s="259" t="str">
        <f t="shared" ref="CY631:CY662" ca="1" si="980">IF(ISERROR(INDEX($CV$3:$CX$2300,MATCH(CX631,$CW$3:$CW$2300,0),1)),"MASTRO",INDEX($CV$3:$CX$2300,MATCH(CX631,$CW$3:$CW$2300,0),1))</f>
        <v>MASTRO</v>
      </c>
      <c r="CZ631" s="259" t="e">
        <f t="shared" ca="1" si="974"/>
        <v>#N/A</v>
      </c>
      <c r="DA631" s="259" t="str">
        <f t="shared" ca="1" si="979"/>
        <v/>
      </c>
      <c r="DB631" s="259" t="str">
        <f t="shared" ca="1" si="975"/>
        <v/>
      </c>
      <c r="DC631" s="259" t="str">
        <f t="shared" ca="1" si="976"/>
        <v/>
      </c>
      <c r="DD631" s="259" t="str">
        <f t="shared" ca="1" si="977"/>
        <v/>
      </c>
      <c r="DE631" s="259" t="str">
        <f t="shared" ca="1" si="978"/>
        <v/>
      </c>
      <c r="DF631" s="259">
        <f ca="1">IF(AND(CX631=$DE$2,$DF$2&lt;&gt;0),0,IF(AND(DB631&lt;&gt;"",OR(DB630&lt;&gt;"",DB632&lt;&gt;"")),MAX($DF$2:DF630)+1,0))</f>
        <v>0</v>
      </c>
    </row>
    <row r="632" spans="102:110">
      <c r="CX632" s="259" t="str">
        <f>IFERROR(IF(CX614+1=1,"",(CX614+1)),"")</f>
        <v/>
      </c>
      <c r="CY632" s="259" t="str">
        <f t="shared" ca="1" si="980"/>
        <v>MASTRO</v>
      </c>
      <c r="DB632" s="259" t="str">
        <f t="shared" ref="DB632" ca="1" si="981">CY632</f>
        <v>MASTRO</v>
      </c>
      <c r="DF632" s="259">
        <f ca="1">IF(AND(CX632=$DE$2,$DF$2&lt;&gt;0),0,IF(AND(DB632&lt;&gt;"",OR(DB631&lt;&gt;"",DB633&lt;&gt;"")),MAX($DF$2:DF631)+1,0))</f>
        <v>0</v>
      </c>
    </row>
    <row r="633" spans="102:110">
      <c r="CX633" s="259">
        <f ca="1">$EA$38</f>
        <v>36</v>
      </c>
      <c r="CY633" s="259" t="str">
        <f t="shared" ca="1" si="980"/>
        <v>MASTRO</v>
      </c>
      <c r="DA633" s="259" t="str">
        <f ca="1">IF(CY632="MASTRO","Conto n.","")</f>
        <v>Conto n.</v>
      </c>
      <c r="DB633" s="259" t="str">
        <f ca="1">IF(CY633=0,"",INDEX(PIANO_DEI_CONTI,MATCH(DC633,DENOMINAZIONE,0),1))</f>
        <v/>
      </c>
      <c r="DC633" s="259" t="str">
        <f ca="1">IF(OR(CY633=0,CY633="mastro"),"",CY633)</f>
        <v/>
      </c>
      <c r="DD633" s="259" t="str">
        <f ca="1">IF(AND($DA$2=TRUE,OR(INDEX(PIANO_DEI_CONTI,MATCH($DC633,DENOMINAZIONE,0),4)="A",INDEX(PIANO_DEI_CONTI,MATCH($DC633,DENOMINAZIONE,0),4)="D/A"),SUMIFS(AVERE,DENOMINAZIONE_GIORNALE,"="&amp;$DC633)&gt;SUMIFS(DARE,DENOMINAZIONE_GIORNALE,"="&amp;$DC633)),CONCATENATE("s ",FIXED(ABS(SUMIFS(AVERE,DENOMINAZIONE_GIORNALE,"="&amp;$DC633)-SUMIFS(DARE,DENOMINAZIONE_GIORNALE,"="&amp;$DC633)),2)),"")</f>
        <v/>
      </c>
      <c r="DE633" s="259" t="str">
        <f ca="1">IF(AND($DA$2=TRUE,OR(INDEX(PIANO_DEI_CONTI,MATCH($DC633,DENOMINAZIONE,0),4)="D",INDEX(PIANO_DEI_CONTI,MATCH($DC633,DENOMINAZIONE,0),4)="D/A"),SUMIFS(DARE,DENOMINAZIONE_GIORNALE,"="&amp;$DC633)&gt;SUMIFS(AVERE,DENOMINAZIONE_GIORNALE,"="&amp;$DC633)),CONCATENATE("s ",FIXED(ABS(SUMIFS(DARE,DENOMINAZIONE_GIORNALE,"="&amp;$DC633)-SUMIFS(AVERE,DENOMINAZIONE_GIORNALE,"="&amp;$DC633)),2)),"")</f>
        <v/>
      </c>
      <c r="DF633" s="259">
        <f ca="1">IF(AND(CX633=$DE$2,$DF$2&lt;&gt;0),0,IF(AND(DB633&lt;&gt;"",OR(DB632&lt;&gt;"",DB634&lt;&gt;"")),MAX($DF$2:DF632)+1,0))</f>
        <v>0</v>
      </c>
    </row>
    <row r="634" spans="102:110">
      <c r="CX634" s="259">
        <f t="shared" ref="CX634:CX649" ca="1" si="982">$EA$38</f>
        <v>36</v>
      </c>
      <c r="CY634" s="259" t="str">
        <f t="shared" ca="1" si="980"/>
        <v>MASTRO</v>
      </c>
      <c r="DA634" s="259" t="str">
        <f ca="1">IF(DB633="","","Num. riga")</f>
        <v/>
      </c>
      <c r="DB634" s="259" t="str">
        <f t="shared" ref="DB634" ca="1" si="983">IF(DB633="","","Data")</f>
        <v/>
      </c>
      <c r="DC634" s="259" t="str">
        <f ca="1">IF(DB633="","","Operazioni")</f>
        <v/>
      </c>
      <c r="DD634" s="259" t="str">
        <f ca="1">IF(DB633="","","Dare        ")</f>
        <v/>
      </c>
      <c r="DE634" s="259" t="str">
        <f ca="1">IF(DB633="","","Avere        ")</f>
        <v/>
      </c>
      <c r="DF634" s="259">
        <f ca="1">IF(AND(CX634=$DE$2,$DF$2&lt;&gt;0),0,IF(AND(DB634&lt;&gt;"",OR(DB633&lt;&gt;"",DB635&lt;&gt;"")),MAX($DF$2:DF633)+1,0))</f>
        <v>0</v>
      </c>
    </row>
    <row r="635" spans="102:110">
      <c r="CX635" s="259">
        <f t="shared" ca="1" si="982"/>
        <v>36</v>
      </c>
      <c r="CY635" s="259" t="str">
        <f t="shared" ca="1" si="980"/>
        <v>MASTRO</v>
      </c>
      <c r="CZ635" s="259" t="e">
        <f t="shared" ref="CZ635:CZ649" ca="1" si="984">SUM(MATCH($CY635,INDIRECT(ADDRESS(SUM(CZ634)+3,54)&amp;":"&amp;ADDRESS(400,54)),0),CZ634)</f>
        <v>#N/A</v>
      </c>
      <c r="DA635" s="259" t="str">
        <f ca="1">IFERROR(INDEX(LIBRO_GIORNALE,CZ635,1),"")</f>
        <v/>
      </c>
      <c r="DB635" s="259" t="str">
        <f t="shared" ref="DB635:DB649" ca="1" si="985">IF(RIGHT(TEXT(IFERROR(INDEX(LIBRO_GIORNALE,CZ635,2),""),"gg/mm/aa"),1)="a",TEXT(IFERROR(INDEX(LIBRO_GIORNALE,CZ635,2),""),"dd/mm/yy"),TEXT(IFERROR(INDEX(LIBRO_GIORNALE,CZ635,2),""),"gg/mm/aa"))</f>
        <v/>
      </c>
      <c r="DC635" s="259" t="str">
        <f t="shared" ref="DC635:DC649" ca="1" si="986">IF(IFERROR(INDEX(LIBRO_GIORNALE,CZ635,4),"")=0,"manca la descrizione dell'operazione",IFERROR(INDEX(LIBRO_GIORNALE,CZ635,4),""))</f>
        <v/>
      </c>
      <c r="DD635" s="259" t="str">
        <f t="shared" ref="DD635:DD649" ca="1" si="987">IFERROR(IF(INDEX(LIBRO_GIORNALE,CZ635,5)&gt;0,INDEX(LIBRO_GIORNALE,CZ635,5),""),"")</f>
        <v/>
      </c>
      <c r="DE635" s="259" t="str">
        <f t="shared" ref="DE635:DE649" ca="1" si="988">IFERROR(IF(INDEX(LIBRO_GIORNALE,CZ635,6)&gt;0,INDEX(LIBRO_GIORNALE,CZ635,6),""),"")</f>
        <v/>
      </c>
      <c r="DF635" s="259">
        <f ca="1">IF(AND(CX635=$DE$2,$DF$2&lt;&gt;0),0,IF(AND(DB635&lt;&gt;"",OR(DB634&lt;&gt;"",DB636&lt;&gt;"")),MAX($DF$2:DF634)+1,0))</f>
        <v>0</v>
      </c>
    </row>
    <row r="636" spans="102:110">
      <c r="CX636" s="259">
        <f t="shared" ca="1" si="982"/>
        <v>36</v>
      </c>
      <c r="CY636" s="259" t="str">
        <f t="shared" ca="1" si="980"/>
        <v>MASTRO</v>
      </c>
      <c r="CZ636" s="259" t="e">
        <f t="shared" ca="1" si="984"/>
        <v>#N/A</v>
      </c>
      <c r="DA636" s="259" t="str">
        <f t="shared" ref="DA636:DA649" ca="1" si="989">IFERROR(INDEX(LIBRO_GIORNALE,CZ636,1),"")</f>
        <v/>
      </c>
      <c r="DB636" s="259" t="str">
        <f t="shared" ca="1" si="985"/>
        <v/>
      </c>
      <c r="DC636" s="259" t="str">
        <f t="shared" ca="1" si="986"/>
        <v/>
      </c>
      <c r="DD636" s="259" t="str">
        <f t="shared" ca="1" si="987"/>
        <v/>
      </c>
      <c r="DE636" s="259" t="str">
        <f t="shared" ca="1" si="988"/>
        <v/>
      </c>
      <c r="DF636" s="259">
        <f ca="1">IF(AND(CX636=$DE$2,$DF$2&lt;&gt;0),0,IF(AND(DB636&lt;&gt;"",OR(DB635&lt;&gt;"",DB637&lt;&gt;"")),MAX($DF$2:DF635)+1,0))</f>
        <v>0</v>
      </c>
    </row>
    <row r="637" spans="102:110">
      <c r="CX637" s="259">
        <f t="shared" ca="1" si="982"/>
        <v>36</v>
      </c>
      <c r="CY637" s="259" t="str">
        <f t="shared" ca="1" si="980"/>
        <v>MASTRO</v>
      </c>
      <c r="CZ637" s="259" t="e">
        <f t="shared" ca="1" si="984"/>
        <v>#N/A</v>
      </c>
      <c r="DA637" s="259" t="str">
        <f t="shared" ca="1" si="989"/>
        <v/>
      </c>
      <c r="DB637" s="259" t="str">
        <f t="shared" ca="1" si="985"/>
        <v/>
      </c>
      <c r="DC637" s="259" t="str">
        <f t="shared" ca="1" si="986"/>
        <v/>
      </c>
      <c r="DD637" s="259" t="str">
        <f t="shared" ca="1" si="987"/>
        <v/>
      </c>
      <c r="DE637" s="259" t="str">
        <f t="shared" ca="1" si="988"/>
        <v/>
      </c>
      <c r="DF637" s="259">
        <f ca="1">IF(AND(CX637=$DE$2,$DF$2&lt;&gt;0),0,IF(AND(DB637&lt;&gt;"",OR(DB636&lt;&gt;"",DB638&lt;&gt;"")),MAX($DF$2:DF636)+1,0))</f>
        <v>0</v>
      </c>
    </row>
    <row r="638" spans="102:110">
      <c r="CX638" s="259">
        <f t="shared" ca="1" si="982"/>
        <v>36</v>
      </c>
      <c r="CY638" s="259" t="str">
        <f t="shared" ca="1" si="980"/>
        <v>MASTRO</v>
      </c>
      <c r="CZ638" s="259" t="e">
        <f t="shared" ca="1" si="984"/>
        <v>#N/A</v>
      </c>
      <c r="DA638" s="259" t="str">
        <f t="shared" ca="1" si="989"/>
        <v/>
      </c>
      <c r="DB638" s="259" t="str">
        <f t="shared" ca="1" si="985"/>
        <v/>
      </c>
      <c r="DC638" s="259" t="str">
        <f t="shared" ca="1" si="986"/>
        <v/>
      </c>
      <c r="DD638" s="259" t="str">
        <f t="shared" ca="1" si="987"/>
        <v/>
      </c>
      <c r="DE638" s="259" t="str">
        <f t="shared" ca="1" si="988"/>
        <v/>
      </c>
      <c r="DF638" s="259">
        <f ca="1">IF(AND(CX638=$DE$2,$DF$2&lt;&gt;0),0,IF(AND(DB638&lt;&gt;"",OR(DB637&lt;&gt;"",DB639&lt;&gt;"")),MAX($DF$2:DF637)+1,0))</f>
        <v>0</v>
      </c>
    </row>
    <row r="639" spans="102:110">
      <c r="CX639" s="259">
        <f t="shared" ca="1" si="982"/>
        <v>36</v>
      </c>
      <c r="CY639" s="259" t="str">
        <f t="shared" ca="1" si="980"/>
        <v>MASTRO</v>
      </c>
      <c r="CZ639" s="259" t="e">
        <f t="shared" ca="1" si="984"/>
        <v>#N/A</v>
      </c>
      <c r="DA639" s="259" t="str">
        <f t="shared" ca="1" si="989"/>
        <v/>
      </c>
      <c r="DB639" s="259" t="str">
        <f t="shared" ca="1" si="985"/>
        <v/>
      </c>
      <c r="DC639" s="259" t="str">
        <f t="shared" ca="1" si="986"/>
        <v/>
      </c>
      <c r="DD639" s="259" t="str">
        <f t="shared" ca="1" si="987"/>
        <v/>
      </c>
      <c r="DE639" s="259" t="str">
        <f t="shared" ca="1" si="988"/>
        <v/>
      </c>
      <c r="DF639" s="259">
        <f ca="1">IF(AND(CX639=$DE$2,$DF$2&lt;&gt;0),0,IF(AND(DB639&lt;&gt;"",OR(DB638&lt;&gt;"",DB640&lt;&gt;"")),MAX($DF$2:DF638)+1,0))</f>
        <v>0</v>
      </c>
    </row>
    <row r="640" spans="102:110">
      <c r="CX640" s="259">
        <f t="shared" ca="1" si="982"/>
        <v>36</v>
      </c>
      <c r="CY640" s="259" t="str">
        <f t="shared" ca="1" si="980"/>
        <v>MASTRO</v>
      </c>
      <c r="CZ640" s="259" t="e">
        <f t="shared" ca="1" si="984"/>
        <v>#N/A</v>
      </c>
      <c r="DA640" s="259" t="str">
        <f t="shared" ca="1" si="989"/>
        <v/>
      </c>
      <c r="DB640" s="259" t="str">
        <f t="shared" ca="1" si="985"/>
        <v/>
      </c>
      <c r="DC640" s="259" t="str">
        <f t="shared" ca="1" si="986"/>
        <v/>
      </c>
      <c r="DD640" s="259" t="str">
        <f t="shared" ca="1" si="987"/>
        <v/>
      </c>
      <c r="DE640" s="259" t="str">
        <f t="shared" ca="1" si="988"/>
        <v/>
      </c>
      <c r="DF640" s="259">
        <f ca="1">IF(AND(CX640=$DE$2,$DF$2&lt;&gt;0),0,IF(AND(DB640&lt;&gt;"",OR(DB639&lt;&gt;"",DB641&lt;&gt;"")),MAX($DF$2:DF639)+1,0))</f>
        <v>0</v>
      </c>
    </row>
    <row r="641" spans="102:110">
      <c r="CX641" s="259">
        <f t="shared" ca="1" si="982"/>
        <v>36</v>
      </c>
      <c r="CY641" s="259" t="str">
        <f t="shared" ca="1" si="980"/>
        <v>MASTRO</v>
      </c>
      <c r="CZ641" s="259" t="e">
        <f t="shared" ca="1" si="984"/>
        <v>#N/A</v>
      </c>
      <c r="DA641" s="259" t="str">
        <f t="shared" ca="1" si="989"/>
        <v/>
      </c>
      <c r="DB641" s="259" t="str">
        <f t="shared" ca="1" si="985"/>
        <v/>
      </c>
      <c r="DC641" s="259" t="str">
        <f t="shared" ca="1" si="986"/>
        <v/>
      </c>
      <c r="DD641" s="259" t="str">
        <f t="shared" ca="1" si="987"/>
        <v/>
      </c>
      <c r="DE641" s="259" t="str">
        <f t="shared" ca="1" si="988"/>
        <v/>
      </c>
      <c r="DF641" s="259">
        <f ca="1">IF(AND(CX641=$DE$2,$DF$2&lt;&gt;0),0,IF(AND(DB641&lt;&gt;"",OR(DB640&lt;&gt;"",DB642&lt;&gt;"")),MAX($DF$2:DF640)+1,0))</f>
        <v>0</v>
      </c>
    </row>
    <row r="642" spans="102:110">
      <c r="CX642" s="259">
        <f t="shared" ca="1" si="982"/>
        <v>36</v>
      </c>
      <c r="CY642" s="259" t="str">
        <f t="shared" ca="1" si="980"/>
        <v>MASTRO</v>
      </c>
      <c r="CZ642" s="259" t="e">
        <f t="shared" ca="1" si="984"/>
        <v>#N/A</v>
      </c>
      <c r="DA642" s="259" t="str">
        <f t="shared" ca="1" si="989"/>
        <v/>
      </c>
      <c r="DB642" s="259" t="str">
        <f t="shared" ca="1" si="985"/>
        <v/>
      </c>
      <c r="DC642" s="259" t="str">
        <f t="shared" ca="1" si="986"/>
        <v/>
      </c>
      <c r="DD642" s="259" t="str">
        <f t="shared" ca="1" si="987"/>
        <v/>
      </c>
      <c r="DE642" s="259" t="str">
        <f t="shared" ca="1" si="988"/>
        <v/>
      </c>
      <c r="DF642" s="259">
        <f ca="1">IF(AND(CX642=$DE$2,$DF$2&lt;&gt;0),0,IF(AND(DB642&lt;&gt;"",OR(DB641&lt;&gt;"",DB643&lt;&gt;"")),MAX($DF$2:DF641)+1,0))</f>
        <v>0</v>
      </c>
    </row>
    <row r="643" spans="102:110">
      <c r="CX643" s="259">
        <f t="shared" ca="1" si="982"/>
        <v>36</v>
      </c>
      <c r="CY643" s="259" t="str">
        <f t="shared" ca="1" si="980"/>
        <v>MASTRO</v>
      </c>
      <c r="CZ643" s="259" t="e">
        <f t="shared" ca="1" si="984"/>
        <v>#N/A</v>
      </c>
      <c r="DA643" s="259" t="str">
        <f t="shared" ca="1" si="989"/>
        <v/>
      </c>
      <c r="DB643" s="259" t="str">
        <f t="shared" ca="1" si="985"/>
        <v/>
      </c>
      <c r="DC643" s="259" t="str">
        <f t="shared" ca="1" si="986"/>
        <v/>
      </c>
      <c r="DD643" s="259" t="str">
        <f t="shared" ca="1" si="987"/>
        <v/>
      </c>
      <c r="DE643" s="259" t="str">
        <f t="shared" ca="1" si="988"/>
        <v/>
      </c>
      <c r="DF643" s="259">
        <f ca="1">IF(AND(CX643=$DE$2,$DF$2&lt;&gt;0),0,IF(AND(DB643&lt;&gt;"",OR(DB642&lt;&gt;"",DB644&lt;&gt;"")),MAX($DF$2:DF642)+1,0))</f>
        <v>0</v>
      </c>
    </row>
    <row r="644" spans="102:110">
      <c r="CX644" s="259">
        <f t="shared" ca="1" si="982"/>
        <v>36</v>
      </c>
      <c r="CY644" s="259" t="str">
        <f t="shared" ca="1" si="980"/>
        <v>MASTRO</v>
      </c>
      <c r="CZ644" s="259" t="e">
        <f t="shared" ca="1" si="984"/>
        <v>#N/A</v>
      </c>
      <c r="DA644" s="259" t="str">
        <f t="shared" ca="1" si="989"/>
        <v/>
      </c>
      <c r="DB644" s="259" t="str">
        <f t="shared" ca="1" si="985"/>
        <v/>
      </c>
      <c r="DC644" s="259" t="str">
        <f t="shared" ca="1" si="986"/>
        <v/>
      </c>
      <c r="DD644" s="259" t="str">
        <f t="shared" ca="1" si="987"/>
        <v/>
      </c>
      <c r="DE644" s="259" t="str">
        <f t="shared" ca="1" si="988"/>
        <v/>
      </c>
      <c r="DF644" s="259">
        <f ca="1">IF(AND(CX644=$DE$2,$DF$2&lt;&gt;0),0,IF(AND(DB644&lt;&gt;"",OR(DB643&lt;&gt;"",DB645&lt;&gt;"")),MAX($DF$2:DF643)+1,0))</f>
        <v>0</v>
      </c>
    </row>
    <row r="645" spans="102:110">
      <c r="CX645" s="259">
        <f t="shared" ca="1" si="982"/>
        <v>36</v>
      </c>
      <c r="CY645" s="259" t="str">
        <f t="shared" ca="1" si="980"/>
        <v>MASTRO</v>
      </c>
      <c r="CZ645" s="259" t="e">
        <f t="shared" ca="1" si="984"/>
        <v>#N/A</v>
      </c>
      <c r="DA645" s="259" t="str">
        <f t="shared" ca="1" si="989"/>
        <v/>
      </c>
      <c r="DB645" s="259" t="str">
        <f t="shared" ca="1" si="985"/>
        <v/>
      </c>
      <c r="DC645" s="259" t="str">
        <f t="shared" ca="1" si="986"/>
        <v/>
      </c>
      <c r="DD645" s="259" t="str">
        <f t="shared" ca="1" si="987"/>
        <v/>
      </c>
      <c r="DE645" s="259" t="str">
        <f t="shared" ca="1" si="988"/>
        <v/>
      </c>
      <c r="DF645" s="259">
        <f ca="1">IF(AND(CX645=$DE$2,$DF$2&lt;&gt;0),0,IF(AND(DB645&lt;&gt;"",OR(DB644&lt;&gt;"",DB646&lt;&gt;"")),MAX($DF$2:DF644)+1,0))</f>
        <v>0</v>
      </c>
    </row>
    <row r="646" spans="102:110">
      <c r="CX646" s="259">
        <f t="shared" ca="1" si="982"/>
        <v>36</v>
      </c>
      <c r="CY646" s="259" t="str">
        <f t="shared" ca="1" si="980"/>
        <v>MASTRO</v>
      </c>
      <c r="CZ646" s="259" t="e">
        <f t="shared" ca="1" si="984"/>
        <v>#N/A</v>
      </c>
      <c r="DA646" s="259" t="str">
        <f t="shared" ca="1" si="989"/>
        <v/>
      </c>
      <c r="DB646" s="259" t="str">
        <f t="shared" ca="1" si="985"/>
        <v/>
      </c>
      <c r="DC646" s="259" t="str">
        <f t="shared" ca="1" si="986"/>
        <v/>
      </c>
      <c r="DD646" s="259" t="str">
        <f t="shared" ca="1" si="987"/>
        <v/>
      </c>
      <c r="DE646" s="259" t="str">
        <f t="shared" ca="1" si="988"/>
        <v/>
      </c>
      <c r="DF646" s="259">
        <f ca="1">IF(AND(CX646=$DE$2,$DF$2&lt;&gt;0),0,IF(AND(DB646&lt;&gt;"",OR(DB645&lt;&gt;"",DB647&lt;&gt;"")),MAX($DF$2:DF645)+1,0))</f>
        <v>0</v>
      </c>
    </row>
    <row r="647" spans="102:110">
      <c r="CX647" s="259">
        <f t="shared" ca="1" si="982"/>
        <v>36</v>
      </c>
      <c r="CY647" s="259" t="str">
        <f t="shared" ca="1" si="980"/>
        <v>MASTRO</v>
      </c>
      <c r="CZ647" s="259" t="e">
        <f t="shared" ca="1" si="984"/>
        <v>#N/A</v>
      </c>
      <c r="DA647" s="259" t="str">
        <f t="shared" ca="1" si="989"/>
        <v/>
      </c>
      <c r="DB647" s="259" t="str">
        <f t="shared" ca="1" si="985"/>
        <v/>
      </c>
      <c r="DC647" s="259" t="str">
        <f t="shared" ca="1" si="986"/>
        <v/>
      </c>
      <c r="DD647" s="259" t="str">
        <f t="shared" ca="1" si="987"/>
        <v/>
      </c>
      <c r="DE647" s="259" t="str">
        <f t="shared" ca="1" si="988"/>
        <v/>
      </c>
      <c r="DF647" s="259">
        <f ca="1">IF(AND(CX647=$DE$2,$DF$2&lt;&gt;0),0,IF(AND(DB647&lt;&gt;"",OR(DB646&lt;&gt;"",DB648&lt;&gt;"")),MAX($DF$2:DF646)+1,0))</f>
        <v>0</v>
      </c>
    </row>
    <row r="648" spans="102:110">
      <c r="CX648" s="259">
        <f t="shared" ca="1" si="982"/>
        <v>36</v>
      </c>
      <c r="CY648" s="259" t="str">
        <f t="shared" ca="1" si="980"/>
        <v>MASTRO</v>
      </c>
      <c r="CZ648" s="259" t="e">
        <f t="shared" ca="1" si="984"/>
        <v>#N/A</v>
      </c>
      <c r="DA648" s="259" t="str">
        <f t="shared" ca="1" si="989"/>
        <v/>
      </c>
      <c r="DB648" s="259" t="str">
        <f t="shared" ca="1" si="985"/>
        <v/>
      </c>
      <c r="DC648" s="259" t="str">
        <f t="shared" ca="1" si="986"/>
        <v/>
      </c>
      <c r="DD648" s="259" t="str">
        <f t="shared" ca="1" si="987"/>
        <v/>
      </c>
      <c r="DE648" s="259" t="str">
        <f t="shared" ca="1" si="988"/>
        <v/>
      </c>
      <c r="DF648" s="259">
        <f ca="1">IF(AND(CX648=$DE$2,$DF$2&lt;&gt;0),0,IF(AND(DB648&lt;&gt;"",OR(DB647&lt;&gt;"",DB649&lt;&gt;"")),MAX($DF$2:DF647)+1,0))</f>
        <v>0</v>
      </c>
    </row>
    <row r="649" spans="102:110">
      <c r="CX649" s="259">
        <f t="shared" ca="1" si="982"/>
        <v>36</v>
      </c>
      <c r="CY649" s="259" t="str">
        <f t="shared" ca="1" si="980"/>
        <v>MASTRO</v>
      </c>
      <c r="CZ649" s="259" t="e">
        <f t="shared" ca="1" si="984"/>
        <v>#N/A</v>
      </c>
      <c r="DA649" s="259" t="str">
        <f t="shared" ca="1" si="989"/>
        <v/>
      </c>
      <c r="DB649" s="259" t="str">
        <f t="shared" ca="1" si="985"/>
        <v/>
      </c>
      <c r="DC649" s="259" t="str">
        <f t="shared" ca="1" si="986"/>
        <v/>
      </c>
      <c r="DD649" s="259" t="str">
        <f t="shared" ca="1" si="987"/>
        <v/>
      </c>
      <c r="DE649" s="259" t="str">
        <f t="shared" ca="1" si="988"/>
        <v/>
      </c>
      <c r="DF649" s="259">
        <f ca="1">IF(AND(CX649=$DE$2,$DF$2&lt;&gt;0),0,IF(AND(DB649&lt;&gt;"",OR(DB648&lt;&gt;"",DB650&lt;&gt;"")),MAX($DF$2:DF648)+1,0))</f>
        <v>0</v>
      </c>
    </row>
    <row r="650" spans="102:110">
      <c r="CX650" s="259" t="str">
        <f>IFERROR(IF(CX632+1=1,"",(CX632+1)),"")</f>
        <v/>
      </c>
      <c r="CY650" s="259" t="str">
        <f t="shared" ca="1" si="980"/>
        <v>MASTRO</v>
      </c>
      <c r="DB650" s="259" t="str">
        <f t="shared" ref="DB650" ca="1" si="990">CY650</f>
        <v>MASTRO</v>
      </c>
      <c r="DF650" s="259">
        <f ca="1">IF(AND(CX650=$DE$2,$DF$2&lt;&gt;0),0,IF(AND(DB650&lt;&gt;"",OR(DB649&lt;&gt;"",DB651&lt;&gt;"")),MAX($DF$2:DF649)+1,0))</f>
        <v>0</v>
      </c>
    </row>
    <row r="651" spans="102:110">
      <c r="CX651" s="259">
        <f ca="1">$EA$39</f>
        <v>37</v>
      </c>
      <c r="CY651" s="259" t="str">
        <f t="shared" ca="1" si="980"/>
        <v>MASTRO</v>
      </c>
      <c r="DA651" s="259" t="str">
        <f ca="1">IF(CY650="MASTRO","Conto n.","")</f>
        <v>Conto n.</v>
      </c>
      <c r="DB651" s="259" t="str">
        <f ca="1">IF(CY651=0,"",INDEX(PIANO_DEI_CONTI,MATCH(DC651,DENOMINAZIONE,0),1))</f>
        <v/>
      </c>
      <c r="DC651" s="259" t="str">
        <f ca="1">IF(OR(CY651=0,CY651="mastro"),"",CY651)</f>
        <v/>
      </c>
      <c r="DD651" s="259" t="str">
        <f ca="1">IF(AND($DA$2=TRUE,OR(INDEX(PIANO_DEI_CONTI,MATCH($DC651,DENOMINAZIONE,0),4)="A",INDEX(PIANO_DEI_CONTI,MATCH($DC651,DENOMINAZIONE,0),4)="D/A"),SUMIFS(AVERE,DENOMINAZIONE_GIORNALE,"="&amp;$DC651)&gt;SUMIFS(DARE,DENOMINAZIONE_GIORNALE,"="&amp;$DC651)),CONCATENATE("s ",FIXED(ABS(SUMIFS(AVERE,DENOMINAZIONE_GIORNALE,"="&amp;$DC651)-SUMIFS(DARE,DENOMINAZIONE_GIORNALE,"="&amp;$DC651)),2)),"")</f>
        <v/>
      </c>
      <c r="DE651" s="259" t="str">
        <f ca="1">IF(AND($DA$2=TRUE,OR(INDEX(PIANO_DEI_CONTI,MATCH($DC651,DENOMINAZIONE,0),4)="D",INDEX(PIANO_DEI_CONTI,MATCH($DC651,DENOMINAZIONE,0),4)="D/A"),SUMIFS(DARE,DENOMINAZIONE_GIORNALE,"="&amp;$DC651)&gt;SUMIFS(AVERE,DENOMINAZIONE_GIORNALE,"="&amp;$DC651)),CONCATENATE("s ",FIXED(ABS(SUMIFS(DARE,DENOMINAZIONE_GIORNALE,"="&amp;$DC651)-SUMIFS(AVERE,DENOMINAZIONE_GIORNALE,"="&amp;$DC651)),2)),"")</f>
        <v/>
      </c>
      <c r="DF651" s="259">
        <f ca="1">IF(AND(CX651=$DE$2,$DF$2&lt;&gt;0),0,IF(AND(DB651&lt;&gt;"",OR(DB650&lt;&gt;"",DB652&lt;&gt;"")),MAX($DF$2:DF650)+1,0))</f>
        <v>0</v>
      </c>
    </row>
    <row r="652" spans="102:110">
      <c r="CX652" s="259">
        <f t="shared" ref="CX652:CX667" ca="1" si="991">$EA$39</f>
        <v>37</v>
      </c>
      <c r="CY652" s="259" t="str">
        <f t="shared" ca="1" si="980"/>
        <v>MASTRO</v>
      </c>
      <c r="DA652" s="259" t="str">
        <f ca="1">IF(DB651="","","Num. riga")</f>
        <v/>
      </c>
      <c r="DB652" s="259" t="str">
        <f t="shared" ref="DB652" ca="1" si="992">IF(DB651="","","Data")</f>
        <v/>
      </c>
      <c r="DC652" s="259" t="str">
        <f ca="1">IF(DB651="","","Operazioni")</f>
        <v/>
      </c>
      <c r="DD652" s="259" t="str">
        <f ca="1">IF(DB651="","","Dare        ")</f>
        <v/>
      </c>
      <c r="DE652" s="259" t="str">
        <f ca="1">IF(DB651="","","Avere        ")</f>
        <v/>
      </c>
      <c r="DF652" s="259">
        <f ca="1">IF(AND(CX652=$DE$2,$DF$2&lt;&gt;0),0,IF(AND(DB652&lt;&gt;"",OR(DB651&lt;&gt;"",DB653&lt;&gt;"")),MAX($DF$2:DF651)+1,0))</f>
        <v>0</v>
      </c>
    </row>
    <row r="653" spans="102:110">
      <c r="CX653" s="259">
        <f t="shared" ca="1" si="991"/>
        <v>37</v>
      </c>
      <c r="CY653" s="259" t="str">
        <f t="shared" ca="1" si="980"/>
        <v>MASTRO</v>
      </c>
      <c r="CZ653" s="259" t="e">
        <f t="shared" ref="CZ653:CZ667" ca="1" si="993">SUM(MATCH($CY653,INDIRECT(ADDRESS(SUM(CZ652)+3,54)&amp;":"&amp;ADDRESS(400,54)),0),CZ652)</f>
        <v>#N/A</v>
      </c>
      <c r="DA653" s="259" t="str">
        <f ca="1">IFERROR(INDEX(LIBRO_GIORNALE,CZ653,1),"")</f>
        <v/>
      </c>
      <c r="DB653" s="259" t="str">
        <f t="shared" ref="DB653:DB667" ca="1" si="994">IF(RIGHT(TEXT(IFERROR(INDEX(LIBRO_GIORNALE,CZ653,2),""),"gg/mm/aa"),1)="a",TEXT(IFERROR(INDEX(LIBRO_GIORNALE,CZ653,2),""),"dd/mm/yy"),TEXT(IFERROR(INDEX(LIBRO_GIORNALE,CZ653,2),""),"gg/mm/aa"))</f>
        <v/>
      </c>
      <c r="DC653" s="259" t="str">
        <f t="shared" ref="DC653:DC667" ca="1" si="995">IF(IFERROR(INDEX(LIBRO_GIORNALE,CZ653,4),"")=0,"manca la descrizione dell'operazione",IFERROR(INDEX(LIBRO_GIORNALE,CZ653,4),""))</f>
        <v/>
      </c>
      <c r="DD653" s="259" t="str">
        <f t="shared" ref="DD653:DD667" ca="1" si="996">IFERROR(IF(INDEX(LIBRO_GIORNALE,CZ653,5)&gt;0,INDEX(LIBRO_GIORNALE,CZ653,5),""),"")</f>
        <v/>
      </c>
      <c r="DE653" s="259" t="str">
        <f t="shared" ref="DE653:DE667" ca="1" si="997">IFERROR(IF(INDEX(LIBRO_GIORNALE,CZ653,6)&gt;0,INDEX(LIBRO_GIORNALE,CZ653,6),""),"")</f>
        <v/>
      </c>
      <c r="DF653" s="259">
        <f ca="1">IF(AND(CX653=$DE$2,$DF$2&lt;&gt;0),0,IF(AND(DB653&lt;&gt;"",OR(DB652&lt;&gt;"",DB654&lt;&gt;"")),MAX($DF$2:DF652)+1,0))</f>
        <v>0</v>
      </c>
    </row>
    <row r="654" spans="102:110">
      <c r="CX654" s="259">
        <f t="shared" ca="1" si="991"/>
        <v>37</v>
      </c>
      <c r="CY654" s="259" t="str">
        <f t="shared" ca="1" si="980"/>
        <v>MASTRO</v>
      </c>
      <c r="CZ654" s="259" t="e">
        <f t="shared" ca="1" si="993"/>
        <v>#N/A</v>
      </c>
      <c r="DA654" s="259" t="str">
        <f t="shared" ref="DA654:DA667" ca="1" si="998">IFERROR(INDEX(LIBRO_GIORNALE,CZ654,1),"")</f>
        <v/>
      </c>
      <c r="DB654" s="259" t="str">
        <f t="shared" ca="1" si="994"/>
        <v/>
      </c>
      <c r="DC654" s="259" t="str">
        <f t="shared" ca="1" si="995"/>
        <v/>
      </c>
      <c r="DD654" s="259" t="str">
        <f t="shared" ca="1" si="996"/>
        <v/>
      </c>
      <c r="DE654" s="259" t="str">
        <f t="shared" ca="1" si="997"/>
        <v/>
      </c>
      <c r="DF654" s="259">
        <f ca="1">IF(AND(CX654=$DE$2,$DF$2&lt;&gt;0),0,IF(AND(DB654&lt;&gt;"",OR(DB653&lt;&gt;"",DB655&lt;&gt;"")),MAX($DF$2:DF653)+1,0))</f>
        <v>0</v>
      </c>
    </row>
    <row r="655" spans="102:110">
      <c r="CX655" s="259">
        <f t="shared" ca="1" si="991"/>
        <v>37</v>
      </c>
      <c r="CY655" s="259" t="str">
        <f t="shared" ca="1" si="980"/>
        <v>MASTRO</v>
      </c>
      <c r="CZ655" s="259" t="e">
        <f t="shared" ca="1" si="993"/>
        <v>#N/A</v>
      </c>
      <c r="DA655" s="259" t="str">
        <f t="shared" ca="1" si="998"/>
        <v/>
      </c>
      <c r="DB655" s="259" t="str">
        <f t="shared" ca="1" si="994"/>
        <v/>
      </c>
      <c r="DC655" s="259" t="str">
        <f t="shared" ca="1" si="995"/>
        <v/>
      </c>
      <c r="DD655" s="259" t="str">
        <f t="shared" ca="1" si="996"/>
        <v/>
      </c>
      <c r="DE655" s="259" t="str">
        <f t="shared" ca="1" si="997"/>
        <v/>
      </c>
      <c r="DF655" s="259">
        <f ca="1">IF(AND(CX655=$DE$2,$DF$2&lt;&gt;0),0,IF(AND(DB655&lt;&gt;"",OR(DB654&lt;&gt;"",DB656&lt;&gt;"")),MAX($DF$2:DF654)+1,0))</f>
        <v>0</v>
      </c>
    </row>
    <row r="656" spans="102:110">
      <c r="CX656" s="259">
        <f t="shared" ca="1" si="991"/>
        <v>37</v>
      </c>
      <c r="CY656" s="259" t="str">
        <f t="shared" ca="1" si="980"/>
        <v>MASTRO</v>
      </c>
      <c r="CZ656" s="259" t="e">
        <f t="shared" ca="1" si="993"/>
        <v>#N/A</v>
      </c>
      <c r="DA656" s="259" t="str">
        <f t="shared" ca="1" si="998"/>
        <v/>
      </c>
      <c r="DB656" s="259" t="str">
        <f t="shared" ca="1" si="994"/>
        <v/>
      </c>
      <c r="DC656" s="259" t="str">
        <f t="shared" ca="1" si="995"/>
        <v/>
      </c>
      <c r="DD656" s="259" t="str">
        <f t="shared" ca="1" si="996"/>
        <v/>
      </c>
      <c r="DE656" s="259" t="str">
        <f t="shared" ca="1" si="997"/>
        <v/>
      </c>
      <c r="DF656" s="259">
        <f ca="1">IF(AND(CX656=$DE$2,$DF$2&lt;&gt;0),0,IF(AND(DB656&lt;&gt;"",OR(DB655&lt;&gt;"",DB657&lt;&gt;"")),MAX($DF$2:DF655)+1,0))</f>
        <v>0</v>
      </c>
    </row>
    <row r="657" spans="102:110">
      <c r="CX657" s="259">
        <f t="shared" ca="1" si="991"/>
        <v>37</v>
      </c>
      <c r="CY657" s="259" t="str">
        <f t="shared" ca="1" si="980"/>
        <v>MASTRO</v>
      </c>
      <c r="CZ657" s="259" t="e">
        <f t="shared" ca="1" si="993"/>
        <v>#N/A</v>
      </c>
      <c r="DA657" s="259" t="str">
        <f t="shared" ca="1" si="998"/>
        <v/>
      </c>
      <c r="DB657" s="259" t="str">
        <f t="shared" ca="1" si="994"/>
        <v/>
      </c>
      <c r="DC657" s="259" t="str">
        <f t="shared" ca="1" si="995"/>
        <v/>
      </c>
      <c r="DD657" s="259" t="str">
        <f t="shared" ca="1" si="996"/>
        <v/>
      </c>
      <c r="DE657" s="259" t="str">
        <f t="shared" ca="1" si="997"/>
        <v/>
      </c>
      <c r="DF657" s="259">
        <f ca="1">IF(AND(CX657=$DE$2,$DF$2&lt;&gt;0),0,IF(AND(DB657&lt;&gt;"",OR(DB656&lt;&gt;"",DB658&lt;&gt;"")),MAX($DF$2:DF656)+1,0))</f>
        <v>0</v>
      </c>
    </row>
    <row r="658" spans="102:110">
      <c r="CX658" s="259">
        <f t="shared" ca="1" si="991"/>
        <v>37</v>
      </c>
      <c r="CY658" s="259" t="str">
        <f t="shared" ca="1" si="980"/>
        <v>MASTRO</v>
      </c>
      <c r="CZ658" s="259" t="e">
        <f t="shared" ca="1" si="993"/>
        <v>#N/A</v>
      </c>
      <c r="DA658" s="259" t="str">
        <f t="shared" ca="1" si="998"/>
        <v/>
      </c>
      <c r="DB658" s="259" t="str">
        <f t="shared" ca="1" si="994"/>
        <v/>
      </c>
      <c r="DC658" s="259" t="str">
        <f t="shared" ca="1" si="995"/>
        <v/>
      </c>
      <c r="DD658" s="259" t="str">
        <f t="shared" ca="1" si="996"/>
        <v/>
      </c>
      <c r="DE658" s="259" t="str">
        <f t="shared" ca="1" si="997"/>
        <v/>
      </c>
      <c r="DF658" s="259">
        <f ca="1">IF(AND(CX658=$DE$2,$DF$2&lt;&gt;0),0,IF(AND(DB658&lt;&gt;"",OR(DB657&lt;&gt;"",DB659&lt;&gt;"")),MAX($DF$2:DF657)+1,0))</f>
        <v>0</v>
      </c>
    </row>
    <row r="659" spans="102:110">
      <c r="CX659" s="259">
        <f t="shared" ca="1" si="991"/>
        <v>37</v>
      </c>
      <c r="CY659" s="259" t="str">
        <f t="shared" ca="1" si="980"/>
        <v>MASTRO</v>
      </c>
      <c r="CZ659" s="259" t="e">
        <f t="shared" ca="1" si="993"/>
        <v>#N/A</v>
      </c>
      <c r="DA659" s="259" t="str">
        <f t="shared" ca="1" si="998"/>
        <v/>
      </c>
      <c r="DB659" s="259" t="str">
        <f t="shared" ca="1" si="994"/>
        <v/>
      </c>
      <c r="DC659" s="259" t="str">
        <f t="shared" ca="1" si="995"/>
        <v/>
      </c>
      <c r="DD659" s="259" t="str">
        <f t="shared" ca="1" si="996"/>
        <v/>
      </c>
      <c r="DE659" s="259" t="str">
        <f t="shared" ca="1" si="997"/>
        <v/>
      </c>
      <c r="DF659" s="259">
        <f ca="1">IF(AND(CX659=$DE$2,$DF$2&lt;&gt;0),0,IF(AND(DB659&lt;&gt;"",OR(DB658&lt;&gt;"",DB660&lt;&gt;"")),MAX($DF$2:DF658)+1,0))</f>
        <v>0</v>
      </c>
    </row>
    <row r="660" spans="102:110">
      <c r="CX660" s="259">
        <f t="shared" ca="1" si="991"/>
        <v>37</v>
      </c>
      <c r="CY660" s="259" t="str">
        <f t="shared" ca="1" si="980"/>
        <v>MASTRO</v>
      </c>
      <c r="CZ660" s="259" t="e">
        <f t="shared" ca="1" si="993"/>
        <v>#N/A</v>
      </c>
      <c r="DA660" s="259" t="str">
        <f t="shared" ca="1" si="998"/>
        <v/>
      </c>
      <c r="DB660" s="259" t="str">
        <f t="shared" ca="1" si="994"/>
        <v/>
      </c>
      <c r="DC660" s="259" t="str">
        <f t="shared" ca="1" si="995"/>
        <v/>
      </c>
      <c r="DD660" s="259" t="str">
        <f t="shared" ca="1" si="996"/>
        <v/>
      </c>
      <c r="DE660" s="259" t="str">
        <f t="shared" ca="1" si="997"/>
        <v/>
      </c>
      <c r="DF660" s="259">
        <f ca="1">IF(AND(CX660=$DE$2,$DF$2&lt;&gt;0),0,IF(AND(DB660&lt;&gt;"",OR(DB659&lt;&gt;"",DB661&lt;&gt;"")),MAX($DF$2:DF659)+1,0))</f>
        <v>0</v>
      </c>
    </row>
    <row r="661" spans="102:110">
      <c r="CX661" s="259">
        <f t="shared" ca="1" si="991"/>
        <v>37</v>
      </c>
      <c r="CY661" s="259" t="str">
        <f t="shared" ca="1" si="980"/>
        <v>MASTRO</v>
      </c>
      <c r="CZ661" s="259" t="e">
        <f t="shared" ca="1" si="993"/>
        <v>#N/A</v>
      </c>
      <c r="DA661" s="259" t="str">
        <f t="shared" ca="1" si="998"/>
        <v/>
      </c>
      <c r="DB661" s="259" t="str">
        <f t="shared" ca="1" si="994"/>
        <v/>
      </c>
      <c r="DC661" s="259" t="str">
        <f t="shared" ca="1" si="995"/>
        <v/>
      </c>
      <c r="DD661" s="259" t="str">
        <f t="shared" ca="1" si="996"/>
        <v/>
      </c>
      <c r="DE661" s="259" t="str">
        <f t="shared" ca="1" si="997"/>
        <v/>
      </c>
      <c r="DF661" s="259">
        <f ca="1">IF(AND(CX661=$DE$2,$DF$2&lt;&gt;0),0,IF(AND(DB661&lt;&gt;"",OR(DB660&lt;&gt;"",DB662&lt;&gt;"")),MAX($DF$2:DF660)+1,0))</f>
        <v>0</v>
      </c>
    </row>
    <row r="662" spans="102:110">
      <c r="CX662" s="259">
        <f t="shared" ca="1" si="991"/>
        <v>37</v>
      </c>
      <c r="CY662" s="259" t="str">
        <f t="shared" ca="1" si="980"/>
        <v>MASTRO</v>
      </c>
      <c r="CZ662" s="259" t="e">
        <f t="shared" ca="1" si="993"/>
        <v>#N/A</v>
      </c>
      <c r="DA662" s="259" t="str">
        <f t="shared" ca="1" si="998"/>
        <v/>
      </c>
      <c r="DB662" s="259" t="str">
        <f t="shared" ca="1" si="994"/>
        <v/>
      </c>
      <c r="DC662" s="259" t="str">
        <f t="shared" ca="1" si="995"/>
        <v/>
      </c>
      <c r="DD662" s="259" t="str">
        <f t="shared" ca="1" si="996"/>
        <v/>
      </c>
      <c r="DE662" s="259" t="str">
        <f t="shared" ca="1" si="997"/>
        <v/>
      </c>
      <c r="DF662" s="259">
        <f ca="1">IF(AND(CX662=$DE$2,$DF$2&lt;&gt;0),0,IF(AND(DB662&lt;&gt;"",OR(DB661&lt;&gt;"",DB663&lt;&gt;"")),MAX($DF$2:DF661)+1,0))</f>
        <v>0</v>
      </c>
    </row>
    <row r="663" spans="102:110">
      <c r="CX663" s="259">
        <f t="shared" ca="1" si="991"/>
        <v>37</v>
      </c>
      <c r="CY663" s="259" t="str">
        <f t="shared" ref="CY663:CY696" ca="1" si="999">IF(ISERROR(INDEX($CV$3:$CX$2300,MATCH(CX663,$CW$3:$CW$2300,0),1)),"MASTRO",INDEX($CV$3:$CX$2300,MATCH(CX663,$CW$3:$CW$2300,0),1))</f>
        <v>MASTRO</v>
      </c>
      <c r="CZ663" s="259" t="e">
        <f t="shared" ca="1" si="993"/>
        <v>#N/A</v>
      </c>
      <c r="DA663" s="259" t="str">
        <f t="shared" ca="1" si="998"/>
        <v/>
      </c>
      <c r="DB663" s="259" t="str">
        <f t="shared" ca="1" si="994"/>
        <v/>
      </c>
      <c r="DC663" s="259" t="str">
        <f t="shared" ca="1" si="995"/>
        <v/>
      </c>
      <c r="DD663" s="259" t="str">
        <f t="shared" ca="1" si="996"/>
        <v/>
      </c>
      <c r="DE663" s="259" t="str">
        <f t="shared" ca="1" si="997"/>
        <v/>
      </c>
      <c r="DF663" s="259">
        <f ca="1">IF(AND(CX663=$DE$2,$DF$2&lt;&gt;0),0,IF(AND(DB663&lt;&gt;"",OR(DB662&lt;&gt;"",DB664&lt;&gt;"")),MAX($DF$2:DF662)+1,0))</f>
        <v>0</v>
      </c>
    </row>
    <row r="664" spans="102:110">
      <c r="CX664" s="259">
        <f t="shared" ca="1" si="991"/>
        <v>37</v>
      </c>
      <c r="CY664" s="259" t="str">
        <f t="shared" ca="1" si="999"/>
        <v>MASTRO</v>
      </c>
      <c r="CZ664" s="259" t="e">
        <f t="shared" ca="1" si="993"/>
        <v>#N/A</v>
      </c>
      <c r="DA664" s="259" t="str">
        <f t="shared" ca="1" si="998"/>
        <v/>
      </c>
      <c r="DB664" s="259" t="str">
        <f t="shared" ca="1" si="994"/>
        <v/>
      </c>
      <c r="DC664" s="259" t="str">
        <f t="shared" ca="1" si="995"/>
        <v/>
      </c>
      <c r="DD664" s="259" t="str">
        <f t="shared" ca="1" si="996"/>
        <v/>
      </c>
      <c r="DE664" s="259" t="str">
        <f t="shared" ca="1" si="997"/>
        <v/>
      </c>
      <c r="DF664" s="259">
        <f ca="1">IF(AND(CX664=$DE$2,$DF$2&lt;&gt;0),0,IF(AND(DB664&lt;&gt;"",OR(DB663&lt;&gt;"",DB665&lt;&gt;"")),MAX($DF$2:DF663)+1,0))</f>
        <v>0</v>
      </c>
    </row>
    <row r="665" spans="102:110">
      <c r="CX665" s="259">
        <f t="shared" ca="1" si="991"/>
        <v>37</v>
      </c>
      <c r="CY665" s="259" t="str">
        <f t="shared" ca="1" si="999"/>
        <v>MASTRO</v>
      </c>
      <c r="CZ665" s="259" t="e">
        <f t="shared" ca="1" si="993"/>
        <v>#N/A</v>
      </c>
      <c r="DA665" s="259" t="str">
        <f t="shared" ca="1" si="998"/>
        <v/>
      </c>
      <c r="DB665" s="259" t="str">
        <f t="shared" ca="1" si="994"/>
        <v/>
      </c>
      <c r="DC665" s="259" t="str">
        <f t="shared" ca="1" si="995"/>
        <v/>
      </c>
      <c r="DD665" s="259" t="str">
        <f t="shared" ca="1" si="996"/>
        <v/>
      </c>
      <c r="DE665" s="259" t="str">
        <f t="shared" ca="1" si="997"/>
        <v/>
      </c>
      <c r="DF665" s="259">
        <f ca="1">IF(AND(CX665=$DE$2,$DF$2&lt;&gt;0),0,IF(AND(DB665&lt;&gt;"",OR(DB664&lt;&gt;"",DB666&lt;&gt;"")),MAX($DF$2:DF664)+1,0))</f>
        <v>0</v>
      </c>
    </row>
    <row r="666" spans="102:110">
      <c r="CX666" s="259">
        <f t="shared" ca="1" si="991"/>
        <v>37</v>
      </c>
      <c r="CY666" s="259" t="str">
        <f t="shared" ca="1" si="999"/>
        <v>MASTRO</v>
      </c>
      <c r="CZ666" s="259" t="e">
        <f t="shared" ca="1" si="993"/>
        <v>#N/A</v>
      </c>
      <c r="DA666" s="259" t="str">
        <f t="shared" ca="1" si="998"/>
        <v/>
      </c>
      <c r="DB666" s="259" t="str">
        <f t="shared" ca="1" si="994"/>
        <v/>
      </c>
      <c r="DC666" s="259" t="str">
        <f t="shared" ca="1" si="995"/>
        <v/>
      </c>
      <c r="DD666" s="259" t="str">
        <f t="shared" ca="1" si="996"/>
        <v/>
      </c>
      <c r="DE666" s="259" t="str">
        <f t="shared" ca="1" si="997"/>
        <v/>
      </c>
      <c r="DF666" s="259">
        <f ca="1">IF(AND(CX666=$DE$2,$DF$2&lt;&gt;0),0,IF(AND(DB666&lt;&gt;"",OR(DB665&lt;&gt;"",DB667&lt;&gt;"")),MAX($DF$2:DF665)+1,0))</f>
        <v>0</v>
      </c>
    </row>
    <row r="667" spans="102:110">
      <c r="CX667" s="259">
        <f t="shared" ca="1" si="991"/>
        <v>37</v>
      </c>
      <c r="CY667" s="259" t="str">
        <f t="shared" ca="1" si="999"/>
        <v>MASTRO</v>
      </c>
      <c r="CZ667" s="259" t="e">
        <f t="shared" ca="1" si="993"/>
        <v>#N/A</v>
      </c>
      <c r="DA667" s="259" t="str">
        <f t="shared" ca="1" si="998"/>
        <v/>
      </c>
      <c r="DB667" s="259" t="str">
        <f t="shared" ca="1" si="994"/>
        <v/>
      </c>
      <c r="DC667" s="259" t="str">
        <f t="shared" ca="1" si="995"/>
        <v/>
      </c>
      <c r="DD667" s="259" t="str">
        <f t="shared" ca="1" si="996"/>
        <v/>
      </c>
      <c r="DE667" s="259" t="str">
        <f t="shared" ca="1" si="997"/>
        <v/>
      </c>
      <c r="DF667" s="259">
        <f ca="1">IF(AND(CX667=$DE$2,$DF$2&lt;&gt;0),0,IF(AND(DB667&lt;&gt;"",OR(DB666&lt;&gt;"",DB668&lt;&gt;"")),MAX($DF$2:DF666)+1,0))</f>
        <v>0</v>
      </c>
    </row>
    <row r="668" spans="102:110">
      <c r="CX668" s="259" t="str">
        <f>IFERROR(IF(CX650+1=1,"",(CX650+1)),"")</f>
        <v/>
      </c>
      <c r="CY668" s="259" t="str">
        <f t="shared" ca="1" si="999"/>
        <v>MASTRO</v>
      </c>
      <c r="DB668" s="259" t="str">
        <f t="shared" ref="DB668" ca="1" si="1000">CY668</f>
        <v>MASTRO</v>
      </c>
      <c r="DF668" s="259">
        <f ca="1">IF(AND(CX668=$DE$2,$DF$2&lt;&gt;0),0,IF(AND(DB668&lt;&gt;"",OR(DB667&lt;&gt;"",DB669&lt;&gt;"")),MAX($DF$2:DF667)+1,0))</f>
        <v>0</v>
      </c>
    </row>
    <row r="669" spans="102:110">
      <c r="CX669" s="259">
        <f ca="1">$EA$40</f>
        <v>38</v>
      </c>
      <c r="CY669" s="259" t="str">
        <f t="shared" ca="1" si="999"/>
        <v>MASTRO</v>
      </c>
      <c r="DA669" s="259" t="str">
        <f ca="1">IF(CY668="MASTRO","Conto n.","")</f>
        <v>Conto n.</v>
      </c>
      <c r="DB669" s="259" t="str">
        <f ca="1">IF(CY669=0,"",INDEX(PIANO_DEI_CONTI,MATCH(DC669,DENOMINAZIONE,0),1))</f>
        <v/>
      </c>
      <c r="DC669" s="259" t="str">
        <f ca="1">IF(OR(CY669=0,CY669="mastro"),"",CY669)</f>
        <v/>
      </c>
      <c r="DD669" s="259" t="str">
        <f ca="1">IF(AND($DA$2=TRUE,OR(INDEX(PIANO_DEI_CONTI,MATCH($DC669,DENOMINAZIONE,0),4)="A",INDEX(PIANO_DEI_CONTI,MATCH($DC669,DENOMINAZIONE,0),4)="D/A"),SUMIFS(AVERE,DENOMINAZIONE_GIORNALE,"="&amp;$DC669)&gt;SUMIFS(DARE,DENOMINAZIONE_GIORNALE,"="&amp;$DC669)),CONCATENATE("s ",FIXED(ABS(SUMIFS(AVERE,DENOMINAZIONE_GIORNALE,"="&amp;$DC669)-SUMIFS(DARE,DENOMINAZIONE_GIORNALE,"="&amp;$DC669)),2)),"")</f>
        <v/>
      </c>
      <c r="DE669" s="259" t="str">
        <f ca="1">IF(AND($DA$2=TRUE,OR(INDEX(PIANO_DEI_CONTI,MATCH($DC669,DENOMINAZIONE,0),4)="D",INDEX(PIANO_DEI_CONTI,MATCH($DC669,DENOMINAZIONE,0),4)="D/A"),SUMIFS(DARE,DENOMINAZIONE_GIORNALE,"="&amp;$DC669)&gt;SUMIFS(AVERE,DENOMINAZIONE_GIORNALE,"="&amp;$DC669)),CONCATENATE("s ",FIXED(ABS(SUMIFS(DARE,DENOMINAZIONE_GIORNALE,"="&amp;$DC669)-SUMIFS(AVERE,DENOMINAZIONE_GIORNALE,"="&amp;$DC669)),2)),"")</f>
        <v/>
      </c>
      <c r="DF669" s="259">
        <f ca="1">IF(AND(CX669=$DE$2,$DF$2&lt;&gt;0),0,IF(AND(DB669&lt;&gt;"",OR(DB668&lt;&gt;"",DB670&lt;&gt;"")),MAX($DF$2:DF668)+1,0))</f>
        <v>0</v>
      </c>
    </row>
    <row r="670" spans="102:110">
      <c r="CX670" s="259">
        <f t="shared" ref="CX670:CX685" ca="1" si="1001">$EA$40</f>
        <v>38</v>
      </c>
      <c r="CY670" s="259" t="str">
        <f t="shared" ca="1" si="999"/>
        <v>MASTRO</v>
      </c>
      <c r="DA670" s="259" t="str">
        <f ca="1">IF(DB669="","","Num. riga")</f>
        <v/>
      </c>
      <c r="DB670" s="259" t="str">
        <f t="shared" ref="DB670" ca="1" si="1002">IF(DB669="","","Data")</f>
        <v/>
      </c>
      <c r="DC670" s="259" t="str">
        <f ca="1">IF(DB669="","","Operazioni")</f>
        <v/>
      </c>
      <c r="DD670" s="259" t="str">
        <f ca="1">IF(DB669="","","Dare        ")</f>
        <v/>
      </c>
      <c r="DE670" s="259" t="str">
        <f ca="1">IF(DB669="","","Avere        ")</f>
        <v/>
      </c>
      <c r="DF670" s="259">
        <f ca="1">IF(AND(CX670=$DE$2,$DF$2&lt;&gt;0),0,IF(AND(DB670&lt;&gt;"",OR(DB669&lt;&gt;"",DB671&lt;&gt;"")),MAX($DF$2:DF669)+1,0))</f>
        <v>0</v>
      </c>
    </row>
    <row r="671" spans="102:110">
      <c r="CX671" s="259">
        <f t="shared" ca="1" si="1001"/>
        <v>38</v>
      </c>
      <c r="CY671" s="259" t="str">
        <f t="shared" ca="1" si="999"/>
        <v>MASTRO</v>
      </c>
      <c r="CZ671" s="259" t="e">
        <f t="shared" ref="CZ671:CZ685" ca="1" si="1003">SUM(MATCH($CY671,INDIRECT(ADDRESS(SUM(CZ670)+3,54)&amp;":"&amp;ADDRESS(400,54)),0),CZ670)</f>
        <v>#N/A</v>
      </c>
      <c r="DA671" s="259" t="str">
        <f ca="1">IFERROR(INDEX(LIBRO_GIORNALE,CZ671,1),"")</f>
        <v/>
      </c>
      <c r="DB671" s="259" t="str">
        <f t="shared" ref="DB671:DB685" ca="1" si="1004">IF(RIGHT(TEXT(IFERROR(INDEX(LIBRO_GIORNALE,CZ671,2),""),"gg/mm/aa"),1)="a",TEXT(IFERROR(INDEX(LIBRO_GIORNALE,CZ671,2),""),"dd/mm/yy"),TEXT(IFERROR(INDEX(LIBRO_GIORNALE,CZ671,2),""),"gg/mm/aa"))</f>
        <v/>
      </c>
      <c r="DC671" s="259" t="str">
        <f t="shared" ref="DC671:DC685" ca="1" si="1005">IF(IFERROR(INDEX(LIBRO_GIORNALE,CZ671,4),"")=0,"manca la descrizione dell'operazione",IFERROR(INDEX(LIBRO_GIORNALE,CZ671,4),""))</f>
        <v/>
      </c>
      <c r="DD671" s="259" t="str">
        <f t="shared" ref="DD671:DD685" ca="1" si="1006">IFERROR(IF(INDEX(LIBRO_GIORNALE,CZ671,5)&gt;0,INDEX(LIBRO_GIORNALE,CZ671,5),""),"")</f>
        <v/>
      </c>
      <c r="DE671" s="259" t="str">
        <f t="shared" ref="DE671:DE685" ca="1" si="1007">IFERROR(IF(INDEX(LIBRO_GIORNALE,CZ671,6)&gt;0,INDEX(LIBRO_GIORNALE,CZ671,6),""),"")</f>
        <v/>
      </c>
      <c r="DF671" s="259">
        <f ca="1">IF(AND(CX671=$DE$2,$DF$2&lt;&gt;0),0,IF(AND(DB671&lt;&gt;"",OR(DB670&lt;&gt;"",DB672&lt;&gt;"")),MAX($DF$2:DF670)+1,0))</f>
        <v>0</v>
      </c>
    </row>
    <row r="672" spans="102:110">
      <c r="CX672" s="259">
        <f t="shared" ca="1" si="1001"/>
        <v>38</v>
      </c>
      <c r="CY672" s="259" t="str">
        <f t="shared" ca="1" si="999"/>
        <v>MASTRO</v>
      </c>
      <c r="CZ672" s="259" t="e">
        <f t="shared" ca="1" si="1003"/>
        <v>#N/A</v>
      </c>
      <c r="DA672" s="259" t="str">
        <f t="shared" ref="DA672:DA685" ca="1" si="1008">IFERROR(INDEX(LIBRO_GIORNALE,CZ672,1),"")</f>
        <v/>
      </c>
      <c r="DB672" s="259" t="str">
        <f t="shared" ca="1" si="1004"/>
        <v/>
      </c>
      <c r="DC672" s="259" t="str">
        <f t="shared" ca="1" si="1005"/>
        <v/>
      </c>
      <c r="DD672" s="259" t="str">
        <f t="shared" ca="1" si="1006"/>
        <v/>
      </c>
      <c r="DE672" s="259" t="str">
        <f t="shared" ca="1" si="1007"/>
        <v/>
      </c>
      <c r="DF672" s="259">
        <f ca="1">IF(AND(CX672=$DE$2,$DF$2&lt;&gt;0),0,IF(AND(DB672&lt;&gt;"",OR(DB671&lt;&gt;"",DB673&lt;&gt;"")),MAX($DF$2:DF671)+1,0))</f>
        <v>0</v>
      </c>
    </row>
    <row r="673" spans="102:110">
      <c r="CX673" s="259">
        <f t="shared" ca="1" si="1001"/>
        <v>38</v>
      </c>
      <c r="CY673" s="259" t="str">
        <f t="shared" ca="1" si="999"/>
        <v>MASTRO</v>
      </c>
      <c r="CZ673" s="259" t="e">
        <f t="shared" ca="1" si="1003"/>
        <v>#N/A</v>
      </c>
      <c r="DA673" s="259" t="str">
        <f t="shared" ca="1" si="1008"/>
        <v/>
      </c>
      <c r="DB673" s="259" t="str">
        <f t="shared" ca="1" si="1004"/>
        <v/>
      </c>
      <c r="DC673" s="259" t="str">
        <f t="shared" ca="1" si="1005"/>
        <v/>
      </c>
      <c r="DD673" s="259" t="str">
        <f t="shared" ca="1" si="1006"/>
        <v/>
      </c>
      <c r="DE673" s="259" t="str">
        <f t="shared" ca="1" si="1007"/>
        <v/>
      </c>
      <c r="DF673" s="259">
        <f ca="1">IF(AND(CX673=$DE$2,$DF$2&lt;&gt;0),0,IF(AND(DB673&lt;&gt;"",OR(DB672&lt;&gt;"",DB674&lt;&gt;"")),MAX($DF$2:DF672)+1,0))</f>
        <v>0</v>
      </c>
    </row>
    <row r="674" spans="102:110">
      <c r="CX674" s="259">
        <f t="shared" ca="1" si="1001"/>
        <v>38</v>
      </c>
      <c r="CY674" s="259" t="str">
        <f t="shared" ca="1" si="999"/>
        <v>MASTRO</v>
      </c>
      <c r="CZ674" s="259" t="e">
        <f t="shared" ca="1" si="1003"/>
        <v>#N/A</v>
      </c>
      <c r="DA674" s="259" t="str">
        <f t="shared" ca="1" si="1008"/>
        <v/>
      </c>
      <c r="DB674" s="259" t="str">
        <f t="shared" ca="1" si="1004"/>
        <v/>
      </c>
      <c r="DC674" s="259" t="str">
        <f t="shared" ca="1" si="1005"/>
        <v/>
      </c>
      <c r="DD674" s="259" t="str">
        <f t="shared" ca="1" si="1006"/>
        <v/>
      </c>
      <c r="DE674" s="259" t="str">
        <f t="shared" ca="1" si="1007"/>
        <v/>
      </c>
      <c r="DF674" s="259">
        <f ca="1">IF(AND(CX674=$DE$2,$DF$2&lt;&gt;0),0,IF(AND(DB674&lt;&gt;"",OR(DB673&lt;&gt;"",DB675&lt;&gt;"")),MAX($DF$2:DF673)+1,0))</f>
        <v>0</v>
      </c>
    </row>
    <row r="675" spans="102:110">
      <c r="CX675" s="259">
        <f t="shared" ca="1" si="1001"/>
        <v>38</v>
      </c>
      <c r="CY675" s="259" t="str">
        <f t="shared" ca="1" si="999"/>
        <v>MASTRO</v>
      </c>
      <c r="CZ675" s="259" t="e">
        <f t="shared" ca="1" si="1003"/>
        <v>#N/A</v>
      </c>
      <c r="DA675" s="259" t="str">
        <f t="shared" ca="1" si="1008"/>
        <v/>
      </c>
      <c r="DB675" s="259" t="str">
        <f t="shared" ca="1" si="1004"/>
        <v/>
      </c>
      <c r="DC675" s="259" t="str">
        <f t="shared" ca="1" si="1005"/>
        <v/>
      </c>
      <c r="DD675" s="259" t="str">
        <f t="shared" ca="1" si="1006"/>
        <v/>
      </c>
      <c r="DE675" s="259" t="str">
        <f t="shared" ca="1" si="1007"/>
        <v/>
      </c>
      <c r="DF675" s="259">
        <f ca="1">IF(AND(CX675=$DE$2,$DF$2&lt;&gt;0),0,IF(AND(DB675&lt;&gt;"",OR(DB674&lt;&gt;"",DB676&lt;&gt;"")),MAX($DF$2:DF674)+1,0))</f>
        <v>0</v>
      </c>
    </row>
    <row r="676" spans="102:110">
      <c r="CX676" s="259">
        <f t="shared" ca="1" si="1001"/>
        <v>38</v>
      </c>
      <c r="CY676" s="259" t="str">
        <f t="shared" ca="1" si="999"/>
        <v>MASTRO</v>
      </c>
      <c r="CZ676" s="259" t="e">
        <f t="shared" ca="1" si="1003"/>
        <v>#N/A</v>
      </c>
      <c r="DA676" s="259" t="str">
        <f t="shared" ca="1" si="1008"/>
        <v/>
      </c>
      <c r="DB676" s="259" t="str">
        <f t="shared" ca="1" si="1004"/>
        <v/>
      </c>
      <c r="DC676" s="259" t="str">
        <f t="shared" ca="1" si="1005"/>
        <v/>
      </c>
      <c r="DD676" s="259" t="str">
        <f t="shared" ca="1" si="1006"/>
        <v/>
      </c>
      <c r="DE676" s="259" t="str">
        <f t="shared" ca="1" si="1007"/>
        <v/>
      </c>
      <c r="DF676" s="259">
        <f ca="1">IF(AND(CX676=$DE$2,$DF$2&lt;&gt;0),0,IF(AND(DB676&lt;&gt;"",OR(DB675&lt;&gt;"",DB677&lt;&gt;"")),MAX($DF$2:DF675)+1,0))</f>
        <v>0</v>
      </c>
    </row>
    <row r="677" spans="102:110">
      <c r="CX677" s="259">
        <f t="shared" ca="1" si="1001"/>
        <v>38</v>
      </c>
      <c r="CY677" s="259" t="str">
        <f t="shared" ca="1" si="999"/>
        <v>MASTRO</v>
      </c>
      <c r="CZ677" s="259" t="e">
        <f t="shared" ca="1" si="1003"/>
        <v>#N/A</v>
      </c>
      <c r="DA677" s="259" t="str">
        <f t="shared" ca="1" si="1008"/>
        <v/>
      </c>
      <c r="DB677" s="259" t="str">
        <f t="shared" ca="1" si="1004"/>
        <v/>
      </c>
      <c r="DC677" s="259" t="str">
        <f t="shared" ca="1" si="1005"/>
        <v/>
      </c>
      <c r="DD677" s="259" t="str">
        <f t="shared" ca="1" si="1006"/>
        <v/>
      </c>
      <c r="DE677" s="259" t="str">
        <f t="shared" ca="1" si="1007"/>
        <v/>
      </c>
      <c r="DF677" s="259">
        <f ca="1">IF(AND(CX677=$DE$2,$DF$2&lt;&gt;0),0,IF(AND(DB677&lt;&gt;"",OR(DB676&lt;&gt;"",DB678&lt;&gt;"")),MAX($DF$2:DF676)+1,0))</f>
        <v>0</v>
      </c>
    </row>
    <row r="678" spans="102:110">
      <c r="CX678" s="259">
        <f t="shared" ca="1" si="1001"/>
        <v>38</v>
      </c>
      <c r="CY678" s="259" t="str">
        <f t="shared" ca="1" si="999"/>
        <v>MASTRO</v>
      </c>
      <c r="CZ678" s="259" t="e">
        <f t="shared" ca="1" si="1003"/>
        <v>#N/A</v>
      </c>
      <c r="DA678" s="259" t="str">
        <f t="shared" ca="1" si="1008"/>
        <v/>
      </c>
      <c r="DB678" s="259" t="str">
        <f t="shared" ca="1" si="1004"/>
        <v/>
      </c>
      <c r="DC678" s="259" t="str">
        <f t="shared" ca="1" si="1005"/>
        <v/>
      </c>
      <c r="DD678" s="259" t="str">
        <f t="shared" ca="1" si="1006"/>
        <v/>
      </c>
      <c r="DE678" s="259" t="str">
        <f t="shared" ca="1" si="1007"/>
        <v/>
      </c>
      <c r="DF678" s="259">
        <f ca="1">IF(AND(CX678=$DE$2,$DF$2&lt;&gt;0),0,IF(AND(DB678&lt;&gt;"",OR(DB677&lt;&gt;"",DB679&lt;&gt;"")),MAX($DF$2:DF677)+1,0))</f>
        <v>0</v>
      </c>
    </row>
    <row r="679" spans="102:110">
      <c r="CX679" s="259">
        <f t="shared" ca="1" si="1001"/>
        <v>38</v>
      </c>
      <c r="CY679" s="259" t="str">
        <f t="shared" ca="1" si="999"/>
        <v>MASTRO</v>
      </c>
      <c r="CZ679" s="259" t="e">
        <f t="shared" ca="1" si="1003"/>
        <v>#N/A</v>
      </c>
      <c r="DA679" s="259" t="str">
        <f t="shared" ca="1" si="1008"/>
        <v/>
      </c>
      <c r="DB679" s="259" t="str">
        <f t="shared" ca="1" si="1004"/>
        <v/>
      </c>
      <c r="DC679" s="259" t="str">
        <f t="shared" ca="1" si="1005"/>
        <v/>
      </c>
      <c r="DD679" s="259" t="str">
        <f t="shared" ca="1" si="1006"/>
        <v/>
      </c>
      <c r="DE679" s="259" t="str">
        <f t="shared" ca="1" si="1007"/>
        <v/>
      </c>
      <c r="DF679" s="259">
        <f ca="1">IF(AND(CX679=$DE$2,$DF$2&lt;&gt;0),0,IF(AND(DB679&lt;&gt;"",OR(DB678&lt;&gt;"",DB680&lt;&gt;"")),MAX($DF$2:DF678)+1,0))</f>
        <v>0</v>
      </c>
    </row>
    <row r="680" spans="102:110">
      <c r="CX680" s="259">
        <f t="shared" ca="1" si="1001"/>
        <v>38</v>
      </c>
      <c r="CY680" s="259" t="str">
        <f t="shared" ca="1" si="999"/>
        <v>MASTRO</v>
      </c>
      <c r="CZ680" s="259" t="e">
        <f t="shared" ca="1" si="1003"/>
        <v>#N/A</v>
      </c>
      <c r="DA680" s="259" t="str">
        <f t="shared" ca="1" si="1008"/>
        <v/>
      </c>
      <c r="DB680" s="259" t="str">
        <f t="shared" ca="1" si="1004"/>
        <v/>
      </c>
      <c r="DC680" s="259" t="str">
        <f t="shared" ca="1" si="1005"/>
        <v/>
      </c>
      <c r="DD680" s="259" t="str">
        <f t="shared" ca="1" si="1006"/>
        <v/>
      </c>
      <c r="DE680" s="259" t="str">
        <f t="shared" ca="1" si="1007"/>
        <v/>
      </c>
      <c r="DF680" s="259">
        <f ca="1">IF(AND(CX680=$DE$2,$DF$2&lt;&gt;0),0,IF(AND(DB680&lt;&gt;"",OR(DB679&lt;&gt;"",DB681&lt;&gt;"")),MAX($DF$2:DF679)+1,0))</f>
        <v>0</v>
      </c>
    </row>
    <row r="681" spans="102:110">
      <c r="CX681" s="259">
        <f t="shared" ca="1" si="1001"/>
        <v>38</v>
      </c>
      <c r="CY681" s="259" t="str">
        <f t="shared" ca="1" si="999"/>
        <v>MASTRO</v>
      </c>
      <c r="CZ681" s="259" t="e">
        <f t="shared" ca="1" si="1003"/>
        <v>#N/A</v>
      </c>
      <c r="DA681" s="259" t="str">
        <f t="shared" ca="1" si="1008"/>
        <v/>
      </c>
      <c r="DB681" s="259" t="str">
        <f t="shared" ca="1" si="1004"/>
        <v/>
      </c>
      <c r="DC681" s="259" t="str">
        <f t="shared" ca="1" si="1005"/>
        <v/>
      </c>
      <c r="DD681" s="259" t="str">
        <f t="shared" ca="1" si="1006"/>
        <v/>
      </c>
      <c r="DE681" s="259" t="str">
        <f t="shared" ca="1" si="1007"/>
        <v/>
      </c>
      <c r="DF681" s="259">
        <f ca="1">IF(AND(CX681=$DE$2,$DF$2&lt;&gt;0),0,IF(AND(DB681&lt;&gt;"",OR(DB680&lt;&gt;"",DB682&lt;&gt;"")),MAX($DF$2:DF680)+1,0))</f>
        <v>0</v>
      </c>
    </row>
    <row r="682" spans="102:110">
      <c r="CX682" s="259">
        <f t="shared" ca="1" si="1001"/>
        <v>38</v>
      </c>
      <c r="CY682" s="259" t="str">
        <f t="shared" ca="1" si="999"/>
        <v>MASTRO</v>
      </c>
      <c r="CZ682" s="259" t="e">
        <f t="shared" ca="1" si="1003"/>
        <v>#N/A</v>
      </c>
      <c r="DA682" s="259" t="str">
        <f t="shared" ca="1" si="1008"/>
        <v/>
      </c>
      <c r="DB682" s="259" t="str">
        <f t="shared" ca="1" si="1004"/>
        <v/>
      </c>
      <c r="DC682" s="259" t="str">
        <f t="shared" ca="1" si="1005"/>
        <v/>
      </c>
      <c r="DD682" s="259" t="str">
        <f t="shared" ca="1" si="1006"/>
        <v/>
      </c>
      <c r="DE682" s="259" t="str">
        <f t="shared" ca="1" si="1007"/>
        <v/>
      </c>
      <c r="DF682" s="259">
        <f ca="1">IF(AND(CX682=$DE$2,$DF$2&lt;&gt;0),0,IF(AND(DB682&lt;&gt;"",OR(DB681&lt;&gt;"",DB683&lt;&gt;"")),MAX($DF$2:DF681)+1,0))</f>
        <v>0</v>
      </c>
    </row>
    <row r="683" spans="102:110">
      <c r="CX683" s="259">
        <f t="shared" ca="1" si="1001"/>
        <v>38</v>
      </c>
      <c r="CY683" s="259" t="str">
        <f t="shared" ca="1" si="999"/>
        <v>MASTRO</v>
      </c>
      <c r="CZ683" s="259" t="e">
        <f t="shared" ca="1" si="1003"/>
        <v>#N/A</v>
      </c>
      <c r="DA683" s="259" t="str">
        <f t="shared" ca="1" si="1008"/>
        <v/>
      </c>
      <c r="DB683" s="259" t="str">
        <f t="shared" ca="1" si="1004"/>
        <v/>
      </c>
      <c r="DC683" s="259" t="str">
        <f t="shared" ca="1" si="1005"/>
        <v/>
      </c>
      <c r="DD683" s="259" t="str">
        <f t="shared" ca="1" si="1006"/>
        <v/>
      </c>
      <c r="DE683" s="259" t="str">
        <f t="shared" ca="1" si="1007"/>
        <v/>
      </c>
      <c r="DF683" s="259">
        <f ca="1">IF(AND(CX683=$DE$2,$DF$2&lt;&gt;0),0,IF(AND(DB683&lt;&gt;"",OR(DB682&lt;&gt;"",DB684&lt;&gt;"")),MAX($DF$2:DF682)+1,0))</f>
        <v>0</v>
      </c>
    </row>
    <row r="684" spans="102:110">
      <c r="CX684" s="259">
        <f t="shared" ca="1" si="1001"/>
        <v>38</v>
      </c>
      <c r="CY684" s="259" t="str">
        <f t="shared" ca="1" si="999"/>
        <v>MASTRO</v>
      </c>
      <c r="CZ684" s="259" t="e">
        <f t="shared" ca="1" si="1003"/>
        <v>#N/A</v>
      </c>
      <c r="DA684" s="259" t="str">
        <f t="shared" ca="1" si="1008"/>
        <v/>
      </c>
      <c r="DB684" s="259" t="str">
        <f t="shared" ca="1" si="1004"/>
        <v/>
      </c>
      <c r="DC684" s="259" t="str">
        <f t="shared" ca="1" si="1005"/>
        <v/>
      </c>
      <c r="DD684" s="259" t="str">
        <f t="shared" ca="1" si="1006"/>
        <v/>
      </c>
      <c r="DE684" s="259" t="str">
        <f t="shared" ca="1" si="1007"/>
        <v/>
      </c>
      <c r="DF684" s="259">
        <f ca="1">IF(AND(CX684=$DE$2,$DF$2&lt;&gt;0),0,IF(AND(DB684&lt;&gt;"",OR(DB683&lt;&gt;"",DB685&lt;&gt;"")),MAX($DF$2:DF683)+1,0))</f>
        <v>0</v>
      </c>
    </row>
    <row r="685" spans="102:110">
      <c r="CX685" s="259">
        <f t="shared" ca="1" si="1001"/>
        <v>38</v>
      </c>
      <c r="CY685" s="259" t="str">
        <f t="shared" ca="1" si="999"/>
        <v>MASTRO</v>
      </c>
      <c r="CZ685" s="259" t="e">
        <f t="shared" ca="1" si="1003"/>
        <v>#N/A</v>
      </c>
      <c r="DA685" s="259" t="str">
        <f t="shared" ca="1" si="1008"/>
        <v/>
      </c>
      <c r="DB685" s="259" t="str">
        <f t="shared" ca="1" si="1004"/>
        <v/>
      </c>
      <c r="DC685" s="259" t="str">
        <f t="shared" ca="1" si="1005"/>
        <v/>
      </c>
      <c r="DD685" s="259" t="str">
        <f t="shared" ca="1" si="1006"/>
        <v/>
      </c>
      <c r="DE685" s="259" t="str">
        <f t="shared" ca="1" si="1007"/>
        <v/>
      </c>
      <c r="DF685" s="259">
        <f ca="1">IF(AND(CX685=$DE$2,$DF$2&lt;&gt;0),0,IF(AND(DB685&lt;&gt;"",OR(DB684&lt;&gt;"",DB686&lt;&gt;"")),MAX($DF$2:DF684)+1,0))</f>
        <v>0</v>
      </c>
    </row>
    <row r="686" spans="102:110">
      <c r="CX686" s="259" t="str">
        <f>IFERROR(IF(CX668+1=1,"",(CX668+1)),"")</f>
        <v/>
      </c>
      <c r="CY686" s="259" t="str">
        <f t="shared" ca="1" si="999"/>
        <v>MASTRO</v>
      </c>
      <c r="DB686" s="259" t="str">
        <f t="shared" ref="DB686" ca="1" si="1009">CY686</f>
        <v>MASTRO</v>
      </c>
      <c r="DF686" s="259">
        <f ca="1">IF(AND(CX686=$DE$2,$DF$2&lt;&gt;0),0,IF(AND(DB686&lt;&gt;"",OR(DB685&lt;&gt;"",DB687&lt;&gt;"")),MAX($DF$2:DF685)+1,0))</f>
        <v>0</v>
      </c>
    </row>
    <row r="687" spans="102:110">
      <c r="CX687" s="259">
        <f ca="1">$EA$41</f>
        <v>39</v>
      </c>
      <c r="CY687" s="259" t="str">
        <f t="shared" ca="1" si="999"/>
        <v>MASTRO</v>
      </c>
      <c r="DA687" s="259" t="str">
        <f ca="1">IF(CY686="MASTRO","Conto n.","")</f>
        <v>Conto n.</v>
      </c>
      <c r="DB687" s="259" t="str">
        <f ca="1">IF(CY687=0,"",INDEX(PIANO_DEI_CONTI,MATCH(DC687,DENOMINAZIONE,0),1))</f>
        <v/>
      </c>
      <c r="DC687" s="259" t="str">
        <f ca="1">IF(OR(CY687=0,CY687="mastro"),"",CY687)</f>
        <v/>
      </c>
      <c r="DD687" s="259" t="str">
        <f ca="1">IF(AND($DA$2=TRUE,OR(INDEX(PIANO_DEI_CONTI,MATCH($DC687,DENOMINAZIONE,0),4)="A",INDEX(PIANO_DEI_CONTI,MATCH($DC687,DENOMINAZIONE,0),4)="D/A"),SUMIFS(AVERE,DENOMINAZIONE_GIORNALE,"="&amp;$DC687)&gt;SUMIFS(DARE,DENOMINAZIONE_GIORNALE,"="&amp;$DC687)),CONCATENATE("s ",FIXED(ABS(SUMIFS(AVERE,DENOMINAZIONE_GIORNALE,"="&amp;$DC687)-SUMIFS(DARE,DENOMINAZIONE_GIORNALE,"="&amp;$DC687)),2)),"")</f>
        <v/>
      </c>
      <c r="DE687" s="259" t="str">
        <f ca="1">IF(AND($DA$2=TRUE,OR(INDEX(PIANO_DEI_CONTI,MATCH($DC687,DENOMINAZIONE,0),4)="D",INDEX(PIANO_DEI_CONTI,MATCH($DC687,DENOMINAZIONE,0),4)="D/A"),SUMIFS(DARE,DENOMINAZIONE_GIORNALE,"="&amp;$DC687)&gt;SUMIFS(AVERE,DENOMINAZIONE_GIORNALE,"="&amp;$DC687)),CONCATENATE("s ",FIXED(ABS(SUMIFS(DARE,DENOMINAZIONE_GIORNALE,"="&amp;$DC687)-SUMIFS(AVERE,DENOMINAZIONE_GIORNALE,"="&amp;$DC687)),2)),"")</f>
        <v/>
      </c>
      <c r="DF687" s="259">
        <f ca="1">IF(AND(CX687=$DE$2,$DF$2&lt;&gt;0),0,IF(AND(DB687&lt;&gt;"",OR(DB686&lt;&gt;"",DB688&lt;&gt;"")),MAX($DF$2:DF686)+1,0))</f>
        <v>0</v>
      </c>
    </row>
    <row r="688" spans="102:110">
      <c r="CX688" s="259">
        <f t="shared" ref="CX688:CX703" ca="1" si="1010">$EA$41</f>
        <v>39</v>
      </c>
      <c r="CY688" s="259" t="str">
        <f t="shared" ca="1" si="999"/>
        <v>MASTRO</v>
      </c>
      <c r="DA688" s="259" t="str">
        <f ca="1">IF(DB687="","","Num. riga")</f>
        <v/>
      </c>
      <c r="DB688" s="259" t="str">
        <f t="shared" ref="DB688" ca="1" si="1011">IF(DB687="","","Data")</f>
        <v/>
      </c>
      <c r="DC688" s="259" t="str">
        <f ca="1">IF(DB687="","","Operazioni")</f>
        <v/>
      </c>
      <c r="DD688" s="259" t="str">
        <f ca="1">IF(DB687="","","Dare        ")</f>
        <v/>
      </c>
      <c r="DE688" s="259" t="str">
        <f ca="1">IF(DB687="","","Avere        ")</f>
        <v/>
      </c>
      <c r="DF688" s="259">
        <f ca="1">IF(AND(CX688=$DE$2,$DF$2&lt;&gt;0),0,IF(AND(DB688&lt;&gt;"",OR(DB687&lt;&gt;"",DB689&lt;&gt;"")),MAX($DF$2:DF687)+1,0))</f>
        <v>0</v>
      </c>
    </row>
    <row r="689" spans="102:110">
      <c r="CX689" s="259">
        <f t="shared" ca="1" si="1010"/>
        <v>39</v>
      </c>
      <c r="CY689" s="259" t="str">
        <f t="shared" ca="1" si="999"/>
        <v>MASTRO</v>
      </c>
      <c r="CZ689" s="259" t="e">
        <f t="shared" ref="CZ689:CZ703" ca="1" si="1012">SUM(MATCH($CY689,INDIRECT(ADDRESS(SUM(CZ688)+3,54)&amp;":"&amp;ADDRESS(400,54)),0),CZ688)</f>
        <v>#N/A</v>
      </c>
      <c r="DA689" s="259" t="str">
        <f ca="1">IFERROR(INDEX(LIBRO_GIORNALE,CZ689,1),"")</f>
        <v/>
      </c>
      <c r="DB689" s="259" t="str">
        <f t="shared" ref="DB689:DB703" ca="1" si="1013">IF(RIGHT(TEXT(IFERROR(INDEX(LIBRO_GIORNALE,CZ689,2),""),"gg/mm/aa"),1)="a",TEXT(IFERROR(INDEX(LIBRO_GIORNALE,CZ689,2),""),"dd/mm/yy"),TEXT(IFERROR(INDEX(LIBRO_GIORNALE,CZ689,2),""),"gg/mm/aa"))</f>
        <v/>
      </c>
      <c r="DC689" s="259" t="str">
        <f t="shared" ref="DC689:DC703" ca="1" si="1014">IF(IFERROR(INDEX(LIBRO_GIORNALE,CZ689,4),"")=0,"manca la descrizione dell'operazione",IFERROR(INDEX(LIBRO_GIORNALE,CZ689,4),""))</f>
        <v/>
      </c>
      <c r="DD689" s="259" t="str">
        <f t="shared" ref="DD689:DD703" ca="1" si="1015">IFERROR(IF(INDEX(LIBRO_GIORNALE,CZ689,5)&gt;0,INDEX(LIBRO_GIORNALE,CZ689,5),""),"")</f>
        <v/>
      </c>
      <c r="DE689" s="259" t="str">
        <f t="shared" ref="DE689:DE703" ca="1" si="1016">IFERROR(IF(INDEX(LIBRO_GIORNALE,CZ689,6)&gt;0,INDEX(LIBRO_GIORNALE,CZ689,6),""),"")</f>
        <v/>
      </c>
      <c r="DF689" s="259">
        <f ca="1">IF(AND(CX689=$DE$2,$DF$2&lt;&gt;0),0,IF(AND(DB689&lt;&gt;"",OR(DB688&lt;&gt;"",DB690&lt;&gt;"")),MAX($DF$2:DF688)+1,0))</f>
        <v>0</v>
      </c>
    </row>
    <row r="690" spans="102:110">
      <c r="CX690" s="259">
        <f t="shared" ca="1" si="1010"/>
        <v>39</v>
      </c>
      <c r="CY690" s="259" t="str">
        <f t="shared" ca="1" si="999"/>
        <v>MASTRO</v>
      </c>
      <c r="CZ690" s="259" t="e">
        <f t="shared" ca="1" si="1012"/>
        <v>#N/A</v>
      </c>
      <c r="DA690" s="259" t="str">
        <f t="shared" ref="DA690:DA703" ca="1" si="1017">IFERROR(INDEX(LIBRO_GIORNALE,CZ690,1),"")</f>
        <v/>
      </c>
      <c r="DB690" s="259" t="str">
        <f t="shared" ca="1" si="1013"/>
        <v/>
      </c>
      <c r="DC690" s="259" t="str">
        <f t="shared" ca="1" si="1014"/>
        <v/>
      </c>
      <c r="DD690" s="259" t="str">
        <f t="shared" ca="1" si="1015"/>
        <v/>
      </c>
      <c r="DE690" s="259" t="str">
        <f t="shared" ca="1" si="1016"/>
        <v/>
      </c>
      <c r="DF690" s="259">
        <f ca="1">IF(AND(CX690=$DE$2,$DF$2&lt;&gt;0),0,IF(AND(DB690&lt;&gt;"",OR(DB689&lt;&gt;"",DB691&lt;&gt;"")),MAX($DF$2:DF689)+1,0))</f>
        <v>0</v>
      </c>
    </row>
    <row r="691" spans="102:110">
      <c r="CX691" s="259">
        <f t="shared" ca="1" si="1010"/>
        <v>39</v>
      </c>
      <c r="CY691" s="259" t="str">
        <f t="shared" ca="1" si="999"/>
        <v>MASTRO</v>
      </c>
      <c r="CZ691" s="259" t="e">
        <f t="shared" ca="1" si="1012"/>
        <v>#N/A</v>
      </c>
      <c r="DA691" s="259" t="str">
        <f t="shared" ca="1" si="1017"/>
        <v/>
      </c>
      <c r="DB691" s="259" t="str">
        <f t="shared" ca="1" si="1013"/>
        <v/>
      </c>
      <c r="DC691" s="259" t="str">
        <f t="shared" ca="1" si="1014"/>
        <v/>
      </c>
      <c r="DD691" s="259" t="str">
        <f t="shared" ca="1" si="1015"/>
        <v/>
      </c>
      <c r="DE691" s="259" t="str">
        <f t="shared" ca="1" si="1016"/>
        <v/>
      </c>
      <c r="DF691" s="259">
        <f ca="1">IF(AND(CX691=$DE$2,$DF$2&lt;&gt;0),0,IF(AND(DB691&lt;&gt;"",OR(DB690&lt;&gt;"",DB692&lt;&gt;"")),MAX($DF$2:DF690)+1,0))</f>
        <v>0</v>
      </c>
    </row>
    <row r="692" spans="102:110">
      <c r="CX692" s="259">
        <f t="shared" ca="1" si="1010"/>
        <v>39</v>
      </c>
      <c r="CY692" s="259" t="str">
        <f t="shared" ca="1" si="999"/>
        <v>MASTRO</v>
      </c>
      <c r="CZ692" s="259" t="e">
        <f t="shared" ca="1" si="1012"/>
        <v>#N/A</v>
      </c>
      <c r="DA692" s="259" t="str">
        <f t="shared" ca="1" si="1017"/>
        <v/>
      </c>
      <c r="DB692" s="259" t="str">
        <f t="shared" ca="1" si="1013"/>
        <v/>
      </c>
      <c r="DC692" s="259" t="str">
        <f t="shared" ca="1" si="1014"/>
        <v/>
      </c>
      <c r="DD692" s="259" t="str">
        <f t="shared" ca="1" si="1015"/>
        <v/>
      </c>
      <c r="DE692" s="259" t="str">
        <f t="shared" ca="1" si="1016"/>
        <v/>
      </c>
      <c r="DF692" s="259">
        <f ca="1">IF(AND(CX692=$DE$2,$DF$2&lt;&gt;0),0,IF(AND(DB692&lt;&gt;"",OR(DB691&lt;&gt;"",DB693&lt;&gt;"")),MAX($DF$2:DF691)+1,0))</f>
        <v>0</v>
      </c>
    </row>
    <row r="693" spans="102:110">
      <c r="CX693" s="259">
        <f t="shared" ca="1" si="1010"/>
        <v>39</v>
      </c>
      <c r="CY693" s="259" t="str">
        <f t="shared" ca="1" si="999"/>
        <v>MASTRO</v>
      </c>
      <c r="CZ693" s="259" t="e">
        <f t="shared" ca="1" si="1012"/>
        <v>#N/A</v>
      </c>
      <c r="DA693" s="259" t="str">
        <f t="shared" ca="1" si="1017"/>
        <v/>
      </c>
      <c r="DB693" s="259" t="str">
        <f t="shared" ca="1" si="1013"/>
        <v/>
      </c>
      <c r="DC693" s="259" t="str">
        <f t="shared" ca="1" si="1014"/>
        <v/>
      </c>
      <c r="DD693" s="259" t="str">
        <f t="shared" ca="1" si="1015"/>
        <v/>
      </c>
      <c r="DE693" s="259" t="str">
        <f t="shared" ca="1" si="1016"/>
        <v/>
      </c>
      <c r="DF693" s="259">
        <f ca="1">IF(AND(CX693=$DE$2,$DF$2&lt;&gt;0),0,IF(AND(DB693&lt;&gt;"",OR(DB692&lt;&gt;"",DB694&lt;&gt;"")),MAX($DF$2:DF692)+1,0))</f>
        <v>0</v>
      </c>
    </row>
    <row r="694" spans="102:110">
      <c r="CX694" s="259">
        <f t="shared" ca="1" si="1010"/>
        <v>39</v>
      </c>
      <c r="CY694" s="259" t="str">
        <f t="shared" ca="1" si="999"/>
        <v>MASTRO</v>
      </c>
      <c r="CZ694" s="259" t="e">
        <f t="shared" ca="1" si="1012"/>
        <v>#N/A</v>
      </c>
      <c r="DA694" s="259" t="str">
        <f t="shared" ca="1" si="1017"/>
        <v/>
      </c>
      <c r="DB694" s="259" t="str">
        <f t="shared" ca="1" si="1013"/>
        <v/>
      </c>
      <c r="DC694" s="259" t="str">
        <f t="shared" ca="1" si="1014"/>
        <v/>
      </c>
      <c r="DD694" s="259" t="str">
        <f t="shared" ca="1" si="1015"/>
        <v/>
      </c>
      <c r="DE694" s="259" t="str">
        <f t="shared" ca="1" si="1016"/>
        <v/>
      </c>
      <c r="DF694" s="259">
        <f ca="1">IF(AND(CX694=$DE$2,$DF$2&lt;&gt;0),0,IF(AND(DB694&lt;&gt;"",OR(DB693&lt;&gt;"",DB695&lt;&gt;"")),MAX($DF$2:DF693)+1,0))</f>
        <v>0</v>
      </c>
    </row>
    <row r="695" spans="102:110">
      <c r="CX695" s="259">
        <f t="shared" ca="1" si="1010"/>
        <v>39</v>
      </c>
      <c r="CY695" s="259" t="str">
        <f t="shared" ca="1" si="999"/>
        <v>MASTRO</v>
      </c>
      <c r="CZ695" s="259" t="e">
        <f t="shared" ca="1" si="1012"/>
        <v>#N/A</v>
      </c>
      <c r="DA695" s="259" t="str">
        <f t="shared" ca="1" si="1017"/>
        <v/>
      </c>
      <c r="DB695" s="259" t="str">
        <f t="shared" ca="1" si="1013"/>
        <v/>
      </c>
      <c r="DC695" s="259" t="str">
        <f t="shared" ca="1" si="1014"/>
        <v/>
      </c>
      <c r="DD695" s="259" t="str">
        <f t="shared" ca="1" si="1015"/>
        <v/>
      </c>
      <c r="DE695" s="259" t="str">
        <f t="shared" ca="1" si="1016"/>
        <v/>
      </c>
      <c r="DF695" s="259">
        <f ca="1">IF(AND(CX695=$DE$2,$DF$2&lt;&gt;0),0,IF(AND(DB695&lt;&gt;"",OR(DB694&lt;&gt;"",DB696&lt;&gt;"")),MAX($DF$2:DF694)+1,0))</f>
        <v>0</v>
      </c>
    </row>
    <row r="696" spans="102:110">
      <c r="CX696" s="259">
        <f t="shared" ca="1" si="1010"/>
        <v>39</v>
      </c>
      <c r="CY696" s="259" t="str">
        <f t="shared" ca="1" si="999"/>
        <v>MASTRO</v>
      </c>
      <c r="CZ696" s="259" t="e">
        <f t="shared" ca="1" si="1012"/>
        <v>#N/A</v>
      </c>
      <c r="DA696" s="259" t="str">
        <f t="shared" ca="1" si="1017"/>
        <v/>
      </c>
      <c r="DB696" s="259" t="str">
        <f t="shared" ca="1" si="1013"/>
        <v/>
      </c>
      <c r="DC696" s="259" t="str">
        <f t="shared" ca="1" si="1014"/>
        <v/>
      </c>
      <c r="DD696" s="259" t="str">
        <f t="shared" ca="1" si="1015"/>
        <v/>
      </c>
      <c r="DE696" s="259" t="str">
        <f t="shared" ca="1" si="1016"/>
        <v/>
      </c>
      <c r="DF696" s="259">
        <f ca="1">IF(AND(CX696=$DE$2,$DF$2&lt;&gt;0),0,IF(AND(DB696&lt;&gt;"",OR(DB695&lt;&gt;"",DB697&lt;&gt;"")),MAX($DF$2:DF695)+1,0))</f>
        <v>0</v>
      </c>
    </row>
    <row r="697" spans="102:110">
      <c r="CX697" s="259">
        <f t="shared" ca="1" si="1010"/>
        <v>39</v>
      </c>
      <c r="CY697" s="259" t="str">
        <f t="shared" ref="CY697:CY728" ca="1" si="1018">IF(ISERROR(INDEX($CV$3:$CX$2300,MATCH(CX697,$CW$3:$CW$2300,0),1)),"MASTRO",INDEX($CV$3:$CX$2300,MATCH(CX697,$CW$3:$CW$2300,0),1))</f>
        <v>MASTRO</v>
      </c>
      <c r="CZ697" s="259" t="e">
        <f t="shared" ca="1" si="1012"/>
        <v>#N/A</v>
      </c>
      <c r="DA697" s="259" t="str">
        <f t="shared" ca="1" si="1017"/>
        <v/>
      </c>
      <c r="DB697" s="259" t="str">
        <f t="shared" ca="1" si="1013"/>
        <v/>
      </c>
      <c r="DC697" s="259" t="str">
        <f t="shared" ca="1" si="1014"/>
        <v/>
      </c>
      <c r="DD697" s="259" t="str">
        <f t="shared" ca="1" si="1015"/>
        <v/>
      </c>
      <c r="DE697" s="259" t="str">
        <f t="shared" ca="1" si="1016"/>
        <v/>
      </c>
      <c r="DF697" s="259">
        <f ca="1">IF(AND(CX697=$DE$2,$DF$2&lt;&gt;0),0,IF(AND(DB697&lt;&gt;"",OR(DB696&lt;&gt;"",DB698&lt;&gt;"")),MAX($DF$2:DF696)+1,0))</f>
        <v>0</v>
      </c>
    </row>
    <row r="698" spans="102:110">
      <c r="CX698" s="259">
        <f t="shared" ca="1" si="1010"/>
        <v>39</v>
      </c>
      <c r="CY698" s="259" t="str">
        <f t="shared" ca="1" si="1018"/>
        <v>MASTRO</v>
      </c>
      <c r="CZ698" s="259" t="e">
        <f t="shared" ca="1" si="1012"/>
        <v>#N/A</v>
      </c>
      <c r="DA698" s="259" t="str">
        <f t="shared" ca="1" si="1017"/>
        <v/>
      </c>
      <c r="DB698" s="259" t="str">
        <f t="shared" ca="1" si="1013"/>
        <v/>
      </c>
      <c r="DC698" s="259" t="str">
        <f t="shared" ca="1" si="1014"/>
        <v/>
      </c>
      <c r="DD698" s="259" t="str">
        <f t="shared" ca="1" si="1015"/>
        <v/>
      </c>
      <c r="DE698" s="259" t="str">
        <f t="shared" ca="1" si="1016"/>
        <v/>
      </c>
      <c r="DF698" s="259">
        <f ca="1">IF(AND(CX698=$DE$2,$DF$2&lt;&gt;0),0,IF(AND(DB698&lt;&gt;"",OR(DB697&lt;&gt;"",DB699&lt;&gt;"")),MAX($DF$2:DF697)+1,0))</f>
        <v>0</v>
      </c>
    </row>
    <row r="699" spans="102:110">
      <c r="CX699" s="259">
        <f t="shared" ca="1" si="1010"/>
        <v>39</v>
      </c>
      <c r="CY699" s="259" t="str">
        <f t="shared" ca="1" si="1018"/>
        <v>MASTRO</v>
      </c>
      <c r="CZ699" s="259" t="e">
        <f t="shared" ca="1" si="1012"/>
        <v>#N/A</v>
      </c>
      <c r="DA699" s="259" t="str">
        <f t="shared" ca="1" si="1017"/>
        <v/>
      </c>
      <c r="DB699" s="259" t="str">
        <f t="shared" ca="1" si="1013"/>
        <v/>
      </c>
      <c r="DC699" s="259" t="str">
        <f t="shared" ca="1" si="1014"/>
        <v/>
      </c>
      <c r="DD699" s="259" t="str">
        <f t="shared" ca="1" si="1015"/>
        <v/>
      </c>
      <c r="DE699" s="259" t="str">
        <f t="shared" ca="1" si="1016"/>
        <v/>
      </c>
      <c r="DF699" s="259">
        <f ca="1">IF(AND(CX699=$DE$2,$DF$2&lt;&gt;0),0,IF(AND(DB699&lt;&gt;"",OR(DB698&lt;&gt;"",DB700&lt;&gt;"")),MAX($DF$2:DF698)+1,0))</f>
        <v>0</v>
      </c>
    </row>
    <row r="700" spans="102:110">
      <c r="CX700" s="259">
        <f t="shared" ca="1" si="1010"/>
        <v>39</v>
      </c>
      <c r="CY700" s="259" t="str">
        <f t="shared" ca="1" si="1018"/>
        <v>MASTRO</v>
      </c>
      <c r="CZ700" s="259" t="e">
        <f t="shared" ca="1" si="1012"/>
        <v>#N/A</v>
      </c>
      <c r="DA700" s="259" t="str">
        <f t="shared" ca="1" si="1017"/>
        <v/>
      </c>
      <c r="DB700" s="259" t="str">
        <f t="shared" ca="1" si="1013"/>
        <v/>
      </c>
      <c r="DC700" s="259" t="str">
        <f t="shared" ca="1" si="1014"/>
        <v/>
      </c>
      <c r="DD700" s="259" t="str">
        <f t="shared" ca="1" si="1015"/>
        <v/>
      </c>
      <c r="DE700" s="259" t="str">
        <f t="shared" ca="1" si="1016"/>
        <v/>
      </c>
      <c r="DF700" s="259">
        <f ca="1">IF(AND(CX700=$DE$2,$DF$2&lt;&gt;0),0,IF(AND(DB700&lt;&gt;"",OR(DB699&lt;&gt;"",DB701&lt;&gt;"")),MAX($DF$2:DF699)+1,0))</f>
        <v>0</v>
      </c>
    </row>
    <row r="701" spans="102:110">
      <c r="CX701" s="259">
        <f t="shared" ca="1" si="1010"/>
        <v>39</v>
      </c>
      <c r="CY701" s="259" t="str">
        <f t="shared" ca="1" si="1018"/>
        <v>MASTRO</v>
      </c>
      <c r="CZ701" s="259" t="e">
        <f t="shared" ca="1" si="1012"/>
        <v>#N/A</v>
      </c>
      <c r="DA701" s="259" t="str">
        <f t="shared" ca="1" si="1017"/>
        <v/>
      </c>
      <c r="DB701" s="259" t="str">
        <f t="shared" ca="1" si="1013"/>
        <v/>
      </c>
      <c r="DC701" s="259" t="str">
        <f t="shared" ca="1" si="1014"/>
        <v/>
      </c>
      <c r="DD701" s="259" t="str">
        <f t="shared" ca="1" si="1015"/>
        <v/>
      </c>
      <c r="DE701" s="259" t="str">
        <f t="shared" ca="1" si="1016"/>
        <v/>
      </c>
      <c r="DF701" s="259">
        <f ca="1">IF(AND(CX701=$DE$2,$DF$2&lt;&gt;0),0,IF(AND(DB701&lt;&gt;"",OR(DB700&lt;&gt;"",DB702&lt;&gt;"")),MAX($DF$2:DF700)+1,0))</f>
        <v>0</v>
      </c>
    </row>
    <row r="702" spans="102:110">
      <c r="CX702" s="259">
        <f t="shared" ca="1" si="1010"/>
        <v>39</v>
      </c>
      <c r="CY702" s="259" t="str">
        <f t="shared" ca="1" si="1018"/>
        <v>MASTRO</v>
      </c>
      <c r="CZ702" s="259" t="e">
        <f t="shared" ca="1" si="1012"/>
        <v>#N/A</v>
      </c>
      <c r="DA702" s="259" t="str">
        <f t="shared" ca="1" si="1017"/>
        <v/>
      </c>
      <c r="DB702" s="259" t="str">
        <f t="shared" ca="1" si="1013"/>
        <v/>
      </c>
      <c r="DC702" s="259" t="str">
        <f t="shared" ca="1" si="1014"/>
        <v/>
      </c>
      <c r="DD702" s="259" t="str">
        <f t="shared" ca="1" si="1015"/>
        <v/>
      </c>
      <c r="DE702" s="259" t="str">
        <f t="shared" ca="1" si="1016"/>
        <v/>
      </c>
      <c r="DF702" s="259">
        <f ca="1">IF(AND(CX702=$DE$2,$DF$2&lt;&gt;0),0,IF(AND(DB702&lt;&gt;"",OR(DB701&lt;&gt;"",DB703&lt;&gt;"")),MAX($DF$2:DF701)+1,0))</f>
        <v>0</v>
      </c>
    </row>
    <row r="703" spans="102:110">
      <c r="CX703" s="259">
        <f t="shared" ca="1" si="1010"/>
        <v>39</v>
      </c>
      <c r="CY703" s="259" t="str">
        <f t="shared" ca="1" si="1018"/>
        <v>MASTRO</v>
      </c>
      <c r="CZ703" s="259" t="e">
        <f t="shared" ca="1" si="1012"/>
        <v>#N/A</v>
      </c>
      <c r="DA703" s="259" t="str">
        <f t="shared" ca="1" si="1017"/>
        <v/>
      </c>
      <c r="DB703" s="259" t="str">
        <f t="shared" ca="1" si="1013"/>
        <v/>
      </c>
      <c r="DC703" s="259" t="str">
        <f t="shared" ca="1" si="1014"/>
        <v/>
      </c>
      <c r="DD703" s="259" t="str">
        <f t="shared" ca="1" si="1015"/>
        <v/>
      </c>
      <c r="DE703" s="259" t="str">
        <f t="shared" ca="1" si="1016"/>
        <v/>
      </c>
      <c r="DF703" s="259">
        <f ca="1">IF(AND(CX703=$DE$2,$DF$2&lt;&gt;0),0,IF(AND(DB703&lt;&gt;"",OR(DB702&lt;&gt;"",DB704&lt;&gt;"")),MAX($DF$2:DF702)+1,0))</f>
        <v>0</v>
      </c>
    </row>
    <row r="704" spans="102:110">
      <c r="CX704" s="259" t="str">
        <f>IFERROR(IF(CX686+1=1,"",(CX686+1)),"")</f>
        <v/>
      </c>
      <c r="CY704" s="259" t="str">
        <f t="shared" ca="1" si="1018"/>
        <v>MASTRO</v>
      </c>
      <c r="DB704" s="259" t="str">
        <f t="shared" ref="DB704" ca="1" si="1019">CY704</f>
        <v>MASTRO</v>
      </c>
      <c r="DF704" s="259">
        <f ca="1">IF(AND(CX704=$DE$2,$DF$2&lt;&gt;0),0,IF(AND(DB704&lt;&gt;"",OR(DB703&lt;&gt;"",DB705&lt;&gt;"")),MAX($DF$2:DF703)+1,0))</f>
        <v>0</v>
      </c>
    </row>
    <row r="705" spans="102:110">
      <c r="CX705" s="259">
        <f ca="1">$EA$42</f>
        <v>40</v>
      </c>
      <c r="CY705" s="259" t="str">
        <f t="shared" ca="1" si="1018"/>
        <v>MASTRO</v>
      </c>
      <c r="DA705" s="259" t="str">
        <f ca="1">IF(CY704="MASTRO","Conto n.","")</f>
        <v>Conto n.</v>
      </c>
      <c r="DB705" s="259" t="str">
        <f ca="1">IF(CY705=0,"",INDEX(PIANO_DEI_CONTI,MATCH(DC705,DENOMINAZIONE,0),1))</f>
        <v/>
      </c>
      <c r="DC705" s="259" t="str">
        <f ca="1">IF(OR(CY705=0,CY705="mastro"),"",CY705)</f>
        <v/>
      </c>
      <c r="DD705" s="259" t="str">
        <f ca="1">IF(AND($DA$2=TRUE,OR(INDEX(PIANO_DEI_CONTI,MATCH($DC705,DENOMINAZIONE,0),4)="A",INDEX(PIANO_DEI_CONTI,MATCH($DC705,DENOMINAZIONE,0),4)="D/A"),SUMIFS(AVERE,DENOMINAZIONE_GIORNALE,"="&amp;$DC705)&gt;SUMIFS(DARE,DENOMINAZIONE_GIORNALE,"="&amp;$DC705)),CONCATENATE("s ",FIXED(ABS(SUMIFS(AVERE,DENOMINAZIONE_GIORNALE,"="&amp;$DC705)-SUMIFS(DARE,DENOMINAZIONE_GIORNALE,"="&amp;$DC705)),2)),"")</f>
        <v/>
      </c>
      <c r="DE705" s="259" t="str">
        <f ca="1">IF(AND($DA$2=TRUE,OR(INDEX(PIANO_DEI_CONTI,MATCH($DC705,DENOMINAZIONE,0),4)="D",INDEX(PIANO_DEI_CONTI,MATCH($DC705,DENOMINAZIONE,0),4)="D/A"),SUMIFS(DARE,DENOMINAZIONE_GIORNALE,"="&amp;$DC705)&gt;SUMIFS(AVERE,DENOMINAZIONE_GIORNALE,"="&amp;$DC705)),CONCATENATE("s ",FIXED(ABS(SUMIFS(DARE,DENOMINAZIONE_GIORNALE,"="&amp;$DC705)-SUMIFS(AVERE,DENOMINAZIONE_GIORNALE,"="&amp;$DC705)),2)),"")</f>
        <v/>
      </c>
      <c r="DF705" s="259">
        <f ca="1">IF(AND(CX705=$DE$2,$DF$2&lt;&gt;0),0,IF(AND(DB705&lt;&gt;"",OR(DB704&lt;&gt;"",DB706&lt;&gt;"")),MAX($DF$2:DF704)+1,0))</f>
        <v>0</v>
      </c>
    </row>
    <row r="706" spans="102:110">
      <c r="CX706" s="259">
        <f t="shared" ref="CX706:CX721" ca="1" si="1020">$EA$42</f>
        <v>40</v>
      </c>
      <c r="CY706" s="259" t="str">
        <f t="shared" ca="1" si="1018"/>
        <v>MASTRO</v>
      </c>
      <c r="DA706" s="259" t="str">
        <f ca="1">IF(DB705="","","Num. riga")</f>
        <v/>
      </c>
      <c r="DB706" s="259" t="str">
        <f t="shared" ref="DB706" ca="1" si="1021">IF(DB705="","","Data")</f>
        <v/>
      </c>
      <c r="DC706" s="259" t="str">
        <f ca="1">IF(DB705="","","Operazioni")</f>
        <v/>
      </c>
      <c r="DD706" s="259" t="str">
        <f ca="1">IF(DB705="","","Dare        ")</f>
        <v/>
      </c>
      <c r="DE706" s="259" t="str">
        <f ca="1">IF(DB705="","","Avere        ")</f>
        <v/>
      </c>
      <c r="DF706" s="259">
        <f ca="1">IF(AND(CX706=$DE$2,$DF$2&lt;&gt;0),0,IF(AND(DB706&lt;&gt;"",OR(DB705&lt;&gt;"",DB707&lt;&gt;"")),MAX($DF$2:DF705)+1,0))</f>
        <v>0</v>
      </c>
    </row>
    <row r="707" spans="102:110">
      <c r="CX707" s="259">
        <f t="shared" ca="1" si="1020"/>
        <v>40</v>
      </c>
      <c r="CY707" s="259" t="str">
        <f t="shared" ca="1" si="1018"/>
        <v>MASTRO</v>
      </c>
      <c r="CZ707" s="259" t="e">
        <f t="shared" ref="CZ707:CZ721" ca="1" si="1022">SUM(MATCH($CY707,INDIRECT(ADDRESS(SUM(CZ706)+3,54)&amp;":"&amp;ADDRESS(400,54)),0),CZ706)</f>
        <v>#N/A</v>
      </c>
      <c r="DA707" s="259" t="str">
        <f ca="1">IFERROR(INDEX(LIBRO_GIORNALE,CZ707,1),"")</f>
        <v/>
      </c>
      <c r="DB707" s="259" t="str">
        <f t="shared" ref="DB707:DB721" ca="1" si="1023">IF(RIGHT(TEXT(IFERROR(INDEX(LIBRO_GIORNALE,CZ707,2),""),"gg/mm/aa"),1)="a",TEXT(IFERROR(INDEX(LIBRO_GIORNALE,CZ707,2),""),"dd/mm/yy"),TEXT(IFERROR(INDEX(LIBRO_GIORNALE,CZ707,2),""),"gg/mm/aa"))</f>
        <v/>
      </c>
      <c r="DC707" s="259" t="str">
        <f t="shared" ref="DC707:DC721" ca="1" si="1024">IF(IFERROR(INDEX(LIBRO_GIORNALE,CZ707,4),"")=0,"manca la descrizione dell'operazione",IFERROR(INDEX(LIBRO_GIORNALE,CZ707,4),""))</f>
        <v/>
      </c>
      <c r="DD707" s="259" t="str">
        <f t="shared" ref="DD707:DD721" ca="1" si="1025">IFERROR(IF(INDEX(LIBRO_GIORNALE,CZ707,5)&gt;0,INDEX(LIBRO_GIORNALE,CZ707,5),""),"")</f>
        <v/>
      </c>
      <c r="DE707" s="259" t="str">
        <f t="shared" ref="DE707:DE721" ca="1" si="1026">IFERROR(IF(INDEX(LIBRO_GIORNALE,CZ707,6)&gt;0,INDEX(LIBRO_GIORNALE,CZ707,6),""),"")</f>
        <v/>
      </c>
      <c r="DF707" s="259">
        <f ca="1">IF(AND(CX707=$DE$2,$DF$2&lt;&gt;0),0,IF(AND(DB707&lt;&gt;"",OR(DB706&lt;&gt;"",DB708&lt;&gt;"")),MAX($DF$2:DF706)+1,0))</f>
        <v>0</v>
      </c>
    </row>
    <row r="708" spans="102:110">
      <c r="CX708" s="259">
        <f t="shared" ca="1" si="1020"/>
        <v>40</v>
      </c>
      <c r="CY708" s="259" t="str">
        <f t="shared" ca="1" si="1018"/>
        <v>MASTRO</v>
      </c>
      <c r="CZ708" s="259" t="e">
        <f t="shared" ca="1" si="1022"/>
        <v>#N/A</v>
      </c>
      <c r="DA708" s="259" t="str">
        <f t="shared" ref="DA708:DA721" ca="1" si="1027">IFERROR(INDEX(LIBRO_GIORNALE,CZ708,1),"")</f>
        <v/>
      </c>
      <c r="DB708" s="259" t="str">
        <f t="shared" ca="1" si="1023"/>
        <v/>
      </c>
      <c r="DC708" s="259" t="str">
        <f t="shared" ca="1" si="1024"/>
        <v/>
      </c>
      <c r="DD708" s="259" t="str">
        <f t="shared" ca="1" si="1025"/>
        <v/>
      </c>
      <c r="DE708" s="259" t="str">
        <f t="shared" ca="1" si="1026"/>
        <v/>
      </c>
      <c r="DF708" s="259">
        <f ca="1">IF(AND(CX708=$DE$2,$DF$2&lt;&gt;0),0,IF(AND(DB708&lt;&gt;"",OR(DB707&lt;&gt;"",DB709&lt;&gt;"")),MAX($DF$2:DF707)+1,0))</f>
        <v>0</v>
      </c>
    </row>
    <row r="709" spans="102:110">
      <c r="CX709" s="259">
        <f t="shared" ca="1" si="1020"/>
        <v>40</v>
      </c>
      <c r="CY709" s="259" t="str">
        <f t="shared" ca="1" si="1018"/>
        <v>MASTRO</v>
      </c>
      <c r="CZ709" s="259" t="e">
        <f t="shared" ca="1" si="1022"/>
        <v>#N/A</v>
      </c>
      <c r="DA709" s="259" t="str">
        <f t="shared" ca="1" si="1027"/>
        <v/>
      </c>
      <c r="DB709" s="259" t="str">
        <f t="shared" ca="1" si="1023"/>
        <v/>
      </c>
      <c r="DC709" s="259" t="str">
        <f t="shared" ca="1" si="1024"/>
        <v/>
      </c>
      <c r="DD709" s="259" t="str">
        <f t="shared" ca="1" si="1025"/>
        <v/>
      </c>
      <c r="DE709" s="259" t="str">
        <f t="shared" ca="1" si="1026"/>
        <v/>
      </c>
      <c r="DF709" s="259">
        <f ca="1">IF(AND(CX709=$DE$2,$DF$2&lt;&gt;0),0,IF(AND(DB709&lt;&gt;"",OR(DB708&lt;&gt;"",DB710&lt;&gt;"")),MAX($DF$2:DF708)+1,0))</f>
        <v>0</v>
      </c>
    </row>
    <row r="710" spans="102:110">
      <c r="CX710" s="259">
        <f t="shared" ca="1" si="1020"/>
        <v>40</v>
      </c>
      <c r="CY710" s="259" t="str">
        <f t="shared" ca="1" si="1018"/>
        <v>MASTRO</v>
      </c>
      <c r="CZ710" s="259" t="e">
        <f t="shared" ca="1" si="1022"/>
        <v>#N/A</v>
      </c>
      <c r="DA710" s="259" t="str">
        <f t="shared" ca="1" si="1027"/>
        <v/>
      </c>
      <c r="DB710" s="259" t="str">
        <f t="shared" ca="1" si="1023"/>
        <v/>
      </c>
      <c r="DC710" s="259" t="str">
        <f t="shared" ca="1" si="1024"/>
        <v/>
      </c>
      <c r="DD710" s="259" t="str">
        <f t="shared" ca="1" si="1025"/>
        <v/>
      </c>
      <c r="DE710" s="259" t="str">
        <f t="shared" ca="1" si="1026"/>
        <v/>
      </c>
      <c r="DF710" s="259">
        <f ca="1">IF(AND(CX710=$DE$2,$DF$2&lt;&gt;0),0,IF(AND(DB710&lt;&gt;"",OR(DB709&lt;&gt;"",DB711&lt;&gt;"")),MAX($DF$2:DF709)+1,0))</f>
        <v>0</v>
      </c>
    </row>
    <row r="711" spans="102:110">
      <c r="CX711" s="259">
        <f t="shared" ca="1" si="1020"/>
        <v>40</v>
      </c>
      <c r="CY711" s="259" t="str">
        <f t="shared" ca="1" si="1018"/>
        <v>MASTRO</v>
      </c>
      <c r="CZ711" s="259" t="e">
        <f t="shared" ca="1" si="1022"/>
        <v>#N/A</v>
      </c>
      <c r="DA711" s="259" t="str">
        <f t="shared" ca="1" si="1027"/>
        <v/>
      </c>
      <c r="DB711" s="259" t="str">
        <f t="shared" ca="1" si="1023"/>
        <v/>
      </c>
      <c r="DC711" s="259" t="str">
        <f t="shared" ca="1" si="1024"/>
        <v/>
      </c>
      <c r="DD711" s="259" t="str">
        <f t="shared" ca="1" si="1025"/>
        <v/>
      </c>
      <c r="DE711" s="259" t="str">
        <f t="shared" ca="1" si="1026"/>
        <v/>
      </c>
      <c r="DF711" s="259">
        <f ca="1">IF(AND(CX711=$DE$2,$DF$2&lt;&gt;0),0,IF(AND(DB711&lt;&gt;"",OR(DB710&lt;&gt;"",DB712&lt;&gt;"")),MAX($DF$2:DF710)+1,0))</f>
        <v>0</v>
      </c>
    </row>
    <row r="712" spans="102:110">
      <c r="CX712" s="259">
        <f t="shared" ca="1" si="1020"/>
        <v>40</v>
      </c>
      <c r="CY712" s="259" t="str">
        <f t="shared" ca="1" si="1018"/>
        <v>MASTRO</v>
      </c>
      <c r="CZ712" s="259" t="e">
        <f t="shared" ca="1" si="1022"/>
        <v>#N/A</v>
      </c>
      <c r="DA712" s="259" t="str">
        <f t="shared" ca="1" si="1027"/>
        <v/>
      </c>
      <c r="DB712" s="259" t="str">
        <f t="shared" ca="1" si="1023"/>
        <v/>
      </c>
      <c r="DC712" s="259" t="str">
        <f t="shared" ca="1" si="1024"/>
        <v/>
      </c>
      <c r="DD712" s="259" t="str">
        <f t="shared" ca="1" si="1025"/>
        <v/>
      </c>
      <c r="DE712" s="259" t="str">
        <f t="shared" ca="1" si="1026"/>
        <v/>
      </c>
      <c r="DF712" s="259">
        <f ca="1">IF(AND(CX712=$DE$2,$DF$2&lt;&gt;0),0,IF(AND(DB712&lt;&gt;"",OR(DB711&lt;&gt;"",DB713&lt;&gt;"")),MAX($DF$2:DF711)+1,0))</f>
        <v>0</v>
      </c>
    </row>
    <row r="713" spans="102:110">
      <c r="CX713" s="259">
        <f t="shared" ca="1" si="1020"/>
        <v>40</v>
      </c>
      <c r="CY713" s="259" t="str">
        <f t="shared" ca="1" si="1018"/>
        <v>MASTRO</v>
      </c>
      <c r="CZ713" s="259" t="e">
        <f t="shared" ca="1" si="1022"/>
        <v>#N/A</v>
      </c>
      <c r="DA713" s="259" t="str">
        <f t="shared" ca="1" si="1027"/>
        <v/>
      </c>
      <c r="DB713" s="259" t="str">
        <f t="shared" ca="1" si="1023"/>
        <v/>
      </c>
      <c r="DC713" s="259" t="str">
        <f t="shared" ca="1" si="1024"/>
        <v/>
      </c>
      <c r="DD713" s="259" t="str">
        <f t="shared" ca="1" si="1025"/>
        <v/>
      </c>
      <c r="DE713" s="259" t="str">
        <f t="shared" ca="1" si="1026"/>
        <v/>
      </c>
      <c r="DF713" s="259">
        <f ca="1">IF(AND(CX713=$DE$2,$DF$2&lt;&gt;0),0,IF(AND(DB713&lt;&gt;"",OR(DB712&lt;&gt;"",DB714&lt;&gt;"")),MAX($DF$2:DF712)+1,0))</f>
        <v>0</v>
      </c>
    </row>
    <row r="714" spans="102:110">
      <c r="CX714" s="259">
        <f t="shared" ca="1" si="1020"/>
        <v>40</v>
      </c>
      <c r="CY714" s="259" t="str">
        <f t="shared" ca="1" si="1018"/>
        <v>MASTRO</v>
      </c>
      <c r="CZ714" s="259" t="e">
        <f t="shared" ca="1" si="1022"/>
        <v>#N/A</v>
      </c>
      <c r="DA714" s="259" t="str">
        <f t="shared" ca="1" si="1027"/>
        <v/>
      </c>
      <c r="DB714" s="259" t="str">
        <f t="shared" ca="1" si="1023"/>
        <v/>
      </c>
      <c r="DC714" s="259" t="str">
        <f t="shared" ca="1" si="1024"/>
        <v/>
      </c>
      <c r="DD714" s="259" t="str">
        <f t="shared" ca="1" si="1025"/>
        <v/>
      </c>
      <c r="DE714" s="259" t="str">
        <f t="shared" ca="1" si="1026"/>
        <v/>
      </c>
      <c r="DF714" s="259">
        <f ca="1">IF(AND(CX714=$DE$2,$DF$2&lt;&gt;0),0,IF(AND(DB714&lt;&gt;"",OR(DB713&lt;&gt;"",DB715&lt;&gt;"")),MAX($DF$2:DF713)+1,0))</f>
        <v>0</v>
      </c>
    </row>
    <row r="715" spans="102:110">
      <c r="CX715" s="259">
        <f t="shared" ca="1" si="1020"/>
        <v>40</v>
      </c>
      <c r="CY715" s="259" t="str">
        <f t="shared" ca="1" si="1018"/>
        <v>MASTRO</v>
      </c>
      <c r="CZ715" s="259" t="e">
        <f t="shared" ca="1" si="1022"/>
        <v>#N/A</v>
      </c>
      <c r="DA715" s="259" t="str">
        <f t="shared" ca="1" si="1027"/>
        <v/>
      </c>
      <c r="DB715" s="259" t="str">
        <f t="shared" ca="1" si="1023"/>
        <v/>
      </c>
      <c r="DC715" s="259" t="str">
        <f t="shared" ca="1" si="1024"/>
        <v/>
      </c>
      <c r="DD715" s="259" t="str">
        <f t="shared" ca="1" si="1025"/>
        <v/>
      </c>
      <c r="DE715" s="259" t="str">
        <f t="shared" ca="1" si="1026"/>
        <v/>
      </c>
      <c r="DF715" s="259">
        <f ca="1">IF(AND(CX715=$DE$2,$DF$2&lt;&gt;0),0,IF(AND(DB715&lt;&gt;"",OR(DB714&lt;&gt;"",DB716&lt;&gt;"")),MAX($DF$2:DF714)+1,0))</f>
        <v>0</v>
      </c>
    </row>
    <row r="716" spans="102:110">
      <c r="CX716" s="259">
        <f t="shared" ca="1" si="1020"/>
        <v>40</v>
      </c>
      <c r="CY716" s="259" t="str">
        <f t="shared" ca="1" si="1018"/>
        <v>MASTRO</v>
      </c>
      <c r="CZ716" s="259" t="e">
        <f t="shared" ca="1" si="1022"/>
        <v>#N/A</v>
      </c>
      <c r="DA716" s="259" t="str">
        <f t="shared" ca="1" si="1027"/>
        <v/>
      </c>
      <c r="DB716" s="259" t="str">
        <f t="shared" ca="1" si="1023"/>
        <v/>
      </c>
      <c r="DC716" s="259" t="str">
        <f t="shared" ca="1" si="1024"/>
        <v/>
      </c>
      <c r="DD716" s="259" t="str">
        <f t="shared" ca="1" si="1025"/>
        <v/>
      </c>
      <c r="DE716" s="259" t="str">
        <f t="shared" ca="1" si="1026"/>
        <v/>
      </c>
      <c r="DF716" s="259">
        <f ca="1">IF(AND(CX716=$DE$2,$DF$2&lt;&gt;0),0,IF(AND(DB716&lt;&gt;"",OR(DB715&lt;&gt;"",DB717&lt;&gt;"")),MAX($DF$2:DF715)+1,0))</f>
        <v>0</v>
      </c>
    </row>
    <row r="717" spans="102:110">
      <c r="CX717" s="259">
        <f t="shared" ca="1" si="1020"/>
        <v>40</v>
      </c>
      <c r="CY717" s="259" t="str">
        <f t="shared" ca="1" si="1018"/>
        <v>MASTRO</v>
      </c>
      <c r="CZ717" s="259" t="e">
        <f t="shared" ca="1" si="1022"/>
        <v>#N/A</v>
      </c>
      <c r="DA717" s="259" t="str">
        <f t="shared" ca="1" si="1027"/>
        <v/>
      </c>
      <c r="DB717" s="259" t="str">
        <f t="shared" ca="1" si="1023"/>
        <v/>
      </c>
      <c r="DC717" s="259" t="str">
        <f t="shared" ca="1" si="1024"/>
        <v/>
      </c>
      <c r="DD717" s="259" t="str">
        <f t="shared" ca="1" si="1025"/>
        <v/>
      </c>
      <c r="DE717" s="259" t="str">
        <f t="shared" ca="1" si="1026"/>
        <v/>
      </c>
      <c r="DF717" s="259">
        <f ca="1">IF(AND(CX717=$DE$2,$DF$2&lt;&gt;0),0,IF(AND(DB717&lt;&gt;"",OR(DB716&lt;&gt;"",DB718&lt;&gt;"")),MAX($DF$2:DF716)+1,0))</f>
        <v>0</v>
      </c>
    </row>
    <row r="718" spans="102:110">
      <c r="CX718" s="259">
        <f t="shared" ca="1" si="1020"/>
        <v>40</v>
      </c>
      <c r="CY718" s="259" t="str">
        <f t="shared" ca="1" si="1018"/>
        <v>MASTRO</v>
      </c>
      <c r="CZ718" s="259" t="e">
        <f t="shared" ca="1" si="1022"/>
        <v>#N/A</v>
      </c>
      <c r="DA718" s="259" t="str">
        <f t="shared" ca="1" si="1027"/>
        <v/>
      </c>
      <c r="DB718" s="259" t="str">
        <f t="shared" ca="1" si="1023"/>
        <v/>
      </c>
      <c r="DC718" s="259" t="str">
        <f t="shared" ca="1" si="1024"/>
        <v/>
      </c>
      <c r="DD718" s="259" t="str">
        <f t="shared" ca="1" si="1025"/>
        <v/>
      </c>
      <c r="DE718" s="259" t="str">
        <f t="shared" ca="1" si="1026"/>
        <v/>
      </c>
      <c r="DF718" s="259">
        <f ca="1">IF(AND(CX718=$DE$2,$DF$2&lt;&gt;0),0,IF(AND(DB718&lt;&gt;"",OR(DB717&lt;&gt;"",DB719&lt;&gt;"")),MAX($DF$2:DF717)+1,0))</f>
        <v>0</v>
      </c>
    </row>
    <row r="719" spans="102:110">
      <c r="CX719" s="259">
        <f t="shared" ca="1" si="1020"/>
        <v>40</v>
      </c>
      <c r="CY719" s="259" t="str">
        <f t="shared" ca="1" si="1018"/>
        <v>MASTRO</v>
      </c>
      <c r="CZ719" s="259" t="e">
        <f t="shared" ca="1" si="1022"/>
        <v>#N/A</v>
      </c>
      <c r="DA719" s="259" t="str">
        <f t="shared" ca="1" si="1027"/>
        <v/>
      </c>
      <c r="DB719" s="259" t="str">
        <f t="shared" ca="1" si="1023"/>
        <v/>
      </c>
      <c r="DC719" s="259" t="str">
        <f t="shared" ca="1" si="1024"/>
        <v/>
      </c>
      <c r="DD719" s="259" t="str">
        <f t="shared" ca="1" si="1025"/>
        <v/>
      </c>
      <c r="DE719" s="259" t="str">
        <f t="shared" ca="1" si="1026"/>
        <v/>
      </c>
      <c r="DF719" s="259">
        <f ca="1">IF(AND(CX719=$DE$2,$DF$2&lt;&gt;0),0,IF(AND(DB719&lt;&gt;"",OR(DB718&lt;&gt;"",DB720&lt;&gt;"")),MAX($DF$2:DF718)+1,0))</f>
        <v>0</v>
      </c>
    </row>
    <row r="720" spans="102:110">
      <c r="CX720" s="259">
        <f t="shared" ca="1" si="1020"/>
        <v>40</v>
      </c>
      <c r="CY720" s="259" t="str">
        <f t="shared" ca="1" si="1018"/>
        <v>MASTRO</v>
      </c>
      <c r="CZ720" s="259" t="e">
        <f t="shared" ca="1" si="1022"/>
        <v>#N/A</v>
      </c>
      <c r="DA720" s="259" t="str">
        <f t="shared" ca="1" si="1027"/>
        <v/>
      </c>
      <c r="DB720" s="259" t="str">
        <f t="shared" ca="1" si="1023"/>
        <v/>
      </c>
      <c r="DC720" s="259" t="str">
        <f t="shared" ca="1" si="1024"/>
        <v/>
      </c>
      <c r="DD720" s="259" t="str">
        <f t="shared" ca="1" si="1025"/>
        <v/>
      </c>
      <c r="DE720" s="259" t="str">
        <f t="shared" ca="1" si="1026"/>
        <v/>
      </c>
      <c r="DF720" s="259">
        <f ca="1">IF(AND(CX720=$DE$2,$DF$2&lt;&gt;0),0,IF(AND(DB720&lt;&gt;"",OR(DB719&lt;&gt;"",DB721&lt;&gt;"")),MAX($DF$2:DF719)+1,0))</f>
        <v>0</v>
      </c>
    </row>
    <row r="721" spans="102:110">
      <c r="CX721" s="259">
        <f t="shared" ca="1" si="1020"/>
        <v>40</v>
      </c>
      <c r="CY721" s="259" t="str">
        <f t="shared" ca="1" si="1018"/>
        <v>MASTRO</v>
      </c>
      <c r="CZ721" s="259" t="e">
        <f t="shared" ca="1" si="1022"/>
        <v>#N/A</v>
      </c>
      <c r="DA721" s="259" t="str">
        <f t="shared" ca="1" si="1027"/>
        <v/>
      </c>
      <c r="DB721" s="259" t="str">
        <f t="shared" ca="1" si="1023"/>
        <v/>
      </c>
      <c r="DC721" s="259" t="str">
        <f t="shared" ca="1" si="1024"/>
        <v/>
      </c>
      <c r="DD721" s="259" t="str">
        <f t="shared" ca="1" si="1025"/>
        <v/>
      </c>
      <c r="DE721" s="259" t="str">
        <f t="shared" ca="1" si="1026"/>
        <v/>
      </c>
      <c r="DF721" s="259">
        <f ca="1">IF(AND(CX721=$DE$2,$DF$2&lt;&gt;0),0,IF(AND(DB721&lt;&gt;"",OR(DB720&lt;&gt;"",DB722&lt;&gt;"")),MAX($DF$2:DF720)+1,0))</f>
        <v>0</v>
      </c>
    </row>
    <row r="722" spans="102:110">
      <c r="CX722" s="259" t="str">
        <f>IFERROR(IF(CX704+1=1,"",(CX704+1)),"")</f>
        <v/>
      </c>
      <c r="CY722" s="259" t="str">
        <f t="shared" ca="1" si="1018"/>
        <v>MASTRO</v>
      </c>
      <c r="DB722" s="259" t="str">
        <f t="shared" ref="DB722" ca="1" si="1028">CY722</f>
        <v>MASTRO</v>
      </c>
      <c r="DF722" s="259">
        <f ca="1">IF(AND(CX722=$DE$2,$DF$2&lt;&gt;0),0,IF(AND(DB722&lt;&gt;"",OR(DB721&lt;&gt;"",DB723&lt;&gt;"")),MAX($DF$2:DF721)+1,0))</f>
        <v>0</v>
      </c>
    </row>
    <row r="723" spans="102:110">
      <c r="CX723" s="259">
        <f ca="1">$EA$43</f>
        <v>41</v>
      </c>
      <c r="CY723" s="259" t="str">
        <f t="shared" ca="1" si="1018"/>
        <v>MASTRO</v>
      </c>
      <c r="DA723" s="259" t="str">
        <f ca="1">IF(CY722="MASTRO","Conto n.","")</f>
        <v>Conto n.</v>
      </c>
      <c r="DB723" s="259" t="str">
        <f ca="1">IF(CY723=0,"",INDEX(PIANO_DEI_CONTI,MATCH(DC723,DENOMINAZIONE,0),1))</f>
        <v/>
      </c>
      <c r="DC723" s="259" t="str">
        <f ca="1">IF(OR(CY723=0,CY723="mastro"),"",CY723)</f>
        <v/>
      </c>
      <c r="DD723" s="259" t="str">
        <f ca="1">IF(AND($DA$2=TRUE,OR(INDEX(PIANO_DEI_CONTI,MATCH($DC723,DENOMINAZIONE,0),4)="A",INDEX(PIANO_DEI_CONTI,MATCH($DC723,DENOMINAZIONE,0),4)="D/A"),SUMIFS(AVERE,DENOMINAZIONE_GIORNALE,"="&amp;$DC723)&gt;SUMIFS(DARE,DENOMINAZIONE_GIORNALE,"="&amp;$DC723)),CONCATENATE("s ",FIXED(ABS(SUMIFS(AVERE,DENOMINAZIONE_GIORNALE,"="&amp;$DC723)-SUMIFS(DARE,DENOMINAZIONE_GIORNALE,"="&amp;$DC723)),2)),"")</f>
        <v/>
      </c>
      <c r="DE723" s="259" t="str">
        <f ca="1">IF(AND($DA$2=TRUE,OR(INDEX(PIANO_DEI_CONTI,MATCH($DC723,DENOMINAZIONE,0),4)="D",INDEX(PIANO_DEI_CONTI,MATCH($DC723,DENOMINAZIONE,0),4)="D/A"),SUMIFS(DARE,DENOMINAZIONE_GIORNALE,"="&amp;$DC723)&gt;SUMIFS(AVERE,DENOMINAZIONE_GIORNALE,"="&amp;$DC723)),CONCATENATE("s ",FIXED(ABS(SUMIFS(DARE,DENOMINAZIONE_GIORNALE,"="&amp;$DC723)-SUMIFS(AVERE,DENOMINAZIONE_GIORNALE,"="&amp;$DC723)),2)),"")</f>
        <v/>
      </c>
      <c r="DF723" s="259">
        <f ca="1">IF(AND(CX723=$DE$2,$DF$2&lt;&gt;0),0,IF(AND(DB723&lt;&gt;"",OR(DB722&lt;&gt;"",DB724&lt;&gt;"")),MAX($DF$2:DF722)+1,0))</f>
        <v>0</v>
      </c>
    </row>
    <row r="724" spans="102:110">
      <c r="CX724" s="259">
        <f t="shared" ref="CX724:CX739" ca="1" si="1029">$EA$43</f>
        <v>41</v>
      </c>
      <c r="CY724" s="259" t="str">
        <f t="shared" ca="1" si="1018"/>
        <v>MASTRO</v>
      </c>
      <c r="DA724" s="259" t="str">
        <f ca="1">IF(DB723="","","Num. riga")</f>
        <v/>
      </c>
      <c r="DB724" s="259" t="str">
        <f t="shared" ref="DB724" ca="1" si="1030">IF(DB723="","","Data")</f>
        <v/>
      </c>
      <c r="DC724" s="259" t="str">
        <f ca="1">IF(DB723="","","Operazioni")</f>
        <v/>
      </c>
      <c r="DD724" s="259" t="str">
        <f ca="1">IF(DB723="","","Dare        ")</f>
        <v/>
      </c>
      <c r="DE724" s="259" t="str">
        <f ca="1">IF(DB723="","","Avere        ")</f>
        <v/>
      </c>
      <c r="DF724" s="259">
        <f ca="1">IF(AND(CX724=$DE$2,$DF$2&lt;&gt;0),0,IF(AND(DB724&lt;&gt;"",OR(DB723&lt;&gt;"",DB725&lt;&gt;"")),MAX($DF$2:DF723)+1,0))</f>
        <v>0</v>
      </c>
    </row>
    <row r="725" spans="102:110">
      <c r="CX725" s="259">
        <f t="shared" ca="1" si="1029"/>
        <v>41</v>
      </c>
      <c r="CY725" s="259" t="str">
        <f t="shared" ca="1" si="1018"/>
        <v>MASTRO</v>
      </c>
      <c r="CZ725" s="259" t="e">
        <f t="shared" ref="CZ725:CZ739" ca="1" si="1031">SUM(MATCH($CY725,INDIRECT(ADDRESS(SUM(CZ724)+3,54)&amp;":"&amp;ADDRESS(400,54)),0),CZ724)</f>
        <v>#N/A</v>
      </c>
      <c r="DA725" s="259" t="str">
        <f ca="1">IFERROR(INDEX(LIBRO_GIORNALE,CZ725,1),"")</f>
        <v/>
      </c>
      <c r="DB725" s="259" t="str">
        <f t="shared" ref="DB725:DB739" ca="1" si="1032">IF(RIGHT(TEXT(IFERROR(INDEX(LIBRO_GIORNALE,CZ725,2),""),"gg/mm/aa"),1)="a",TEXT(IFERROR(INDEX(LIBRO_GIORNALE,CZ725,2),""),"dd/mm/yy"),TEXT(IFERROR(INDEX(LIBRO_GIORNALE,CZ725,2),""),"gg/mm/aa"))</f>
        <v/>
      </c>
      <c r="DC725" s="259" t="str">
        <f t="shared" ref="DC725:DC739" ca="1" si="1033">IF(IFERROR(INDEX(LIBRO_GIORNALE,CZ725,4),"")=0,"manca la descrizione dell'operazione",IFERROR(INDEX(LIBRO_GIORNALE,CZ725,4),""))</f>
        <v/>
      </c>
      <c r="DD725" s="259" t="str">
        <f t="shared" ref="DD725:DD739" ca="1" si="1034">IFERROR(IF(INDEX(LIBRO_GIORNALE,CZ725,5)&gt;0,INDEX(LIBRO_GIORNALE,CZ725,5),""),"")</f>
        <v/>
      </c>
      <c r="DE725" s="259" t="str">
        <f t="shared" ref="DE725:DE739" ca="1" si="1035">IFERROR(IF(INDEX(LIBRO_GIORNALE,CZ725,6)&gt;0,INDEX(LIBRO_GIORNALE,CZ725,6),""),"")</f>
        <v/>
      </c>
      <c r="DF725" s="259">
        <f ca="1">IF(AND(CX725=$DE$2,$DF$2&lt;&gt;0),0,IF(AND(DB725&lt;&gt;"",OR(DB724&lt;&gt;"",DB726&lt;&gt;"")),MAX($DF$2:DF724)+1,0))</f>
        <v>0</v>
      </c>
    </row>
    <row r="726" spans="102:110">
      <c r="CX726" s="259">
        <f t="shared" ca="1" si="1029"/>
        <v>41</v>
      </c>
      <c r="CY726" s="259" t="str">
        <f t="shared" ca="1" si="1018"/>
        <v>MASTRO</v>
      </c>
      <c r="CZ726" s="259" t="e">
        <f t="shared" ca="1" si="1031"/>
        <v>#N/A</v>
      </c>
      <c r="DA726" s="259" t="str">
        <f t="shared" ref="DA726:DA739" ca="1" si="1036">IFERROR(INDEX(LIBRO_GIORNALE,CZ726,1),"")</f>
        <v/>
      </c>
      <c r="DB726" s="259" t="str">
        <f t="shared" ca="1" si="1032"/>
        <v/>
      </c>
      <c r="DC726" s="259" t="str">
        <f t="shared" ca="1" si="1033"/>
        <v/>
      </c>
      <c r="DD726" s="259" t="str">
        <f t="shared" ca="1" si="1034"/>
        <v/>
      </c>
      <c r="DE726" s="259" t="str">
        <f t="shared" ca="1" si="1035"/>
        <v/>
      </c>
      <c r="DF726" s="259">
        <f ca="1">IF(AND(CX726=$DE$2,$DF$2&lt;&gt;0),0,IF(AND(DB726&lt;&gt;"",OR(DB725&lt;&gt;"",DB727&lt;&gt;"")),MAX($DF$2:DF725)+1,0))</f>
        <v>0</v>
      </c>
    </row>
    <row r="727" spans="102:110">
      <c r="CX727" s="259">
        <f t="shared" ca="1" si="1029"/>
        <v>41</v>
      </c>
      <c r="CY727" s="259" t="str">
        <f t="shared" ca="1" si="1018"/>
        <v>MASTRO</v>
      </c>
      <c r="CZ727" s="259" t="e">
        <f t="shared" ca="1" si="1031"/>
        <v>#N/A</v>
      </c>
      <c r="DA727" s="259" t="str">
        <f t="shared" ca="1" si="1036"/>
        <v/>
      </c>
      <c r="DB727" s="259" t="str">
        <f t="shared" ca="1" si="1032"/>
        <v/>
      </c>
      <c r="DC727" s="259" t="str">
        <f t="shared" ca="1" si="1033"/>
        <v/>
      </c>
      <c r="DD727" s="259" t="str">
        <f t="shared" ca="1" si="1034"/>
        <v/>
      </c>
      <c r="DE727" s="259" t="str">
        <f t="shared" ca="1" si="1035"/>
        <v/>
      </c>
      <c r="DF727" s="259">
        <f ca="1">IF(AND(CX727=$DE$2,$DF$2&lt;&gt;0),0,IF(AND(DB727&lt;&gt;"",OR(DB726&lt;&gt;"",DB728&lt;&gt;"")),MAX($DF$2:DF726)+1,0))</f>
        <v>0</v>
      </c>
    </row>
    <row r="728" spans="102:110">
      <c r="CX728" s="259">
        <f t="shared" ca="1" si="1029"/>
        <v>41</v>
      </c>
      <c r="CY728" s="259" t="str">
        <f t="shared" ca="1" si="1018"/>
        <v>MASTRO</v>
      </c>
      <c r="CZ728" s="259" t="e">
        <f t="shared" ca="1" si="1031"/>
        <v>#N/A</v>
      </c>
      <c r="DA728" s="259" t="str">
        <f t="shared" ca="1" si="1036"/>
        <v/>
      </c>
      <c r="DB728" s="259" t="str">
        <f t="shared" ca="1" si="1032"/>
        <v/>
      </c>
      <c r="DC728" s="259" t="str">
        <f t="shared" ca="1" si="1033"/>
        <v/>
      </c>
      <c r="DD728" s="259" t="str">
        <f t="shared" ca="1" si="1034"/>
        <v/>
      </c>
      <c r="DE728" s="259" t="str">
        <f t="shared" ca="1" si="1035"/>
        <v/>
      </c>
      <c r="DF728" s="259">
        <f ca="1">IF(AND(CX728=$DE$2,$DF$2&lt;&gt;0),0,IF(AND(DB728&lt;&gt;"",OR(DB727&lt;&gt;"",DB729&lt;&gt;"")),MAX($DF$2:DF727)+1,0))</f>
        <v>0</v>
      </c>
    </row>
    <row r="729" spans="102:110">
      <c r="CX729" s="259">
        <f t="shared" ca="1" si="1029"/>
        <v>41</v>
      </c>
      <c r="CY729" s="259" t="str">
        <f t="shared" ref="CY729:CY761" ca="1" si="1037">IF(ISERROR(INDEX($CV$3:$CX$2300,MATCH(CX729,$CW$3:$CW$2300,0),1)),"MASTRO",INDEX($CV$3:$CX$2300,MATCH(CX729,$CW$3:$CW$2300,0),1))</f>
        <v>MASTRO</v>
      </c>
      <c r="CZ729" s="259" t="e">
        <f t="shared" ca="1" si="1031"/>
        <v>#N/A</v>
      </c>
      <c r="DA729" s="259" t="str">
        <f t="shared" ca="1" si="1036"/>
        <v/>
      </c>
      <c r="DB729" s="259" t="str">
        <f t="shared" ca="1" si="1032"/>
        <v/>
      </c>
      <c r="DC729" s="259" t="str">
        <f t="shared" ca="1" si="1033"/>
        <v/>
      </c>
      <c r="DD729" s="259" t="str">
        <f t="shared" ca="1" si="1034"/>
        <v/>
      </c>
      <c r="DE729" s="259" t="str">
        <f t="shared" ca="1" si="1035"/>
        <v/>
      </c>
      <c r="DF729" s="259">
        <f ca="1">IF(AND(CX729=$DE$2,$DF$2&lt;&gt;0),0,IF(AND(DB729&lt;&gt;"",OR(DB728&lt;&gt;"",DB730&lt;&gt;"")),MAX($DF$2:DF728)+1,0))</f>
        <v>0</v>
      </c>
    </row>
    <row r="730" spans="102:110">
      <c r="CX730" s="259">
        <f t="shared" ca="1" si="1029"/>
        <v>41</v>
      </c>
      <c r="CY730" s="259" t="str">
        <f t="shared" ca="1" si="1037"/>
        <v>MASTRO</v>
      </c>
      <c r="CZ730" s="259" t="e">
        <f t="shared" ca="1" si="1031"/>
        <v>#N/A</v>
      </c>
      <c r="DA730" s="259" t="str">
        <f t="shared" ca="1" si="1036"/>
        <v/>
      </c>
      <c r="DB730" s="259" t="str">
        <f t="shared" ca="1" si="1032"/>
        <v/>
      </c>
      <c r="DC730" s="259" t="str">
        <f t="shared" ca="1" si="1033"/>
        <v/>
      </c>
      <c r="DD730" s="259" t="str">
        <f t="shared" ca="1" si="1034"/>
        <v/>
      </c>
      <c r="DE730" s="259" t="str">
        <f t="shared" ca="1" si="1035"/>
        <v/>
      </c>
      <c r="DF730" s="259">
        <f ca="1">IF(AND(CX730=$DE$2,$DF$2&lt;&gt;0),0,IF(AND(DB730&lt;&gt;"",OR(DB729&lt;&gt;"",DB731&lt;&gt;"")),MAX($DF$2:DF729)+1,0))</f>
        <v>0</v>
      </c>
    </row>
    <row r="731" spans="102:110">
      <c r="CX731" s="259">
        <f t="shared" ca="1" si="1029"/>
        <v>41</v>
      </c>
      <c r="CY731" s="259" t="str">
        <f t="shared" ca="1" si="1037"/>
        <v>MASTRO</v>
      </c>
      <c r="CZ731" s="259" t="e">
        <f t="shared" ca="1" si="1031"/>
        <v>#N/A</v>
      </c>
      <c r="DA731" s="259" t="str">
        <f t="shared" ca="1" si="1036"/>
        <v/>
      </c>
      <c r="DB731" s="259" t="str">
        <f t="shared" ca="1" si="1032"/>
        <v/>
      </c>
      <c r="DC731" s="259" t="str">
        <f t="shared" ca="1" si="1033"/>
        <v/>
      </c>
      <c r="DD731" s="259" t="str">
        <f t="shared" ca="1" si="1034"/>
        <v/>
      </c>
      <c r="DE731" s="259" t="str">
        <f t="shared" ca="1" si="1035"/>
        <v/>
      </c>
      <c r="DF731" s="259">
        <f ca="1">IF(AND(CX731=$DE$2,$DF$2&lt;&gt;0),0,IF(AND(DB731&lt;&gt;"",OR(DB730&lt;&gt;"",DB732&lt;&gt;"")),MAX($DF$2:DF730)+1,0))</f>
        <v>0</v>
      </c>
    </row>
    <row r="732" spans="102:110">
      <c r="CX732" s="259">
        <f t="shared" ca="1" si="1029"/>
        <v>41</v>
      </c>
      <c r="CY732" s="259" t="str">
        <f t="shared" ca="1" si="1037"/>
        <v>MASTRO</v>
      </c>
      <c r="CZ732" s="259" t="e">
        <f t="shared" ca="1" si="1031"/>
        <v>#N/A</v>
      </c>
      <c r="DA732" s="259" t="str">
        <f t="shared" ca="1" si="1036"/>
        <v/>
      </c>
      <c r="DB732" s="259" t="str">
        <f t="shared" ca="1" si="1032"/>
        <v/>
      </c>
      <c r="DC732" s="259" t="str">
        <f t="shared" ca="1" si="1033"/>
        <v/>
      </c>
      <c r="DD732" s="259" t="str">
        <f t="shared" ca="1" si="1034"/>
        <v/>
      </c>
      <c r="DE732" s="259" t="str">
        <f t="shared" ca="1" si="1035"/>
        <v/>
      </c>
      <c r="DF732" s="259">
        <f ca="1">IF(AND(CX732=$DE$2,$DF$2&lt;&gt;0),0,IF(AND(DB732&lt;&gt;"",OR(DB731&lt;&gt;"",DB733&lt;&gt;"")),MAX($DF$2:DF731)+1,0))</f>
        <v>0</v>
      </c>
    </row>
    <row r="733" spans="102:110">
      <c r="CX733" s="259">
        <f t="shared" ca="1" si="1029"/>
        <v>41</v>
      </c>
      <c r="CY733" s="259" t="str">
        <f t="shared" ca="1" si="1037"/>
        <v>MASTRO</v>
      </c>
      <c r="CZ733" s="259" t="e">
        <f t="shared" ca="1" si="1031"/>
        <v>#N/A</v>
      </c>
      <c r="DA733" s="259" t="str">
        <f t="shared" ca="1" si="1036"/>
        <v/>
      </c>
      <c r="DB733" s="259" t="str">
        <f t="shared" ca="1" si="1032"/>
        <v/>
      </c>
      <c r="DC733" s="259" t="str">
        <f t="shared" ca="1" si="1033"/>
        <v/>
      </c>
      <c r="DD733" s="259" t="str">
        <f t="shared" ca="1" si="1034"/>
        <v/>
      </c>
      <c r="DE733" s="259" t="str">
        <f t="shared" ca="1" si="1035"/>
        <v/>
      </c>
      <c r="DF733" s="259">
        <f ca="1">IF(AND(CX733=$DE$2,$DF$2&lt;&gt;0),0,IF(AND(DB733&lt;&gt;"",OR(DB732&lt;&gt;"",DB734&lt;&gt;"")),MAX($DF$2:DF732)+1,0))</f>
        <v>0</v>
      </c>
    </row>
    <row r="734" spans="102:110">
      <c r="CX734" s="259">
        <f t="shared" ca="1" si="1029"/>
        <v>41</v>
      </c>
      <c r="CY734" s="259" t="str">
        <f t="shared" ca="1" si="1037"/>
        <v>MASTRO</v>
      </c>
      <c r="CZ734" s="259" t="e">
        <f t="shared" ca="1" si="1031"/>
        <v>#N/A</v>
      </c>
      <c r="DA734" s="259" t="str">
        <f t="shared" ca="1" si="1036"/>
        <v/>
      </c>
      <c r="DB734" s="259" t="str">
        <f t="shared" ca="1" si="1032"/>
        <v/>
      </c>
      <c r="DC734" s="259" t="str">
        <f t="shared" ca="1" si="1033"/>
        <v/>
      </c>
      <c r="DD734" s="259" t="str">
        <f t="shared" ca="1" si="1034"/>
        <v/>
      </c>
      <c r="DE734" s="259" t="str">
        <f t="shared" ca="1" si="1035"/>
        <v/>
      </c>
      <c r="DF734" s="259">
        <f ca="1">IF(AND(CX734=$DE$2,$DF$2&lt;&gt;0),0,IF(AND(DB734&lt;&gt;"",OR(DB733&lt;&gt;"",DB735&lt;&gt;"")),MAX($DF$2:DF733)+1,0))</f>
        <v>0</v>
      </c>
    </row>
    <row r="735" spans="102:110">
      <c r="CX735" s="259">
        <f t="shared" ca="1" si="1029"/>
        <v>41</v>
      </c>
      <c r="CY735" s="259" t="str">
        <f t="shared" ca="1" si="1037"/>
        <v>MASTRO</v>
      </c>
      <c r="CZ735" s="259" t="e">
        <f t="shared" ca="1" si="1031"/>
        <v>#N/A</v>
      </c>
      <c r="DA735" s="259" t="str">
        <f t="shared" ca="1" si="1036"/>
        <v/>
      </c>
      <c r="DB735" s="259" t="str">
        <f t="shared" ca="1" si="1032"/>
        <v/>
      </c>
      <c r="DC735" s="259" t="str">
        <f t="shared" ca="1" si="1033"/>
        <v/>
      </c>
      <c r="DD735" s="259" t="str">
        <f t="shared" ca="1" si="1034"/>
        <v/>
      </c>
      <c r="DE735" s="259" t="str">
        <f t="shared" ca="1" si="1035"/>
        <v/>
      </c>
      <c r="DF735" s="259">
        <f ca="1">IF(AND(CX735=$DE$2,$DF$2&lt;&gt;0),0,IF(AND(DB735&lt;&gt;"",OR(DB734&lt;&gt;"",DB736&lt;&gt;"")),MAX($DF$2:DF734)+1,0))</f>
        <v>0</v>
      </c>
    </row>
    <row r="736" spans="102:110">
      <c r="CX736" s="259">
        <f t="shared" ca="1" si="1029"/>
        <v>41</v>
      </c>
      <c r="CY736" s="259" t="str">
        <f t="shared" ca="1" si="1037"/>
        <v>MASTRO</v>
      </c>
      <c r="CZ736" s="259" t="e">
        <f t="shared" ca="1" si="1031"/>
        <v>#N/A</v>
      </c>
      <c r="DA736" s="259" t="str">
        <f t="shared" ca="1" si="1036"/>
        <v/>
      </c>
      <c r="DB736" s="259" t="str">
        <f t="shared" ca="1" si="1032"/>
        <v/>
      </c>
      <c r="DC736" s="259" t="str">
        <f t="shared" ca="1" si="1033"/>
        <v/>
      </c>
      <c r="DD736" s="259" t="str">
        <f t="shared" ca="1" si="1034"/>
        <v/>
      </c>
      <c r="DE736" s="259" t="str">
        <f t="shared" ca="1" si="1035"/>
        <v/>
      </c>
      <c r="DF736" s="259">
        <f ca="1">IF(AND(CX736=$DE$2,$DF$2&lt;&gt;0),0,IF(AND(DB736&lt;&gt;"",OR(DB735&lt;&gt;"",DB737&lt;&gt;"")),MAX($DF$2:DF735)+1,0))</f>
        <v>0</v>
      </c>
    </row>
    <row r="737" spans="102:110">
      <c r="CX737" s="259">
        <f t="shared" ca="1" si="1029"/>
        <v>41</v>
      </c>
      <c r="CY737" s="259" t="str">
        <f t="shared" ca="1" si="1037"/>
        <v>MASTRO</v>
      </c>
      <c r="CZ737" s="259" t="e">
        <f t="shared" ca="1" si="1031"/>
        <v>#N/A</v>
      </c>
      <c r="DA737" s="259" t="str">
        <f t="shared" ca="1" si="1036"/>
        <v/>
      </c>
      <c r="DB737" s="259" t="str">
        <f t="shared" ca="1" si="1032"/>
        <v/>
      </c>
      <c r="DC737" s="259" t="str">
        <f t="shared" ca="1" si="1033"/>
        <v/>
      </c>
      <c r="DD737" s="259" t="str">
        <f t="shared" ca="1" si="1034"/>
        <v/>
      </c>
      <c r="DE737" s="259" t="str">
        <f t="shared" ca="1" si="1035"/>
        <v/>
      </c>
      <c r="DF737" s="259">
        <f ca="1">IF(AND(CX737=$DE$2,$DF$2&lt;&gt;0),0,IF(AND(DB737&lt;&gt;"",OR(DB736&lt;&gt;"",DB738&lt;&gt;"")),MAX($DF$2:DF736)+1,0))</f>
        <v>0</v>
      </c>
    </row>
    <row r="738" spans="102:110">
      <c r="CX738" s="259">
        <f t="shared" ca="1" si="1029"/>
        <v>41</v>
      </c>
      <c r="CY738" s="259" t="str">
        <f t="shared" ca="1" si="1037"/>
        <v>MASTRO</v>
      </c>
      <c r="CZ738" s="259" t="e">
        <f t="shared" ca="1" si="1031"/>
        <v>#N/A</v>
      </c>
      <c r="DA738" s="259" t="str">
        <f t="shared" ca="1" si="1036"/>
        <v/>
      </c>
      <c r="DB738" s="259" t="str">
        <f t="shared" ca="1" si="1032"/>
        <v/>
      </c>
      <c r="DC738" s="259" t="str">
        <f t="shared" ca="1" si="1033"/>
        <v/>
      </c>
      <c r="DD738" s="259" t="str">
        <f t="shared" ca="1" si="1034"/>
        <v/>
      </c>
      <c r="DE738" s="259" t="str">
        <f t="shared" ca="1" si="1035"/>
        <v/>
      </c>
      <c r="DF738" s="259">
        <f ca="1">IF(AND(CX738=$DE$2,$DF$2&lt;&gt;0),0,IF(AND(DB738&lt;&gt;"",OR(DB737&lt;&gt;"",DB739&lt;&gt;"")),MAX($DF$2:DF737)+1,0))</f>
        <v>0</v>
      </c>
    </row>
    <row r="739" spans="102:110">
      <c r="CX739" s="259">
        <f t="shared" ca="1" si="1029"/>
        <v>41</v>
      </c>
      <c r="CY739" s="259" t="str">
        <f t="shared" ca="1" si="1037"/>
        <v>MASTRO</v>
      </c>
      <c r="CZ739" s="259" t="e">
        <f t="shared" ca="1" si="1031"/>
        <v>#N/A</v>
      </c>
      <c r="DA739" s="259" t="str">
        <f t="shared" ca="1" si="1036"/>
        <v/>
      </c>
      <c r="DB739" s="259" t="str">
        <f t="shared" ca="1" si="1032"/>
        <v/>
      </c>
      <c r="DC739" s="259" t="str">
        <f t="shared" ca="1" si="1033"/>
        <v/>
      </c>
      <c r="DD739" s="259" t="str">
        <f t="shared" ca="1" si="1034"/>
        <v/>
      </c>
      <c r="DE739" s="259" t="str">
        <f t="shared" ca="1" si="1035"/>
        <v/>
      </c>
      <c r="DF739" s="259">
        <f ca="1">IF(AND(CX739=$DE$2,$DF$2&lt;&gt;0),0,IF(AND(DB739&lt;&gt;"",OR(DB738&lt;&gt;"",DB740&lt;&gt;"")),MAX($DF$2:DF738)+1,0))</f>
        <v>0</v>
      </c>
    </row>
    <row r="740" spans="102:110">
      <c r="CX740" s="259" t="str">
        <f>IFERROR(IF(CX722+1=1,"",(CX722+1)),"")</f>
        <v/>
      </c>
      <c r="CY740" s="259" t="str">
        <f t="shared" ca="1" si="1037"/>
        <v>MASTRO</v>
      </c>
      <c r="DB740" s="259" t="str">
        <f t="shared" ref="DB740" ca="1" si="1038">CY740</f>
        <v>MASTRO</v>
      </c>
      <c r="DF740" s="259">
        <f ca="1">IF(AND(CX740=$DE$2,$DF$2&lt;&gt;0),0,IF(AND(DB740&lt;&gt;"",OR(DB739&lt;&gt;"",DB741&lt;&gt;"")),MAX($DF$2:DF739)+1,0))</f>
        <v>0</v>
      </c>
    </row>
    <row r="741" spans="102:110">
      <c r="CX741" s="259">
        <f ca="1">$EA$44</f>
        <v>42</v>
      </c>
      <c r="CY741" s="259" t="str">
        <f t="shared" ca="1" si="1037"/>
        <v>MASTRO</v>
      </c>
      <c r="DA741" s="259" t="str">
        <f ca="1">IF(CY740="MASTRO","Conto n.","")</f>
        <v>Conto n.</v>
      </c>
      <c r="DB741" s="259" t="str">
        <f ca="1">IF(CY741=0,"",INDEX(PIANO_DEI_CONTI,MATCH(DC741,DENOMINAZIONE,0),1))</f>
        <v/>
      </c>
      <c r="DC741" s="259" t="str">
        <f ca="1">IF(OR(CY741=0,CY741="mastro"),"",CY741)</f>
        <v/>
      </c>
      <c r="DD741" s="259" t="str">
        <f ca="1">IF(AND($DA$2=TRUE,OR(INDEX(PIANO_DEI_CONTI,MATCH($DC741,DENOMINAZIONE,0),4)="A",INDEX(PIANO_DEI_CONTI,MATCH($DC741,DENOMINAZIONE,0),4)="D/A"),SUMIFS(AVERE,DENOMINAZIONE_GIORNALE,"="&amp;$DC741)&gt;SUMIFS(DARE,DENOMINAZIONE_GIORNALE,"="&amp;$DC741)),CONCATENATE("s ",FIXED(ABS(SUMIFS(AVERE,DENOMINAZIONE_GIORNALE,"="&amp;$DC741)-SUMIFS(DARE,DENOMINAZIONE_GIORNALE,"="&amp;$DC741)),2)),"")</f>
        <v/>
      </c>
      <c r="DE741" s="259" t="str">
        <f ca="1">IF(AND($DA$2=TRUE,OR(INDEX(PIANO_DEI_CONTI,MATCH($DC741,DENOMINAZIONE,0),4)="D",INDEX(PIANO_DEI_CONTI,MATCH($DC741,DENOMINAZIONE,0),4)="D/A"),SUMIFS(DARE,DENOMINAZIONE_GIORNALE,"="&amp;$DC741)&gt;SUMIFS(AVERE,DENOMINAZIONE_GIORNALE,"="&amp;$DC741)),CONCATENATE("s ",FIXED(ABS(SUMIFS(DARE,DENOMINAZIONE_GIORNALE,"="&amp;$DC741)-SUMIFS(AVERE,DENOMINAZIONE_GIORNALE,"="&amp;$DC741)),2)),"")</f>
        <v/>
      </c>
      <c r="DF741" s="259">
        <f ca="1">IF(AND(CX741=$DE$2,$DF$2&lt;&gt;0),0,IF(AND(DB741&lt;&gt;"",OR(DB740&lt;&gt;"",DB742&lt;&gt;"")),MAX($DF$2:DF740)+1,0))</f>
        <v>0</v>
      </c>
    </row>
    <row r="742" spans="102:110">
      <c r="CX742" s="259">
        <f t="shared" ref="CX742:CX757" ca="1" si="1039">$EA$44</f>
        <v>42</v>
      </c>
      <c r="CY742" s="259" t="str">
        <f t="shared" ca="1" si="1037"/>
        <v>MASTRO</v>
      </c>
      <c r="DA742" s="259" t="str">
        <f ca="1">IF(DB741="","","Num. riga")</f>
        <v/>
      </c>
      <c r="DB742" s="259" t="str">
        <f t="shared" ref="DB742" ca="1" si="1040">IF(DB741="","","Data")</f>
        <v/>
      </c>
      <c r="DC742" s="259" t="str">
        <f ca="1">IF(DB741="","","Operazioni")</f>
        <v/>
      </c>
      <c r="DD742" s="259" t="str">
        <f ca="1">IF(DB741="","","Dare        ")</f>
        <v/>
      </c>
      <c r="DE742" s="259" t="str">
        <f ca="1">IF(DB741="","","Avere        ")</f>
        <v/>
      </c>
      <c r="DF742" s="259">
        <f ca="1">IF(AND(CX742=$DE$2,$DF$2&lt;&gt;0),0,IF(AND(DB742&lt;&gt;"",OR(DB741&lt;&gt;"",DB743&lt;&gt;"")),MAX($DF$2:DF741)+1,0))</f>
        <v>0</v>
      </c>
    </row>
    <row r="743" spans="102:110">
      <c r="CX743" s="259">
        <f t="shared" ca="1" si="1039"/>
        <v>42</v>
      </c>
      <c r="CY743" s="259" t="str">
        <f t="shared" ca="1" si="1037"/>
        <v>MASTRO</v>
      </c>
      <c r="CZ743" s="259" t="e">
        <f t="shared" ref="CZ743:CZ757" ca="1" si="1041">SUM(MATCH($CY743,INDIRECT(ADDRESS(SUM(CZ742)+3,54)&amp;":"&amp;ADDRESS(400,54)),0),CZ742)</f>
        <v>#N/A</v>
      </c>
      <c r="DA743" s="259" t="str">
        <f ca="1">IFERROR(INDEX(LIBRO_GIORNALE,CZ743,1),"")</f>
        <v/>
      </c>
      <c r="DB743" s="259" t="str">
        <f t="shared" ref="DB743:DB757" ca="1" si="1042">IF(RIGHT(TEXT(IFERROR(INDEX(LIBRO_GIORNALE,CZ743,2),""),"gg/mm/aa"),1)="a",TEXT(IFERROR(INDEX(LIBRO_GIORNALE,CZ743,2),""),"dd/mm/yy"),TEXT(IFERROR(INDEX(LIBRO_GIORNALE,CZ743,2),""),"gg/mm/aa"))</f>
        <v/>
      </c>
      <c r="DC743" s="259" t="str">
        <f t="shared" ref="DC743:DC757" ca="1" si="1043">IF(IFERROR(INDEX(LIBRO_GIORNALE,CZ743,4),"")=0,"manca la descrizione dell'operazione",IFERROR(INDEX(LIBRO_GIORNALE,CZ743,4),""))</f>
        <v/>
      </c>
      <c r="DD743" s="259" t="str">
        <f t="shared" ref="DD743:DD757" ca="1" si="1044">IFERROR(IF(INDEX(LIBRO_GIORNALE,CZ743,5)&gt;0,INDEX(LIBRO_GIORNALE,CZ743,5),""),"")</f>
        <v/>
      </c>
      <c r="DE743" s="259" t="str">
        <f t="shared" ref="DE743:DE757" ca="1" si="1045">IFERROR(IF(INDEX(LIBRO_GIORNALE,CZ743,6)&gt;0,INDEX(LIBRO_GIORNALE,CZ743,6),""),"")</f>
        <v/>
      </c>
      <c r="DF743" s="259">
        <f ca="1">IF(AND(CX743=$DE$2,$DF$2&lt;&gt;0),0,IF(AND(DB743&lt;&gt;"",OR(DB742&lt;&gt;"",DB744&lt;&gt;"")),MAX($DF$2:DF742)+1,0))</f>
        <v>0</v>
      </c>
    </row>
    <row r="744" spans="102:110">
      <c r="CX744" s="259">
        <f t="shared" ca="1" si="1039"/>
        <v>42</v>
      </c>
      <c r="CY744" s="259" t="str">
        <f t="shared" ca="1" si="1037"/>
        <v>MASTRO</v>
      </c>
      <c r="CZ744" s="259" t="e">
        <f t="shared" ca="1" si="1041"/>
        <v>#N/A</v>
      </c>
      <c r="DA744" s="259" t="str">
        <f t="shared" ref="DA744:DA757" ca="1" si="1046">IFERROR(INDEX(LIBRO_GIORNALE,CZ744,1),"")</f>
        <v/>
      </c>
      <c r="DB744" s="259" t="str">
        <f t="shared" ca="1" si="1042"/>
        <v/>
      </c>
      <c r="DC744" s="259" t="str">
        <f t="shared" ca="1" si="1043"/>
        <v/>
      </c>
      <c r="DD744" s="259" t="str">
        <f t="shared" ca="1" si="1044"/>
        <v/>
      </c>
      <c r="DE744" s="259" t="str">
        <f t="shared" ca="1" si="1045"/>
        <v/>
      </c>
      <c r="DF744" s="259">
        <f ca="1">IF(AND(CX744=$DE$2,$DF$2&lt;&gt;0),0,IF(AND(DB744&lt;&gt;"",OR(DB743&lt;&gt;"",DB745&lt;&gt;"")),MAX($DF$2:DF743)+1,0))</f>
        <v>0</v>
      </c>
    </row>
    <row r="745" spans="102:110">
      <c r="CX745" s="259">
        <f t="shared" ca="1" si="1039"/>
        <v>42</v>
      </c>
      <c r="CY745" s="259" t="str">
        <f t="shared" ca="1" si="1037"/>
        <v>MASTRO</v>
      </c>
      <c r="CZ745" s="259" t="e">
        <f t="shared" ca="1" si="1041"/>
        <v>#N/A</v>
      </c>
      <c r="DA745" s="259" t="str">
        <f t="shared" ca="1" si="1046"/>
        <v/>
      </c>
      <c r="DB745" s="259" t="str">
        <f t="shared" ca="1" si="1042"/>
        <v/>
      </c>
      <c r="DC745" s="259" t="str">
        <f t="shared" ca="1" si="1043"/>
        <v/>
      </c>
      <c r="DD745" s="259" t="str">
        <f t="shared" ca="1" si="1044"/>
        <v/>
      </c>
      <c r="DE745" s="259" t="str">
        <f t="shared" ca="1" si="1045"/>
        <v/>
      </c>
      <c r="DF745" s="259">
        <f ca="1">IF(AND(CX745=$DE$2,$DF$2&lt;&gt;0),0,IF(AND(DB745&lt;&gt;"",OR(DB744&lt;&gt;"",DB746&lt;&gt;"")),MAX($DF$2:DF744)+1,0))</f>
        <v>0</v>
      </c>
    </row>
    <row r="746" spans="102:110">
      <c r="CX746" s="259">
        <f t="shared" ca="1" si="1039"/>
        <v>42</v>
      </c>
      <c r="CY746" s="259" t="str">
        <f t="shared" ca="1" si="1037"/>
        <v>MASTRO</v>
      </c>
      <c r="CZ746" s="259" t="e">
        <f t="shared" ca="1" si="1041"/>
        <v>#N/A</v>
      </c>
      <c r="DA746" s="259" t="str">
        <f t="shared" ca="1" si="1046"/>
        <v/>
      </c>
      <c r="DB746" s="259" t="str">
        <f t="shared" ca="1" si="1042"/>
        <v/>
      </c>
      <c r="DC746" s="259" t="str">
        <f t="shared" ca="1" si="1043"/>
        <v/>
      </c>
      <c r="DD746" s="259" t="str">
        <f t="shared" ca="1" si="1044"/>
        <v/>
      </c>
      <c r="DE746" s="259" t="str">
        <f t="shared" ca="1" si="1045"/>
        <v/>
      </c>
      <c r="DF746" s="259">
        <f ca="1">IF(AND(CX746=$DE$2,$DF$2&lt;&gt;0),0,IF(AND(DB746&lt;&gt;"",OR(DB745&lt;&gt;"",DB747&lt;&gt;"")),MAX($DF$2:DF745)+1,0))</f>
        <v>0</v>
      </c>
    </row>
    <row r="747" spans="102:110">
      <c r="CX747" s="259">
        <f t="shared" ca="1" si="1039"/>
        <v>42</v>
      </c>
      <c r="CY747" s="259" t="str">
        <f t="shared" ca="1" si="1037"/>
        <v>MASTRO</v>
      </c>
      <c r="CZ747" s="259" t="e">
        <f t="shared" ca="1" si="1041"/>
        <v>#N/A</v>
      </c>
      <c r="DA747" s="259" t="str">
        <f t="shared" ca="1" si="1046"/>
        <v/>
      </c>
      <c r="DB747" s="259" t="str">
        <f t="shared" ca="1" si="1042"/>
        <v/>
      </c>
      <c r="DC747" s="259" t="str">
        <f t="shared" ca="1" si="1043"/>
        <v/>
      </c>
      <c r="DD747" s="259" t="str">
        <f t="shared" ca="1" si="1044"/>
        <v/>
      </c>
      <c r="DE747" s="259" t="str">
        <f t="shared" ca="1" si="1045"/>
        <v/>
      </c>
      <c r="DF747" s="259">
        <f ca="1">IF(AND(CX747=$DE$2,$DF$2&lt;&gt;0),0,IF(AND(DB747&lt;&gt;"",OR(DB746&lt;&gt;"",DB748&lt;&gt;"")),MAX($DF$2:DF746)+1,0))</f>
        <v>0</v>
      </c>
    </row>
    <row r="748" spans="102:110">
      <c r="CX748" s="259">
        <f t="shared" ca="1" si="1039"/>
        <v>42</v>
      </c>
      <c r="CY748" s="259" t="str">
        <f t="shared" ca="1" si="1037"/>
        <v>MASTRO</v>
      </c>
      <c r="CZ748" s="259" t="e">
        <f t="shared" ca="1" si="1041"/>
        <v>#N/A</v>
      </c>
      <c r="DA748" s="259" t="str">
        <f t="shared" ca="1" si="1046"/>
        <v/>
      </c>
      <c r="DB748" s="259" t="str">
        <f t="shared" ca="1" si="1042"/>
        <v/>
      </c>
      <c r="DC748" s="259" t="str">
        <f t="shared" ca="1" si="1043"/>
        <v/>
      </c>
      <c r="DD748" s="259" t="str">
        <f t="shared" ca="1" si="1044"/>
        <v/>
      </c>
      <c r="DE748" s="259" t="str">
        <f t="shared" ca="1" si="1045"/>
        <v/>
      </c>
      <c r="DF748" s="259">
        <f ca="1">IF(AND(CX748=$DE$2,$DF$2&lt;&gt;0),0,IF(AND(DB748&lt;&gt;"",OR(DB747&lt;&gt;"",DB749&lt;&gt;"")),MAX($DF$2:DF747)+1,0))</f>
        <v>0</v>
      </c>
    </row>
    <row r="749" spans="102:110">
      <c r="CX749" s="259">
        <f t="shared" ca="1" si="1039"/>
        <v>42</v>
      </c>
      <c r="CY749" s="259" t="str">
        <f t="shared" ca="1" si="1037"/>
        <v>MASTRO</v>
      </c>
      <c r="CZ749" s="259" t="e">
        <f t="shared" ca="1" si="1041"/>
        <v>#N/A</v>
      </c>
      <c r="DA749" s="259" t="str">
        <f t="shared" ca="1" si="1046"/>
        <v/>
      </c>
      <c r="DB749" s="259" t="str">
        <f t="shared" ca="1" si="1042"/>
        <v/>
      </c>
      <c r="DC749" s="259" t="str">
        <f t="shared" ca="1" si="1043"/>
        <v/>
      </c>
      <c r="DD749" s="259" t="str">
        <f t="shared" ca="1" si="1044"/>
        <v/>
      </c>
      <c r="DE749" s="259" t="str">
        <f t="shared" ca="1" si="1045"/>
        <v/>
      </c>
      <c r="DF749" s="259">
        <f ca="1">IF(AND(CX749=$DE$2,$DF$2&lt;&gt;0),0,IF(AND(DB749&lt;&gt;"",OR(DB748&lt;&gt;"",DB750&lt;&gt;"")),MAX($DF$2:DF748)+1,0))</f>
        <v>0</v>
      </c>
    </row>
    <row r="750" spans="102:110">
      <c r="CX750" s="259">
        <f t="shared" ca="1" si="1039"/>
        <v>42</v>
      </c>
      <c r="CY750" s="259" t="str">
        <f t="shared" ca="1" si="1037"/>
        <v>MASTRO</v>
      </c>
      <c r="CZ750" s="259" t="e">
        <f t="shared" ca="1" si="1041"/>
        <v>#N/A</v>
      </c>
      <c r="DA750" s="259" t="str">
        <f t="shared" ca="1" si="1046"/>
        <v/>
      </c>
      <c r="DB750" s="259" t="str">
        <f t="shared" ca="1" si="1042"/>
        <v/>
      </c>
      <c r="DC750" s="259" t="str">
        <f t="shared" ca="1" si="1043"/>
        <v/>
      </c>
      <c r="DD750" s="259" t="str">
        <f t="shared" ca="1" si="1044"/>
        <v/>
      </c>
      <c r="DE750" s="259" t="str">
        <f t="shared" ca="1" si="1045"/>
        <v/>
      </c>
      <c r="DF750" s="259">
        <f ca="1">IF(AND(CX750=$DE$2,$DF$2&lt;&gt;0),0,IF(AND(DB750&lt;&gt;"",OR(DB749&lt;&gt;"",DB751&lt;&gt;"")),MAX($DF$2:DF749)+1,0))</f>
        <v>0</v>
      </c>
    </row>
    <row r="751" spans="102:110">
      <c r="CX751" s="259">
        <f t="shared" ca="1" si="1039"/>
        <v>42</v>
      </c>
      <c r="CY751" s="259" t="str">
        <f t="shared" ca="1" si="1037"/>
        <v>MASTRO</v>
      </c>
      <c r="CZ751" s="259" t="e">
        <f t="shared" ca="1" si="1041"/>
        <v>#N/A</v>
      </c>
      <c r="DA751" s="259" t="str">
        <f t="shared" ca="1" si="1046"/>
        <v/>
      </c>
      <c r="DB751" s="259" t="str">
        <f t="shared" ca="1" si="1042"/>
        <v/>
      </c>
      <c r="DC751" s="259" t="str">
        <f t="shared" ca="1" si="1043"/>
        <v/>
      </c>
      <c r="DD751" s="259" t="str">
        <f t="shared" ca="1" si="1044"/>
        <v/>
      </c>
      <c r="DE751" s="259" t="str">
        <f t="shared" ca="1" si="1045"/>
        <v/>
      </c>
      <c r="DF751" s="259">
        <f ca="1">IF(AND(CX751=$DE$2,$DF$2&lt;&gt;0),0,IF(AND(DB751&lt;&gt;"",OR(DB750&lt;&gt;"",DB752&lt;&gt;"")),MAX($DF$2:DF750)+1,0))</f>
        <v>0</v>
      </c>
    </row>
    <row r="752" spans="102:110">
      <c r="CX752" s="259">
        <f t="shared" ca="1" si="1039"/>
        <v>42</v>
      </c>
      <c r="CY752" s="259" t="str">
        <f t="shared" ca="1" si="1037"/>
        <v>MASTRO</v>
      </c>
      <c r="CZ752" s="259" t="e">
        <f t="shared" ca="1" si="1041"/>
        <v>#N/A</v>
      </c>
      <c r="DA752" s="259" t="str">
        <f t="shared" ca="1" si="1046"/>
        <v/>
      </c>
      <c r="DB752" s="259" t="str">
        <f t="shared" ca="1" si="1042"/>
        <v/>
      </c>
      <c r="DC752" s="259" t="str">
        <f t="shared" ca="1" si="1043"/>
        <v/>
      </c>
      <c r="DD752" s="259" t="str">
        <f t="shared" ca="1" si="1044"/>
        <v/>
      </c>
      <c r="DE752" s="259" t="str">
        <f t="shared" ca="1" si="1045"/>
        <v/>
      </c>
      <c r="DF752" s="259">
        <f ca="1">IF(AND(CX752=$DE$2,$DF$2&lt;&gt;0),0,IF(AND(DB752&lt;&gt;"",OR(DB751&lt;&gt;"",DB753&lt;&gt;"")),MAX($DF$2:DF751)+1,0))</f>
        <v>0</v>
      </c>
    </row>
    <row r="753" spans="102:110">
      <c r="CX753" s="259">
        <f t="shared" ca="1" si="1039"/>
        <v>42</v>
      </c>
      <c r="CY753" s="259" t="str">
        <f t="shared" ca="1" si="1037"/>
        <v>MASTRO</v>
      </c>
      <c r="CZ753" s="259" t="e">
        <f t="shared" ca="1" si="1041"/>
        <v>#N/A</v>
      </c>
      <c r="DA753" s="259" t="str">
        <f t="shared" ca="1" si="1046"/>
        <v/>
      </c>
      <c r="DB753" s="259" t="str">
        <f t="shared" ca="1" si="1042"/>
        <v/>
      </c>
      <c r="DC753" s="259" t="str">
        <f t="shared" ca="1" si="1043"/>
        <v/>
      </c>
      <c r="DD753" s="259" t="str">
        <f t="shared" ca="1" si="1044"/>
        <v/>
      </c>
      <c r="DE753" s="259" t="str">
        <f t="shared" ca="1" si="1045"/>
        <v/>
      </c>
      <c r="DF753" s="259">
        <f ca="1">IF(AND(CX753=$DE$2,$DF$2&lt;&gt;0),0,IF(AND(DB753&lt;&gt;"",OR(DB752&lt;&gt;"",DB754&lt;&gt;"")),MAX($DF$2:DF752)+1,0))</f>
        <v>0</v>
      </c>
    </row>
    <row r="754" spans="102:110">
      <c r="CX754" s="259">
        <f t="shared" ca="1" si="1039"/>
        <v>42</v>
      </c>
      <c r="CY754" s="259" t="str">
        <f t="shared" ca="1" si="1037"/>
        <v>MASTRO</v>
      </c>
      <c r="CZ754" s="259" t="e">
        <f t="shared" ca="1" si="1041"/>
        <v>#N/A</v>
      </c>
      <c r="DA754" s="259" t="str">
        <f t="shared" ca="1" si="1046"/>
        <v/>
      </c>
      <c r="DB754" s="259" t="str">
        <f t="shared" ca="1" si="1042"/>
        <v/>
      </c>
      <c r="DC754" s="259" t="str">
        <f t="shared" ca="1" si="1043"/>
        <v/>
      </c>
      <c r="DD754" s="259" t="str">
        <f t="shared" ca="1" si="1044"/>
        <v/>
      </c>
      <c r="DE754" s="259" t="str">
        <f t="shared" ca="1" si="1045"/>
        <v/>
      </c>
      <c r="DF754" s="259">
        <f ca="1">IF(AND(CX754=$DE$2,$DF$2&lt;&gt;0),0,IF(AND(DB754&lt;&gt;"",OR(DB753&lt;&gt;"",DB755&lt;&gt;"")),MAX($DF$2:DF753)+1,0))</f>
        <v>0</v>
      </c>
    </row>
    <row r="755" spans="102:110">
      <c r="CX755" s="259">
        <f t="shared" ca="1" si="1039"/>
        <v>42</v>
      </c>
      <c r="CY755" s="259" t="str">
        <f t="shared" ca="1" si="1037"/>
        <v>MASTRO</v>
      </c>
      <c r="CZ755" s="259" t="e">
        <f t="shared" ca="1" si="1041"/>
        <v>#N/A</v>
      </c>
      <c r="DA755" s="259" t="str">
        <f t="shared" ca="1" si="1046"/>
        <v/>
      </c>
      <c r="DB755" s="259" t="str">
        <f t="shared" ca="1" si="1042"/>
        <v/>
      </c>
      <c r="DC755" s="259" t="str">
        <f t="shared" ca="1" si="1043"/>
        <v/>
      </c>
      <c r="DD755" s="259" t="str">
        <f t="shared" ca="1" si="1044"/>
        <v/>
      </c>
      <c r="DE755" s="259" t="str">
        <f t="shared" ca="1" si="1045"/>
        <v/>
      </c>
      <c r="DF755" s="259">
        <f ca="1">IF(AND(CX755=$DE$2,$DF$2&lt;&gt;0),0,IF(AND(DB755&lt;&gt;"",OR(DB754&lt;&gt;"",DB756&lt;&gt;"")),MAX($DF$2:DF754)+1,0))</f>
        <v>0</v>
      </c>
    </row>
    <row r="756" spans="102:110">
      <c r="CX756" s="259">
        <f t="shared" ca="1" si="1039"/>
        <v>42</v>
      </c>
      <c r="CY756" s="259" t="str">
        <f t="shared" ca="1" si="1037"/>
        <v>MASTRO</v>
      </c>
      <c r="CZ756" s="259" t="e">
        <f t="shared" ca="1" si="1041"/>
        <v>#N/A</v>
      </c>
      <c r="DA756" s="259" t="str">
        <f t="shared" ca="1" si="1046"/>
        <v/>
      </c>
      <c r="DB756" s="259" t="str">
        <f t="shared" ca="1" si="1042"/>
        <v/>
      </c>
      <c r="DC756" s="259" t="str">
        <f t="shared" ca="1" si="1043"/>
        <v/>
      </c>
      <c r="DD756" s="259" t="str">
        <f t="shared" ca="1" si="1044"/>
        <v/>
      </c>
      <c r="DE756" s="259" t="str">
        <f t="shared" ca="1" si="1045"/>
        <v/>
      </c>
      <c r="DF756" s="259">
        <f ca="1">IF(AND(CX756=$DE$2,$DF$2&lt;&gt;0),0,IF(AND(DB756&lt;&gt;"",OR(DB755&lt;&gt;"",DB757&lt;&gt;"")),MAX($DF$2:DF755)+1,0))</f>
        <v>0</v>
      </c>
    </row>
    <row r="757" spans="102:110">
      <c r="CX757" s="259">
        <f t="shared" ca="1" si="1039"/>
        <v>42</v>
      </c>
      <c r="CY757" s="259" t="str">
        <f t="shared" ca="1" si="1037"/>
        <v>MASTRO</v>
      </c>
      <c r="CZ757" s="259" t="e">
        <f t="shared" ca="1" si="1041"/>
        <v>#N/A</v>
      </c>
      <c r="DA757" s="259" t="str">
        <f t="shared" ca="1" si="1046"/>
        <v/>
      </c>
      <c r="DB757" s="259" t="str">
        <f t="shared" ca="1" si="1042"/>
        <v/>
      </c>
      <c r="DC757" s="259" t="str">
        <f t="shared" ca="1" si="1043"/>
        <v/>
      </c>
      <c r="DD757" s="259" t="str">
        <f t="shared" ca="1" si="1044"/>
        <v/>
      </c>
      <c r="DE757" s="259" t="str">
        <f t="shared" ca="1" si="1045"/>
        <v/>
      </c>
      <c r="DF757" s="259">
        <f ca="1">IF(AND(CX757=$DE$2,$DF$2&lt;&gt;0),0,IF(AND(DB757&lt;&gt;"",OR(DB756&lt;&gt;"",DB758&lt;&gt;"")),MAX($DF$2:DF756)+1,0))</f>
        <v>0</v>
      </c>
    </row>
    <row r="758" spans="102:110">
      <c r="CX758" s="259" t="str">
        <f>IFERROR(IF(CX740+1=1,"",(CX740+1)),"")</f>
        <v/>
      </c>
      <c r="CY758" s="259" t="str">
        <f t="shared" ca="1" si="1037"/>
        <v>MASTRO</v>
      </c>
      <c r="DB758" s="259" t="str">
        <f t="shared" ref="DB758" ca="1" si="1047">CY758</f>
        <v>MASTRO</v>
      </c>
      <c r="DF758" s="259">
        <f ca="1">IF(AND(CX758=$DE$2,$DF$2&lt;&gt;0),0,IF(AND(DB758&lt;&gt;"",OR(DB757&lt;&gt;"",DB759&lt;&gt;"")),MAX($DF$2:DF757)+1,0))</f>
        <v>0</v>
      </c>
    </row>
    <row r="759" spans="102:110">
      <c r="CX759" s="259">
        <f ca="1">$EA$45</f>
        <v>43</v>
      </c>
      <c r="CY759" s="259" t="str">
        <f t="shared" ca="1" si="1037"/>
        <v>MASTRO</v>
      </c>
      <c r="DA759" s="259" t="str">
        <f ca="1">IF(CY758="MASTRO","Conto n.","")</f>
        <v>Conto n.</v>
      </c>
      <c r="DB759" s="259" t="str">
        <f ca="1">IF(CY759=0,"",INDEX(PIANO_DEI_CONTI,MATCH(DC759,DENOMINAZIONE,0),1))</f>
        <v/>
      </c>
      <c r="DC759" s="259" t="str">
        <f ca="1">IF(OR(CY759=0,CY759="mastro"),"",CY759)</f>
        <v/>
      </c>
      <c r="DD759" s="259" t="str">
        <f ca="1">IF(AND($DA$2=TRUE,OR(INDEX(PIANO_DEI_CONTI,MATCH($DC759,DENOMINAZIONE,0),4)="A",INDEX(PIANO_DEI_CONTI,MATCH($DC759,DENOMINAZIONE,0),4)="D/A"),SUMIFS(AVERE,DENOMINAZIONE_GIORNALE,"="&amp;$DC759)&gt;SUMIFS(DARE,DENOMINAZIONE_GIORNALE,"="&amp;$DC759)),CONCATENATE("s ",FIXED(ABS(SUMIFS(AVERE,DENOMINAZIONE_GIORNALE,"="&amp;$DC759)-SUMIFS(DARE,DENOMINAZIONE_GIORNALE,"="&amp;$DC759)),2)),"")</f>
        <v/>
      </c>
      <c r="DE759" s="259" t="str">
        <f ca="1">IF(AND($DA$2=TRUE,OR(INDEX(PIANO_DEI_CONTI,MATCH($DC759,DENOMINAZIONE,0),4)="D",INDEX(PIANO_DEI_CONTI,MATCH($DC759,DENOMINAZIONE,0),4)="D/A"),SUMIFS(DARE,DENOMINAZIONE_GIORNALE,"="&amp;$DC759)&gt;SUMIFS(AVERE,DENOMINAZIONE_GIORNALE,"="&amp;$DC759)),CONCATENATE("s ",FIXED(ABS(SUMIFS(DARE,DENOMINAZIONE_GIORNALE,"="&amp;$DC759)-SUMIFS(AVERE,DENOMINAZIONE_GIORNALE,"="&amp;$DC759)),2)),"")</f>
        <v/>
      </c>
      <c r="DF759" s="259">
        <f ca="1">IF(AND(CX759=$DE$2,$DF$2&lt;&gt;0),0,IF(AND(DB759&lt;&gt;"",OR(DB758&lt;&gt;"",DB760&lt;&gt;"")),MAX($DF$2:DF758)+1,0))</f>
        <v>0</v>
      </c>
    </row>
    <row r="760" spans="102:110">
      <c r="CX760" s="259">
        <f t="shared" ref="CX760:CX775" ca="1" si="1048">$EA$45</f>
        <v>43</v>
      </c>
      <c r="CY760" s="259" t="str">
        <f t="shared" ca="1" si="1037"/>
        <v>MASTRO</v>
      </c>
      <c r="DA760" s="259" t="str">
        <f ca="1">IF(DB759="","","Num. riga")</f>
        <v/>
      </c>
      <c r="DB760" s="259" t="str">
        <f t="shared" ref="DB760" ca="1" si="1049">IF(DB759="","","Data")</f>
        <v/>
      </c>
      <c r="DC760" s="259" t="str">
        <f ca="1">IF(DB759="","","Operazioni")</f>
        <v/>
      </c>
      <c r="DD760" s="259" t="str">
        <f ca="1">IF(DB759="","","Dare        ")</f>
        <v/>
      </c>
      <c r="DE760" s="259" t="str">
        <f ca="1">IF(DB759="","","Avere        ")</f>
        <v/>
      </c>
      <c r="DF760" s="259">
        <f ca="1">IF(AND(CX760=$DE$2,$DF$2&lt;&gt;0),0,IF(AND(DB760&lt;&gt;"",OR(DB759&lt;&gt;"",DB761&lt;&gt;"")),MAX($DF$2:DF759)+1,0))</f>
        <v>0</v>
      </c>
    </row>
    <row r="761" spans="102:110">
      <c r="CX761" s="259">
        <f t="shared" ca="1" si="1048"/>
        <v>43</v>
      </c>
      <c r="CY761" s="259" t="str">
        <f t="shared" ca="1" si="1037"/>
        <v>MASTRO</v>
      </c>
      <c r="CZ761" s="259" t="e">
        <f t="shared" ref="CZ761:CZ775" ca="1" si="1050">SUM(MATCH($CY761,INDIRECT(ADDRESS(SUM(CZ760)+3,54)&amp;":"&amp;ADDRESS(400,54)),0),CZ760)</f>
        <v>#N/A</v>
      </c>
      <c r="DA761" s="259" t="str">
        <f ca="1">IFERROR(INDEX(LIBRO_GIORNALE,CZ761,1),"")</f>
        <v/>
      </c>
      <c r="DB761" s="259" t="str">
        <f t="shared" ref="DB761:DB775" ca="1" si="1051">IF(RIGHT(TEXT(IFERROR(INDEX(LIBRO_GIORNALE,CZ761,2),""),"gg/mm/aa"),1)="a",TEXT(IFERROR(INDEX(LIBRO_GIORNALE,CZ761,2),""),"dd/mm/yy"),TEXT(IFERROR(INDEX(LIBRO_GIORNALE,CZ761,2),""),"gg/mm/aa"))</f>
        <v/>
      </c>
      <c r="DC761" s="259" t="str">
        <f t="shared" ref="DC761:DC775" ca="1" si="1052">IF(IFERROR(INDEX(LIBRO_GIORNALE,CZ761,4),"")=0,"manca la descrizione dell'operazione",IFERROR(INDEX(LIBRO_GIORNALE,CZ761,4),""))</f>
        <v/>
      </c>
      <c r="DD761" s="259" t="str">
        <f t="shared" ref="DD761:DD775" ca="1" si="1053">IFERROR(IF(INDEX(LIBRO_GIORNALE,CZ761,5)&gt;0,INDEX(LIBRO_GIORNALE,CZ761,5),""),"")</f>
        <v/>
      </c>
      <c r="DE761" s="259" t="str">
        <f t="shared" ref="DE761:DE775" ca="1" si="1054">IFERROR(IF(INDEX(LIBRO_GIORNALE,CZ761,6)&gt;0,INDEX(LIBRO_GIORNALE,CZ761,6),""),"")</f>
        <v/>
      </c>
      <c r="DF761" s="259">
        <f ca="1">IF(AND(CX761=$DE$2,$DF$2&lt;&gt;0),0,IF(AND(DB761&lt;&gt;"",OR(DB760&lt;&gt;"",DB762&lt;&gt;"")),MAX($DF$2:DF760)+1,0))</f>
        <v>0</v>
      </c>
    </row>
    <row r="762" spans="102:110">
      <c r="CX762" s="259">
        <f t="shared" ca="1" si="1048"/>
        <v>43</v>
      </c>
      <c r="CY762" s="259" t="str">
        <f t="shared" ref="CY762:CY793" ca="1" si="1055">IF(ISERROR(INDEX($CV$3:$CX$2300,MATCH(CX762,$CW$3:$CW$2300,0),1)),"MASTRO",INDEX($CV$3:$CX$2300,MATCH(CX762,$CW$3:$CW$2300,0),1))</f>
        <v>MASTRO</v>
      </c>
      <c r="CZ762" s="259" t="e">
        <f t="shared" ca="1" si="1050"/>
        <v>#N/A</v>
      </c>
      <c r="DA762" s="259" t="str">
        <f t="shared" ref="DA762:DA775" ca="1" si="1056">IFERROR(INDEX(LIBRO_GIORNALE,CZ762,1),"")</f>
        <v/>
      </c>
      <c r="DB762" s="259" t="str">
        <f t="shared" ca="1" si="1051"/>
        <v/>
      </c>
      <c r="DC762" s="259" t="str">
        <f t="shared" ca="1" si="1052"/>
        <v/>
      </c>
      <c r="DD762" s="259" t="str">
        <f t="shared" ca="1" si="1053"/>
        <v/>
      </c>
      <c r="DE762" s="259" t="str">
        <f t="shared" ca="1" si="1054"/>
        <v/>
      </c>
      <c r="DF762" s="259">
        <f ca="1">IF(AND(CX762=$DE$2,$DF$2&lt;&gt;0),0,IF(AND(DB762&lt;&gt;"",OR(DB761&lt;&gt;"",DB763&lt;&gt;"")),MAX($DF$2:DF761)+1,0))</f>
        <v>0</v>
      </c>
    </row>
    <row r="763" spans="102:110">
      <c r="CX763" s="259">
        <f t="shared" ca="1" si="1048"/>
        <v>43</v>
      </c>
      <c r="CY763" s="259" t="str">
        <f t="shared" ca="1" si="1055"/>
        <v>MASTRO</v>
      </c>
      <c r="CZ763" s="259" t="e">
        <f t="shared" ca="1" si="1050"/>
        <v>#N/A</v>
      </c>
      <c r="DA763" s="259" t="str">
        <f t="shared" ca="1" si="1056"/>
        <v/>
      </c>
      <c r="DB763" s="259" t="str">
        <f t="shared" ca="1" si="1051"/>
        <v/>
      </c>
      <c r="DC763" s="259" t="str">
        <f t="shared" ca="1" si="1052"/>
        <v/>
      </c>
      <c r="DD763" s="259" t="str">
        <f t="shared" ca="1" si="1053"/>
        <v/>
      </c>
      <c r="DE763" s="259" t="str">
        <f t="shared" ca="1" si="1054"/>
        <v/>
      </c>
      <c r="DF763" s="259">
        <f ca="1">IF(AND(CX763=$DE$2,$DF$2&lt;&gt;0),0,IF(AND(DB763&lt;&gt;"",OR(DB762&lt;&gt;"",DB764&lt;&gt;"")),MAX($DF$2:DF762)+1,0))</f>
        <v>0</v>
      </c>
    </row>
    <row r="764" spans="102:110">
      <c r="CX764" s="259">
        <f t="shared" ca="1" si="1048"/>
        <v>43</v>
      </c>
      <c r="CY764" s="259" t="str">
        <f t="shared" ca="1" si="1055"/>
        <v>MASTRO</v>
      </c>
      <c r="CZ764" s="259" t="e">
        <f t="shared" ca="1" si="1050"/>
        <v>#N/A</v>
      </c>
      <c r="DA764" s="259" t="str">
        <f t="shared" ca="1" si="1056"/>
        <v/>
      </c>
      <c r="DB764" s="259" t="str">
        <f t="shared" ca="1" si="1051"/>
        <v/>
      </c>
      <c r="DC764" s="259" t="str">
        <f t="shared" ca="1" si="1052"/>
        <v/>
      </c>
      <c r="DD764" s="259" t="str">
        <f t="shared" ca="1" si="1053"/>
        <v/>
      </c>
      <c r="DE764" s="259" t="str">
        <f t="shared" ca="1" si="1054"/>
        <v/>
      </c>
      <c r="DF764" s="259">
        <f ca="1">IF(AND(CX764=$DE$2,$DF$2&lt;&gt;0),0,IF(AND(DB764&lt;&gt;"",OR(DB763&lt;&gt;"",DB765&lt;&gt;"")),MAX($DF$2:DF763)+1,0))</f>
        <v>0</v>
      </c>
    </row>
    <row r="765" spans="102:110">
      <c r="CX765" s="259">
        <f t="shared" ca="1" si="1048"/>
        <v>43</v>
      </c>
      <c r="CY765" s="259" t="str">
        <f t="shared" ca="1" si="1055"/>
        <v>MASTRO</v>
      </c>
      <c r="CZ765" s="259" t="e">
        <f t="shared" ca="1" si="1050"/>
        <v>#N/A</v>
      </c>
      <c r="DA765" s="259" t="str">
        <f t="shared" ca="1" si="1056"/>
        <v/>
      </c>
      <c r="DB765" s="259" t="str">
        <f t="shared" ca="1" si="1051"/>
        <v/>
      </c>
      <c r="DC765" s="259" t="str">
        <f t="shared" ca="1" si="1052"/>
        <v/>
      </c>
      <c r="DD765" s="259" t="str">
        <f t="shared" ca="1" si="1053"/>
        <v/>
      </c>
      <c r="DE765" s="259" t="str">
        <f t="shared" ca="1" si="1054"/>
        <v/>
      </c>
      <c r="DF765" s="259">
        <f ca="1">IF(AND(CX765=$DE$2,$DF$2&lt;&gt;0),0,IF(AND(DB765&lt;&gt;"",OR(DB764&lt;&gt;"",DB766&lt;&gt;"")),MAX($DF$2:DF764)+1,0))</f>
        <v>0</v>
      </c>
    </row>
    <row r="766" spans="102:110">
      <c r="CX766" s="259">
        <f t="shared" ca="1" si="1048"/>
        <v>43</v>
      </c>
      <c r="CY766" s="259" t="str">
        <f t="shared" ca="1" si="1055"/>
        <v>MASTRO</v>
      </c>
      <c r="CZ766" s="259" t="e">
        <f t="shared" ca="1" si="1050"/>
        <v>#N/A</v>
      </c>
      <c r="DA766" s="259" t="str">
        <f t="shared" ca="1" si="1056"/>
        <v/>
      </c>
      <c r="DB766" s="259" t="str">
        <f t="shared" ca="1" si="1051"/>
        <v/>
      </c>
      <c r="DC766" s="259" t="str">
        <f t="shared" ca="1" si="1052"/>
        <v/>
      </c>
      <c r="DD766" s="259" t="str">
        <f t="shared" ca="1" si="1053"/>
        <v/>
      </c>
      <c r="DE766" s="259" t="str">
        <f t="shared" ca="1" si="1054"/>
        <v/>
      </c>
      <c r="DF766" s="259">
        <f ca="1">IF(AND(CX766=$DE$2,$DF$2&lt;&gt;0),0,IF(AND(DB766&lt;&gt;"",OR(DB765&lt;&gt;"",DB767&lt;&gt;"")),MAX($DF$2:DF765)+1,0))</f>
        <v>0</v>
      </c>
    </row>
    <row r="767" spans="102:110">
      <c r="CX767" s="259">
        <f t="shared" ca="1" si="1048"/>
        <v>43</v>
      </c>
      <c r="CY767" s="259" t="str">
        <f t="shared" ca="1" si="1055"/>
        <v>MASTRO</v>
      </c>
      <c r="CZ767" s="259" t="e">
        <f t="shared" ca="1" si="1050"/>
        <v>#N/A</v>
      </c>
      <c r="DA767" s="259" t="str">
        <f t="shared" ca="1" si="1056"/>
        <v/>
      </c>
      <c r="DB767" s="259" t="str">
        <f t="shared" ca="1" si="1051"/>
        <v/>
      </c>
      <c r="DC767" s="259" t="str">
        <f t="shared" ca="1" si="1052"/>
        <v/>
      </c>
      <c r="DD767" s="259" t="str">
        <f t="shared" ca="1" si="1053"/>
        <v/>
      </c>
      <c r="DE767" s="259" t="str">
        <f t="shared" ca="1" si="1054"/>
        <v/>
      </c>
      <c r="DF767" s="259">
        <f ca="1">IF(AND(CX767=$DE$2,$DF$2&lt;&gt;0),0,IF(AND(DB767&lt;&gt;"",OR(DB766&lt;&gt;"",DB768&lt;&gt;"")),MAX($DF$2:DF766)+1,0))</f>
        <v>0</v>
      </c>
    </row>
    <row r="768" spans="102:110">
      <c r="CX768" s="259">
        <f t="shared" ca="1" si="1048"/>
        <v>43</v>
      </c>
      <c r="CY768" s="259" t="str">
        <f t="shared" ca="1" si="1055"/>
        <v>MASTRO</v>
      </c>
      <c r="CZ768" s="259" t="e">
        <f t="shared" ca="1" si="1050"/>
        <v>#N/A</v>
      </c>
      <c r="DA768" s="259" t="str">
        <f t="shared" ca="1" si="1056"/>
        <v/>
      </c>
      <c r="DB768" s="259" t="str">
        <f t="shared" ca="1" si="1051"/>
        <v/>
      </c>
      <c r="DC768" s="259" t="str">
        <f t="shared" ca="1" si="1052"/>
        <v/>
      </c>
      <c r="DD768" s="259" t="str">
        <f t="shared" ca="1" si="1053"/>
        <v/>
      </c>
      <c r="DE768" s="259" t="str">
        <f t="shared" ca="1" si="1054"/>
        <v/>
      </c>
      <c r="DF768" s="259">
        <f ca="1">IF(AND(CX768=$DE$2,$DF$2&lt;&gt;0),0,IF(AND(DB768&lt;&gt;"",OR(DB767&lt;&gt;"",DB769&lt;&gt;"")),MAX($DF$2:DF767)+1,0))</f>
        <v>0</v>
      </c>
    </row>
    <row r="769" spans="102:110">
      <c r="CX769" s="259">
        <f t="shared" ca="1" si="1048"/>
        <v>43</v>
      </c>
      <c r="CY769" s="259" t="str">
        <f t="shared" ca="1" si="1055"/>
        <v>MASTRO</v>
      </c>
      <c r="CZ769" s="259" t="e">
        <f t="shared" ca="1" si="1050"/>
        <v>#N/A</v>
      </c>
      <c r="DA769" s="259" t="str">
        <f t="shared" ca="1" si="1056"/>
        <v/>
      </c>
      <c r="DB769" s="259" t="str">
        <f t="shared" ca="1" si="1051"/>
        <v/>
      </c>
      <c r="DC769" s="259" t="str">
        <f t="shared" ca="1" si="1052"/>
        <v/>
      </c>
      <c r="DD769" s="259" t="str">
        <f t="shared" ca="1" si="1053"/>
        <v/>
      </c>
      <c r="DE769" s="259" t="str">
        <f t="shared" ca="1" si="1054"/>
        <v/>
      </c>
      <c r="DF769" s="259">
        <f ca="1">IF(AND(CX769=$DE$2,$DF$2&lt;&gt;0),0,IF(AND(DB769&lt;&gt;"",OR(DB768&lt;&gt;"",DB770&lt;&gt;"")),MAX($DF$2:DF768)+1,0))</f>
        <v>0</v>
      </c>
    </row>
    <row r="770" spans="102:110">
      <c r="CX770" s="259">
        <f t="shared" ca="1" si="1048"/>
        <v>43</v>
      </c>
      <c r="CY770" s="259" t="str">
        <f t="shared" ca="1" si="1055"/>
        <v>MASTRO</v>
      </c>
      <c r="CZ770" s="259" t="e">
        <f t="shared" ca="1" si="1050"/>
        <v>#N/A</v>
      </c>
      <c r="DA770" s="259" t="str">
        <f t="shared" ca="1" si="1056"/>
        <v/>
      </c>
      <c r="DB770" s="259" t="str">
        <f t="shared" ca="1" si="1051"/>
        <v/>
      </c>
      <c r="DC770" s="259" t="str">
        <f t="shared" ca="1" si="1052"/>
        <v/>
      </c>
      <c r="DD770" s="259" t="str">
        <f t="shared" ca="1" si="1053"/>
        <v/>
      </c>
      <c r="DE770" s="259" t="str">
        <f t="shared" ca="1" si="1054"/>
        <v/>
      </c>
      <c r="DF770" s="259">
        <f ca="1">IF(AND(CX770=$DE$2,$DF$2&lt;&gt;0),0,IF(AND(DB770&lt;&gt;"",OR(DB769&lt;&gt;"",DB771&lt;&gt;"")),MAX($DF$2:DF769)+1,0))</f>
        <v>0</v>
      </c>
    </row>
    <row r="771" spans="102:110">
      <c r="CX771" s="259">
        <f t="shared" ca="1" si="1048"/>
        <v>43</v>
      </c>
      <c r="CY771" s="259" t="str">
        <f t="shared" ca="1" si="1055"/>
        <v>MASTRO</v>
      </c>
      <c r="CZ771" s="259" t="e">
        <f t="shared" ca="1" si="1050"/>
        <v>#N/A</v>
      </c>
      <c r="DA771" s="259" t="str">
        <f t="shared" ca="1" si="1056"/>
        <v/>
      </c>
      <c r="DB771" s="259" t="str">
        <f t="shared" ca="1" si="1051"/>
        <v/>
      </c>
      <c r="DC771" s="259" t="str">
        <f t="shared" ca="1" si="1052"/>
        <v/>
      </c>
      <c r="DD771" s="259" t="str">
        <f t="shared" ca="1" si="1053"/>
        <v/>
      </c>
      <c r="DE771" s="259" t="str">
        <f t="shared" ca="1" si="1054"/>
        <v/>
      </c>
      <c r="DF771" s="259">
        <f ca="1">IF(AND(CX771=$DE$2,$DF$2&lt;&gt;0),0,IF(AND(DB771&lt;&gt;"",OR(DB770&lt;&gt;"",DB772&lt;&gt;"")),MAX($DF$2:DF770)+1,0))</f>
        <v>0</v>
      </c>
    </row>
    <row r="772" spans="102:110">
      <c r="CX772" s="259">
        <f t="shared" ca="1" si="1048"/>
        <v>43</v>
      </c>
      <c r="CY772" s="259" t="str">
        <f t="shared" ca="1" si="1055"/>
        <v>MASTRO</v>
      </c>
      <c r="CZ772" s="259" t="e">
        <f t="shared" ca="1" si="1050"/>
        <v>#N/A</v>
      </c>
      <c r="DA772" s="259" t="str">
        <f t="shared" ca="1" si="1056"/>
        <v/>
      </c>
      <c r="DB772" s="259" t="str">
        <f t="shared" ca="1" si="1051"/>
        <v/>
      </c>
      <c r="DC772" s="259" t="str">
        <f t="shared" ca="1" si="1052"/>
        <v/>
      </c>
      <c r="DD772" s="259" t="str">
        <f t="shared" ca="1" si="1053"/>
        <v/>
      </c>
      <c r="DE772" s="259" t="str">
        <f t="shared" ca="1" si="1054"/>
        <v/>
      </c>
      <c r="DF772" s="259">
        <f ca="1">IF(AND(CX772=$DE$2,$DF$2&lt;&gt;0),0,IF(AND(DB772&lt;&gt;"",OR(DB771&lt;&gt;"",DB773&lt;&gt;"")),MAX($DF$2:DF771)+1,0))</f>
        <v>0</v>
      </c>
    </row>
    <row r="773" spans="102:110">
      <c r="CX773" s="259">
        <f t="shared" ca="1" si="1048"/>
        <v>43</v>
      </c>
      <c r="CY773" s="259" t="str">
        <f t="shared" ca="1" si="1055"/>
        <v>MASTRO</v>
      </c>
      <c r="CZ773" s="259" t="e">
        <f t="shared" ca="1" si="1050"/>
        <v>#N/A</v>
      </c>
      <c r="DA773" s="259" t="str">
        <f t="shared" ca="1" si="1056"/>
        <v/>
      </c>
      <c r="DB773" s="259" t="str">
        <f t="shared" ca="1" si="1051"/>
        <v/>
      </c>
      <c r="DC773" s="259" t="str">
        <f t="shared" ca="1" si="1052"/>
        <v/>
      </c>
      <c r="DD773" s="259" t="str">
        <f t="shared" ca="1" si="1053"/>
        <v/>
      </c>
      <c r="DE773" s="259" t="str">
        <f t="shared" ca="1" si="1054"/>
        <v/>
      </c>
      <c r="DF773" s="259">
        <f ca="1">IF(AND(CX773=$DE$2,$DF$2&lt;&gt;0),0,IF(AND(DB773&lt;&gt;"",OR(DB772&lt;&gt;"",DB774&lt;&gt;"")),MAX($DF$2:DF772)+1,0))</f>
        <v>0</v>
      </c>
    </row>
    <row r="774" spans="102:110">
      <c r="CX774" s="259">
        <f t="shared" ca="1" si="1048"/>
        <v>43</v>
      </c>
      <c r="CY774" s="259" t="str">
        <f t="shared" ca="1" si="1055"/>
        <v>MASTRO</v>
      </c>
      <c r="CZ774" s="259" t="e">
        <f t="shared" ca="1" si="1050"/>
        <v>#N/A</v>
      </c>
      <c r="DA774" s="259" t="str">
        <f t="shared" ca="1" si="1056"/>
        <v/>
      </c>
      <c r="DB774" s="259" t="str">
        <f t="shared" ca="1" si="1051"/>
        <v/>
      </c>
      <c r="DC774" s="259" t="str">
        <f t="shared" ca="1" si="1052"/>
        <v/>
      </c>
      <c r="DD774" s="259" t="str">
        <f t="shared" ca="1" si="1053"/>
        <v/>
      </c>
      <c r="DE774" s="259" t="str">
        <f t="shared" ca="1" si="1054"/>
        <v/>
      </c>
      <c r="DF774" s="259">
        <f ca="1">IF(AND(CX774=$DE$2,$DF$2&lt;&gt;0),0,IF(AND(DB774&lt;&gt;"",OR(DB773&lt;&gt;"",DB775&lt;&gt;"")),MAX($DF$2:DF773)+1,0))</f>
        <v>0</v>
      </c>
    </row>
    <row r="775" spans="102:110">
      <c r="CX775" s="259">
        <f t="shared" ca="1" si="1048"/>
        <v>43</v>
      </c>
      <c r="CY775" s="259" t="str">
        <f t="shared" ca="1" si="1055"/>
        <v>MASTRO</v>
      </c>
      <c r="CZ775" s="259" t="e">
        <f t="shared" ca="1" si="1050"/>
        <v>#N/A</v>
      </c>
      <c r="DA775" s="259" t="str">
        <f t="shared" ca="1" si="1056"/>
        <v/>
      </c>
      <c r="DB775" s="259" t="str">
        <f t="shared" ca="1" si="1051"/>
        <v/>
      </c>
      <c r="DC775" s="259" t="str">
        <f t="shared" ca="1" si="1052"/>
        <v/>
      </c>
      <c r="DD775" s="259" t="str">
        <f t="shared" ca="1" si="1053"/>
        <v/>
      </c>
      <c r="DE775" s="259" t="str">
        <f t="shared" ca="1" si="1054"/>
        <v/>
      </c>
      <c r="DF775" s="259">
        <f ca="1">IF(AND(CX775=$DE$2,$DF$2&lt;&gt;0),0,IF(AND(DB775&lt;&gt;"",OR(DB774&lt;&gt;"",DB776&lt;&gt;"")),MAX($DF$2:DF774)+1,0))</f>
        <v>0</v>
      </c>
    </row>
    <row r="776" spans="102:110">
      <c r="CX776" s="259" t="str">
        <f>IFERROR(IF(CX758+1=1,"",(CX758+1)),"")</f>
        <v/>
      </c>
      <c r="CY776" s="259" t="str">
        <f t="shared" ca="1" si="1055"/>
        <v>MASTRO</v>
      </c>
      <c r="DB776" s="259" t="str">
        <f t="shared" ref="DB776" ca="1" si="1057">CY776</f>
        <v>MASTRO</v>
      </c>
      <c r="DF776" s="259">
        <f ca="1">IF(AND(CX776=$DE$2,$DF$2&lt;&gt;0),0,IF(AND(DB776&lt;&gt;"",OR(DB775&lt;&gt;"",DB777&lt;&gt;"")),MAX($DF$2:DF775)+1,0))</f>
        <v>0</v>
      </c>
    </row>
    <row r="777" spans="102:110">
      <c r="CX777" s="259">
        <f ca="1">$EA$46</f>
        <v>44</v>
      </c>
      <c r="CY777" s="259" t="str">
        <f t="shared" ca="1" si="1055"/>
        <v>MASTRO</v>
      </c>
      <c r="DA777" s="259" t="str">
        <f ca="1">IF(CY776="MASTRO","Conto n.","")</f>
        <v>Conto n.</v>
      </c>
      <c r="DB777" s="259" t="str">
        <f ca="1">IF(CY777=0,"",INDEX(PIANO_DEI_CONTI,MATCH(DC777,DENOMINAZIONE,0),1))</f>
        <v/>
      </c>
      <c r="DC777" s="259" t="str">
        <f ca="1">IF(OR(CY777=0,CY777="mastro"),"",CY777)</f>
        <v/>
      </c>
      <c r="DD777" s="259" t="str">
        <f ca="1">IF(AND($DA$2=TRUE,OR(INDEX(PIANO_DEI_CONTI,MATCH($DC777,DENOMINAZIONE,0),4)="A",INDEX(PIANO_DEI_CONTI,MATCH($DC777,DENOMINAZIONE,0),4)="D/A"),SUMIFS(AVERE,DENOMINAZIONE_GIORNALE,"="&amp;$DC777)&gt;SUMIFS(DARE,DENOMINAZIONE_GIORNALE,"="&amp;$DC777)),CONCATENATE("s ",FIXED(ABS(SUMIFS(AVERE,DENOMINAZIONE_GIORNALE,"="&amp;$DC777)-SUMIFS(DARE,DENOMINAZIONE_GIORNALE,"="&amp;$DC777)),2)),"")</f>
        <v/>
      </c>
      <c r="DE777" s="259" t="str">
        <f ca="1">IF(AND($DA$2=TRUE,OR(INDEX(PIANO_DEI_CONTI,MATCH($DC777,DENOMINAZIONE,0),4)="D",INDEX(PIANO_DEI_CONTI,MATCH($DC777,DENOMINAZIONE,0),4)="D/A"),SUMIFS(DARE,DENOMINAZIONE_GIORNALE,"="&amp;$DC777)&gt;SUMIFS(AVERE,DENOMINAZIONE_GIORNALE,"="&amp;$DC777)),CONCATENATE("s ",FIXED(ABS(SUMIFS(DARE,DENOMINAZIONE_GIORNALE,"="&amp;$DC777)-SUMIFS(AVERE,DENOMINAZIONE_GIORNALE,"="&amp;$DC777)),2)),"")</f>
        <v/>
      </c>
      <c r="DF777" s="259">
        <f ca="1">IF(AND(CX777=$DE$2,$DF$2&lt;&gt;0),0,IF(AND(DB777&lt;&gt;"",OR(DB776&lt;&gt;"",DB778&lt;&gt;"")),MAX($DF$2:DF776)+1,0))</f>
        <v>0</v>
      </c>
    </row>
    <row r="778" spans="102:110">
      <c r="CX778" s="259">
        <f t="shared" ref="CX778:CX793" ca="1" si="1058">$EA$46</f>
        <v>44</v>
      </c>
      <c r="CY778" s="259" t="str">
        <f t="shared" ca="1" si="1055"/>
        <v>MASTRO</v>
      </c>
      <c r="DA778" s="259" t="str">
        <f ca="1">IF(DB777="","","Num. riga")</f>
        <v/>
      </c>
      <c r="DB778" s="259" t="str">
        <f t="shared" ref="DB778" ca="1" si="1059">IF(DB777="","","Data")</f>
        <v/>
      </c>
      <c r="DC778" s="259" t="str">
        <f ca="1">IF(DB777="","","Operazioni")</f>
        <v/>
      </c>
      <c r="DD778" s="259" t="str">
        <f ca="1">IF(DB777="","","Dare        ")</f>
        <v/>
      </c>
      <c r="DE778" s="259" t="str">
        <f ca="1">IF(DB777="","","Avere        ")</f>
        <v/>
      </c>
      <c r="DF778" s="259">
        <f ca="1">IF(AND(CX778=$DE$2,$DF$2&lt;&gt;0),0,IF(AND(DB778&lt;&gt;"",OR(DB777&lt;&gt;"",DB779&lt;&gt;"")),MAX($DF$2:DF777)+1,0))</f>
        <v>0</v>
      </c>
    </row>
    <row r="779" spans="102:110">
      <c r="CX779" s="259">
        <f t="shared" ca="1" si="1058"/>
        <v>44</v>
      </c>
      <c r="CY779" s="259" t="str">
        <f t="shared" ca="1" si="1055"/>
        <v>MASTRO</v>
      </c>
      <c r="CZ779" s="259" t="e">
        <f t="shared" ref="CZ779:CZ793" ca="1" si="1060">SUM(MATCH($CY779,INDIRECT(ADDRESS(SUM(CZ778)+3,54)&amp;":"&amp;ADDRESS(400,54)),0),CZ778)</f>
        <v>#N/A</v>
      </c>
      <c r="DA779" s="259" t="str">
        <f ca="1">IFERROR(INDEX(LIBRO_GIORNALE,CZ779,1),"")</f>
        <v/>
      </c>
      <c r="DB779" s="259" t="str">
        <f t="shared" ref="DB779:DB793" ca="1" si="1061">IF(RIGHT(TEXT(IFERROR(INDEX(LIBRO_GIORNALE,CZ779,2),""),"gg/mm/aa"),1)="a",TEXT(IFERROR(INDEX(LIBRO_GIORNALE,CZ779,2),""),"dd/mm/yy"),TEXT(IFERROR(INDEX(LIBRO_GIORNALE,CZ779,2),""),"gg/mm/aa"))</f>
        <v/>
      </c>
      <c r="DC779" s="259" t="str">
        <f t="shared" ref="DC779:DC793" ca="1" si="1062">IF(IFERROR(INDEX(LIBRO_GIORNALE,CZ779,4),"")=0,"manca la descrizione dell'operazione",IFERROR(INDEX(LIBRO_GIORNALE,CZ779,4),""))</f>
        <v/>
      </c>
      <c r="DD779" s="259" t="str">
        <f t="shared" ref="DD779:DD793" ca="1" si="1063">IFERROR(IF(INDEX(LIBRO_GIORNALE,CZ779,5)&gt;0,INDEX(LIBRO_GIORNALE,CZ779,5),""),"")</f>
        <v/>
      </c>
      <c r="DE779" s="259" t="str">
        <f t="shared" ref="DE779:DE793" ca="1" si="1064">IFERROR(IF(INDEX(LIBRO_GIORNALE,CZ779,6)&gt;0,INDEX(LIBRO_GIORNALE,CZ779,6),""),"")</f>
        <v/>
      </c>
      <c r="DF779" s="259">
        <f ca="1">IF(AND(CX779=$DE$2,$DF$2&lt;&gt;0),0,IF(AND(DB779&lt;&gt;"",OR(DB778&lt;&gt;"",DB780&lt;&gt;"")),MAX($DF$2:DF778)+1,0))</f>
        <v>0</v>
      </c>
    </row>
    <row r="780" spans="102:110">
      <c r="CX780" s="259">
        <f t="shared" ca="1" si="1058"/>
        <v>44</v>
      </c>
      <c r="CY780" s="259" t="str">
        <f t="shared" ca="1" si="1055"/>
        <v>MASTRO</v>
      </c>
      <c r="CZ780" s="259" t="e">
        <f t="shared" ca="1" si="1060"/>
        <v>#N/A</v>
      </c>
      <c r="DA780" s="259" t="str">
        <f t="shared" ref="DA780:DA793" ca="1" si="1065">IFERROR(INDEX(LIBRO_GIORNALE,CZ780,1),"")</f>
        <v/>
      </c>
      <c r="DB780" s="259" t="str">
        <f t="shared" ca="1" si="1061"/>
        <v/>
      </c>
      <c r="DC780" s="259" t="str">
        <f t="shared" ca="1" si="1062"/>
        <v/>
      </c>
      <c r="DD780" s="259" t="str">
        <f t="shared" ca="1" si="1063"/>
        <v/>
      </c>
      <c r="DE780" s="259" t="str">
        <f t="shared" ca="1" si="1064"/>
        <v/>
      </c>
      <c r="DF780" s="259">
        <f ca="1">IF(AND(CX780=$DE$2,$DF$2&lt;&gt;0),0,IF(AND(DB780&lt;&gt;"",OR(DB779&lt;&gt;"",DB781&lt;&gt;"")),MAX($DF$2:DF779)+1,0))</f>
        <v>0</v>
      </c>
    </row>
    <row r="781" spans="102:110">
      <c r="CX781" s="259">
        <f t="shared" ca="1" si="1058"/>
        <v>44</v>
      </c>
      <c r="CY781" s="259" t="str">
        <f t="shared" ca="1" si="1055"/>
        <v>MASTRO</v>
      </c>
      <c r="CZ781" s="259" t="e">
        <f t="shared" ca="1" si="1060"/>
        <v>#N/A</v>
      </c>
      <c r="DA781" s="259" t="str">
        <f t="shared" ca="1" si="1065"/>
        <v/>
      </c>
      <c r="DB781" s="259" t="str">
        <f t="shared" ca="1" si="1061"/>
        <v/>
      </c>
      <c r="DC781" s="259" t="str">
        <f t="shared" ca="1" si="1062"/>
        <v/>
      </c>
      <c r="DD781" s="259" t="str">
        <f t="shared" ca="1" si="1063"/>
        <v/>
      </c>
      <c r="DE781" s="259" t="str">
        <f t="shared" ca="1" si="1064"/>
        <v/>
      </c>
      <c r="DF781" s="259">
        <f ca="1">IF(AND(CX781=$DE$2,$DF$2&lt;&gt;0),0,IF(AND(DB781&lt;&gt;"",OR(DB780&lt;&gt;"",DB782&lt;&gt;"")),MAX($DF$2:DF780)+1,0))</f>
        <v>0</v>
      </c>
    </row>
    <row r="782" spans="102:110">
      <c r="CX782" s="259">
        <f t="shared" ca="1" si="1058"/>
        <v>44</v>
      </c>
      <c r="CY782" s="259" t="str">
        <f t="shared" ca="1" si="1055"/>
        <v>MASTRO</v>
      </c>
      <c r="CZ782" s="259" t="e">
        <f t="shared" ca="1" si="1060"/>
        <v>#N/A</v>
      </c>
      <c r="DA782" s="259" t="str">
        <f t="shared" ca="1" si="1065"/>
        <v/>
      </c>
      <c r="DB782" s="259" t="str">
        <f t="shared" ca="1" si="1061"/>
        <v/>
      </c>
      <c r="DC782" s="259" t="str">
        <f t="shared" ca="1" si="1062"/>
        <v/>
      </c>
      <c r="DD782" s="259" t="str">
        <f t="shared" ca="1" si="1063"/>
        <v/>
      </c>
      <c r="DE782" s="259" t="str">
        <f t="shared" ca="1" si="1064"/>
        <v/>
      </c>
      <c r="DF782" s="259">
        <f ca="1">IF(AND(CX782=$DE$2,$DF$2&lt;&gt;0),0,IF(AND(DB782&lt;&gt;"",OR(DB781&lt;&gt;"",DB783&lt;&gt;"")),MAX($DF$2:DF781)+1,0))</f>
        <v>0</v>
      </c>
    </row>
    <row r="783" spans="102:110">
      <c r="CX783" s="259">
        <f t="shared" ca="1" si="1058"/>
        <v>44</v>
      </c>
      <c r="CY783" s="259" t="str">
        <f t="shared" ca="1" si="1055"/>
        <v>MASTRO</v>
      </c>
      <c r="CZ783" s="259" t="e">
        <f t="shared" ca="1" si="1060"/>
        <v>#N/A</v>
      </c>
      <c r="DA783" s="259" t="str">
        <f t="shared" ca="1" si="1065"/>
        <v/>
      </c>
      <c r="DB783" s="259" t="str">
        <f t="shared" ca="1" si="1061"/>
        <v/>
      </c>
      <c r="DC783" s="259" t="str">
        <f t="shared" ca="1" si="1062"/>
        <v/>
      </c>
      <c r="DD783" s="259" t="str">
        <f t="shared" ca="1" si="1063"/>
        <v/>
      </c>
      <c r="DE783" s="259" t="str">
        <f t="shared" ca="1" si="1064"/>
        <v/>
      </c>
      <c r="DF783" s="259">
        <f ca="1">IF(AND(CX783=$DE$2,$DF$2&lt;&gt;0),0,IF(AND(DB783&lt;&gt;"",OR(DB782&lt;&gt;"",DB784&lt;&gt;"")),MAX($DF$2:DF782)+1,0))</f>
        <v>0</v>
      </c>
    </row>
    <row r="784" spans="102:110">
      <c r="CX784" s="259">
        <f t="shared" ca="1" si="1058"/>
        <v>44</v>
      </c>
      <c r="CY784" s="259" t="str">
        <f t="shared" ca="1" si="1055"/>
        <v>MASTRO</v>
      </c>
      <c r="CZ784" s="259" t="e">
        <f t="shared" ca="1" si="1060"/>
        <v>#N/A</v>
      </c>
      <c r="DA784" s="259" t="str">
        <f t="shared" ca="1" si="1065"/>
        <v/>
      </c>
      <c r="DB784" s="259" t="str">
        <f t="shared" ca="1" si="1061"/>
        <v/>
      </c>
      <c r="DC784" s="259" t="str">
        <f t="shared" ca="1" si="1062"/>
        <v/>
      </c>
      <c r="DD784" s="259" t="str">
        <f t="shared" ca="1" si="1063"/>
        <v/>
      </c>
      <c r="DE784" s="259" t="str">
        <f t="shared" ca="1" si="1064"/>
        <v/>
      </c>
      <c r="DF784" s="259">
        <f ca="1">IF(AND(CX784=$DE$2,$DF$2&lt;&gt;0),0,IF(AND(DB784&lt;&gt;"",OR(DB783&lt;&gt;"",DB785&lt;&gt;"")),MAX($DF$2:DF783)+1,0))</f>
        <v>0</v>
      </c>
    </row>
    <row r="785" spans="102:110">
      <c r="CX785" s="259">
        <f t="shared" ca="1" si="1058"/>
        <v>44</v>
      </c>
      <c r="CY785" s="259" t="str">
        <f t="shared" ca="1" si="1055"/>
        <v>MASTRO</v>
      </c>
      <c r="CZ785" s="259" t="e">
        <f t="shared" ca="1" si="1060"/>
        <v>#N/A</v>
      </c>
      <c r="DA785" s="259" t="str">
        <f t="shared" ca="1" si="1065"/>
        <v/>
      </c>
      <c r="DB785" s="259" t="str">
        <f t="shared" ca="1" si="1061"/>
        <v/>
      </c>
      <c r="DC785" s="259" t="str">
        <f t="shared" ca="1" si="1062"/>
        <v/>
      </c>
      <c r="DD785" s="259" t="str">
        <f t="shared" ca="1" si="1063"/>
        <v/>
      </c>
      <c r="DE785" s="259" t="str">
        <f t="shared" ca="1" si="1064"/>
        <v/>
      </c>
      <c r="DF785" s="259">
        <f ca="1">IF(AND(CX785=$DE$2,$DF$2&lt;&gt;0),0,IF(AND(DB785&lt;&gt;"",OR(DB784&lt;&gt;"",DB786&lt;&gt;"")),MAX($DF$2:DF784)+1,0))</f>
        <v>0</v>
      </c>
    </row>
    <row r="786" spans="102:110">
      <c r="CX786" s="259">
        <f t="shared" ca="1" si="1058"/>
        <v>44</v>
      </c>
      <c r="CY786" s="259" t="str">
        <f t="shared" ca="1" si="1055"/>
        <v>MASTRO</v>
      </c>
      <c r="CZ786" s="259" t="e">
        <f t="shared" ca="1" si="1060"/>
        <v>#N/A</v>
      </c>
      <c r="DA786" s="259" t="str">
        <f t="shared" ca="1" si="1065"/>
        <v/>
      </c>
      <c r="DB786" s="259" t="str">
        <f t="shared" ca="1" si="1061"/>
        <v/>
      </c>
      <c r="DC786" s="259" t="str">
        <f t="shared" ca="1" si="1062"/>
        <v/>
      </c>
      <c r="DD786" s="259" t="str">
        <f t="shared" ca="1" si="1063"/>
        <v/>
      </c>
      <c r="DE786" s="259" t="str">
        <f t="shared" ca="1" si="1064"/>
        <v/>
      </c>
      <c r="DF786" s="259">
        <f ca="1">IF(AND(CX786=$DE$2,$DF$2&lt;&gt;0),0,IF(AND(DB786&lt;&gt;"",OR(DB785&lt;&gt;"",DB787&lt;&gt;"")),MAX($DF$2:DF785)+1,0))</f>
        <v>0</v>
      </c>
    </row>
    <row r="787" spans="102:110">
      <c r="CX787" s="259">
        <f t="shared" ca="1" si="1058"/>
        <v>44</v>
      </c>
      <c r="CY787" s="259" t="str">
        <f t="shared" ca="1" si="1055"/>
        <v>MASTRO</v>
      </c>
      <c r="CZ787" s="259" t="e">
        <f t="shared" ca="1" si="1060"/>
        <v>#N/A</v>
      </c>
      <c r="DA787" s="259" t="str">
        <f t="shared" ca="1" si="1065"/>
        <v/>
      </c>
      <c r="DB787" s="259" t="str">
        <f t="shared" ca="1" si="1061"/>
        <v/>
      </c>
      <c r="DC787" s="259" t="str">
        <f t="shared" ca="1" si="1062"/>
        <v/>
      </c>
      <c r="DD787" s="259" t="str">
        <f t="shared" ca="1" si="1063"/>
        <v/>
      </c>
      <c r="DE787" s="259" t="str">
        <f t="shared" ca="1" si="1064"/>
        <v/>
      </c>
      <c r="DF787" s="259">
        <f ca="1">IF(AND(CX787=$DE$2,$DF$2&lt;&gt;0),0,IF(AND(DB787&lt;&gt;"",OR(DB786&lt;&gt;"",DB788&lt;&gt;"")),MAX($DF$2:DF786)+1,0))</f>
        <v>0</v>
      </c>
    </row>
    <row r="788" spans="102:110">
      <c r="CX788" s="259">
        <f t="shared" ca="1" si="1058"/>
        <v>44</v>
      </c>
      <c r="CY788" s="259" t="str">
        <f t="shared" ca="1" si="1055"/>
        <v>MASTRO</v>
      </c>
      <c r="CZ788" s="259" t="e">
        <f t="shared" ca="1" si="1060"/>
        <v>#N/A</v>
      </c>
      <c r="DA788" s="259" t="str">
        <f t="shared" ca="1" si="1065"/>
        <v/>
      </c>
      <c r="DB788" s="259" t="str">
        <f t="shared" ca="1" si="1061"/>
        <v/>
      </c>
      <c r="DC788" s="259" t="str">
        <f t="shared" ca="1" si="1062"/>
        <v/>
      </c>
      <c r="DD788" s="259" t="str">
        <f t="shared" ca="1" si="1063"/>
        <v/>
      </c>
      <c r="DE788" s="259" t="str">
        <f t="shared" ca="1" si="1064"/>
        <v/>
      </c>
      <c r="DF788" s="259">
        <f ca="1">IF(AND(CX788=$DE$2,$DF$2&lt;&gt;0),0,IF(AND(DB788&lt;&gt;"",OR(DB787&lt;&gt;"",DB789&lt;&gt;"")),MAX($DF$2:DF787)+1,0))</f>
        <v>0</v>
      </c>
    </row>
    <row r="789" spans="102:110">
      <c r="CX789" s="259">
        <f t="shared" ca="1" si="1058"/>
        <v>44</v>
      </c>
      <c r="CY789" s="259" t="str">
        <f t="shared" ca="1" si="1055"/>
        <v>MASTRO</v>
      </c>
      <c r="CZ789" s="259" t="e">
        <f t="shared" ca="1" si="1060"/>
        <v>#N/A</v>
      </c>
      <c r="DA789" s="259" t="str">
        <f t="shared" ca="1" si="1065"/>
        <v/>
      </c>
      <c r="DB789" s="259" t="str">
        <f t="shared" ca="1" si="1061"/>
        <v/>
      </c>
      <c r="DC789" s="259" t="str">
        <f t="shared" ca="1" si="1062"/>
        <v/>
      </c>
      <c r="DD789" s="259" t="str">
        <f t="shared" ca="1" si="1063"/>
        <v/>
      </c>
      <c r="DE789" s="259" t="str">
        <f t="shared" ca="1" si="1064"/>
        <v/>
      </c>
      <c r="DF789" s="259">
        <f ca="1">IF(AND(CX789=$DE$2,$DF$2&lt;&gt;0),0,IF(AND(DB789&lt;&gt;"",OR(DB788&lt;&gt;"",DB790&lt;&gt;"")),MAX($DF$2:DF788)+1,0))</f>
        <v>0</v>
      </c>
    </row>
    <row r="790" spans="102:110">
      <c r="CX790" s="259">
        <f t="shared" ca="1" si="1058"/>
        <v>44</v>
      </c>
      <c r="CY790" s="259" t="str">
        <f t="shared" ca="1" si="1055"/>
        <v>MASTRO</v>
      </c>
      <c r="CZ790" s="259" t="e">
        <f t="shared" ca="1" si="1060"/>
        <v>#N/A</v>
      </c>
      <c r="DA790" s="259" t="str">
        <f t="shared" ca="1" si="1065"/>
        <v/>
      </c>
      <c r="DB790" s="259" t="str">
        <f t="shared" ca="1" si="1061"/>
        <v/>
      </c>
      <c r="DC790" s="259" t="str">
        <f t="shared" ca="1" si="1062"/>
        <v/>
      </c>
      <c r="DD790" s="259" t="str">
        <f t="shared" ca="1" si="1063"/>
        <v/>
      </c>
      <c r="DE790" s="259" t="str">
        <f t="shared" ca="1" si="1064"/>
        <v/>
      </c>
      <c r="DF790" s="259">
        <f ca="1">IF(AND(CX790=$DE$2,$DF$2&lt;&gt;0),0,IF(AND(DB790&lt;&gt;"",OR(DB789&lt;&gt;"",DB791&lt;&gt;"")),MAX($DF$2:DF789)+1,0))</f>
        <v>0</v>
      </c>
    </row>
    <row r="791" spans="102:110">
      <c r="CX791" s="259">
        <f t="shared" ca="1" si="1058"/>
        <v>44</v>
      </c>
      <c r="CY791" s="259" t="str">
        <f t="shared" ca="1" si="1055"/>
        <v>MASTRO</v>
      </c>
      <c r="CZ791" s="259" t="e">
        <f t="shared" ca="1" si="1060"/>
        <v>#N/A</v>
      </c>
      <c r="DA791" s="259" t="str">
        <f t="shared" ca="1" si="1065"/>
        <v/>
      </c>
      <c r="DB791" s="259" t="str">
        <f t="shared" ca="1" si="1061"/>
        <v/>
      </c>
      <c r="DC791" s="259" t="str">
        <f t="shared" ca="1" si="1062"/>
        <v/>
      </c>
      <c r="DD791" s="259" t="str">
        <f t="shared" ca="1" si="1063"/>
        <v/>
      </c>
      <c r="DE791" s="259" t="str">
        <f t="shared" ca="1" si="1064"/>
        <v/>
      </c>
      <c r="DF791" s="259">
        <f ca="1">IF(AND(CX791=$DE$2,$DF$2&lt;&gt;0),0,IF(AND(DB791&lt;&gt;"",OR(DB790&lt;&gt;"",DB792&lt;&gt;"")),MAX($DF$2:DF790)+1,0))</f>
        <v>0</v>
      </c>
    </row>
    <row r="792" spans="102:110">
      <c r="CX792" s="259">
        <f t="shared" ca="1" si="1058"/>
        <v>44</v>
      </c>
      <c r="CY792" s="259" t="str">
        <f t="shared" ca="1" si="1055"/>
        <v>MASTRO</v>
      </c>
      <c r="CZ792" s="259" t="e">
        <f t="shared" ca="1" si="1060"/>
        <v>#N/A</v>
      </c>
      <c r="DA792" s="259" t="str">
        <f t="shared" ca="1" si="1065"/>
        <v/>
      </c>
      <c r="DB792" s="259" t="str">
        <f t="shared" ca="1" si="1061"/>
        <v/>
      </c>
      <c r="DC792" s="259" t="str">
        <f t="shared" ca="1" si="1062"/>
        <v/>
      </c>
      <c r="DD792" s="259" t="str">
        <f t="shared" ca="1" si="1063"/>
        <v/>
      </c>
      <c r="DE792" s="259" t="str">
        <f t="shared" ca="1" si="1064"/>
        <v/>
      </c>
      <c r="DF792" s="259">
        <f ca="1">IF(AND(CX792=$DE$2,$DF$2&lt;&gt;0),0,IF(AND(DB792&lt;&gt;"",OR(DB791&lt;&gt;"",DB793&lt;&gt;"")),MAX($DF$2:DF791)+1,0))</f>
        <v>0</v>
      </c>
    </row>
    <row r="793" spans="102:110">
      <c r="CX793" s="259">
        <f t="shared" ca="1" si="1058"/>
        <v>44</v>
      </c>
      <c r="CY793" s="259" t="str">
        <f t="shared" ca="1" si="1055"/>
        <v>MASTRO</v>
      </c>
      <c r="CZ793" s="259" t="e">
        <f t="shared" ca="1" si="1060"/>
        <v>#N/A</v>
      </c>
      <c r="DA793" s="259" t="str">
        <f t="shared" ca="1" si="1065"/>
        <v/>
      </c>
      <c r="DB793" s="259" t="str">
        <f t="shared" ca="1" si="1061"/>
        <v/>
      </c>
      <c r="DC793" s="259" t="str">
        <f t="shared" ca="1" si="1062"/>
        <v/>
      </c>
      <c r="DD793" s="259" t="str">
        <f t="shared" ca="1" si="1063"/>
        <v/>
      </c>
      <c r="DE793" s="259" t="str">
        <f t="shared" ca="1" si="1064"/>
        <v/>
      </c>
      <c r="DF793" s="259">
        <f ca="1">IF(AND(CX793=$DE$2,$DF$2&lt;&gt;0),0,IF(AND(DB793&lt;&gt;"",OR(DB792&lt;&gt;"",DB794&lt;&gt;"")),MAX($DF$2:DF792)+1,0))</f>
        <v>0</v>
      </c>
    </row>
    <row r="794" spans="102:110">
      <c r="CX794" s="259" t="str">
        <f>IFERROR(IF(CX776+1=1,"",(CX776+1)),"")</f>
        <v/>
      </c>
      <c r="CY794" s="259" t="s">
        <v>269</v>
      </c>
      <c r="DB794" s="259" t="str">
        <f t="shared" ref="DB794" si="1066">CY794</f>
        <v>MASTRO</v>
      </c>
      <c r="DF794" s="259">
        <f ca="1">IF(AND(CX794=$DE$2,$DF$2&lt;&gt;0),0,IF(AND(DB794&lt;&gt;"",OR(DB793&lt;&gt;"",DB795&lt;&gt;"")),MAX($DF$2:DF793)+1,0))</f>
        <v>0</v>
      </c>
    </row>
    <row r="795" spans="102:110">
      <c r="CX795" s="259">
        <f ca="1">$EA$47</f>
        <v>45</v>
      </c>
      <c r="CY795" s="259" t="str">
        <f t="shared" ref="CY795:CY828" ca="1" si="1067">IF(ISERROR(INDEX($CV$3:$CX$2300,MATCH(CX795,$CW$3:$CW$2300,0),1)),"MASTRO",INDEX($CV$3:$CX$2300,MATCH(CX795,$CW$3:$CW$2300,0),1))</f>
        <v>MASTRO</v>
      </c>
      <c r="DA795" s="259" t="str">
        <f>IF(CY794="MASTRO","Conto n.","")</f>
        <v>Conto n.</v>
      </c>
      <c r="DB795" s="259" t="str">
        <f ca="1">IF(CY795=0,"",INDEX(PIANO_DEI_CONTI,MATCH(DC795,DENOMINAZIONE,0),1))</f>
        <v/>
      </c>
      <c r="DC795" s="259" t="str">
        <f ca="1">IF(OR(CY795=0,CY795="mastro"),"",CY795)</f>
        <v/>
      </c>
      <c r="DD795" s="259" t="str">
        <f ca="1">IF(AND($DA$2=TRUE,OR(INDEX(PIANO_DEI_CONTI,MATCH($DC795,DENOMINAZIONE,0),4)="A",INDEX(PIANO_DEI_CONTI,MATCH($DC795,DENOMINAZIONE,0),4)="D/A"),SUMIFS(AVERE,DENOMINAZIONE_GIORNALE,"="&amp;$DC795)&gt;SUMIFS(DARE,DENOMINAZIONE_GIORNALE,"="&amp;$DC795)),CONCATENATE("s ",FIXED(ABS(SUMIFS(AVERE,DENOMINAZIONE_GIORNALE,"="&amp;$DC795)-SUMIFS(DARE,DENOMINAZIONE_GIORNALE,"="&amp;$DC795)),2)),"")</f>
        <v/>
      </c>
      <c r="DE795" s="259" t="str">
        <f ca="1">IF(AND($DA$2=TRUE,OR(INDEX(PIANO_DEI_CONTI,MATCH($DC795,DENOMINAZIONE,0),4)="D",INDEX(PIANO_DEI_CONTI,MATCH($DC795,DENOMINAZIONE,0),4)="D/A"),SUMIFS(DARE,DENOMINAZIONE_GIORNALE,"="&amp;$DC795)&gt;SUMIFS(AVERE,DENOMINAZIONE_GIORNALE,"="&amp;$DC795)),CONCATENATE("s ",FIXED(ABS(SUMIFS(DARE,DENOMINAZIONE_GIORNALE,"="&amp;$DC795)-SUMIFS(AVERE,DENOMINAZIONE_GIORNALE,"="&amp;$DC795)),2)),"")</f>
        <v/>
      </c>
      <c r="DF795" s="259">
        <f ca="1">IF(AND(CX795=$DE$2,$DF$2&lt;&gt;0),0,IF(AND(DB795&lt;&gt;"",OR(DB794&lt;&gt;"",DB796&lt;&gt;"")),MAX($DF$2:DF794)+1,0))</f>
        <v>0</v>
      </c>
    </row>
    <row r="796" spans="102:110">
      <c r="CX796" s="259">
        <f t="shared" ref="CX796:CX811" ca="1" si="1068">$EA$47</f>
        <v>45</v>
      </c>
      <c r="CY796" s="259" t="str">
        <f t="shared" ca="1" si="1067"/>
        <v>MASTRO</v>
      </c>
      <c r="DA796" s="259" t="str">
        <f ca="1">IF(DB795="","","Num. riga")</f>
        <v/>
      </c>
      <c r="DB796" s="259" t="str">
        <f t="shared" ref="DB796" ca="1" si="1069">IF(DB795="","","Data")</f>
        <v/>
      </c>
      <c r="DC796" s="259" t="str">
        <f ca="1">IF(DB795="","","Operazioni")</f>
        <v/>
      </c>
      <c r="DD796" s="259" t="str">
        <f ca="1">IF(DB795="","","Dare        ")</f>
        <v/>
      </c>
      <c r="DE796" s="259" t="str">
        <f ca="1">IF(DB795="","","Avere        ")</f>
        <v/>
      </c>
      <c r="DF796" s="259">
        <f ca="1">IF(AND(CX796=$DE$2,$DF$2&lt;&gt;0),0,IF(AND(DB796&lt;&gt;"",OR(DB795&lt;&gt;"",DB797&lt;&gt;"")),MAX($DF$2:DF795)+1,0))</f>
        <v>0</v>
      </c>
    </row>
    <row r="797" spans="102:110">
      <c r="CX797" s="259">
        <f t="shared" ca="1" si="1068"/>
        <v>45</v>
      </c>
      <c r="CY797" s="259" t="str">
        <f t="shared" ca="1" si="1067"/>
        <v>MASTRO</v>
      </c>
      <c r="CZ797" s="259" t="e">
        <f t="shared" ref="CZ797:CZ811" ca="1" si="1070">SUM(MATCH($CY797,INDIRECT(ADDRESS(SUM(CZ796)+3,54)&amp;":"&amp;ADDRESS(400,54)),0),CZ796)</f>
        <v>#N/A</v>
      </c>
      <c r="DA797" s="259" t="str">
        <f ca="1">IFERROR(INDEX(LIBRO_GIORNALE,CZ797,1),"")</f>
        <v/>
      </c>
      <c r="DB797" s="259" t="str">
        <f t="shared" ref="DB797:DB811" ca="1" si="1071">IF(RIGHT(TEXT(IFERROR(INDEX(LIBRO_GIORNALE,CZ797,2),""),"gg/mm/aa"),1)="a",TEXT(IFERROR(INDEX(LIBRO_GIORNALE,CZ797,2),""),"dd/mm/yy"),TEXT(IFERROR(INDEX(LIBRO_GIORNALE,CZ797,2),""),"gg/mm/aa"))</f>
        <v/>
      </c>
      <c r="DC797" s="259" t="str">
        <f t="shared" ref="DC797:DC811" ca="1" si="1072">IF(IFERROR(INDEX(LIBRO_GIORNALE,CZ797,4),"")=0,"manca la descrizione dell'operazione",IFERROR(INDEX(LIBRO_GIORNALE,CZ797,4),""))</f>
        <v/>
      </c>
      <c r="DD797" s="259" t="str">
        <f t="shared" ref="DD797:DD811" ca="1" si="1073">IFERROR(IF(INDEX(LIBRO_GIORNALE,CZ797,5)&gt;0,INDEX(LIBRO_GIORNALE,CZ797,5),""),"")</f>
        <v/>
      </c>
      <c r="DE797" s="259" t="str">
        <f t="shared" ref="DE797:DE811" ca="1" si="1074">IFERROR(IF(INDEX(LIBRO_GIORNALE,CZ797,6)&gt;0,INDEX(LIBRO_GIORNALE,CZ797,6),""),"")</f>
        <v/>
      </c>
      <c r="DF797" s="259">
        <f ca="1">IF(AND(CX797=$DE$2,$DF$2&lt;&gt;0),0,IF(AND(DB797&lt;&gt;"",OR(DB796&lt;&gt;"",DB798&lt;&gt;"")),MAX($DF$2:DF796)+1,0))</f>
        <v>0</v>
      </c>
    </row>
    <row r="798" spans="102:110">
      <c r="CX798" s="259">
        <f t="shared" ca="1" si="1068"/>
        <v>45</v>
      </c>
      <c r="CY798" s="259" t="str">
        <f t="shared" ca="1" si="1067"/>
        <v>MASTRO</v>
      </c>
      <c r="CZ798" s="259" t="e">
        <f t="shared" ca="1" si="1070"/>
        <v>#N/A</v>
      </c>
      <c r="DA798" s="259" t="str">
        <f t="shared" ref="DA798:DA811" ca="1" si="1075">IFERROR(INDEX(LIBRO_GIORNALE,CZ798,1),"")</f>
        <v/>
      </c>
      <c r="DB798" s="259" t="str">
        <f t="shared" ca="1" si="1071"/>
        <v/>
      </c>
      <c r="DC798" s="259" t="str">
        <f t="shared" ca="1" si="1072"/>
        <v/>
      </c>
      <c r="DD798" s="259" t="str">
        <f t="shared" ca="1" si="1073"/>
        <v/>
      </c>
      <c r="DE798" s="259" t="str">
        <f t="shared" ca="1" si="1074"/>
        <v/>
      </c>
      <c r="DF798" s="259">
        <f ca="1">IF(AND(CX798=$DE$2,$DF$2&lt;&gt;0),0,IF(AND(DB798&lt;&gt;"",OR(DB797&lt;&gt;"",DB799&lt;&gt;"")),MAX($DF$2:DF797)+1,0))</f>
        <v>0</v>
      </c>
    </row>
    <row r="799" spans="102:110">
      <c r="CX799" s="259">
        <f t="shared" ca="1" si="1068"/>
        <v>45</v>
      </c>
      <c r="CY799" s="259" t="str">
        <f t="shared" ca="1" si="1067"/>
        <v>MASTRO</v>
      </c>
      <c r="CZ799" s="259" t="e">
        <f t="shared" ca="1" si="1070"/>
        <v>#N/A</v>
      </c>
      <c r="DA799" s="259" t="str">
        <f t="shared" ca="1" si="1075"/>
        <v/>
      </c>
      <c r="DB799" s="259" t="str">
        <f t="shared" ca="1" si="1071"/>
        <v/>
      </c>
      <c r="DC799" s="259" t="str">
        <f t="shared" ca="1" si="1072"/>
        <v/>
      </c>
      <c r="DD799" s="259" t="str">
        <f t="shared" ca="1" si="1073"/>
        <v/>
      </c>
      <c r="DE799" s="259" t="str">
        <f t="shared" ca="1" si="1074"/>
        <v/>
      </c>
      <c r="DF799" s="259">
        <f ca="1">IF(AND(CX799=$DE$2,$DF$2&lt;&gt;0),0,IF(AND(DB799&lt;&gt;"",OR(DB798&lt;&gt;"",DB800&lt;&gt;"")),MAX($DF$2:DF798)+1,0))</f>
        <v>0</v>
      </c>
    </row>
    <row r="800" spans="102:110">
      <c r="CX800" s="259">
        <f t="shared" ca="1" si="1068"/>
        <v>45</v>
      </c>
      <c r="CY800" s="259" t="str">
        <f t="shared" ca="1" si="1067"/>
        <v>MASTRO</v>
      </c>
      <c r="CZ800" s="259" t="e">
        <f t="shared" ca="1" si="1070"/>
        <v>#N/A</v>
      </c>
      <c r="DA800" s="259" t="str">
        <f t="shared" ca="1" si="1075"/>
        <v/>
      </c>
      <c r="DB800" s="259" t="str">
        <f t="shared" ca="1" si="1071"/>
        <v/>
      </c>
      <c r="DC800" s="259" t="str">
        <f t="shared" ca="1" si="1072"/>
        <v/>
      </c>
      <c r="DD800" s="259" t="str">
        <f t="shared" ca="1" si="1073"/>
        <v/>
      </c>
      <c r="DE800" s="259" t="str">
        <f t="shared" ca="1" si="1074"/>
        <v/>
      </c>
      <c r="DF800" s="259">
        <f ca="1">IF(AND(CX800=$DE$2,$DF$2&lt;&gt;0),0,IF(AND(DB800&lt;&gt;"",OR(DB799&lt;&gt;"",DB801&lt;&gt;"")),MAX($DF$2:DF799)+1,0))</f>
        <v>0</v>
      </c>
    </row>
    <row r="801" spans="102:110">
      <c r="CX801" s="259">
        <f t="shared" ca="1" si="1068"/>
        <v>45</v>
      </c>
      <c r="CY801" s="259" t="str">
        <f t="shared" ca="1" si="1067"/>
        <v>MASTRO</v>
      </c>
      <c r="CZ801" s="259" t="e">
        <f t="shared" ca="1" si="1070"/>
        <v>#N/A</v>
      </c>
      <c r="DA801" s="259" t="str">
        <f t="shared" ca="1" si="1075"/>
        <v/>
      </c>
      <c r="DB801" s="259" t="str">
        <f t="shared" ca="1" si="1071"/>
        <v/>
      </c>
      <c r="DC801" s="259" t="str">
        <f t="shared" ca="1" si="1072"/>
        <v/>
      </c>
      <c r="DD801" s="259" t="str">
        <f t="shared" ca="1" si="1073"/>
        <v/>
      </c>
      <c r="DE801" s="259" t="str">
        <f t="shared" ca="1" si="1074"/>
        <v/>
      </c>
      <c r="DF801" s="259">
        <f ca="1">IF(AND(CX801=$DE$2,$DF$2&lt;&gt;0),0,IF(AND(DB801&lt;&gt;"",OR(DB800&lt;&gt;"",DB802&lt;&gt;"")),MAX($DF$2:DF800)+1,0))</f>
        <v>0</v>
      </c>
    </row>
    <row r="802" spans="102:110">
      <c r="CX802" s="259">
        <f t="shared" ca="1" si="1068"/>
        <v>45</v>
      </c>
      <c r="CY802" s="259" t="str">
        <f t="shared" ca="1" si="1067"/>
        <v>MASTRO</v>
      </c>
      <c r="CZ802" s="259" t="e">
        <f t="shared" ca="1" si="1070"/>
        <v>#N/A</v>
      </c>
      <c r="DA802" s="259" t="str">
        <f t="shared" ca="1" si="1075"/>
        <v/>
      </c>
      <c r="DB802" s="259" t="str">
        <f t="shared" ca="1" si="1071"/>
        <v/>
      </c>
      <c r="DC802" s="259" t="str">
        <f t="shared" ca="1" si="1072"/>
        <v/>
      </c>
      <c r="DD802" s="259" t="str">
        <f t="shared" ca="1" si="1073"/>
        <v/>
      </c>
      <c r="DE802" s="259" t="str">
        <f t="shared" ca="1" si="1074"/>
        <v/>
      </c>
      <c r="DF802" s="259">
        <f ca="1">IF(AND(CX802=$DE$2,$DF$2&lt;&gt;0),0,IF(AND(DB802&lt;&gt;"",OR(DB801&lt;&gt;"",DB803&lt;&gt;"")),MAX($DF$2:DF801)+1,0))</f>
        <v>0</v>
      </c>
    </row>
    <row r="803" spans="102:110">
      <c r="CX803" s="259">
        <f t="shared" ca="1" si="1068"/>
        <v>45</v>
      </c>
      <c r="CY803" s="259" t="str">
        <f t="shared" ca="1" si="1067"/>
        <v>MASTRO</v>
      </c>
      <c r="CZ803" s="259" t="e">
        <f t="shared" ca="1" si="1070"/>
        <v>#N/A</v>
      </c>
      <c r="DA803" s="259" t="str">
        <f t="shared" ca="1" si="1075"/>
        <v/>
      </c>
      <c r="DB803" s="259" t="str">
        <f t="shared" ca="1" si="1071"/>
        <v/>
      </c>
      <c r="DC803" s="259" t="str">
        <f t="shared" ca="1" si="1072"/>
        <v/>
      </c>
      <c r="DD803" s="259" t="str">
        <f t="shared" ca="1" si="1073"/>
        <v/>
      </c>
      <c r="DE803" s="259" t="str">
        <f t="shared" ca="1" si="1074"/>
        <v/>
      </c>
      <c r="DF803" s="259">
        <f ca="1">IF(AND(CX803=$DE$2,$DF$2&lt;&gt;0),0,IF(AND(DB803&lt;&gt;"",OR(DB802&lt;&gt;"",DB804&lt;&gt;"")),MAX($DF$2:DF802)+1,0))</f>
        <v>0</v>
      </c>
    </row>
    <row r="804" spans="102:110">
      <c r="CX804" s="259">
        <f t="shared" ca="1" si="1068"/>
        <v>45</v>
      </c>
      <c r="CY804" s="259" t="str">
        <f t="shared" ca="1" si="1067"/>
        <v>MASTRO</v>
      </c>
      <c r="CZ804" s="259" t="e">
        <f t="shared" ca="1" si="1070"/>
        <v>#N/A</v>
      </c>
      <c r="DA804" s="259" t="str">
        <f t="shared" ca="1" si="1075"/>
        <v/>
      </c>
      <c r="DB804" s="259" t="str">
        <f t="shared" ca="1" si="1071"/>
        <v/>
      </c>
      <c r="DC804" s="259" t="str">
        <f t="shared" ca="1" si="1072"/>
        <v/>
      </c>
      <c r="DD804" s="259" t="str">
        <f t="shared" ca="1" si="1073"/>
        <v/>
      </c>
      <c r="DE804" s="259" t="str">
        <f t="shared" ca="1" si="1074"/>
        <v/>
      </c>
      <c r="DF804" s="259">
        <f ca="1">IF(AND(CX804=$DE$2,$DF$2&lt;&gt;0),0,IF(AND(DB804&lt;&gt;"",OR(DB803&lt;&gt;"",DB805&lt;&gt;"")),MAX($DF$2:DF803)+1,0))</f>
        <v>0</v>
      </c>
    </row>
    <row r="805" spans="102:110">
      <c r="CX805" s="259">
        <f t="shared" ca="1" si="1068"/>
        <v>45</v>
      </c>
      <c r="CY805" s="259" t="str">
        <f t="shared" ca="1" si="1067"/>
        <v>MASTRO</v>
      </c>
      <c r="CZ805" s="259" t="e">
        <f t="shared" ca="1" si="1070"/>
        <v>#N/A</v>
      </c>
      <c r="DA805" s="259" t="str">
        <f t="shared" ca="1" si="1075"/>
        <v/>
      </c>
      <c r="DB805" s="259" t="str">
        <f t="shared" ca="1" si="1071"/>
        <v/>
      </c>
      <c r="DC805" s="259" t="str">
        <f t="shared" ca="1" si="1072"/>
        <v/>
      </c>
      <c r="DD805" s="259" t="str">
        <f t="shared" ca="1" si="1073"/>
        <v/>
      </c>
      <c r="DE805" s="259" t="str">
        <f t="shared" ca="1" si="1074"/>
        <v/>
      </c>
      <c r="DF805" s="259">
        <f ca="1">IF(AND(CX805=$DE$2,$DF$2&lt;&gt;0),0,IF(AND(DB805&lt;&gt;"",OR(DB804&lt;&gt;"",DB806&lt;&gt;"")),MAX($DF$2:DF804)+1,0))</f>
        <v>0</v>
      </c>
    </row>
    <row r="806" spans="102:110">
      <c r="CX806" s="259">
        <f t="shared" ca="1" si="1068"/>
        <v>45</v>
      </c>
      <c r="CY806" s="259" t="str">
        <f t="shared" ca="1" si="1067"/>
        <v>MASTRO</v>
      </c>
      <c r="CZ806" s="259" t="e">
        <f t="shared" ca="1" si="1070"/>
        <v>#N/A</v>
      </c>
      <c r="DA806" s="259" t="str">
        <f t="shared" ca="1" si="1075"/>
        <v/>
      </c>
      <c r="DB806" s="259" t="str">
        <f t="shared" ca="1" si="1071"/>
        <v/>
      </c>
      <c r="DC806" s="259" t="str">
        <f t="shared" ca="1" si="1072"/>
        <v/>
      </c>
      <c r="DD806" s="259" t="str">
        <f t="shared" ca="1" si="1073"/>
        <v/>
      </c>
      <c r="DE806" s="259" t="str">
        <f t="shared" ca="1" si="1074"/>
        <v/>
      </c>
      <c r="DF806" s="259">
        <f ca="1">IF(AND(CX806=$DE$2,$DF$2&lt;&gt;0),0,IF(AND(DB806&lt;&gt;"",OR(DB805&lt;&gt;"",DB807&lt;&gt;"")),MAX($DF$2:DF805)+1,0))</f>
        <v>0</v>
      </c>
    </row>
    <row r="807" spans="102:110">
      <c r="CX807" s="259">
        <f t="shared" ca="1" si="1068"/>
        <v>45</v>
      </c>
      <c r="CY807" s="259" t="str">
        <f t="shared" ca="1" si="1067"/>
        <v>MASTRO</v>
      </c>
      <c r="CZ807" s="259" t="e">
        <f t="shared" ca="1" si="1070"/>
        <v>#N/A</v>
      </c>
      <c r="DA807" s="259" t="str">
        <f t="shared" ca="1" si="1075"/>
        <v/>
      </c>
      <c r="DB807" s="259" t="str">
        <f t="shared" ca="1" si="1071"/>
        <v/>
      </c>
      <c r="DC807" s="259" t="str">
        <f t="shared" ca="1" si="1072"/>
        <v/>
      </c>
      <c r="DD807" s="259" t="str">
        <f t="shared" ca="1" si="1073"/>
        <v/>
      </c>
      <c r="DE807" s="259" t="str">
        <f t="shared" ca="1" si="1074"/>
        <v/>
      </c>
      <c r="DF807" s="259">
        <f ca="1">IF(AND(CX807=$DE$2,$DF$2&lt;&gt;0),0,IF(AND(DB807&lt;&gt;"",OR(DB806&lt;&gt;"",DB808&lt;&gt;"")),MAX($DF$2:DF806)+1,0))</f>
        <v>0</v>
      </c>
    </row>
    <row r="808" spans="102:110">
      <c r="CX808" s="259">
        <f t="shared" ca="1" si="1068"/>
        <v>45</v>
      </c>
      <c r="CY808" s="259" t="str">
        <f t="shared" ca="1" si="1067"/>
        <v>MASTRO</v>
      </c>
      <c r="CZ808" s="259" t="e">
        <f t="shared" ca="1" si="1070"/>
        <v>#N/A</v>
      </c>
      <c r="DA808" s="259" t="str">
        <f t="shared" ca="1" si="1075"/>
        <v/>
      </c>
      <c r="DB808" s="259" t="str">
        <f t="shared" ca="1" si="1071"/>
        <v/>
      </c>
      <c r="DC808" s="259" t="str">
        <f t="shared" ca="1" si="1072"/>
        <v/>
      </c>
      <c r="DD808" s="259" t="str">
        <f t="shared" ca="1" si="1073"/>
        <v/>
      </c>
      <c r="DE808" s="259" t="str">
        <f t="shared" ca="1" si="1074"/>
        <v/>
      </c>
      <c r="DF808" s="259">
        <f ca="1">IF(AND(CX808=$DE$2,$DF$2&lt;&gt;0),0,IF(AND(DB808&lt;&gt;"",OR(DB807&lt;&gt;"",DB809&lt;&gt;"")),MAX($DF$2:DF807)+1,0))</f>
        <v>0</v>
      </c>
    </row>
    <row r="809" spans="102:110">
      <c r="CX809" s="259">
        <f t="shared" ca="1" si="1068"/>
        <v>45</v>
      </c>
      <c r="CY809" s="259" t="str">
        <f t="shared" ca="1" si="1067"/>
        <v>MASTRO</v>
      </c>
      <c r="CZ809" s="259" t="e">
        <f t="shared" ca="1" si="1070"/>
        <v>#N/A</v>
      </c>
      <c r="DA809" s="259" t="str">
        <f t="shared" ca="1" si="1075"/>
        <v/>
      </c>
      <c r="DB809" s="259" t="str">
        <f t="shared" ca="1" si="1071"/>
        <v/>
      </c>
      <c r="DC809" s="259" t="str">
        <f t="shared" ca="1" si="1072"/>
        <v/>
      </c>
      <c r="DD809" s="259" t="str">
        <f t="shared" ca="1" si="1073"/>
        <v/>
      </c>
      <c r="DE809" s="259" t="str">
        <f t="shared" ca="1" si="1074"/>
        <v/>
      </c>
      <c r="DF809" s="259">
        <f ca="1">IF(AND(CX809=$DE$2,$DF$2&lt;&gt;0),0,IF(AND(DB809&lt;&gt;"",OR(DB808&lt;&gt;"",DB810&lt;&gt;"")),MAX($DF$2:DF808)+1,0))</f>
        <v>0</v>
      </c>
    </row>
    <row r="810" spans="102:110">
      <c r="CX810" s="259">
        <f t="shared" ca="1" si="1068"/>
        <v>45</v>
      </c>
      <c r="CY810" s="259" t="str">
        <f t="shared" ca="1" si="1067"/>
        <v>MASTRO</v>
      </c>
      <c r="CZ810" s="259" t="e">
        <f t="shared" ca="1" si="1070"/>
        <v>#N/A</v>
      </c>
      <c r="DA810" s="259" t="str">
        <f t="shared" ca="1" si="1075"/>
        <v/>
      </c>
      <c r="DB810" s="259" t="str">
        <f t="shared" ca="1" si="1071"/>
        <v/>
      </c>
      <c r="DC810" s="259" t="str">
        <f t="shared" ca="1" si="1072"/>
        <v/>
      </c>
      <c r="DD810" s="259" t="str">
        <f t="shared" ca="1" si="1073"/>
        <v/>
      </c>
      <c r="DE810" s="259" t="str">
        <f t="shared" ca="1" si="1074"/>
        <v/>
      </c>
      <c r="DF810" s="259">
        <f ca="1">IF(AND(CX810=$DE$2,$DF$2&lt;&gt;0),0,IF(AND(DB810&lt;&gt;"",OR(DB809&lt;&gt;"",DB811&lt;&gt;"")),MAX($DF$2:DF809)+1,0))</f>
        <v>0</v>
      </c>
    </row>
    <row r="811" spans="102:110">
      <c r="CX811" s="259">
        <f t="shared" ca="1" si="1068"/>
        <v>45</v>
      </c>
      <c r="CY811" s="259" t="str">
        <f t="shared" ca="1" si="1067"/>
        <v>MASTRO</v>
      </c>
      <c r="CZ811" s="259" t="e">
        <f t="shared" ca="1" si="1070"/>
        <v>#N/A</v>
      </c>
      <c r="DA811" s="259" t="str">
        <f t="shared" ca="1" si="1075"/>
        <v/>
      </c>
      <c r="DB811" s="259" t="str">
        <f t="shared" ca="1" si="1071"/>
        <v/>
      </c>
      <c r="DC811" s="259" t="str">
        <f t="shared" ca="1" si="1072"/>
        <v/>
      </c>
      <c r="DD811" s="259" t="str">
        <f t="shared" ca="1" si="1073"/>
        <v/>
      </c>
      <c r="DE811" s="259" t="str">
        <f t="shared" ca="1" si="1074"/>
        <v/>
      </c>
      <c r="DF811" s="259">
        <f ca="1">IF(AND(CX811=$DE$2,$DF$2&lt;&gt;0),0,IF(AND(DB811&lt;&gt;"",OR(DB810&lt;&gt;"",DB812&lt;&gt;"")),MAX($DF$2:DF810)+1,0))</f>
        <v>0</v>
      </c>
    </row>
    <row r="812" spans="102:110">
      <c r="CX812" s="259" t="str">
        <f>IFERROR(IF(CX794+1=1,"",(CX794+1)),"")</f>
        <v/>
      </c>
      <c r="CY812" s="259" t="str">
        <f t="shared" ca="1" si="1067"/>
        <v>MASTRO</v>
      </c>
      <c r="DB812" s="259" t="str">
        <f t="shared" ref="DB812" ca="1" si="1076">CY812</f>
        <v>MASTRO</v>
      </c>
      <c r="DF812" s="259">
        <f ca="1">IF(AND(CX812=$DE$2,$DF$2&lt;&gt;0),0,IF(AND(DB812&lt;&gt;"",OR(DB811&lt;&gt;"",DB813&lt;&gt;"")),MAX($DF$2:DF811)+1,0))</f>
        <v>0</v>
      </c>
    </row>
    <row r="813" spans="102:110">
      <c r="CX813" s="259">
        <f ca="1">$EA$48</f>
        <v>46</v>
      </c>
      <c r="CY813" s="259" t="str">
        <f t="shared" ca="1" si="1067"/>
        <v>MASTRO</v>
      </c>
      <c r="DA813" s="259" t="str">
        <f ca="1">IF(CY812="MASTRO","Conto n.","")</f>
        <v>Conto n.</v>
      </c>
      <c r="DB813" s="259" t="str">
        <f ca="1">IF(CY813=0,"",INDEX(PIANO_DEI_CONTI,MATCH(DC813,DENOMINAZIONE,0),1))</f>
        <v/>
      </c>
      <c r="DC813" s="259" t="str">
        <f ca="1">IF(OR(CY813=0,CY813="mastro"),"",CY813)</f>
        <v/>
      </c>
      <c r="DD813" s="259" t="str">
        <f ca="1">IF(AND($DA$2=TRUE,OR(INDEX(PIANO_DEI_CONTI,MATCH($DC813,DENOMINAZIONE,0),4)="A",INDEX(PIANO_DEI_CONTI,MATCH($DC813,DENOMINAZIONE,0),4)="D/A"),SUMIFS(AVERE,DENOMINAZIONE_GIORNALE,"="&amp;$DC813)&gt;SUMIFS(DARE,DENOMINAZIONE_GIORNALE,"="&amp;$DC813)),CONCATENATE("s ",FIXED(ABS(SUMIFS(AVERE,DENOMINAZIONE_GIORNALE,"="&amp;$DC813)-SUMIFS(DARE,DENOMINAZIONE_GIORNALE,"="&amp;$DC813)),2)),"")</f>
        <v/>
      </c>
      <c r="DE813" s="259" t="str">
        <f ca="1">IF(AND($DA$2=TRUE,OR(INDEX(PIANO_DEI_CONTI,MATCH($DC813,DENOMINAZIONE,0),4)="D",INDEX(PIANO_DEI_CONTI,MATCH($DC813,DENOMINAZIONE,0),4)="D/A"),SUMIFS(DARE,DENOMINAZIONE_GIORNALE,"="&amp;$DC813)&gt;SUMIFS(AVERE,DENOMINAZIONE_GIORNALE,"="&amp;$DC813)),CONCATENATE("s ",FIXED(ABS(SUMIFS(DARE,DENOMINAZIONE_GIORNALE,"="&amp;$DC813)-SUMIFS(AVERE,DENOMINAZIONE_GIORNALE,"="&amp;$DC813)),2)),"")</f>
        <v/>
      </c>
      <c r="DF813" s="259">
        <f ca="1">IF(AND(CX813=$DE$2,$DF$2&lt;&gt;0),0,IF(AND(DB813&lt;&gt;"",OR(DB812&lt;&gt;"",DB814&lt;&gt;"")),MAX($DF$2:DF812)+1,0))</f>
        <v>0</v>
      </c>
    </row>
    <row r="814" spans="102:110">
      <c r="CX814" s="259">
        <f t="shared" ref="CX814:CX829" ca="1" si="1077">$EA$48</f>
        <v>46</v>
      </c>
      <c r="CY814" s="259" t="str">
        <f t="shared" ca="1" si="1067"/>
        <v>MASTRO</v>
      </c>
      <c r="DA814" s="259" t="str">
        <f ca="1">IF(DB813="","","Num. riga")</f>
        <v/>
      </c>
      <c r="DB814" s="259" t="str">
        <f t="shared" ref="DB814" ca="1" si="1078">IF(DB813="","","Data")</f>
        <v/>
      </c>
      <c r="DC814" s="259" t="str">
        <f ca="1">IF(DB813="","","Operazioni")</f>
        <v/>
      </c>
      <c r="DD814" s="259" t="str">
        <f ca="1">IF(DB813="","","Dare        ")</f>
        <v/>
      </c>
      <c r="DE814" s="259" t="str">
        <f ca="1">IF(DB813="","","Avere        ")</f>
        <v/>
      </c>
      <c r="DF814" s="259">
        <f ca="1">IF(AND(CX814=$DE$2,$DF$2&lt;&gt;0),0,IF(AND(DB814&lt;&gt;"",OR(DB813&lt;&gt;"",DB815&lt;&gt;"")),MAX($DF$2:DF813)+1,0))</f>
        <v>0</v>
      </c>
    </row>
    <row r="815" spans="102:110">
      <c r="CX815" s="259">
        <f t="shared" ca="1" si="1077"/>
        <v>46</v>
      </c>
      <c r="CY815" s="259" t="str">
        <f t="shared" ca="1" si="1067"/>
        <v>MASTRO</v>
      </c>
      <c r="CZ815" s="259" t="e">
        <f t="shared" ref="CZ815:CZ829" ca="1" si="1079">SUM(MATCH($CY815,INDIRECT(ADDRESS(SUM(CZ814)+3,54)&amp;":"&amp;ADDRESS(400,54)),0),CZ814)</f>
        <v>#N/A</v>
      </c>
      <c r="DA815" s="259" t="str">
        <f ca="1">IFERROR(INDEX(LIBRO_GIORNALE,CZ815,1),"")</f>
        <v/>
      </c>
      <c r="DB815" s="259" t="str">
        <f t="shared" ref="DB815:DB829" ca="1" si="1080">IF(RIGHT(TEXT(IFERROR(INDEX(LIBRO_GIORNALE,CZ815,2),""),"gg/mm/aa"),1)="a",TEXT(IFERROR(INDEX(LIBRO_GIORNALE,CZ815,2),""),"dd/mm/yy"),TEXT(IFERROR(INDEX(LIBRO_GIORNALE,CZ815,2),""),"gg/mm/aa"))</f>
        <v/>
      </c>
      <c r="DC815" s="259" t="str">
        <f t="shared" ref="DC815:DC829" ca="1" si="1081">IF(IFERROR(INDEX(LIBRO_GIORNALE,CZ815,4),"")=0,"manca la descrizione dell'operazione",IFERROR(INDEX(LIBRO_GIORNALE,CZ815,4),""))</f>
        <v/>
      </c>
      <c r="DD815" s="259" t="str">
        <f t="shared" ref="DD815:DD829" ca="1" si="1082">IFERROR(IF(INDEX(LIBRO_GIORNALE,CZ815,5)&gt;0,INDEX(LIBRO_GIORNALE,CZ815,5),""),"")</f>
        <v/>
      </c>
      <c r="DE815" s="259" t="str">
        <f t="shared" ref="DE815:DE829" ca="1" si="1083">IFERROR(IF(INDEX(LIBRO_GIORNALE,CZ815,6)&gt;0,INDEX(LIBRO_GIORNALE,CZ815,6),""),"")</f>
        <v/>
      </c>
      <c r="DF815" s="259">
        <f ca="1">IF(AND(CX815=$DE$2,$DF$2&lt;&gt;0),0,IF(AND(DB815&lt;&gt;"",OR(DB814&lt;&gt;"",DB816&lt;&gt;"")),MAX($DF$2:DF814)+1,0))</f>
        <v>0</v>
      </c>
    </row>
    <row r="816" spans="102:110">
      <c r="CX816" s="259">
        <f t="shared" ca="1" si="1077"/>
        <v>46</v>
      </c>
      <c r="CY816" s="259" t="str">
        <f t="shared" ca="1" si="1067"/>
        <v>MASTRO</v>
      </c>
      <c r="CZ816" s="259" t="e">
        <f t="shared" ca="1" si="1079"/>
        <v>#N/A</v>
      </c>
      <c r="DA816" s="259" t="str">
        <f t="shared" ref="DA816:DA829" ca="1" si="1084">IFERROR(INDEX(LIBRO_GIORNALE,CZ816,1),"")</f>
        <v/>
      </c>
      <c r="DB816" s="259" t="str">
        <f t="shared" ca="1" si="1080"/>
        <v/>
      </c>
      <c r="DC816" s="259" t="str">
        <f t="shared" ca="1" si="1081"/>
        <v/>
      </c>
      <c r="DD816" s="259" t="str">
        <f t="shared" ca="1" si="1082"/>
        <v/>
      </c>
      <c r="DE816" s="259" t="str">
        <f t="shared" ca="1" si="1083"/>
        <v/>
      </c>
      <c r="DF816" s="259">
        <f ca="1">IF(AND(CX816=$DE$2,$DF$2&lt;&gt;0),0,IF(AND(DB816&lt;&gt;"",OR(DB815&lt;&gt;"",DB817&lt;&gt;"")),MAX($DF$2:DF815)+1,0))</f>
        <v>0</v>
      </c>
    </row>
    <row r="817" spans="102:110">
      <c r="CX817" s="259">
        <f t="shared" ca="1" si="1077"/>
        <v>46</v>
      </c>
      <c r="CY817" s="259" t="str">
        <f t="shared" ca="1" si="1067"/>
        <v>MASTRO</v>
      </c>
      <c r="CZ817" s="259" t="e">
        <f t="shared" ca="1" si="1079"/>
        <v>#N/A</v>
      </c>
      <c r="DA817" s="259" t="str">
        <f t="shared" ca="1" si="1084"/>
        <v/>
      </c>
      <c r="DB817" s="259" t="str">
        <f t="shared" ca="1" si="1080"/>
        <v/>
      </c>
      <c r="DC817" s="259" t="str">
        <f t="shared" ca="1" si="1081"/>
        <v/>
      </c>
      <c r="DD817" s="259" t="str">
        <f t="shared" ca="1" si="1082"/>
        <v/>
      </c>
      <c r="DE817" s="259" t="str">
        <f t="shared" ca="1" si="1083"/>
        <v/>
      </c>
      <c r="DF817" s="259">
        <f ca="1">IF(AND(CX817=$DE$2,$DF$2&lt;&gt;0),0,IF(AND(DB817&lt;&gt;"",OR(DB816&lt;&gt;"",DB818&lt;&gt;"")),MAX($DF$2:DF816)+1,0))</f>
        <v>0</v>
      </c>
    </row>
    <row r="818" spans="102:110">
      <c r="CX818" s="259">
        <f t="shared" ca="1" si="1077"/>
        <v>46</v>
      </c>
      <c r="CY818" s="259" t="str">
        <f t="shared" ca="1" si="1067"/>
        <v>MASTRO</v>
      </c>
      <c r="CZ818" s="259" t="e">
        <f t="shared" ca="1" si="1079"/>
        <v>#N/A</v>
      </c>
      <c r="DA818" s="259" t="str">
        <f t="shared" ca="1" si="1084"/>
        <v/>
      </c>
      <c r="DB818" s="259" t="str">
        <f t="shared" ca="1" si="1080"/>
        <v/>
      </c>
      <c r="DC818" s="259" t="str">
        <f t="shared" ca="1" si="1081"/>
        <v/>
      </c>
      <c r="DD818" s="259" t="str">
        <f t="shared" ca="1" si="1082"/>
        <v/>
      </c>
      <c r="DE818" s="259" t="str">
        <f t="shared" ca="1" si="1083"/>
        <v/>
      </c>
      <c r="DF818" s="259">
        <f ca="1">IF(AND(CX818=$DE$2,$DF$2&lt;&gt;0),0,IF(AND(DB818&lt;&gt;"",OR(DB817&lt;&gt;"",DB819&lt;&gt;"")),MAX($DF$2:DF817)+1,0))</f>
        <v>0</v>
      </c>
    </row>
    <row r="819" spans="102:110">
      <c r="CX819" s="259">
        <f t="shared" ca="1" si="1077"/>
        <v>46</v>
      </c>
      <c r="CY819" s="259" t="str">
        <f t="shared" ca="1" si="1067"/>
        <v>MASTRO</v>
      </c>
      <c r="CZ819" s="259" t="e">
        <f t="shared" ca="1" si="1079"/>
        <v>#N/A</v>
      </c>
      <c r="DA819" s="259" t="str">
        <f t="shared" ca="1" si="1084"/>
        <v/>
      </c>
      <c r="DB819" s="259" t="str">
        <f t="shared" ca="1" si="1080"/>
        <v/>
      </c>
      <c r="DC819" s="259" t="str">
        <f t="shared" ca="1" si="1081"/>
        <v/>
      </c>
      <c r="DD819" s="259" t="str">
        <f t="shared" ca="1" si="1082"/>
        <v/>
      </c>
      <c r="DE819" s="259" t="str">
        <f t="shared" ca="1" si="1083"/>
        <v/>
      </c>
      <c r="DF819" s="259">
        <f ca="1">IF(AND(CX819=$DE$2,$DF$2&lt;&gt;0),0,IF(AND(DB819&lt;&gt;"",OR(DB818&lt;&gt;"",DB820&lt;&gt;"")),MAX($DF$2:DF818)+1,0))</f>
        <v>0</v>
      </c>
    </row>
    <row r="820" spans="102:110">
      <c r="CX820" s="259">
        <f t="shared" ca="1" si="1077"/>
        <v>46</v>
      </c>
      <c r="CY820" s="259" t="str">
        <f t="shared" ca="1" si="1067"/>
        <v>MASTRO</v>
      </c>
      <c r="CZ820" s="259" t="e">
        <f t="shared" ca="1" si="1079"/>
        <v>#N/A</v>
      </c>
      <c r="DA820" s="259" t="str">
        <f t="shared" ca="1" si="1084"/>
        <v/>
      </c>
      <c r="DB820" s="259" t="str">
        <f t="shared" ca="1" si="1080"/>
        <v/>
      </c>
      <c r="DC820" s="259" t="str">
        <f t="shared" ca="1" si="1081"/>
        <v/>
      </c>
      <c r="DD820" s="259" t="str">
        <f t="shared" ca="1" si="1082"/>
        <v/>
      </c>
      <c r="DE820" s="259" t="str">
        <f t="shared" ca="1" si="1083"/>
        <v/>
      </c>
      <c r="DF820" s="259">
        <f ca="1">IF(AND(CX820=$DE$2,$DF$2&lt;&gt;0),0,IF(AND(DB820&lt;&gt;"",OR(DB819&lt;&gt;"",DB821&lt;&gt;"")),MAX($DF$2:DF819)+1,0))</f>
        <v>0</v>
      </c>
    </row>
    <row r="821" spans="102:110">
      <c r="CX821" s="259">
        <f t="shared" ca="1" si="1077"/>
        <v>46</v>
      </c>
      <c r="CY821" s="259" t="str">
        <f t="shared" ca="1" si="1067"/>
        <v>MASTRO</v>
      </c>
      <c r="CZ821" s="259" t="e">
        <f t="shared" ca="1" si="1079"/>
        <v>#N/A</v>
      </c>
      <c r="DA821" s="259" t="str">
        <f t="shared" ca="1" si="1084"/>
        <v/>
      </c>
      <c r="DB821" s="259" t="str">
        <f t="shared" ca="1" si="1080"/>
        <v/>
      </c>
      <c r="DC821" s="259" t="str">
        <f t="shared" ca="1" si="1081"/>
        <v/>
      </c>
      <c r="DD821" s="259" t="str">
        <f t="shared" ca="1" si="1082"/>
        <v/>
      </c>
      <c r="DE821" s="259" t="str">
        <f t="shared" ca="1" si="1083"/>
        <v/>
      </c>
      <c r="DF821" s="259">
        <f ca="1">IF(AND(CX821=$DE$2,$DF$2&lt;&gt;0),0,IF(AND(DB821&lt;&gt;"",OR(DB820&lt;&gt;"",DB822&lt;&gt;"")),MAX($DF$2:DF820)+1,0))</f>
        <v>0</v>
      </c>
    </row>
    <row r="822" spans="102:110">
      <c r="CX822" s="259">
        <f t="shared" ca="1" si="1077"/>
        <v>46</v>
      </c>
      <c r="CY822" s="259" t="str">
        <f t="shared" ca="1" si="1067"/>
        <v>MASTRO</v>
      </c>
      <c r="CZ822" s="259" t="e">
        <f t="shared" ca="1" si="1079"/>
        <v>#N/A</v>
      </c>
      <c r="DA822" s="259" t="str">
        <f t="shared" ca="1" si="1084"/>
        <v/>
      </c>
      <c r="DB822" s="259" t="str">
        <f t="shared" ca="1" si="1080"/>
        <v/>
      </c>
      <c r="DC822" s="259" t="str">
        <f t="shared" ca="1" si="1081"/>
        <v/>
      </c>
      <c r="DD822" s="259" t="str">
        <f t="shared" ca="1" si="1082"/>
        <v/>
      </c>
      <c r="DE822" s="259" t="str">
        <f t="shared" ca="1" si="1083"/>
        <v/>
      </c>
      <c r="DF822" s="259">
        <f ca="1">IF(AND(CX822=$DE$2,$DF$2&lt;&gt;0),0,IF(AND(DB822&lt;&gt;"",OR(DB821&lt;&gt;"",DB823&lt;&gt;"")),MAX($DF$2:DF821)+1,0))</f>
        <v>0</v>
      </c>
    </row>
    <row r="823" spans="102:110">
      <c r="CX823" s="259">
        <f t="shared" ca="1" si="1077"/>
        <v>46</v>
      </c>
      <c r="CY823" s="259" t="str">
        <f t="shared" ca="1" si="1067"/>
        <v>MASTRO</v>
      </c>
      <c r="CZ823" s="259" t="e">
        <f t="shared" ca="1" si="1079"/>
        <v>#N/A</v>
      </c>
      <c r="DA823" s="259" t="str">
        <f t="shared" ca="1" si="1084"/>
        <v/>
      </c>
      <c r="DB823" s="259" t="str">
        <f t="shared" ca="1" si="1080"/>
        <v/>
      </c>
      <c r="DC823" s="259" t="str">
        <f t="shared" ca="1" si="1081"/>
        <v/>
      </c>
      <c r="DD823" s="259" t="str">
        <f t="shared" ca="1" si="1082"/>
        <v/>
      </c>
      <c r="DE823" s="259" t="str">
        <f t="shared" ca="1" si="1083"/>
        <v/>
      </c>
      <c r="DF823" s="259">
        <f ca="1">IF(AND(CX823=$DE$2,$DF$2&lt;&gt;0),0,IF(AND(DB823&lt;&gt;"",OR(DB822&lt;&gt;"",DB824&lt;&gt;"")),MAX($DF$2:DF822)+1,0))</f>
        <v>0</v>
      </c>
    </row>
    <row r="824" spans="102:110">
      <c r="CX824" s="259">
        <f t="shared" ca="1" si="1077"/>
        <v>46</v>
      </c>
      <c r="CY824" s="259" t="str">
        <f t="shared" ca="1" si="1067"/>
        <v>MASTRO</v>
      </c>
      <c r="CZ824" s="259" t="e">
        <f t="shared" ca="1" si="1079"/>
        <v>#N/A</v>
      </c>
      <c r="DA824" s="259" t="str">
        <f t="shared" ca="1" si="1084"/>
        <v/>
      </c>
      <c r="DB824" s="259" t="str">
        <f t="shared" ca="1" si="1080"/>
        <v/>
      </c>
      <c r="DC824" s="259" t="str">
        <f t="shared" ca="1" si="1081"/>
        <v/>
      </c>
      <c r="DD824" s="259" t="str">
        <f t="shared" ca="1" si="1082"/>
        <v/>
      </c>
      <c r="DE824" s="259" t="str">
        <f t="shared" ca="1" si="1083"/>
        <v/>
      </c>
      <c r="DF824" s="259">
        <f ca="1">IF(AND(CX824=$DE$2,$DF$2&lt;&gt;0),0,IF(AND(DB824&lt;&gt;"",OR(DB823&lt;&gt;"",DB825&lt;&gt;"")),MAX($DF$2:DF823)+1,0))</f>
        <v>0</v>
      </c>
    </row>
    <row r="825" spans="102:110">
      <c r="CX825" s="259">
        <f t="shared" ca="1" si="1077"/>
        <v>46</v>
      </c>
      <c r="CY825" s="259" t="str">
        <f t="shared" ca="1" si="1067"/>
        <v>MASTRO</v>
      </c>
      <c r="CZ825" s="259" t="e">
        <f t="shared" ca="1" si="1079"/>
        <v>#N/A</v>
      </c>
      <c r="DA825" s="259" t="str">
        <f t="shared" ca="1" si="1084"/>
        <v/>
      </c>
      <c r="DB825" s="259" t="str">
        <f t="shared" ca="1" si="1080"/>
        <v/>
      </c>
      <c r="DC825" s="259" t="str">
        <f t="shared" ca="1" si="1081"/>
        <v/>
      </c>
      <c r="DD825" s="259" t="str">
        <f t="shared" ca="1" si="1082"/>
        <v/>
      </c>
      <c r="DE825" s="259" t="str">
        <f t="shared" ca="1" si="1083"/>
        <v/>
      </c>
      <c r="DF825" s="259">
        <f ca="1">IF(AND(CX825=$DE$2,$DF$2&lt;&gt;0),0,IF(AND(DB825&lt;&gt;"",OR(DB824&lt;&gt;"",DB826&lt;&gt;"")),MAX($DF$2:DF824)+1,0))</f>
        <v>0</v>
      </c>
    </row>
    <row r="826" spans="102:110">
      <c r="CX826" s="259">
        <f t="shared" ca="1" si="1077"/>
        <v>46</v>
      </c>
      <c r="CY826" s="259" t="str">
        <f t="shared" ca="1" si="1067"/>
        <v>MASTRO</v>
      </c>
      <c r="CZ826" s="259" t="e">
        <f t="shared" ca="1" si="1079"/>
        <v>#N/A</v>
      </c>
      <c r="DA826" s="259" t="str">
        <f t="shared" ca="1" si="1084"/>
        <v/>
      </c>
      <c r="DB826" s="259" t="str">
        <f t="shared" ca="1" si="1080"/>
        <v/>
      </c>
      <c r="DC826" s="259" t="str">
        <f t="shared" ca="1" si="1081"/>
        <v/>
      </c>
      <c r="DD826" s="259" t="str">
        <f t="shared" ca="1" si="1082"/>
        <v/>
      </c>
      <c r="DE826" s="259" t="str">
        <f t="shared" ca="1" si="1083"/>
        <v/>
      </c>
      <c r="DF826" s="259">
        <f ca="1">IF(AND(CX826=$DE$2,$DF$2&lt;&gt;0),0,IF(AND(DB826&lt;&gt;"",OR(DB825&lt;&gt;"",DB827&lt;&gt;"")),MAX($DF$2:DF825)+1,0))</f>
        <v>0</v>
      </c>
    </row>
    <row r="827" spans="102:110">
      <c r="CX827" s="259">
        <f t="shared" ca="1" si="1077"/>
        <v>46</v>
      </c>
      <c r="CY827" s="259" t="str">
        <f t="shared" ca="1" si="1067"/>
        <v>MASTRO</v>
      </c>
      <c r="CZ827" s="259" t="e">
        <f t="shared" ca="1" si="1079"/>
        <v>#N/A</v>
      </c>
      <c r="DA827" s="259" t="str">
        <f t="shared" ca="1" si="1084"/>
        <v/>
      </c>
      <c r="DB827" s="259" t="str">
        <f t="shared" ca="1" si="1080"/>
        <v/>
      </c>
      <c r="DC827" s="259" t="str">
        <f t="shared" ca="1" si="1081"/>
        <v/>
      </c>
      <c r="DD827" s="259" t="str">
        <f t="shared" ca="1" si="1082"/>
        <v/>
      </c>
      <c r="DE827" s="259" t="str">
        <f t="shared" ca="1" si="1083"/>
        <v/>
      </c>
      <c r="DF827" s="259">
        <f ca="1">IF(AND(CX827=$DE$2,$DF$2&lt;&gt;0),0,IF(AND(DB827&lt;&gt;"",OR(DB826&lt;&gt;"",DB828&lt;&gt;"")),MAX($DF$2:DF826)+1,0))</f>
        <v>0</v>
      </c>
    </row>
    <row r="828" spans="102:110">
      <c r="CX828" s="259">
        <f t="shared" ca="1" si="1077"/>
        <v>46</v>
      </c>
      <c r="CY828" s="259" t="str">
        <f t="shared" ca="1" si="1067"/>
        <v>MASTRO</v>
      </c>
      <c r="CZ828" s="259" t="e">
        <f t="shared" ca="1" si="1079"/>
        <v>#N/A</v>
      </c>
      <c r="DA828" s="259" t="str">
        <f t="shared" ca="1" si="1084"/>
        <v/>
      </c>
      <c r="DB828" s="259" t="str">
        <f t="shared" ca="1" si="1080"/>
        <v/>
      </c>
      <c r="DC828" s="259" t="str">
        <f t="shared" ca="1" si="1081"/>
        <v/>
      </c>
      <c r="DD828" s="259" t="str">
        <f t="shared" ca="1" si="1082"/>
        <v/>
      </c>
      <c r="DE828" s="259" t="str">
        <f t="shared" ca="1" si="1083"/>
        <v/>
      </c>
      <c r="DF828" s="259">
        <f ca="1">IF(AND(CX828=$DE$2,$DF$2&lt;&gt;0),0,IF(AND(DB828&lt;&gt;"",OR(DB827&lt;&gt;"",DB829&lt;&gt;"")),MAX($DF$2:DF827)+1,0))</f>
        <v>0</v>
      </c>
    </row>
    <row r="829" spans="102:110">
      <c r="CX829" s="259">
        <f t="shared" ca="1" si="1077"/>
        <v>46</v>
      </c>
      <c r="CY829" s="259" t="str">
        <f t="shared" ref="CY829:CY861" ca="1" si="1085">IF(ISERROR(INDEX($CV$3:$CX$2300,MATCH(CX829,$CW$3:$CW$2300,0),1)),"MASTRO",INDEX($CV$3:$CX$2300,MATCH(CX829,$CW$3:$CW$2300,0),1))</f>
        <v>MASTRO</v>
      </c>
      <c r="CZ829" s="259" t="e">
        <f t="shared" ca="1" si="1079"/>
        <v>#N/A</v>
      </c>
      <c r="DA829" s="259" t="str">
        <f t="shared" ca="1" si="1084"/>
        <v/>
      </c>
      <c r="DB829" s="259" t="str">
        <f t="shared" ca="1" si="1080"/>
        <v/>
      </c>
      <c r="DC829" s="259" t="str">
        <f t="shared" ca="1" si="1081"/>
        <v/>
      </c>
      <c r="DD829" s="259" t="str">
        <f t="shared" ca="1" si="1082"/>
        <v/>
      </c>
      <c r="DE829" s="259" t="str">
        <f t="shared" ca="1" si="1083"/>
        <v/>
      </c>
      <c r="DF829" s="259">
        <f ca="1">IF(AND(CX829=$DE$2,$DF$2&lt;&gt;0),0,IF(AND(DB829&lt;&gt;"",OR(DB828&lt;&gt;"",DB830&lt;&gt;"")),MAX($DF$2:DF828)+1,0))</f>
        <v>0</v>
      </c>
    </row>
    <row r="830" spans="102:110">
      <c r="CX830" s="259" t="str">
        <f>IFERROR(IF(CX812+1=1,"",(CX812+1)),"")</f>
        <v/>
      </c>
      <c r="CY830" s="259" t="str">
        <f t="shared" ca="1" si="1085"/>
        <v>MASTRO</v>
      </c>
      <c r="DB830" s="259" t="str">
        <f t="shared" ref="DB830" ca="1" si="1086">CY830</f>
        <v>MASTRO</v>
      </c>
      <c r="DF830" s="259">
        <f ca="1">IF(AND(CX830=$DE$2,$DF$2&lt;&gt;0),0,IF(AND(DB830&lt;&gt;"",OR(DB829&lt;&gt;"",DB831&lt;&gt;"")),MAX($DF$2:DF829)+1,0))</f>
        <v>0</v>
      </c>
    </row>
    <row r="831" spans="102:110">
      <c r="CX831" s="259">
        <f ca="1">$EA$49</f>
        <v>47</v>
      </c>
      <c r="CY831" s="259" t="str">
        <f t="shared" ca="1" si="1085"/>
        <v>MASTRO</v>
      </c>
      <c r="DA831" s="259" t="str">
        <f ca="1">IF(CY830="MASTRO","Conto n.","")</f>
        <v>Conto n.</v>
      </c>
      <c r="DB831" s="259" t="str">
        <f ca="1">IF(CY831=0,"",INDEX(PIANO_DEI_CONTI,MATCH(DC831,DENOMINAZIONE,0),1))</f>
        <v/>
      </c>
      <c r="DC831" s="259" t="str">
        <f ca="1">IF(OR(CY831=0,CY831="mastro"),"",CY831)</f>
        <v/>
      </c>
      <c r="DD831" s="259" t="str">
        <f ca="1">IF(AND($DA$2=TRUE,OR(INDEX(PIANO_DEI_CONTI,MATCH($DC831,DENOMINAZIONE,0),4)="A",INDEX(PIANO_DEI_CONTI,MATCH($DC831,DENOMINAZIONE,0),4)="D/A"),SUMIFS(AVERE,DENOMINAZIONE_GIORNALE,"="&amp;$DC831)&gt;SUMIFS(DARE,DENOMINAZIONE_GIORNALE,"="&amp;$DC831)),CONCATENATE("s ",FIXED(ABS(SUMIFS(AVERE,DENOMINAZIONE_GIORNALE,"="&amp;$DC831)-SUMIFS(DARE,DENOMINAZIONE_GIORNALE,"="&amp;$DC831)),2)),"")</f>
        <v/>
      </c>
      <c r="DE831" s="259" t="str">
        <f ca="1">IF(AND($DA$2=TRUE,OR(INDEX(PIANO_DEI_CONTI,MATCH($DC831,DENOMINAZIONE,0),4)="D",INDEX(PIANO_DEI_CONTI,MATCH($DC831,DENOMINAZIONE,0),4)="D/A"),SUMIFS(DARE,DENOMINAZIONE_GIORNALE,"="&amp;$DC831)&gt;SUMIFS(AVERE,DENOMINAZIONE_GIORNALE,"="&amp;$DC831)),CONCATENATE("s ",FIXED(ABS(SUMIFS(DARE,DENOMINAZIONE_GIORNALE,"="&amp;$DC831)-SUMIFS(AVERE,DENOMINAZIONE_GIORNALE,"="&amp;$DC831)),2)),"")</f>
        <v/>
      </c>
      <c r="DF831" s="259">
        <f ca="1">IF(AND(CX831=$DE$2,$DF$2&lt;&gt;0),0,IF(AND(DB831&lt;&gt;"",OR(DB830&lt;&gt;"",DB832&lt;&gt;"")),MAX($DF$2:DF830)+1,0))</f>
        <v>0</v>
      </c>
    </row>
    <row r="832" spans="102:110">
      <c r="CX832" s="259">
        <f t="shared" ref="CX832:CX847" ca="1" si="1087">$EA$49</f>
        <v>47</v>
      </c>
      <c r="CY832" s="259" t="str">
        <f t="shared" ca="1" si="1085"/>
        <v>MASTRO</v>
      </c>
      <c r="DA832" s="259" t="str">
        <f ca="1">IF(DB831="","","Num. riga")</f>
        <v/>
      </c>
      <c r="DB832" s="259" t="str">
        <f t="shared" ref="DB832" ca="1" si="1088">IF(DB831="","","Data")</f>
        <v/>
      </c>
      <c r="DC832" s="259" t="str">
        <f ca="1">IF(DB831="","","Operazioni")</f>
        <v/>
      </c>
      <c r="DD832" s="259" t="str">
        <f ca="1">IF(DB831="","","Dare        ")</f>
        <v/>
      </c>
      <c r="DE832" s="259" t="str">
        <f ca="1">IF(DB831="","","Avere        ")</f>
        <v/>
      </c>
      <c r="DF832" s="259">
        <f ca="1">IF(AND(CX832=$DE$2,$DF$2&lt;&gt;0),0,IF(AND(DB832&lt;&gt;"",OR(DB831&lt;&gt;"",DB833&lt;&gt;"")),MAX($DF$2:DF831)+1,0))</f>
        <v>0</v>
      </c>
    </row>
    <row r="833" spans="102:110">
      <c r="CX833" s="259">
        <f t="shared" ca="1" si="1087"/>
        <v>47</v>
      </c>
      <c r="CY833" s="259" t="str">
        <f t="shared" ca="1" si="1085"/>
        <v>MASTRO</v>
      </c>
      <c r="CZ833" s="259" t="e">
        <f t="shared" ref="CZ833:CZ847" ca="1" si="1089">SUM(MATCH($CY833,INDIRECT(ADDRESS(SUM(CZ832)+3,54)&amp;":"&amp;ADDRESS(400,54)),0),CZ832)</f>
        <v>#N/A</v>
      </c>
      <c r="DA833" s="259" t="str">
        <f ca="1">IFERROR(INDEX(LIBRO_GIORNALE,CZ833,1),"")</f>
        <v/>
      </c>
      <c r="DB833" s="259" t="str">
        <f t="shared" ref="DB833:DB847" ca="1" si="1090">IF(RIGHT(TEXT(IFERROR(INDEX(LIBRO_GIORNALE,CZ833,2),""),"gg/mm/aa"),1)="a",TEXT(IFERROR(INDEX(LIBRO_GIORNALE,CZ833,2),""),"dd/mm/yy"),TEXT(IFERROR(INDEX(LIBRO_GIORNALE,CZ833,2),""),"gg/mm/aa"))</f>
        <v/>
      </c>
      <c r="DC833" s="259" t="str">
        <f t="shared" ref="DC833:DC847" ca="1" si="1091">IF(IFERROR(INDEX(LIBRO_GIORNALE,CZ833,4),"")=0,"manca la descrizione dell'operazione",IFERROR(INDEX(LIBRO_GIORNALE,CZ833,4),""))</f>
        <v/>
      </c>
      <c r="DD833" s="259" t="str">
        <f t="shared" ref="DD833:DD847" ca="1" si="1092">IFERROR(IF(INDEX(LIBRO_GIORNALE,CZ833,5)&gt;0,INDEX(LIBRO_GIORNALE,CZ833,5),""),"")</f>
        <v/>
      </c>
      <c r="DE833" s="259" t="str">
        <f t="shared" ref="DE833:DE847" ca="1" si="1093">IFERROR(IF(INDEX(LIBRO_GIORNALE,CZ833,6)&gt;0,INDEX(LIBRO_GIORNALE,CZ833,6),""),"")</f>
        <v/>
      </c>
      <c r="DF833" s="259">
        <f ca="1">IF(AND(CX833=$DE$2,$DF$2&lt;&gt;0),0,IF(AND(DB833&lt;&gt;"",OR(DB832&lt;&gt;"",DB834&lt;&gt;"")),MAX($DF$2:DF832)+1,0))</f>
        <v>0</v>
      </c>
    </row>
    <row r="834" spans="102:110">
      <c r="CX834" s="259">
        <f t="shared" ca="1" si="1087"/>
        <v>47</v>
      </c>
      <c r="CY834" s="259" t="str">
        <f t="shared" ca="1" si="1085"/>
        <v>MASTRO</v>
      </c>
      <c r="CZ834" s="259" t="e">
        <f t="shared" ca="1" si="1089"/>
        <v>#N/A</v>
      </c>
      <c r="DA834" s="259" t="str">
        <f t="shared" ref="DA834:DA847" ca="1" si="1094">IFERROR(INDEX(LIBRO_GIORNALE,CZ834,1),"")</f>
        <v/>
      </c>
      <c r="DB834" s="259" t="str">
        <f t="shared" ca="1" si="1090"/>
        <v/>
      </c>
      <c r="DC834" s="259" t="str">
        <f t="shared" ca="1" si="1091"/>
        <v/>
      </c>
      <c r="DD834" s="259" t="str">
        <f t="shared" ca="1" si="1092"/>
        <v/>
      </c>
      <c r="DE834" s="259" t="str">
        <f t="shared" ca="1" si="1093"/>
        <v/>
      </c>
      <c r="DF834" s="259">
        <f ca="1">IF(AND(CX834=$DE$2,$DF$2&lt;&gt;0),0,IF(AND(DB834&lt;&gt;"",OR(DB833&lt;&gt;"",DB835&lt;&gt;"")),MAX($DF$2:DF833)+1,0))</f>
        <v>0</v>
      </c>
    </row>
    <row r="835" spans="102:110">
      <c r="CX835" s="259">
        <f t="shared" ca="1" si="1087"/>
        <v>47</v>
      </c>
      <c r="CY835" s="259" t="str">
        <f t="shared" ca="1" si="1085"/>
        <v>MASTRO</v>
      </c>
      <c r="CZ835" s="259" t="e">
        <f t="shared" ca="1" si="1089"/>
        <v>#N/A</v>
      </c>
      <c r="DA835" s="259" t="str">
        <f t="shared" ca="1" si="1094"/>
        <v/>
      </c>
      <c r="DB835" s="259" t="str">
        <f t="shared" ca="1" si="1090"/>
        <v/>
      </c>
      <c r="DC835" s="259" t="str">
        <f t="shared" ca="1" si="1091"/>
        <v/>
      </c>
      <c r="DD835" s="259" t="str">
        <f t="shared" ca="1" si="1092"/>
        <v/>
      </c>
      <c r="DE835" s="259" t="str">
        <f t="shared" ca="1" si="1093"/>
        <v/>
      </c>
      <c r="DF835" s="259">
        <f ca="1">IF(AND(CX835=$DE$2,$DF$2&lt;&gt;0),0,IF(AND(DB835&lt;&gt;"",OR(DB834&lt;&gt;"",DB836&lt;&gt;"")),MAX($DF$2:DF834)+1,0))</f>
        <v>0</v>
      </c>
    </row>
    <row r="836" spans="102:110">
      <c r="CX836" s="259">
        <f t="shared" ca="1" si="1087"/>
        <v>47</v>
      </c>
      <c r="CY836" s="259" t="str">
        <f t="shared" ca="1" si="1085"/>
        <v>MASTRO</v>
      </c>
      <c r="CZ836" s="259" t="e">
        <f t="shared" ca="1" si="1089"/>
        <v>#N/A</v>
      </c>
      <c r="DA836" s="259" t="str">
        <f t="shared" ca="1" si="1094"/>
        <v/>
      </c>
      <c r="DB836" s="259" t="str">
        <f t="shared" ca="1" si="1090"/>
        <v/>
      </c>
      <c r="DC836" s="259" t="str">
        <f t="shared" ca="1" si="1091"/>
        <v/>
      </c>
      <c r="DD836" s="259" t="str">
        <f t="shared" ca="1" si="1092"/>
        <v/>
      </c>
      <c r="DE836" s="259" t="str">
        <f t="shared" ca="1" si="1093"/>
        <v/>
      </c>
      <c r="DF836" s="259">
        <f ca="1">IF(AND(CX836=$DE$2,$DF$2&lt;&gt;0),0,IF(AND(DB836&lt;&gt;"",OR(DB835&lt;&gt;"",DB837&lt;&gt;"")),MAX($DF$2:DF835)+1,0))</f>
        <v>0</v>
      </c>
    </row>
    <row r="837" spans="102:110">
      <c r="CX837" s="259">
        <f t="shared" ca="1" si="1087"/>
        <v>47</v>
      </c>
      <c r="CY837" s="259" t="str">
        <f t="shared" ca="1" si="1085"/>
        <v>MASTRO</v>
      </c>
      <c r="CZ837" s="259" t="e">
        <f t="shared" ca="1" si="1089"/>
        <v>#N/A</v>
      </c>
      <c r="DA837" s="259" t="str">
        <f t="shared" ca="1" si="1094"/>
        <v/>
      </c>
      <c r="DB837" s="259" t="str">
        <f t="shared" ca="1" si="1090"/>
        <v/>
      </c>
      <c r="DC837" s="259" t="str">
        <f t="shared" ca="1" si="1091"/>
        <v/>
      </c>
      <c r="DD837" s="259" t="str">
        <f t="shared" ca="1" si="1092"/>
        <v/>
      </c>
      <c r="DE837" s="259" t="str">
        <f t="shared" ca="1" si="1093"/>
        <v/>
      </c>
      <c r="DF837" s="259">
        <f ca="1">IF(AND(CX837=$DE$2,$DF$2&lt;&gt;0),0,IF(AND(DB837&lt;&gt;"",OR(DB836&lt;&gt;"",DB838&lt;&gt;"")),MAX($DF$2:DF836)+1,0))</f>
        <v>0</v>
      </c>
    </row>
    <row r="838" spans="102:110">
      <c r="CX838" s="259">
        <f t="shared" ca="1" si="1087"/>
        <v>47</v>
      </c>
      <c r="CY838" s="259" t="str">
        <f t="shared" ca="1" si="1085"/>
        <v>MASTRO</v>
      </c>
      <c r="CZ838" s="259" t="e">
        <f t="shared" ca="1" si="1089"/>
        <v>#N/A</v>
      </c>
      <c r="DA838" s="259" t="str">
        <f t="shared" ca="1" si="1094"/>
        <v/>
      </c>
      <c r="DB838" s="259" t="str">
        <f t="shared" ca="1" si="1090"/>
        <v/>
      </c>
      <c r="DC838" s="259" t="str">
        <f t="shared" ca="1" si="1091"/>
        <v/>
      </c>
      <c r="DD838" s="259" t="str">
        <f t="shared" ca="1" si="1092"/>
        <v/>
      </c>
      <c r="DE838" s="259" t="str">
        <f t="shared" ca="1" si="1093"/>
        <v/>
      </c>
      <c r="DF838" s="259">
        <f ca="1">IF(AND(CX838=$DE$2,$DF$2&lt;&gt;0),0,IF(AND(DB838&lt;&gt;"",OR(DB837&lt;&gt;"",DB839&lt;&gt;"")),MAX($DF$2:DF837)+1,0))</f>
        <v>0</v>
      </c>
    </row>
    <row r="839" spans="102:110">
      <c r="CX839" s="259">
        <f t="shared" ca="1" si="1087"/>
        <v>47</v>
      </c>
      <c r="CY839" s="259" t="str">
        <f t="shared" ca="1" si="1085"/>
        <v>MASTRO</v>
      </c>
      <c r="CZ839" s="259" t="e">
        <f t="shared" ca="1" si="1089"/>
        <v>#N/A</v>
      </c>
      <c r="DA839" s="259" t="str">
        <f t="shared" ca="1" si="1094"/>
        <v/>
      </c>
      <c r="DB839" s="259" t="str">
        <f t="shared" ca="1" si="1090"/>
        <v/>
      </c>
      <c r="DC839" s="259" t="str">
        <f t="shared" ca="1" si="1091"/>
        <v/>
      </c>
      <c r="DD839" s="259" t="str">
        <f t="shared" ca="1" si="1092"/>
        <v/>
      </c>
      <c r="DE839" s="259" t="str">
        <f t="shared" ca="1" si="1093"/>
        <v/>
      </c>
      <c r="DF839" s="259">
        <f ca="1">IF(AND(CX839=$DE$2,$DF$2&lt;&gt;0),0,IF(AND(DB839&lt;&gt;"",OR(DB838&lt;&gt;"",DB840&lt;&gt;"")),MAX($DF$2:DF838)+1,0))</f>
        <v>0</v>
      </c>
    </row>
    <row r="840" spans="102:110">
      <c r="CX840" s="259">
        <f t="shared" ca="1" si="1087"/>
        <v>47</v>
      </c>
      <c r="CY840" s="259" t="str">
        <f t="shared" ca="1" si="1085"/>
        <v>MASTRO</v>
      </c>
      <c r="CZ840" s="259" t="e">
        <f t="shared" ca="1" si="1089"/>
        <v>#N/A</v>
      </c>
      <c r="DA840" s="259" t="str">
        <f t="shared" ca="1" si="1094"/>
        <v/>
      </c>
      <c r="DB840" s="259" t="str">
        <f t="shared" ca="1" si="1090"/>
        <v/>
      </c>
      <c r="DC840" s="259" t="str">
        <f t="shared" ca="1" si="1091"/>
        <v/>
      </c>
      <c r="DD840" s="259" t="str">
        <f t="shared" ca="1" si="1092"/>
        <v/>
      </c>
      <c r="DE840" s="259" t="str">
        <f t="shared" ca="1" si="1093"/>
        <v/>
      </c>
      <c r="DF840" s="259">
        <f ca="1">IF(AND(CX840=$DE$2,$DF$2&lt;&gt;0),0,IF(AND(DB840&lt;&gt;"",OR(DB839&lt;&gt;"",DB841&lt;&gt;"")),MAX($DF$2:DF839)+1,0))</f>
        <v>0</v>
      </c>
    </row>
    <row r="841" spans="102:110">
      <c r="CX841" s="259">
        <f t="shared" ca="1" si="1087"/>
        <v>47</v>
      </c>
      <c r="CY841" s="259" t="str">
        <f t="shared" ca="1" si="1085"/>
        <v>MASTRO</v>
      </c>
      <c r="CZ841" s="259" t="e">
        <f t="shared" ca="1" si="1089"/>
        <v>#N/A</v>
      </c>
      <c r="DA841" s="259" t="str">
        <f t="shared" ca="1" si="1094"/>
        <v/>
      </c>
      <c r="DB841" s="259" t="str">
        <f t="shared" ca="1" si="1090"/>
        <v/>
      </c>
      <c r="DC841" s="259" t="str">
        <f t="shared" ca="1" si="1091"/>
        <v/>
      </c>
      <c r="DD841" s="259" t="str">
        <f t="shared" ca="1" si="1092"/>
        <v/>
      </c>
      <c r="DE841" s="259" t="str">
        <f t="shared" ca="1" si="1093"/>
        <v/>
      </c>
      <c r="DF841" s="259">
        <f ca="1">IF(AND(CX841=$DE$2,$DF$2&lt;&gt;0),0,IF(AND(DB841&lt;&gt;"",OR(DB840&lt;&gt;"",DB842&lt;&gt;"")),MAX($DF$2:DF840)+1,0))</f>
        <v>0</v>
      </c>
    </row>
    <row r="842" spans="102:110">
      <c r="CX842" s="259">
        <f t="shared" ca="1" si="1087"/>
        <v>47</v>
      </c>
      <c r="CY842" s="259" t="str">
        <f t="shared" ca="1" si="1085"/>
        <v>MASTRO</v>
      </c>
      <c r="CZ842" s="259" t="e">
        <f t="shared" ca="1" si="1089"/>
        <v>#N/A</v>
      </c>
      <c r="DA842" s="259" t="str">
        <f t="shared" ca="1" si="1094"/>
        <v/>
      </c>
      <c r="DB842" s="259" t="str">
        <f t="shared" ca="1" si="1090"/>
        <v/>
      </c>
      <c r="DC842" s="259" t="str">
        <f t="shared" ca="1" si="1091"/>
        <v/>
      </c>
      <c r="DD842" s="259" t="str">
        <f t="shared" ca="1" si="1092"/>
        <v/>
      </c>
      <c r="DE842" s="259" t="str">
        <f t="shared" ca="1" si="1093"/>
        <v/>
      </c>
      <c r="DF842" s="259">
        <f ca="1">IF(AND(CX842=$DE$2,$DF$2&lt;&gt;0),0,IF(AND(DB842&lt;&gt;"",OR(DB841&lt;&gt;"",DB843&lt;&gt;"")),MAX($DF$2:DF841)+1,0))</f>
        <v>0</v>
      </c>
    </row>
    <row r="843" spans="102:110">
      <c r="CX843" s="259">
        <f t="shared" ca="1" si="1087"/>
        <v>47</v>
      </c>
      <c r="CY843" s="259" t="str">
        <f t="shared" ca="1" si="1085"/>
        <v>MASTRO</v>
      </c>
      <c r="CZ843" s="259" t="e">
        <f t="shared" ca="1" si="1089"/>
        <v>#N/A</v>
      </c>
      <c r="DA843" s="259" t="str">
        <f t="shared" ca="1" si="1094"/>
        <v/>
      </c>
      <c r="DB843" s="259" t="str">
        <f t="shared" ca="1" si="1090"/>
        <v/>
      </c>
      <c r="DC843" s="259" t="str">
        <f t="shared" ca="1" si="1091"/>
        <v/>
      </c>
      <c r="DD843" s="259" t="str">
        <f t="shared" ca="1" si="1092"/>
        <v/>
      </c>
      <c r="DE843" s="259" t="str">
        <f t="shared" ca="1" si="1093"/>
        <v/>
      </c>
      <c r="DF843" s="259">
        <f ca="1">IF(AND(CX843=$DE$2,$DF$2&lt;&gt;0),0,IF(AND(DB843&lt;&gt;"",OR(DB842&lt;&gt;"",DB844&lt;&gt;"")),MAX($DF$2:DF842)+1,0))</f>
        <v>0</v>
      </c>
    </row>
    <row r="844" spans="102:110">
      <c r="CX844" s="259">
        <f t="shared" ca="1" si="1087"/>
        <v>47</v>
      </c>
      <c r="CY844" s="259" t="str">
        <f t="shared" ca="1" si="1085"/>
        <v>MASTRO</v>
      </c>
      <c r="CZ844" s="259" t="e">
        <f t="shared" ca="1" si="1089"/>
        <v>#N/A</v>
      </c>
      <c r="DA844" s="259" t="str">
        <f t="shared" ca="1" si="1094"/>
        <v/>
      </c>
      <c r="DB844" s="259" t="str">
        <f t="shared" ca="1" si="1090"/>
        <v/>
      </c>
      <c r="DC844" s="259" t="str">
        <f t="shared" ca="1" si="1091"/>
        <v/>
      </c>
      <c r="DD844" s="259" t="str">
        <f t="shared" ca="1" si="1092"/>
        <v/>
      </c>
      <c r="DE844" s="259" t="str">
        <f t="shared" ca="1" si="1093"/>
        <v/>
      </c>
      <c r="DF844" s="259">
        <f ca="1">IF(AND(CX844=$DE$2,$DF$2&lt;&gt;0),0,IF(AND(DB844&lt;&gt;"",OR(DB843&lt;&gt;"",DB845&lt;&gt;"")),MAX($DF$2:DF843)+1,0))</f>
        <v>0</v>
      </c>
    </row>
    <row r="845" spans="102:110">
      <c r="CX845" s="259">
        <f t="shared" ca="1" si="1087"/>
        <v>47</v>
      </c>
      <c r="CY845" s="259" t="str">
        <f t="shared" ca="1" si="1085"/>
        <v>MASTRO</v>
      </c>
      <c r="CZ845" s="259" t="e">
        <f t="shared" ca="1" si="1089"/>
        <v>#N/A</v>
      </c>
      <c r="DA845" s="259" t="str">
        <f t="shared" ca="1" si="1094"/>
        <v/>
      </c>
      <c r="DB845" s="259" t="str">
        <f t="shared" ca="1" si="1090"/>
        <v/>
      </c>
      <c r="DC845" s="259" t="str">
        <f t="shared" ca="1" si="1091"/>
        <v/>
      </c>
      <c r="DD845" s="259" t="str">
        <f t="shared" ca="1" si="1092"/>
        <v/>
      </c>
      <c r="DE845" s="259" t="str">
        <f t="shared" ca="1" si="1093"/>
        <v/>
      </c>
      <c r="DF845" s="259">
        <f ca="1">IF(AND(CX845=$DE$2,$DF$2&lt;&gt;0),0,IF(AND(DB845&lt;&gt;"",OR(DB844&lt;&gt;"",DB846&lt;&gt;"")),MAX($DF$2:DF844)+1,0))</f>
        <v>0</v>
      </c>
    </row>
    <row r="846" spans="102:110">
      <c r="CX846" s="259">
        <f t="shared" ca="1" si="1087"/>
        <v>47</v>
      </c>
      <c r="CY846" s="259" t="str">
        <f t="shared" ca="1" si="1085"/>
        <v>MASTRO</v>
      </c>
      <c r="CZ846" s="259" t="e">
        <f t="shared" ca="1" si="1089"/>
        <v>#N/A</v>
      </c>
      <c r="DA846" s="259" t="str">
        <f t="shared" ca="1" si="1094"/>
        <v/>
      </c>
      <c r="DB846" s="259" t="str">
        <f t="shared" ca="1" si="1090"/>
        <v/>
      </c>
      <c r="DC846" s="259" t="str">
        <f t="shared" ca="1" si="1091"/>
        <v/>
      </c>
      <c r="DD846" s="259" t="str">
        <f t="shared" ca="1" si="1092"/>
        <v/>
      </c>
      <c r="DE846" s="259" t="str">
        <f t="shared" ca="1" si="1093"/>
        <v/>
      </c>
      <c r="DF846" s="259">
        <f ca="1">IF(AND(CX846=$DE$2,$DF$2&lt;&gt;0),0,IF(AND(DB846&lt;&gt;"",OR(DB845&lt;&gt;"",DB847&lt;&gt;"")),MAX($DF$2:DF845)+1,0))</f>
        <v>0</v>
      </c>
    </row>
    <row r="847" spans="102:110">
      <c r="CX847" s="259">
        <f t="shared" ca="1" si="1087"/>
        <v>47</v>
      </c>
      <c r="CY847" s="259" t="str">
        <f t="shared" ca="1" si="1085"/>
        <v>MASTRO</v>
      </c>
      <c r="CZ847" s="259" t="e">
        <f t="shared" ca="1" si="1089"/>
        <v>#N/A</v>
      </c>
      <c r="DA847" s="259" t="str">
        <f t="shared" ca="1" si="1094"/>
        <v/>
      </c>
      <c r="DB847" s="259" t="str">
        <f t="shared" ca="1" si="1090"/>
        <v/>
      </c>
      <c r="DC847" s="259" t="str">
        <f t="shared" ca="1" si="1091"/>
        <v/>
      </c>
      <c r="DD847" s="259" t="str">
        <f t="shared" ca="1" si="1092"/>
        <v/>
      </c>
      <c r="DE847" s="259" t="str">
        <f t="shared" ca="1" si="1093"/>
        <v/>
      </c>
      <c r="DF847" s="259">
        <f ca="1">IF(AND(CX847=$DE$2,$DF$2&lt;&gt;0),0,IF(AND(DB847&lt;&gt;"",OR(DB846&lt;&gt;"",DB848&lt;&gt;"")),MAX($DF$2:DF846)+1,0))</f>
        <v>0</v>
      </c>
    </row>
    <row r="848" spans="102:110">
      <c r="CX848" s="259" t="str">
        <f>IFERROR(IF(CX830+1=1,"",(CX830+1)),"")</f>
        <v/>
      </c>
      <c r="CY848" s="259" t="str">
        <f t="shared" ca="1" si="1085"/>
        <v>MASTRO</v>
      </c>
      <c r="DB848" s="259" t="str">
        <f t="shared" ref="DB848" ca="1" si="1095">CY848</f>
        <v>MASTRO</v>
      </c>
      <c r="DF848" s="259">
        <f ca="1">IF(AND(CX848=$DE$2,$DF$2&lt;&gt;0),0,IF(AND(DB848&lt;&gt;"",OR(DB847&lt;&gt;"",DB849&lt;&gt;"")),MAX($DF$2:DF847)+1,0))</f>
        <v>0</v>
      </c>
    </row>
    <row r="849" spans="102:110">
      <c r="CX849" s="259">
        <f ca="1">$EA$50</f>
        <v>48</v>
      </c>
      <c r="CY849" s="259" t="str">
        <f t="shared" ca="1" si="1085"/>
        <v>MASTRO</v>
      </c>
      <c r="DA849" s="259" t="str">
        <f ca="1">IF(CY848="MASTRO","Conto n.","")</f>
        <v>Conto n.</v>
      </c>
      <c r="DB849" s="259" t="str">
        <f ca="1">IF(CY849=0,"",INDEX(PIANO_DEI_CONTI,MATCH(DC849,DENOMINAZIONE,0),1))</f>
        <v/>
      </c>
      <c r="DC849" s="259" t="str">
        <f ca="1">IF(OR(CY849=0,CY849="mastro"),"",CY849)</f>
        <v/>
      </c>
      <c r="DD849" s="259" t="str">
        <f ca="1">IF(AND($DA$2=TRUE,OR(INDEX(PIANO_DEI_CONTI,MATCH($DC849,DENOMINAZIONE,0),4)="A",INDEX(PIANO_DEI_CONTI,MATCH($DC849,DENOMINAZIONE,0),4)="D/A"),SUMIFS(AVERE,DENOMINAZIONE_GIORNALE,"="&amp;$DC849)&gt;SUMIFS(DARE,DENOMINAZIONE_GIORNALE,"="&amp;$DC849)),CONCATENATE("s ",FIXED(ABS(SUMIFS(AVERE,DENOMINAZIONE_GIORNALE,"="&amp;$DC849)-SUMIFS(DARE,DENOMINAZIONE_GIORNALE,"="&amp;$DC849)),2)),"")</f>
        <v/>
      </c>
      <c r="DE849" s="259" t="str">
        <f ca="1">IF(AND($DA$2=TRUE,OR(INDEX(PIANO_DEI_CONTI,MATCH($DC849,DENOMINAZIONE,0),4)="D",INDEX(PIANO_DEI_CONTI,MATCH($DC849,DENOMINAZIONE,0),4)="D/A"),SUMIFS(DARE,DENOMINAZIONE_GIORNALE,"="&amp;$DC849)&gt;SUMIFS(AVERE,DENOMINAZIONE_GIORNALE,"="&amp;$DC849)),CONCATENATE("s ",FIXED(ABS(SUMIFS(DARE,DENOMINAZIONE_GIORNALE,"="&amp;$DC849)-SUMIFS(AVERE,DENOMINAZIONE_GIORNALE,"="&amp;$DC849)),2)),"")</f>
        <v/>
      </c>
      <c r="DF849" s="259">
        <f ca="1">IF(AND(CX849=$DE$2,$DF$2&lt;&gt;0),0,IF(AND(DB849&lt;&gt;"",OR(DB848&lt;&gt;"",DB850&lt;&gt;"")),MAX($DF$2:DF848)+1,0))</f>
        <v>0</v>
      </c>
    </row>
    <row r="850" spans="102:110">
      <c r="CX850" s="259">
        <f t="shared" ref="CX850:CX865" ca="1" si="1096">$EA$50</f>
        <v>48</v>
      </c>
      <c r="CY850" s="259" t="str">
        <f t="shared" ca="1" si="1085"/>
        <v>MASTRO</v>
      </c>
      <c r="DA850" s="259" t="str">
        <f ca="1">IF(DB849="","","Num. riga")</f>
        <v/>
      </c>
      <c r="DB850" s="259" t="str">
        <f t="shared" ref="DB850" ca="1" si="1097">IF(DB849="","","Data")</f>
        <v/>
      </c>
      <c r="DC850" s="259" t="str">
        <f ca="1">IF(DB849="","","Operazioni")</f>
        <v/>
      </c>
      <c r="DD850" s="259" t="str">
        <f ca="1">IF(DB849="","","Dare        ")</f>
        <v/>
      </c>
      <c r="DE850" s="259" t="str">
        <f ca="1">IF(DB849="","","Avere        ")</f>
        <v/>
      </c>
      <c r="DF850" s="259">
        <f ca="1">IF(AND(CX850=$DE$2,$DF$2&lt;&gt;0),0,IF(AND(DB850&lt;&gt;"",OR(DB849&lt;&gt;"",DB851&lt;&gt;"")),MAX($DF$2:DF849)+1,0))</f>
        <v>0</v>
      </c>
    </row>
    <row r="851" spans="102:110">
      <c r="CX851" s="259">
        <f t="shared" ca="1" si="1096"/>
        <v>48</v>
      </c>
      <c r="CY851" s="259" t="str">
        <f t="shared" ca="1" si="1085"/>
        <v>MASTRO</v>
      </c>
      <c r="CZ851" s="259" t="e">
        <f t="shared" ref="CZ851:CZ865" ca="1" si="1098">SUM(MATCH($CY851,INDIRECT(ADDRESS(SUM(CZ850)+3,54)&amp;":"&amp;ADDRESS(400,54)),0),CZ850)</f>
        <v>#N/A</v>
      </c>
      <c r="DA851" s="259" t="str">
        <f ca="1">IFERROR(INDEX(LIBRO_GIORNALE,CZ851,1),"")</f>
        <v/>
      </c>
      <c r="DB851" s="259" t="str">
        <f t="shared" ref="DB851:DB865" ca="1" si="1099">IF(RIGHT(TEXT(IFERROR(INDEX(LIBRO_GIORNALE,CZ851,2),""),"gg/mm/aa"),1)="a",TEXT(IFERROR(INDEX(LIBRO_GIORNALE,CZ851,2),""),"dd/mm/yy"),TEXT(IFERROR(INDEX(LIBRO_GIORNALE,CZ851,2),""),"gg/mm/aa"))</f>
        <v/>
      </c>
      <c r="DC851" s="259" t="str">
        <f t="shared" ref="DC851:DC865" ca="1" si="1100">IF(IFERROR(INDEX(LIBRO_GIORNALE,CZ851,4),"")=0,"manca la descrizione dell'operazione",IFERROR(INDEX(LIBRO_GIORNALE,CZ851,4),""))</f>
        <v/>
      </c>
      <c r="DD851" s="259" t="str">
        <f t="shared" ref="DD851:DD865" ca="1" si="1101">IFERROR(IF(INDEX(LIBRO_GIORNALE,CZ851,5)&gt;0,INDEX(LIBRO_GIORNALE,CZ851,5),""),"")</f>
        <v/>
      </c>
      <c r="DE851" s="259" t="str">
        <f t="shared" ref="DE851:DE865" ca="1" si="1102">IFERROR(IF(INDEX(LIBRO_GIORNALE,CZ851,6)&gt;0,INDEX(LIBRO_GIORNALE,CZ851,6),""),"")</f>
        <v/>
      </c>
      <c r="DF851" s="259">
        <f ca="1">IF(AND(CX851=$DE$2,$DF$2&lt;&gt;0),0,IF(AND(DB851&lt;&gt;"",OR(DB850&lt;&gt;"",DB852&lt;&gt;"")),MAX($DF$2:DF850)+1,0))</f>
        <v>0</v>
      </c>
    </row>
    <row r="852" spans="102:110">
      <c r="CX852" s="259">
        <f t="shared" ca="1" si="1096"/>
        <v>48</v>
      </c>
      <c r="CY852" s="259" t="str">
        <f t="shared" ca="1" si="1085"/>
        <v>MASTRO</v>
      </c>
      <c r="CZ852" s="259" t="e">
        <f t="shared" ca="1" si="1098"/>
        <v>#N/A</v>
      </c>
      <c r="DA852" s="259" t="str">
        <f t="shared" ref="DA852:DA865" ca="1" si="1103">IFERROR(INDEX(LIBRO_GIORNALE,CZ852,1),"")</f>
        <v/>
      </c>
      <c r="DB852" s="259" t="str">
        <f t="shared" ca="1" si="1099"/>
        <v/>
      </c>
      <c r="DC852" s="259" t="str">
        <f t="shared" ca="1" si="1100"/>
        <v/>
      </c>
      <c r="DD852" s="259" t="str">
        <f t="shared" ca="1" si="1101"/>
        <v/>
      </c>
      <c r="DE852" s="259" t="str">
        <f t="shared" ca="1" si="1102"/>
        <v/>
      </c>
      <c r="DF852" s="259">
        <f ca="1">IF(AND(CX852=$DE$2,$DF$2&lt;&gt;0),0,IF(AND(DB852&lt;&gt;"",OR(DB851&lt;&gt;"",DB853&lt;&gt;"")),MAX($DF$2:DF851)+1,0))</f>
        <v>0</v>
      </c>
    </row>
    <row r="853" spans="102:110">
      <c r="CX853" s="259">
        <f t="shared" ca="1" si="1096"/>
        <v>48</v>
      </c>
      <c r="CY853" s="259" t="str">
        <f t="shared" ca="1" si="1085"/>
        <v>MASTRO</v>
      </c>
      <c r="CZ853" s="259" t="e">
        <f t="shared" ca="1" si="1098"/>
        <v>#N/A</v>
      </c>
      <c r="DA853" s="259" t="str">
        <f t="shared" ca="1" si="1103"/>
        <v/>
      </c>
      <c r="DB853" s="259" t="str">
        <f t="shared" ca="1" si="1099"/>
        <v/>
      </c>
      <c r="DC853" s="259" t="str">
        <f t="shared" ca="1" si="1100"/>
        <v/>
      </c>
      <c r="DD853" s="259" t="str">
        <f t="shared" ca="1" si="1101"/>
        <v/>
      </c>
      <c r="DE853" s="259" t="str">
        <f t="shared" ca="1" si="1102"/>
        <v/>
      </c>
      <c r="DF853" s="259">
        <f ca="1">IF(AND(CX853=$DE$2,$DF$2&lt;&gt;0),0,IF(AND(DB853&lt;&gt;"",OR(DB852&lt;&gt;"",DB854&lt;&gt;"")),MAX($DF$2:DF852)+1,0))</f>
        <v>0</v>
      </c>
    </row>
    <row r="854" spans="102:110">
      <c r="CX854" s="259">
        <f t="shared" ca="1" si="1096"/>
        <v>48</v>
      </c>
      <c r="CY854" s="259" t="str">
        <f t="shared" ca="1" si="1085"/>
        <v>MASTRO</v>
      </c>
      <c r="CZ854" s="259" t="e">
        <f t="shared" ca="1" si="1098"/>
        <v>#N/A</v>
      </c>
      <c r="DA854" s="259" t="str">
        <f t="shared" ca="1" si="1103"/>
        <v/>
      </c>
      <c r="DB854" s="259" t="str">
        <f t="shared" ca="1" si="1099"/>
        <v/>
      </c>
      <c r="DC854" s="259" t="str">
        <f t="shared" ca="1" si="1100"/>
        <v/>
      </c>
      <c r="DD854" s="259" t="str">
        <f t="shared" ca="1" si="1101"/>
        <v/>
      </c>
      <c r="DE854" s="259" t="str">
        <f t="shared" ca="1" si="1102"/>
        <v/>
      </c>
      <c r="DF854" s="259">
        <f ca="1">IF(AND(CX854=$DE$2,$DF$2&lt;&gt;0),0,IF(AND(DB854&lt;&gt;"",OR(DB853&lt;&gt;"",DB855&lt;&gt;"")),MAX($DF$2:DF853)+1,0))</f>
        <v>0</v>
      </c>
    </row>
    <row r="855" spans="102:110">
      <c r="CX855" s="259">
        <f t="shared" ca="1" si="1096"/>
        <v>48</v>
      </c>
      <c r="CY855" s="259" t="str">
        <f t="shared" ca="1" si="1085"/>
        <v>MASTRO</v>
      </c>
      <c r="CZ855" s="259" t="e">
        <f t="shared" ca="1" si="1098"/>
        <v>#N/A</v>
      </c>
      <c r="DA855" s="259" t="str">
        <f t="shared" ca="1" si="1103"/>
        <v/>
      </c>
      <c r="DB855" s="259" t="str">
        <f t="shared" ca="1" si="1099"/>
        <v/>
      </c>
      <c r="DC855" s="259" t="str">
        <f t="shared" ca="1" si="1100"/>
        <v/>
      </c>
      <c r="DD855" s="259" t="str">
        <f t="shared" ca="1" si="1101"/>
        <v/>
      </c>
      <c r="DE855" s="259" t="str">
        <f t="shared" ca="1" si="1102"/>
        <v/>
      </c>
      <c r="DF855" s="259">
        <f ca="1">IF(AND(CX855=$DE$2,$DF$2&lt;&gt;0),0,IF(AND(DB855&lt;&gt;"",OR(DB854&lt;&gt;"",DB856&lt;&gt;"")),MAX($DF$2:DF854)+1,0))</f>
        <v>0</v>
      </c>
    </row>
    <row r="856" spans="102:110">
      <c r="CX856" s="259">
        <f t="shared" ca="1" si="1096"/>
        <v>48</v>
      </c>
      <c r="CY856" s="259" t="str">
        <f t="shared" ca="1" si="1085"/>
        <v>MASTRO</v>
      </c>
      <c r="CZ856" s="259" t="e">
        <f t="shared" ca="1" si="1098"/>
        <v>#N/A</v>
      </c>
      <c r="DA856" s="259" t="str">
        <f t="shared" ca="1" si="1103"/>
        <v/>
      </c>
      <c r="DB856" s="259" t="str">
        <f t="shared" ca="1" si="1099"/>
        <v/>
      </c>
      <c r="DC856" s="259" t="str">
        <f t="shared" ca="1" si="1100"/>
        <v/>
      </c>
      <c r="DD856" s="259" t="str">
        <f t="shared" ca="1" si="1101"/>
        <v/>
      </c>
      <c r="DE856" s="259" t="str">
        <f t="shared" ca="1" si="1102"/>
        <v/>
      </c>
      <c r="DF856" s="259">
        <f ca="1">IF(AND(CX856=$DE$2,$DF$2&lt;&gt;0),0,IF(AND(DB856&lt;&gt;"",OR(DB855&lt;&gt;"",DB857&lt;&gt;"")),MAX($DF$2:DF855)+1,0))</f>
        <v>0</v>
      </c>
    </row>
    <row r="857" spans="102:110">
      <c r="CX857" s="259">
        <f t="shared" ca="1" si="1096"/>
        <v>48</v>
      </c>
      <c r="CY857" s="259" t="str">
        <f t="shared" ca="1" si="1085"/>
        <v>MASTRO</v>
      </c>
      <c r="CZ857" s="259" t="e">
        <f t="shared" ca="1" si="1098"/>
        <v>#N/A</v>
      </c>
      <c r="DA857" s="259" t="str">
        <f t="shared" ca="1" si="1103"/>
        <v/>
      </c>
      <c r="DB857" s="259" t="str">
        <f t="shared" ca="1" si="1099"/>
        <v/>
      </c>
      <c r="DC857" s="259" t="str">
        <f t="shared" ca="1" si="1100"/>
        <v/>
      </c>
      <c r="DD857" s="259" t="str">
        <f t="shared" ca="1" si="1101"/>
        <v/>
      </c>
      <c r="DE857" s="259" t="str">
        <f t="shared" ca="1" si="1102"/>
        <v/>
      </c>
      <c r="DF857" s="259">
        <f ca="1">IF(AND(CX857=$DE$2,$DF$2&lt;&gt;0),0,IF(AND(DB857&lt;&gt;"",OR(DB856&lt;&gt;"",DB858&lt;&gt;"")),MAX($DF$2:DF856)+1,0))</f>
        <v>0</v>
      </c>
    </row>
    <row r="858" spans="102:110">
      <c r="CX858" s="259">
        <f t="shared" ca="1" si="1096"/>
        <v>48</v>
      </c>
      <c r="CY858" s="259" t="str">
        <f t="shared" ca="1" si="1085"/>
        <v>MASTRO</v>
      </c>
      <c r="CZ858" s="259" t="e">
        <f t="shared" ca="1" si="1098"/>
        <v>#N/A</v>
      </c>
      <c r="DA858" s="259" t="str">
        <f t="shared" ca="1" si="1103"/>
        <v/>
      </c>
      <c r="DB858" s="259" t="str">
        <f t="shared" ca="1" si="1099"/>
        <v/>
      </c>
      <c r="DC858" s="259" t="str">
        <f t="shared" ca="1" si="1100"/>
        <v/>
      </c>
      <c r="DD858" s="259" t="str">
        <f t="shared" ca="1" si="1101"/>
        <v/>
      </c>
      <c r="DE858" s="259" t="str">
        <f t="shared" ca="1" si="1102"/>
        <v/>
      </c>
      <c r="DF858" s="259">
        <f ca="1">IF(AND(CX858=$DE$2,$DF$2&lt;&gt;0),0,IF(AND(DB858&lt;&gt;"",OR(DB857&lt;&gt;"",DB859&lt;&gt;"")),MAX($DF$2:DF857)+1,0))</f>
        <v>0</v>
      </c>
    </row>
    <row r="859" spans="102:110">
      <c r="CX859" s="259">
        <f t="shared" ca="1" si="1096"/>
        <v>48</v>
      </c>
      <c r="CY859" s="259" t="str">
        <f t="shared" ca="1" si="1085"/>
        <v>MASTRO</v>
      </c>
      <c r="CZ859" s="259" t="e">
        <f t="shared" ca="1" si="1098"/>
        <v>#N/A</v>
      </c>
      <c r="DA859" s="259" t="str">
        <f t="shared" ca="1" si="1103"/>
        <v/>
      </c>
      <c r="DB859" s="259" t="str">
        <f t="shared" ca="1" si="1099"/>
        <v/>
      </c>
      <c r="DC859" s="259" t="str">
        <f t="shared" ca="1" si="1100"/>
        <v/>
      </c>
      <c r="DD859" s="259" t="str">
        <f t="shared" ca="1" si="1101"/>
        <v/>
      </c>
      <c r="DE859" s="259" t="str">
        <f t="shared" ca="1" si="1102"/>
        <v/>
      </c>
      <c r="DF859" s="259">
        <f ca="1">IF(AND(CX859=$DE$2,$DF$2&lt;&gt;0),0,IF(AND(DB859&lt;&gt;"",OR(DB858&lt;&gt;"",DB860&lt;&gt;"")),MAX($DF$2:DF858)+1,0))</f>
        <v>0</v>
      </c>
    </row>
    <row r="860" spans="102:110">
      <c r="CX860" s="259">
        <f t="shared" ca="1" si="1096"/>
        <v>48</v>
      </c>
      <c r="CY860" s="259" t="str">
        <f t="shared" ca="1" si="1085"/>
        <v>MASTRO</v>
      </c>
      <c r="CZ860" s="259" t="e">
        <f t="shared" ca="1" si="1098"/>
        <v>#N/A</v>
      </c>
      <c r="DA860" s="259" t="str">
        <f t="shared" ca="1" si="1103"/>
        <v/>
      </c>
      <c r="DB860" s="259" t="str">
        <f t="shared" ca="1" si="1099"/>
        <v/>
      </c>
      <c r="DC860" s="259" t="str">
        <f t="shared" ca="1" si="1100"/>
        <v/>
      </c>
      <c r="DD860" s="259" t="str">
        <f t="shared" ca="1" si="1101"/>
        <v/>
      </c>
      <c r="DE860" s="259" t="str">
        <f t="shared" ca="1" si="1102"/>
        <v/>
      </c>
      <c r="DF860" s="259">
        <f ca="1">IF(AND(CX860=$DE$2,$DF$2&lt;&gt;0),0,IF(AND(DB860&lt;&gt;"",OR(DB859&lt;&gt;"",DB861&lt;&gt;"")),MAX($DF$2:DF859)+1,0))</f>
        <v>0</v>
      </c>
    </row>
    <row r="861" spans="102:110">
      <c r="CX861" s="259">
        <f t="shared" ca="1" si="1096"/>
        <v>48</v>
      </c>
      <c r="CY861" s="259" t="str">
        <f t="shared" ca="1" si="1085"/>
        <v>MASTRO</v>
      </c>
      <c r="CZ861" s="259" t="e">
        <f t="shared" ca="1" si="1098"/>
        <v>#N/A</v>
      </c>
      <c r="DA861" s="259" t="str">
        <f t="shared" ca="1" si="1103"/>
        <v/>
      </c>
      <c r="DB861" s="259" t="str">
        <f t="shared" ca="1" si="1099"/>
        <v/>
      </c>
      <c r="DC861" s="259" t="str">
        <f t="shared" ca="1" si="1100"/>
        <v/>
      </c>
      <c r="DD861" s="259" t="str">
        <f t="shared" ca="1" si="1101"/>
        <v/>
      </c>
      <c r="DE861" s="259" t="str">
        <f t="shared" ca="1" si="1102"/>
        <v/>
      </c>
      <c r="DF861" s="259">
        <f ca="1">IF(AND(CX861=$DE$2,$DF$2&lt;&gt;0),0,IF(AND(DB861&lt;&gt;"",OR(DB860&lt;&gt;"",DB862&lt;&gt;"")),MAX($DF$2:DF860)+1,0))</f>
        <v>0</v>
      </c>
    </row>
    <row r="862" spans="102:110">
      <c r="CX862" s="259">
        <f t="shared" ca="1" si="1096"/>
        <v>48</v>
      </c>
      <c r="CY862" s="259" t="str">
        <f t="shared" ref="CY862:CY895" ca="1" si="1104">IF(ISERROR(INDEX($CV$3:$CX$2300,MATCH(CX862,$CW$3:$CW$2300,0),1)),"MASTRO",INDEX($CV$3:$CX$2300,MATCH(CX862,$CW$3:$CW$2300,0),1))</f>
        <v>MASTRO</v>
      </c>
      <c r="CZ862" s="259" t="e">
        <f t="shared" ca="1" si="1098"/>
        <v>#N/A</v>
      </c>
      <c r="DA862" s="259" t="str">
        <f t="shared" ca="1" si="1103"/>
        <v/>
      </c>
      <c r="DB862" s="259" t="str">
        <f t="shared" ca="1" si="1099"/>
        <v/>
      </c>
      <c r="DC862" s="259" t="str">
        <f t="shared" ca="1" si="1100"/>
        <v/>
      </c>
      <c r="DD862" s="259" t="str">
        <f t="shared" ca="1" si="1101"/>
        <v/>
      </c>
      <c r="DE862" s="259" t="str">
        <f t="shared" ca="1" si="1102"/>
        <v/>
      </c>
      <c r="DF862" s="259">
        <f ca="1">IF(AND(CX862=$DE$2,$DF$2&lt;&gt;0),0,IF(AND(DB862&lt;&gt;"",OR(DB861&lt;&gt;"",DB863&lt;&gt;"")),MAX($DF$2:DF861)+1,0))</f>
        <v>0</v>
      </c>
    </row>
    <row r="863" spans="102:110">
      <c r="CX863" s="259">
        <f t="shared" ca="1" si="1096"/>
        <v>48</v>
      </c>
      <c r="CY863" s="259" t="str">
        <f t="shared" ca="1" si="1104"/>
        <v>MASTRO</v>
      </c>
      <c r="CZ863" s="259" t="e">
        <f t="shared" ca="1" si="1098"/>
        <v>#N/A</v>
      </c>
      <c r="DA863" s="259" t="str">
        <f t="shared" ca="1" si="1103"/>
        <v/>
      </c>
      <c r="DB863" s="259" t="str">
        <f t="shared" ca="1" si="1099"/>
        <v/>
      </c>
      <c r="DC863" s="259" t="str">
        <f t="shared" ca="1" si="1100"/>
        <v/>
      </c>
      <c r="DD863" s="259" t="str">
        <f t="shared" ca="1" si="1101"/>
        <v/>
      </c>
      <c r="DE863" s="259" t="str">
        <f t="shared" ca="1" si="1102"/>
        <v/>
      </c>
      <c r="DF863" s="259">
        <f ca="1">IF(AND(CX863=$DE$2,$DF$2&lt;&gt;0),0,IF(AND(DB863&lt;&gt;"",OR(DB862&lt;&gt;"",DB864&lt;&gt;"")),MAX($DF$2:DF862)+1,0))</f>
        <v>0</v>
      </c>
    </row>
    <row r="864" spans="102:110">
      <c r="CX864" s="259">
        <f t="shared" ca="1" si="1096"/>
        <v>48</v>
      </c>
      <c r="CY864" s="259" t="str">
        <f t="shared" ca="1" si="1104"/>
        <v>MASTRO</v>
      </c>
      <c r="CZ864" s="259" t="e">
        <f t="shared" ca="1" si="1098"/>
        <v>#N/A</v>
      </c>
      <c r="DA864" s="259" t="str">
        <f t="shared" ca="1" si="1103"/>
        <v/>
      </c>
      <c r="DB864" s="259" t="str">
        <f t="shared" ca="1" si="1099"/>
        <v/>
      </c>
      <c r="DC864" s="259" t="str">
        <f t="shared" ca="1" si="1100"/>
        <v/>
      </c>
      <c r="DD864" s="259" t="str">
        <f t="shared" ca="1" si="1101"/>
        <v/>
      </c>
      <c r="DE864" s="259" t="str">
        <f t="shared" ca="1" si="1102"/>
        <v/>
      </c>
      <c r="DF864" s="259">
        <f ca="1">IF(AND(CX864=$DE$2,$DF$2&lt;&gt;0),0,IF(AND(DB864&lt;&gt;"",OR(DB863&lt;&gt;"",DB865&lt;&gt;"")),MAX($DF$2:DF863)+1,0))</f>
        <v>0</v>
      </c>
    </row>
    <row r="865" spans="102:110">
      <c r="CX865" s="259">
        <f t="shared" ca="1" si="1096"/>
        <v>48</v>
      </c>
      <c r="CY865" s="259" t="str">
        <f t="shared" ca="1" si="1104"/>
        <v>MASTRO</v>
      </c>
      <c r="CZ865" s="259" t="e">
        <f t="shared" ca="1" si="1098"/>
        <v>#N/A</v>
      </c>
      <c r="DA865" s="259" t="str">
        <f t="shared" ca="1" si="1103"/>
        <v/>
      </c>
      <c r="DB865" s="259" t="str">
        <f t="shared" ca="1" si="1099"/>
        <v/>
      </c>
      <c r="DC865" s="259" t="str">
        <f t="shared" ca="1" si="1100"/>
        <v/>
      </c>
      <c r="DD865" s="259" t="str">
        <f t="shared" ca="1" si="1101"/>
        <v/>
      </c>
      <c r="DE865" s="259" t="str">
        <f t="shared" ca="1" si="1102"/>
        <v/>
      </c>
      <c r="DF865" s="259">
        <f ca="1">IF(AND(CX865=$DE$2,$DF$2&lt;&gt;0),0,IF(AND(DB865&lt;&gt;"",OR(DB864&lt;&gt;"",DB866&lt;&gt;"")),MAX($DF$2:DF864)+1,0))</f>
        <v>0</v>
      </c>
    </row>
    <row r="866" spans="102:110">
      <c r="CX866" s="259" t="str">
        <f>IFERROR(IF(CX848+1=1,"",(CX848+1)),"")</f>
        <v/>
      </c>
      <c r="CY866" s="259" t="str">
        <f t="shared" ca="1" si="1104"/>
        <v>MASTRO</v>
      </c>
      <c r="DB866" s="259" t="str">
        <f t="shared" ref="DB866" ca="1" si="1105">CY866</f>
        <v>MASTRO</v>
      </c>
      <c r="DF866" s="259">
        <f ca="1">IF(AND(CX866=$DE$2,$DF$2&lt;&gt;0),0,IF(AND(DB866&lt;&gt;"",OR(DB865&lt;&gt;"",DB867&lt;&gt;"")),MAX($DF$2:DF865)+1,0))</f>
        <v>0</v>
      </c>
    </row>
    <row r="867" spans="102:110">
      <c r="CX867" s="259">
        <f ca="1">$EA$51</f>
        <v>49</v>
      </c>
      <c r="CY867" s="259" t="str">
        <f t="shared" ca="1" si="1104"/>
        <v>MASTRO</v>
      </c>
      <c r="DA867" s="259" t="str">
        <f ca="1">IF(CY866="MASTRO","Conto n.","")</f>
        <v>Conto n.</v>
      </c>
      <c r="DB867" s="259" t="str">
        <f ca="1">IF(CY867=0,"",INDEX(PIANO_DEI_CONTI,MATCH(DC867,DENOMINAZIONE,0),1))</f>
        <v/>
      </c>
      <c r="DC867" s="259" t="str">
        <f ca="1">IF(OR(CY867=0,CY867="mastro"),"",CY867)</f>
        <v/>
      </c>
      <c r="DD867" s="259" t="str">
        <f ca="1">IF(AND($DA$2=TRUE,OR(INDEX(PIANO_DEI_CONTI,MATCH($DC867,DENOMINAZIONE,0),4)="A",INDEX(PIANO_DEI_CONTI,MATCH($DC867,DENOMINAZIONE,0),4)="D/A"),SUMIFS(AVERE,DENOMINAZIONE_GIORNALE,"="&amp;$DC867)&gt;SUMIFS(DARE,DENOMINAZIONE_GIORNALE,"="&amp;$DC867)),CONCATENATE("s ",FIXED(ABS(SUMIFS(AVERE,DENOMINAZIONE_GIORNALE,"="&amp;$DC867)-SUMIFS(DARE,DENOMINAZIONE_GIORNALE,"="&amp;$DC867)),2)),"")</f>
        <v/>
      </c>
      <c r="DE867" s="259" t="str">
        <f ca="1">IF(AND($DA$2=TRUE,OR(INDEX(PIANO_DEI_CONTI,MATCH($DC867,DENOMINAZIONE,0),4)="D",INDEX(PIANO_DEI_CONTI,MATCH($DC867,DENOMINAZIONE,0),4)="D/A"),SUMIFS(DARE,DENOMINAZIONE_GIORNALE,"="&amp;$DC867)&gt;SUMIFS(AVERE,DENOMINAZIONE_GIORNALE,"="&amp;$DC867)),CONCATENATE("s ",FIXED(ABS(SUMIFS(DARE,DENOMINAZIONE_GIORNALE,"="&amp;$DC867)-SUMIFS(AVERE,DENOMINAZIONE_GIORNALE,"="&amp;$DC867)),2)),"")</f>
        <v/>
      </c>
      <c r="DF867" s="259">
        <f ca="1">IF(AND(CX867=$DE$2,$DF$2&lt;&gt;0),0,IF(AND(DB867&lt;&gt;"",OR(DB866&lt;&gt;"",DB868&lt;&gt;"")),MAX($DF$2:DF866)+1,0))</f>
        <v>0</v>
      </c>
    </row>
    <row r="868" spans="102:110">
      <c r="CX868" s="259">
        <f t="shared" ref="CX868:CX883" ca="1" si="1106">$EA$51</f>
        <v>49</v>
      </c>
      <c r="CY868" s="259" t="str">
        <f t="shared" ca="1" si="1104"/>
        <v>MASTRO</v>
      </c>
      <c r="DA868" s="259" t="str">
        <f ca="1">IF(DB867="","","Num. riga")</f>
        <v/>
      </c>
      <c r="DB868" s="259" t="str">
        <f t="shared" ref="DB868" ca="1" si="1107">IF(DB867="","","Data")</f>
        <v/>
      </c>
      <c r="DC868" s="259" t="str">
        <f ca="1">IF(DB867="","","Operazioni")</f>
        <v/>
      </c>
      <c r="DD868" s="259" t="str">
        <f ca="1">IF(DB867="","","Dare        ")</f>
        <v/>
      </c>
      <c r="DE868" s="259" t="str">
        <f ca="1">IF(DB867="","","Avere        ")</f>
        <v/>
      </c>
      <c r="DF868" s="259">
        <f ca="1">IF(AND(CX868=$DE$2,$DF$2&lt;&gt;0),0,IF(AND(DB868&lt;&gt;"",OR(DB867&lt;&gt;"",DB869&lt;&gt;"")),MAX($DF$2:DF867)+1,0))</f>
        <v>0</v>
      </c>
    </row>
    <row r="869" spans="102:110">
      <c r="CX869" s="259">
        <f t="shared" ca="1" si="1106"/>
        <v>49</v>
      </c>
      <c r="CY869" s="259" t="str">
        <f t="shared" ca="1" si="1104"/>
        <v>MASTRO</v>
      </c>
      <c r="CZ869" s="259" t="e">
        <f t="shared" ref="CZ869:CZ883" ca="1" si="1108">SUM(MATCH($CY869,INDIRECT(ADDRESS(SUM(CZ868)+3,54)&amp;":"&amp;ADDRESS(400,54)),0),CZ868)</f>
        <v>#N/A</v>
      </c>
      <c r="DA869" s="259" t="str">
        <f ca="1">IFERROR(INDEX(LIBRO_GIORNALE,CZ869,1),"")</f>
        <v/>
      </c>
      <c r="DB869" s="259" t="str">
        <f t="shared" ref="DB869:DB883" ca="1" si="1109">IF(RIGHT(TEXT(IFERROR(INDEX(LIBRO_GIORNALE,CZ869,2),""),"gg/mm/aa"),1)="a",TEXT(IFERROR(INDEX(LIBRO_GIORNALE,CZ869,2),""),"dd/mm/yy"),TEXT(IFERROR(INDEX(LIBRO_GIORNALE,CZ869,2),""),"gg/mm/aa"))</f>
        <v/>
      </c>
      <c r="DC869" s="259" t="str">
        <f t="shared" ref="DC869:DC883" ca="1" si="1110">IF(IFERROR(INDEX(LIBRO_GIORNALE,CZ869,4),"")=0,"manca la descrizione dell'operazione",IFERROR(INDEX(LIBRO_GIORNALE,CZ869,4),""))</f>
        <v/>
      </c>
      <c r="DD869" s="259" t="str">
        <f t="shared" ref="DD869:DD883" ca="1" si="1111">IFERROR(IF(INDEX(LIBRO_GIORNALE,CZ869,5)&gt;0,INDEX(LIBRO_GIORNALE,CZ869,5),""),"")</f>
        <v/>
      </c>
      <c r="DE869" s="259" t="str">
        <f t="shared" ref="DE869:DE883" ca="1" si="1112">IFERROR(IF(INDEX(LIBRO_GIORNALE,CZ869,6)&gt;0,INDEX(LIBRO_GIORNALE,CZ869,6),""),"")</f>
        <v/>
      </c>
      <c r="DF869" s="259">
        <f ca="1">IF(AND(CX869=$DE$2,$DF$2&lt;&gt;0),0,IF(AND(DB869&lt;&gt;"",OR(DB868&lt;&gt;"",DB870&lt;&gt;"")),MAX($DF$2:DF868)+1,0))</f>
        <v>0</v>
      </c>
    </row>
    <row r="870" spans="102:110">
      <c r="CX870" s="259">
        <f t="shared" ca="1" si="1106"/>
        <v>49</v>
      </c>
      <c r="CY870" s="259" t="str">
        <f t="shared" ca="1" si="1104"/>
        <v>MASTRO</v>
      </c>
      <c r="CZ870" s="259" t="e">
        <f t="shared" ca="1" si="1108"/>
        <v>#N/A</v>
      </c>
      <c r="DA870" s="259" t="str">
        <f t="shared" ref="DA870:DA883" ca="1" si="1113">IFERROR(INDEX(LIBRO_GIORNALE,CZ870,1),"")</f>
        <v/>
      </c>
      <c r="DB870" s="259" t="str">
        <f t="shared" ca="1" si="1109"/>
        <v/>
      </c>
      <c r="DC870" s="259" t="str">
        <f t="shared" ca="1" si="1110"/>
        <v/>
      </c>
      <c r="DD870" s="259" t="str">
        <f t="shared" ca="1" si="1111"/>
        <v/>
      </c>
      <c r="DE870" s="259" t="str">
        <f t="shared" ca="1" si="1112"/>
        <v/>
      </c>
      <c r="DF870" s="259">
        <f ca="1">IF(AND(CX870=$DE$2,$DF$2&lt;&gt;0),0,IF(AND(DB870&lt;&gt;"",OR(DB869&lt;&gt;"",DB871&lt;&gt;"")),MAX($DF$2:DF869)+1,0))</f>
        <v>0</v>
      </c>
    </row>
    <row r="871" spans="102:110">
      <c r="CX871" s="259">
        <f t="shared" ca="1" si="1106"/>
        <v>49</v>
      </c>
      <c r="CY871" s="259" t="str">
        <f t="shared" ca="1" si="1104"/>
        <v>MASTRO</v>
      </c>
      <c r="CZ871" s="259" t="e">
        <f t="shared" ca="1" si="1108"/>
        <v>#N/A</v>
      </c>
      <c r="DA871" s="259" t="str">
        <f t="shared" ca="1" si="1113"/>
        <v/>
      </c>
      <c r="DB871" s="259" t="str">
        <f t="shared" ca="1" si="1109"/>
        <v/>
      </c>
      <c r="DC871" s="259" t="str">
        <f t="shared" ca="1" si="1110"/>
        <v/>
      </c>
      <c r="DD871" s="259" t="str">
        <f t="shared" ca="1" si="1111"/>
        <v/>
      </c>
      <c r="DE871" s="259" t="str">
        <f t="shared" ca="1" si="1112"/>
        <v/>
      </c>
      <c r="DF871" s="259">
        <f ca="1">IF(AND(CX871=$DE$2,$DF$2&lt;&gt;0),0,IF(AND(DB871&lt;&gt;"",OR(DB870&lt;&gt;"",DB872&lt;&gt;"")),MAX($DF$2:DF870)+1,0))</f>
        <v>0</v>
      </c>
    </row>
    <row r="872" spans="102:110">
      <c r="CX872" s="259">
        <f t="shared" ca="1" si="1106"/>
        <v>49</v>
      </c>
      <c r="CY872" s="259" t="str">
        <f t="shared" ca="1" si="1104"/>
        <v>MASTRO</v>
      </c>
      <c r="CZ872" s="259" t="e">
        <f t="shared" ca="1" si="1108"/>
        <v>#N/A</v>
      </c>
      <c r="DA872" s="259" t="str">
        <f t="shared" ca="1" si="1113"/>
        <v/>
      </c>
      <c r="DB872" s="259" t="str">
        <f t="shared" ca="1" si="1109"/>
        <v/>
      </c>
      <c r="DC872" s="259" t="str">
        <f t="shared" ca="1" si="1110"/>
        <v/>
      </c>
      <c r="DD872" s="259" t="str">
        <f t="shared" ca="1" si="1111"/>
        <v/>
      </c>
      <c r="DE872" s="259" t="str">
        <f t="shared" ca="1" si="1112"/>
        <v/>
      </c>
      <c r="DF872" s="259">
        <f ca="1">IF(AND(CX872=$DE$2,$DF$2&lt;&gt;0),0,IF(AND(DB872&lt;&gt;"",OR(DB871&lt;&gt;"",DB873&lt;&gt;"")),MAX($DF$2:DF871)+1,0))</f>
        <v>0</v>
      </c>
    </row>
    <row r="873" spans="102:110">
      <c r="CX873" s="259">
        <f t="shared" ca="1" si="1106"/>
        <v>49</v>
      </c>
      <c r="CY873" s="259" t="str">
        <f t="shared" ca="1" si="1104"/>
        <v>MASTRO</v>
      </c>
      <c r="CZ873" s="259" t="e">
        <f t="shared" ca="1" si="1108"/>
        <v>#N/A</v>
      </c>
      <c r="DA873" s="259" t="str">
        <f t="shared" ca="1" si="1113"/>
        <v/>
      </c>
      <c r="DB873" s="259" t="str">
        <f t="shared" ca="1" si="1109"/>
        <v/>
      </c>
      <c r="DC873" s="259" t="str">
        <f t="shared" ca="1" si="1110"/>
        <v/>
      </c>
      <c r="DD873" s="259" t="str">
        <f t="shared" ca="1" si="1111"/>
        <v/>
      </c>
      <c r="DE873" s="259" t="str">
        <f t="shared" ca="1" si="1112"/>
        <v/>
      </c>
      <c r="DF873" s="259">
        <f ca="1">IF(AND(CX873=$DE$2,$DF$2&lt;&gt;0),0,IF(AND(DB873&lt;&gt;"",OR(DB872&lt;&gt;"",DB874&lt;&gt;"")),MAX($DF$2:DF872)+1,0))</f>
        <v>0</v>
      </c>
    </row>
    <row r="874" spans="102:110">
      <c r="CX874" s="259">
        <f t="shared" ca="1" si="1106"/>
        <v>49</v>
      </c>
      <c r="CY874" s="259" t="str">
        <f t="shared" ca="1" si="1104"/>
        <v>MASTRO</v>
      </c>
      <c r="CZ874" s="259" t="e">
        <f t="shared" ca="1" si="1108"/>
        <v>#N/A</v>
      </c>
      <c r="DA874" s="259" t="str">
        <f t="shared" ca="1" si="1113"/>
        <v/>
      </c>
      <c r="DB874" s="259" t="str">
        <f t="shared" ca="1" si="1109"/>
        <v/>
      </c>
      <c r="DC874" s="259" t="str">
        <f t="shared" ca="1" si="1110"/>
        <v/>
      </c>
      <c r="DD874" s="259" t="str">
        <f t="shared" ca="1" si="1111"/>
        <v/>
      </c>
      <c r="DE874" s="259" t="str">
        <f t="shared" ca="1" si="1112"/>
        <v/>
      </c>
      <c r="DF874" s="259">
        <f ca="1">IF(AND(CX874=$DE$2,$DF$2&lt;&gt;0),0,IF(AND(DB874&lt;&gt;"",OR(DB873&lt;&gt;"",DB875&lt;&gt;"")),MAX($DF$2:DF873)+1,0))</f>
        <v>0</v>
      </c>
    </row>
    <row r="875" spans="102:110">
      <c r="CX875" s="259">
        <f t="shared" ca="1" si="1106"/>
        <v>49</v>
      </c>
      <c r="CY875" s="259" t="str">
        <f t="shared" ca="1" si="1104"/>
        <v>MASTRO</v>
      </c>
      <c r="CZ875" s="259" t="e">
        <f t="shared" ca="1" si="1108"/>
        <v>#N/A</v>
      </c>
      <c r="DA875" s="259" t="str">
        <f t="shared" ca="1" si="1113"/>
        <v/>
      </c>
      <c r="DB875" s="259" t="str">
        <f t="shared" ca="1" si="1109"/>
        <v/>
      </c>
      <c r="DC875" s="259" t="str">
        <f t="shared" ca="1" si="1110"/>
        <v/>
      </c>
      <c r="DD875" s="259" t="str">
        <f t="shared" ca="1" si="1111"/>
        <v/>
      </c>
      <c r="DE875" s="259" t="str">
        <f t="shared" ca="1" si="1112"/>
        <v/>
      </c>
      <c r="DF875" s="259">
        <f ca="1">IF(AND(CX875=$DE$2,$DF$2&lt;&gt;0),0,IF(AND(DB875&lt;&gt;"",OR(DB874&lt;&gt;"",DB876&lt;&gt;"")),MAX($DF$2:DF874)+1,0))</f>
        <v>0</v>
      </c>
    </row>
    <row r="876" spans="102:110">
      <c r="CX876" s="259">
        <f t="shared" ca="1" si="1106"/>
        <v>49</v>
      </c>
      <c r="CY876" s="259" t="str">
        <f t="shared" ca="1" si="1104"/>
        <v>MASTRO</v>
      </c>
      <c r="CZ876" s="259" t="e">
        <f t="shared" ca="1" si="1108"/>
        <v>#N/A</v>
      </c>
      <c r="DA876" s="259" t="str">
        <f t="shared" ca="1" si="1113"/>
        <v/>
      </c>
      <c r="DB876" s="259" t="str">
        <f t="shared" ca="1" si="1109"/>
        <v/>
      </c>
      <c r="DC876" s="259" t="str">
        <f t="shared" ca="1" si="1110"/>
        <v/>
      </c>
      <c r="DD876" s="259" t="str">
        <f t="shared" ca="1" si="1111"/>
        <v/>
      </c>
      <c r="DE876" s="259" t="str">
        <f t="shared" ca="1" si="1112"/>
        <v/>
      </c>
      <c r="DF876" s="259">
        <f ca="1">IF(AND(CX876=$DE$2,$DF$2&lt;&gt;0),0,IF(AND(DB876&lt;&gt;"",OR(DB875&lt;&gt;"",DB877&lt;&gt;"")),MAX($DF$2:DF875)+1,0))</f>
        <v>0</v>
      </c>
    </row>
    <row r="877" spans="102:110">
      <c r="CX877" s="259">
        <f t="shared" ca="1" si="1106"/>
        <v>49</v>
      </c>
      <c r="CY877" s="259" t="str">
        <f t="shared" ca="1" si="1104"/>
        <v>MASTRO</v>
      </c>
      <c r="CZ877" s="259" t="e">
        <f t="shared" ca="1" si="1108"/>
        <v>#N/A</v>
      </c>
      <c r="DA877" s="259" t="str">
        <f t="shared" ca="1" si="1113"/>
        <v/>
      </c>
      <c r="DB877" s="259" t="str">
        <f t="shared" ca="1" si="1109"/>
        <v/>
      </c>
      <c r="DC877" s="259" t="str">
        <f t="shared" ca="1" si="1110"/>
        <v/>
      </c>
      <c r="DD877" s="259" t="str">
        <f t="shared" ca="1" si="1111"/>
        <v/>
      </c>
      <c r="DE877" s="259" t="str">
        <f t="shared" ca="1" si="1112"/>
        <v/>
      </c>
      <c r="DF877" s="259">
        <f ca="1">IF(AND(CX877=$DE$2,$DF$2&lt;&gt;0),0,IF(AND(DB877&lt;&gt;"",OR(DB876&lt;&gt;"",DB878&lt;&gt;"")),MAX($DF$2:DF876)+1,0))</f>
        <v>0</v>
      </c>
    </row>
    <row r="878" spans="102:110">
      <c r="CX878" s="259">
        <f t="shared" ca="1" si="1106"/>
        <v>49</v>
      </c>
      <c r="CY878" s="259" t="str">
        <f t="shared" ca="1" si="1104"/>
        <v>MASTRO</v>
      </c>
      <c r="CZ878" s="259" t="e">
        <f t="shared" ca="1" si="1108"/>
        <v>#N/A</v>
      </c>
      <c r="DA878" s="259" t="str">
        <f t="shared" ca="1" si="1113"/>
        <v/>
      </c>
      <c r="DB878" s="259" t="str">
        <f t="shared" ca="1" si="1109"/>
        <v/>
      </c>
      <c r="DC878" s="259" t="str">
        <f t="shared" ca="1" si="1110"/>
        <v/>
      </c>
      <c r="DD878" s="259" t="str">
        <f t="shared" ca="1" si="1111"/>
        <v/>
      </c>
      <c r="DE878" s="259" t="str">
        <f t="shared" ca="1" si="1112"/>
        <v/>
      </c>
      <c r="DF878" s="259">
        <f ca="1">IF(AND(CX878=$DE$2,$DF$2&lt;&gt;0),0,IF(AND(DB878&lt;&gt;"",OR(DB877&lt;&gt;"",DB879&lt;&gt;"")),MAX($DF$2:DF877)+1,0))</f>
        <v>0</v>
      </c>
    </row>
    <row r="879" spans="102:110">
      <c r="CX879" s="259">
        <f t="shared" ca="1" si="1106"/>
        <v>49</v>
      </c>
      <c r="CY879" s="259" t="str">
        <f t="shared" ca="1" si="1104"/>
        <v>MASTRO</v>
      </c>
      <c r="CZ879" s="259" t="e">
        <f t="shared" ca="1" si="1108"/>
        <v>#N/A</v>
      </c>
      <c r="DA879" s="259" t="str">
        <f t="shared" ca="1" si="1113"/>
        <v/>
      </c>
      <c r="DB879" s="259" t="str">
        <f t="shared" ca="1" si="1109"/>
        <v/>
      </c>
      <c r="DC879" s="259" t="str">
        <f t="shared" ca="1" si="1110"/>
        <v/>
      </c>
      <c r="DD879" s="259" t="str">
        <f t="shared" ca="1" si="1111"/>
        <v/>
      </c>
      <c r="DE879" s="259" t="str">
        <f t="shared" ca="1" si="1112"/>
        <v/>
      </c>
      <c r="DF879" s="259">
        <f ca="1">IF(AND(CX879=$DE$2,$DF$2&lt;&gt;0),0,IF(AND(DB879&lt;&gt;"",OR(DB878&lt;&gt;"",DB880&lt;&gt;"")),MAX($DF$2:DF878)+1,0))</f>
        <v>0</v>
      </c>
    </row>
    <row r="880" spans="102:110">
      <c r="CX880" s="259">
        <f t="shared" ca="1" si="1106"/>
        <v>49</v>
      </c>
      <c r="CY880" s="259" t="str">
        <f t="shared" ca="1" si="1104"/>
        <v>MASTRO</v>
      </c>
      <c r="CZ880" s="259" t="e">
        <f t="shared" ca="1" si="1108"/>
        <v>#N/A</v>
      </c>
      <c r="DA880" s="259" t="str">
        <f t="shared" ca="1" si="1113"/>
        <v/>
      </c>
      <c r="DB880" s="259" t="str">
        <f t="shared" ca="1" si="1109"/>
        <v/>
      </c>
      <c r="DC880" s="259" t="str">
        <f t="shared" ca="1" si="1110"/>
        <v/>
      </c>
      <c r="DD880" s="259" t="str">
        <f t="shared" ca="1" si="1111"/>
        <v/>
      </c>
      <c r="DE880" s="259" t="str">
        <f t="shared" ca="1" si="1112"/>
        <v/>
      </c>
      <c r="DF880" s="259">
        <f ca="1">IF(AND(CX880=$DE$2,$DF$2&lt;&gt;0),0,IF(AND(DB880&lt;&gt;"",OR(DB879&lt;&gt;"",DB881&lt;&gt;"")),MAX($DF$2:DF879)+1,0))</f>
        <v>0</v>
      </c>
    </row>
    <row r="881" spans="102:110">
      <c r="CX881" s="259">
        <f t="shared" ca="1" si="1106"/>
        <v>49</v>
      </c>
      <c r="CY881" s="259" t="str">
        <f t="shared" ca="1" si="1104"/>
        <v>MASTRO</v>
      </c>
      <c r="CZ881" s="259" t="e">
        <f t="shared" ca="1" si="1108"/>
        <v>#N/A</v>
      </c>
      <c r="DA881" s="259" t="str">
        <f t="shared" ca="1" si="1113"/>
        <v/>
      </c>
      <c r="DB881" s="259" t="str">
        <f t="shared" ca="1" si="1109"/>
        <v/>
      </c>
      <c r="DC881" s="259" t="str">
        <f t="shared" ca="1" si="1110"/>
        <v/>
      </c>
      <c r="DD881" s="259" t="str">
        <f t="shared" ca="1" si="1111"/>
        <v/>
      </c>
      <c r="DE881" s="259" t="str">
        <f t="shared" ca="1" si="1112"/>
        <v/>
      </c>
      <c r="DF881" s="259">
        <f ca="1">IF(AND(CX881=$DE$2,$DF$2&lt;&gt;0),0,IF(AND(DB881&lt;&gt;"",OR(DB880&lt;&gt;"",DB882&lt;&gt;"")),MAX($DF$2:DF880)+1,0))</f>
        <v>0</v>
      </c>
    </row>
    <row r="882" spans="102:110">
      <c r="CX882" s="259">
        <f t="shared" ca="1" si="1106"/>
        <v>49</v>
      </c>
      <c r="CY882" s="259" t="str">
        <f t="shared" ca="1" si="1104"/>
        <v>MASTRO</v>
      </c>
      <c r="CZ882" s="259" t="e">
        <f t="shared" ca="1" si="1108"/>
        <v>#N/A</v>
      </c>
      <c r="DA882" s="259" t="str">
        <f t="shared" ca="1" si="1113"/>
        <v/>
      </c>
      <c r="DB882" s="259" t="str">
        <f t="shared" ca="1" si="1109"/>
        <v/>
      </c>
      <c r="DC882" s="259" t="str">
        <f t="shared" ca="1" si="1110"/>
        <v/>
      </c>
      <c r="DD882" s="259" t="str">
        <f t="shared" ca="1" si="1111"/>
        <v/>
      </c>
      <c r="DE882" s="259" t="str">
        <f t="shared" ca="1" si="1112"/>
        <v/>
      </c>
      <c r="DF882" s="259">
        <f ca="1">IF(AND(CX882=$DE$2,$DF$2&lt;&gt;0),0,IF(AND(DB882&lt;&gt;"",OR(DB881&lt;&gt;"",DB883&lt;&gt;"")),MAX($DF$2:DF881)+1,0))</f>
        <v>0</v>
      </c>
    </row>
    <row r="883" spans="102:110">
      <c r="CX883" s="259">
        <f t="shared" ca="1" si="1106"/>
        <v>49</v>
      </c>
      <c r="CY883" s="259" t="str">
        <f t="shared" ca="1" si="1104"/>
        <v>MASTRO</v>
      </c>
      <c r="CZ883" s="259" t="e">
        <f t="shared" ca="1" si="1108"/>
        <v>#N/A</v>
      </c>
      <c r="DA883" s="259" t="str">
        <f t="shared" ca="1" si="1113"/>
        <v/>
      </c>
      <c r="DB883" s="259" t="str">
        <f t="shared" ca="1" si="1109"/>
        <v/>
      </c>
      <c r="DC883" s="259" t="str">
        <f t="shared" ca="1" si="1110"/>
        <v/>
      </c>
      <c r="DD883" s="259" t="str">
        <f t="shared" ca="1" si="1111"/>
        <v/>
      </c>
      <c r="DE883" s="259" t="str">
        <f t="shared" ca="1" si="1112"/>
        <v/>
      </c>
      <c r="DF883" s="259">
        <f ca="1">IF(AND(CX883=$DE$2,$DF$2&lt;&gt;0),0,IF(AND(DB883&lt;&gt;"",OR(DB882&lt;&gt;"",DB884&lt;&gt;"")),MAX($DF$2:DF882)+1,0))</f>
        <v>0</v>
      </c>
    </row>
    <row r="884" spans="102:110">
      <c r="CX884" s="259" t="str">
        <f>IFERROR(IF(CX866+1=1,"",(CX866+1)),"")</f>
        <v/>
      </c>
      <c r="CY884" s="259" t="str">
        <f t="shared" ca="1" si="1104"/>
        <v>MASTRO</v>
      </c>
      <c r="DB884" s="259" t="str">
        <f t="shared" ref="DB884" ca="1" si="1114">CY884</f>
        <v>MASTRO</v>
      </c>
      <c r="DF884" s="259">
        <f ca="1">IF(AND(CX884=$DE$2,$DF$2&lt;&gt;0),0,IF(AND(DB884&lt;&gt;"",OR(DB883&lt;&gt;"",DB885&lt;&gt;"")),MAX($DF$2:DF883)+1,0))</f>
        <v>0</v>
      </c>
    </row>
    <row r="885" spans="102:110">
      <c r="CX885" s="259">
        <f ca="1">$EA$52</f>
        <v>50</v>
      </c>
      <c r="CY885" s="259" t="str">
        <f t="shared" ca="1" si="1104"/>
        <v>MASTRO</v>
      </c>
      <c r="DA885" s="259" t="str">
        <f ca="1">IF(CY884="MASTRO","Conto n.","")</f>
        <v>Conto n.</v>
      </c>
      <c r="DB885" s="259" t="str">
        <f ca="1">IF(CY885=0,"",INDEX(PIANO_DEI_CONTI,MATCH(DC885,DENOMINAZIONE,0),1))</f>
        <v/>
      </c>
      <c r="DC885" s="259" t="str">
        <f ca="1">IF(OR(CY885=0,CY885="mastro"),"",CY885)</f>
        <v/>
      </c>
      <c r="DD885" s="259" t="str">
        <f ca="1">IF(AND($DA$2=TRUE,OR(INDEX(PIANO_DEI_CONTI,MATCH($DC885,DENOMINAZIONE,0),4)="A",INDEX(PIANO_DEI_CONTI,MATCH($DC885,DENOMINAZIONE,0),4)="D/A"),SUMIFS(AVERE,DENOMINAZIONE_GIORNALE,"="&amp;$DC885)&gt;SUMIFS(DARE,DENOMINAZIONE_GIORNALE,"="&amp;$DC885)),CONCATENATE("s ",FIXED(ABS(SUMIFS(AVERE,DENOMINAZIONE_GIORNALE,"="&amp;$DC885)-SUMIFS(DARE,DENOMINAZIONE_GIORNALE,"="&amp;$DC885)),2)),"")</f>
        <v/>
      </c>
      <c r="DE885" s="259" t="str">
        <f ca="1">IF(AND($DA$2=TRUE,OR(INDEX(PIANO_DEI_CONTI,MATCH($DC885,DENOMINAZIONE,0),4)="D",INDEX(PIANO_DEI_CONTI,MATCH($DC885,DENOMINAZIONE,0),4)="D/A"),SUMIFS(DARE,DENOMINAZIONE_GIORNALE,"="&amp;$DC885)&gt;SUMIFS(AVERE,DENOMINAZIONE_GIORNALE,"="&amp;$DC885)),CONCATENATE("s ",FIXED(ABS(SUMIFS(DARE,DENOMINAZIONE_GIORNALE,"="&amp;$DC885)-SUMIFS(AVERE,DENOMINAZIONE_GIORNALE,"="&amp;$DC885)),2)),"")</f>
        <v/>
      </c>
      <c r="DF885" s="259">
        <f ca="1">IF(AND(CX885=$DE$2,$DF$2&lt;&gt;0),0,IF(AND(DB885&lt;&gt;"",OR(DB884&lt;&gt;"",DB886&lt;&gt;"")),MAX($DF$2:DF884)+1,0))</f>
        <v>0</v>
      </c>
    </row>
    <row r="886" spans="102:110">
      <c r="CX886" s="259">
        <f t="shared" ref="CX886:CX901" ca="1" si="1115">$EA$52</f>
        <v>50</v>
      </c>
      <c r="CY886" s="259" t="str">
        <f t="shared" ca="1" si="1104"/>
        <v>MASTRO</v>
      </c>
      <c r="DA886" s="259" t="str">
        <f ca="1">IF(DB885="","","Num. riga")</f>
        <v/>
      </c>
      <c r="DB886" s="259" t="str">
        <f t="shared" ref="DB886" ca="1" si="1116">IF(DB885="","","Data")</f>
        <v/>
      </c>
      <c r="DC886" s="259" t="str">
        <f ca="1">IF(DB885="","","Operazioni")</f>
        <v/>
      </c>
      <c r="DD886" s="259" t="str">
        <f ca="1">IF(DB885="","","Dare        ")</f>
        <v/>
      </c>
      <c r="DE886" s="259" t="str">
        <f ca="1">IF(DB885="","","Avere        ")</f>
        <v/>
      </c>
      <c r="DF886" s="259">
        <f ca="1">IF(AND(CX886=$DE$2,$DF$2&lt;&gt;0),0,IF(AND(DB886&lt;&gt;"",OR(DB885&lt;&gt;"",DB887&lt;&gt;"")),MAX($DF$2:DF885)+1,0))</f>
        <v>0</v>
      </c>
    </row>
    <row r="887" spans="102:110">
      <c r="CX887" s="259">
        <f t="shared" ca="1" si="1115"/>
        <v>50</v>
      </c>
      <c r="CY887" s="259" t="str">
        <f t="shared" ca="1" si="1104"/>
        <v>MASTRO</v>
      </c>
      <c r="CZ887" s="259" t="e">
        <f t="shared" ref="CZ887:CZ901" ca="1" si="1117">SUM(MATCH($CY887,INDIRECT(ADDRESS(SUM(CZ886)+3,54)&amp;":"&amp;ADDRESS(400,54)),0),CZ886)</f>
        <v>#N/A</v>
      </c>
      <c r="DA887" s="259" t="str">
        <f ca="1">IFERROR(INDEX(LIBRO_GIORNALE,CZ887,1),"")</f>
        <v/>
      </c>
      <c r="DB887" s="259" t="str">
        <f t="shared" ref="DB887:DB901" ca="1" si="1118">IF(RIGHT(TEXT(IFERROR(INDEX(LIBRO_GIORNALE,CZ887,2),""),"gg/mm/aa"),1)="a",TEXT(IFERROR(INDEX(LIBRO_GIORNALE,CZ887,2),""),"dd/mm/yy"),TEXT(IFERROR(INDEX(LIBRO_GIORNALE,CZ887,2),""),"gg/mm/aa"))</f>
        <v/>
      </c>
      <c r="DC887" s="259" t="str">
        <f t="shared" ref="DC887:DC901" ca="1" si="1119">IF(IFERROR(INDEX(LIBRO_GIORNALE,CZ887,4),"")=0,"manca la descrizione dell'operazione",IFERROR(INDEX(LIBRO_GIORNALE,CZ887,4),""))</f>
        <v/>
      </c>
      <c r="DD887" s="259" t="str">
        <f t="shared" ref="DD887:DD901" ca="1" si="1120">IFERROR(IF(INDEX(LIBRO_GIORNALE,CZ887,5)&gt;0,INDEX(LIBRO_GIORNALE,CZ887,5),""),"")</f>
        <v/>
      </c>
      <c r="DE887" s="259" t="str">
        <f t="shared" ref="DE887:DE901" ca="1" si="1121">IFERROR(IF(INDEX(LIBRO_GIORNALE,CZ887,6)&gt;0,INDEX(LIBRO_GIORNALE,CZ887,6),""),"")</f>
        <v/>
      </c>
      <c r="DF887" s="259">
        <f ca="1">IF(AND(CX887=$DE$2,$DF$2&lt;&gt;0),0,IF(AND(DB887&lt;&gt;"",OR(DB886&lt;&gt;"",DB888&lt;&gt;"")),MAX($DF$2:DF886)+1,0))</f>
        <v>0</v>
      </c>
    </row>
    <row r="888" spans="102:110">
      <c r="CX888" s="259">
        <f t="shared" ca="1" si="1115"/>
        <v>50</v>
      </c>
      <c r="CY888" s="259" t="str">
        <f t="shared" ca="1" si="1104"/>
        <v>MASTRO</v>
      </c>
      <c r="CZ888" s="259" t="e">
        <f t="shared" ca="1" si="1117"/>
        <v>#N/A</v>
      </c>
      <c r="DA888" s="259" t="str">
        <f t="shared" ref="DA888:DA901" ca="1" si="1122">IFERROR(INDEX(LIBRO_GIORNALE,CZ888,1),"")</f>
        <v/>
      </c>
      <c r="DB888" s="259" t="str">
        <f t="shared" ca="1" si="1118"/>
        <v/>
      </c>
      <c r="DC888" s="259" t="str">
        <f t="shared" ca="1" si="1119"/>
        <v/>
      </c>
      <c r="DD888" s="259" t="str">
        <f t="shared" ca="1" si="1120"/>
        <v/>
      </c>
      <c r="DE888" s="259" t="str">
        <f t="shared" ca="1" si="1121"/>
        <v/>
      </c>
      <c r="DF888" s="259">
        <f ca="1">IF(AND(CX888=$DE$2,$DF$2&lt;&gt;0),0,IF(AND(DB888&lt;&gt;"",OR(DB887&lt;&gt;"",DB889&lt;&gt;"")),MAX($DF$2:DF887)+1,0))</f>
        <v>0</v>
      </c>
    </row>
    <row r="889" spans="102:110">
      <c r="CX889" s="259">
        <f t="shared" ca="1" si="1115"/>
        <v>50</v>
      </c>
      <c r="CY889" s="259" t="str">
        <f t="shared" ca="1" si="1104"/>
        <v>MASTRO</v>
      </c>
      <c r="CZ889" s="259" t="e">
        <f t="shared" ca="1" si="1117"/>
        <v>#N/A</v>
      </c>
      <c r="DA889" s="259" t="str">
        <f t="shared" ca="1" si="1122"/>
        <v/>
      </c>
      <c r="DB889" s="259" t="str">
        <f t="shared" ca="1" si="1118"/>
        <v/>
      </c>
      <c r="DC889" s="259" t="str">
        <f t="shared" ca="1" si="1119"/>
        <v/>
      </c>
      <c r="DD889" s="259" t="str">
        <f t="shared" ca="1" si="1120"/>
        <v/>
      </c>
      <c r="DE889" s="259" t="str">
        <f t="shared" ca="1" si="1121"/>
        <v/>
      </c>
      <c r="DF889" s="259">
        <f ca="1">IF(AND(CX889=$DE$2,$DF$2&lt;&gt;0),0,IF(AND(DB889&lt;&gt;"",OR(DB888&lt;&gt;"",DB890&lt;&gt;"")),MAX($DF$2:DF888)+1,0))</f>
        <v>0</v>
      </c>
    </row>
    <row r="890" spans="102:110">
      <c r="CX890" s="259">
        <f t="shared" ca="1" si="1115"/>
        <v>50</v>
      </c>
      <c r="CY890" s="259" t="str">
        <f t="shared" ca="1" si="1104"/>
        <v>MASTRO</v>
      </c>
      <c r="CZ890" s="259" t="e">
        <f t="shared" ca="1" si="1117"/>
        <v>#N/A</v>
      </c>
      <c r="DA890" s="259" t="str">
        <f t="shared" ca="1" si="1122"/>
        <v/>
      </c>
      <c r="DB890" s="259" t="str">
        <f t="shared" ca="1" si="1118"/>
        <v/>
      </c>
      <c r="DC890" s="259" t="str">
        <f t="shared" ca="1" si="1119"/>
        <v/>
      </c>
      <c r="DD890" s="259" t="str">
        <f t="shared" ca="1" si="1120"/>
        <v/>
      </c>
      <c r="DE890" s="259" t="str">
        <f t="shared" ca="1" si="1121"/>
        <v/>
      </c>
      <c r="DF890" s="259">
        <f ca="1">IF(AND(CX890=$DE$2,$DF$2&lt;&gt;0),0,IF(AND(DB890&lt;&gt;"",OR(DB889&lt;&gt;"",DB891&lt;&gt;"")),MAX($DF$2:DF889)+1,0))</f>
        <v>0</v>
      </c>
    </row>
    <row r="891" spans="102:110">
      <c r="CX891" s="259">
        <f t="shared" ca="1" si="1115"/>
        <v>50</v>
      </c>
      <c r="CY891" s="259" t="str">
        <f t="shared" ca="1" si="1104"/>
        <v>MASTRO</v>
      </c>
      <c r="CZ891" s="259" t="e">
        <f t="shared" ca="1" si="1117"/>
        <v>#N/A</v>
      </c>
      <c r="DA891" s="259" t="str">
        <f t="shared" ca="1" si="1122"/>
        <v/>
      </c>
      <c r="DB891" s="259" t="str">
        <f t="shared" ca="1" si="1118"/>
        <v/>
      </c>
      <c r="DC891" s="259" t="str">
        <f t="shared" ca="1" si="1119"/>
        <v/>
      </c>
      <c r="DD891" s="259" t="str">
        <f t="shared" ca="1" si="1120"/>
        <v/>
      </c>
      <c r="DE891" s="259" t="str">
        <f t="shared" ca="1" si="1121"/>
        <v/>
      </c>
      <c r="DF891" s="259">
        <f ca="1">IF(AND(CX891=$DE$2,$DF$2&lt;&gt;0),0,IF(AND(DB891&lt;&gt;"",OR(DB890&lt;&gt;"",DB892&lt;&gt;"")),MAX($DF$2:DF890)+1,0))</f>
        <v>0</v>
      </c>
    </row>
    <row r="892" spans="102:110">
      <c r="CX892" s="259">
        <f t="shared" ca="1" si="1115"/>
        <v>50</v>
      </c>
      <c r="CY892" s="259" t="str">
        <f t="shared" ca="1" si="1104"/>
        <v>MASTRO</v>
      </c>
      <c r="CZ892" s="259" t="e">
        <f t="shared" ca="1" si="1117"/>
        <v>#N/A</v>
      </c>
      <c r="DA892" s="259" t="str">
        <f t="shared" ca="1" si="1122"/>
        <v/>
      </c>
      <c r="DB892" s="259" t="str">
        <f t="shared" ca="1" si="1118"/>
        <v/>
      </c>
      <c r="DC892" s="259" t="str">
        <f t="shared" ca="1" si="1119"/>
        <v/>
      </c>
      <c r="DD892" s="259" t="str">
        <f t="shared" ca="1" si="1120"/>
        <v/>
      </c>
      <c r="DE892" s="259" t="str">
        <f t="shared" ca="1" si="1121"/>
        <v/>
      </c>
      <c r="DF892" s="259">
        <f ca="1">IF(AND(CX892=$DE$2,$DF$2&lt;&gt;0),0,IF(AND(DB892&lt;&gt;"",OR(DB891&lt;&gt;"",DB893&lt;&gt;"")),MAX($DF$2:DF891)+1,0))</f>
        <v>0</v>
      </c>
    </row>
    <row r="893" spans="102:110">
      <c r="CX893" s="259">
        <f t="shared" ca="1" si="1115"/>
        <v>50</v>
      </c>
      <c r="CY893" s="259" t="str">
        <f t="shared" ca="1" si="1104"/>
        <v>MASTRO</v>
      </c>
      <c r="CZ893" s="259" t="e">
        <f t="shared" ca="1" si="1117"/>
        <v>#N/A</v>
      </c>
      <c r="DA893" s="259" t="str">
        <f t="shared" ca="1" si="1122"/>
        <v/>
      </c>
      <c r="DB893" s="259" t="str">
        <f t="shared" ca="1" si="1118"/>
        <v/>
      </c>
      <c r="DC893" s="259" t="str">
        <f t="shared" ca="1" si="1119"/>
        <v/>
      </c>
      <c r="DD893" s="259" t="str">
        <f t="shared" ca="1" si="1120"/>
        <v/>
      </c>
      <c r="DE893" s="259" t="str">
        <f t="shared" ca="1" si="1121"/>
        <v/>
      </c>
      <c r="DF893" s="259">
        <f ca="1">IF(AND(CX893=$DE$2,$DF$2&lt;&gt;0),0,IF(AND(DB893&lt;&gt;"",OR(DB892&lt;&gt;"",DB894&lt;&gt;"")),MAX($DF$2:DF892)+1,0))</f>
        <v>0</v>
      </c>
    </row>
    <row r="894" spans="102:110">
      <c r="CX894" s="259">
        <f t="shared" ca="1" si="1115"/>
        <v>50</v>
      </c>
      <c r="CY894" s="259" t="str">
        <f t="shared" ca="1" si="1104"/>
        <v>MASTRO</v>
      </c>
      <c r="CZ894" s="259" t="e">
        <f t="shared" ca="1" si="1117"/>
        <v>#N/A</v>
      </c>
      <c r="DA894" s="259" t="str">
        <f t="shared" ca="1" si="1122"/>
        <v/>
      </c>
      <c r="DB894" s="259" t="str">
        <f t="shared" ca="1" si="1118"/>
        <v/>
      </c>
      <c r="DC894" s="259" t="str">
        <f t="shared" ca="1" si="1119"/>
        <v/>
      </c>
      <c r="DD894" s="259" t="str">
        <f t="shared" ca="1" si="1120"/>
        <v/>
      </c>
      <c r="DE894" s="259" t="str">
        <f t="shared" ca="1" si="1121"/>
        <v/>
      </c>
      <c r="DF894" s="259">
        <f ca="1">IF(AND(CX894=$DE$2,$DF$2&lt;&gt;0),0,IF(AND(DB894&lt;&gt;"",OR(DB893&lt;&gt;"",DB895&lt;&gt;"")),MAX($DF$2:DF893)+1,0))</f>
        <v>0</v>
      </c>
    </row>
    <row r="895" spans="102:110">
      <c r="CX895" s="259">
        <f t="shared" ca="1" si="1115"/>
        <v>50</v>
      </c>
      <c r="CY895" s="259" t="str">
        <f t="shared" ca="1" si="1104"/>
        <v>MASTRO</v>
      </c>
      <c r="CZ895" s="259" t="e">
        <f t="shared" ca="1" si="1117"/>
        <v>#N/A</v>
      </c>
      <c r="DA895" s="259" t="str">
        <f t="shared" ca="1" si="1122"/>
        <v/>
      </c>
      <c r="DB895" s="259" t="str">
        <f t="shared" ca="1" si="1118"/>
        <v/>
      </c>
      <c r="DC895" s="259" t="str">
        <f t="shared" ca="1" si="1119"/>
        <v/>
      </c>
      <c r="DD895" s="259" t="str">
        <f t="shared" ca="1" si="1120"/>
        <v/>
      </c>
      <c r="DE895" s="259" t="str">
        <f t="shared" ca="1" si="1121"/>
        <v/>
      </c>
      <c r="DF895" s="259">
        <f ca="1">IF(AND(CX895=$DE$2,$DF$2&lt;&gt;0),0,IF(AND(DB895&lt;&gt;"",OR(DB894&lt;&gt;"",DB896&lt;&gt;"")),MAX($DF$2:DF894)+1,0))</f>
        <v>0</v>
      </c>
    </row>
    <row r="896" spans="102:110">
      <c r="CX896" s="259">
        <f t="shared" ca="1" si="1115"/>
        <v>50</v>
      </c>
      <c r="CY896" s="259" t="str">
        <f t="shared" ref="CY896:CY926" ca="1" si="1123">IF(ISERROR(INDEX($CV$3:$CX$2300,MATCH(CX896,$CW$3:$CW$2300,0),1)),"MASTRO",INDEX($CV$3:$CX$2300,MATCH(CX896,$CW$3:$CW$2300,0),1))</f>
        <v>MASTRO</v>
      </c>
      <c r="CZ896" s="259" t="e">
        <f t="shared" ca="1" si="1117"/>
        <v>#N/A</v>
      </c>
      <c r="DA896" s="259" t="str">
        <f t="shared" ca="1" si="1122"/>
        <v/>
      </c>
      <c r="DB896" s="259" t="str">
        <f t="shared" ca="1" si="1118"/>
        <v/>
      </c>
      <c r="DC896" s="259" t="str">
        <f t="shared" ca="1" si="1119"/>
        <v/>
      </c>
      <c r="DD896" s="259" t="str">
        <f t="shared" ca="1" si="1120"/>
        <v/>
      </c>
      <c r="DE896" s="259" t="str">
        <f t="shared" ca="1" si="1121"/>
        <v/>
      </c>
      <c r="DF896" s="259">
        <f ca="1">IF(AND(CX896=$DE$2,$DF$2&lt;&gt;0),0,IF(AND(DB896&lt;&gt;"",OR(DB895&lt;&gt;"",DB897&lt;&gt;"")),MAX($DF$2:DF895)+1,0))</f>
        <v>0</v>
      </c>
    </row>
    <row r="897" spans="102:110">
      <c r="CX897" s="259">
        <f t="shared" ca="1" si="1115"/>
        <v>50</v>
      </c>
      <c r="CY897" s="259" t="str">
        <f t="shared" ca="1" si="1123"/>
        <v>MASTRO</v>
      </c>
      <c r="CZ897" s="259" t="e">
        <f t="shared" ca="1" si="1117"/>
        <v>#N/A</v>
      </c>
      <c r="DA897" s="259" t="str">
        <f t="shared" ca="1" si="1122"/>
        <v/>
      </c>
      <c r="DB897" s="259" t="str">
        <f t="shared" ca="1" si="1118"/>
        <v/>
      </c>
      <c r="DC897" s="259" t="str">
        <f t="shared" ca="1" si="1119"/>
        <v/>
      </c>
      <c r="DD897" s="259" t="str">
        <f t="shared" ca="1" si="1120"/>
        <v/>
      </c>
      <c r="DE897" s="259" t="str">
        <f t="shared" ca="1" si="1121"/>
        <v/>
      </c>
      <c r="DF897" s="259">
        <f ca="1">IF(AND(CX897=$DE$2,$DF$2&lt;&gt;0),0,IF(AND(DB897&lt;&gt;"",OR(DB896&lt;&gt;"",DB898&lt;&gt;"")),MAX($DF$2:DF896)+1,0))</f>
        <v>0</v>
      </c>
    </row>
    <row r="898" spans="102:110">
      <c r="CX898" s="259">
        <f t="shared" ca="1" si="1115"/>
        <v>50</v>
      </c>
      <c r="CY898" s="259" t="str">
        <f t="shared" ca="1" si="1123"/>
        <v>MASTRO</v>
      </c>
      <c r="CZ898" s="259" t="e">
        <f t="shared" ca="1" si="1117"/>
        <v>#N/A</v>
      </c>
      <c r="DA898" s="259" t="str">
        <f t="shared" ca="1" si="1122"/>
        <v/>
      </c>
      <c r="DB898" s="259" t="str">
        <f t="shared" ca="1" si="1118"/>
        <v/>
      </c>
      <c r="DC898" s="259" t="str">
        <f t="shared" ca="1" si="1119"/>
        <v/>
      </c>
      <c r="DD898" s="259" t="str">
        <f t="shared" ca="1" si="1120"/>
        <v/>
      </c>
      <c r="DE898" s="259" t="str">
        <f t="shared" ca="1" si="1121"/>
        <v/>
      </c>
      <c r="DF898" s="259">
        <f ca="1">IF(AND(CX898=$DE$2,$DF$2&lt;&gt;0),0,IF(AND(DB898&lt;&gt;"",OR(DB897&lt;&gt;"",DB899&lt;&gt;"")),MAX($DF$2:DF897)+1,0))</f>
        <v>0</v>
      </c>
    </row>
    <row r="899" spans="102:110">
      <c r="CX899" s="259">
        <f t="shared" ca="1" si="1115"/>
        <v>50</v>
      </c>
      <c r="CY899" s="259" t="str">
        <f t="shared" ca="1" si="1123"/>
        <v>MASTRO</v>
      </c>
      <c r="CZ899" s="259" t="e">
        <f t="shared" ca="1" si="1117"/>
        <v>#N/A</v>
      </c>
      <c r="DA899" s="259" t="str">
        <f t="shared" ca="1" si="1122"/>
        <v/>
      </c>
      <c r="DB899" s="259" t="str">
        <f t="shared" ca="1" si="1118"/>
        <v/>
      </c>
      <c r="DC899" s="259" t="str">
        <f t="shared" ca="1" si="1119"/>
        <v/>
      </c>
      <c r="DD899" s="259" t="str">
        <f t="shared" ca="1" si="1120"/>
        <v/>
      </c>
      <c r="DE899" s="259" t="str">
        <f t="shared" ca="1" si="1121"/>
        <v/>
      </c>
      <c r="DF899" s="259">
        <f ca="1">IF(AND(CX899=$DE$2,$DF$2&lt;&gt;0),0,IF(AND(DB899&lt;&gt;"",OR(DB898&lt;&gt;"",DB900&lt;&gt;"")),MAX($DF$2:DF898)+1,0))</f>
        <v>0</v>
      </c>
    </row>
    <row r="900" spans="102:110">
      <c r="CX900" s="259">
        <f t="shared" ca="1" si="1115"/>
        <v>50</v>
      </c>
      <c r="CY900" s="259" t="str">
        <f t="shared" ca="1" si="1123"/>
        <v>MASTRO</v>
      </c>
      <c r="CZ900" s="259" t="e">
        <f t="shared" ca="1" si="1117"/>
        <v>#N/A</v>
      </c>
      <c r="DA900" s="259" t="str">
        <f t="shared" ca="1" si="1122"/>
        <v/>
      </c>
      <c r="DB900" s="259" t="str">
        <f t="shared" ca="1" si="1118"/>
        <v/>
      </c>
      <c r="DC900" s="259" t="str">
        <f t="shared" ca="1" si="1119"/>
        <v/>
      </c>
      <c r="DD900" s="259" t="str">
        <f t="shared" ca="1" si="1120"/>
        <v/>
      </c>
      <c r="DE900" s="259" t="str">
        <f t="shared" ca="1" si="1121"/>
        <v/>
      </c>
      <c r="DF900" s="259">
        <f ca="1">IF(AND(CX900=$DE$2,$DF$2&lt;&gt;0),0,IF(AND(DB900&lt;&gt;"",OR(DB899&lt;&gt;"",DB901&lt;&gt;"")),MAX($DF$2:DF899)+1,0))</f>
        <v>0</v>
      </c>
    </row>
    <row r="901" spans="102:110">
      <c r="CX901" s="259">
        <f t="shared" ca="1" si="1115"/>
        <v>50</v>
      </c>
      <c r="CY901" s="259" t="str">
        <f t="shared" ca="1" si="1123"/>
        <v>MASTRO</v>
      </c>
      <c r="CZ901" s="259" t="e">
        <f t="shared" ca="1" si="1117"/>
        <v>#N/A</v>
      </c>
      <c r="DA901" s="259" t="str">
        <f t="shared" ca="1" si="1122"/>
        <v/>
      </c>
      <c r="DB901" s="259" t="str">
        <f t="shared" ca="1" si="1118"/>
        <v/>
      </c>
      <c r="DC901" s="259" t="str">
        <f t="shared" ca="1" si="1119"/>
        <v/>
      </c>
      <c r="DD901" s="259" t="str">
        <f t="shared" ca="1" si="1120"/>
        <v/>
      </c>
      <c r="DE901" s="259" t="str">
        <f t="shared" ca="1" si="1121"/>
        <v/>
      </c>
      <c r="DF901" s="259">
        <f ca="1">IF(AND(CX901=$DE$2,$DF$2&lt;&gt;0),0,IF(AND(DB901&lt;&gt;"",OR(DB900&lt;&gt;"",DB902&lt;&gt;"")),MAX($DF$2:DF900)+1,0))</f>
        <v>0</v>
      </c>
    </row>
    <row r="902" spans="102:110">
      <c r="CX902" s="259" t="str">
        <f>IFERROR(IF(CX884+1=1,"",(CX884+1)),"")</f>
        <v/>
      </c>
      <c r="CY902" s="259" t="str">
        <f t="shared" ca="1" si="1123"/>
        <v>MASTRO</v>
      </c>
      <c r="DB902" s="259" t="str">
        <f t="shared" ref="DB902" ca="1" si="1124">CY902</f>
        <v>MASTRO</v>
      </c>
      <c r="DF902" s="259">
        <f ca="1">IF(AND(CX902=$DE$2,$DF$2&lt;&gt;0),0,IF(AND(DB902&lt;&gt;"",OR(DB901&lt;&gt;"",DB903&lt;&gt;"")),MAX($DF$2:DF901)+1,0))</f>
        <v>0</v>
      </c>
    </row>
    <row r="903" spans="102:110">
      <c r="CX903" s="259">
        <f ca="1">$EA$53</f>
        <v>51</v>
      </c>
      <c r="CY903" s="259" t="str">
        <f t="shared" ca="1" si="1123"/>
        <v>MASTRO</v>
      </c>
      <c r="DA903" s="259" t="str">
        <f ca="1">IF(CY902="MASTRO","Conto n.","")</f>
        <v>Conto n.</v>
      </c>
      <c r="DB903" s="259" t="str">
        <f ca="1">IF(CY903=0,"",INDEX(PIANO_DEI_CONTI,MATCH(DC903,DENOMINAZIONE,0),1))</f>
        <v/>
      </c>
      <c r="DC903" s="259" t="str">
        <f ca="1">IF(OR(CY903=0,CY903="mastro"),"",CY903)</f>
        <v/>
      </c>
      <c r="DD903" s="259" t="str">
        <f ca="1">IF(AND($DA$2=TRUE,OR(INDEX(PIANO_DEI_CONTI,MATCH($DC903,DENOMINAZIONE,0),4)="A",INDEX(PIANO_DEI_CONTI,MATCH($DC903,DENOMINAZIONE,0),4)="D/A"),SUMIFS(AVERE,DENOMINAZIONE_GIORNALE,"="&amp;$DC903)&gt;SUMIFS(DARE,DENOMINAZIONE_GIORNALE,"="&amp;$DC903)),CONCATENATE("s ",FIXED(ABS(SUMIFS(AVERE,DENOMINAZIONE_GIORNALE,"="&amp;$DC903)-SUMIFS(DARE,DENOMINAZIONE_GIORNALE,"="&amp;$DC903)),2)),"")</f>
        <v/>
      </c>
      <c r="DE903" s="259" t="str">
        <f ca="1">IF(AND($DA$2=TRUE,OR(INDEX(PIANO_DEI_CONTI,MATCH($DC903,DENOMINAZIONE,0),4)="D",INDEX(PIANO_DEI_CONTI,MATCH($DC903,DENOMINAZIONE,0),4)="D/A"),SUMIFS(DARE,DENOMINAZIONE_GIORNALE,"="&amp;$DC903)&gt;SUMIFS(AVERE,DENOMINAZIONE_GIORNALE,"="&amp;$DC903)),CONCATENATE("s ",FIXED(ABS(SUMIFS(DARE,DENOMINAZIONE_GIORNALE,"="&amp;$DC903)-SUMIFS(AVERE,DENOMINAZIONE_GIORNALE,"="&amp;$DC903)),2)),"")</f>
        <v/>
      </c>
      <c r="DF903" s="259">
        <f ca="1">IF(AND(CX903=$DE$2,$DF$2&lt;&gt;0),0,IF(AND(DB903&lt;&gt;"",OR(DB902&lt;&gt;"",DB904&lt;&gt;"")),MAX($DF$2:DF902)+1,0))</f>
        <v>0</v>
      </c>
    </row>
    <row r="904" spans="102:110">
      <c r="CX904" s="259">
        <f t="shared" ref="CX904:CX919" ca="1" si="1125">$EA$53</f>
        <v>51</v>
      </c>
      <c r="CY904" s="259" t="str">
        <f t="shared" ca="1" si="1123"/>
        <v>MASTRO</v>
      </c>
      <c r="DA904" s="259" t="str">
        <f ca="1">IF(DB903="","","Num. riga")</f>
        <v/>
      </c>
      <c r="DB904" s="259" t="str">
        <f t="shared" ref="DB904" ca="1" si="1126">IF(DB903="","","Data")</f>
        <v/>
      </c>
      <c r="DC904" s="259" t="str">
        <f ca="1">IF(DB903="","","Operazioni")</f>
        <v/>
      </c>
      <c r="DD904" s="259" t="str">
        <f ca="1">IF(DB903="","","Dare        ")</f>
        <v/>
      </c>
      <c r="DE904" s="259" t="str">
        <f ca="1">IF(DB903="","","Avere        ")</f>
        <v/>
      </c>
      <c r="DF904" s="259">
        <f ca="1">IF(AND(CX904=$DE$2,$DF$2&lt;&gt;0),0,IF(AND(DB904&lt;&gt;"",OR(DB903&lt;&gt;"",DB905&lt;&gt;"")),MAX($DF$2:DF903)+1,0))</f>
        <v>0</v>
      </c>
    </row>
    <row r="905" spans="102:110">
      <c r="CX905" s="259">
        <f t="shared" ca="1" si="1125"/>
        <v>51</v>
      </c>
      <c r="CY905" s="259" t="str">
        <f t="shared" ca="1" si="1123"/>
        <v>MASTRO</v>
      </c>
      <c r="CZ905" s="259" t="e">
        <f t="shared" ref="CZ905:CZ919" ca="1" si="1127">SUM(MATCH($CY905,INDIRECT(ADDRESS(SUM(CZ904)+3,54)&amp;":"&amp;ADDRESS(400,54)),0),CZ904)</f>
        <v>#N/A</v>
      </c>
      <c r="DA905" s="259" t="str">
        <f ca="1">IFERROR(INDEX(LIBRO_GIORNALE,CZ905,1),"")</f>
        <v/>
      </c>
      <c r="DB905" s="259" t="str">
        <f t="shared" ref="DB905:DB919" ca="1" si="1128">IF(RIGHT(TEXT(IFERROR(INDEX(LIBRO_GIORNALE,CZ905,2),""),"gg/mm/aa"),1)="a",TEXT(IFERROR(INDEX(LIBRO_GIORNALE,CZ905,2),""),"dd/mm/yy"),TEXT(IFERROR(INDEX(LIBRO_GIORNALE,CZ905,2),""),"gg/mm/aa"))</f>
        <v/>
      </c>
      <c r="DC905" s="259" t="str">
        <f t="shared" ref="DC905:DC919" ca="1" si="1129">IF(IFERROR(INDEX(LIBRO_GIORNALE,CZ905,4),"")=0,"manca la descrizione dell'operazione",IFERROR(INDEX(LIBRO_GIORNALE,CZ905,4),""))</f>
        <v/>
      </c>
      <c r="DD905" s="259" t="str">
        <f t="shared" ref="DD905:DD919" ca="1" si="1130">IFERROR(IF(INDEX(LIBRO_GIORNALE,CZ905,5)&gt;0,INDEX(LIBRO_GIORNALE,CZ905,5),""),"")</f>
        <v/>
      </c>
      <c r="DE905" s="259" t="str">
        <f t="shared" ref="DE905:DE919" ca="1" si="1131">IFERROR(IF(INDEX(LIBRO_GIORNALE,CZ905,6)&gt;0,INDEX(LIBRO_GIORNALE,CZ905,6),""),"")</f>
        <v/>
      </c>
      <c r="DF905" s="259">
        <f ca="1">IF(AND(CX905=$DE$2,$DF$2&lt;&gt;0),0,IF(AND(DB905&lt;&gt;"",OR(DB904&lt;&gt;"",DB906&lt;&gt;"")),MAX($DF$2:DF904)+1,0))</f>
        <v>0</v>
      </c>
    </row>
    <row r="906" spans="102:110">
      <c r="CX906" s="259">
        <f t="shared" ca="1" si="1125"/>
        <v>51</v>
      </c>
      <c r="CY906" s="259" t="str">
        <f t="shared" ca="1" si="1123"/>
        <v>MASTRO</v>
      </c>
      <c r="CZ906" s="259" t="e">
        <f t="shared" ca="1" si="1127"/>
        <v>#N/A</v>
      </c>
      <c r="DA906" s="259" t="str">
        <f t="shared" ref="DA906:DA919" ca="1" si="1132">IFERROR(INDEX(LIBRO_GIORNALE,CZ906,1),"")</f>
        <v/>
      </c>
      <c r="DB906" s="259" t="str">
        <f t="shared" ca="1" si="1128"/>
        <v/>
      </c>
      <c r="DC906" s="259" t="str">
        <f t="shared" ca="1" si="1129"/>
        <v/>
      </c>
      <c r="DD906" s="259" t="str">
        <f t="shared" ca="1" si="1130"/>
        <v/>
      </c>
      <c r="DE906" s="259" t="str">
        <f t="shared" ca="1" si="1131"/>
        <v/>
      </c>
      <c r="DF906" s="259">
        <f ca="1">IF(AND(CX906=$DE$2,$DF$2&lt;&gt;0),0,IF(AND(DB906&lt;&gt;"",OR(DB905&lt;&gt;"",DB907&lt;&gt;"")),MAX($DF$2:DF905)+1,0))</f>
        <v>0</v>
      </c>
    </row>
    <row r="907" spans="102:110">
      <c r="CX907" s="259">
        <f t="shared" ca="1" si="1125"/>
        <v>51</v>
      </c>
      <c r="CY907" s="259" t="str">
        <f t="shared" ca="1" si="1123"/>
        <v>MASTRO</v>
      </c>
      <c r="CZ907" s="259" t="e">
        <f t="shared" ca="1" si="1127"/>
        <v>#N/A</v>
      </c>
      <c r="DA907" s="259" t="str">
        <f t="shared" ca="1" si="1132"/>
        <v/>
      </c>
      <c r="DB907" s="259" t="str">
        <f t="shared" ca="1" si="1128"/>
        <v/>
      </c>
      <c r="DC907" s="259" t="str">
        <f t="shared" ca="1" si="1129"/>
        <v/>
      </c>
      <c r="DD907" s="259" t="str">
        <f t="shared" ca="1" si="1130"/>
        <v/>
      </c>
      <c r="DE907" s="259" t="str">
        <f t="shared" ca="1" si="1131"/>
        <v/>
      </c>
      <c r="DF907" s="259">
        <f ca="1">IF(AND(CX907=$DE$2,$DF$2&lt;&gt;0),0,IF(AND(DB907&lt;&gt;"",OR(DB906&lt;&gt;"",DB908&lt;&gt;"")),MAX($DF$2:DF906)+1,0))</f>
        <v>0</v>
      </c>
    </row>
    <row r="908" spans="102:110">
      <c r="CX908" s="259">
        <f t="shared" ca="1" si="1125"/>
        <v>51</v>
      </c>
      <c r="CY908" s="259" t="str">
        <f t="shared" ca="1" si="1123"/>
        <v>MASTRO</v>
      </c>
      <c r="CZ908" s="259" t="e">
        <f t="shared" ca="1" si="1127"/>
        <v>#N/A</v>
      </c>
      <c r="DA908" s="259" t="str">
        <f t="shared" ca="1" si="1132"/>
        <v/>
      </c>
      <c r="DB908" s="259" t="str">
        <f t="shared" ca="1" si="1128"/>
        <v/>
      </c>
      <c r="DC908" s="259" t="str">
        <f t="shared" ca="1" si="1129"/>
        <v/>
      </c>
      <c r="DD908" s="259" t="str">
        <f t="shared" ca="1" si="1130"/>
        <v/>
      </c>
      <c r="DE908" s="259" t="str">
        <f t="shared" ca="1" si="1131"/>
        <v/>
      </c>
      <c r="DF908" s="259">
        <f ca="1">IF(AND(CX908=$DE$2,$DF$2&lt;&gt;0),0,IF(AND(DB908&lt;&gt;"",OR(DB907&lt;&gt;"",DB909&lt;&gt;"")),MAX($DF$2:DF907)+1,0))</f>
        <v>0</v>
      </c>
    </row>
    <row r="909" spans="102:110">
      <c r="CX909" s="259">
        <f t="shared" ca="1" si="1125"/>
        <v>51</v>
      </c>
      <c r="CY909" s="259" t="str">
        <f t="shared" ca="1" si="1123"/>
        <v>MASTRO</v>
      </c>
      <c r="CZ909" s="259" t="e">
        <f t="shared" ca="1" si="1127"/>
        <v>#N/A</v>
      </c>
      <c r="DA909" s="259" t="str">
        <f t="shared" ca="1" si="1132"/>
        <v/>
      </c>
      <c r="DB909" s="259" t="str">
        <f t="shared" ca="1" si="1128"/>
        <v/>
      </c>
      <c r="DC909" s="259" t="str">
        <f t="shared" ca="1" si="1129"/>
        <v/>
      </c>
      <c r="DD909" s="259" t="str">
        <f t="shared" ca="1" si="1130"/>
        <v/>
      </c>
      <c r="DE909" s="259" t="str">
        <f t="shared" ca="1" si="1131"/>
        <v/>
      </c>
      <c r="DF909" s="259">
        <f ca="1">IF(AND(CX909=$DE$2,$DF$2&lt;&gt;0),0,IF(AND(DB909&lt;&gt;"",OR(DB908&lt;&gt;"",DB910&lt;&gt;"")),MAX($DF$2:DF908)+1,0))</f>
        <v>0</v>
      </c>
    </row>
    <row r="910" spans="102:110">
      <c r="CX910" s="259">
        <f t="shared" ca="1" si="1125"/>
        <v>51</v>
      </c>
      <c r="CY910" s="259" t="str">
        <f t="shared" ca="1" si="1123"/>
        <v>MASTRO</v>
      </c>
      <c r="CZ910" s="259" t="e">
        <f t="shared" ca="1" si="1127"/>
        <v>#N/A</v>
      </c>
      <c r="DA910" s="259" t="str">
        <f t="shared" ca="1" si="1132"/>
        <v/>
      </c>
      <c r="DB910" s="259" t="str">
        <f t="shared" ca="1" si="1128"/>
        <v/>
      </c>
      <c r="DC910" s="259" t="str">
        <f t="shared" ca="1" si="1129"/>
        <v/>
      </c>
      <c r="DD910" s="259" t="str">
        <f t="shared" ca="1" si="1130"/>
        <v/>
      </c>
      <c r="DE910" s="259" t="str">
        <f t="shared" ca="1" si="1131"/>
        <v/>
      </c>
      <c r="DF910" s="259">
        <f ca="1">IF(AND(CX910=$DE$2,$DF$2&lt;&gt;0),0,IF(AND(DB910&lt;&gt;"",OR(DB909&lt;&gt;"",DB911&lt;&gt;"")),MAX($DF$2:DF909)+1,0))</f>
        <v>0</v>
      </c>
    </row>
    <row r="911" spans="102:110">
      <c r="CX911" s="259">
        <f t="shared" ca="1" si="1125"/>
        <v>51</v>
      </c>
      <c r="CY911" s="259" t="str">
        <f t="shared" ca="1" si="1123"/>
        <v>MASTRO</v>
      </c>
      <c r="CZ911" s="259" t="e">
        <f t="shared" ca="1" si="1127"/>
        <v>#N/A</v>
      </c>
      <c r="DA911" s="259" t="str">
        <f t="shared" ca="1" si="1132"/>
        <v/>
      </c>
      <c r="DB911" s="259" t="str">
        <f t="shared" ca="1" si="1128"/>
        <v/>
      </c>
      <c r="DC911" s="259" t="str">
        <f t="shared" ca="1" si="1129"/>
        <v/>
      </c>
      <c r="DD911" s="259" t="str">
        <f t="shared" ca="1" si="1130"/>
        <v/>
      </c>
      <c r="DE911" s="259" t="str">
        <f t="shared" ca="1" si="1131"/>
        <v/>
      </c>
      <c r="DF911" s="259">
        <f ca="1">IF(AND(CX911=$DE$2,$DF$2&lt;&gt;0),0,IF(AND(DB911&lt;&gt;"",OR(DB910&lt;&gt;"",DB912&lt;&gt;"")),MAX($DF$2:DF910)+1,0))</f>
        <v>0</v>
      </c>
    </row>
    <row r="912" spans="102:110">
      <c r="CX912" s="259">
        <f t="shared" ca="1" si="1125"/>
        <v>51</v>
      </c>
      <c r="CY912" s="259" t="str">
        <f t="shared" ca="1" si="1123"/>
        <v>MASTRO</v>
      </c>
      <c r="CZ912" s="259" t="e">
        <f t="shared" ca="1" si="1127"/>
        <v>#N/A</v>
      </c>
      <c r="DA912" s="259" t="str">
        <f t="shared" ca="1" si="1132"/>
        <v/>
      </c>
      <c r="DB912" s="259" t="str">
        <f t="shared" ca="1" si="1128"/>
        <v/>
      </c>
      <c r="DC912" s="259" t="str">
        <f t="shared" ca="1" si="1129"/>
        <v/>
      </c>
      <c r="DD912" s="259" t="str">
        <f t="shared" ca="1" si="1130"/>
        <v/>
      </c>
      <c r="DE912" s="259" t="str">
        <f t="shared" ca="1" si="1131"/>
        <v/>
      </c>
      <c r="DF912" s="259">
        <f ca="1">IF(AND(CX912=$DE$2,$DF$2&lt;&gt;0),0,IF(AND(DB912&lt;&gt;"",OR(DB911&lt;&gt;"",DB913&lt;&gt;"")),MAX($DF$2:DF911)+1,0))</f>
        <v>0</v>
      </c>
    </row>
    <row r="913" spans="102:110">
      <c r="CX913" s="259">
        <f t="shared" ca="1" si="1125"/>
        <v>51</v>
      </c>
      <c r="CY913" s="259" t="str">
        <f t="shared" ca="1" si="1123"/>
        <v>MASTRO</v>
      </c>
      <c r="CZ913" s="259" t="e">
        <f t="shared" ca="1" si="1127"/>
        <v>#N/A</v>
      </c>
      <c r="DA913" s="259" t="str">
        <f t="shared" ca="1" si="1132"/>
        <v/>
      </c>
      <c r="DB913" s="259" t="str">
        <f t="shared" ca="1" si="1128"/>
        <v/>
      </c>
      <c r="DC913" s="259" t="str">
        <f t="shared" ca="1" si="1129"/>
        <v/>
      </c>
      <c r="DD913" s="259" t="str">
        <f t="shared" ca="1" si="1130"/>
        <v/>
      </c>
      <c r="DE913" s="259" t="str">
        <f t="shared" ca="1" si="1131"/>
        <v/>
      </c>
      <c r="DF913" s="259">
        <f ca="1">IF(AND(CX913=$DE$2,$DF$2&lt;&gt;0),0,IF(AND(DB913&lt;&gt;"",OR(DB912&lt;&gt;"",DB914&lt;&gt;"")),MAX($DF$2:DF912)+1,0))</f>
        <v>0</v>
      </c>
    </row>
    <row r="914" spans="102:110">
      <c r="CX914" s="259">
        <f t="shared" ca="1" si="1125"/>
        <v>51</v>
      </c>
      <c r="CY914" s="259" t="str">
        <f t="shared" ca="1" si="1123"/>
        <v>MASTRO</v>
      </c>
      <c r="CZ914" s="259" t="e">
        <f t="shared" ca="1" si="1127"/>
        <v>#N/A</v>
      </c>
      <c r="DA914" s="259" t="str">
        <f t="shared" ca="1" si="1132"/>
        <v/>
      </c>
      <c r="DB914" s="259" t="str">
        <f t="shared" ca="1" si="1128"/>
        <v/>
      </c>
      <c r="DC914" s="259" t="str">
        <f t="shared" ca="1" si="1129"/>
        <v/>
      </c>
      <c r="DD914" s="259" t="str">
        <f t="shared" ca="1" si="1130"/>
        <v/>
      </c>
      <c r="DE914" s="259" t="str">
        <f t="shared" ca="1" si="1131"/>
        <v/>
      </c>
      <c r="DF914" s="259">
        <f ca="1">IF(AND(CX914=$DE$2,$DF$2&lt;&gt;0),0,IF(AND(DB914&lt;&gt;"",OR(DB913&lt;&gt;"",DB915&lt;&gt;"")),MAX($DF$2:DF913)+1,0))</f>
        <v>0</v>
      </c>
    </row>
    <row r="915" spans="102:110">
      <c r="CX915" s="259">
        <f t="shared" ca="1" si="1125"/>
        <v>51</v>
      </c>
      <c r="CY915" s="259" t="str">
        <f t="shared" ca="1" si="1123"/>
        <v>MASTRO</v>
      </c>
      <c r="CZ915" s="259" t="e">
        <f t="shared" ca="1" si="1127"/>
        <v>#N/A</v>
      </c>
      <c r="DA915" s="259" t="str">
        <f t="shared" ca="1" si="1132"/>
        <v/>
      </c>
      <c r="DB915" s="259" t="str">
        <f t="shared" ca="1" si="1128"/>
        <v/>
      </c>
      <c r="DC915" s="259" t="str">
        <f t="shared" ca="1" si="1129"/>
        <v/>
      </c>
      <c r="DD915" s="259" t="str">
        <f t="shared" ca="1" si="1130"/>
        <v/>
      </c>
      <c r="DE915" s="259" t="str">
        <f t="shared" ca="1" si="1131"/>
        <v/>
      </c>
      <c r="DF915" s="259">
        <f ca="1">IF(AND(CX915=$DE$2,$DF$2&lt;&gt;0),0,IF(AND(DB915&lt;&gt;"",OR(DB914&lt;&gt;"",DB916&lt;&gt;"")),MAX($DF$2:DF914)+1,0))</f>
        <v>0</v>
      </c>
    </row>
    <row r="916" spans="102:110">
      <c r="CX916" s="259">
        <f t="shared" ca="1" si="1125"/>
        <v>51</v>
      </c>
      <c r="CY916" s="259" t="str">
        <f t="shared" ca="1" si="1123"/>
        <v>MASTRO</v>
      </c>
      <c r="CZ916" s="259" t="e">
        <f t="shared" ca="1" si="1127"/>
        <v>#N/A</v>
      </c>
      <c r="DA916" s="259" t="str">
        <f t="shared" ca="1" si="1132"/>
        <v/>
      </c>
      <c r="DB916" s="259" t="str">
        <f t="shared" ca="1" si="1128"/>
        <v/>
      </c>
      <c r="DC916" s="259" t="str">
        <f t="shared" ca="1" si="1129"/>
        <v/>
      </c>
      <c r="DD916" s="259" t="str">
        <f t="shared" ca="1" si="1130"/>
        <v/>
      </c>
      <c r="DE916" s="259" t="str">
        <f t="shared" ca="1" si="1131"/>
        <v/>
      </c>
      <c r="DF916" s="259">
        <f ca="1">IF(AND(CX916=$DE$2,$DF$2&lt;&gt;0),0,IF(AND(DB916&lt;&gt;"",OR(DB915&lt;&gt;"",DB917&lt;&gt;"")),MAX($DF$2:DF915)+1,0))</f>
        <v>0</v>
      </c>
    </row>
    <row r="917" spans="102:110">
      <c r="CX917" s="259">
        <f t="shared" ca="1" si="1125"/>
        <v>51</v>
      </c>
      <c r="CY917" s="259" t="str">
        <f t="shared" ca="1" si="1123"/>
        <v>MASTRO</v>
      </c>
      <c r="CZ917" s="259" t="e">
        <f t="shared" ca="1" si="1127"/>
        <v>#N/A</v>
      </c>
      <c r="DA917" s="259" t="str">
        <f t="shared" ca="1" si="1132"/>
        <v/>
      </c>
      <c r="DB917" s="259" t="str">
        <f t="shared" ca="1" si="1128"/>
        <v/>
      </c>
      <c r="DC917" s="259" t="str">
        <f t="shared" ca="1" si="1129"/>
        <v/>
      </c>
      <c r="DD917" s="259" t="str">
        <f t="shared" ca="1" si="1130"/>
        <v/>
      </c>
      <c r="DE917" s="259" t="str">
        <f t="shared" ca="1" si="1131"/>
        <v/>
      </c>
      <c r="DF917" s="259">
        <f ca="1">IF(AND(CX917=$DE$2,$DF$2&lt;&gt;0),0,IF(AND(DB917&lt;&gt;"",OR(DB916&lt;&gt;"",DB918&lt;&gt;"")),MAX($DF$2:DF916)+1,0))</f>
        <v>0</v>
      </c>
    </row>
    <row r="918" spans="102:110">
      <c r="CX918" s="259">
        <f t="shared" ca="1" si="1125"/>
        <v>51</v>
      </c>
      <c r="CY918" s="259" t="str">
        <f t="shared" ca="1" si="1123"/>
        <v>MASTRO</v>
      </c>
      <c r="CZ918" s="259" t="e">
        <f t="shared" ca="1" si="1127"/>
        <v>#N/A</v>
      </c>
      <c r="DA918" s="259" t="str">
        <f t="shared" ca="1" si="1132"/>
        <v/>
      </c>
      <c r="DB918" s="259" t="str">
        <f t="shared" ca="1" si="1128"/>
        <v/>
      </c>
      <c r="DC918" s="259" t="str">
        <f t="shared" ca="1" si="1129"/>
        <v/>
      </c>
      <c r="DD918" s="259" t="str">
        <f t="shared" ca="1" si="1130"/>
        <v/>
      </c>
      <c r="DE918" s="259" t="str">
        <f t="shared" ca="1" si="1131"/>
        <v/>
      </c>
      <c r="DF918" s="259">
        <f ca="1">IF(AND(CX918=$DE$2,$DF$2&lt;&gt;0),0,IF(AND(DB918&lt;&gt;"",OR(DB917&lt;&gt;"",DB919&lt;&gt;"")),MAX($DF$2:DF917)+1,0))</f>
        <v>0</v>
      </c>
    </row>
    <row r="919" spans="102:110">
      <c r="CX919" s="259">
        <f t="shared" ca="1" si="1125"/>
        <v>51</v>
      </c>
      <c r="CY919" s="259" t="str">
        <f t="shared" ca="1" si="1123"/>
        <v>MASTRO</v>
      </c>
      <c r="CZ919" s="259" t="e">
        <f t="shared" ca="1" si="1127"/>
        <v>#N/A</v>
      </c>
      <c r="DA919" s="259" t="str">
        <f t="shared" ca="1" si="1132"/>
        <v/>
      </c>
      <c r="DB919" s="259" t="str">
        <f t="shared" ca="1" si="1128"/>
        <v/>
      </c>
      <c r="DC919" s="259" t="str">
        <f t="shared" ca="1" si="1129"/>
        <v/>
      </c>
      <c r="DD919" s="259" t="str">
        <f t="shared" ca="1" si="1130"/>
        <v/>
      </c>
      <c r="DE919" s="259" t="str">
        <f t="shared" ca="1" si="1131"/>
        <v/>
      </c>
      <c r="DF919" s="259">
        <f ca="1">IF(AND(CX919=$DE$2,$DF$2&lt;&gt;0),0,IF(AND(DB919&lt;&gt;"",OR(DB918&lt;&gt;"",DB920&lt;&gt;"")),MAX($DF$2:DF918)+1,0))</f>
        <v>0</v>
      </c>
    </row>
    <row r="920" spans="102:110">
      <c r="CX920" s="259" t="str">
        <f>IFERROR(IF(CX902+1=1,"",(CX902+1)),"")</f>
        <v/>
      </c>
      <c r="CY920" s="259" t="str">
        <f t="shared" ca="1" si="1123"/>
        <v>MASTRO</v>
      </c>
      <c r="DB920" s="259" t="str">
        <f t="shared" ref="DB920" ca="1" si="1133">CY920</f>
        <v>MASTRO</v>
      </c>
      <c r="DF920" s="259">
        <f ca="1">IF(AND(CX920=$DE$2,$DF$2&lt;&gt;0),0,IF(AND(DB920&lt;&gt;"",OR(DB919&lt;&gt;"",DB921&lt;&gt;"")),MAX($DF$2:DF919)+1,0))</f>
        <v>0</v>
      </c>
    </row>
    <row r="921" spans="102:110">
      <c r="CX921" s="259">
        <f ca="1">$EA$54</f>
        <v>52</v>
      </c>
      <c r="CY921" s="259" t="str">
        <f t="shared" ca="1" si="1123"/>
        <v>MASTRO</v>
      </c>
      <c r="DA921" s="259" t="str">
        <f ca="1">IF(CY920="MASTRO","Conto n.","")</f>
        <v>Conto n.</v>
      </c>
      <c r="DB921" s="259" t="str">
        <f ca="1">IF(CY921=0,"",INDEX(PIANO_DEI_CONTI,MATCH(DC921,DENOMINAZIONE,0),1))</f>
        <v/>
      </c>
      <c r="DC921" s="259" t="str">
        <f ca="1">IF(OR(CY921=0,CY921="mastro"),"",CY921)</f>
        <v/>
      </c>
      <c r="DD921" s="259" t="str">
        <f ca="1">IF(AND($DA$2=TRUE,OR(INDEX(PIANO_DEI_CONTI,MATCH($DC921,DENOMINAZIONE,0),4)="A",INDEX(PIANO_DEI_CONTI,MATCH($DC921,DENOMINAZIONE,0),4)="D/A"),SUMIFS(AVERE,DENOMINAZIONE_GIORNALE,"="&amp;$DC921)&gt;SUMIFS(DARE,DENOMINAZIONE_GIORNALE,"="&amp;$DC921)),CONCATENATE("s ",FIXED(ABS(SUMIFS(AVERE,DENOMINAZIONE_GIORNALE,"="&amp;$DC921)-SUMIFS(DARE,DENOMINAZIONE_GIORNALE,"="&amp;$DC921)),2)),"")</f>
        <v/>
      </c>
      <c r="DE921" s="259" t="str">
        <f ca="1">IF(AND($DA$2=TRUE,OR(INDEX(PIANO_DEI_CONTI,MATCH($DC921,DENOMINAZIONE,0),4)="D",INDEX(PIANO_DEI_CONTI,MATCH($DC921,DENOMINAZIONE,0),4)="D/A"),SUMIFS(DARE,DENOMINAZIONE_GIORNALE,"="&amp;$DC921)&gt;SUMIFS(AVERE,DENOMINAZIONE_GIORNALE,"="&amp;$DC921)),CONCATENATE("s ",FIXED(ABS(SUMIFS(DARE,DENOMINAZIONE_GIORNALE,"="&amp;$DC921)-SUMIFS(AVERE,DENOMINAZIONE_GIORNALE,"="&amp;$DC921)),2)),"")</f>
        <v/>
      </c>
      <c r="DF921" s="259">
        <f ca="1">IF(AND(CX921=$DE$2,$DF$2&lt;&gt;0),0,IF(AND(DB921&lt;&gt;"",OR(DB920&lt;&gt;"",DB922&lt;&gt;"")),MAX($DF$2:DF920)+1,0))</f>
        <v>0</v>
      </c>
    </row>
    <row r="922" spans="102:110">
      <c r="CX922" s="259">
        <f t="shared" ref="CX922:CX937" ca="1" si="1134">$EA$54</f>
        <v>52</v>
      </c>
      <c r="CY922" s="259" t="str">
        <f t="shared" ca="1" si="1123"/>
        <v>MASTRO</v>
      </c>
      <c r="DA922" s="259" t="str">
        <f ca="1">IF(DB921="","","Num. riga")</f>
        <v/>
      </c>
      <c r="DB922" s="259" t="str">
        <f t="shared" ref="DB922" ca="1" si="1135">IF(DB921="","","Data")</f>
        <v/>
      </c>
      <c r="DC922" s="259" t="str">
        <f ca="1">IF(DB921="","","Operazioni")</f>
        <v/>
      </c>
      <c r="DD922" s="259" t="str">
        <f ca="1">IF(DB921="","","Dare        ")</f>
        <v/>
      </c>
      <c r="DE922" s="259" t="str">
        <f ca="1">IF(DB921="","","Avere        ")</f>
        <v/>
      </c>
      <c r="DF922" s="259">
        <f ca="1">IF(AND(CX922=$DE$2,$DF$2&lt;&gt;0),0,IF(AND(DB922&lt;&gt;"",OR(DB921&lt;&gt;"",DB923&lt;&gt;"")),MAX($DF$2:DF921)+1,0))</f>
        <v>0</v>
      </c>
    </row>
    <row r="923" spans="102:110">
      <c r="CX923" s="259">
        <f t="shared" ca="1" si="1134"/>
        <v>52</v>
      </c>
      <c r="CY923" s="259" t="str">
        <f t="shared" ca="1" si="1123"/>
        <v>MASTRO</v>
      </c>
      <c r="CZ923" s="259" t="e">
        <f t="shared" ref="CZ923:CZ937" ca="1" si="1136">SUM(MATCH($CY923,INDIRECT(ADDRESS(SUM(CZ922)+3,54)&amp;":"&amp;ADDRESS(400,54)),0),CZ922)</f>
        <v>#N/A</v>
      </c>
      <c r="DA923" s="259" t="str">
        <f ca="1">IFERROR(INDEX(LIBRO_GIORNALE,CZ923,1),"")</f>
        <v/>
      </c>
      <c r="DB923" s="259" t="str">
        <f t="shared" ref="DB923:DB937" ca="1" si="1137">IF(RIGHT(TEXT(IFERROR(INDEX(LIBRO_GIORNALE,CZ923,2),""),"gg/mm/aa"),1)="a",TEXT(IFERROR(INDEX(LIBRO_GIORNALE,CZ923,2),""),"dd/mm/yy"),TEXT(IFERROR(INDEX(LIBRO_GIORNALE,CZ923,2),""),"gg/mm/aa"))</f>
        <v/>
      </c>
      <c r="DC923" s="259" t="str">
        <f t="shared" ref="DC923:DC937" ca="1" si="1138">IF(IFERROR(INDEX(LIBRO_GIORNALE,CZ923,4),"")=0,"manca la descrizione dell'operazione",IFERROR(INDEX(LIBRO_GIORNALE,CZ923,4),""))</f>
        <v/>
      </c>
      <c r="DD923" s="259" t="str">
        <f t="shared" ref="DD923:DD937" ca="1" si="1139">IFERROR(IF(INDEX(LIBRO_GIORNALE,CZ923,5)&gt;0,INDEX(LIBRO_GIORNALE,CZ923,5),""),"")</f>
        <v/>
      </c>
      <c r="DE923" s="259" t="str">
        <f t="shared" ref="DE923:DE937" ca="1" si="1140">IFERROR(IF(INDEX(LIBRO_GIORNALE,CZ923,6)&gt;0,INDEX(LIBRO_GIORNALE,CZ923,6),""),"")</f>
        <v/>
      </c>
      <c r="DF923" s="259">
        <f ca="1">IF(AND(CX923=$DE$2,$DF$2&lt;&gt;0),0,IF(AND(DB923&lt;&gt;"",OR(DB922&lt;&gt;"",DB924&lt;&gt;"")),MAX($DF$2:DF922)+1,0))</f>
        <v>0</v>
      </c>
    </row>
    <row r="924" spans="102:110">
      <c r="CX924" s="259">
        <f t="shared" ca="1" si="1134"/>
        <v>52</v>
      </c>
      <c r="CY924" s="259" t="str">
        <f t="shared" ca="1" si="1123"/>
        <v>MASTRO</v>
      </c>
      <c r="CZ924" s="259" t="e">
        <f t="shared" ca="1" si="1136"/>
        <v>#N/A</v>
      </c>
      <c r="DA924" s="259" t="str">
        <f t="shared" ref="DA924:DA937" ca="1" si="1141">IFERROR(INDEX(LIBRO_GIORNALE,CZ924,1),"")</f>
        <v/>
      </c>
      <c r="DB924" s="259" t="str">
        <f t="shared" ca="1" si="1137"/>
        <v/>
      </c>
      <c r="DC924" s="259" t="str">
        <f t="shared" ca="1" si="1138"/>
        <v/>
      </c>
      <c r="DD924" s="259" t="str">
        <f t="shared" ca="1" si="1139"/>
        <v/>
      </c>
      <c r="DE924" s="259" t="str">
        <f t="shared" ca="1" si="1140"/>
        <v/>
      </c>
      <c r="DF924" s="259">
        <f ca="1">IF(AND(CX924=$DE$2,$DF$2&lt;&gt;0),0,IF(AND(DB924&lt;&gt;"",OR(DB923&lt;&gt;"",DB925&lt;&gt;"")),MAX($DF$2:DF923)+1,0))</f>
        <v>0</v>
      </c>
    </row>
    <row r="925" spans="102:110">
      <c r="CX925" s="259">
        <f t="shared" ca="1" si="1134"/>
        <v>52</v>
      </c>
      <c r="CY925" s="259" t="str">
        <f t="shared" ca="1" si="1123"/>
        <v>MASTRO</v>
      </c>
      <c r="CZ925" s="259" t="e">
        <f t="shared" ca="1" si="1136"/>
        <v>#N/A</v>
      </c>
      <c r="DA925" s="259" t="str">
        <f t="shared" ca="1" si="1141"/>
        <v/>
      </c>
      <c r="DB925" s="259" t="str">
        <f t="shared" ca="1" si="1137"/>
        <v/>
      </c>
      <c r="DC925" s="259" t="str">
        <f t="shared" ca="1" si="1138"/>
        <v/>
      </c>
      <c r="DD925" s="259" t="str">
        <f t="shared" ca="1" si="1139"/>
        <v/>
      </c>
      <c r="DE925" s="259" t="str">
        <f t="shared" ca="1" si="1140"/>
        <v/>
      </c>
      <c r="DF925" s="259">
        <f ca="1">IF(AND(CX925=$DE$2,$DF$2&lt;&gt;0),0,IF(AND(DB925&lt;&gt;"",OR(DB924&lt;&gt;"",DB926&lt;&gt;"")),MAX($DF$2:DF924)+1,0))</f>
        <v>0</v>
      </c>
    </row>
    <row r="926" spans="102:110">
      <c r="CX926" s="259">
        <f t="shared" ca="1" si="1134"/>
        <v>52</v>
      </c>
      <c r="CY926" s="259" t="str">
        <f t="shared" ca="1" si="1123"/>
        <v>MASTRO</v>
      </c>
      <c r="CZ926" s="259" t="e">
        <f t="shared" ca="1" si="1136"/>
        <v>#N/A</v>
      </c>
      <c r="DA926" s="259" t="str">
        <f t="shared" ca="1" si="1141"/>
        <v/>
      </c>
      <c r="DB926" s="259" t="str">
        <f t="shared" ca="1" si="1137"/>
        <v/>
      </c>
      <c r="DC926" s="259" t="str">
        <f t="shared" ca="1" si="1138"/>
        <v/>
      </c>
      <c r="DD926" s="259" t="str">
        <f t="shared" ca="1" si="1139"/>
        <v/>
      </c>
      <c r="DE926" s="259" t="str">
        <f t="shared" ca="1" si="1140"/>
        <v/>
      </c>
      <c r="DF926" s="259">
        <f ca="1">IF(AND(CX926=$DE$2,$DF$2&lt;&gt;0),0,IF(AND(DB926&lt;&gt;"",OR(DB925&lt;&gt;"",DB927&lt;&gt;"")),MAX($DF$2:DF925)+1,0))</f>
        <v>0</v>
      </c>
    </row>
    <row r="927" spans="102:110">
      <c r="CX927" s="259">
        <f t="shared" ca="1" si="1134"/>
        <v>52</v>
      </c>
      <c r="CY927" s="259" t="str">
        <f t="shared" ref="CY927:CY960" ca="1" si="1142">IF(ISERROR(INDEX($CV$3:$CX$2300,MATCH(CX927,$CW$3:$CW$2300,0),1)),"MASTRO",INDEX($CV$3:$CX$2300,MATCH(CX927,$CW$3:$CW$2300,0),1))</f>
        <v>MASTRO</v>
      </c>
      <c r="CZ927" s="259" t="e">
        <f t="shared" ca="1" si="1136"/>
        <v>#N/A</v>
      </c>
      <c r="DA927" s="259" t="str">
        <f t="shared" ca="1" si="1141"/>
        <v/>
      </c>
      <c r="DB927" s="259" t="str">
        <f t="shared" ca="1" si="1137"/>
        <v/>
      </c>
      <c r="DC927" s="259" t="str">
        <f t="shared" ca="1" si="1138"/>
        <v/>
      </c>
      <c r="DD927" s="259" t="str">
        <f t="shared" ca="1" si="1139"/>
        <v/>
      </c>
      <c r="DE927" s="259" t="str">
        <f t="shared" ca="1" si="1140"/>
        <v/>
      </c>
      <c r="DF927" s="259">
        <f ca="1">IF(AND(CX927=$DE$2,$DF$2&lt;&gt;0),0,IF(AND(DB927&lt;&gt;"",OR(DB926&lt;&gt;"",DB928&lt;&gt;"")),MAX($DF$2:DF926)+1,0))</f>
        <v>0</v>
      </c>
    </row>
    <row r="928" spans="102:110">
      <c r="CX928" s="259">
        <f t="shared" ca="1" si="1134"/>
        <v>52</v>
      </c>
      <c r="CY928" s="259" t="str">
        <f t="shared" ca="1" si="1142"/>
        <v>MASTRO</v>
      </c>
      <c r="CZ928" s="259" t="e">
        <f t="shared" ca="1" si="1136"/>
        <v>#N/A</v>
      </c>
      <c r="DA928" s="259" t="str">
        <f t="shared" ca="1" si="1141"/>
        <v/>
      </c>
      <c r="DB928" s="259" t="str">
        <f t="shared" ca="1" si="1137"/>
        <v/>
      </c>
      <c r="DC928" s="259" t="str">
        <f t="shared" ca="1" si="1138"/>
        <v/>
      </c>
      <c r="DD928" s="259" t="str">
        <f t="shared" ca="1" si="1139"/>
        <v/>
      </c>
      <c r="DE928" s="259" t="str">
        <f t="shared" ca="1" si="1140"/>
        <v/>
      </c>
      <c r="DF928" s="259">
        <f ca="1">IF(AND(CX928=$DE$2,$DF$2&lt;&gt;0),0,IF(AND(DB928&lt;&gt;"",OR(DB927&lt;&gt;"",DB929&lt;&gt;"")),MAX($DF$2:DF927)+1,0))</f>
        <v>0</v>
      </c>
    </row>
    <row r="929" spans="102:110">
      <c r="CX929" s="259">
        <f t="shared" ca="1" si="1134"/>
        <v>52</v>
      </c>
      <c r="CY929" s="259" t="str">
        <f t="shared" ca="1" si="1142"/>
        <v>MASTRO</v>
      </c>
      <c r="CZ929" s="259" t="e">
        <f t="shared" ca="1" si="1136"/>
        <v>#N/A</v>
      </c>
      <c r="DA929" s="259" t="str">
        <f t="shared" ca="1" si="1141"/>
        <v/>
      </c>
      <c r="DB929" s="259" t="str">
        <f t="shared" ca="1" si="1137"/>
        <v/>
      </c>
      <c r="DC929" s="259" t="str">
        <f t="shared" ca="1" si="1138"/>
        <v/>
      </c>
      <c r="DD929" s="259" t="str">
        <f t="shared" ca="1" si="1139"/>
        <v/>
      </c>
      <c r="DE929" s="259" t="str">
        <f t="shared" ca="1" si="1140"/>
        <v/>
      </c>
      <c r="DF929" s="259">
        <f ca="1">IF(AND(CX929=$DE$2,$DF$2&lt;&gt;0),0,IF(AND(DB929&lt;&gt;"",OR(DB928&lt;&gt;"",DB930&lt;&gt;"")),MAX($DF$2:DF928)+1,0))</f>
        <v>0</v>
      </c>
    </row>
    <row r="930" spans="102:110">
      <c r="CX930" s="259">
        <f t="shared" ca="1" si="1134"/>
        <v>52</v>
      </c>
      <c r="CY930" s="259" t="str">
        <f t="shared" ca="1" si="1142"/>
        <v>MASTRO</v>
      </c>
      <c r="CZ930" s="259" t="e">
        <f t="shared" ca="1" si="1136"/>
        <v>#N/A</v>
      </c>
      <c r="DA930" s="259" t="str">
        <f t="shared" ca="1" si="1141"/>
        <v/>
      </c>
      <c r="DB930" s="259" t="str">
        <f t="shared" ca="1" si="1137"/>
        <v/>
      </c>
      <c r="DC930" s="259" t="str">
        <f t="shared" ca="1" si="1138"/>
        <v/>
      </c>
      <c r="DD930" s="259" t="str">
        <f t="shared" ca="1" si="1139"/>
        <v/>
      </c>
      <c r="DE930" s="259" t="str">
        <f t="shared" ca="1" si="1140"/>
        <v/>
      </c>
      <c r="DF930" s="259">
        <f ca="1">IF(AND(CX930=$DE$2,$DF$2&lt;&gt;0),0,IF(AND(DB930&lt;&gt;"",OR(DB929&lt;&gt;"",DB931&lt;&gt;"")),MAX($DF$2:DF929)+1,0))</f>
        <v>0</v>
      </c>
    </row>
    <row r="931" spans="102:110">
      <c r="CX931" s="259">
        <f t="shared" ca="1" si="1134"/>
        <v>52</v>
      </c>
      <c r="CY931" s="259" t="str">
        <f t="shared" ca="1" si="1142"/>
        <v>MASTRO</v>
      </c>
      <c r="CZ931" s="259" t="e">
        <f t="shared" ca="1" si="1136"/>
        <v>#N/A</v>
      </c>
      <c r="DA931" s="259" t="str">
        <f t="shared" ca="1" si="1141"/>
        <v/>
      </c>
      <c r="DB931" s="259" t="str">
        <f t="shared" ca="1" si="1137"/>
        <v/>
      </c>
      <c r="DC931" s="259" t="str">
        <f t="shared" ca="1" si="1138"/>
        <v/>
      </c>
      <c r="DD931" s="259" t="str">
        <f t="shared" ca="1" si="1139"/>
        <v/>
      </c>
      <c r="DE931" s="259" t="str">
        <f t="shared" ca="1" si="1140"/>
        <v/>
      </c>
      <c r="DF931" s="259">
        <f ca="1">IF(AND(CX931=$DE$2,$DF$2&lt;&gt;0),0,IF(AND(DB931&lt;&gt;"",OR(DB930&lt;&gt;"",DB932&lt;&gt;"")),MAX($DF$2:DF930)+1,0))</f>
        <v>0</v>
      </c>
    </row>
    <row r="932" spans="102:110">
      <c r="CX932" s="259">
        <f t="shared" ca="1" si="1134"/>
        <v>52</v>
      </c>
      <c r="CY932" s="259" t="str">
        <f t="shared" ca="1" si="1142"/>
        <v>MASTRO</v>
      </c>
      <c r="CZ932" s="259" t="e">
        <f t="shared" ca="1" si="1136"/>
        <v>#N/A</v>
      </c>
      <c r="DA932" s="259" t="str">
        <f t="shared" ca="1" si="1141"/>
        <v/>
      </c>
      <c r="DB932" s="259" t="str">
        <f t="shared" ca="1" si="1137"/>
        <v/>
      </c>
      <c r="DC932" s="259" t="str">
        <f t="shared" ca="1" si="1138"/>
        <v/>
      </c>
      <c r="DD932" s="259" t="str">
        <f t="shared" ca="1" si="1139"/>
        <v/>
      </c>
      <c r="DE932" s="259" t="str">
        <f t="shared" ca="1" si="1140"/>
        <v/>
      </c>
      <c r="DF932" s="259">
        <f ca="1">IF(AND(CX932=$DE$2,$DF$2&lt;&gt;0),0,IF(AND(DB932&lt;&gt;"",OR(DB931&lt;&gt;"",DB933&lt;&gt;"")),MAX($DF$2:DF931)+1,0))</f>
        <v>0</v>
      </c>
    </row>
    <row r="933" spans="102:110">
      <c r="CX933" s="259">
        <f t="shared" ca="1" si="1134"/>
        <v>52</v>
      </c>
      <c r="CY933" s="259" t="str">
        <f t="shared" ca="1" si="1142"/>
        <v>MASTRO</v>
      </c>
      <c r="CZ933" s="259" t="e">
        <f t="shared" ca="1" si="1136"/>
        <v>#N/A</v>
      </c>
      <c r="DA933" s="259" t="str">
        <f t="shared" ca="1" si="1141"/>
        <v/>
      </c>
      <c r="DB933" s="259" t="str">
        <f t="shared" ca="1" si="1137"/>
        <v/>
      </c>
      <c r="DC933" s="259" t="str">
        <f t="shared" ca="1" si="1138"/>
        <v/>
      </c>
      <c r="DD933" s="259" t="str">
        <f t="shared" ca="1" si="1139"/>
        <v/>
      </c>
      <c r="DE933" s="259" t="str">
        <f t="shared" ca="1" si="1140"/>
        <v/>
      </c>
      <c r="DF933" s="259">
        <f ca="1">IF(AND(CX933=$DE$2,$DF$2&lt;&gt;0),0,IF(AND(DB933&lt;&gt;"",OR(DB932&lt;&gt;"",DB934&lt;&gt;"")),MAX($DF$2:DF932)+1,0))</f>
        <v>0</v>
      </c>
    </row>
    <row r="934" spans="102:110">
      <c r="CX934" s="259">
        <f t="shared" ca="1" si="1134"/>
        <v>52</v>
      </c>
      <c r="CY934" s="259" t="str">
        <f t="shared" ca="1" si="1142"/>
        <v>MASTRO</v>
      </c>
      <c r="CZ934" s="259" t="e">
        <f t="shared" ca="1" si="1136"/>
        <v>#N/A</v>
      </c>
      <c r="DA934" s="259" t="str">
        <f t="shared" ca="1" si="1141"/>
        <v/>
      </c>
      <c r="DB934" s="259" t="str">
        <f t="shared" ca="1" si="1137"/>
        <v/>
      </c>
      <c r="DC934" s="259" t="str">
        <f t="shared" ca="1" si="1138"/>
        <v/>
      </c>
      <c r="DD934" s="259" t="str">
        <f t="shared" ca="1" si="1139"/>
        <v/>
      </c>
      <c r="DE934" s="259" t="str">
        <f t="shared" ca="1" si="1140"/>
        <v/>
      </c>
      <c r="DF934" s="259">
        <f ca="1">IF(AND(CX934=$DE$2,$DF$2&lt;&gt;0),0,IF(AND(DB934&lt;&gt;"",OR(DB933&lt;&gt;"",DB935&lt;&gt;"")),MAX($DF$2:DF933)+1,0))</f>
        <v>0</v>
      </c>
    </row>
    <row r="935" spans="102:110">
      <c r="CX935" s="259">
        <f t="shared" ca="1" si="1134"/>
        <v>52</v>
      </c>
      <c r="CY935" s="259" t="str">
        <f t="shared" ca="1" si="1142"/>
        <v>MASTRO</v>
      </c>
      <c r="CZ935" s="259" t="e">
        <f t="shared" ca="1" si="1136"/>
        <v>#N/A</v>
      </c>
      <c r="DA935" s="259" t="str">
        <f t="shared" ca="1" si="1141"/>
        <v/>
      </c>
      <c r="DB935" s="259" t="str">
        <f t="shared" ca="1" si="1137"/>
        <v/>
      </c>
      <c r="DC935" s="259" t="str">
        <f t="shared" ca="1" si="1138"/>
        <v/>
      </c>
      <c r="DD935" s="259" t="str">
        <f t="shared" ca="1" si="1139"/>
        <v/>
      </c>
      <c r="DE935" s="259" t="str">
        <f t="shared" ca="1" si="1140"/>
        <v/>
      </c>
      <c r="DF935" s="259">
        <f ca="1">IF(AND(CX935=$DE$2,$DF$2&lt;&gt;0),0,IF(AND(DB935&lt;&gt;"",OR(DB934&lt;&gt;"",DB936&lt;&gt;"")),MAX($DF$2:DF934)+1,0))</f>
        <v>0</v>
      </c>
    </row>
    <row r="936" spans="102:110">
      <c r="CX936" s="259">
        <f t="shared" ca="1" si="1134"/>
        <v>52</v>
      </c>
      <c r="CY936" s="259" t="str">
        <f t="shared" ca="1" si="1142"/>
        <v>MASTRO</v>
      </c>
      <c r="CZ936" s="259" t="e">
        <f t="shared" ca="1" si="1136"/>
        <v>#N/A</v>
      </c>
      <c r="DA936" s="259" t="str">
        <f t="shared" ca="1" si="1141"/>
        <v/>
      </c>
      <c r="DB936" s="259" t="str">
        <f t="shared" ca="1" si="1137"/>
        <v/>
      </c>
      <c r="DC936" s="259" t="str">
        <f t="shared" ca="1" si="1138"/>
        <v/>
      </c>
      <c r="DD936" s="259" t="str">
        <f t="shared" ca="1" si="1139"/>
        <v/>
      </c>
      <c r="DE936" s="259" t="str">
        <f t="shared" ca="1" si="1140"/>
        <v/>
      </c>
      <c r="DF936" s="259">
        <f ca="1">IF(AND(CX936=$DE$2,$DF$2&lt;&gt;0),0,IF(AND(DB936&lt;&gt;"",OR(DB935&lt;&gt;"",DB937&lt;&gt;"")),MAX($DF$2:DF935)+1,0))</f>
        <v>0</v>
      </c>
    </row>
    <row r="937" spans="102:110">
      <c r="CX937" s="259">
        <f t="shared" ca="1" si="1134"/>
        <v>52</v>
      </c>
      <c r="CY937" s="259" t="str">
        <f t="shared" ca="1" si="1142"/>
        <v>MASTRO</v>
      </c>
      <c r="CZ937" s="259" t="e">
        <f t="shared" ca="1" si="1136"/>
        <v>#N/A</v>
      </c>
      <c r="DA937" s="259" t="str">
        <f t="shared" ca="1" si="1141"/>
        <v/>
      </c>
      <c r="DB937" s="259" t="str">
        <f t="shared" ca="1" si="1137"/>
        <v/>
      </c>
      <c r="DC937" s="259" t="str">
        <f t="shared" ca="1" si="1138"/>
        <v/>
      </c>
      <c r="DD937" s="259" t="str">
        <f t="shared" ca="1" si="1139"/>
        <v/>
      </c>
      <c r="DE937" s="259" t="str">
        <f t="shared" ca="1" si="1140"/>
        <v/>
      </c>
      <c r="DF937" s="259">
        <f ca="1">IF(AND(CX937=$DE$2,$DF$2&lt;&gt;0),0,IF(AND(DB937&lt;&gt;"",OR(DB936&lt;&gt;"",DB938&lt;&gt;"")),MAX($DF$2:DF936)+1,0))</f>
        <v>0</v>
      </c>
    </row>
    <row r="938" spans="102:110">
      <c r="CX938" s="259" t="str">
        <f>IFERROR(IF(CX920+1=1,"",(CX920+1)),"")</f>
        <v/>
      </c>
      <c r="CY938" s="259" t="str">
        <f t="shared" ca="1" si="1142"/>
        <v>MASTRO</v>
      </c>
      <c r="DB938" s="259" t="str">
        <f t="shared" ref="DB938" ca="1" si="1143">CY938</f>
        <v>MASTRO</v>
      </c>
      <c r="DF938" s="259">
        <f ca="1">IF(AND(CX938=$DE$2,$DF$2&lt;&gt;0),0,IF(AND(DB938&lt;&gt;"",OR(DB937&lt;&gt;"",DB939&lt;&gt;"")),MAX($DF$2:DF937)+1,0))</f>
        <v>0</v>
      </c>
    </row>
    <row r="939" spans="102:110">
      <c r="CX939" s="259">
        <f ca="1">$EA$55</f>
        <v>53</v>
      </c>
      <c r="CY939" s="259" t="str">
        <f t="shared" ca="1" si="1142"/>
        <v>MASTRO</v>
      </c>
      <c r="DA939" s="259" t="str">
        <f ca="1">IF(CY938="MASTRO","Conto n.","")</f>
        <v>Conto n.</v>
      </c>
      <c r="DB939" s="259" t="str">
        <f ca="1">IF(CY939=0,"",INDEX(PIANO_DEI_CONTI,MATCH(DC939,DENOMINAZIONE,0),1))</f>
        <v/>
      </c>
      <c r="DC939" s="259" t="str">
        <f ca="1">IF(OR(CY939=0,CY939="mastro"),"",CY939)</f>
        <v/>
      </c>
      <c r="DD939" s="259" t="str">
        <f ca="1">IF(AND($DA$2=TRUE,OR(INDEX(PIANO_DEI_CONTI,MATCH($DC939,DENOMINAZIONE,0),4)="A",INDEX(PIANO_DEI_CONTI,MATCH($DC939,DENOMINAZIONE,0),4)="D/A"),SUMIFS(AVERE,DENOMINAZIONE_GIORNALE,"="&amp;$DC939)&gt;SUMIFS(DARE,DENOMINAZIONE_GIORNALE,"="&amp;$DC939)),CONCATENATE("s ",FIXED(ABS(SUMIFS(AVERE,DENOMINAZIONE_GIORNALE,"="&amp;$DC939)-SUMIFS(DARE,DENOMINAZIONE_GIORNALE,"="&amp;$DC939)),2)),"")</f>
        <v/>
      </c>
      <c r="DE939" s="259" t="str">
        <f ca="1">IF(AND($DA$2=TRUE,OR(INDEX(PIANO_DEI_CONTI,MATCH($DC939,DENOMINAZIONE,0),4)="D",INDEX(PIANO_DEI_CONTI,MATCH($DC939,DENOMINAZIONE,0),4)="D/A"),SUMIFS(DARE,DENOMINAZIONE_GIORNALE,"="&amp;$DC939)&gt;SUMIFS(AVERE,DENOMINAZIONE_GIORNALE,"="&amp;$DC939)),CONCATENATE("s ",FIXED(ABS(SUMIFS(DARE,DENOMINAZIONE_GIORNALE,"="&amp;$DC939)-SUMIFS(AVERE,DENOMINAZIONE_GIORNALE,"="&amp;$DC939)),2)),"")</f>
        <v/>
      </c>
      <c r="DF939" s="259">
        <f ca="1">IF(AND(CX939=$DE$2,$DF$2&lt;&gt;0),0,IF(AND(DB939&lt;&gt;"",OR(DB938&lt;&gt;"",DB940&lt;&gt;"")),MAX($DF$2:DF938)+1,0))</f>
        <v>0</v>
      </c>
    </row>
    <row r="940" spans="102:110">
      <c r="CX940" s="259">
        <f t="shared" ref="CX940:CX955" ca="1" si="1144">$EA$55</f>
        <v>53</v>
      </c>
      <c r="CY940" s="259" t="str">
        <f t="shared" ca="1" si="1142"/>
        <v>MASTRO</v>
      </c>
      <c r="DA940" s="259" t="str">
        <f ca="1">IF(DB939="","","Num. riga")</f>
        <v/>
      </c>
      <c r="DB940" s="259" t="str">
        <f t="shared" ref="DB940" ca="1" si="1145">IF(DB939="","","Data")</f>
        <v/>
      </c>
      <c r="DC940" s="259" t="str">
        <f ca="1">IF(DB939="","","Operazioni")</f>
        <v/>
      </c>
      <c r="DD940" s="259" t="str">
        <f ca="1">IF(DB939="","","Dare        ")</f>
        <v/>
      </c>
      <c r="DE940" s="259" t="str">
        <f ca="1">IF(DB939="","","Avere        ")</f>
        <v/>
      </c>
      <c r="DF940" s="259">
        <f ca="1">IF(AND(CX940=$DE$2,$DF$2&lt;&gt;0),0,IF(AND(DB940&lt;&gt;"",OR(DB939&lt;&gt;"",DB941&lt;&gt;"")),MAX($DF$2:DF939)+1,0))</f>
        <v>0</v>
      </c>
    </row>
    <row r="941" spans="102:110">
      <c r="CX941" s="259">
        <f t="shared" ca="1" si="1144"/>
        <v>53</v>
      </c>
      <c r="CY941" s="259" t="str">
        <f t="shared" ca="1" si="1142"/>
        <v>MASTRO</v>
      </c>
      <c r="CZ941" s="259" t="e">
        <f t="shared" ref="CZ941:CZ955" ca="1" si="1146">SUM(MATCH($CY941,INDIRECT(ADDRESS(SUM(CZ940)+3,54)&amp;":"&amp;ADDRESS(400,54)),0),CZ940)</f>
        <v>#N/A</v>
      </c>
      <c r="DA941" s="259" t="str">
        <f ca="1">IFERROR(INDEX(LIBRO_GIORNALE,CZ941,1),"")</f>
        <v/>
      </c>
      <c r="DB941" s="259" t="str">
        <f t="shared" ref="DB941:DB955" ca="1" si="1147">IF(RIGHT(TEXT(IFERROR(INDEX(LIBRO_GIORNALE,CZ941,2),""),"gg/mm/aa"),1)="a",TEXT(IFERROR(INDEX(LIBRO_GIORNALE,CZ941,2),""),"dd/mm/yy"),TEXT(IFERROR(INDEX(LIBRO_GIORNALE,CZ941,2),""),"gg/mm/aa"))</f>
        <v/>
      </c>
      <c r="DC941" s="259" t="str">
        <f t="shared" ref="DC941:DC955" ca="1" si="1148">IF(IFERROR(INDEX(LIBRO_GIORNALE,CZ941,4),"")=0,"manca la descrizione dell'operazione",IFERROR(INDEX(LIBRO_GIORNALE,CZ941,4),""))</f>
        <v/>
      </c>
      <c r="DD941" s="259" t="str">
        <f t="shared" ref="DD941:DD955" ca="1" si="1149">IFERROR(IF(INDEX(LIBRO_GIORNALE,CZ941,5)&gt;0,INDEX(LIBRO_GIORNALE,CZ941,5),""),"")</f>
        <v/>
      </c>
      <c r="DE941" s="259" t="str">
        <f t="shared" ref="DE941:DE955" ca="1" si="1150">IFERROR(IF(INDEX(LIBRO_GIORNALE,CZ941,6)&gt;0,INDEX(LIBRO_GIORNALE,CZ941,6),""),"")</f>
        <v/>
      </c>
      <c r="DF941" s="259">
        <f ca="1">IF(AND(CX941=$DE$2,$DF$2&lt;&gt;0),0,IF(AND(DB941&lt;&gt;"",OR(DB940&lt;&gt;"",DB942&lt;&gt;"")),MAX($DF$2:DF940)+1,0))</f>
        <v>0</v>
      </c>
    </row>
    <row r="942" spans="102:110">
      <c r="CX942" s="259">
        <f t="shared" ca="1" si="1144"/>
        <v>53</v>
      </c>
      <c r="CY942" s="259" t="str">
        <f t="shared" ca="1" si="1142"/>
        <v>MASTRO</v>
      </c>
      <c r="CZ942" s="259" t="e">
        <f t="shared" ca="1" si="1146"/>
        <v>#N/A</v>
      </c>
      <c r="DA942" s="259" t="str">
        <f t="shared" ref="DA942:DA955" ca="1" si="1151">IFERROR(INDEX(LIBRO_GIORNALE,CZ942,1),"")</f>
        <v/>
      </c>
      <c r="DB942" s="259" t="str">
        <f t="shared" ca="1" si="1147"/>
        <v/>
      </c>
      <c r="DC942" s="259" t="str">
        <f t="shared" ca="1" si="1148"/>
        <v/>
      </c>
      <c r="DD942" s="259" t="str">
        <f t="shared" ca="1" si="1149"/>
        <v/>
      </c>
      <c r="DE942" s="259" t="str">
        <f t="shared" ca="1" si="1150"/>
        <v/>
      </c>
      <c r="DF942" s="259">
        <f ca="1">IF(AND(CX942=$DE$2,$DF$2&lt;&gt;0),0,IF(AND(DB942&lt;&gt;"",OR(DB941&lt;&gt;"",DB943&lt;&gt;"")),MAX($DF$2:DF941)+1,0))</f>
        <v>0</v>
      </c>
    </row>
    <row r="943" spans="102:110">
      <c r="CX943" s="259">
        <f t="shared" ca="1" si="1144"/>
        <v>53</v>
      </c>
      <c r="CY943" s="259" t="str">
        <f t="shared" ca="1" si="1142"/>
        <v>MASTRO</v>
      </c>
      <c r="CZ943" s="259" t="e">
        <f t="shared" ca="1" si="1146"/>
        <v>#N/A</v>
      </c>
      <c r="DA943" s="259" t="str">
        <f t="shared" ca="1" si="1151"/>
        <v/>
      </c>
      <c r="DB943" s="259" t="str">
        <f t="shared" ca="1" si="1147"/>
        <v/>
      </c>
      <c r="DC943" s="259" t="str">
        <f t="shared" ca="1" si="1148"/>
        <v/>
      </c>
      <c r="DD943" s="259" t="str">
        <f t="shared" ca="1" si="1149"/>
        <v/>
      </c>
      <c r="DE943" s="259" t="str">
        <f t="shared" ca="1" si="1150"/>
        <v/>
      </c>
      <c r="DF943" s="259">
        <f ca="1">IF(AND(CX943=$DE$2,$DF$2&lt;&gt;0),0,IF(AND(DB943&lt;&gt;"",OR(DB942&lt;&gt;"",DB944&lt;&gt;"")),MAX($DF$2:DF942)+1,0))</f>
        <v>0</v>
      </c>
    </row>
    <row r="944" spans="102:110">
      <c r="CX944" s="259">
        <f t="shared" ca="1" si="1144"/>
        <v>53</v>
      </c>
      <c r="CY944" s="259" t="str">
        <f t="shared" ca="1" si="1142"/>
        <v>MASTRO</v>
      </c>
      <c r="CZ944" s="259" t="e">
        <f t="shared" ca="1" si="1146"/>
        <v>#N/A</v>
      </c>
      <c r="DA944" s="259" t="str">
        <f t="shared" ca="1" si="1151"/>
        <v/>
      </c>
      <c r="DB944" s="259" t="str">
        <f t="shared" ca="1" si="1147"/>
        <v/>
      </c>
      <c r="DC944" s="259" t="str">
        <f t="shared" ca="1" si="1148"/>
        <v/>
      </c>
      <c r="DD944" s="259" t="str">
        <f t="shared" ca="1" si="1149"/>
        <v/>
      </c>
      <c r="DE944" s="259" t="str">
        <f t="shared" ca="1" si="1150"/>
        <v/>
      </c>
      <c r="DF944" s="259">
        <f ca="1">IF(AND(CX944=$DE$2,$DF$2&lt;&gt;0),0,IF(AND(DB944&lt;&gt;"",OR(DB943&lt;&gt;"",DB945&lt;&gt;"")),MAX($DF$2:DF943)+1,0))</f>
        <v>0</v>
      </c>
    </row>
    <row r="945" spans="102:110">
      <c r="CX945" s="259">
        <f t="shared" ca="1" si="1144"/>
        <v>53</v>
      </c>
      <c r="CY945" s="259" t="str">
        <f t="shared" ca="1" si="1142"/>
        <v>MASTRO</v>
      </c>
      <c r="CZ945" s="259" t="e">
        <f t="shared" ca="1" si="1146"/>
        <v>#N/A</v>
      </c>
      <c r="DA945" s="259" t="str">
        <f t="shared" ca="1" si="1151"/>
        <v/>
      </c>
      <c r="DB945" s="259" t="str">
        <f t="shared" ca="1" si="1147"/>
        <v/>
      </c>
      <c r="DC945" s="259" t="str">
        <f t="shared" ca="1" si="1148"/>
        <v/>
      </c>
      <c r="DD945" s="259" t="str">
        <f t="shared" ca="1" si="1149"/>
        <v/>
      </c>
      <c r="DE945" s="259" t="str">
        <f t="shared" ca="1" si="1150"/>
        <v/>
      </c>
      <c r="DF945" s="259">
        <f ca="1">IF(AND(CX945=$DE$2,$DF$2&lt;&gt;0),0,IF(AND(DB945&lt;&gt;"",OR(DB944&lt;&gt;"",DB946&lt;&gt;"")),MAX($DF$2:DF944)+1,0))</f>
        <v>0</v>
      </c>
    </row>
    <row r="946" spans="102:110">
      <c r="CX946" s="259">
        <f t="shared" ca="1" si="1144"/>
        <v>53</v>
      </c>
      <c r="CY946" s="259" t="str">
        <f t="shared" ca="1" si="1142"/>
        <v>MASTRO</v>
      </c>
      <c r="CZ946" s="259" t="e">
        <f t="shared" ca="1" si="1146"/>
        <v>#N/A</v>
      </c>
      <c r="DA946" s="259" t="str">
        <f t="shared" ca="1" si="1151"/>
        <v/>
      </c>
      <c r="DB946" s="259" t="str">
        <f t="shared" ca="1" si="1147"/>
        <v/>
      </c>
      <c r="DC946" s="259" t="str">
        <f t="shared" ca="1" si="1148"/>
        <v/>
      </c>
      <c r="DD946" s="259" t="str">
        <f t="shared" ca="1" si="1149"/>
        <v/>
      </c>
      <c r="DE946" s="259" t="str">
        <f t="shared" ca="1" si="1150"/>
        <v/>
      </c>
      <c r="DF946" s="259">
        <f ca="1">IF(AND(CX946=$DE$2,$DF$2&lt;&gt;0),0,IF(AND(DB946&lt;&gt;"",OR(DB945&lt;&gt;"",DB947&lt;&gt;"")),MAX($DF$2:DF945)+1,0))</f>
        <v>0</v>
      </c>
    </row>
    <row r="947" spans="102:110">
      <c r="CX947" s="259">
        <f t="shared" ca="1" si="1144"/>
        <v>53</v>
      </c>
      <c r="CY947" s="259" t="str">
        <f t="shared" ca="1" si="1142"/>
        <v>MASTRO</v>
      </c>
      <c r="CZ947" s="259" t="e">
        <f t="shared" ca="1" si="1146"/>
        <v>#N/A</v>
      </c>
      <c r="DA947" s="259" t="str">
        <f t="shared" ca="1" si="1151"/>
        <v/>
      </c>
      <c r="DB947" s="259" t="str">
        <f t="shared" ca="1" si="1147"/>
        <v/>
      </c>
      <c r="DC947" s="259" t="str">
        <f t="shared" ca="1" si="1148"/>
        <v/>
      </c>
      <c r="DD947" s="259" t="str">
        <f t="shared" ca="1" si="1149"/>
        <v/>
      </c>
      <c r="DE947" s="259" t="str">
        <f t="shared" ca="1" si="1150"/>
        <v/>
      </c>
      <c r="DF947" s="259">
        <f ca="1">IF(AND(CX947=$DE$2,$DF$2&lt;&gt;0),0,IF(AND(DB947&lt;&gt;"",OR(DB946&lt;&gt;"",DB948&lt;&gt;"")),MAX($DF$2:DF946)+1,0))</f>
        <v>0</v>
      </c>
    </row>
    <row r="948" spans="102:110">
      <c r="CX948" s="259">
        <f t="shared" ca="1" si="1144"/>
        <v>53</v>
      </c>
      <c r="CY948" s="259" t="str">
        <f t="shared" ca="1" si="1142"/>
        <v>MASTRO</v>
      </c>
      <c r="CZ948" s="259" t="e">
        <f t="shared" ca="1" si="1146"/>
        <v>#N/A</v>
      </c>
      <c r="DA948" s="259" t="str">
        <f t="shared" ca="1" si="1151"/>
        <v/>
      </c>
      <c r="DB948" s="259" t="str">
        <f t="shared" ca="1" si="1147"/>
        <v/>
      </c>
      <c r="DC948" s="259" t="str">
        <f t="shared" ca="1" si="1148"/>
        <v/>
      </c>
      <c r="DD948" s="259" t="str">
        <f t="shared" ca="1" si="1149"/>
        <v/>
      </c>
      <c r="DE948" s="259" t="str">
        <f t="shared" ca="1" si="1150"/>
        <v/>
      </c>
      <c r="DF948" s="259">
        <f ca="1">IF(AND(CX948=$DE$2,$DF$2&lt;&gt;0),0,IF(AND(DB948&lt;&gt;"",OR(DB947&lt;&gt;"",DB949&lt;&gt;"")),MAX($DF$2:DF947)+1,0))</f>
        <v>0</v>
      </c>
    </row>
    <row r="949" spans="102:110">
      <c r="CX949" s="259">
        <f t="shared" ca="1" si="1144"/>
        <v>53</v>
      </c>
      <c r="CY949" s="259" t="str">
        <f t="shared" ca="1" si="1142"/>
        <v>MASTRO</v>
      </c>
      <c r="CZ949" s="259" t="e">
        <f t="shared" ca="1" si="1146"/>
        <v>#N/A</v>
      </c>
      <c r="DA949" s="259" t="str">
        <f t="shared" ca="1" si="1151"/>
        <v/>
      </c>
      <c r="DB949" s="259" t="str">
        <f t="shared" ca="1" si="1147"/>
        <v/>
      </c>
      <c r="DC949" s="259" t="str">
        <f t="shared" ca="1" si="1148"/>
        <v/>
      </c>
      <c r="DD949" s="259" t="str">
        <f t="shared" ca="1" si="1149"/>
        <v/>
      </c>
      <c r="DE949" s="259" t="str">
        <f t="shared" ca="1" si="1150"/>
        <v/>
      </c>
      <c r="DF949" s="259">
        <f ca="1">IF(AND(CX949=$DE$2,$DF$2&lt;&gt;0),0,IF(AND(DB949&lt;&gt;"",OR(DB948&lt;&gt;"",DB950&lt;&gt;"")),MAX($DF$2:DF948)+1,0))</f>
        <v>0</v>
      </c>
    </row>
    <row r="950" spans="102:110">
      <c r="CX950" s="259">
        <f t="shared" ca="1" si="1144"/>
        <v>53</v>
      </c>
      <c r="CY950" s="259" t="str">
        <f t="shared" ca="1" si="1142"/>
        <v>MASTRO</v>
      </c>
      <c r="CZ950" s="259" t="e">
        <f t="shared" ca="1" si="1146"/>
        <v>#N/A</v>
      </c>
      <c r="DA950" s="259" t="str">
        <f t="shared" ca="1" si="1151"/>
        <v/>
      </c>
      <c r="DB950" s="259" t="str">
        <f t="shared" ca="1" si="1147"/>
        <v/>
      </c>
      <c r="DC950" s="259" t="str">
        <f t="shared" ca="1" si="1148"/>
        <v/>
      </c>
      <c r="DD950" s="259" t="str">
        <f t="shared" ca="1" si="1149"/>
        <v/>
      </c>
      <c r="DE950" s="259" t="str">
        <f t="shared" ca="1" si="1150"/>
        <v/>
      </c>
      <c r="DF950" s="259">
        <f ca="1">IF(AND(CX950=$DE$2,$DF$2&lt;&gt;0),0,IF(AND(DB950&lt;&gt;"",OR(DB949&lt;&gt;"",DB951&lt;&gt;"")),MAX($DF$2:DF949)+1,0))</f>
        <v>0</v>
      </c>
    </row>
    <row r="951" spans="102:110">
      <c r="CX951" s="259">
        <f t="shared" ca="1" si="1144"/>
        <v>53</v>
      </c>
      <c r="CY951" s="259" t="str">
        <f t="shared" ca="1" si="1142"/>
        <v>MASTRO</v>
      </c>
      <c r="CZ951" s="259" t="e">
        <f t="shared" ca="1" si="1146"/>
        <v>#N/A</v>
      </c>
      <c r="DA951" s="259" t="str">
        <f t="shared" ca="1" si="1151"/>
        <v/>
      </c>
      <c r="DB951" s="259" t="str">
        <f t="shared" ca="1" si="1147"/>
        <v/>
      </c>
      <c r="DC951" s="259" t="str">
        <f t="shared" ca="1" si="1148"/>
        <v/>
      </c>
      <c r="DD951" s="259" t="str">
        <f t="shared" ca="1" si="1149"/>
        <v/>
      </c>
      <c r="DE951" s="259" t="str">
        <f t="shared" ca="1" si="1150"/>
        <v/>
      </c>
      <c r="DF951" s="259">
        <f ca="1">IF(AND(CX951=$DE$2,$DF$2&lt;&gt;0),0,IF(AND(DB951&lt;&gt;"",OR(DB950&lt;&gt;"",DB952&lt;&gt;"")),MAX($DF$2:DF950)+1,0))</f>
        <v>0</v>
      </c>
    </row>
    <row r="952" spans="102:110">
      <c r="CX952" s="259">
        <f t="shared" ca="1" si="1144"/>
        <v>53</v>
      </c>
      <c r="CY952" s="259" t="str">
        <f t="shared" ca="1" si="1142"/>
        <v>MASTRO</v>
      </c>
      <c r="CZ952" s="259" t="e">
        <f t="shared" ca="1" si="1146"/>
        <v>#N/A</v>
      </c>
      <c r="DA952" s="259" t="str">
        <f t="shared" ca="1" si="1151"/>
        <v/>
      </c>
      <c r="DB952" s="259" t="str">
        <f t="shared" ca="1" si="1147"/>
        <v/>
      </c>
      <c r="DC952" s="259" t="str">
        <f t="shared" ca="1" si="1148"/>
        <v/>
      </c>
      <c r="DD952" s="259" t="str">
        <f t="shared" ca="1" si="1149"/>
        <v/>
      </c>
      <c r="DE952" s="259" t="str">
        <f t="shared" ca="1" si="1150"/>
        <v/>
      </c>
      <c r="DF952" s="259">
        <f ca="1">IF(AND(CX952=$DE$2,$DF$2&lt;&gt;0),0,IF(AND(DB952&lt;&gt;"",OR(DB951&lt;&gt;"",DB953&lt;&gt;"")),MAX($DF$2:DF951)+1,0))</f>
        <v>0</v>
      </c>
    </row>
    <row r="953" spans="102:110">
      <c r="CX953" s="259">
        <f t="shared" ca="1" si="1144"/>
        <v>53</v>
      </c>
      <c r="CY953" s="259" t="str">
        <f t="shared" ca="1" si="1142"/>
        <v>MASTRO</v>
      </c>
      <c r="CZ953" s="259" t="e">
        <f t="shared" ca="1" si="1146"/>
        <v>#N/A</v>
      </c>
      <c r="DA953" s="259" t="str">
        <f t="shared" ca="1" si="1151"/>
        <v/>
      </c>
      <c r="DB953" s="259" t="str">
        <f t="shared" ca="1" si="1147"/>
        <v/>
      </c>
      <c r="DC953" s="259" t="str">
        <f t="shared" ca="1" si="1148"/>
        <v/>
      </c>
      <c r="DD953" s="259" t="str">
        <f t="shared" ca="1" si="1149"/>
        <v/>
      </c>
      <c r="DE953" s="259" t="str">
        <f t="shared" ca="1" si="1150"/>
        <v/>
      </c>
      <c r="DF953" s="259">
        <f ca="1">IF(AND(CX953=$DE$2,$DF$2&lt;&gt;0),0,IF(AND(DB953&lt;&gt;"",OR(DB952&lt;&gt;"",DB954&lt;&gt;"")),MAX($DF$2:DF952)+1,0))</f>
        <v>0</v>
      </c>
    </row>
    <row r="954" spans="102:110">
      <c r="CX954" s="259">
        <f t="shared" ca="1" si="1144"/>
        <v>53</v>
      </c>
      <c r="CY954" s="259" t="str">
        <f t="shared" ca="1" si="1142"/>
        <v>MASTRO</v>
      </c>
      <c r="CZ954" s="259" t="e">
        <f t="shared" ca="1" si="1146"/>
        <v>#N/A</v>
      </c>
      <c r="DA954" s="259" t="str">
        <f t="shared" ca="1" si="1151"/>
        <v/>
      </c>
      <c r="DB954" s="259" t="str">
        <f t="shared" ca="1" si="1147"/>
        <v/>
      </c>
      <c r="DC954" s="259" t="str">
        <f t="shared" ca="1" si="1148"/>
        <v/>
      </c>
      <c r="DD954" s="259" t="str">
        <f t="shared" ca="1" si="1149"/>
        <v/>
      </c>
      <c r="DE954" s="259" t="str">
        <f t="shared" ca="1" si="1150"/>
        <v/>
      </c>
      <c r="DF954" s="259">
        <f ca="1">IF(AND(CX954=$DE$2,$DF$2&lt;&gt;0),0,IF(AND(DB954&lt;&gt;"",OR(DB953&lt;&gt;"",DB955&lt;&gt;"")),MAX($DF$2:DF953)+1,0))</f>
        <v>0</v>
      </c>
    </row>
    <row r="955" spans="102:110">
      <c r="CX955" s="259">
        <f t="shared" ca="1" si="1144"/>
        <v>53</v>
      </c>
      <c r="CY955" s="259" t="str">
        <f t="shared" ca="1" si="1142"/>
        <v>MASTRO</v>
      </c>
      <c r="CZ955" s="259" t="e">
        <f t="shared" ca="1" si="1146"/>
        <v>#N/A</v>
      </c>
      <c r="DA955" s="259" t="str">
        <f t="shared" ca="1" si="1151"/>
        <v/>
      </c>
      <c r="DB955" s="259" t="str">
        <f t="shared" ca="1" si="1147"/>
        <v/>
      </c>
      <c r="DC955" s="259" t="str">
        <f t="shared" ca="1" si="1148"/>
        <v/>
      </c>
      <c r="DD955" s="259" t="str">
        <f t="shared" ca="1" si="1149"/>
        <v/>
      </c>
      <c r="DE955" s="259" t="str">
        <f t="shared" ca="1" si="1150"/>
        <v/>
      </c>
      <c r="DF955" s="259">
        <f ca="1">IF(AND(CX955=$DE$2,$DF$2&lt;&gt;0),0,IF(AND(DB955&lt;&gt;"",OR(DB954&lt;&gt;"",DB956&lt;&gt;"")),MAX($DF$2:DF954)+1,0))</f>
        <v>0</v>
      </c>
    </row>
    <row r="956" spans="102:110">
      <c r="CX956" s="259" t="str">
        <f>IFERROR(IF(CX938+1=1,"",(CX938+1)),"")</f>
        <v/>
      </c>
      <c r="CY956" s="259" t="str">
        <f t="shared" ca="1" si="1142"/>
        <v>MASTRO</v>
      </c>
      <c r="DB956" s="259" t="str">
        <f t="shared" ref="DB956" ca="1" si="1152">CY956</f>
        <v>MASTRO</v>
      </c>
      <c r="DF956" s="259">
        <f ca="1">IF(AND(CX956=$DE$2,$DF$2&lt;&gt;0),0,IF(AND(DB956&lt;&gt;"",OR(DB955&lt;&gt;"",DB957&lt;&gt;"")),MAX($DF$2:DF955)+1,0))</f>
        <v>0</v>
      </c>
    </row>
    <row r="957" spans="102:110">
      <c r="CX957" s="259">
        <f ca="1">$EA$56</f>
        <v>54</v>
      </c>
      <c r="CY957" s="259" t="str">
        <f t="shared" ca="1" si="1142"/>
        <v>MASTRO</v>
      </c>
      <c r="DA957" s="259" t="str">
        <f ca="1">IF(CY956="MASTRO","Conto n.","")</f>
        <v>Conto n.</v>
      </c>
      <c r="DB957" s="259" t="str">
        <f ca="1">IF(CY957=0,"",INDEX(PIANO_DEI_CONTI,MATCH(DC957,DENOMINAZIONE,0),1))</f>
        <v/>
      </c>
      <c r="DC957" s="259" t="str">
        <f ca="1">IF(OR(CY957=0,CY957="mastro"),"",CY957)</f>
        <v/>
      </c>
      <c r="DD957" s="259" t="str">
        <f ca="1">IF(AND($DA$2=TRUE,OR(INDEX(PIANO_DEI_CONTI,MATCH($DC957,DENOMINAZIONE,0),4)="A",INDEX(PIANO_DEI_CONTI,MATCH($DC957,DENOMINAZIONE,0),4)="D/A"),SUMIFS(AVERE,DENOMINAZIONE_GIORNALE,"="&amp;$DC957)&gt;SUMIFS(DARE,DENOMINAZIONE_GIORNALE,"="&amp;$DC957)),CONCATENATE("s ",FIXED(ABS(SUMIFS(AVERE,DENOMINAZIONE_GIORNALE,"="&amp;$DC957)-SUMIFS(DARE,DENOMINAZIONE_GIORNALE,"="&amp;$DC957)),2)),"")</f>
        <v/>
      </c>
      <c r="DE957" s="259" t="str">
        <f ca="1">IF(AND($DA$2=TRUE,OR(INDEX(PIANO_DEI_CONTI,MATCH($DC957,DENOMINAZIONE,0),4)="D",INDEX(PIANO_DEI_CONTI,MATCH($DC957,DENOMINAZIONE,0),4)="D/A"),SUMIFS(DARE,DENOMINAZIONE_GIORNALE,"="&amp;$DC957)&gt;SUMIFS(AVERE,DENOMINAZIONE_GIORNALE,"="&amp;$DC957)),CONCATENATE("s ",FIXED(ABS(SUMIFS(DARE,DENOMINAZIONE_GIORNALE,"="&amp;$DC957)-SUMIFS(AVERE,DENOMINAZIONE_GIORNALE,"="&amp;$DC957)),2)),"")</f>
        <v/>
      </c>
      <c r="DF957" s="259">
        <f ca="1">IF(AND(CX957=$DE$2,$DF$2&lt;&gt;0),0,IF(AND(DB957&lt;&gt;"",OR(DB956&lt;&gt;"",DB958&lt;&gt;"")),MAX($DF$2:DF956)+1,0))</f>
        <v>0</v>
      </c>
    </row>
    <row r="958" spans="102:110">
      <c r="CX958" s="259">
        <f t="shared" ref="CX958:CX973" ca="1" si="1153">$EA$56</f>
        <v>54</v>
      </c>
      <c r="CY958" s="259" t="str">
        <f t="shared" ca="1" si="1142"/>
        <v>MASTRO</v>
      </c>
      <c r="DA958" s="259" t="str">
        <f ca="1">IF(DB957="","","Num. riga")</f>
        <v/>
      </c>
      <c r="DB958" s="259" t="str">
        <f t="shared" ref="DB958" ca="1" si="1154">IF(DB957="","","Data")</f>
        <v/>
      </c>
      <c r="DC958" s="259" t="str">
        <f ca="1">IF(DB957="","","Operazioni")</f>
        <v/>
      </c>
      <c r="DD958" s="259" t="str">
        <f ca="1">IF(DB957="","","Dare        ")</f>
        <v/>
      </c>
      <c r="DE958" s="259" t="str">
        <f ca="1">IF(DB957="","","Avere        ")</f>
        <v/>
      </c>
      <c r="DF958" s="259">
        <f ca="1">IF(AND(CX958=$DE$2,$DF$2&lt;&gt;0),0,IF(AND(DB958&lt;&gt;"",OR(DB957&lt;&gt;"",DB959&lt;&gt;"")),MAX($DF$2:DF957)+1,0))</f>
        <v>0</v>
      </c>
    </row>
    <row r="959" spans="102:110">
      <c r="CX959" s="259">
        <f t="shared" ca="1" si="1153"/>
        <v>54</v>
      </c>
      <c r="CY959" s="259" t="str">
        <f t="shared" ca="1" si="1142"/>
        <v>MASTRO</v>
      </c>
      <c r="CZ959" s="259" t="e">
        <f t="shared" ref="CZ959:CZ973" ca="1" si="1155">SUM(MATCH($CY959,INDIRECT(ADDRESS(SUM(CZ958)+3,54)&amp;":"&amp;ADDRESS(400,54)),0),CZ958)</f>
        <v>#N/A</v>
      </c>
      <c r="DA959" s="259" t="str">
        <f ca="1">IFERROR(INDEX(LIBRO_GIORNALE,CZ959,1),"")</f>
        <v/>
      </c>
      <c r="DB959" s="259" t="str">
        <f t="shared" ref="DB959:DB973" ca="1" si="1156">IF(RIGHT(TEXT(IFERROR(INDEX(LIBRO_GIORNALE,CZ959,2),""),"gg/mm/aa"),1)="a",TEXT(IFERROR(INDEX(LIBRO_GIORNALE,CZ959,2),""),"dd/mm/yy"),TEXT(IFERROR(INDEX(LIBRO_GIORNALE,CZ959,2),""),"gg/mm/aa"))</f>
        <v/>
      </c>
      <c r="DC959" s="259" t="str">
        <f t="shared" ref="DC959:DC973" ca="1" si="1157">IF(IFERROR(INDEX(LIBRO_GIORNALE,CZ959,4),"")=0,"manca la descrizione dell'operazione",IFERROR(INDEX(LIBRO_GIORNALE,CZ959,4),""))</f>
        <v/>
      </c>
      <c r="DD959" s="259" t="str">
        <f t="shared" ref="DD959:DD973" ca="1" si="1158">IFERROR(IF(INDEX(LIBRO_GIORNALE,CZ959,5)&gt;0,INDEX(LIBRO_GIORNALE,CZ959,5),""),"")</f>
        <v/>
      </c>
      <c r="DE959" s="259" t="str">
        <f t="shared" ref="DE959:DE973" ca="1" si="1159">IFERROR(IF(INDEX(LIBRO_GIORNALE,CZ959,6)&gt;0,INDEX(LIBRO_GIORNALE,CZ959,6),""),"")</f>
        <v/>
      </c>
      <c r="DF959" s="259">
        <f ca="1">IF(AND(CX959=$DE$2,$DF$2&lt;&gt;0),0,IF(AND(DB959&lt;&gt;"",OR(DB958&lt;&gt;"",DB960&lt;&gt;"")),MAX($DF$2:DF958)+1,0))</f>
        <v>0</v>
      </c>
    </row>
    <row r="960" spans="102:110">
      <c r="CX960" s="259">
        <f t="shared" ca="1" si="1153"/>
        <v>54</v>
      </c>
      <c r="CY960" s="259" t="str">
        <f t="shared" ca="1" si="1142"/>
        <v>MASTRO</v>
      </c>
      <c r="CZ960" s="259" t="e">
        <f t="shared" ca="1" si="1155"/>
        <v>#N/A</v>
      </c>
      <c r="DA960" s="259" t="str">
        <f t="shared" ref="DA960:DA973" ca="1" si="1160">IFERROR(INDEX(LIBRO_GIORNALE,CZ960,1),"")</f>
        <v/>
      </c>
      <c r="DB960" s="259" t="str">
        <f t="shared" ca="1" si="1156"/>
        <v/>
      </c>
      <c r="DC960" s="259" t="str">
        <f t="shared" ca="1" si="1157"/>
        <v/>
      </c>
      <c r="DD960" s="259" t="str">
        <f t="shared" ca="1" si="1158"/>
        <v/>
      </c>
      <c r="DE960" s="259" t="str">
        <f t="shared" ca="1" si="1159"/>
        <v/>
      </c>
      <c r="DF960" s="259">
        <f ca="1">IF(AND(CX960=$DE$2,$DF$2&lt;&gt;0),0,IF(AND(DB960&lt;&gt;"",OR(DB959&lt;&gt;"",DB961&lt;&gt;"")),MAX($DF$2:DF959)+1,0))</f>
        <v>0</v>
      </c>
    </row>
    <row r="961" spans="102:110">
      <c r="CX961" s="259">
        <f t="shared" ca="1" si="1153"/>
        <v>54</v>
      </c>
      <c r="CY961" s="259" t="str">
        <f t="shared" ref="CY961:CY991" ca="1" si="1161">IF(ISERROR(INDEX($CV$3:$CX$2300,MATCH(CX961,$CW$3:$CW$2300,0),1)),"MASTRO",INDEX($CV$3:$CX$2300,MATCH(CX961,$CW$3:$CW$2300,0),1))</f>
        <v>MASTRO</v>
      </c>
      <c r="CZ961" s="259" t="e">
        <f t="shared" ca="1" si="1155"/>
        <v>#N/A</v>
      </c>
      <c r="DA961" s="259" t="str">
        <f t="shared" ca="1" si="1160"/>
        <v/>
      </c>
      <c r="DB961" s="259" t="str">
        <f t="shared" ca="1" si="1156"/>
        <v/>
      </c>
      <c r="DC961" s="259" t="str">
        <f t="shared" ca="1" si="1157"/>
        <v/>
      </c>
      <c r="DD961" s="259" t="str">
        <f t="shared" ca="1" si="1158"/>
        <v/>
      </c>
      <c r="DE961" s="259" t="str">
        <f t="shared" ca="1" si="1159"/>
        <v/>
      </c>
      <c r="DF961" s="259">
        <f ca="1">IF(AND(CX961=$DE$2,$DF$2&lt;&gt;0),0,IF(AND(DB961&lt;&gt;"",OR(DB960&lt;&gt;"",DB962&lt;&gt;"")),MAX($DF$2:DF960)+1,0))</f>
        <v>0</v>
      </c>
    </row>
    <row r="962" spans="102:110">
      <c r="CX962" s="259">
        <f t="shared" ca="1" si="1153"/>
        <v>54</v>
      </c>
      <c r="CY962" s="259" t="str">
        <f t="shared" ca="1" si="1161"/>
        <v>MASTRO</v>
      </c>
      <c r="CZ962" s="259" t="e">
        <f t="shared" ca="1" si="1155"/>
        <v>#N/A</v>
      </c>
      <c r="DA962" s="259" t="str">
        <f t="shared" ca="1" si="1160"/>
        <v/>
      </c>
      <c r="DB962" s="259" t="str">
        <f t="shared" ca="1" si="1156"/>
        <v/>
      </c>
      <c r="DC962" s="259" t="str">
        <f t="shared" ca="1" si="1157"/>
        <v/>
      </c>
      <c r="DD962" s="259" t="str">
        <f t="shared" ca="1" si="1158"/>
        <v/>
      </c>
      <c r="DE962" s="259" t="str">
        <f t="shared" ca="1" si="1159"/>
        <v/>
      </c>
      <c r="DF962" s="259">
        <f ca="1">IF(AND(CX962=$DE$2,$DF$2&lt;&gt;0),0,IF(AND(DB962&lt;&gt;"",OR(DB961&lt;&gt;"",DB963&lt;&gt;"")),MAX($DF$2:DF961)+1,0))</f>
        <v>0</v>
      </c>
    </row>
    <row r="963" spans="102:110">
      <c r="CX963" s="259">
        <f t="shared" ca="1" si="1153"/>
        <v>54</v>
      </c>
      <c r="CY963" s="259" t="str">
        <f t="shared" ca="1" si="1161"/>
        <v>MASTRO</v>
      </c>
      <c r="CZ963" s="259" t="e">
        <f t="shared" ca="1" si="1155"/>
        <v>#N/A</v>
      </c>
      <c r="DA963" s="259" t="str">
        <f t="shared" ca="1" si="1160"/>
        <v/>
      </c>
      <c r="DB963" s="259" t="str">
        <f t="shared" ca="1" si="1156"/>
        <v/>
      </c>
      <c r="DC963" s="259" t="str">
        <f t="shared" ca="1" si="1157"/>
        <v/>
      </c>
      <c r="DD963" s="259" t="str">
        <f t="shared" ca="1" si="1158"/>
        <v/>
      </c>
      <c r="DE963" s="259" t="str">
        <f t="shared" ca="1" si="1159"/>
        <v/>
      </c>
      <c r="DF963" s="259">
        <f ca="1">IF(AND(CX963=$DE$2,$DF$2&lt;&gt;0),0,IF(AND(DB963&lt;&gt;"",OR(DB962&lt;&gt;"",DB964&lt;&gt;"")),MAX($DF$2:DF962)+1,0))</f>
        <v>0</v>
      </c>
    </row>
    <row r="964" spans="102:110">
      <c r="CX964" s="259">
        <f t="shared" ca="1" si="1153"/>
        <v>54</v>
      </c>
      <c r="CY964" s="259" t="str">
        <f t="shared" ca="1" si="1161"/>
        <v>MASTRO</v>
      </c>
      <c r="CZ964" s="259" t="e">
        <f t="shared" ca="1" si="1155"/>
        <v>#N/A</v>
      </c>
      <c r="DA964" s="259" t="str">
        <f t="shared" ca="1" si="1160"/>
        <v/>
      </c>
      <c r="DB964" s="259" t="str">
        <f t="shared" ca="1" si="1156"/>
        <v/>
      </c>
      <c r="DC964" s="259" t="str">
        <f t="shared" ca="1" si="1157"/>
        <v/>
      </c>
      <c r="DD964" s="259" t="str">
        <f t="shared" ca="1" si="1158"/>
        <v/>
      </c>
      <c r="DE964" s="259" t="str">
        <f t="shared" ca="1" si="1159"/>
        <v/>
      </c>
      <c r="DF964" s="259">
        <f ca="1">IF(AND(CX964=$DE$2,$DF$2&lt;&gt;0),0,IF(AND(DB964&lt;&gt;"",OR(DB963&lt;&gt;"",DB965&lt;&gt;"")),MAX($DF$2:DF963)+1,0))</f>
        <v>0</v>
      </c>
    </row>
    <row r="965" spans="102:110">
      <c r="CX965" s="259">
        <f t="shared" ca="1" si="1153"/>
        <v>54</v>
      </c>
      <c r="CY965" s="259" t="str">
        <f t="shared" ca="1" si="1161"/>
        <v>MASTRO</v>
      </c>
      <c r="CZ965" s="259" t="e">
        <f t="shared" ca="1" si="1155"/>
        <v>#N/A</v>
      </c>
      <c r="DA965" s="259" t="str">
        <f t="shared" ca="1" si="1160"/>
        <v/>
      </c>
      <c r="DB965" s="259" t="str">
        <f t="shared" ca="1" si="1156"/>
        <v/>
      </c>
      <c r="DC965" s="259" t="str">
        <f t="shared" ca="1" si="1157"/>
        <v/>
      </c>
      <c r="DD965" s="259" t="str">
        <f t="shared" ca="1" si="1158"/>
        <v/>
      </c>
      <c r="DE965" s="259" t="str">
        <f t="shared" ca="1" si="1159"/>
        <v/>
      </c>
      <c r="DF965" s="259">
        <f ca="1">IF(AND(CX965=$DE$2,$DF$2&lt;&gt;0),0,IF(AND(DB965&lt;&gt;"",OR(DB964&lt;&gt;"",DB966&lt;&gt;"")),MAX($DF$2:DF964)+1,0))</f>
        <v>0</v>
      </c>
    </row>
    <row r="966" spans="102:110">
      <c r="CX966" s="259">
        <f t="shared" ca="1" si="1153"/>
        <v>54</v>
      </c>
      <c r="CY966" s="259" t="str">
        <f t="shared" ca="1" si="1161"/>
        <v>MASTRO</v>
      </c>
      <c r="CZ966" s="259" t="e">
        <f t="shared" ca="1" si="1155"/>
        <v>#N/A</v>
      </c>
      <c r="DA966" s="259" t="str">
        <f t="shared" ca="1" si="1160"/>
        <v/>
      </c>
      <c r="DB966" s="259" t="str">
        <f t="shared" ca="1" si="1156"/>
        <v/>
      </c>
      <c r="DC966" s="259" t="str">
        <f t="shared" ca="1" si="1157"/>
        <v/>
      </c>
      <c r="DD966" s="259" t="str">
        <f t="shared" ca="1" si="1158"/>
        <v/>
      </c>
      <c r="DE966" s="259" t="str">
        <f t="shared" ca="1" si="1159"/>
        <v/>
      </c>
      <c r="DF966" s="259">
        <f ca="1">IF(AND(CX966=$DE$2,$DF$2&lt;&gt;0),0,IF(AND(DB966&lt;&gt;"",OR(DB965&lt;&gt;"",DB967&lt;&gt;"")),MAX($DF$2:DF965)+1,0))</f>
        <v>0</v>
      </c>
    </row>
    <row r="967" spans="102:110">
      <c r="CX967" s="259">
        <f t="shared" ca="1" si="1153"/>
        <v>54</v>
      </c>
      <c r="CY967" s="259" t="str">
        <f t="shared" ca="1" si="1161"/>
        <v>MASTRO</v>
      </c>
      <c r="CZ967" s="259" t="e">
        <f t="shared" ca="1" si="1155"/>
        <v>#N/A</v>
      </c>
      <c r="DA967" s="259" t="str">
        <f t="shared" ca="1" si="1160"/>
        <v/>
      </c>
      <c r="DB967" s="259" t="str">
        <f t="shared" ca="1" si="1156"/>
        <v/>
      </c>
      <c r="DC967" s="259" t="str">
        <f t="shared" ca="1" si="1157"/>
        <v/>
      </c>
      <c r="DD967" s="259" t="str">
        <f t="shared" ca="1" si="1158"/>
        <v/>
      </c>
      <c r="DE967" s="259" t="str">
        <f t="shared" ca="1" si="1159"/>
        <v/>
      </c>
      <c r="DF967" s="259">
        <f ca="1">IF(AND(CX967=$DE$2,$DF$2&lt;&gt;0),0,IF(AND(DB967&lt;&gt;"",OR(DB966&lt;&gt;"",DB968&lt;&gt;"")),MAX($DF$2:DF966)+1,0))</f>
        <v>0</v>
      </c>
    </row>
    <row r="968" spans="102:110">
      <c r="CX968" s="259">
        <f t="shared" ca="1" si="1153"/>
        <v>54</v>
      </c>
      <c r="CY968" s="259" t="str">
        <f t="shared" ca="1" si="1161"/>
        <v>MASTRO</v>
      </c>
      <c r="CZ968" s="259" t="e">
        <f t="shared" ca="1" si="1155"/>
        <v>#N/A</v>
      </c>
      <c r="DA968" s="259" t="str">
        <f t="shared" ca="1" si="1160"/>
        <v/>
      </c>
      <c r="DB968" s="259" t="str">
        <f t="shared" ca="1" si="1156"/>
        <v/>
      </c>
      <c r="DC968" s="259" t="str">
        <f t="shared" ca="1" si="1157"/>
        <v/>
      </c>
      <c r="DD968" s="259" t="str">
        <f t="shared" ca="1" si="1158"/>
        <v/>
      </c>
      <c r="DE968" s="259" t="str">
        <f t="shared" ca="1" si="1159"/>
        <v/>
      </c>
      <c r="DF968" s="259">
        <f ca="1">IF(AND(CX968=$DE$2,$DF$2&lt;&gt;0),0,IF(AND(DB968&lt;&gt;"",OR(DB967&lt;&gt;"",DB969&lt;&gt;"")),MAX($DF$2:DF967)+1,0))</f>
        <v>0</v>
      </c>
    </row>
    <row r="969" spans="102:110">
      <c r="CX969" s="259">
        <f t="shared" ca="1" si="1153"/>
        <v>54</v>
      </c>
      <c r="CY969" s="259" t="str">
        <f t="shared" ca="1" si="1161"/>
        <v>MASTRO</v>
      </c>
      <c r="CZ969" s="259" t="e">
        <f t="shared" ca="1" si="1155"/>
        <v>#N/A</v>
      </c>
      <c r="DA969" s="259" t="str">
        <f t="shared" ca="1" si="1160"/>
        <v/>
      </c>
      <c r="DB969" s="259" t="str">
        <f t="shared" ca="1" si="1156"/>
        <v/>
      </c>
      <c r="DC969" s="259" t="str">
        <f t="shared" ca="1" si="1157"/>
        <v/>
      </c>
      <c r="DD969" s="259" t="str">
        <f t="shared" ca="1" si="1158"/>
        <v/>
      </c>
      <c r="DE969" s="259" t="str">
        <f t="shared" ca="1" si="1159"/>
        <v/>
      </c>
      <c r="DF969" s="259">
        <f ca="1">IF(AND(CX969=$DE$2,$DF$2&lt;&gt;0),0,IF(AND(DB969&lt;&gt;"",OR(DB968&lt;&gt;"",DB970&lt;&gt;"")),MAX($DF$2:DF968)+1,0))</f>
        <v>0</v>
      </c>
    </row>
    <row r="970" spans="102:110">
      <c r="CX970" s="259">
        <f t="shared" ca="1" si="1153"/>
        <v>54</v>
      </c>
      <c r="CY970" s="259" t="str">
        <f t="shared" ca="1" si="1161"/>
        <v>MASTRO</v>
      </c>
      <c r="CZ970" s="259" t="e">
        <f t="shared" ca="1" si="1155"/>
        <v>#N/A</v>
      </c>
      <c r="DA970" s="259" t="str">
        <f t="shared" ca="1" si="1160"/>
        <v/>
      </c>
      <c r="DB970" s="259" t="str">
        <f t="shared" ca="1" si="1156"/>
        <v/>
      </c>
      <c r="DC970" s="259" t="str">
        <f t="shared" ca="1" si="1157"/>
        <v/>
      </c>
      <c r="DD970" s="259" t="str">
        <f t="shared" ca="1" si="1158"/>
        <v/>
      </c>
      <c r="DE970" s="259" t="str">
        <f t="shared" ca="1" si="1159"/>
        <v/>
      </c>
      <c r="DF970" s="259">
        <f ca="1">IF(AND(CX970=$DE$2,$DF$2&lt;&gt;0),0,IF(AND(DB970&lt;&gt;"",OR(DB969&lt;&gt;"",DB971&lt;&gt;"")),MAX($DF$2:DF969)+1,0))</f>
        <v>0</v>
      </c>
    </row>
    <row r="971" spans="102:110">
      <c r="CX971" s="259">
        <f t="shared" ca="1" si="1153"/>
        <v>54</v>
      </c>
      <c r="CY971" s="259" t="str">
        <f t="shared" ca="1" si="1161"/>
        <v>MASTRO</v>
      </c>
      <c r="CZ971" s="259" t="e">
        <f t="shared" ca="1" si="1155"/>
        <v>#N/A</v>
      </c>
      <c r="DA971" s="259" t="str">
        <f t="shared" ca="1" si="1160"/>
        <v/>
      </c>
      <c r="DB971" s="259" t="str">
        <f t="shared" ca="1" si="1156"/>
        <v/>
      </c>
      <c r="DC971" s="259" t="str">
        <f t="shared" ca="1" si="1157"/>
        <v/>
      </c>
      <c r="DD971" s="259" t="str">
        <f t="shared" ca="1" si="1158"/>
        <v/>
      </c>
      <c r="DE971" s="259" t="str">
        <f t="shared" ca="1" si="1159"/>
        <v/>
      </c>
      <c r="DF971" s="259">
        <f ca="1">IF(AND(CX971=$DE$2,$DF$2&lt;&gt;0),0,IF(AND(DB971&lt;&gt;"",OR(DB970&lt;&gt;"",DB972&lt;&gt;"")),MAX($DF$2:DF970)+1,0))</f>
        <v>0</v>
      </c>
    </row>
    <row r="972" spans="102:110">
      <c r="CX972" s="259">
        <f t="shared" ca="1" si="1153"/>
        <v>54</v>
      </c>
      <c r="CY972" s="259" t="str">
        <f t="shared" ca="1" si="1161"/>
        <v>MASTRO</v>
      </c>
      <c r="CZ972" s="259" t="e">
        <f t="shared" ca="1" si="1155"/>
        <v>#N/A</v>
      </c>
      <c r="DA972" s="259" t="str">
        <f t="shared" ca="1" si="1160"/>
        <v/>
      </c>
      <c r="DB972" s="259" t="str">
        <f t="shared" ca="1" si="1156"/>
        <v/>
      </c>
      <c r="DC972" s="259" t="str">
        <f t="shared" ca="1" si="1157"/>
        <v/>
      </c>
      <c r="DD972" s="259" t="str">
        <f t="shared" ca="1" si="1158"/>
        <v/>
      </c>
      <c r="DE972" s="259" t="str">
        <f t="shared" ca="1" si="1159"/>
        <v/>
      </c>
      <c r="DF972" s="259">
        <f ca="1">IF(AND(CX972=$DE$2,$DF$2&lt;&gt;0),0,IF(AND(DB972&lt;&gt;"",OR(DB971&lt;&gt;"",DB973&lt;&gt;"")),MAX($DF$2:DF971)+1,0))</f>
        <v>0</v>
      </c>
    </row>
    <row r="973" spans="102:110">
      <c r="CX973" s="259">
        <f t="shared" ca="1" si="1153"/>
        <v>54</v>
      </c>
      <c r="CY973" s="259" t="str">
        <f t="shared" ca="1" si="1161"/>
        <v>MASTRO</v>
      </c>
      <c r="CZ973" s="259" t="e">
        <f t="shared" ca="1" si="1155"/>
        <v>#N/A</v>
      </c>
      <c r="DA973" s="259" t="str">
        <f t="shared" ca="1" si="1160"/>
        <v/>
      </c>
      <c r="DB973" s="259" t="str">
        <f t="shared" ca="1" si="1156"/>
        <v/>
      </c>
      <c r="DC973" s="259" t="str">
        <f t="shared" ca="1" si="1157"/>
        <v/>
      </c>
      <c r="DD973" s="259" t="str">
        <f t="shared" ca="1" si="1158"/>
        <v/>
      </c>
      <c r="DE973" s="259" t="str">
        <f t="shared" ca="1" si="1159"/>
        <v/>
      </c>
      <c r="DF973" s="259">
        <f ca="1">IF(AND(CX973=$DE$2,$DF$2&lt;&gt;0),0,IF(AND(DB973&lt;&gt;"",OR(DB972&lt;&gt;"",DB974&lt;&gt;"")),MAX($DF$2:DF972)+1,0))</f>
        <v>0</v>
      </c>
    </row>
    <row r="974" spans="102:110">
      <c r="CX974" s="259" t="str">
        <f>IFERROR(IF(CX956+1=1,"",(CX956+1)),"")</f>
        <v/>
      </c>
      <c r="CY974" s="259" t="str">
        <f t="shared" ca="1" si="1161"/>
        <v>MASTRO</v>
      </c>
      <c r="DB974" s="259" t="str">
        <f t="shared" ref="DB974" ca="1" si="1162">CY974</f>
        <v>MASTRO</v>
      </c>
      <c r="DF974" s="259">
        <f ca="1">IF(AND(CX974=$DE$2,$DF$2&lt;&gt;0),0,IF(AND(DB974&lt;&gt;"",OR(DB973&lt;&gt;"",DB975&lt;&gt;"")),MAX($DF$2:DF973)+1,0))</f>
        <v>0</v>
      </c>
    </row>
    <row r="975" spans="102:110">
      <c r="CX975" s="259">
        <f ca="1">$EA$57</f>
        <v>55</v>
      </c>
      <c r="CY975" s="259" t="str">
        <f t="shared" ca="1" si="1161"/>
        <v>MASTRO</v>
      </c>
      <c r="DA975" s="259" t="str">
        <f ca="1">IF(CY974="MASTRO","Conto n.","")</f>
        <v>Conto n.</v>
      </c>
      <c r="DB975" s="259" t="str">
        <f ca="1">IF(CY975=0,"",INDEX(PIANO_DEI_CONTI,MATCH(DC975,DENOMINAZIONE,0),1))</f>
        <v/>
      </c>
      <c r="DC975" s="259" t="str">
        <f ca="1">IF(OR(CY975=0,CY975="mastro"),"",CY975)</f>
        <v/>
      </c>
      <c r="DD975" s="259" t="str">
        <f ca="1">IF(AND($DA$2=TRUE,OR(INDEX(PIANO_DEI_CONTI,MATCH($DC975,DENOMINAZIONE,0),4)="A",INDEX(PIANO_DEI_CONTI,MATCH($DC975,DENOMINAZIONE,0),4)="D/A"),SUMIFS(AVERE,DENOMINAZIONE_GIORNALE,"="&amp;$DC975)&gt;SUMIFS(DARE,DENOMINAZIONE_GIORNALE,"="&amp;$DC975)),CONCATENATE("s ",FIXED(ABS(SUMIFS(AVERE,DENOMINAZIONE_GIORNALE,"="&amp;$DC975)-SUMIFS(DARE,DENOMINAZIONE_GIORNALE,"="&amp;$DC975)),2)),"")</f>
        <v/>
      </c>
      <c r="DE975" s="259" t="str">
        <f ca="1">IF(AND($DA$2=TRUE,OR(INDEX(PIANO_DEI_CONTI,MATCH($DC975,DENOMINAZIONE,0),4)="D",INDEX(PIANO_DEI_CONTI,MATCH($DC975,DENOMINAZIONE,0),4)="D/A"),SUMIFS(DARE,DENOMINAZIONE_GIORNALE,"="&amp;$DC975)&gt;SUMIFS(AVERE,DENOMINAZIONE_GIORNALE,"="&amp;$DC975)),CONCATENATE("s ",FIXED(ABS(SUMIFS(DARE,DENOMINAZIONE_GIORNALE,"="&amp;$DC975)-SUMIFS(AVERE,DENOMINAZIONE_GIORNALE,"="&amp;$DC975)),2)),"")</f>
        <v/>
      </c>
      <c r="DF975" s="259">
        <f ca="1">IF(AND(CX975=$DE$2,$DF$2&lt;&gt;0),0,IF(AND(DB975&lt;&gt;"",OR(DB974&lt;&gt;"",DB976&lt;&gt;"")),MAX($DF$2:DF974)+1,0))</f>
        <v>0</v>
      </c>
    </row>
    <row r="976" spans="102:110">
      <c r="CX976" s="259">
        <f t="shared" ref="CX976:CX991" ca="1" si="1163">$EA$57</f>
        <v>55</v>
      </c>
      <c r="CY976" s="259" t="str">
        <f t="shared" ca="1" si="1161"/>
        <v>MASTRO</v>
      </c>
      <c r="DA976" s="259" t="str">
        <f ca="1">IF(DB975="","","Num. riga")</f>
        <v/>
      </c>
      <c r="DB976" s="259" t="str">
        <f t="shared" ref="DB976" ca="1" si="1164">IF(DB975="","","Data")</f>
        <v/>
      </c>
      <c r="DC976" s="259" t="str">
        <f ca="1">IF(DB975="","","Operazioni")</f>
        <v/>
      </c>
      <c r="DD976" s="259" t="str">
        <f ca="1">IF(DB975="","","Dare        ")</f>
        <v/>
      </c>
      <c r="DE976" s="259" t="str">
        <f ca="1">IF(DB975="","","Avere        ")</f>
        <v/>
      </c>
      <c r="DF976" s="259">
        <f ca="1">IF(AND(CX976=$DE$2,$DF$2&lt;&gt;0),0,IF(AND(DB976&lt;&gt;"",OR(DB975&lt;&gt;"",DB977&lt;&gt;"")),MAX($DF$2:DF975)+1,0))</f>
        <v>0</v>
      </c>
    </row>
    <row r="977" spans="102:110">
      <c r="CX977" s="259">
        <f t="shared" ca="1" si="1163"/>
        <v>55</v>
      </c>
      <c r="CY977" s="259" t="str">
        <f t="shared" ca="1" si="1161"/>
        <v>MASTRO</v>
      </c>
      <c r="CZ977" s="259" t="e">
        <f t="shared" ref="CZ977:CZ991" ca="1" si="1165">SUM(MATCH($CY977,INDIRECT(ADDRESS(SUM(CZ976)+3,54)&amp;":"&amp;ADDRESS(400,54)),0),CZ976)</f>
        <v>#N/A</v>
      </c>
      <c r="DA977" s="259" t="str">
        <f ca="1">IFERROR(INDEX(LIBRO_GIORNALE,CZ977,1),"")</f>
        <v/>
      </c>
      <c r="DB977" s="259" t="str">
        <f t="shared" ref="DB977:DB991" ca="1" si="1166">IF(RIGHT(TEXT(IFERROR(INDEX(LIBRO_GIORNALE,CZ977,2),""),"gg/mm/aa"),1)="a",TEXT(IFERROR(INDEX(LIBRO_GIORNALE,CZ977,2),""),"dd/mm/yy"),TEXT(IFERROR(INDEX(LIBRO_GIORNALE,CZ977,2),""),"gg/mm/aa"))</f>
        <v/>
      </c>
      <c r="DC977" s="259" t="str">
        <f t="shared" ref="DC977:DC991" ca="1" si="1167">IF(IFERROR(INDEX(LIBRO_GIORNALE,CZ977,4),"")=0,"manca la descrizione dell'operazione",IFERROR(INDEX(LIBRO_GIORNALE,CZ977,4),""))</f>
        <v/>
      </c>
      <c r="DD977" s="259" t="str">
        <f t="shared" ref="DD977:DD991" ca="1" si="1168">IFERROR(IF(INDEX(LIBRO_GIORNALE,CZ977,5)&gt;0,INDEX(LIBRO_GIORNALE,CZ977,5),""),"")</f>
        <v/>
      </c>
      <c r="DE977" s="259" t="str">
        <f t="shared" ref="DE977:DE991" ca="1" si="1169">IFERROR(IF(INDEX(LIBRO_GIORNALE,CZ977,6)&gt;0,INDEX(LIBRO_GIORNALE,CZ977,6),""),"")</f>
        <v/>
      </c>
      <c r="DF977" s="259">
        <f ca="1">IF(AND(CX977=$DE$2,$DF$2&lt;&gt;0),0,IF(AND(DB977&lt;&gt;"",OR(DB976&lt;&gt;"",DB978&lt;&gt;"")),MAX($DF$2:DF976)+1,0))</f>
        <v>0</v>
      </c>
    </row>
    <row r="978" spans="102:110">
      <c r="CX978" s="259">
        <f t="shared" ca="1" si="1163"/>
        <v>55</v>
      </c>
      <c r="CY978" s="259" t="str">
        <f t="shared" ca="1" si="1161"/>
        <v>MASTRO</v>
      </c>
      <c r="CZ978" s="259" t="e">
        <f t="shared" ca="1" si="1165"/>
        <v>#N/A</v>
      </c>
      <c r="DA978" s="259" t="str">
        <f t="shared" ref="DA978:DA991" ca="1" si="1170">IFERROR(INDEX(LIBRO_GIORNALE,CZ978,1),"")</f>
        <v/>
      </c>
      <c r="DB978" s="259" t="str">
        <f t="shared" ca="1" si="1166"/>
        <v/>
      </c>
      <c r="DC978" s="259" t="str">
        <f t="shared" ca="1" si="1167"/>
        <v/>
      </c>
      <c r="DD978" s="259" t="str">
        <f t="shared" ca="1" si="1168"/>
        <v/>
      </c>
      <c r="DE978" s="259" t="str">
        <f t="shared" ca="1" si="1169"/>
        <v/>
      </c>
      <c r="DF978" s="259">
        <f ca="1">IF(AND(CX978=$DE$2,$DF$2&lt;&gt;0),0,IF(AND(DB978&lt;&gt;"",OR(DB977&lt;&gt;"",DB979&lt;&gt;"")),MAX($DF$2:DF977)+1,0))</f>
        <v>0</v>
      </c>
    </row>
    <row r="979" spans="102:110">
      <c r="CX979" s="259">
        <f t="shared" ca="1" si="1163"/>
        <v>55</v>
      </c>
      <c r="CY979" s="259" t="str">
        <f t="shared" ca="1" si="1161"/>
        <v>MASTRO</v>
      </c>
      <c r="CZ979" s="259" t="e">
        <f t="shared" ca="1" si="1165"/>
        <v>#N/A</v>
      </c>
      <c r="DA979" s="259" t="str">
        <f t="shared" ca="1" si="1170"/>
        <v/>
      </c>
      <c r="DB979" s="259" t="str">
        <f t="shared" ca="1" si="1166"/>
        <v/>
      </c>
      <c r="DC979" s="259" t="str">
        <f t="shared" ca="1" si="1167"/>
        <v/>
      </c>
      <c r="DD979" s="259" t="str">
        <f t="shared" ca="1" si="1168"/>
        <v/>
      </c>
      <c r="DE979" s="259" t="str">
        <f t="shared" ca="1" si="1169"/>
        <v/>
      </c>
      <c r="DF979" s="259">
        <f ca="1">IF(AND(CX979=$DE$2,$DF$2&lt;&gt;0),0,IF(AND(DB979&lt;&gt;"",OR(DB978&lt;&gt;"",DB980&lt;&gt;"")),MAX($DF$2:DF978)+1,0))</f>
        <v>0</v>
      </c>
    </row>
    <row r="980" spans="102:110">
      <c r="CX980" s="259">
        <f t="shared" ca="1" si="1163"/>
        <v>55</v>
      </c>
      <c r="CY980" s="259" t="str">
        <f t="shared" ca="1" si="1161"/>
        <v>MASTRO</v>
      </c>
      <c r="CZ980" s="259" t="e">
        <f t="shared" ca="1" si="1165"/>
        <v>#N/A</v>
      </c>
      <c r="DA980" s="259" t="str">
        <f t="shared" ca="1" si="1170"/>
        <v/>
      </c>
      <c r="DB980" s="259" t="str">
        <f t="shared" ca="1" si="1166"/>
        <v/>
      </c>
      <c r="DC980" s="259" t="str">
        <f t="shared" ca="1" si="1167"/>
        <v/>
      </c>
      <c r="DD980" s="259" t="str">
        <f t="shared" ca="1" si="1168"/>
        <v/>
      </c>
      <c r="DE980" s="259" t="str">
        <f t="shared" ca="1" si="1169"/>
        <v/>
      </c>
      <c r="DF980" s="259">
        <f ca="1">IF(AND(CX980=$DE$2,$DF$2&lt;&gt;0),0,IF(AND(DB980&lt;&gt;"",OR(DB979&lt;&gt;"",DB981&lt;&gt;"")),MAX($DF$2:DF979)+1,0))</f>
        <v>0</v>
      </c>
    </row>
    <row r="981" spans="102:110">
      <c r="CX981" s="259">
        <f t="shared" ca="1" si="1163"/>
        <v>55</v>
      </c>
      <c r="CY981" s="259" t="str">
        <f t="shared" ca="1" si="1161"/>
        <v>MASTRO</v>
      </c>
      <c r="CZ981" s="259" t="e">
        <f t="shared" ca="1" si="1165"/>
        <v>#N/A</v>
      </c>
      <c r="DA981" s="259" t="str">
        <f t="shared" ca="1" si="1170"/>
        <v/>
      </c>
      <c r="DB981" s="259" t="str">
        <f t="shared" ca="1" si="1166"/>
        <v/>
      </c>
      <c r="DC981" s="259" t="str">
        <f t="shared" ca="1" si="1167"/>
        <v/>
      </c>
      <c r="DD981" s="259" t="str">
        <f t="shared" ca="1" si="1168"/>
        <v/>
      </c>
      <c r="DE981" s="259" t="str">
        <f t="shared" ca="1" si="1169"/>
        <v/>
      </c>
      <c r="DF981" s="259">
        <f ca="1">IF(AND(CX981=$DE$2,$DF$2&lt;&gt;0),0,IF(AND(DB981&lt;&gt;"",OR(DB980&lt;&gt;"",DB982&lt;&gt;"")),MAX($DF$2:DF980)+1,0))</f>
        <v>0</v>
      </c>
    </row>
    <row r="982" spans="102:110">
      <c r="CX982" s="259">
        <f t="shared" ca="1" si="1163"/>
        <v>55</v>
      </c>
      <c r="CY982" s="259" t="str">
        <f t="shared" ca="1" si="1161"/>
        <v>MASTRO</v>
      </c>
      <c r="CZ982" s="259" t="e">
        <f t="shared" ca="1" si="1165"/>
        <v>#N/A</v>
      </c>
      <c r="DA982" s="259" t="str">
        <f t="shared" ca="1" si="1170"/>
        <v/>
      </c>
      <c r="DB982" s="259" t="str">
        <f t="shared" ca="1" si="1166"/>
        <v/>
      </c>
      <c r="DC982" s="259" t="str">
        <f t="shared" ca="1" si="1167"/>
        <v/>
      </c>
      <c r="DD982" s="259" t="str">
        <f t="shared" ca="1" si="1168"/>
        <v/>
      </c>
      <c r="DE982" s="259" t="str">
        <f t="shared" ca="1" si="1169"/>
        <v/>
      </c>
      <c r="DF982" s="259">
        <f ca="1">IF(AND(CX982=$DE$2,$DF$2&lt;&gt;0),0,IF(AND(DB982&lt;&gt;"",OR(DB981&lt;&gt;"",DB983&lt;&gt;"")),MAX($DF$2:DF981)+1,0))</f>
        <v>0</v>
      </c>
    </row>
    <row r="983" spans="102:110">
      <c r="CX983" s="259">
        <f t="shared" ca="1" si="1163"/>
        <v>55</v>
      </c>
      <c r="CY983" s="259" t="str">
        <f t="shared" ca="1" si="1161"/>
        <v>MASTRO</v>
      </c>
      <c r="CZ983" s="259" t="e">
        <f t="shared" ca="1" si="1165"/>
        <v>#N/A</v>
      </c>
      <c r="DA983" s="259" t="str">
        <f t="shared" ca="1" si="1170"/>
        <v/>
      </c>
      <c r="DB983" s="259" t="str">
        <f t="shared" ca="1" si="1166"/>
        <v/>
      </c>
      <c r="DC983" s="259" t="str">
        <f t="shared" ca="1" si="1167"/>
        <v/>
      </c>
      <c r="DD983" s="259" t="str">
        <f t="shared" ca="1" si="1168"/>
        <v/>
      </c>
      <c r="DE983" s="259" t="str">
        <f t="shared" ca="1" si="1169"/>
        <v/>
      </c>
      <c r="DF983" s="259">
        <f ca="1">IF(AND(CX983=$DE$2,$DF$2&lt;&gt;0),0,IF(AND(DB983&lt;&gt;"",OR(DB982&lt;&gt;"",DB984&lt;&gt;"")),MAX($DF$2:DF982)+1,0))</f>
        <v>0</v>
      </c>
    </row>
    <row r="984" spans="102:110">
      <c r="CX984" s="259">
        <f t="shared" ca="1" si="1163"/>
        <v>55</v>
      </c>
      <c r="CY984" s="259" t="str">
        <f t="shared" ca="1" si="1161"/>
        <v>MASTRO</v>
      </c>
      <c r="CZ984" s="259" t="e">
        <f t="shared" ca="1" si="1165"/>
        <v>#N/A</v>
      </c>
      <c r="DA984" s="259" t="str">
        <f t="shared" ca="1" si="1170"/>
        <v/>
      </c>
      <c r="DB984" s="259" t="str">
        <f t="shared" ca="1" si="1166"/>
        <v/>
      </c>
      <c r="DC984" s="259" t="str">
        <f t="shared" ca="1" si="1167"/>
        <v/>
      </c>
      <c r="DD984" s="259" t="str">
        <f t="shared" ca="1" si="1168"/>
        <v/>
      </c>
      <c r="DE984" s="259" t="str">
        <f t="shared" ca="1" si="1169"/>
        <v/>
      </c>
      <c r="DF984" s="259">
        <f ca="1">IF(AND(CX984=$DE$2,$DF$2&lt;&gt;0),0,IF(AND(DB984&lt;&gt;"",OR(DB983&lt;&gt;"",DB985&lt;&gt;"")),MAX($DF$2:DF983)+1,0))</f>
        <v>0</v>
      </c>
    </row>
    <row r="985" spans="102:110">
      <c r="CX985" s="259">
        <f t="shared" ca="1" si="1163"/>
        <v>55</v>
      </c>
      <c r="CY985" s="259" t="str">
        <f t="shared" ca="1" si="1161"/>
        <v>MASTRO</v>
      </c>
      <c r="CZ985" s="259" t="e">
        <f t="shared" ca="1" si="1165"/>
        <v>#N/A</v>
      </c>
      <c r="DA985" s="259" t="str">
        <f t="shared" ca="1" si="1170"/>
        <v/>
      </c>
      <c r="DB985" s="259" t="str">
        <f t="shared" ca="1" si="1166"/>
        <v/>
      </c>
      <c r="DC985" s="259" t="str">
        <f t="shared" ca="1" si="1167"/>
        <v/>
      </c>
      <c r="DD985" s="259" t="str">
        <f t="shared" ca="1" si="1168"/>
        <v/>
      </c>
      <c r="DE985" s="259" t="str">
        <f t="shared" ca="1" si="1169"/>
        <v/>
      </c>
      <c r="DF985" s="259">
        <f ca="1">IF(AND(CX985=$DE$2,$DF$2&lt;&gt;0),0,IF(AND(DB985&lt;&gt;"",OR(DB984&lt;&gt;"",DB986&lt;&gt;"")),MAX($DF$2:DF984)+1,0))</f>
        <v>0</v>
      </c>
    </row>
    <row r="986" spans="102:110">
      <c r="CX986" s="259">
        <f t="shared" ca="1" si="1163"/>
        <v>55</v>
      </c>
      <c r="CY986" s="259" t="str">
        <f t="shared" ca="1" si="1161"/>
        <v>MASTRO</v>
      </c>
      <c r="CZ986" s="259" t="e">
        <f t="shared" ca="1" si="1165"/>
        <v>#N/A</v>
      </c>
      <c r="DA986" s="259" t="str">
        <f t="shared" ca="1" si="1170"/>
        <v/>
      </c>
      <c r="DB986" s="259" t="str">
        <f t="shared" ca="1" si="1166"/>
        <v/>
      </c>
      <c r="DC986" s="259" t="str">
        <f t="shared" ca="1" si="1167"/>
        <v/>
      </c>
      <c r="DD986" s="259" t="str">
        <f t="shared" ca="1" si="1168"/>
        <v/>
      </c>
      <c r="DE986" s="259" t="str">
        <f t="shared" ca="1" si="1169"/>
        <v/>
      </c>
      <c r="DF986" s="259">
        <f ca="1">IF(AND(CX986=$DE$2,$DF$2&lt;&gt;0),0,IF(AND(DB986&lt;&gt;"",OR(DB985&lt;&gt;"",DB987&lt;&gt;"")),MAX($DF$2:DF985)+1,0))</f>
        <v>0</v>
      </c>
    </row>
    <row r="987" spans="102:110">
      <c r="CX987" s="259">
        <f t="shared" ca="1" si="1163"/>
        <v>55</v>
      </c>
      <c r="CY987" s="259" t="str">
        <f t="shared" ca="1" si="1161"/>
        <v>MASTRO</v>
      </c>
      <c r="CZ987" s="259" t="e">
        <f t="shared" ca="1" si="1165"/>
        <v>#N/A</v>
      </c>
      <c r="DA987" s="259" t="str">
        <f t="shared" ca="1" si="1170"/>
        <v/>
      </c>
      <c r="DB987" s="259" t="str">
        <f t="shared" ca="1" si="1166"/>
        <v/>
      </c>
      <c r="DC987" s="259" t="str">
        <f t="shared" ca="1" si="1167"/>
        <v/>
      </c>
      <c r="DD987" s="259" t="str">
        <f t="shared" ca="1" si="1168"/>
        <v/>
      </c>
      <c r="DE987" s="259" t="str">
        <f t="shared" ca="1" si="1169"/>
        <v/>
      </c>
      <c r="DF987" s="259">
        <f ca="1">IF(AND(CX987=$DE$2,$DF$2&lt;&gt;0),0,IF(AND(DB987&lt;&gt;"",OR(DB986&lt;&gt;"",DB988&lt;&gt;"")),MAX($DF$2:DF986)+1,0))</f>
        <v>0</v>
      </c>
    </row>
    <row r="988" spans="102:110">
      <c r="CX988" s="259">
        <f t="shared" ca="1" si="1163"/>
        <v>55</v>
      </c>
      <c r="CY988" s="259" t="str">
        <f t="shared" ca="1" si="1161"/>
        <v>MASTRO</v>
      </c>
      <c r="CZ988" s="259" t="e">
        <f t="shared" ca="1" si="1165"/>
        <v>#N/A</v>
      </c>
      <c r="DA988" s="259" t="str">
        <f t="shared" ca="1" si="1170"/>
        <v/>
      </c>
      <c r="DB988" s="259" t="str">
        <f t="shared" ca="1" si="1166"/>
        <v/>
      </c>
      <c r="DC988" s="259" t="str">
        <f t="shared" ca="1" si="1167"/>
        <v/>
      </c>
      <c r="DD988" s="259" t="str">
        <f t="shared" ca="1" si="1168"/>
        <v/>
      </c>
      <c r="DE988" s="259" t="str">
        <f t="shared" ca="1" si="1169"/>
        <v/>
      </c>
      <c r="DF988" s="259">
        <f ca="1">IF(AND(CX988=$DE$2,$DF$2&lt;&gt;0),0,IF(AND(DB988&lt;&gt;"",OR(DB987&lt;&gt;"",DB989&lt;&gt;"")),MAX($DF$2:DF987)+1,0))</f>
        <v>0</v>
      </c>
    </row>
    <row r="989" spans="102:110">
      <c r="CX989" s="259">
        <f t="shared" ca="1" si="1163"/>
        <v>55</v>
      </c>
      <c r="CY989" s="259" t="str">
        <f t="shared" ca="1" si="1161"/>
        <v>MASTRO</v>
      </c>
      <c r="CZ989" s="259" t="e">
        <f t="shared" ca="1" si="1165"/>
        <v>#N/A</v>
      </c>
      <c r="DA989" s="259" t="str">
        <f t="shared" ca="1" si="1170"/>
        <v/>
      </c>
      <c r="DB989" s="259" t="str">
        <f t="shared" ca="1" si="1166"/>
        <v/>
      </c>
      <c r="DC989" s="259" t="str">
        <f t="shared" ca="1" si="1167"/>
        <v/>
      </c>
      <c r="DD989" s="259" t="str">
        <f t="shared" ca="1" si="1168"/>
        <v/>
      </c>
      <c r="DE989" s="259" t="str">
        <f t="shared" ca="1" si="1169"/>
        <v/>
      </c>
      <c r="DF989" s="259">
        <f ca="1">IF(AND(CX989=$DE$2,$DF$2&lt;&gt;0),0,IF(AND(DB989&lt;&gt;"",OR(DB988&lt;&gt;"",DB990&lt;&gt;"")),MAX($DF$2:DF988)+1,0))</f>
        <v>0</v>
      </c>
    </row>
    <row r="990" spans="102:110">
      <c r="CX990" s="259">
        <f t="shared" ca="1" si="1163"/>
        <v>55</v>
      </c>
      <c r="CY990" s="259" t="str">
        <f t="shared" ca="1" si="1161"/>
        <v>MASTRO</v>
      </c>
      <c r="CZ990" s="259" t="e">
        <f t="shared" ca="1" si="1165"/>
        <v>#N/A</v>
      </c>
      <c r="DA990" s="259" t="str">
        <f t="shared" ca="1" si="1170"/>
        <v/>
      </c>
      <c r="DB990" s="259" t="str">
        <f t="shared" ca="1" si="1166"/>
        <v/>
      </c>
      <c r="DC990" s="259" t="str">
        <f t="shared" ca="1" si="1167"/>
        <v/>
      </c>
      <c r="DD990" s="259" t="str">
        <f t="shared" ca="1" si="1168"/>
        <v/>
      </c>
      <c r="DE990" s="259" t="str">
        <f t="shared" ca="1" si="1169"/>
        <v/>
      </c>
      <c r="DF990" s="259">
        <f ca="1">IF(AND(CX990=$DE$2,$DF$2&lt;&gt;0),0,IF(AND(DB990&lt;&gt;"",OR(DB989&lt;&gt;"",DB991&lt;&gt;"")),MAX($DF$2:DF989)+1,0))</f>
        <v>0</v>
      </c>
    </row>
    <row r="991" spans="102:110">
      <c r="CX991" s="259">
        <f t="shared" ca="1" si="1163"/>
        <v>55</v>
      </c>
      <c r="CY991" s="259" t="str">
        <f t="shared" ca="1" si="1161"/>
        <v>MASTRO</v>
      </c>
      <c r="CZ991" s="259" t="e">
        <f t="shared" ca="1" si="1165"/>
        <v>#N/A</v>
      </c>
      <c r="DA991" s="259" t="str">
        <f t="shared" ca="1" si="1170"/>
        <v/>
      </c>
      <c r="DB991" s="259" t="str">
        <f t="shared" ca="1" si="1166"/>
        <v/>
      </c>
      <c r="DC991" s="259" t="str">
        <f t="shared" ca="1" si="1167"/>
        <v/>
      </c>
      <c r="DD991" s="259" t="str">
        <f t="shared" ca="1" si="1168"/>
        <v/>
      </c>
      <c r="DE991" s="259" t="str">
        <f t="shared" ca="1" si="1169"/>
        <v/>
      </c>
      <c r="DF991" s="259">
        <f ca="1">IF(AND(CX991=$DE$2,$DF$2&lt;&gt;0),0,IF(AND(DB991&lt;&gt;"",OR(DB990&lt;&gt;"",DB992&lt;&gt;"")),MAX($DF$2:DF990)+1,0))</f>
        <v>0</v>
      </c>
    </row>
    <row r="992" spans="102:110">
      <c r="CX992" s="259" t="str">
        <f>IFERROR(IF(CX974+1=1,"",(CX974+1)),"")</f>
        <v/>
      </c>
      <c r="CY992" s="259" t="s">
        <v>269</v>
      </c>
      <c r="DB992" s="259" t="str">
        <f t="shared" ref="DB992" si="1171">CY992</f>
        <v>MASTRO</v>
      </c>
      <c r="DF992" s="259">
        <f ca="1">IF(AND(CX992=$DE$2,$DF$2&lt;&gt;0),0,IF(AND(DB992&lt;&gt;"",OR(DB991&lt;&gt;"",DB993&lt;&gt;"")),MAX($DF$2:DF991)+1,0))</f>
        <v>0</v>
      </c>
    </row>
    <row r="993" spans="102:110">
      <c r="CX993" s="259">
        <f ca="1">$EA$58</f>
        <v>56</v>
      </c>
      <c r="CY993" s="259" t="str">
        <f t="shared" ref="CY993:CY1027" ca="1" si="1172">IF(ISERROR(INDEX($CV$3:$CX$2300,MATCH(CX993,$CW$3:$CW$2300,0),1)),"MASTRO",INDEX($CV$3:$CX$2300,MATCH(CX993,$CW$3:$CW$2300,0),1))</f>
        <v>MASTRO</v>
      </c>
      <c r="DA993" s="259" t="str">
        <f>IF(CY992="MASTRO","Conto n.","")</f>
        <v>Conto n.</v>
      </c>
      <c r="DB993" s="259" t="str">
        <f ca="1">IF(CY993=0,"",INDEX(PIANO_DEI_CONTI,MATCH(DC993,DENOMINAZIONE,0),1))</f>
        <v/>
      </c>
      <c r="DC993" s="259" t="str">
        <f ca="1">IF(OR(CY993=0,CY993="mastro"),"",CY993)</f>
        <v/>
      </c>
      <c r="DD993" s="259" t="str">
        <f ca="1">IF(AND($DA$2=TRUE,OR(INDEX(PIANO_DEI_CONTI,MATCH($DC993,DENOMINAZIONE,0),4)="A",INDEX(PIANO_DEI_CONTI,MATCH($DC993,DENOMINAZIONE,0),4)="D/A"),SUMIFS(AVERE,DENOMINAZIONE_GIORNALE,"="&amp;$DC993)&gt;SUMIFS(DARE,DENOMINAZIONE_GIORNALE,"="&amp;$DC993)),CONCATENATE("s ",FIXED(ABS(SUMIFS(AVERE,DENOMINAZIONE_GIORNALE,"="&amp;$DC993)-SUMIFS(DARE,DENOMINAZIONE_GIORNALE,"="&amp;$DC993)),2)),"")</f>
        <v/>
      </c>
      <c r="DE993" s="259" t="str">
        <f ca="1">IF(AND($DA$2=TRUE,OR(INDEX(PIANO_DEI_CONTI,MATCH($DC993,DENOMINAZIONE,0),4)="D",INDEX(PIANO_DEI_CONTI,MATCH($DC993,DENOMINAZIONE,0),4)="D/A"),SUMIFS(DARE,DENOMINAZIONE_GIORNALE,"="&amp;$DC993)&gt;SUMIFS(AVERE,DENOMINAZIONE_GIORNALE,"="&amp;$DC993)),CONCATENATE("s ",FIXED(ABS(SUMIFS(DARE,DENOMINAZIONE_GIORNALE,"="&amp;$DC993)-SUMIFS(AVERE,DENOMINAZIONE_GIORNALE,"="&amp;$DC993)),2)),"")</f>
        <v/>
      </c>
      <c r="DF993" s="259">
        <f ca="1">IF(AND(CX993=$DE$2,$DF$2&lt;&gt;0),0,IF(AND(DB993&lt;&gt;"",OR(DB992&lt;&gt;"",DB994&lt;&gt;"")),MAX($DF$2:DF992)+1,0))</f>
        <v>0</v>
      </c>
    </row>
    <row r="994" spans="102:110">
      <c r="CX994" s="259">
        <f t="shared" ref="CX994:CX1009" ca="1" si="1173">$EA$58</f>
        <v>56</v>
      </c>
      <c r="CY994" s="259" t="str">
        <f t="shared" ca="1" si="1172"/>
        <v>MASTRO</v>
      </c>
      <c r="DA994" s="259" t="str">
        <f ca="1">IF(DB993="","","Num. riga")</f>
        <v/>
      </c>
      <c r="DB994" s="259" t="str">
        <f t="shared" ref="DB994" ca="1" si="1174">IF(DB993="","","Data")</f>
        <v/>
      </c>
      <c r="DC994" s="259" t="str">
        <f ca="1">IF(DB993="","","Operazioni")</f>
        <v/>
      </c>
      <c r="DD994" s="259" t="str">
        <f ca="1">IF(DB993="","","Dare        ")</f>
        <v/>
      </c>
      <c r="DE994" s="259" t="str">
        <f ca="1">IF(DB993="","","Avere        ")</f>
        <v/>
      </c>
      <c r="DF994" s="259">
        <f ca="1">IF(AND(CX994=$DE$2,$DF$2&lt;&gt;0),0,IF(AND(DB994&lt;&gt;"",OR(DB993&lt;&gt;"",DB995&lt;&gt;"")),MAX($DF$2:DF993)+1,0))</f>
        <v>0</v>
      </c>
    </row>
    <row r="995" spans="102:110">
      <c r="CX995" s="259">
        <f t="shared" ca="1" si="1173"/>
        <v>56</v>
      </c>
      <c r="CY995" s="259" t="str">
        <f t="shared" ca="1" si="1172"/>
        <v>MASTRO</v>
      </c>
      <c r="CZ995" s="259" t="e">
        <f t="shared" ref="CZ995:CZ1009" ca="1" si="1175">SUM(MATCH($CY995,INDIRECT(ADDRESS(SUM(CZ994)+3,54)&amp;":"&amp;ADDRESS(400,54)),0),CZ994)</f>
        <v>#N/A</v>
      </c>
      <c r="DA995" s="259" t="str">
        <f ca="1">IFERROR(INDEX(LIBRO_GIORNALE,CZ995,1),"")</f>
        <v/>
      </c>
      <c r="DB995" s="259" t="str">
        <f t="shared" ref="DB995:DB1009" ca="1" si="1176">IF(RIGHT(TEXT(IFERROR(INDEX(LIBRO_GIORNALE,CZ995,2),""),"gg/mm/aa"),1)="a",TEXT(IFERROR(INDEX(LIBRO_GIORNALE,CZ995,2),""),"dd/mm/yy"),TEXT(IFERROR(INDEX(LIBRO_GIORNALE,CZ995,2),""),"gg/mm/aa"))</f>
        <v/>
      </c>
      <c r="DC995" s="259" t="str">
        <f t="shared" ref="DC995:DC1009" ca="1" si="1177">IF(IFERROR(INDEX(LIBRO_GIORNALE,CZ995,4),"")=0,"manca la descrizione dell'operazione",IFERROR(INDEX(LIBRO_GIORNALE,CZ995,4),""))</f>
        <v/>
      </c>
      <c r="DD995" s="259" t="str">
        <f t="shared" ref="DD995:DD1009" ca="1" si="1178">IFERROR(IF(INDEX(LIBRO_GIORNALE,CZ995,5)&gt;0,INDEX(LIBRO_GIORNALE,CZ995,5),""),"")</f>
        <v/>
      </c>
      <c r="DE995" s="259" t="str">
        <f t="shared" ref="DE995:DE1009" ca="1" si="1179">IFERROR(IF(INDEX(LIBRO_GIORNALE,CZ995,6)&gt;0,INDEX(LIBRO_GIORNALE,CZ995,6),""),"")</f>
        <v/>
      </c>
      <c r="DF995" s="259">
        <f ca="1">IF(AND(CX995=$DE$2,$DF$2&lt;&gt;0),0,IF(AND(DB995&lt;&gt;"",OR(DB994&lt;&gt;"",DB996&lt;&gt;"")),MAX($DF$2:DF994)+1,0))</f>
        <v>0</v>
      </c>
    </row>
    <row r="996" spans="102:110">
      <c r="CX996" s="259">
        <f t="shared" ca="1" si="1173"/>
        <v>56</v>
      </c>
      <c r="CY996" s="259" t="str">
        <f t="shared" ca="1" si="1172"/>
        <v>MASTRO</v>
      </c>
      <c r="CZ996" s="259" t="e">
        <f t="shared" ca="1" si="1175"/>
        <v>#N/A</v>
      </c>
      <c r="DA996" s="259" t="str">
        <f t="shared" ref="DA996:DA1009" ca="1" si="1180">IFERROR(INDEX(LIBRO_GIORNALE,CZ996,1),"")</f>
        <v/>
      </c>
      <c r="DB996" s="259" t="str">
        <f t="shared" ca="1" si="1176"/>
        <v/>
      </c>
      <c r="DC996" s="259" t="str">
        <f t="shared" ca="1" si="1177"/>
        <v/>
      </c>
      <c r="DD996" s="259" t="str">
        <f t="shared" ca="1" si="1178"/>
        <v/>
      </c>
      <c r="DE996" s="259" t="str">
        <f t="shared" ca="1" si="1179"/>
        <v/>
      </c>
      <c r="DF996" s="259">
        <f ca="1">IF(AND(CX996=$DE$2,$DF$2&lt;&gt;0),0,IF(AND(DB996&lt;&gt;"",OR(DB995&lt;&gt;"",DB997&lt;&gt;"")),MAX($DF$2:DF995)+1,0))</f>
        <v>0</v>
      </c>
    </row>
    <row r="997" spans="102:110">
      <c r="CX997" s="259">
        <f t="shared" ca="1" si="1173"/>
        <v>56</v>
      </c>
      <c r="CY997" s="259" t="str">
        <f t="shared" ca="1" si="1172"/>
        <v>MASTRO</v>
      </c>
      <c r="CZ997" s="259" t="e">
        <f t="shared" ca="1" si="1175"/>
        <v>#N/A</v>
      </c>
      <c r="DA997" s="259" t="str">
        <f t="shared" ca="1" si="1180"/>
        <v/>
      </c>
      <c r="DB997" s="259" t="str">
        <f t="shared" ca="1" si="1176"/>
        <v/>
      </c>
      <c r="DC997" s="259" t="str">
        <f t="shared" ca="1" si="1177"/>
        <v/>
      </c>
      <c r="DD997" s="259" t="str">
        <f t="shared" ca="1" si="1178"/>
        <v/>
      </c>
      <c r="DE997" s="259" t="str">
        <f t="shared" ca="1" si="1179"/>
        <v/>
      </c>
      <c r="DF997" s="259">
        <f ca="1">IF(AND(CX997=$DE$2,$DF$2&lt;&gt;0),0,IF(AND(DB997&lt;&gt;"",OR(DB996&lt;&gt;"",DB998&lt;&gt;"")),MAX($DF$2:DF996)+1,0))</f>
        <v>0</v>
      </c>
    </row>
    <row r="998" spans="102:110">
      <c r="CX998" s="259">
        <f t="shared" ca="1" si="1173"/>
        <v>56</v>
      </c>
      <c r="CY998" s="259" t="str">
        <f t="shared" ca="1" si="1172"/>
        <v>MASTRO</v>
      </c>
      <c r="CZ998" s="259" t="e">
        <f t="shared" ca="1" si="1175"/>
        <v>#N/A</v>
      </c>
      <c r="DA998" s="259" t="str">
        <f t="shared" ca="1" si="1180"/>
        <v/>
      </c>
      <c r="DB998" s="259" t="str">
        <f t="shared" ca="1" si="1176"/>
        <v/>
      </c>
      <c r="DC998" s="259" t="str">
        <f t="shared" ca="1" si="1177"/>
        <v/>
      </c>
      <c r="DD998" s="259" t="str">
        <f t="shared" ca="1" si="1178"/>
        <v/>
      </c>
      <c r="DE998" s="259" t="str">
        <f t="shared" ca="1" si="1179"/>
        <v/>
      </c>
      <c r="DF998" s="259">
        <f ca="1">IF(AND(CX998=$DE$2,$DF$2&lt;&gt;0),0,IF(AND(DB998&lt;&gt;"",OR(DB997&lt;&gt;"",DB999&lt;&gt;"")),MAX($DF$2:DF997)+1,0))</f>
        <v>0</v>
      </c>
    </row>
    <row r="999" spans="102:110">
      <c r="CX999" s="259">
        <f t="shared" ca="1" si="1173"/>
        <v>56</v>
      </c>
      <c r="CY999" s="259" t="str">
        <f t="shared" ca="1" si="1172"/>
        <v>MASTRO</v>
      </c>
      <c r="CZ999" s="259" t="e">
        <f t="shared" ca="1" si="1175"/>
        <v>#N/A</v>
      </c>
      <c r="DA999" s="259" t="str">
        <f t="shared" ca="1" si="1180"/>
        <v/>
      </c>
      <c r="DB999" s="259" t="str">
        <f t="shared" ca="1" si="1176"/>
        <v/>
      </c>
      <c r="DC999" s="259" t="str">
        <f t="shared" ca="1" si="1177"/>
        <v/>
      </c>
      <c r="DD999" s="259" t="str">
        <f t="shared" ca="1" si="1178"/>
        <v/>
      </c>
      <c r="DE999" s="259" t="str">
        <f t="shared" ca="1" si="1179"/>
        <v/>
      </c>
      <c r="DF999" s="259">
        <f ca="1">IF(AND(CX999=$DE$2,$DF$2&lt;&gt;0),0,IF(AND(DB999&lt;&gt;"",OR(DB998&lt;&gt;"",DB1000&lt;&gt;"")),MAX($DF$2:DF998)+1,0))</f>
        <v>0</v>
      </c>
    </row>
    <row r="1000" spans="102:110">
      <c r="CX1000" s="259">
        <f t="shared" ca="1" si="1173"/>
        <v>56</v>
      </c>
      <c r="CY1000" s="259" t="str">
        <f t="shared" ca="1" si="1172"/>
        <v>MASTRO</v>
      </c>
      <c r="CZ1000" s="259" t="e">
        <f t="shared" ca="1" si="1175"/>
        <v>#N/A</v>
      </c>
      <c r="DA1000" s="259" t="str">
        <f t="shared" ca="1" si="1180"/>
        <v/>
      </c>
      <c r="DB1000" s="259" t="str">
        <f t="shared" ca="1" si="1176"/>
        <v/>
      </c>
      <c r="DC1000" s="259" t="str">
        <f t="shared" ca="1" si="1177"/>
        <v/>
      </c>
      <c r="DD1000" s="259" t="str">
        <f t="shared" ca="1" si="1178"/>
        <v/>
      </c>
      <c r="DE1000" s="259" t="str">
        <f t="shared" ca="1" si="1179"/>
        <v/>
      </c>
      <c r="DF1000" s="259">
        <f ca="1">IF(AND(CX1000=$DE$2,$DF$2&lt;&gt;0),0,IF(AND(DB1000&lt;&gt;"",OR(DB999&lt;&gt;"",DB1001&lt;&gt;"")),MAX($DF$2:DF999)+1,0))</f>
        <v>0</v>
      </c>
    </row>
    <row r="1001" spans="102:110">
      <c r="CX1001" s="259">
        <f t="shared" ca="1" si="1173"/>
        <v>56</v>
      </c>
      <c r="CY1001" s="259" t="str">
        <f t="shared" ca="1" si="1172"/>
        <v>MASTRO</v>
      </c>
      <c r="CZ1001" s="259" t="e">
        <f t="shared" ca="1" si="1175"/>
        <v>#N/A</v>
      </c>
      <c r="DA1001" s="259" t="str">
        <f t="shared" ca="1" si="1180"/>
        <v/>
      </c>
      <c r="DB1001" s="259" t="str">
        <f t="shared" ca="1" si="1176"/>
        <v/>
      </c>
      <c r="DC1001" s="259" t="str">
        <f t="shared" ca="1" si="1177"/>
        <v/>
      </c>
      <c r="DD1001" s="259" t="str">
        <f t="shared" ca="1" si="1178"/>
        <v/>
      </c>
      <c r="DE1001" s="259" t="str">
        <f t="shared" ca="1" si="1179"/>
        <v/>
      </c>
      <c r="DF1001" s="259">
        <f ca="1">IF(AND(CX1001=$DE$2,$DF$2&lt;&gt;0),0,IF(AND(DB1001&lt;&gt;"",OR(DB1000&lt;&gt;"",DB1002&lt;&gt;"")),MAX($DF$2:DF1000)+1,0))</f>
        <v>0</v>
      </c>
    </row>
    <row r="1002" spans="102:110">
      <c r="CX1002" s="259">
        <f t="shared" ca="1" si="1173"/>
        <v>56</v>
      </c>
      <c r="CY1002" s="259" t="str">
        <f t="shared" ca="1" si="1172"/>
        <v>MASTRO</v>
      </c>
      <c r="CZ1002" s="259" t="e">
        <f t="shared" ca="1" si="1175"/>
        <v>#N/A</v>
      </c>
      <c r="DA1002" s="259" t="str">
        <f t="shared" ca="1" si="1180"/>
        <v/>
      </c>
      <c r="DB1002" s="259" t="str">
        <f t="shared" ca="1" si="1176"/>
        <v/>
      </c>
      <c r="DC1002" s="259" t="str">
        <f t="shared" ca="1" si="1177"/>
        <v/>
      </c>
      <c r="DD1002" s="259" t="str">
        <f t="shared" ca="1" si="1178"/>
        <v/>
      </c>
      <c r="DE1002" s="259" t="str">
        <f t="shared" ca="1" si="1179"/>
        <v/>
      </c>
      <c r="DF1002" s="259">
        <f ca="1">IF(AND(CX1002=$DE$2,$DF$2&lt;&gt;0),0,IF(AND(DB1002&lt;&gt;"",OR(DB1001&lt;&gt;"",DB1003&lt;&gt;"")),MAX($DF$2:DF1001)+1,0))</f>
        <v>0</v>
      </c>
    </row>
    <row r="1003" spans="102:110">
      <c r="CX1003" s="259">
        <f t="shared" ca="1" si="1173"/>
        <v>56</v>
      </c>
      <c r="CY1003" s="259" t="str">
        <f t="shared" ca="1" si="1172"/>
        <v>MASTRO</v>
      </c>
      <c r="CZ1003" s="259" t="e">
        <f t="shared" ca="1" si="1175"/>
        <v>#N/A</v>
      </c>
      <c r="DA1003" s="259" t="str">
        <f t="shared" ca="1" si="1180"/>
        <v/>
      </c>
      <c r="DB1003" s="259" t="str">
        <f t="shared" ca="1" si="1176"/>
        <v/>
      </c>
      <c r="DC1003" s="259" t="str">
        <f t="shared" ca="1" si="1177"/>
        <v/>
      </c>
      <c r="DD1003" s="259" t="str">
        <f t="shared" ca="1" si="1178"/>
        <v/>
      </c>
      <c r="DE1003" s="259" t="str">
        <f t="shared" ca="1" si="1179"/>
        <v/>
      </c>
      <c r="DF1003" s="259">
        <f ca="1">IF(AND(CX1003=$DE$2,$DF$2&lt;&gt;0),0,IF(AND(DB1003&lt;&gt;"",OR(DB1002&lt;&gt;"",DB1004&lt;&gt;"")),MAX($DF$2:DF1002)+1,0))</f>
        <v>0</v>
      </c>
    </row>
    <row r="1004" spans="102:110">
      <c r="CX1004" s="259">
        <f t="shared" ca="1" si="1173"/>
        <v>56</v>
      </c>
      <c r="CY1004" s="259" t="str">
        <f t="shared" ca="1" si="1172"/>
        <v>MASTRO</v>
      </c>
      <c r="CZ1004" s="259" t="e">
        <f t="shared" ca="1" si="1175"/>
        <v>#N/A</v>
      </c>
      <c r="DA1004" s="259" t="str">
        <f t="shared" ca="1" si="1180"/>
        <v/>
      </c>
      <c r="DB1004" s="259" t="str">
        <f t="shared" ca="1" si="1176"/>
        <v/>
      </c>
      <c r="DC1004" s="259" t="str">
        <f t="shared" ca="1" si="1177"/>
        <v/>
      </c>
      <c r="DD1004" s="259" t="str">
        <f t="shared" ca="1" si="1178"/>
        <v/>
      </c>
      <c r="DE1004" s="259" t="str">
        <f t="shared" ca="1" si="1179"/>
        <v/>
      </c>
      <c r="DF1004" s="259">
        <f ca="1">IF(AND(CX1004=$DE$2,$DF$2&lt;&gt;0),0,IF(AND(DB1004&lt;&gt;"",OR(DB1003&lt;&gt;"",DB1005&lt;&gt;"")),MAX($DF$2:DF1003)+1,0))</f>
        <v>0</v>
      </c>
    </row>
    <row r="1005" spans="102:110">
      <c r="CX1005" s="259">
        <f t="shared" ca="1" si="1173"/>
        <v>56</v>
      </c>
      <c r="CY1005" s="259" t="str">
        <f t="shared" ca="1" si="1172"/>
        <v>MASTRO</v>
      </c>
      <c r="CZ1005" s="259" t="e">
        <f t="shared" ca="1" si="1175"/>
        <v>#N/A</v>
      </c>
      <c r="DA1005" s="259" t="str">
        <f t="shared" ca="1" si="1180"/>
        <v/>
      </c>
      <c r="DB1005" s="259" t="str">
        <f t="shared" ca="1" si="1176"/>
        <v/>
      </c>
      <c r="DC1005" s="259" t="str">
        <f t="shared" ca="1" si="1177"/>
        <v/>
      </c>
      <c r="DD1005" s="259" t="str">
        <f t="shared" ca="1" si="1178"/>
        <v/>
      </c>
      <c r="DE1005" s="259" t="str">
        <f t="shared" ca="1" si="1179"/>
        <v/>
      </c>
      <c r="DF1005" s="259">
        <f ca="1">IF(AND(CX1005=$DE$2,$DF$2&lt;&gt;0),0,IF(AND(DB1005&lt;&gt;"",OR(DB1004&lt;&gt;"",DB1006&lt;&gt;"")),MAX($DF$2:DF1004)+1,0))</f>
        <v>0</v>
      </c>
    </row>
    <row r="1006" spans="102:110">
      <c r="CX1006" s="259">
        <f t="shared" ca="1" si="1173"/>
        <v>56</v>
      </c>
      <c r="CY1006" s="259" t="str">
        <f t="shared" ca="1" si="1172"/>
        <v>MASTRO</v>
      </c>
      <c r="CZ1006" s="259" t="e">
        <f t="shared" ca="1" si="1175"/>
        <v>#N/A</v>
      </c>
      <c r="DA1006" s="259" t="str">
        <f t="shared" ca="1" si="1180"/>
        <v/>
      </c>
      <c r="DB1006" s="259" t="str">
        <f t="shared" ca="1" si="1176"/>
        <v/>
      </c>
      <c r="DC1006" s="259" t="str">
        <f t="shared" ca="1" si="1177"/>
        <v/>
      </c>
      <c r="DD1006" s="259" t="str">
        <f t="shared" ca="1" si="1178"/>
        <v/>
      </c>
      <c r="DE1006" s="259" t="str">
        <f t="shared" ca="1" si="1179"/>
        <v/>
      </c>
      <c r="DF1006" s="259">
        <f ca="1">IF(AND(CX1006=$DE$2,$DF$2&lt;&gt;0),0,IF(AND(DB1006&lt;&gt;"",OR(DB1005&lt;&gt;"",DB1007&lt;&gt;"")),MAX($DF$2:DF1005)+1,0))</f>
        <v>0</v>
      </c>
    </row>
    <row r="1007" spans="102:110">
      <c r="CX1007" s="259">
        <f t="shared" ca="1" si="1173"/>
        <v>56</v>
      </c>
      <c r="CY1007" s="259" t="str">
        <f t="shared" ca="1" si="1172"/>
        <v>MASTRO</v>
      </c>
      <c r="CZ1007" s="259" t="e">
        <f t="shared" ca="1" si="1175"/>
        <v>#N/A</v>
      </c>
      <c r="DA1007" s="259" t="str">
        <f t="shared" ca="1" si="1180"/>
        <v/>
      </c>
      <c r="DB1007" s="259" t="str">
        <f t="shared" ca="1" si="1176"/>
        <v/>
      </c>
      <c r="DC1007" s="259" t="str">
        <f t="shared" ca="1" si="1177"/>
        <v/>
      </c>
      <c r="DD1007" s="259" t="str">
        <f t="shared" ca="1" si="1178"/>
        <v/>
      </c>
      <c r="DE1007" s="259" t="str">
        <f t="shared" ca="1" si="1179"/>
        <v/>
      </c>
      <c r="DF1007" s="259">
        <f ca="1">IF(AND(CX1007=$DE$2,$DF$2&lt;&gt;0),0,IF(AND(DB1007&lt;&gt;"",OR(DB1006&lt;&gt;"",DB1008&lt;&gt;"")),MAX($DF$2:DF1006)+1,0))</f>
        <v>0</v>
      </c>
    </row>
    <row r="1008" spans="102:110">
      <c r="CX1008" s="259">
        <f t="shared" ca="1" si="1173"/>
        <v>56</v>
      </c>
      <c r="CY1008" s="259" t="str">
        <f t="shared" ca="1" si="1172"/>
        <v>MASTRO</v>
      </c>
      <c r="CZ1008" s="259" t="e">
        <f t="shared" ca="1" si="1175"/>
        <v>#N/A</v>
      </c>
      <c r="DA1008" s="259" t="str">
        <f t="shared" ca="1" si="1180"/>
        <v/>
      </c>
      <c r="DB1008" s="259" t="str">
        <f t="shared" ca="1" si="1176"/>
        <v/>
      </c>
      <c r="DC1008" s="259" t="str">
        <f t="shared" ca="1" si="1177"/>
        <v/>
      </c>
      <c r="DD1008" s="259" t="str">
        <f t="shared" ca="1" si="1178"/>
        <v/>
      </c>
      <c r="DE1008" s="259" t="str">
        <f t="shared" ca="1" si="1179"/>
        <v/>
      </c>
      <c r="DF1008" s="259">
        <f ca="1">IF(AND(CX1008=$DE$2,$DF$2&lt;&gt;0),0,IF(AND(DB1008&lt;&gt;"",OR(DB1007&lt;&gt;"",DB1009&lt;&gt;"")),MAX($DF$2:DF1007)+1,0))</f>
        <v>0</v>
      </c>
    </row>
    <row r="1009" spans="102:110">
      <c r="CX1009" s="259">
        <f t="shared" ca="1" si="1173"/>
        <v>56</v>
      </c>
      <c r="CY1009" s="259" t="str">
        <f t="shared" ca="1" si="1172"/>
        <v>MASTRO</v>
      </c>
      <c r="CZ1009" s="259" t="e">
        <f t="shared" ca="1" si="1175"/>
        <v>#N/A</v>
      </c>
      <c r="DA1009" s="259" t="str">
        <f t="shared" ca="1" si="1180"/>
        <v/>
      </c>
      <c r="DB1009" s="259" t="str">
        <f t="shared" ca="1" si="1176"/>
        <v/>
      </c>
      <c r="DC1009" s="259" t="str">
        <f t="shared" ca="1" si="1177"/>
        <v/>
      </c>
      <c r="DD1009" s="259" t="str">
        <f t="shared" ca="1" si="1178"/>
        <v/>
      </c>
      <c r="DE1009" s="259" t="str">
        <f t="shared" ca="1" si="1179"/>
        <v/>
      </c>
      <c r="DF1009" s="259">
        <f ca="1">IF(AND(CX1009=$DE$2,$DF$2&lt;&gt;0),0,IF(AND(DB1009&lt;&gt;"",OR(DB1008&lt;&gt;"",DB1010&lt;&gt;"")),MAX($DF$2:DF1008)+1,0))</f>
        <v>0</v>
      </c>
    </row>
    <row r="1010" spans="102:110">
      <c r="CX1010" s="259" t="str">
        <f>IFERROR(IF(CX992+1=1,"",(CX992+1)),"")</f>
        <v/>
      </c>
      <c r="CY1010" s="259" t="str">
        <f t="shared" ca="1" si="1172"/>
        <v>MASTRO</v>
      </c>
      <c r="DB1010" s="259" t="str">
        <f t="shared" ref="DB1010" ca="1" si="1181">CY1010</f>
        <v>MASTRO</v>
      </c>
      <c r="DF1010" s="259">
        <f ca="1">IF(AND(CX1010=$DE$2,$DF$2&lt;&gt;0),0,IF(AND(DB1010&lt;&gt;"",OR(DB1009&lt;&gt;"",DB1011&lt;&gt;"")),MAX($DF$2:DF1009)+1,0))</f>
        <v>0</v>
      </c>
    </row>
    <row r="1011" spans="102:110">
      <c r="CX1011" s="259">
        <f ca="1">$EA$59</f>
        <v>57</v>
      </c>
      <c r="CY1011" s="259" t="str">
        <f t="shared" ca="1" si="1172"/>
        <v>MASTRO</v>
      </c>
      <c r="DA1011" s="259" t="str">
        <f ca="1">IF(CY1010="MASTRO","Conto n.","")</f>
        <v>Conto n.</v>
      </c>
      <c r="DB1011" s="259" t="str">
        <f ca="1">IF(CY1011=0,"",INDEX(PIANO_DEI_CONTI,MATCH(DC1011,DENOMINAZIONE,0),1))</f>
        <v/>
      </c>
      <c r="DC1011" s="259" t="str">
        <f ca="1">IF(OR(CY1011=0,CY1011="mastro"),"",CY1011)</f>
        <v/>
      </c>
      <c r="DD1011" s="259" t="str">
        <f ca="1">IF(AND($DA$2=TRUE,OR(INDEX(PIANO_DEI_CONTI,MATCH($DC1011,DENOMINAZIONE,0),4)="A",INDEX(PIANO_DEI_CONTI,MATCH($DC1011,DENOMINAZIONE,0),4)="D/A"),SUMIFS(AVERE,DENOMINAZIONE_GIORNALE,"="&amp;$DC1011)&gt;SUMIFS(DARE,DENOMINAZIONE_GIORNALE,"="&amp;$DC1011)),CONCATENATE("s ",FIXED(ABS(SUMIFS(AVERE,DENOMINAZIONE_GIORNALE,"="&amp;$DC1011)-SUMIFS(DARE,DENOMINAZIONE_GIORNALE,"="&amp;$DC1011)),2)),"")</f>
        <v/>
      </c>
      <c r="DE1011" s="259" t="str">
        <f ca="1">IF(AND($DA$2=TRUE,OR(INDEX(PIANO_DEI_CONTI,MATCH($DC1011,DENOMINAZIONE,0),4)="D",INDEX(PIANO_DEI_CONTI,MATCH($DC1011,DENOMINAZIONE,0),4)="D/A"),SUMIFS(DARE,DENOMINAZIONE_GIORNALE,"="&amp;$DC1011)&gt;SUMIFS(AVERE,DENOMINAZIONE_GIORNALE,"="&amp;$DC1011)),CONCATENATE("s ",FIXED(ABS(SUMIFS(DARE,DENOMINAZIONE_GIORNALE,"="&amp;$DC1011)-SUMIFS(AVERE,DENOMINAZIONE_GIORNALE,"="&amp;$DC1011)),2)),"")</f>
        <v/>
      </c>
      <c r="DF1011" s="259">
        <f ca="1">IF(AND(CX1011=$DE$2,$DF$2&lt;&gt;0),0,IF(AND(DB1011&lt;&gt;"",OR(DB1010&lt;&gt;"",DB1012&lt;&gt;"")),MAX($DF$2:DF1010)+1,0))</f>
        <v>0</v>
      </c>
    </row>
    <row r="1012" spans="102:110">
      <c r="CX1012" s="259">
        <f t="shared" ref="CX1012:CX1027" ca="1" si="1182">$EA$59</f>
        <v>57</v>
      </c>
      <c r="CY1012" s="259" t="str">
        <f t="shared" ca="1" si="1172"/>
        <v>MASTRO</v>
      </c>
      <c r="DA1012" s="259" t="str">
        <f ca="1">IF(DB1011="","","Num. riga")</f>
        <v/>
      </c>
      <c r="DB1012" s="259" t="str">
        <f t="shared" ref="DB1012" ca="1" si="1183">IF(DB1011="","","Data")</f>
        <v/>
      </c>
      <c r="DC1012" s="259" t="str">
        <f ca="1">IF(DB1011="","","Operazioni")</f>
        <v/>
      </c>
      <c r="DD1012" s="259" t="str">
        <f ca="1">IF(DB1011="","","Dare        ")</f>
        <v/>
      </c>
      <c r="DE1012" s="259" t="str">
        <f ca="1">IF(DB1011="","","Avere        ")</f>
        <v/>
      </c>
      <c r="DF1012" s="259">
        <f ca="1">IF(AND(CX1012=$DE$2,$DF$2&lt;&gt;0),0,IF(AND(DB1012&lt;&gt;"",OR(DB1011&lt;&gt;"",DB1013&lt;&gt;"")),MAX($DF$2:DF1011)+1,0))</f>
        <v>0</v>
      </c>
    </row>
    <row r="1013" spans="102:110">
      <c r="CX1013" s="259">
        <f t="shared" ca="1" si="1182"/>
        <v>57</v>
      </c>
      <c r="CY1013" s="259" t="str">
        <f t="shared" ca="1" si="1172"/>
        <v>MASTRO</v>
      </c>
      <c r="CZ1013" s="259" t="e">
        <f t="shared" ref="CZ1013:CZ1027" ca="1" si="1184">SUM(MATCH($CY1013,INDIRECT(ADDRESS(SUM(CZ1012)+3,54)&amp;":"&amp;ADDRESS(400,54)),0),CZ1012)</f>
        <v>#N/A</v>
      </c>
      <c r="DA1013" s="259" t="str">
        <f ca="1">IFERROR(INDEX(LIBRO_GIORNALE,CZ1013,1),"")</f>
        <v/>
      </c>
      <c r="DB1013" s="259" t="str">
        <f t="shared" ref="DB1013:DB1027" ca="1" si="1185">IF(RIGHT(TEXT(IFERROR(INDEX(LIBRO_GIORNALE,CZ1013,2),""),"gg/mm/aa"),1)="a",TEXT(IFERROR(INDEX(LIBRO_GIORNALE,CZ1013,2),""),"dd/mm/yy"),TEXT(IFERROR(INDEX(LIBRO_GIORNALE,CZ1013,2),""),"gg/mm/aa"))</f>
        <v/>
      </c>
      <c r="DC1013" s="259" t="str">
        <f t="shared" ref="DC1013:DC1027" ca="1" si="1186">IF(IFERROR(INDEX(LIBRO_GIORNALE,CZ1013,4),"")=0,"manca la descrizione dell'operazione",IFERROR(INDEX(LIBRO_GIORNALE,CZ1013,4),""))</f>
        <v/>
      </c>
      <c r="DD1013" s="259" t="str">
        <f t="shared" ref="DD1013:DD1027" ca="1" si="1187">IFERROR(IF(INDEX(LIBRO_GIORNALE,CZ1013,5)&gt;0,INDEX(LIBRO_GIORNALE,CZ1013,5),""),"")</f>
        <v/>
      </c>
      <c r="DE1013" s="259" t="str">
        <f t="shared" ref="DE1013:DE1027" ca="1" si="1188">IFERROR(IF(INDEX(LIBRO_GIORNALE,CZ1013,6)&gt;0,INDEX(LIBRO_GIORNALE,CZ1013,6),""),"")</f>
        <v/>
      </c>
      <c r="DF1013" s="259">
        <f ca="1">IF(AND(CX1013=$DE$2,$DF$2&lt;&gt;0),0,IF(AND(DB1013&lt;&gt;"",OR(DB1012&lt;&gt;"",DB1014&lt;&gt;"")),MAX($DF$2:DF1012)+1,0))</f>
        <v>0</v>
      </c>
    </row>
    <row r="1014" spans="102:110">
      <c r="CX1014" s="259">
        <f t="shared" ca="1" si="1182"/>
        <v>57</v>
      </c>
      <c r="CY1014" s="259" t="str">
        <f t="shared" ca="1" si="1172"/>
        <v>MASTRO</v>
      </c>
      <c r="CZ1014" s="259" t="e">
        <f t="shared" ca="1" si="1184"/>
        <v>#N/A</v>
      </c>
      <c r="DA1014" s="259" t="str">
        <f t="shared" ref="DA1014:DA1027" ca="1" si="1189">IFERROR(INDEX(LIBRO_GIORNALE,CZ1014,1),"")</f>
        <v/>
      </c>
      <c r="DB1014" s="259" t="str">
        <f t="shared" ca="1" si="1185"/>
        <v/>
      </c>
      <c r="DC1014" s="259" t="str">
        <f t="shared" ca="1" si="1186"/>
        <v/>
      </c>
      <c r="DD1014" s="259" t="str">
        <f t="shared" ca="1" si="1187"/>
        <v/>
      </c>
      <c r="DE1014" s="259" t="str">
        <f t="shared" ca="1" si="1188"/>
        <v/>
      </c>
      <c r="DF1014" s="259">
        <f ca="1">IF(AND(CX1014=$DE$2,$DF$2&lt;&gt;0),0,IF(AND(DB1014&lt;&gt;"",OR(DB1013&lt;&gt;"",DB1015&lt;&gt;"")),MAX($DF$2:DF1013)+1,0))</f>
        <v>0</v>
      </c>
    </row>
    <row r="1015" spans="102:110">
      <c r="CX1015" s="259">
        <f t="shared" ca="1" si="1182"/>
        <v>57</v>
      </c>
      <c r="CY1015" s="259" t="str">
        <f t="shared" ca="1" si="1172"/>
        <v>MASTRO</v>
      </c>
      <c r="CZ1015" s="259" t="e">
        <f t="shared" ca="1" si="1184"/>
        <v>#N/A</v>
      </c>
      <c r="DA1015" s="259" t="str">
        <f t="shared" ca="1" si="1189"/>
        <v/>
      </c>
      <c r="DB1015" s="259" t="str">
        <f t="shared" ca="1" si="1185"/>
        <v/>
      </c>
      <c r="DC1015" s="259" t="str">
        <f t="shared" ca="1" si="1186"/>
        <v/>
      </c>
      <c r="DD1015" s="259" t="str">
        <f t="shared" ca="1" si="1187"/>
        <v/>
      </c>
      <c r="DE1015" s="259" t="str">
        <f t="shared" ca="1" si="1188"/>
        <v/>
      </c>
      <c r="DF1015" s="259">
        <f ca="1">IF(AND(CX1015=$DE$2,$DF$2&lt;&gt;0),0,IF(AND(DB1015&lt;&gt;"",OR(DB1014&lt;&gt;"",DB1016&lt;&gt;"")),MAX($DF$2:DF1014)+1,0))</f>
        <v>0</v>
      </c>
    </row>
    <row r="1016" spans="102:110">
      <c r="CX1016" s="259">
        <f t="shared" ca="1" si="1182"/>
        <v>57</v>
      </c>
      <c r="CY1016" s="259" t="str">
        <f t="shared" ca="1" si="1172"/>
        <v>MASTRO</v>
      </c>
      <c r="CZ1016" s="259" t="e">
        <f t="shared" ca="1" si="1184"/>
        <v>#N/A</v>
      </c>
      <c r="DA1016" s="259" t="str">
        <f t="shared" ca="1" si="1189"/>
        <v/>
      </c>
      <c r="DB1016" s="259" t="str">
        <f t="shared" ca="1" si="1185"/>
        <v/>
      </c>
      <c r="DC1016" s="259" t="str">
        <f t="shared" ca="1" si="1186"/>
        <v/>
      </c>
      <c r="DD1016" s="259" t="str">
        <f t="shared" ca="1" si="1187"/>
        <v/>
      </c>
      <c r="DE1016" s="259" t="str">
        <f t="shared" ca="1" si="1188"/>
        <v/>
      </c>
      <c r="DF1016" s="259">
        <f ca="1">IF(AND(CX1016=$DE$2,$DF$2&lt;&gt;0),0,IF(AND(DB1016&lt;&gt;"",OR(DB1015&lt;&gt;"",DB1017&lt;&gt;"")),MAX($DF$2:DF1015)+1,0))</f>
        <v>0</v>
      </c>
    </row>
    <row r="1017" spans="102:110">
      <c r="CX1017" s="259">
        <f t="shared" ca="1" si="1182"/>
        <v>57</v>
      </c>
      <c r="CY1017" s="259" t="str">
        <f t="shared" ca="1" si="1172"/>
        <v>MASTRO</v>
      </c>
      <c r="CZ1017" s="259" t="e">
        <f t="shared" ca="1" si="1184"/>
        <v>#N/A</v>
      </c>
      <c r="DA1017" s="259" t="str">
        <f t="shared" ca="1" si="1189"/>
        <v/>
      </c>
      <c r="DB1017" s="259" t="str">
        <f t="shared" ca="1" si="1185"/>
        <v/>
      </c>
      <c r="DC1017" s="259" t="str">
        <f t="shared" ca="1" si="1186"/>
        <v/>
      </c>
      <c r="DD1017" s="259" t="str">
        <f t="shared" ca="1" si="1187"/>
        <v/>
      </c>
      <c r="DE1017" s="259" t="str">
        <f t="shared" ca="1" si="1188"/>
        <v/>
      </c>
      <c r="DF1017" s="259">
        <f ca="1">IF(AND(CX1017=$DE$2,$DF$2&lt;&gt;0),0,IF(AND(DB1017&lt;&gt;"",OR(DB1016&lt;&gt;"",DB1018&lt;&gt;"")),MAX($DF$2:DF1016)+1,0))</f>
        <v>0</v>
      </c>
    </row>
    <row r="1018" spans="102:110">
      <c r="CX1018" s="259">
        <f t="shared" ca="1" si="1182"/>
        <v>57</v>
      </c>
      <c r="CY1018" s="259" t="str">
        <f t="shared" ca="1" si="1172"/>
        <v>MASTRO</v>
      </c>
      <c r="CZ1018" s="259" t="e">
        <f t="shared" ca="1" si="1184"/>
        <v>#N/A</v>
      </c>
      <c r="DA1018" s="259" t="str">
        <f t="shared" ca="1" si="1189"/>
        <v/>
      </c>
      <c r="DB1018" s="259" t="str">
        <f t="shared" ca="1" si="1185"/>
        <v/>
      </c>
      <c r="DC1018" s="259" t="str">
        <f t="shared" ca="1" si="1186"/>
        <v/>
      </c>
      <c r="DD1018" s="259" t="str">
        <f t="shared" ca="1" si="1187"/>
        <v/>
      </c>
      <c r="DE1018" s="259" t="str">
        <f t="shared" ca="1" si="1188"/>
        <v/>
      </c>
      <c r="DF1018" s="259">
        <f ca="1">IF(AND(CX1018=$DE$2,$DF$2&lt;&gt;0),0,IF(AND(DB1018&lt;&gt;"",OR(DB1017&lt;&gt;"",DB1019&lt;&gt;"")),MAX($DF$2:DF1017)+1,0))</f>
        <v>0</v>
      </c>
    </row>
    <row r="1019" spans="102:110">
      <c r="CX1019" s="259">
        <f t="shared" ca="1" si="1182"/>
        <v>57</v>
      </c>
      <c r="CY1019" s="259" t="str">
        <f t="shared" ca="1" si="1172"/>
        <v>MASTRO</v>
      </c>
      <c r="CZ1019" s="259" t="e">
        <f t="shared" ca="1" si="1184"/>
        <v>#N/A</v>
      </c>
      <c r="DA1019" s="259" t="str">
        <f t="shared" ca="1" si="1189"/>
        <v/>
      </c>
      <c r="DB1019" s="259" t="str">
        <f t="shared" ca="1" si="1185"/>
        <v/>
      </c>
      <c r="DC1019" s="259" t="str">
        <f t="shared" ca="1" si="1186"/>
        <v/>
      </c>
      <c r="DD1019" s="259" t="str">
        <f t="shared" ca="1" si="1187"/>
        <v/>
      </c>
      <c r="DE1019" s="259" t="str">
        <f t="shared" ca="1" si="1188"/>
        <v/>
      </c>
      <c r="DF1019" s="259">
        <f ca="1">IF(AND(CX1019=$DE$2,$DF$2&lt;&gt;0),0,IF(AND(DB1019&lt;&gt;"",OR(DB1018&lt;&gt;"",DB1020&lt;&gt;"")),MAX($DF$2:DF1018)+1,0))</f>
        <v>0</v>
      </c>
    </row>
    <row r="1020" spans="102:110">
      <c r="CX1020" s="259">
        <f t="shared" ca="1" si="1182"/>
        <v>57</v>
      </c>
      <c r="CY1020" s="259" t="str">
        <f t="shared" ca="1" si="1172"/>
        <v>MASTRO</v>
      </c>
      <c r="CZ1020" s="259" t="e">
        <f t="shared" ca="1" si="1184"/>
        <v>#N/A</v>
      </c>
      <c r="DA1020" s="259" t="str">
        <f t="shared" ca="1" si="1189"/>
        <v/>
      </c>
      <c r="DB1020" s="259" t="str">
        <f t="shared" ca="1" si="1185"/>
        <v/>
      </c>
      <c r="DC1020" s="259" t="str">
        <f t="shared" ca="1" si="1186"/>
        <v/>
      </c>
      <c r="DD1020" s="259" t="str">
        <f t="shared" ca="1" si="1187"/>
        <v/>
      </c>
      <c r="DE1020" s="259" t="str">
        <f t="shared" ca="1" si="1188"/>
        <v/>
      </c>
      <c r="DF1020" s="259">
        <f ca="1">IF(AND(CX1020=$DE$2,$DF$2&lt;&gt;0),0,IF(AND(DB1020&lt;&gt;"",OR(DB1019&lt;&gt;"",DB1021&lt;&gt;"")),MAX($DF$2:DF1019)+1,0))</f>
        <v>0</v>
      </c>
    </row>
    <row r="1021" spans="102:110">
      <c r="CX1021" s="259">
        <f t="shared" ca="1" si="1182"/>
        <v>57</v>
      </c>
      <c r="CY1021" s="259" t="str">
        <f t="shared" ca="1" si="1172"/>
        <v>MASTRO</v>
      </c>
      <c r="CZ1021" s="259" t="e">
        <f t="shared" ca="1" si="1184"/>
        <v>#N/A</v>
      </c>
      <c r="DA1021" s="259" t="str">
        <f t="shared" ca="1" si="1189"/>
        <v/>
      </c>
      <c r="DB1021" s="259" t="str">
        <f t="shared" ca="1" si="1185"/>
        <v/>
      </c>
      <c r="DC1021" s="259" t="str">
        <f t="shared" ca="1" si="1186"/>
        <v/>
      </c>
      <c r="DD1021" s="259" t="str">
        <f t="shared" ca="1" si="1187"/>
        <v/>
      </c>
      <c r="DE1021" s="259" t="str">
        <f t="shared" ca="1" si="1188"/>
        <v/>
      </c>
      <c r="DF1021" s="259">
        <f ca="1">IF(AND(CX1021=$DE$2,$DF$2&lt;&gt;0),0,IF(AND(DB1021&lt;&gt;"",OR(DB1020&lt;&gt;"",DB1022&lt;&gt;"")),MAX($DF$2:DF1020)+1,0))</f>
        <v>0</v>
      </c>
    </row>
    <row r="1022" spans="102:110">
      <c r="CX1022" s="259">
        <f t="shared" ca="1" si="1182"/>
        <v>57</v>
      </c>
      <c r="CY1022" s="259" t="str">
        <f t="shared" ca="1" si="1172"/>
        <v>MASTRO</v>
      </c>
      <c r="CZ1022" s="259" t="e">
        <f t="shared" ca="1" si="1184"/>
        <v>#N/A</v>
      </c>
      <c r="DA1022" s="259" t="str">
        <f t="shared" ca="1" si="1189"/>
        <v/>
      </c>
      <c r="DB1022" s="259" t="str">
        <f t="shared" ca="1" si="1185"/>
        <v/>
      </c>
      <c r="DC1022" s="259" t="str">
        <f t="shared" ca="1" si="1186"/>
        <v/>
      </c>
      <c r="DD1022" s="259" t="str">
        <f t="shared" ca="1" si="1187"/>
        <v/>
      </c>
      <c r="DE1022" s="259" t="str">
        <f t="shared" ca="1" si="1188"/>
        <v/>
      </c>
      <c r="DF1022" s="259">
        <f ca="1">IF(AND(CX1022=$DE$2,$DF$2&lt;&gt;0),0,IF(AND(DB1022&lt;&gt;"",OR(DB1021&lt;&gt;"",DB1023&lt;&gt;"")),MAX($DF$2:DF1021)+1,0))</f>
        <v>0</v>
      </c>
    </row>
    <row r="1023" spans="102:110">
      <c r="CX1023" s="259">
        <f t="shared" ca="1" si="1182"/>
        <v>57</v>
      </c>
      <c r="CY1023" s="259" t="str">
        <f t="shared" ca="1" si="1172"/>
        <v>MASTRO</v>
      </c>
      <c r="CZ1023" s="259" t="e">
        <f t="shared" ca="1" si="1184"/>
        <v>#N/A</v>
      </c>
      <c r="DA1023" s="259" t="str">
        <f t="shared" ca="1" si="1189"/>
        <v/>
      </c>
      <c r="DB1023" s="259" t="str">
        <f t="shared" ca="1" si="1185"/>
        <v/>
      </c>
      <c r="DC1023" s="259" t="str">
        <f t="shared" ca="1" si="1186"/>
        <v/>
      </c>
      <c r="DD1023" s="259" t="str">
        <f t="shared" ca="1" si="1187"/>
        <v/>
      </c>
      <c r="DE1023" s="259" t="str">
        <f t="shared" ca="1" si="1188"/>
        <v/>
      </c>
      <c r="DF1023" s="259">
        <f ca="1">IF(AND(CX1023=$DE$2,$DF$2&lt;&gt;0),0,IF(AND(DB1023&lt;&gt;"",OR(DB1022&lt;&gt;"",DB1024&lt;&gt;"")),MAX($DF$2:DF1022)+1,0))</f>
        <v>0</v>
      </c>
    </row>
    <row r="1024" spans="102:110">
      <c r="CX1024" s="259">
        <f t="shared" ca="1" si="1182"/>
        <v>57</v>
      </c>
      <c r="CY1024" s="259" t="str">
        <f t="shared" ca="1" si="1172"/>
        <v>MASTRO</v>
      </c>
      <c r="CZ1024" s="259" t="e">
        <f t="shared" ca="1" si="1184"/>
        <v>#N/A</v>
      </c>
      <c r="DA1024" s="259" t="str">
        <f t="shared" ca="1" si="1189"/>
        <v/>
      </c>
      <c r="DB1024" s="259" t="str">
        <f t="shared" ca="1" si="1185"/>
        <v/>
      </c>
      <c r="DC1024" s="259" t="str">
        <f t="shared" ca="1" si="1186"/>
        <v/>
      </c>
      <c r="DD1024" s="259" t="str">
        <f t="shared" ca="1" si="1187"/>
        <v/>
      </c>
      <c r="DE1024" s="259" t="str">
        <f t="shared" ca="1" si="1188"/>
        <v/>
      </c>
      <c r="DF1024" s="259">
        <f ca="1">IF(AND(CX1024=$DE$2,$DF$2&lt;&gt;0),0,IF(AND(DB1024&lt;&gt;"",OR(DB1023&lt;&gt;"",DB1025&lt;&gt;"")),MAX($DF$2:DF1023)+1,0))</f>
        <v>0</v>
      </c>
    </row>
    <row r="1025" spans="102:110">
      <c r="CX1025" s="259">
        <f t="shared" ca="1" si="1182"/>
        <v>57</v>
      </c>
      <c r="CY1025" s="259" t="str">
        <f t="shared" ca="1" si="1172"/>
        <v>MASTRO</v>
      </c>
      <c r="CZ1025" s="259" t="e">
        <f t="shared" ca="1" si="1184"/>
        <v>#N/A</v>
      </c>
      <c r="DA1025" s="259" t="str">
        <f t="shared" ca="1" si="1189"/>
        <v/>
      </c>
      <c r="DB1025" s="259" t="str">
        <f t="shared" ca="1" si="1185"/>
        <v/>
      </c>
      <c r="DC1025" s="259" t="str">
        <f t="shared" ca="1" si="1186"/>
        <v/>
      </c>
      <c r="DD1025" s="259" t="str">
        <f t="shared" ca="1" si="1187"/>
        <v/>
      </c>
      <c r="DE1025" s="259" t="str">
        <f t="shared" ca="1" si="1188"/>
        <v/>
      </c>
      <c r="DF1025" s="259">
        <f ca="1">IF(AND(CX1025=$DE$2,$DF$2&lt;&gt;0),0,IF(AND(DB1025&lt;&gt;"",OR(DB1024&lt;&gt;"",DB1026&lt;&gt;"")),MAX($DF$2:DF1024)+1,0))</f>
        <v>0</v>
      </c>
    </row>
    <row r="1026" spans="102:110">
      <c r="CX1026" s="259">
        <f t="shared" ca="1" si="1182"/>
        <v>57</v>
      </c>
      <c r="CY1026" s="259" t="str">
        <f t="shared" ca="1" si="1172"/>
        <v>MASTRO</v>
      </c>
      <c r="CZ1026" s="259" t="e">
        <f t="shared" ca="1" si="1184"/>
        <v>#N/A</v>
      </c>
      <c r="DA1026" s="259" t="str">
        <f t="shared" ca="1" si="1189"/>
        <v/>
      </c>
      <c r="DB1026" s="259" t="str">
        <f t="shared" ca="1" si="1185"/>
        <v/>
      </c>
      <c r="DC1026" s="259" t="str">
        <f t="shared" ca="1" si="1186"/>
        <v/>
      </c>
      <c r="DD1026" s="259" t="str">
        <f t="shared" ca="1" si="1187"/>
        <v/>
      </c>
      <c r="DE1026" s="259" t="str">
        <f t="shared" ca="1" si="1188"/>
        <v/>
      </c>
      <c r="DF1026" s="259">
        <f ca="1">IF(AND(CX1026=$DE$2,$DF$2&lt;&gt;0),0,IF(AND(DB1026&lt;&gt;"",OR(DB1025&lt;&gt;"",DB1027&lt;&gt;"")),MAX($DF$2:DF1025)+1,0))</f>
        <v>0</v>
      </c>
    </row>
    <row r="1027" spans="102:110">
      <c r="CX1027" s="259">
        <f t="shared" ca="1" si="1182"/>
        <v>57</v>
      </c>
      <c r="CY1027" s="259" t="str">
        <f t="shared" ca="1" si="1172"/>
        <v>MASTRO</v>
      </c>
      <c r="CZ1027" s="259" t="e">
        <f t="shared" ca="1" si="1184"/>
        <v>#N/A</v>
      </c>
      <c r="DA1027" s="259" t="str">
        <f t="shared" ca="1" si="1189"/>
        <v/>
      </c>
      <c r="DB1027" s="259" t="str">
        <f t="shared" ca="1" si="1185"/>
        <v/>
      </c>
      <c r="DC1027" s="259" t="str">
        <f t="shared" ca="1" si="1186"/>
        <v/>
      </c>
      <c r="DD1027" s="259" t="str">
        <f t="shared" ca="1" si="1187"/>
        <v/>
      </c>
      <c r="DE1027" s="259" t="str">
        <f t="shared" ca="1" si="1188"/>
        <v/>
      </c>
      <c r="DF1027" s="259">
        <f ca="1">IF(AND(CX1027=$DE$2,$DF$2&lt;&gt;0),0,IF(AND(DB1027&lt;&gt;"",OR(DB1026&lt;&gt;"",DB1028&lt;&gt;"")),MAX($DF$2:DF1026)+1,0))</f>
        <v>0</v>
      </c>
    </row>
    <row r="1028" spans="102:110">
      <c r="CX1028" s="259" t="str">
        <f>IFERROR(IF(CX1010+1=1,"",(CX1010+1)),"")</f>
        <v/>
      </c>
      <c r="CY1028" s="259" t="str">
        <f t="shared" ref="CY1028:CY1062" ca="1" si="1190">IF(ISERROR(INDEX($CV$3:$CX$2300,MATCH(CX1028,$CW$3:$CW$2300,0),1)),"MASTRO",INDEX($CV$3:$CX$2300,MATCH(CX1028,$CW$3:$CW$2300,0),1))</f>
        <v>MASTRO</v>
      </c>
      <c r="DB1028" s="259" t="str">
        <f t="shared" ref="DB1028" ca="1" si="1191">CY1028</f>
        <v>MASTRO</v>
      </c>
      <c r="DF1028" s="259">
        <f ca="1">IF(AND(CX1028=$DE$2,$DF$2&lt;&gt;0),0,IF(AND(DB1028&lt;&gt;"",OR(DB1027&lt;&gt;"",DB1029&lt;&gt;"")),MAX($DF$2:DF1027)+1,0))</f>
        <v>0</v>
      </c>
    </row>
    <row r="1029" spans="102:110">
      <c r="CX1029" s="259">
        <f ca="1">$EA$60</f>
        <v>58</v>
      </c>
      <c r="CY1029" s="259" t="str">
        <f t="shared" ca="1" si="1190"/>
        <v>MASTRO</v>
      </c>
      <c r="DA1029" s="259" t="str">
        <f ca="1">IF(CY1028="MASTRO","Conto n.","")</f>
        <v>Conto n.</v>
      </c>
      <c r="DB1029" s="259" t="str">
        <f ca="1">IF(CY1029=0,"",INDEX(PIANO_DEI_CONTI,MATCH(DC1029,DENOMINAZIONE,0),1))</f>
        <v/>
      </c>
      <c r="DC1029" s="259" t="str">
        <f ca="1">IF(OR(CY1029=0,CY1029="mastro"),"",CY1029)</f>
        <v/>
      </c>
      <c r="DD1029" s="259" t="str">
        <f ca="1">IF(AND($DA$2=TRUE,OR(INDEX(PIANO_DEI_CONTI,MATCH($DC1029,DENOMINAZIONE,0),4)="A",INDEX(PIANO_DEI_CONTI,MATCH($DC1029,DENOMINAZIONE,0),4)="D/A"),SUMIFS(AVERE,DENOMINAZIONE_GIORNALE,"="&amp;$DC1029)&gt;SUMIFS(DARE,DENOMINAZIONE_GIORNALE,"="&amp;$DC1029)),CONCATENATE("s ",FIXED(ABS(SUMIFS(AVERE,DENOMINAZIONE_GIORNALE,"="&amp;$DC1029)-SUMIFS(DARE,DENOMINAZIONE_GIORNALE,"="&amp;$DC1029)),2)),"")</f>
        <v/>
      </c>
      <c r="DE1029" s="259" t="str">
        <f ca="1">IF(AND($DA$2=TRUE,OR(INDEX(PIANO_DEI_CONTI,MATCH($DC1029,DENOMINAZIONE,0),4)="D",INDEX(PIANO_DEI_CONTI,MATCH($DC1029,DENOMINAZIONE,0),4)="D/A"),SUMIFS(DARE,DENOMINAZIONE_GIORNALE,"="&amp;$DC1029)&gt;SUMIFS(AVERE,DENOMINAZIONE_GIORNALE,"="&amp;$DC1029)),CONCATENATE("s ",FIXED(ABS(SUMIFS(DARE,DENOMINAZIONE_GIORNALE,"="&amp;$DC1029)-SUMIFS(AVERE,DENOMINAZIONE_GIORNALE,"="&amp;$DC1029)),2)),"")</f>
        <v/>
      </c>
      <c r="DF1029" s="259">
        <f ca="1">IF(AND(CX1029=$DE$2,$DF$2&lt;&gt;0),0,IF(AND(DB1029&lt;&gt;"",OR(DB1028&lt;&gt;"",DB1030&lt;&gt;"")),MAX($DF$2:DF1028)+1,0))</f>
        <v>0</v>
      </c>
    </row>
    <row r="1030" spans="102:110">
      <c r="CX1030" s="259">
        <f t="shared" ref="CX1030:CX1045" ca="1" si="1192">$EA$60</f>
        <v>58</v>
      </c>
      <c r="CY1030" s="259" t="str">
        <f t="shared" ca="1" si="1190"/>
        <v>MASTRO</v>
      </c>
      <c r="DA1030" s="259" t="str">
        <f ca="1">IF(DB1029="","","Num. riga")</f>
        <v/>
      </c>
      <c r="DB1030" s="259" t="str">
        <f t="shared" ref="DB1030" ca="1" si="1193">IF(DB1029="","","Data")</f>
        <v/>
      </c>
      <c r="DC1030" s="259" t="str">
        <f ca="1">IF(DB1029="","","Operazioni")</f>
        <v/>
      </c>
      <c r="DD1030" s="259" t="str">
        <f ca="1">IF(DB1029="","","Dare        ")</f>
        <v/>
      </c>
      <c r="DE1030" s="259" t="str">
        <f ca="1">IF(DB1029="","","Avere        ")</f>
        <v/>
      </c>
      <c r="DF1030" s="259">
        <f ca="1">IF(AND(CX1030=$DE$2,$DF$2&lt;&gt;0),0,IF(AND(DB1030&lt;&gt;"",OR(DB1029&lt;&gt;"",DB1031&lt;&gt;"")),MAX($DF$2:DF1029)+1,0))</f>
        <v>0</v>
      </c>
    </row>
    <row r="1031" spans="102:110">
      <c r="CX1031" s="259">
        <f t="shared" ca="1" si="1192"/>
        <v>58</v>
      </c>
      <c r="CY1031" s="259" t="str">
        <f t="shared" ca="1" si="1190"/>
        <v>MASTRO</v>
      </c>
      <c r="CZ1031" s="259" t="e">
        <f t="shared" ref="CZ1031:CZ1045" ca="1" si="1194">SUM(MATCH($CY1031,INDIRECT(ADDRESS(SUM(CZ1030)+3,54)&amp;":"&amp;ADDRESS(400,54)),0),CZ1030)</f>
        <v>#N/A</v>
      </c>
      <c r="DA1031" s="259" t="str">
        <f ca="1">IFERROR(INDEX(LIBRO_GIORNALE,CZ1031,1),"")</f>
        <v/>
      </c>
      <c r="DB1031" s="259" t="str">
        <f t="shared" ref="DB1031:DB1045" ca="1" si="1195">IF(RIGHT(TEXT(IFERROR(INDEX(LIBRO_GIORNALE,CZ1031,2),""),"gg/mm/aa"),1)="a",TEXT(IFERROR(INDEX(LIBRO_GIORNALE,CZ1031,2),""),"dd/mm/yy"),TEXT(IFERROR(INDEX(LIBRO_GIORNALE,CZ1031,2),""),"gg/mm/aa"))</f>
        <v/>
      </c>
      <c r="DC1031" s="259" t="str">
        <f t="shared" ref="DC1031:DC1045" ca="1" si="1196">IF(IFERROR(INDEX(LIBRO_GIORNALE,CZ1031,4),"")=0,"manca la descrizione dell'operazione",IFERROR(INDEX(LIBRO_GIORNALE,CZ1031,4),""))</f>
        <v/>
      </c>
      <c r="DD1031" s="259" t="str">
        <f t="shared" ref="DD1031:DD1045" ca="1" si="1197">IFERROR(IF(INDEX(LIBRO_GIORNALE,CZ1031,5)&gt;0,INDEX(LIBRO_GIORNALE,CZ1031,5),""),"")</f>
        <v/>
      </c>
      <c r="DE1031" s="259" t="str">
        <f t="shared" ref="DE1031:DE1045" ca="1" si="1198">IFERROR(IF(INDEX(LIBRO_GIORNALE,CZ1031,6)&gt;0,INDEX(LIBRO_GIORNALE,CZ1031,6),""),"")</f>
        <v/>
      </c>
      <c r="DF1031" s="259">
        <f ca="1">IF(AND(CX1031=$DE$2,$DF$2&lt;&gt;0),0,IF(AND(DB1031&lt;&gt;"",OR(DB1030&lt;&gt;"",DB1032&lt;&gt;"")),MAX($DF$2:DF1030)+1,0))</f>
        <v>0</v>
      </c>
    </row>
    <row r="1032" spans="102:110">
      <c r="CX1032" s="259">
        <f t="shared" ca="1" si="1192"/>
        <v>58</v>
      </c>
      <c r="CY1032" s="259" t="str">
        <f t="shared" ca="1" si="1190"/>
        <v>MASTRO</v>
      </c>
      <c r="CZ1032" s="259" t="e">
        <f t="shared" ca="1" si="1194"/>
        <v>#N/A</v>
      </c>
      <c r="DA1032" s="259" t="str">
        <f t="shared" ref="DA1032:DA1045" ca="1" si="1199">IFERROR(INDEX(LIBRO_GIORNALE,CZ1032,1),"")</f>
        <v/>
      </c>
      <c r="DB1032" s="259" t="str">
        <f t="shared" ca="1" si="1195"/>
        <v/>
      </c>
      <c r="DC1032" s="259" t="str">
        <f t="shared" ca="1" si="1196"/>
        <v/>
      </c>
      <c r="DD1032" s="259" t="str">
        <f t="shared" ca="1" si="1197"/>
        <v/>
      </c>
      <c r="DE1032" s="259" t="str">
        <f t="shared" ca="1" si="1198"/>
        <v/>
      </c>
      <c r="DF1032" s="259">
        <f ca="1">IF(AND(CX1032=$DE$2,$DF$2&lt;&gt;0),0,IF(AND(DB1032&lt;&gt;"",OR(DB1031&lt;&gt;"",DB1033&lt;&gt;"")),MAX($DF$2:DF1031)+1,0))</f>
        <v>0</v>
      </c>
    </row>
    <row r="1033" spans="102:110">
      <c r="CX1033" s="259">
        <f t="shared" ca="1" si="1192"/>
        <v>58</v>
      </c>
      <c r="CY1033" s="259" t="str">
        <f t="shared" ca="1" si="1190"/>
        <v>MASTRO</v>
      </c>
      <c r="CZ1033" s="259" t="e">
        <f t="shared" ca="1" si="1194"/>
        <v>#N/A</v>
      </c>
      <c r="DA1033" s="259" t="str">
        <f t="shared" ca="1" si="1199"/>
        <v/>
      </c>
      <c r="DB1033" s="259" t="str">
        <f t="shared" ca="1" si="1195"/>
        <v/>
      </c>
      <c r="DC1033" s="259" t="str">
        <f t="shared" ca="1" si="1196"/>
        <v/>
      </c>
      <c r="DD1033" s="259" t="str">
        <f t="shared" ca="1" si="1197"/>
        <v/>
      </c>
      <c r="DE1033" s="259" t="str">
        <f t="shared" ca="1" si="1198"/>
        <v/>
      </c>
      <c r="DF1033" s="259">
        <f ca="1">IF(AND(CX1033=$DE$2,$DF$2&lt;&gt;0),0,IF(AND(DB1033&lt;&gt;"",OR(DB1032&lt;&gt;"",DB1034&lt;&gt;"")),MAX($DF$2:DF1032)+1,0))</f>
        <v>0</v>
      </c>
    </row>
    <row r="1034" spans="102:110">
      <c r="CX1034" s="259">
        <f t="shared" ca="1" si="1192"/>
        <v>58</v>
      </c>
      <c r="CY1034" s="259" t="str">
        <f t="shared" ca="1" si="1190"/>
        <v>MASTRO</v>
      </c>
      <c r="CZ1034" s="259" t="e">
        <f t="shared" ca="1" si="1194"/>
        <v>#N/A</v>
      </c>
      <c r="DA1034" s="259" t="str">
        <f t="shared" ca="1" si="1199"/>
        <v/>
      </c>
      <c r="DB1034" s="259" t="str">
        <f t="shared" ca="1" si="1195"/>
        <v/>
      </c>
      <c r="DC1034" s="259" t="str">
        <f t="shared" ca="1" si="1196"/>
        <v/>
      </c>
      <c r="DD1034" s="259" t="str">
        <f t="shared" ca="1" si="1197"/>
        <v/>
      </c>
      <c r="DE1034" s="259" t="str">
        <f t="shared" ca="1" si="1198"/>
        <v/>
      </c>
      <c r="DF1034" s="259">
        <f ca="1">IF(AND(CX1034=$DE$2,$DF$2&lt;&gt;0),0,IF(AND(DB1034&lt;&gt;"",OR(DB1033&lt;&gt;"",DB1035&lt;&gt;"")),MAX($DF$2:DF1033)+1,0))</f>
        <v>0</v>
      </c>
    </row>
    <row r="1035" spans="102:110">
      <c r="CX1035" s="259">
        <f t="shared" ca="1" si="1192"/>
        <v>58</v>
      </c>
      <c r="CY1035" s="259" t="str">
        <f t="shared" ca="1" si="1190"/>
        <v>MASTRO</v>
      </c>
      <c r="CZ1035" s="259" t="e">
        <f t="shared" ca="1" si="1194"/>
        <v>#N/A</v>
      </c>
      <c r="DA1035" s="259" t="str">
        <f t="shared" ca="1" si="1199"/>
        <v/>
      </c>
      <c r="DB1035" s="259" t="str">
        <f t="shared" ca="1" si="1195"/>
        <v/>
      </c>
      <c r="DC1035" s="259" t="str">
        <f t="shared" ca="1" si="1196"/>
        <v/>
      </c>
      <c r="DD1035" s="259" t="str">
        <f t="shared" ca="1" si="1197"/>
        <v/>
      </c>
      <c r="DE1035" s="259" t="str">
        <f t="shared" ca="1" si="1198"/>
        <v/>
      </c>
      <c r="DF1035" s="259">
        <f ca="1">IF(AND(CX1035=$DE$2,$DF$2&lt;&gt;0),0,IF(AND(DB1035&lt;&gt;"",OR(DB1034&lt;&gt;"",DB1036&lt;&gt;"")),MAX($DF$2:DF1034)+1,0))</f>
        <v>0</v>
      </c>
    </row>
    <row r="1036" spans="102:110">
      <c r="CX1036" s="259">
        <f t="shared" ca="1" si="1192"/>
        <v>58</v>
      </c>
      <c r="CY1036" s="259" t="str">
        <f t="shared" ca="1" si="1190"/>
        <v>MASTRO</v>
      </c>
      <c r="CZ1036" s="259" t="e">
        <f t="shared" ca="1" si="1194"/>
        <v>#N/A</v>
      </c>
      <c r="DA1036" s="259" t="str">
        <f t="shared" ca="1" si="1199"/>
        <v/>
      </c>
      <c r="DB1036" s="259" t="str">
        <f t="shared" ca="1" si="1195"/>
        <v/>
      </c>
      <c r="DC1036" s="259" t="str">
        <f t="shared" ca="1" si="1196"/>
        <v/>
      </c>
      <c r="DD1036" s="259" t="str">
        <f t="shared" ca="1" si="1197"/>
        <v/>
      </c>
      <c r="DE1036" s="259" t="str">
        <f t="shared" ca="1" si="1198"/>
        <v/>
      </c>
      <c r="DF1036" s="259">
        <f ca="1">IF(AND(CX1036=$DE$2,$DF$2&lt;&gt;0),0,IF(AND(DB1036&lt;&gt;"",OR(DB1035&lt;&gt;"",DB1037&lt;&gt;"")),MAX($DF$2:DF1035)+1,0))</f>
        <v>0</v>
      </c>
    </row>
    <row r="1037" spans="102:110">
      <c r="CX1037" s="259">
        <f t="shared" ca="1" si="1192"/>
        <v>58</v>
      </c>
      <c r="CY1037" s="259" t="str">
        <f t="shared" ca="1" si="1190"/>
        <v>MASTRO</v>
      </c>
      <c r="CZ1037" s="259" t="e">
        <f t="shared" ca="1" si="1194"/>
        <v>#N/A</v>
      </c>
      <c r="DA1037" s="259" t="str">
        <f t="shared" ca="1" si="1199"/>
        <v/>
      </c>
      <c r="DB1037" s="259" t="str">
        <f t="shared" ca="1" si="1195"/>
        <v/>
      </c>
      <c r="DC1037" s="259" t="str">
        <f t="shared" ca="1" si="1196"/>
        <v/>
      </c>
      <c r="DD1037" s="259" t="str">
        <f t="shared" ca="1" si="1197"/>
        <v/>
      </c>
      <c r="DE1037" s="259" t="str">
        <f t="shared" ca="1" si="1198"/>
        <v/>
      </c>
      <c r="DF1037" s="259">
        <f ca="1">IF(AND(CX1037=$DE$2,$DF$2&lt;&gt;0),0,IF(AND(DB1037&lt;&gt;"",OR(DB1036&lt;&gt;"",DB1038&lt;&gt;"")),MAX($DF$2:DF1036)+1,0))</f>
        <v>0</v>
      </c>
    </row>
    <row r="1038" spans="102:110">
      <c r="CX1038" s="259">
        <f t="shared" ca="1" si="1192"/>
        <v>58</v>
      </c>
      <c r="CY1038" s="259" t="str">
        <f t="shared" ca="1" si="1190"/>
        <v>MASTRO</v>
      </c>
      <c r="CZ1038" s="259" t="e">
        <f t="shared" ca="1" si="1194"/>
        <v>#N/A</v>
      </c>
      <c r="DA1038" s="259" t="str">
        <f t="shared" ca="1" si="1199"/>
        <v/>
      </c>
      <c r="DB1038" s="259" t="str">
        <f t="shared" ca="1" si="1195"/>
        <v/>
      </c>
      <c r="DC1038" s="259" t="str">
        <f t="shared" ca="1" si="1196"/>
        <v/>
      </c>
      <c r="DD1038" s="259" t="str">
        <f t="shared" ca="1" si="1197"/>
        <v/>
      </c>
      <c r="DE1038" s="259" t="str">
        <f t="shared" ca="1" si="1198"/>
        <v/>
      </c>
      <c r="DF1038" s="259">
        <f ca="1">IF(AND(CX1038=$DE$2,$DF$2&lt;&gt;0),0,IF(AND(DB1038&lt;&gt;"",OR(DB1037&lt;&gt;"",DB1039&lt;&gt;"")),MAX($DF$2:DF1037)+1,0))</f>
        <v>0</v>
      </c>
    </row>
    <row r="1039" spans="102:110">
      <c r="CX1039" s="259">
        <f t="shared" ca="1" si="1192"/>
        <v>58</v>
      </c>
      <c r="CY1039" s="259" t="str">
        <f t="shared" ca="1" si="1190"/>
        <v>MASTRO</v>
      </c>
      <c r="CZ1039" s="259" t="e">
        <f t="shared" ca="1" si="1194"/>
        <v>#N/A</v>
      </c>
      <c r="DA1039" s="259" t="str">
        <f t="shared" ca="1" si="1199"/>
        <v/>
      </c>
      <c r="DB1039" s="259" t="str">
        <f t="shared" ca="1" si="1195"/>
        <v/>
      </c>
      <c r="DC1039" s="259" t="str">
        <f t="shared" ca="1" si="1196"/>
        <v/>
      </c>
      <c r="DD1039" s="259" t="str">
        <f t="shared" ca="1" si="1197"/>
        <v/>
      </c>
      <c r="DE1039" s="259" t="str">
        <f t="shared" ca="1" si="1198"/>
        <v/>
      </c>
      <c r="DF1039" s="259">
        <f ca="1">IF(AND(CX1039=$DE$2,$DF$2&lt;&gt;0),0,IF(AND(DB1039&lt;&gt;"",OR(DB1038&lt;&gt;"",DB1040&lt;&gt;"")),MAX($DF$2:DF1038)+1,0))</f>
        <v>0</v>
      </c>
    </row>
    <row r="1040" spans="102:110">
      <c r="CX1040" s="259">
        <f t="shared" ca="1" si="1192"/>
        <v>58</v>
      </c>
      <c r="CY1040" s="259" t="str">
        <f t="shared" ca="1" si="1190"/>
        <v>MASTRO</v>
      </c>
      <c r="CZ1040" s="259" t="e">
        <f t="shared" ca="1" si="1194"/>
        <v>#N/A</v>
      </c>
      <c r="DA1040" s="259" t="str">
        <f t="shared" ca="1" si="1199"/>
        <v/>
      </c>
      <c r="DB1040" s="259" t="str">
        <f t="shared" ca="1" si="1195"/>
        <v/>
      </c>
      <c r="DC1040" s="259" t="str">
        <f t="shared" ca="1" si="1196"/>
        <v/>
      </c>
      <c r="DD1040" s="259" t="str">
        <f t="shared" ca="1" si="1197"/>
        <v/>
      </c>
      <c r="DE1040" s="259" t="str">
        <f t="shared" ca="1" si="1198"/>
        <v/>
      </c>
      <c r="DF1040" s="259">
        <f ca="1">IF(AND(CX1040=$DE$2,$DF$2&lt;&gt;0),0,IF(AND(DB1040&lt;&gt;"",OR(DB1039&lt;&gt;"",DB1041&lt;&gt;"")),MAX($DF$2:DF1039)+1,0))</f>
        <v>0</v>
      </c>
    </row>
    <row r="1041" spans="102:110">
      <c r="CX1041" s="259">
        <f t="shared" ca="1" si="1192"/>
        <v>58</v>
      </c>
      <c r="CY1041" s="259" t="str">
        <f t="shared" ca="1" si="1190"/>
        <v>MASTRO</v>
      </c>
      <c r="CZ1041" s="259" t="e">
        <f t="shared" ca="1" si="1194"/>
        <v>#N/A</v>
      </c>
      <c r="DA1041" s="259" t="str">
        <f t="shared" ca="1" si="1199"/>
        <v/>
      </c>
      <c r="DB1041" s="259" t="str">
        <f t="shared" ca="1" si="1195"/>
        <v/>
      </c>
      <c r="DC1041" s="259" t="str">
        <f t="shared" ca="1" si="1196"/>
        <v/>
      </c>
      <c r="DD1041" s="259" t="str">
        <f t="shared" ca="1" si="1197"/>
        <v/>
      </c>
      <c r="DE1041" s="259" t="str">
        <f t="shared" ca="1" si="1198"/>
        <v/>
      </c>
      <c r="DF1041" s="259">
        <f ca="1">IF(AND(CX1041=$DE$2,$DF$2&lt;&gt;0),0,IF(AND(DB1041&lt;&gt;"",OR(DB1040&lt;&gt;"",DB1042&lt;&gt;"")),MAX($DF$2:DF1040)+1,0))</f>
        <v>0</v>
      </c>
    </row>
    <row r="1042" spans="102:110">
      <c r="CX1042" s="259">
        <f t="shared" ca="1" si="1192"/>
        <v>58</v>
      </c>
      <c r="CY1042" s="259" t="str">
        <f t="shared" ca="1" si="1190"/>
        <v>MASTRO</v>
      </c>
      <c r="CZ1042" s="259" t="e">
        <f t="shared" ca="1" si="1194"/>
        <v>#N/A</v>
      </c>
      <c r="DA1042" s="259" t="str">
        <f t="shared" ca="1" si="1199"/>
        <v/>
      </c>
      <c r="DB1042" s="259" t="str">
        <f t="shared" ca="1" si="1195"/>
        <v/>
      </c>
      <c r="DC1042" s="259" t="str">
        <f t="shared" ca="1" si="1196"/>
        <v/>
      </c>
      <c r="DD1042" s="259" t="str">
        <f t="shared" ca="1" si="1197"/>
        <v/>
      </c>
      <c r="DE1042" s="259" t="str">
        <f t="shared" ca="1" si="1198"/>
        <v/>
      </c>
      <c r="DF1042" s="259">
        <f ca="1">IF(AND(CX1042=$DE$2,$DF$2&lt;&gt;0),0,IF(AND(DB1042&lt;&gt;"",OR(DB1041&lt;&gt;"",DB1043&lt;&gt;"")),MAX($DF$2:DF1041)+1,0))</f>
        <v>0</v>
      </c>
    </row>
    <row r="1043" spans="102:110">
      <c r="CX1043" s="259">
        <f t="shared" ca="1" si="1192"/>
        <v>58</v>
      </c>
      <c r="CY1043" s="259" t="str">
        <f t="shared" ca="1" si="1190"/>
        <v>MASTRO</v>
      </c>
      <c r="CZ1043" s="259" t="e">
        <f t="shared" ca="1" si="1194"/>
        <v>#N/A</v>
      </c>
      <c r="DA1043" s="259" t="str">
        <f t="shared" ca="1" si="1199"/>
        <v/>
      </c>
      <c r="DB1043" s="259" t="str">
        <f t="shared" ca="1" si="1195"/>
        <v/>
      </c>
      <c r="DC1043" s="259" t="str">
        <f t="shared" ca="1" si="1196"/>
        <v/>
      </c>
      <c r="DD1043" s="259" t="str">
        <f t="shared" ca="1" si="1197"/>
        <v/>
      </c>
      <c r="DE1043" s="259" t="str">
        <f t="shared" ca="1" si="1198"/>
        <v/>
      </c>
      <c r="DF1043" s="259">
        <f ca="1">IF(AND(CX1043=$DE$2,$DF$2&lt;&gt;0),0,IF(AND(DB1043&lt;&gt;"",OR(DB1042&lt;&gt;"",DB1044&lt;&gt;"")),MAX($DF$2:DF1042)+1,0))</f>
        <v>0</v>
      </c>
    </row>
    <row r="1044" spans="102:110">
      <c r="CX1044" s="259">
        <f t="shared" ca="1" si="1192"/>
        <v>58</v>
      </c>
      <c r="CY1044" s="259" t="str">
        <f t="shared" ca="1" si="1190"/>
        <v>MASTRO</v>
      </c>
      <c r="CZ1044" s="259" t="e">
        <f t="shared" ca="1" si="1194"/>
        <v>#N/A</v>
      </c>
      <c r="DA1044" s="259" t="str">
        <f t="shared" ca="1" si="1199"/>
        <v/>
      </c>
      <c r="DB1044" s="259" t="str">
        <f t="shared" ca="1" si="1195"/>
        <v/>
      </c>
      <c r="DC1044" s="259" t="str">
        <f t="shared" ca="1" si="1196"/>
        <v/>
      </c>
      <c r="DD1044" s="259" t="str">
        <f t="shared" ca="1" si="1197"/>
        <v/>
      </c>
      <c r="DE1044" s="259" t="str">
        <f t="shared" ca="1" si="1198"/>
        <v/>
      </c>
      <c r="DF1044" s="259">
        <f ca="1">IF(AND(CX1044=$DE$2,$DF$2&lt;&gt;0),0,IF(AND(DB1044&lt;&gt;"",OR(DB1043&lt;&gt;"",DB1045&lt;&gt;"")),MAX($DF$2:DF1043)+1,0))</f>
        <v>0</v>
      </c>
    </row>
    <row r="1045" spans="102:110">
      <c r="CX1045" s="259">
        <f t="shared" ca="1" si="1192"/>
        <v>58</v>
      </c>
      <c r="CY1045" s="259" t="str">
        <f t="shared" ca="1" si="1190"/>
        <v>MASTRO</v>
      </c>
      <c r="CZ1045" s="259" t="e">
        <f t="shared" ca="1" si="1194"/>
        <v>#N/A</v>
      </c>
      <c r="DA1045" s="259" t="str">
        <f t="shared" ca="1" si="1199"/>
        <v/>
      </c>
      <c r="DB1045" s="259" t="str">
        <f t="shared" ca="1" si="1195"/>
        <v/>
      </c>
      <c r="DC1045" s="259" t="str">
        <f t="shared" ca="1" si="1196"/>
        <v/>
      </c>
      <c r="DD1045" s="259" t="str">
        <f t="shared" ca="1" si="1197"/>
        <v/>
      </c>
      <c r="DE1045" s="259" t="str">
        <f t="shared" ca="1" si="1198"/>
        <v/>
      </c>
      <c r="DF1045" s="259">
        <f ca="1">IF(AND(CX1045=$DE$2,$DF$2&lt;&gt;0),0,IF(AND(DB1045&lt;&gt;"",OR(DB1044&lt;&gt;"",DB1046&lt;&gt;"")),MAX($DF$2:DF1044)+1,0))</f>
        <v>0</v>
      </c>
    </row>
    <row r="1046" spans="102:110">
      <c r="CX1046" s="259" t="str">
        <f>IFERROR(IF(CX1028+1=1,"",(CX1028+1)),"")</f>
        <v/>
      </c>
      <c r="CY1046" s="259" t="str">
        <f t="shared" ca="1" si="1190"/>
        <v>MASTRO</v>
      </c>
      <c r="DB1046" s="259" t="str">
        <f t="shared" ref="DB1046" ca="1" si="1200">CY1046</f>
        <v>MASTRO</v>
      </c>
      <c r="DF1046" s="259">
        <f ca="1">IF(AND(CX1046=$DE$2,$DF$2&lt;&gt;0),0,IF(AND(DB1046&lt;&gt;"",OR(DB1045&lt;&gt;"",DB1047&lt;&gt;"")),MAX($DF$2:DF1045)+1,0))</f>
        <v>0</v>
      </c>
    </row>
    <row r="1047" spans="102:110">
      <c r="CX1047" s="259">
        <f ca="1">$EA$61</f>
        <v>59</v>
      </c>
      <c r="CY1047" s="259" t="str">
        <f t="shared" ca="1" si="1190"/>
        <v>MASTRO</v>
      </c>
      <c r="DA1047" s="259" t="str">
        <f ca="1">IF(CY1046="MASTRO","Conto n.","")</f>
        <v>Conto n.</v>
      </c>
      <c r="DB1047" s="259" t="str">
        <f ca="1">IF(CY1047=0,"",INDEX(PIANO_DEI_CONTI,MATCH(DC1047,DENOMINAZIONE,0),1))</f>
        <v/>
      </c>
      <c r="DC1047" s="259" t="str">
        <f ca="1">IF(OR(CY1047=0,CY1047="mastro"),"",CY1047)</f>
        <v/>
      </c>
      <c r="DD1047" s="259" t="str">
        <f ca="1">IF(AND($DA$2=TRUE,OR(INDEX(PIANO_DEI_CONTI,MATCH($DC1047,DENOMINAZIONE,0),4)="A",INDEX(PIANO_DEI_CONTI,MATCH($DC1047,DENOMINAZIONE,0),4)="D/A"),SUMIFS(AVERE,DENOMINAZIONE_GIORNALE,"="&amp;$DC1047)&gt;SUMIFS(DARE,DENOMINAZIONE_GIORNALE,"="&amp;$DC1047)),CONCATENATE("s ",FIXED(ABS(SUMIFS(AVERE,DENOMINAZIONE_GIORNALE,"="&amp;$DC1047)-SUMIFS(DARE,DENOMINAZIONE_GIORNALE,"="&amp;$DC1047)),2)),"")</f>
        <v/>
      </c>
      <c r="DE1047" s="259" t="str">
        <f ca="1">IF(AND($DA$2=TRUE,OR(INDEX(PIANO_DEI_CONTI,MATCH($DC1047,DENOMINAZIONE,0),4)="D",INDEX(PIANO_DEI_CONTI,MATCH($DC1047,DENOMINAZIONE,0),4)="D/A"),SUMIFS(DARE,DENOMINAZIONE_GIORNALE,"="&amp;$DC1047)&gt;SUMIFS(AVERE,DENOMINAZIONE_GIORNALE,"="&amp;$DC1047)),CONCATENATE("s ",FIXED(ABS(SUMIFS(DARE,DENOMINAZIONE_GIORNALE,"="&amp;$DC1047)-SUMIFS(AVERE,DENOMINAZIONE_GIORNALE,"="&amp;$DC1047)),2)),"")</f>
        <v/>
      </c>
      <c r="DF1047" s="259">
        <f ca="1">IF(AND(CX1047=$DE$2,$DF$2&lt;&gt;0),0,IF(AND(DB1047&lt;&gt;"",OR(DB1046&lt;&gt;"",DB1048&lt;&gt;"")),MAX($DF$2:DF1046)+1,0))</f>
        <v>0</v>
      </c>
    </row>
    <row r="1048" spans="102:110">
      <c r="CX1048" s="259">
        <f t="shared" ref="CX1048:CX1063" ca="1" si="1201">$EA$61</f>
        <v>59</v>
      </c>
      <c r="CY1048" s="259" t="str">
        <f t="shared" ca="1" si="1190"/>
        <v>MASTRO</v>
      </c>
      <c r="DA1048" s="259" t="str">
        <f ca="1">IF(DB1047="","","Num. riga")</f>
        <v/>
      </c>
      <c r="DB1048" s="259" t="str">
        <f t="shared" ref="DB1048" ca="1" si="1202">IF(DB1047="","","Data")</f>
        <v/>
      </c>
      <c r="DC1048" s="259" t="str">
        <f ca="1">IF(DB1047="","","Operazioni")</f>
        <v/>
      </c>
      <c r="DD1048" s="259" t="str">
        <f ca="1">IF(DB1047="","","Dare        ")</f>
        <v/>
      </c>
      <c r="DE1048" s="259" t="str">
        <f ca="1">IF(DB1047="","","Avere        ")</f>
        <v/>
      </c>
      <c r="DF1048" s="259">
        <f ca="1">IF(AND(CX1048=$DE$2,$DF$2&lt;&gt;0),0,IF(AND(DB1048&lt;&gt;"",OR(DB1047&lt;&gt;"",DB1049&lt;&gt;"")),MAX($DF$2:DF1047)+1,0))</f>
        <v>0</v>
      </c>
    </row>
    <row r="1049" spans="102:110">
      <c r="CX1049" s="259">
        <f t="shared" ca="1" si="1201"/>
        <v>59</v>
      </c>
      <c r="CY1049" s="259" t="str">
        <f t="shared" ca="1" si="1190"/>
        <v>MASTRO</v>
      </c>
      <c r="CZ1049" s="259" t="e">
        <f t="shared" ref="CZ1049:CZ1063" ca="1" si="1203">SUM(MATCH($CY1049,INDIRECT(ADDRESS(SUM(CZ1048)+3,54)&amp;":"&amp;ADDRESS(400,54)),0),CZ1048)</f>
        <v>#N/A</v>
      </c>
      <c r="DA1049" s="259" t="str">
        <f ca="1">IFERROR(INDEX(LIBRO_GIORNALE,CZ1049,1),"")</f>
        <v/>
      </c>
      <c r="DB1049" s="259" t="str">
        <f t="shared" ref="DB1049:DB1063" ca="1" si="1204">IF(RIGHT(TEXT(IFERROR(INDEX(LIBRO_GIORNALE,CZ1049,2),""),"gg/mm/aa"),1)="a",TEXT(IFERROR(INDEX(LIBRO_GIORNALE,CZ1049,2),""),"dd/mm/yy"),TEXT(IFERROR(INDEX(LIBRO_GIORNALE,CZ1049,2),""),"gg/mm/aa"))</f>
        <v/>
      </c>
      <c r="DC1049" s="259" t="str">
        <f t="shared" ref="DC1049:DC1063" ca="1" si="1205">IF(IFERROR(INDEX(LIBRO_GIORNALE,CZ1049,4),"")=0,"manca la descrizione dell'operazione",IFERROR(INDEX(LIBRO_GIORNALE,CZ1049,4),""))</f>
        <v/>
      </c>
      <c r="DD1049" s="259" t="str">
        <f t="shared" ref="DD1049:DD1063" ca="1" si="1206">IFERROR(IF(INDEX(LIBRO_GIORNALE,CZ1049,5)&gt;0,INDEX(LIBRO_GIORNALE,CZ1049,5),""),"")</f>
        <v/>
      </c>
      <c r="DE1049" s="259" t="str">
        <f t="shared" ref="DE1049:DE1063" ca="1" si="1207">IFERROR(IF(INDEX(LIBRO_GIORNALE,CZ1049,6)&gt;0,INDEX(LIBRO_GIORNALE,CZ1049,6),""),"")</f>
        <v/>
      </c>
      <c r="DF1049" s="259">
        <f ca="1">IF(AND(CX1049=$DE$2,$DF$2&lt;&gt;0),0,IF(AND(DB1049&lt;&gt;"",OR(DB1048&lt;&gt;"",DB1050&lt;&gt;"")),MAX($DF$2:DF1048)+1,0))</f>
        <v>0</v>
      </c>
    </row>
    <row r="1050" spans="102:110">
      <c r="CX1050" s="259">
        <f t="shared" ca="1" si="1201"/>
        <v>59</v>
      </c>
      <c r="CY1050" s="259" t="str">
        <f t="shared" ca="1" si="1190"/>
        <v>MASTRO</v>
      </c>
      <c r="CZ1050" s="259" t="e">
        <f t="shared" ca="1" si="1203"/>
        <v>#N/A</v>
      </c>
      <c r="DA1050" s="259" t="str">
        <f t="shared" ref="DA1050:DA1063" ca="1" si="1208">IFERROR(INDEX(LIBRO_GIORNALE,CZ1050,1),"")</f>
        <v/>
      </c>
      <c r="DB1050" s="259" t="str">
        <f t="shared" ca="1" si="1204"/>
        <v/>
      </c>
      <c r="DC1050" s="259" t="str">
        <f t="shared" ca="1" si="1205"/>
        <v/>
      </c>
      <c r="DD1050" s="259" t="str">
        <f t="shared" ca="1" si="1206"/>
        <v/>
      </c>
      <c r="DE1050" s="259" t="str">
        <f t="shared" ca="1" si="1207"/>
        <v/>
      </c>
      <c r="DF1050" s="259">
        <f ca="1">IF(AND(CX1050=$DE$2,$DF$2&lt;&gt;0),0,IF(AND(DB1050&lt;&gt;"",OR(DB1049&lt;&gt;"",DB1051&lt;&gt;"")),MAX($DF$2:DF1049)+1,0))</f>
        <v>0</v>
      </c>
    </row>
    <row r="1051" spans="102:110">
      <c r="CX1051" s="259">
        <f t="shared" ca="1" si="1201"/>
        <v>59</v>
      </c>
      <c r="CY1051" s="259" t="str">
        <f t="shared" ca="1" si="1190"/>
        <v>MASTRO</v>
      </c>
      <c r="CZ1051" s="259" t="e">
        <f t="shared" ca="1" si="1203"/>
        <v>#N/A</v>
      </c>
      <c r="DA1051" s="259" t="str">
        <f t="shared" ca="1" si="1208"/>
        <v/>
      </c>
      <c r="DB1051" s="259" t="str">
        <f t="shared" ca="1" si="1204"/>
        <v/>
      </c>
      <c r="DC1051" s="259" t="str">
        <f t="shared" ca="1" si="1205"/>
        <v/>
      </c>
      <c r="DD1051" s="259" t="str">
        <f t="shared" ca="1" si="1206"/>
        <v/>
      </c>
      <c r="DE1051" s="259" t="str">
        <f t="shared" ca="1" si="1207"/>
        <v/>
      </c>
      <c r="DF1051" s="259">
        <f ca="1">IF(AND(CX1051=$DE$2,$DF$2&lt;&gt;0),0,IF(AND(DB1051&lt;&gt;"",OR(DB1050&lt;&gt;"",DB1052&lt;&gt;"")),MAX($DF$2:DF1050)+1,0))</f>
        <v>0</v>
      </c>
    </row>
    <row r="1052" spans="102:110">
      <c r="CX1052" s="259">
        <f t="shared" ca="1" si="1201"/>
        <v>59</v>
      </c>
      <c r="CY1052" s="259" t="str">
        <f t="shared" ca="1" si="1190"/>
        <v>MASTRO</v>
      </c>
      <c r="CZ1052" s="259" t="e">
        <f t="shared" ca="1" si="1203"/>
        <v>#N/A</v>
      </c>
      <c r="DA1052" s="259" t="str">
        <f t="shared" ca="1" si="1208"/>
        <v/>
      </c>
      <c r="DB1052" s="259" t="str">
        <f t="shared" ca="1" si="1204"/>
        <v/>
      </c>
      <c r="DC1052" s="259" t="str">
        <f t="shared" ca="1" si="1205"/>
        <v/>
      </c>
      <c r="DD1052" s="259" t="str">
        <f t="shared" ca="1" si="1206"/>
        <v/>
      </c>
      <c r="DE1052" s="259" t="str">
        <f t="shared" ca="1" si="1207"/>
        <v/>
      </c>
      <c r="DF1052" s="259">
        <f ca="1">IF(AND(CX1052=$DE$2,$DF$2&lt;&gt;0),0,IF(AND(DB1052&lt;&gt;"",OR(DB1051&lt;&gt;"",DB1053&lt;&gt;"")),MAX($DF$2:DF1051)+1,0))</f>
        <v>0</v>
      </c>
    </row>
    <row r="1053" spans="102:110">
      <c r="CX1053" s="259">
        <f t="shared" ca="1" si="1201"/>
        <v>59</v>
      </c>
      <c r="CY1053" s="259" t="str">
        <f t="shared" ca="1" si="1190"/>
        <v>MASTRO</v>
      </c>
      <c r="CZ1053" s="259" t="e">
        <f t="shared" ca="1" si="1203"/>
        <v>#N/A</v>
      </c>
      <c r="DA1053" s="259" t="str">
        <f t="shared" ca="1" si="1208"/>
        <v/>
      </c>
      <c r="DB1053" s="259" t="str">
        <f t="shared" ca="1" si="1204"/>
        <v/>
      </c>
      <c r="DC1053" s="259" t="str">
        <f t="shared" ca="1" si="1205"/>
        <v/>
      </c>
      <c r="DD1053" s="259" t="str">
        <f t="shared" ca="1" si="1206"/>
        <v/>
      </c>
      <c r="DE1053" s="259" t="str">
        <f t="shared" ca="1" si="1207"/>
        <v/>
      </c>
      <c r="DF1053" s="259">
        <f ca="1">IF(AND(CX1053=$DE$2,$DF$2&lt;&gt;0),0,IF(AND(DB1053&lt;&gt;"",OR(DB1052&lt;&gt;"",DB1054&lt;&gt;"")),MAX($DF$2:DF1052)+1,0))</f>
        <v>0</v>
      </c>
    </row>
    <row r="1054" spans="102:110">
      <c r="CX1054" s="259">
        <f t="shared" ca="1" si="1201"/>
        <v>59</v>
      </c>
      <c r="CY1054" s="259" t="str">
        <f t="shared" ca="1" si="1190"/>
        <v>MASTRO</v>
      </c>
      <c r="CZ1054" s="259" t="e">
        <f t="shared" ca="1" si="1203"/>
        <v>#N/A</v>
      </c>
      <c r="DA1054" s="259" t="str">
        <f t="shared" ca="1" si="1208"/>
        <v/>
      </c>
      <c r="DB1054" s="259" t="str">
        <f t="shared" ca="1" si="1204"/>
        <v/>
      </c>
      <c r="DC1054" s="259" t="str">
        <f t="shared" ca="1" si="1205"/>
        <v/>
      </c>
      <c r="DD1054" s="259" t="str">
        <f t="shared" ca="1" si="1206"/>
        <v/>
      </c>
      <c r="DE1054" s="259" t="str">
        <f t="shared" ca="1" si="1207"/>
        <v/>
      </c>
      <c r="DF1054" s="259">
        <f ca="1">IF(AND(CX1054=$DE$2,$DF$2&lt;&gt;0),0,IF(AND(DB1054&lt;&gt;"",OR(DB1053&lt;&gt;"",DB1055&lt;&gt;"")),MAX($DF$2:DF1053)+1,0))</f>
        <v>0</v>
      </c>
    </row>
    <row r="1055" spans="102:110">
      <c r="CX1055" s="259">
        <f t="shared" ca="1" si="1201"/>
        <v>59</v>
      </c>
      <c r="CY1055" s="259" t="str">
        <f t="shared" ca="1" si="1190"/>
        <v>MASTRO</v>
      </c>
      <c r="CZ1055" s="259" t="e">
        <f t="shared" ca="1" si="1203"/>
        <v>#N/A</v>
      </c>
      <c r="DA1055" s="259" t="str">
        <f t="shared" ca="1" si="1208"/>
        <v/>
      </c>
      <c r="DB1055" s="259" t="str">
        <f t="shared" ca="1" si="1204"/>
        <v/>
      </c>
      <c r="DC1055" s="259" t="str">
        <f t="shared" ca="1" si="1205"/>
        <v/>
      </c>
      <c r="DD1055" s="259" t="str">
        <f t="shared" ca="1" si="1206"/>
        <v/>
      </c>
      <c r="DE1055" s="259" t="str">
        <f t="shared" ca="1" si="1207"/>
        <v/>
      </c>
      <c r="DF1055" s="259">
        <f ca="1">IF(AND(CX1055=$DE$2,$DF$2&lt;&gt;0),0,IF(AND(DB1055&lt;&gt;"",OR(DB1054&lt;&gt;"",DB1056&lt;&gt;"")),MAX($DF$2:DF1054)+1,0))</f>
        <v>0</v>
      </c>
    </row>
    <row r="1056" spans="102:110">
      <c r="CX1056" s="259">
        <f t="shared" ca="1" si="1201"/>
        <v>59</v>
      </c>
      <c r="CY1056" s="259" t="str">
        <f t="shared" ca="1" si="1190"/>
        <v>MASTRO</v>
      </c>
      <c r="CZ1056" s="259" t="e">
        <f t="shared" ca="1" si="1203"/>
        <v>#N/A</v>
      </c>
      <c r="DA1056" s="259" t="str">
        <f t="shared" ca="1" si="1208"/>
        <v/>
      </c>
      <c r="DB1056" s="259" t="str">
        <f t="shared" ca="1" si="1204"/>
        <v/>
      </c>
      <c r="DC1056" s="259" t="str">
        <f t="shared" ca="1" si="1205"/>
        <v/>
      </c>
      <c r="DD1056" s="259" t="str">
        <f t="shared" ca="1" si="1206"/>
        <v/>
      </c>
      <c r="DE1056" s="259" t="str">
        <f t="shared" ca="1" si="1207"/>
        <v/>
      </c>
      <c r="DF1056" s="259">
        <f ca="1">IF(AND(CX1056=$DE$2,$DF$2&lt;&gt;0),0,IF(AND(DB1056&lt;&gt;"",OR(DB1055&lt;&gt;"",DB1057&lt;&gt;"")),MAX($DF$2:DF1055)+1,0))</f>
        <v>0</v>
      </c>
    </row>
    <row r="1057" spans="102:110">
      <c r="CX1057" s="259">
        <f t="shared" ca="1" si="1201"/>
        <v>59</v>
      </c>
      <c r="CY1057" s="259" t="str">
        <f t="shared" ca="1" si="1190"/>
        <v>MASTRO</v>
      </c>
      <c r="CZ1057" s="259" t="e">
        <f t="shared" ca="1" si="1203"/>
        <v>#N/A</v>
      </c>
      <c r="DA1057" s="259" t="str">
        <f t="shared" ca="1" si="1208"/>
        <v/>
      </c>
      <c r="DB1057" s="259" t="str">
        <f t="shared" ca="1" si="1204"/>
        <v/>
      </c>
      <c r="DC1057" s="259" t="str">
        <f t="shared" ca="1" si="1205"/>
        <v/>
      </c>
      <c r="DD1057" s="259" t="str">
        <f t="shared" ca="1" si="1206"/>
        <v/>
      </c>
      <c r="DE1057" s="259" t="str">
        <f t="shared" ca="1" si="1207"/>
        <v/>
      </c>
      <c r="DF1057" s="259">
        <f ca="1">IF(AND(CX1057=$DE$2,$DF$2&lt;&gt;0),0,IF(AND(DB1057&lt;&gt;"",OR(DB1056&lt;&gt;"",DB1058&lt;&gt;"")),MAX($DF$2:DF1056)+1,0))</f>
        <v>0</v>
      </c>
    </row>
    <row r="1058" spans="102:110">
      <c r="CX1058" s="259">
        <f t="shared" ca="1" si="1201"/>
        <v>59</v>
      </c>
      <c r="CY1058" s="259" t="str">
        <f t="shared" ca="1" si="1190"/>
        <v>MASTRO</v>
      </c>
      <c r="CZ1058" s="259" t="e">
        <f t="shared" ca="1" si="1203"/>
        <v>#N/A</v>
      </c>
      <c r="DA1058" s="259" t="str">
        <f t="shared" ca="1" si="1208"/>
        <v/>
      </c>
      <c r="DB1058" s="259" t="str">
        <f t="shared" ca="1" si="1204"/>
        <v/>
      </c>
      <c r="DC1058" s="259" t="str">
        <f t="shared" ca="1" si="1205"/>
        <v/>
      </c>
      <c r="DD1058" s="259" t="str">
        <f t="shared" ca="1" si="1206"/>
        <v/>
      </c>
      <c r="DE1058" s="259" t="str">
        <f t="shared" ca="1" si="1207"/>
        <v/>
      </c>
      <c r="DF1058" s="259">
        <f ca="1">IF(AND(CX1058=$DE$2,$DF$2&lt;&gt;0),0,IF(AND(DB1058&lt;&gt;"",OR(DB1057&lt;&gt;"",DB1059&lt;&gt;"")),MAX($DF$2:DF1057)+1,0))</f>
        <v>0</v>
      </c>
    </row>
    <row r="1059" spans="102:110">
      <c r="CX1059" s="259">
        <f t="shared" ca="1" si="1201"/>
        <v>59</v>
      </c>
      <c r="CY1059" s="259" t="str">
        <f t="shared" ca="1" si="1190"/>
        <v>MASTRO</v>
      </c>
      <c r="CZ1059" s="259" t="e">
        <f t="shared" ca="1" si="1203"/>
        <v>#N/A</v>
      </c>
      <c r="DA1059" s="259" t="str">
        <f t="shared" ca="1" si="1208"/>
        <v/>
      </c>
      <c r="DB1059" s="259" t="str">
        <f t="shared" ca="1" si="1204"/>
        <v/>
      </c>
      <c r="DC1059" s="259" t="str">
        <f t="shared" ca="1" si="1205"/>
        <v/>
      </c>
      <c r="DD1059" s="259" t="str">
        <f t="shared" ca="1" si="1206"/>
        <v/>
      </c>
      <c r="DE1059" s="259" t="str">
        <f t="shared" ca="1" si="1207"/>
        <v/>
      </c>
      <c r="DF1059" s="259">
        <f ca="1">IF(AND(CX1059=$DE$2,$DF$2&lt;&gt;0),0,IF(AND(DB1059&lt;&gt;"",OR(DB1058&lt;&gt;"",DB1060&lt;&gt;"")),MAX($DF$2:DF1058)+1,0))</f>
        <v>0</v>
      </c>
    </row>
    <row r="1060" spans="102:110">
      <c r="CX1060" s="259">
        <f t="shared" ca="1" si="1201"/>
        <v>59</v>
      </c>
      <c r="CY1060" s="259" t="str">
        <f t="shared" ca="1" si="1190"/>
        <v>MASTRO</v>
      </c>
      <c r="CZ1060" s="259" t="e">
        <f t="shared" ca="1" si="1203"/>
        <v>#N/A</v>
      </c>
      <c r="DA1060" s="259" t="str">
        <f t="shared" ca="1" si="1208"/>
        <v/>
      </c>
      <c r="DB1060" s="259" t="str">
        <f t="shared" ca="1" si="1204"/>
        <v/>
      </c>
      <c r="DC1060" s="259" t="str">
        <f t="shared" ca="1" si="1205"/>
        <v/>
      </c>
      <c r="DD1060" s="259" t="str">
        <f t="shared" ca="1" si="1206"/>
        <v/>
      </c>
      <c r="DE1060" s="259" t="str">
        <f t="shared" ca="1" si="1207"/>
        <v/>
      </c>
      <c r="DF1060" s="259">
        <f ca="1">IF(AND(CX1060=$DE$2,$DF$2&lt;&gt;0),0,IF(AND(DB1060&lt;&gt;"",OR(DB1059&lt;&gt;"",DB1061&lt;&gt;"")),MAX($DF$2:DF1059)+1,0))</f>
        <v>0</v>
      </c>
    </row>
    <row r="1061" spans="102:110">
      <c r="CX1061" s="259">
        <f t="shared" ca="1" si="1201"/>
        <v>59</v>
      </c>
      <c r="CY1061" s="259" t="str">
        <f t="shared" ca="1" si="1190"/>
        <v>MASTRO</v>
      </c>
      <c r="CZ1061" s="259" t="e">
        <f t="shared" ca="1" si="1203"/>
        <v>#N/A</v>
      </c>
      <c r="DA1061" s="259" t="str">
        <f t="shared" ca="1" si="1208"/>
        <v/>
      </c>
      <c r="DB1061" s="259" t="str">
        <f t="shared" ca="1" si="1204"/>
        <v/>
      </c>
      <c r="DC1061" s="259" t="str">
        <f t="shared" ca="1" si="1205"/>
        <v/>
      </c>
      <c r="DD1061" s="259" t="str">
        <f t="shared" ca="1" si="1206"/>
        <v/>
      </c>
      <c r="DE1061" s="259" t="str">
        <f t="shared" ca="1" si="1207"/>
        <v/>
      </c>
      <c r="DF1061" s="259">
        <f ca="1">IF(AND(CX1061=$DE$2,$DF$2&lt;&gt;0),0,IF(AND(DB1061&lt;&gt;"",OR(DB1060&lt;&gt;"",DB1062&lt;&gt;"")),MAX($DF$2:DF1060)+1,0))</f>
        <v>0</v>
      </c>
    </row>
    <row r="1062" spans="102:110">
      <c r="CX1062" s="259">
        <f t="shared" ca="1" si="1201"/>
        <v>59</v>
      </c>
      <c r="CY1062" s="259" t="str">
        <f t="shared" ca="1" si="1190"/>
        <v>MASTRO</v>
      </c>
      <c r="CZ1062" s="259" t="e">
        <f t="shared" ca="1" si="1203"/>
        <v>#N/A</v>
      </c>
      <c r="DA1062" s="259" t="str">
        <f t="shared" ca="1" si="1208"/>
        <v/>
      </c>
      <c r="DB1062" s="259" t="str">
        <f t="shared" ca="1" si="1204"/>
        <v/>
      </c>
      <c r="DC1062" s="259" t="str">
        <f t="shared" ca="1" si="1205"/>
        <v/>
      </c>
      <c r="DD1062" s="259" t="str">
        <f t="shared" ca="1" si="1206"/>
        <v/>
      </c>
      <c r="DE1062" s="259" t="str">
        <f t="shared" ca="1" si="1207"/>
        <v/>
      </c>
      <c r="DF1062" s="259">
        <f ca="1">IF(AND(CX1062=$DE$2,$DF$2&lt;&gt;0),0,IF(AND(DB1062&lt;&gt;"",OR(DB1061&lt;&gt;"",DB1063&lt;&gt;"")),MAX($DF$2:DF1061)+1,0))</f>
        <v>0</v>
      </c>
    </row>
    <row r="1063" spans="102:110">
      <c r="CX1063" s="259">
        <f t="shared" ca="1" si="1201"/>
        <v>59</v>
      </c>
      <c r="CY1063" s="259" t="str">
        <f t="shared" ref="CY1063:CY1093" ca="1" si="1209">IF(ISERROR(INDEX($CV$3:$CX$2300,MATCH(CX1063,$CW$3:$CW$2300,0),1)),"MASTRO",INDEX($CV$3:$CX$2300,MATCH(CX1063,$CW$3:$CW$2300,0),1))</f>
        <v>MASTRO</v>
      </c>
      <c r="CZ1063" s="259" t="e">
        <f t="shared" ca="1" si="1203"/>
        <v>#N/A</v>
      </c>
      <c r="DA1063" s="259" t="str">
        <f t="shared" ca="1" si="1208"/>
        <v/>
      </c>
      <c r="DB1063" s="259" t="str">
        <f t="shared" ca="1" si="1204"/>
        <v/>
      </c>
      <c r="DC1063" s="259" t="str">
        <f t="shared" ca="1" si="1205"/>
        <v/>
      </c>
      <c r="DD1063" s="259" t="str">
        <f t="shared" ca="1" si="1206"/>
        <v/>
      </c>
      <c r="DE1063" s="259" t="str">
        <f t="shared" ca="1" si="1207"/>
        <v/>
      </c>
      <c r="DF1063" s="259">
        <f ca="1">IF(AND(CX1063=$DE$2,$DF$2&lt;&gt;0),0,IF(AND(DB1063&lt;&gt;"",OR(DB1062&lt;&gt;"",DB1064&lt;&gt;"")),MAX($DF$2:DF1062)+1,0))</f>
        <v>0</v>
      </c>
    </row>
    <row r="1064" spans="102:110">
      <c r="CX1064" s="259" t="str">
        <f>IFERROR(IF(CX1046+1=1,"",(CX1046+1)),"")</f>
        <v/>
      </c>
      <c r="CY1064" s="259" t="str">
        <f t="shared" ca="1" si="1209"/>
        <v>MASTRO</v>
      </c>
      <c r="DB1064" s="259" t="str">
        <f t="shared" ref="DB1064" ca="1" si="1210">CY1064</f>
        <v>MASTRO</v>
      </c>
      <c r="DF1064" s="259">
        <f ca="1">IF(AND(CX1064=$DE$2,$DF$2&lt;&gt;0),0,IF(AND(DB1064&lt;&gt;"",OR(DB1063&lt;&gt;"",DB1065&lt;&gt;"")),MAX($DF$2:DF1063)+1,0))</f>
        <v>0</v>
      </c>
    </row>
    <row r="1065" spans="102:110">
      <c r="CX1065" s="259">
        <f ca="1">$EA$62</f>
        <v>60</v>
      </c>
      <c r="CY1065" s="259" t="str">
        <f t="shared" ca="1" si="1209"/>
        <v>MASTRO</v>
      </c>
      <c r="DA1065" s="259" t="str">
        <f ca="1">IF(CY1064="MASTRO","Conto n.","")</f>
        <v>Conto n.</v>
      </c>
      <c r="DB1065" s="259" t="str">
        <f ca="1">IF(CY1065=0,"",INDEX(PIANO_DEI_CONTI,MATCH(DC1065,DENOMINAZIONE,0),1))</f>
        <v/>
      </c>
      <c r="DC1065" s="259" t="str">
        <f ca="1">IF(OR(CY1065=0,CY1065="mastro"),"",CY1065)</f>
        <v/>
      </c>
      <c r="DD1065" s="259" t="str">
        <f ca="1">IF(AND($DA$2=TRUE,OR(INDEX(PIANO_DEI_CONTI,MATCH($DC1065,DENOMINAZIONE,0),4)="A",INDEX(PIANO_DEI_CONTI,MATCH($DC1065,DENOMINAZIONE,0),4)="D/A"),SUMIFS(AVERE,DENOMINAZIONE_GIORNALE,"="&amp;$DC1065)&gt;SUMIFS(DARE,DENOMINAZIONE_GIORNALE,"="&amp;$DC1065)),CONCATENATE("s ",FIXED(ABS(SUMIFS(AVERE,DENOMINAZIONE_GIORNALE,"="&amp;$DC1065)-SUMIFS(DARE,DENOMINAZIONE_GIORNALE,"="&amp;$DC1065)),2)),"")</f>
        <v/>
      </c>
      <c r="DE1065" s="259" t="str">
        <f ca="1">IF(AND($DA$2=TRUE,OR(INDEX(PIANO_DEI_CONTI,MATCH($DC1065,DENOMINAZIONE,0),4)="D",INDEX(PIANO_DEI_CONTI,MATCH($DC1065,DENOMINAZIONE,0),4)="D/A"),SUMIFS(DARE,DENOMINAZIONE_GIORNALE,"="&amp;$DC1065)&gt;SUMIFS(AVERE,DENOMINAZIONE_GIORNALE,"="&amp;$DC1065)),CONCATENATE("s ",FIXED(ABS(SUMIFS(DARE,DENOMINAZIONE_GIORNALE,"="&amp;$DC1065)-SUMIFS(AVERE,DENOMINAZIONE_GIORNALE,"="&amp;$DC1065)),2)),"")</f>
        <v/>
      </c>
      <c r="DF1065" s="259">
        <f ca="1">IF(AND(CX1065=$DE$2,$DF$2&lt;&gt;0),0,IF(AND(DB1065&lt;&gt;"",OR(DB1064&lt;&gt;"",DB1066&lt;&gt;"")),MAX($DF$2:DF1064)+1,0))</f>
        <v>0</v>
      </c>
    </row>
    <row r="1066" spans="102:110">
      <c r="CX1066" s="259">
        <f t="shared" ref="CX1066:CX1081" ca="1" si="1211">$EA$62</f>
        <v>60</v>
      </c>
      <c r="CY1066" s="259" t="str">
        <f t="shared" ca="1" si="1209"/>
        <v>MASTRO</v>
      </c>
      <c r="DA1066" s="259" t="str">
        <f ca="1">IF(DB1065="","","Num. riga")</f>
        <v/>
      </c>
      <c r="DB1066" s="259" t="str">
        <f t="shared" ref="DB1066" ca="1" si="1212">IF(DB1065="","","Data")</f>
        <v/>
      </c>
      <c r="DC1066" s="259" t="str">
        <f ca="1">IF(DB1065="","","Operazioni")</f>
        <v/>
      </c>
      <c r="DD1066" s="259" t="str">
        <f ca="1">IF(DB1065="","","Dare        ")</f>
        <v/>
      </c>
      <c r="DE1066" s="259" t="str">
        <f ca="1">IF(DB1065="","","Avere        ")</f>
        <v/>
      </c>
      <c r="DF1066" s="259">
        <f ca="1">IF(AND(CX1066=$DE$2,$DF$2&lt;&gt;0),0,IF(AND(DB1066&lt;&gt;"",OR(DB1065&lt;&gt;"",DB1067&lt;&gt;"")),MAX($DF$2:DF1065)+1,0))</f>
        <v>0</v>
      </c>
    </row>
    <row r="1067" spans="102:110">
      <c r="CX1067" s="259">
        <f t="shared" ca="1" si="1211"/>
        <v>60</v>
      </c>
      <c r="CY1067" s="259" t="str">
        <f t="shared" ca="1" si="1209"/>
        <v>MASTRO</v>
      </c>
      <c r="CZ1067" s="259" t="e">
        <f t="shared" ref="CZ1067:CZ1081" ca="1" si="1213">SUM(MATCH($CY1067,INDIRECT(ADDRESS(SUM(CZ1066)+3,54)&amp;":"&amp;ADDRESS(400,54)),0),CZ1066)</f>
        <v>#N/A</v>
      </c>
      <c r="DA1067" s="259" t="str">
        <f ca="1">IFERROR(INDEX(LIBRO_GIORNALE,CZ1067,1),"")</f>
        <v/>
      </c>
      <c r="DB1067" s="259" t="str">
        <f t="shared" ref="DB1067:DB1081" ca="1" si="1214">IF(RIGHT(TEXT(IFERROR(INDEX(LIBRO_GIORNALE,CZ1067,2),""),"gg/mm/aa"),1)="a",TEXT(IFERROR(INDEX(LIBRO_GIORNALE,CZ1067,2),""),"dd/mm/yy"),TEXT(IFERROR(INDEX(LIBRO_GIORNALE,CZ1067,2),""),"gg/mm/aa"))</f>
        <v/>
      </c>
      <c r="DC1067" s="259" t="str">
        <f t="shared" ref="DC1067:DC1081" ca="1" si="1215">IF(IFERROR(INDEX(LIBRO_GIORNALE,CZ1067,4),"")=0,"manca la descrizione dell'operazione",IFERROR(INDEX(LIBRO_GIORNALE,CZ1067,4),""))</f>
        <v/>
      </c>
      <c r="DD1067" s="259" t="str">
        <f t="shared" ref="DD1067:DD1081" ca="1" si="1216">IFERROR(IF(INDEX(LIBRO_GIORNALE,CZ1067,5)&gt;0,INDEX(LIBRO_GIORNALE,CZ1067,5),""),"")</f>
        <v/>
      </c>
      <c r="DE1067" s="259" t="str">
        <f t="shared" ref="DE1067:DE1081" ca="1" si="1217">IFERROR(IF(INDEX(LIBRO_GIORNALE,CZ1067,6)&gt;0,INDEX(LIBRO_GIORNALE,CZ1067,6),""),"")</f>
        <v/>
      </c>
      <c r="DF1067" s="259">
        <f ca="1">IF(AND(CX1067=$DE$2,$DF$2&lt;&gt;0),0,IF(AND(DB1067&lt;&gt;"",OR(DB1066&lt;&gt;"",DB1068&lt;&gt;"")),MAX($DF$2:DF1066)+1,0))</f>
        <v>0</v>
      </c>
    </row>
    <row r="1068" spans="102:110">
      <c r="CX1068" s="259">
        <f t="shared" ca="1" si="1211"/>
        <v>60</v>
      </c>
      <c r="CY1068" s="259" t="str">
        <f t="shared" ca="1" si="1209"/>
        <v>MASTRO</v>
      </c>
      <c r="CZ1068" s="259" t="e">
        <f t="shared" ca="1" si="1213"/>
        <v>#N/A</v>
      </c>
      <c r="DA1068" s="259" t="str">
        <f t="shared" ref="DA1068:DA1081" ca="1" si="1218">IFERROR(INDEX(LIBRO_GIORNALE,CZ1068,1),"")</f>
        <v/>
      </c>
      <c r="DB1068" s="259" t="str">
        <f t="shared" ca="1" si="1214"/>
        <v/>
      </c>
      <c r="DC1068" s="259" t="str">
        <f t="shared" ca="1" si="1215"/>
        <v/>
      </c>
      <c r="DD1068" s="259" t="str">
        <f t="shared" ca="1" si="1216"/>
        <v/>
      </c>
      <c r="DE1068" s="259" t="str">
        <f t="shared" ca="1" si="1217"/>
        <v/>
      </c>
      <c r="DF1068" s="259">
        <f ca="1">IF(AND(CX1068=$DE$2,$DF$2&lt;&gt;0),0,IF(AND(DB1068&lt;&gt;"",OR(DB1067&lt;&gt;"",DB1069&lt;&gt;"")),MAX($DF$2:DF1067)+1,0))</f>
        <v>0</v>
      </c>
    </row>
    <row r="1069" spans="102:110">
      <c r="CX1069" s="259">
        <f t="shared" ca="1" si="1211"/>
        <v>60</v>
      </c>
      <c r="CY1069" s="259" t="str">
        <f t="shared" ca="1" si="1209"/>
        <v>MASTRO</v>
      </c>
      <c r="CZ1069" s="259" t="e">
        <f t="shared" ca="1" si="1213"/>
        <v>#N/A</v>
      </c>
      <c r="DA1069" s="259" t="str">
        <f t="shared" ca="1" si="1218"/>
        <v/>
      </c>
      <c r="DB1069" s="259" t="str">
        <f t="shared" ca="1" si="1214"/>
        <v/>
      </c>
      <c r="DC1069" s="259" t="str">
        <f t="shared" ca="1" si="1215"/>
        <v/>
      </c>
      <c r="DD1069" s="259" t="str">
        <f t="shared" ca="1" si="1216"/>
        <v/>
      </c>
      <c r="DE1069" s="259" t="str">
        <f t="shared" ca="1" si="1217"/>
        <v/>
      </c>
      <c r="DF1069" s="259">
        <f ca="1">IF(AND(CX1069=$DE$2,$DF$2&lt;&gt;0),0,IF(AND(DB1069&lt;&gt;"",OR(DB1068&lt;&gt;"",DB1070&lt;&gt;"")),MAX($DF$2:DF1068)+1,0))</f>
        <v>0</v>
      </c>
    </row>
    <row r="1070" spans="102:110">
      <c r="CX1070" s="259">
        <f t="shared" ca="1" si="1211"/>
        <v>60</v>
      </c>
      <c r="CY1070" s="259" t="str">
        <f t="shared" ca="1" si="1209"/>
        <v>MASTRO</v>
      </c>
      <c r="CZ1070" s="259" t="e">
        <f t="shared" ca="1" si="1213"/>
        <v>#N/A</v>
      </c>
      <c r="DA1070" s="259" t="str">
        <f t="shared" ca="1" si="1218"/>
        <v/>
      </c>
      <c r="DB1070" s="259" t="str">
        <f t="shared" ca="1" si="1214"/>
        <v/>
      </c>
      <c r="DC1070" s="259" t="str">
        <f t="shared" ca="1" si="1215"/>
        <v/>
      </c>
      <c r="DD1070" s="259" t="str">
        <f t="shared" ca="1" si="1216"/>
        <v/>
      </c>
      <c r="DE1070" s="259" t="str">
        <f t="shared" ca="1" si="1217"/>
        <v/>
      </c>
      <c r="DF1070" s="259">
        <f ca="1">IF(AND(CX1070=$DE$2,$DF$2&lt;&gt;0),0,IF(AND(DB1070&lt;&gt;"",OR(DB1069&lt;&gt;"",DB1071&lt;&gt;"")),MAX($DF$2:DF1069)+1,0))</f>
        <v>0</v>
      </c>
    </row>
    <row r="1071" spans="102:110">
      <c r="CX1071" s="259">
        <f t="shared" ca="1" si="1211"/>
        <v>60</v>
      </c>
      <c r="CY1071" s="259" t="str">
        <f t="shared" ca="1" si="1209"/>
        <v>MASTRO</v>
      </c>
      <c r="CZ1071" s="259" t="e">
        <f t="shared" ca="1" si="1213"/>
        <v>#N/A</v>
      </c>
      <c r="DA1071" s="259" t="str">
        <f t="shared" ca="1" si="1218"/>
        <v/>
      </c>
      <c r="DB1071" s="259" t="str">
        <f t="shared" ca="1" si="1214"/>
        <v/>
      </c>
      <c r="DC1071" s="259" t="str">
        <f t="shared" ca="1" si="1215"/>
        <v/>
      </c>
      <c r="DD1071" s="259" t="str">
        <f t="shared" ca="1" si="1216"/>
        <v/>
      </c>
      <c r="DE1071" s="259" t="str">
        <f t="shared" ca="1" si="1217"/>
        <v/>
      </c>
      <c r="DF1071" s="259">
        <f ca="1">IF(AND(CX1071=$DE$2,$DF$2&lt;&gt;0),0,IF(AND(DB1071&lt;&gt;"",OR(DB1070&lt;&gt;"",DB1072&lt;&gt;"")),MAX($DF$2:DF1070)+1,0))</f>
        <v>0</v>
      </c>
    </row>
    <row r="1072" spans="102:110">
      <c r="CX1072" s="259">
        <f t="shared" ca="1" si="1211"/>
        <v>60</v>
      </c>
      <c r="CY1072" s="259" t="str">
        <f t="shared" ca="1" si="1209"/>
        <v>MASTRO</v>
      </c>
      <c r="CZ1072" s="259" t="e">
        <f t="shared" ca="1" si="1213"/>
        <v>#N/A</v>
      </c>
      <c r="DA1072" s="259" t="str">
        <f t="shared" ca="1" si="1218"/>
        <v/>
      </c>
      <c r="DB1072" s="259" t="str">
        <f t="shared" ca="1" si="1214"/>
        <v/>
      </c>
      <c r="DC1072" s="259" t="str">
        <f t="shared" ca="1" si="1215"/>
        <v/>
      </c>
      <c r="DD1072" s="259" t="str">
        <f t="shared" ca="1" si="1216"/>
        <v/>
      </c>
      <c r="DE1072" s="259" t="str">
        <f t="shared" ca="1" si="1217"/>
        <v/>
      </c>
      <c r="DF1072" s="259">
        <f ca="1">IF(AND(CX1072=$DE$2,$DF$2&lt;&gt;0),0,IF(AND(DB1072&lt;&gt;"",OR(DB1071&lt;&gt;"",DB1073&lt;&gt;"")),MAX($DF$2:DF1071)+1,0))</f>
        <v>0</v>
      </c>
    </row>
    <row r="1073" spans="102:110">
      <c r="CX1073" s="259">
        <f t="shared" ca="1" si="1211"/>
        <v>60</v>
      </c>
      <c r="CY1073" s="259" t="str">
        <f t="shared" ca="1" si="1209"/>
        <v>MASTRO</v>
      </c>
      <c r="CZ1073" s="259" t="e">
        <f t="shared" ca="1" si="1213"/>
        <v>#N/A</v>
      </c>
      <c r="DA1073" s="259" t="str">
        <f t="shared" ca="1" si="1218"/>
        <v/>
      </c>
      <c r="DB1073" s="259" t="str">
        <f t="shared" ca="1" si="1214"/>
        <v/>
      </c>
      <c r="DC1073" s="259" t="str">
        <f t="shared" ca="1" si="1215"/>
        <v/>
      </c>
      <c r="DD1073" s="259" t="str">
        <f t="shared" ca="1" si="1216"/>
        <v/>
      </c>
      <c r="DE1073" s="259" t="str">
        <f t="shared" ca="1" si="1217"/>
        <v/>
      </c>
      <c r="DF1073" s="259">
        <f ca="1">IF(AND(CX1073=$DE$2,$DF$2&lt;&gt;0),0,IF(AND(DB1073&lt;&gt;"",OR(DB1072&lt;&gt;"",DB1074&lt;&gt;"")),MAX($DF$2:DF1072)+1,0))</f>
        <v>0</v>
      </c>
    </row>
    <row r="1074" spans="102:110">
      <c r="CX1074" s="259">
        <f t="shared" ca="1" si="1211"/>
        <v>60</v>
      </c>
      <c r="CY1074" s="259" t="str">
        <f t="shared" ca="1" si="1209"/>
        <v>MASTRO</v>
      </c>
      <c r="CZ1074" s="259" t="e">
        <f t="shared" ca="1" si="1213"/>
        <v>#N/A</v>
      </c>
      <c r="DA1074" s="259" t="str">
        <f t="shared" ca="1" si="1218"/>
        <v/>
      </c>
      <c r="DB1074" s="259" t="str">
        <f t="shared" ca="1" si="1214"/>
        <v/>
      </c>
      <c r="DC1074" s="259" t="str">
        <f t="shared" ca="1" si="1215"/>
        <v/>
      </c>
      <c r="DD1074" s="259" t="str">
        <f t="shared" ca="1" si="1216"/>
        <v/>
      </c>
      <c r="DE1074" s="259" t="str">
        <f t="shared" ca="1" si="1217"/>
        <v/>
      </c>
      <c r="DF1074" s="259">
        <f ca="1">IF(AND(CX1074=$DE$2,$DF$2&lt;&gt;0),0,IF(AND(DB1074&lt;&gt;"",OR(DB1073&lt;&gt;"",DB1075&lt;&gt;"")),MAX($DF$2:DF1073)+1,0))</f>
        <v>0</v>
      </c>
    </row>
    <row r="1075" spans="102:110">
      <c r="CX1075" s="259">
        <f t="shared" ca="1" si="1211"/>
        <v>60</v>
      </c>
      <c r="CY1075" s="259" t="str">
        <f t="shared" ca="1" si="1209"/>
        <v>MASTRO</v>
      </c>
      <c r="CZ1075" s="259" t="e">
        <f t="shared" ca="1" si="1213"/>
        <v>#N/A</v>
      </c>
      <c r="DA1075" s="259" t="str">
        <f t="shared" ca="1" si="1218"/>
        <v/>
      </c>
      <c r="DB1075" s="259" t="str">
        <f t="shared" ca="1" si="1214"/>
        <v/>
      </c>
      <c r="DC1075" s="259" t="str">
        <f t="shared" ca="1" si="1215"/>
        <v/>
      </c>
      <c r="DD1075" s="259" t="str">
        <f t="shared" ca="1" si="1216"/>
        <v/>
      </c>
      <c r="DE1075" s="259" t="str">
        <f t="shared" ca="1" si="1217"/>
        <v/>
      </c>
      <c r="DF1075" s="259">
        <f ca="1">IF(AND(CX1075=$DE$2,$DF$2&lt;&gt;0),0,IF(AND(DB1075&lt;&gt;"",OR(DB1074&lt;&gt;"",DB1076&lt;&gt;"")),MAX($DF$2:DF1074)+1,0))</f>
        <v>0</v>
      </c>
    </row>
    <row r="1076" spans="102:110">
      <c r="CX1076" s="259">
        <f t="shared" ca="1" si="1211"/>
        <v>60</v>
      </c>
      <c r="CY1076" s="259" t="str">
        <f t="shared" ca="1" si="1209"/>
        <v>MASTRO</v>
      </c>
      <c r="CZ1076" s="259" t="e">
        <f t="shared" ca="1" si="1213"/>
        <v>#N/A</v>
      </c>
      <c r="DA1076" s="259" t="str">
        <f t="shared" ca="1" si="1218"/>
        <v/>
      </c>
      <c r="DB1076" s="259" t="str">
        <f t="shared" ca="1" si="1214"/>
        <v/>
      </c>
      <c r="DC1076" s="259" t="str">
        <f t="shared" ca="1" si="1215"/>
        <v/>
      </c>
      <c r="DD1076" s="259" t="str">
        <f t="shared" ca="1" si="1216"/>
        <v/>
      </c>
      <c r="DE1076" s="259" t="str">
        <f t="shared" ca="1" si="1217"/>
        <v/>
      </c>
      <c r="DF1076" s="259">
        <f ca="1">IF(AND(CX1076=$DE$2,$DF$2&lt;&gt;0),0,IF(AND(DB1076&lt;&gt;"",OR(DB1075&lt;&gt;"",DB1077&lt;&gt;"")),MAX($DF$2:DF1075)+1,0))</f>
        <v>0</v>
      </c>
    </row>
    <row r="1077" spans="102:110">
      <c r="CX1077" s="259">
        <f t="shared" ca="1" si="1211"/>
        <v>60</v>
      </c>
      <c r="CY1077" s="259" t="str">
        <f t="shared" ca="1" si="1209"/>
        <v>MASTRO</v>
      </c>
      <c r="CZ1077" s="259" t="e">
        <f t="shared" ca="1" si="1213"/>
        <v>#N/A</v>
      </c>
      <c r="DA1077" s="259" t="str">
        <f t="shared" ca="1" si="1218"/>
        <v/>
      </c>
      <c r="DB1077" s="259" t="str">
        <f t="shared" ca="1" si="1214"/>
        <v/>
      </c>
      <c r="DC1077" s="259" t="str">
        <f t="shared" ca="1" si="1215"/>
        <v/>
      </c>
      <c r="DD1077" s="259" t="str">
        <f t="shared" ca="1" si="1216"/>
        <v/>
      </c>
      <c r="DE1077" s="259" t="str">
        <f t="shared" ca="1" si="1217"/>
        <v/>
      </c>
      <c r="DF1077" s="259">
        <f ca="1">IF(AND(CX1077=$DE$2,$DF$2&lt;&gt;0),0,IF(AND(DB1077&lt;&gt;"",OR(DB1076&lt;&gt;"",DB1078&lt;&gt;"")),MAX($DF$2:DF1076)+1,0))</f>
        <v>0</v>
      </c>
    </row>
    <row r="1078" spans="102:110">
      <c r="CX1078" s="259">
        <f t="shared" ca="1" si="1211"/>
        <v>60</v>
      </c>
      <c r="CY1078" s="259" t="str">
        <f t="shared" ca="1" si="1209"/>
        <v>MASTRO</v>
      </c>
      <c r="CZ1078" s="259" t="e">
        <f t="shared" ca="1" si="1213"/>
        <v>#N/A</v>
      </c>
      <c r="DA1078" s="259" t="str">
        <f t="shared" ca="1" si="1218"/>
        <v/>
      </c>
      <c r="DB1078" s="259" t="str">
        <f t="shared" ca="1" si="1214"/>
        <v/>
      </c>
      <c r="DC1078" s="259" t="str">
        <f t="shared" ca="1" si="1215"/>
        <v/>
      </c>
      <c r="DD1078" s="259" t="str">
        <f t="shared" ca="1" si="1216"/>
        <v/>
      </c>
      <c r="DE1078" s="259" t="str">
        <f t="shared" ca="1" si="1217"/>
        <v/>
      </c>
      <c r="DF1078" s="259">
        <f ca="1">IF(AND(CX1078=$DE$2,$DF$2&lt;&gt;0),0,IF(AND(DB1078&lt;&gt;"",OR(DB1077&lt;&gt;"",DB1079&lt;&gt;"")),MAX($DF$2:DF1077)+1,0))</f>
        <v>0</v>
      </c>
    </row>
    <row r="1079" spans="102:110">
      <c r="CX1079" s="259">
        <f t="shared" ca="1" si="1211"/>
        <v>60</v>
      </c>
      <c r="CY1079" s="259" t="str">
        <f t="shared" ca="1" si="1209"/>
        <v>MASTRO</v>
      </c>
      <c r="CZ1079" s="259" t="e">
        <f t="shared" ca="1" si="1213"/>
        <v>#N/A</v>
      </c>
      <c r="DA1079" s="259" t="str">
        <f t="shared" ca="1" si="1218"/>
        <v/>
      </c>
      <c r="DB1079" s="259" t="str">
        <f t="shared" ca="1" si="1214"/>
        <v/>
      </c>
      <c r="DC1079" s="259" t="str">
        <f t="shared" ca="1" si="1215"/>
        <v/>
      </c>
      <c r="DD1079" s="259" t="str">
        <f t="shared" ca="1" si="1216"/>
        <v/>
      </c>
      <c r="DE1079" s="259" t="str">
        <f t="shared" ca="1" si="1217"/>
        <v/>
      </c>
      <c r="DF1079" s="259">
        <f ca="1">IF(AND(CX1079=$DE$2,$DF$2&lt;&gt;0),0,IF(AND(DB1079&lt;&gt;"",OR(DB1078&lt;&gt;"",DB1080&lt;&gt;"")),MAX($DF$2:DF1078)+1,0))</f>
        <v>0</v>
      </c>
    </row>
    <row r="1080" spans="102:110">
      <c r="CX1080" s="259">
        <f t="shared" ca="1" si="1211"/>
        <v>60</v>
      </c>
      <c r="CY1080" s="259" t="str">
        <f t="shared" ca="1" si="1209"/>
        <v>MASTRO</v>
      </c>
      <c r="CZ1080" s="259" t="e">
        <f t="shared" ca="1" si="1213"/>
        <v>#N/A</v>
      </c>
      <c r="DA1080" s="259" t="str">
        <f t="shared" ca="1" si="1218"/>
        <v/>
      </c>
      <c r="DB1080" s="259" t="str">
        <f t="shared" ca="1" si="1214"/>
        <v/>
      </c>
      <c r="DC1080" s="259" t="str">
        <f t="shared" ca="1" si="1215"/>
        <v/>
      </c>
      <c r="DD1080" s="259" t="str">
        <f t="shared" ca="1" si="1216"/>
        <v/>
      </c>
      <c r="DE1080" s="259" t="str">
        <f t="shared" ca="1" si="1217"/>
        <v/>
      </c>
      <c r="DF1080" s="259">
        <f ca="1">IF(AND(CX1080=$DE$2,$DF$2&lt;&gt;0),0,IF(AND(DB1080&lt;&gt;"",OR(DB1079&lt;&gt;"",DB1081&lt;&gt;"")),MAX($DF$2:DF1079)+1,0))</f>
        <v>0</v>
      </c>
    </row>
    <row r="1081" spans="102:110">
      <c r="CX1081" s="259">
        <f t="shared" ca="1" si="1211"/>
        <v>60</v>
      </c>
      <c r="CY1081" s="259" t="str">
        <f t="shared" ca="1" si="1209"/>
        <v>MASTRO</v>
      </c>
      <c r="CZ1081" s="259" t="e">
        <f t="shared" ca="1" si="1213"/>
        <v>#N/A</v>
      </c>
      <c r="DA1081" s="259" t="str">
        <f t="shared" ca="1" si="1218"/>
        <v/>
      </c>
      <c r="DB1081" s="259" t="str">
        <f t="shared" ca="1" si="1214"/>
        <v/>
      </c>
      <c r="DC1081" s="259" t="str">
        <f t="shared" ca="1" si="1215"/>
        <v/>
      </c>
      <c r="DD1081" s="259" t="str">
        <f t="shared" ca="1" si="1216"/>
        <v/>
      </c>
      <c r="DE1081" s="259" t="str">
        <f t="shared" ca="1" si="1217"/>
        <v/>
      </c>
      <c r="DF1081" s="259">
        <f ca="1">IF(AND(CX1081=$DE$2,$DF$2&lt;&gt;0),0,IF(AND(DB1081&lt;&gt;"",OR(DB1080&lt;&gt;"",DB1082&lt;&gt;"")),MAX($DF$2:DF1080)+1,0))</f>
        <v>0</v>
      </c>
    </row>
    <row r="1082" spans="102:110">
      <c r="CX1082" s="259" t="str">
        <f>IFERROR(IF(CX1064+1=1,"",(CX1064+1)),"")</f>
        <v/>
      </c>
      <c r="CY1082" s="259" t="str">
        <f t="shared" ca="1" si="1209"/>
        <v>MASTRO</v>
      </c>
      <c r="DB1082" s="259" t="str">
        <f t="shared" ref="DB1082" ca="1" si="1219">CY1082</f>
        <v>MASTRO</v>
      </c>
      <c r="DF1082" s="259">
        <f ca="1">IF(AND(CX1082=$DE$2,$DF$2&lt;&gt;0),0,IF(AND(DB1082&lt;&gt;"",OR(DB1081&lt;&gt;"",DB1083&lt;&gt;"")),MAX($DF$2:DF1081)+1,0))</f>
        <v>0</v>
      </c>
    </row>
    <row r="1083" spans="102:110">
      <c r="CX1083" s="259">
        <f ca="1">$EA$63</f>
        <v>61</v>
      </c>
      <c r="CY1083" s="259" t="str">
        <f t="shared" ca="1" si="1209"/>
        <v>MASTRO</v>
      </c>
      <c r="DA1083" s="259" t="str">
        <f ca="1">IF(CY1082="MASTRO","Conto n.","")</f>
        <v>Conto n.</v>
      </c>
      <c r="DB1083" s="259" t="str">
        <f ca="1">IF(CY1083=0,"",INDEX(PIANO_DEI_CONTI,MATCH(DC1083,DENOMINAZIONE,0),1))</f>
        <v/>
      </c>
      <c r="DC1083" s="259" t="str">
        <f ca="1">IF(OR(CY1083=0,CY1083="mastro"),"",CY1083)</f>
        <v/>
      </c>
      <c r="DD1083" s="259" t="str">
        <f ca="1">IF(AND($DA$2=TRUE,OR(INDEX(PIANO_DEI_CONTI,MATCH($DC1083,DENOMINAZIONE,0),4)="A",INDEX(PIANO_DEI_CONTI,MATCH($DC1083,DENOMINAZIONE,0),4)="D/A"),SUMIFS(AVERE,DENOMINAZIONE_GIORNALE,"="&amp;$DC1083)&gt;SUMIFS(DARE,DENOMINAZIONE_GIORNALE,"="&amp;$DC1083)),CONCATENATE("s ",FIXED(ABS(SUMIFS(AVERE,DENOMINAZIONE_GIORNALE,"="&amp;$DC1083)-SUMIFS(DARE,DENOMINAZIONE_GIORNALE,"="&amp;$DC1083)),2)),"")</f>
        <v/>
      </c>
      <c r="DE1083" s="259" t="str">
        <f ca="1">IF(AND($DA$2=TRUE,OR(INDEX(PIANO_DEI_CONTI,MATCH($DC1083,DENOMINAZIONE,0),4)="D",INDEX(PIANO_DEI_CONTI,MATCH($DC1083,DENOMINAZIONE,0),4)="D/A"),SUMIFS(DARE,DENOMINAZIONE_GIORNALE,"="&amp;$DC1083)&gt;SUMIFS(AVERE,DENOMINAZIONE_GIORNALE,"="&amp;$DC1083)),CONCATENATE("s ",FIXED(ABS(SUMIFS(DARE,DENOMINAZIONE_GIORNALE,"="&amp;$DC1083)-SUMIFS(AVERE,DENOMINAZIONE_GIORNALE,"="&amp;$DC1083)),2)),"")</f>
        <v/>
      </c>
      <c r="DF1083" s="259">
        <f ca="1">IF(AND(CX1083=$DE$2,$DF$2&lt;&gt;0),0,IF(AND(DB1083&lt;&gt;"",OR(DB1082&lt;&gt;"",DB1084&lt;&gt;"")),MAX($DF$2:DF1082)+1,0))</f>
        <v>0</v>
      </c>
    </row>
    <row r="1084" spans="102:110">
      <c r="CX1084" s="259">
        <f t="shared" ref="CX1084:CX1099" ca="1" si="1220">$EA$63</f>
        <v>61</v>
      </c>
      <c r="CY1084" s="259" t="str">
        <f t="shared" ca="1" si="1209"/>
        <v>MASTRO</v>
      </c>
      <c r="DA1084" s="259" t="str">
        <f ca="1">IF(DB1083="","","Num. riga")</f>
        <v/>
      </c>
      <c r="DB1084" s="259" t="str">
        <f t="shared" ref="DB1084" ca="1" si="1221">IF(DB1083="","","Data")</f>
        <v/>
      </c>
      <c r="DC1084" s="259" t="str">
        <f ca="1">IF(DB1083="","","Operazioni")</f>
        <v/>
      </c>
      <c r="DD1084" s="259" t="str">
        <f ca="1">IF(DB1083="","","Dare        ")</f>
        <v/>
      </c>
      <c r="DE1084" s="259" t="str">
        <f ca="1">IF(DB1083="","","Avere        ")</f>
        <v/>
      </c>
      <c r="DF1084" s="259">
        <f ca="1">IF(AND(CX1084=$DE$2,$DF$2&lt;&gt;0),0,IF(AND(DB1084&lt;&gt;"",OR(DB1083&lt;&gt;"",DB1085&lt;&gt;"")),MAX($DF$2:DF1083)+1,0))</f>
        <v>0</v>
      </c>
    </row>
    <row r="1085" spans="102:110">
      <c r="CX1085" s="259">
        <f t="shared" ca="1" si="1220"/>
        <v>61</v>
      </c>
      <c r="CY1085" s="259" t="str">
        <f t="shared" ca="1" si="1209"/>
        <v>MASTRO</v>
      </c>
      <c r="CZ1085" s="259" t="e">
        <f t="shared" ref="CZ1085:CZ1099" ca="1" si="1222">SUM(MATCH($CY1085,INDIRECT(ADDRESS(SUM(CZ1084)+3,54)&amp;":"&amp;ADDRESS(400,54)),0),CZ1084)</f>
        <v>#N/A</v>
      </c>
      <c r="DA1085" s="259" t="str">
        <f ca="1">IFERROR(INDEX(LIBRO_GIORNALE,CZ1085,1),"")</f>
        <v/>
      </c>
      <c r="DB1085" s="259" t="str">
        <f t="shared" ref="DB1085:DB1099" ca="1" si="1223">IF(RIGHT(TEXT(IFERROR(INDEX(LIBRO_GIORNALE,CZ1085,2),""),"gg/mm/aa"),1)="a",TEXT(IFERROR(INDEX(LIBRO_GIORNALE,CZ1085,2),""),"dd/mm/yy"),TEXT(IFERROR(INDEX(LIBRO_GIORNALE,CZ1085,2),""),"gg/mm/aa"))</f>
        <v/>
      </c>
      <c r="DC1085" s="259" t="str">
        <f t="shared" ref="DC1085:DC1099" ca="1" si="1224">IF(IFERROR(INDEX(LIBRO_GIORNALE,CZ1085,4),"")=0,"manca la descrizione dell'operazione",IFERROR(INDEX(LIBRO_GIORNALE,CZ1085,4),""))</f>
        <v/>
      </c>
      <c r="DD1085" s="259" t="str">
        <f t="shared" ref="DD1085:DD1099" ca="1" si="1225">IFERROR(IF(INDEX(LIBRO_GIORNALE,CZ1085,5)&gt;0,INDEX(LIBRO_GIORNALE,CZ1085,5),""),"")</f>
        <v/>
      </c>
      <c r="DE1085" s="259" t="str">
        <f t="shared" ref="DE1085:DE1099" ca="1" si="1226">IFERROR(IF(INDEX(LIBRO_GIORNALE,CZ1085,6)&gt;0,INDEX(LIBRO_GIORNALE,CZ1085,6),""),"")</f>
        <v/>
      </c>
      <c r="DF1085" s="259">
        <f ca="1">IF(AND(CX1085=$DE$2,$DF$2&lt;&gt;0),0,IF(AND(DB1085&lt;&gt;"",OR(DB1084&lt;&gt;"",DB1086&lt;&gt;"")),MAX($DF$2:DF1084)+1,0))</f>
        <v>0</v>
      </c>
    </row>
    <row r="1086" spans="102:110">
      <c r="CX1086" s="259">
        <f t="shared" ca="1" si="1220"/>
        <v>61</v>
      </c>
      <c r="CY1086" s="259" t="str">
        <f t="shared" ca="1" si="1209"/>
        <v>MASTRO</v>
      </c>
      <c r="CZ1086" s="259" t="e">
        <f t="shared" ca="1" si="1222"/>
        <v>#N/A</v>
      </c>
      <c r="DA1086" s="259" t="str">
        <f t="shared" ref="DA1086:DA1099" ca="1" si="1227">IFERROR(INDEX(LIBRO_GIORNALE,CZ1086,1),"")</f>
        <v/>
      </c>
      <c r="DB1086" s="259" t="str">
        <f t="shared" ca="1" si="1223"/>
        <v/>
      </c>
      <c r="DC1086" s="259" t="str">
        <f t="shared" ca="1" si="1224"/>
        <v/>
      </c>
      <c r="DD1086" s="259" t="str">
        <f t="shared" ca="1" si="1225"/>
        <v/>
      </c>
      <c r="DE1086" s="259" t="str">
        <f t="shared" ca="1" si="1226"/>
        <v/>
      </c>
      <c r="DF1086" s="259">
        <f ca="1">IF(AND(CX1086=$DE$2,$DF$2&lt;&gt;0),0,IF(AND(DB1086&lt;&gt;"",OR(DB1085&lt;&gt;"",DB1087&lt;&gt;"")),MAX($DF$2:DF1085)+1,0))</f>
        <v>0</v>
      </c>
    </row>
    <row r="1087" spans="102:110">
      <c r="CX1087" s="259">
        <f t="shared" ca="1" si="1220"/>
        <v>61</v>
      </c>
      <c r="CY1087" s="259" t="str">
        <f t="shared" ca="1" si="1209"/>
        <v>MASTRO</v>
      </c>
      <c r="CZ1087" s="259" t="e">
        <f t="shared" ca="1" si="1222"/>
        <v>#N/A</v>
      </c>
      <c r="DA1087" s="259" t="str">
        <f t="shared" ca="1" si="1227"/>
        <v/>
      </c>
      <c r="DB1087" s="259" t="str">
        <f t="shared" ca="1" si="1223"/>
        <v/>
      </c>
      <c r="DC1087" s="259" t="str">
        <f t="shared" ca="1" si="1224"/>
        <v/>
      </c>
      <c r="DD1087" s="259" t="str">
        <f t="shared" ca="1" si="1225"/>
        <v/>
      </c>
      <c r="DE1087" s="259" t="str">
        <f t="shared" ca="1" si="1226"/>
        <v/>
      </c>
      <c r="DF1087" s="259">
        <f ca="1">IF(AND(CX1087=$DE$2,$DF$2&lt;&gt;0),0,IF(AND(DB1087&lt;&gt;"",OR(DB1086&lt;&gt;"",DB1088&lt;&gt;"")),MAX($DF$2:DF1086)+1,0))</f>
        <v>0</v>
      </c>
    </row>
    <row r="1088" spans="102:110">
      <c r="CX1088" s="259">
        <f t="shared" ca="1" si="1220"/>
        <v>61</v>
      </c>
      <c r="CY1088" s="259" t="str">
        <f t="shared" ca="1" si="1209"/>
        <v>MASTRO</v>
      </c>
      <c r="CZ1088" s="259" t="e">
        <f t="shared" ca="1" si="1222"/>
        <v>#N/A</v>
      </c>
      <c r="DA1088" s="259" t="str">
        <f t="shared" ca="1" si="1227"/>
        <v/>
      </c>
      <c r="DB1088" s="259" t="str">
        <f t="shared" ca="1" si="1223"/>
        <v/>
      </c>
      <c r="DC1088" s="259" t="str">
        <f t="shared" ca="1" si="1224"/>
        <v/>
      </c>
      <c r="DD1088" s="259" t="str">
        <f t="shared" ca="1" si="1225"/>
        <v/>
      </c>
      <c r="DE1088" s="259" t="str">
        <f t="shared" ca="1" si="1226"/>
        <v/>
      </c>
      <c r="DF1088" s="259">
        <f ca="1">IF(AND(CX1088=$DE$2,$DF$2&lt;&gt;0),0,IF(AND(DB1088&lt;&gt;"",OR(DB1087&lt;&gt;"",DB1089&lt;&gt;"")),MAX($DF$2:DF1087)+1,0))</f>
        <v>0</v>
      </c>
    </row>
    <row r="1089" spans="102:110">
      <c r="CX1089" s="259">
        <f t="shared" ca="1" si="1220"/>
        <v>61</v>
      </c>
      <c r="CY1089" s="259" t="str">
        <f t="shared" ca="1" si="1209"/>
        <v>MASTRO</v>
      </c>
      <c r="CZ1089" s="259" t="e">
        <f t="shared" ca="1" si="1222"/>
        <v>#N/A</v>
      </c>
      <c r="DA1089" s="259" t="str">
        <f t="shared" ca="1" si="1227"/>
        <v/>
      </c>
      <c r="DB1089" s="259" t="str">
        <f t="shared" ca="1" si="1223"/>
        <v/>
      </c>
      <c r="DC1089" s="259" t="str">
        <f t="shared" ca="1" si="1224"/>
        <v/>
      </c>
      <c r="DD1089" s="259" t="str">
        <f t="shared" ca="1" si="1225"/>
        <v/>
      </c>
      <c r="DE1089" s="259" t="str">
        <f t="shared" ca="1" si="1226"/>
        <v/>
      </c>
      <c r="DF1089" s="259">
        <f ca="1">IF(AND(CX1089=$DE$2,$DF$2&lt;&gt;0),0,IF(AND(DB1089&lt;&gt;"",OR(DB1088&lt;&gt;"",DB1090&lt;&gt;"")),MAX($DF$2:DF1088)+1,0))</f>
        <v>0</v>
      </c>
    </row>
    <row r="1090" spans="102:110">
      <c r="CX1090" s="259">
        <f t="shared" ca="1" si="1220"/>
        <v>61</v>
      </c>
      <c r="CY1090" s="259" t="str">
        <f t="shared" ca="1" si="1209"/>
        <v>MASTRO</v>
      </c>
      <c r="CZ1090" s="259" t="e">
        <f t="shared" ca="1" si="1222"/>
        <v>#N/A</v>
      </c>
      <c r="DA1090" s="259" t="str">
        <f t="shared" ca="1" si="1227"/>
        <v/>
      </c>
      <c r="DB1090" s="259" t="str">
        <f t="shared" ca="1" si="1223"/>
        <v/>
      </c>
      <c r="DC1090" s="259" t="str">
        <f t="shared" ca="1" si="1224"/>
        <v/>
      </c>
      <c r="DD1090" s="259" t="str">
        <f t="shared" ca="1" si="1225"/>
        <v/>
      </c>
      <c r="DE1090" s="259" t="str">
        <f t="shared" ca="1" si="1226"/>
        <v/>
      </c>
      <c r="DF1090" s="259">
        <f ca="1">IF(AND(CX1090=$DE$2,$DF$2&lt;&gt;0),0,IF(AND(DB1090&lt;&gt;"",OR(DB1089&lt;&gt;"",DB1091&lt;&gt;"")),MAX($DF$2:DF1089)+1,0))</f>
        <v>0</v>
      </c>
    </row>
    <row r="1091" spans="102:110">
      <c r="CX1091" s="259">
        <f t="shared" ca="1" si="1220"/>
        <v>61</v>
      </c>
      <c r="CY1091" s="259" t="str">
        <f t="shared" ca="1" si="1209"/>
        <v>MASTRO</v>
      </c>
      <c r="CZ1091" s="259" t="e">
        <f t="shared" ca="1" si="1222"/>
        <v>#N/A</v>
      </c>
      <c r="DA1091" s="259" t="str">
        <f t="shared" ca="1" si="1227"/>
        <v/>
      </c>
      <c r="DB1091" s="259" t="str">
        <f t="shared" ca="1" si="1223"/>
        <v/>
      </c>
      <c r="DC1091" s="259" t="str">
        <f t="shared" ca="1" si="1224"/>
        <v/>
      </c>
      <c r="DD1091" s="259" t="str">
        <f t="shared" ca="1" si="1225"/>
        <v/>
      </c>
      <c r="DE1091" s="259" t="str">
        <f t="shared" ca="1" si="1226"/>
        <v/>
      </c>
      <c r="DF1091" s="259">
        <f ca="1">IF(AND(CX1091=$DE$2,$DF$2&lt;&gt;0),0,IF(AND(DB1091&lt;&gt;"",OR(DB1090&lt;&gt;"",DB1092&lt;&gt;"")),MAX($DF$2:DF1090)+1,0))</f>
        <v>0</v>
      </c>
    </row>
    <row r="1092" spans="102:110">
      <c r="CX1092" s="259">
        <f t="shared" ca="1" si="1220"/>
        <v>61</v>
      </c>
      <c r="CY1092" s="259" t="str">
        <f t="shared" ca="1" si="1209"/>
        <v>MASTRO</v>
      </c>
      <c r="CZ1092" s="259" t="e">
        <f t="shared" ca="1" si="1222"/>
        <v>#N/A</v>
      </c>
      <c r="DA1092" s="259" t="str">
        <f t="shared" ca="1" si="1227"/>
        <v/>
      </c>
      <c r="DB1092" s="259" t="str">
        <f t="shared" ca="1" si="1223"/>
        <v/>
      </c>
      <c r="DC1092" s="259" t="str">
        <f t="shared" ca="1" si="1224"/>
        <v/>
      </c>
      <c r="DD1092" s="259" t="str">
        <f t="shared" ca="1" si="1225"/>
        <v/>
      </c>
      <c r="DE1092" s="259" t="str">
        <f t="shared" ca="1" si="1226"/>
        <v/>
      </c>
      <c r="DF1092" s="259">
        <f ca="1">IF(AND(CX1092=$DE$2,$DF$2&lt;&gt;0),0,IF(AND(DB1092&lt;&gt;"",OR(DB1091&lt;&gt;"",DB1093&lt;&gt;"")),MAX($DF$2:DF1091)+1,0))</f>
        <v>0</v>
      </c>
    </row>
    <row r="1093" spans="102:110">
      <c r="CX1093" s="259">
        <f t="shared" ca="1" si="1220"/>
        <v>61</v>
      </c>
      <c r="CY1093" s="259" t="str">
        <f t="shared" ca="1" si="1209"/>
        <v>MASTRO</v>
      </c>
      <c r="CZ1093" s="259" t="e">
        <f t="shared" ca="1" si="1222"/>
        <v>#N/A</v>
      </c>
      <c r="DA1093" s="259" t="str">
        <f t="shared" ca="1" si="1227"/>
        <v/>
      </c>
      <c r="DB1093" s="259" t="str">
        <f t="shared" ca="1" si="1223"/>
        <v/>
      </c>
      <c r="DC1093" s="259" t="str">
        <f t="shared" ca="1" si="1224"/>
        <v/>
      </c>
      <c r="DD1093" s="259" t="str">
        <f t="shared" ca="1" si="1225"/>
        <v/>
      </c>
      <c r="DE1093" s="259" t="str">
        <f t="shared" ca="1" si="1226"/>
        <v/>
      </c>
      <c r="DF1093" s="259">
        <f ca="1">IF(AND(CX1093=$DE$2,$DF$2&lt;&gt;0),0,IF(AND(DB1093&lt;&gt;"",OR(DB1092&lt;&gt;"",DB1094&lt;&gt;"")),MAX($DF$2:DF1092)+1,0))</f>
        <v>0</v>
      </c>
    </row>
    <row r="1094" spans="102:110">
      <c r="CX1094" s="259">
        <f t="shared" ca="1" si="1220"/>
        <v>61</v>
      </c>
      <c r="CY1094" s="259" t="str">
        <f t="shared" ref="CY1094:CY1125" ca="1" si="1228">IF(ISERROR(INDEX($CV$3:$CX$2300,MATCH(CX1094,$CW$3:$CW$2300,0),1)),"MASTRO",INDEX($CV$3:$CX$2300,MATCH(CX1094,$CW$3:$CW$2300,0),1))</f>
        <v>MASTRO</v>
      </c>
      <c r="CZ1094" s="259" t="e">
        <f t="shared" ca="1" si="1222"/>
        <v>#N/A</v>
      </c>
      <c r="DA1094" s="259" t="str">
        <f t="shared" ca="1" si="1227"/>
        <v/>
      </c>
      <c r="DB1094" s="259" t="str">
        <f t="shared" ca="1" si="1223"/>
        <v/>
      </c>
      <c r="DC1094" s="259" t="str">
        <f t="shared" ca="1" si="1224"/>
        <v/>
      </c>
      <c r="DD1094" s="259" t="str">
        <f t="shared" ca="1" si="1225"/>
        <v/>
      </c>
      <c r="DE1094" s="259" t="str">
        <f t="shared" ca="1" si="1226"/>
        <v/>
      </c>
      <c r="DF1094" s="259">
        <f ca="1">IF(AND(CX1094=$DE$2,$DF$2&lt;&gt;0),0,IF(AND(DB1094&lt;&gt;"",OR(DB1093&lt;&gt;"",DB1095&lt;&gt;"")),MAX($DF$2:DF1093)+1,0))</f>
        <v>0</v>
      </c>
    </row>
    <row r="1095" spans="102:110">
      <c r="CX1095" s="259">
        <f t="shared" ca="1" si="1220"/>
        <v>61</v>
      </c>
      <c r="CY1095" s="259" t="str">
        <f t="shared" ca="1" si="1228"/>
        <v>MASTRO</v>
      </c>
      <c r="CZ1095" s="259" t="e">
        <f t="shared" ca="1" si="1222"/>
        <v>#N/A</v>
      </c>
      <c r="DA1095" s="259" t="str">
        <f t="shared" ca="1" si="1227"/>
        <v/>
      </c>
      <c r="DB1095" s="259" t="str">
        <f t="shared" ca="1" si="1223"/>
        <v/>
      </c>
      <c r="DC1095" s="259" t="str">
        <f t="shared" ca="1" si="1224"/>
        <v/>
      </c>
      <c r="DD1095" s="259" t="str">
        <f t="shared" ca="1" si="1225"/>
        <v/>
      </c>
      <c r="DE1095" s="259" t="str">
        <f t="shared" ca="1" si="1226"/>
        <v/>
      </c>
      <c r="DF1095" s="259">
        <f ca="1">IF(AND(CX1095=$DE$2,$DF$2&lt;&gt;0),0,IF(AND(DB1095&lt;&gt;"",OR(DB1094&lt;&gt;"",DB1096&lt;&gt;"")),MAX($DF$2:DF1094)+1,0))</f>
        <v>0</v>
      </c>
    </row>
    <row r="1096" spans="102:110">
      <c r="CX1096" s="259">
        <f t="shared" ca="1" si="1220"/>
        <v>61</v>
      </c>
      <c r="CY1096" s="259" t="str">
        <f t="shared" ca="1" si="1228"/>
        <v>MASTRO</v>
      </c>
      <c r="CZ1096" s="259" t="e">
        <f t="shared" ca="1" si="1222"/>
        <v>#N/A</v>
      </c>
      <c r="DA1096" s="259" t="str">
        <f t="shared" ca="1" si="1227"/>
        <v/>
      </c>
      <c r="DB1096" s="259" t="str">
        <f t="shared" ca="1" si="1223"/>
        <v/>
      </c>
      <c r="DC1096" s="259" t="str">
        <f t="shared" ca="1" si="1224"/>
        <v/>
      </c>
      <c r="DD1096" s="259" t="str">
        <f t="shared" ca="1" si="1225"/>
        <v/>
      </c>
      <c r="DE1096" s="259" t="str">
        <f t="shared" ca="1" si="1226"/>
        <v/>
      </c>
      <c r="DF1096" s="259">
        <f ca="1">IF(AND(CX1096=$DE$2,$DF$2&lt;&gt;0),0,IF(AND(DB1096&lt;&gt;"",OR(DB1095&lt;&gt;"",DB1097&lt;&gt;"")),MAX($DF$2:DF1095)+1,0))</f>
        <v>0</v>
      </c>
    </row>
    <row r="1097" spans="102:110">
      <c r="CX1097" s="259">
        <f t="shared" ca="1" si="1220"/>
        <v>61</v>
      </c>
      <c r="CY1097" s="259" t="str">
        <f t="shared" ca="1" si="1228"/>
        <v>MASTRO</v>
      </c>
      <c r="CZ1097" s="259" t="e">
        <f t="shared" ca="1" si="1222"/>
        <v>#N/A</v>
      </c>
      <c r="DA1097" s="259" t="str">
        <f t="shared" ca="1" si="1227"/>
        <v/>
      </c>
      <c r="DB1097" s="259" t="str">
        <f t="shared" ca="1" si="1223"/>
        <v/>
      </c>
      <c r="DC1097" s="259" t="str">
        <f t="shared" ca="1" si="1224"/>
        <v/>
      </c>
      <c r="DD1097" s="259" t="str">
        <f t="shared" ca="1" si="1225"/>
        <v/>
      </c>
      <c r="DE1097" s="259" t="str">
        <f t="shared" ca="1" si="1226"/>
        <v/>
      </c>
      <c r="DF1097" s="259">
        <f ca="1">IF(AND(CX1097=$DE$2,$DF$2&lt;&gt;0),0,IF(AND(DB1097&lt;&gt;"",OR(DB1096&lt;&gt;"",DB1098&lt;&gt;"")),MAX($DF$2:DF1096)+1,0))</f>
        <v>0</v>
      </c>
    </row>
    <row r="1098" spans="102:110">
      <c r="CX1098" s="259">
        <f t="shared" ca="1" si="1220"/>
        <v>61</v>
      </c>
      <c r="CY1098" s="259" t="str">
        <f t="shared" ca="1" si="1228"/>
        <v>MASTRO</v>
      </c>
      <c r="CZ1098" s="259" t="e">
        <f t="shared" ca="1" si="1222"/>
        <v>#N/A</v>
      </c>
      <c r="DA1098" s="259" t="str">
        <f t="shared" ca="1" si="1227"/>
        <v/>
      </c>
      <c r="DB1098" s="259" t="str">
        <f t="shared" ca="1" si="1223"/>
        <v/>
      </c>
      <c r="DC1098" s="259" t="str">
        <f t="shared" ca="1" si="1224"/>
        <v/>
      </c>
      <c r="DD1098" s="259" t="str">
        <f t="shared" ca="1" si="1225"/>
        <v/>
      </c>
      <c r="DE1098" s="259" t="str">
        <f t="shared" ca="1" si="1226"/>
        <v/>
      </c>
      <c r="DF1098" s="259">
        <f ca="1">IF(AND(CX1098=$DE$2,$DF$2&lt;&gt;0),0,IF(AND(DB1098&lt;&gt;"",OR(DB1097&lt;&gt;"",DB1099&lt;&gt;"")),MAX($DF$2:DF1097)+1,0))</f>
        <v>0</v>
      </c>
    </row>
    <row r="1099" spans="102:110">
      <c r="CX1099" s="259">
        <f t="shared" ca="1" si="1220"/>
        <v>61</v>
      </c>
      <c r="CY1099" s="259" t="str">
        <f t="shared" ca="1" si="1228"/>
        <v>MASTRO</v>
      </c>
      <c r="CZ1099" s="259" t="e">
        <f t="shared" ca="1" si="1222"/>
        <v>#N/A</v>
      </c>
      <c r="DA1099" s="259" t="str">
        <f t="shared" ca="1" si="1227"/>
        <v/>
      </c>
      <c r="DB1099" s="259" t="str">
        <f t="shared" ca="1" si="1223"/>
        <v/>
      </c>
      <c r="DC1099" s="259" t="str">
        <f t="shared" ca="1" si="1224"/>
        <v/>
      </c>
      <c r="DD1099" s="259" t="str">
        <f t="shared" ca="1" si="1225"/>
        <v/>
      </c>
      <c r="DE1099" s="259" t="str">
        <f t="shared" ca="1" si="1226"/>
        <v/>
      </c>
      <c r="DF1099" s="259">
        <f ca="1">IF(AND(CX1099=$DE$2,$DF$2&lt;&gt;0),0,IF(AND(DB1099&lt;&gt;"",OR(DB1098&lt;&gt;"",DB1100&lt;&gt;"")),MAX($DF$2:DF1098)+1,0))</f>
        <v>0</v>
      </c>
    </row>
    <row r="1100" spans="102:110">
      <c r="CX1100" s="259" t="str">
        <f>IFERROR(IF(CX1082+1=1,"",(CX1082+1)),"")</f>
        <v/>
      </c>
      <c r="CY1100" s="259" t="str">
        <f t="shared" ca="1" si="1228"/>
        <v>MASTRO</v>
      </c>
      <c r="DB1100" s="259" t="str">
        <f t="shared" ref="DB1100" ca="1" si="1229">CY1100</f>
        <v>MASTRO</v>
      </c>
      <c r="DF1100" s="259">
        <f ca="1">IF(AND(CX1100=$DE$2,$DF$2&lt;&gt;0),0,IF(AND(DB1100&lt;&gt;"",OR(DB1099&lt;&gt;"",DB1101&lt;&gt;"")),MAX($DF$2:DF1099)+1,0))</f>
        <v>0</v>
      </c>
    </row>
    <row r="1101" spans="102:110">
      <c r="CX1101" s="259">
        <f ca="1">$EA$64</f>
        <v>62</v>
      </c>
      <c r="CY1101" s="259" t="str">
        <f t="shared" ca="1" si="1228"/>
        <v>MASTRO</v>
      </c>
      <c r="DA1101" s="259" t="str">
        <f ca="1">IF(CY1100="MASTRO","Conto n.","")</f>
        <v>Conto n.</v>
      </c>
      <c r="DB1101" s="259" t="str">
        <f ca="1">IF(CY1101=0,"",INDEX(PIANO_DEI_CONTI,MATCH(DC1101,DENOMINAZIONE,0),1))</f>
        <v/>
      </c>
      <c r="DC1101" s="259" t="str">
        <f ca="1">IF(OR(CY1101=0,CY1101="mastro"),"",CY1101)</f>
        <v/>
      </c>
      <c r="DD1101" s="259" t="str">
        <f ca="1">IF(AND($DA$2=TRUE,OR(INDEX(PIANO_DEI_CONTI,MATCH($DC1101,DENOMINAZIONE,0),4)="A",INDEX(PIANO_DEI_CONTI,MATCH($DC1101,DENOMINAZIONE,0),4)="D/A"),SUMIFS(AVERE,DENOMINAZIONE_GIORNALE,"="&amp;$DC1101)&gt;SUMIFS(DARE,DENOMINAZIONE_GIORNALE,"="&amp;$DC1101)),CONCATENATE("s ",FIXED(ABS(SUMIFS(AVERE,DENOMINAZIONE_GIORNALE,"="&amp;$DC1101)-SUMIFS(DARE,DENOMINAZIONE_GIORNALE,"="&amp;$DC1101)),2)),"")</f>
        <v/>
      </c>
      <c r="DE1101" s="259" t="str">
        <f ca="1">IF(AND($DA$2=TRUE,OR(INDEX(PIANO_DEI_CONTI,MATCH($DC1101,DENOMINAZIONE,0),4)="D",INDEX(PIANO_DEI_CONTI,MATCH($DC1101,DENOMINAZIONE,0),4)="D/A"),SUMIFS(DARE,DENOMINAZIONE_GIORNALE,"="&amp;$DC1101)&gt;SUMIFS(AVERE,DENOMINAZIONE_GIORNALE,"="&amp;$DC1101)),CONCATENATE("s ",FIXED(ABS(SUMIFS(DARE,DENOMINAZIONE_GIORNALE,"="&amp;$DC1101)-SUMIFS(AVERE,DENOMINAZIONE_GIORNALE,"="&amp;$DC1101)),2)),"")</f>
        <v/>
      </c>
      <c r="DF1101" s="259">
        <f ca="1">IF(AND(CX1101=$DE$2,$DF$2&lt;&gt;0),0,IF(AND(DB1101&lt;&gt;"",OR(DB1100&lt;&gt;"",DB1102&lt;&gt;"")),MAX($DF$2:DF1100)+1,0))</f>
        <v>0</v>
      </c>
    </row>
    <row r="1102" spans="102:110">
      <c r="CX1102" s="259">
        <f t="shared" ref="CX1102:CX1117" ca="1" si="1230">$EA$64</f>
        <v>62</v>
      </c>
      <c r="CY1102" s="259" t="str">
        <f t="shared" ca="1" si="1228"/>
        <v>MASTRO</v>
      </c>
      <c r="DA1102" s="259" t="str">
        <f ca="1">IF(DB1101="","","Num. riga")</f>
        <v/>
      </c>
      <c r="DB1102" s="259" t="str">
        <f t="shared" ref="DB1102" ca="1" si="1231">IF(DB1101="","","Data")</f>
        <v/>
      </c>
      <c r="DC1102" s="259" t="str">
        <f ca="1">IF(DB1101="","","Operazioni")</f>
        <v/>
      </c>
      <c r="DD1102" s="259" t="str">
        <f ca="1">IF(DB1101="","","Dare        ")</f>
        <v/>
      </c>
      <c r="DE1102" s="259" t="str">
        <f ca="1">IF(DB1101="","","Avere        ")</f>
        <v/>
      </c>
      <c r="DF1102" s="259">
        <f ca="1">IF(AND(CX1102=$DE$2,$DF$2&lt;&gt;0),0,IF(AND(DB1102&lt;&gt;"",OR(DB1101&lt;&gt;"",DB1103&lt;&gt;"")),MAX($DF$2:DF1101)+1,0))</f>
        <v>0</v>
      </c>
    </row>
    <row r="1103" spans="102:110">
      <c r="CX1103" s="259">
        <f t="shared" ca="1" si="1230"/>
        <v>62</v>
      </c>
      <c r="CY1103" s="259" t="str">
        <f t="shared" ca="1" si="1228"/>
        <v>MASTRO</v>
      </c>
      <c r="CZ1103" s="259" t="e">
        <f t="shared" ref="CZ1103:CZ1117" ca="1" si="1232">SUM(MATCH($CY1103,INDIRECT(ADDRESS(SUM(CZ1102)+3,54)&amp;":"&amp;ADDRESS(400,54)),0),CZ1102)</f>
        <v>#N/A</v>
      </c>
      <c r="DA1103" s="259" t="str">
        <f ca="1">IFERROR(INDEX(LIBRO_GIORNALE,CZ1103,1),"")</f>
        <v/>
      </c>
      <c r="DB1103" s="259" t="str">
        <f t="shared" ref="DB1103:DB1117" ca="1" si="1233">IF(RIGHT(TEXT(IFERROR(INDEX(LIBRO_GIORNALE,CZ1103,2),""),"gg/mm/aa"),1)="a",TEXT(IFERROR(INDEX(LIBRO_GIORNALE,CZ1103,2),""),"dd/mm/yy"),TEXT(IFERROR(INDEX(LIBRO_GIORNALE,CZ1103,2),""),"gg/mm/aa"))</f>
        <v/>
      </c>
      <c r="DC1103" s="259" t="str">
        <f t="shared" ref="DC1103:DC1117" ca="1" si="1234">IF(IFERROR(INDEX(LIBRO_GIORNALE,CZ1103,4),"")=0,"manca la descrizione dell'operazione",IFERROR(INDEX(LIBRO_GIORNALE,CZ1103,4),""))</f>
        <v/>
      </c>
      <c r="DD1103" s="259" t="str">
        <f t="shared" ref="DD1103:DD1117" ca="1" si="1235">IFERROR(IF(INDEX(LIBRO_GIORNALE,CZ1103,5)&gt;0,INDEX(LIBRO_GIORNALE,CZ1103,5),""),"")</f>
        <v/>
      </c>
      <c r="DE1103" s="259" t="str">
        <f t="shared" ref="DE1103:DE1117" ca="1" si="1236">IFERROR(IF(INDEX(LIBRO_GIORNALE,CZ1103,6)&gt;0,INDEX(LIBRO_GIORNALE,CZ1103,6),""),"")</f>
        <v/>
      </c>
      <c r="DF1103" s="259">
        <f ca="1">IF(AND(CX1103=$DE$2,$DF$2&lt;&gt;0),0,IF(AND(DB1103&lt;&gt;"",OR(DB1102&lt;&gt;"",DB1104&lt;&gt;"")),MAX($DF$2:DF1102)+1,0))</f>
        <v>0</v>
      </c>
    </row>
    <row r="1104" spans="102:110">
      <c r="CX1104" s="259">
        <f t="shared" ca="1" si="1230"/>
        <v>62</v>
      </c>
      <c r="CY1104" s="259" t="str">
        <f t="shared" ca="1" si="1228"/>
        <v>MASTRO</v>
      </c>
      <c r="CZ1104" s="259" t="e">
        <f t="shared" ca="1" si="1232"/>
        <v>#N/A</v>
      </c>
      <c r="DA1104" s="259" t="str">
        <f t="shared" ref="DA1104:DA1117" ca="1" si="1237">IFERROR(INDEX(LIBRO_GIORNALE,CZ1104,1),"")</f>
        <v/>
      </c>
      <c r="DB1104" s="259" t="str">
        <f t="shared" ca="1" si="1233"/>
        <v/>
      </c>
      <c r="DC1104" s="259" t="str">
        <f t="shared" ca="1" si="1234"/>
        <v/>
      </c>
      <c r="DD1104" s="259" t="str">
        <f t="shared" ca="1" si="1235"/>
        <v/>
      </c>
      <c r="DE1104" s="259" t="str">
        <f t="shared" ca="1" si="1236"/>
        <v/>
      </c>
      <c r="DF1104" s="259">
        <f ca="1">IF(AND(CX1104=$DE$2,$DF$2&lt;&gt;0),0,IF(AND(DB1104&lt;&gt;"",OR(DB1103&lt;&gt;"",DB1105&lt;&gt;"")),MAX($DF$2:DF1103)+1,0))</f>
        <v>0</v>
      </c>
    </row>
    <row r="1105" spans="102:110">
      <c r="CX1105" s="259">
        <f t="shared" ca="1" si="1230"/>
        <v>62</v>
      </c>
      <c r="CY1105" s="259" t="str">
        <f t="shared" ca="1" si="1228"/>
        <v>MASTRO</v>
      </c>
      <c r="CZ1105" s="259" t="e">
        <f t="shared" ca="1" si="1232"/>
        <v>#N/A</v>
      </c>
      <c r="DA1105" s="259" t="str">
        <f t="shared" ca="1" si="1237"/>
        <v/>
      </c>
      <c r="DB1105" s="259" t="str">
        <f t="shared" ca="1" si="1233"/>
        <v/>
      </c>
      <c r="DC1105" s="259" t="str">
        <f t="shared" ca="1" si="1234"/>
        <v/>
      </c>
      <c r="DD1105" s="259" t="str">
        <f t="shared" ca="1" si="1235"/>
        <v/>
      </c>
      <c r="DE1105" s="259" t="str">
        <f t="shared" ca="1" si="1236"/>
        <v/>
      </c>
      <c r="DF1105" s="259">
        <f ca="1">IF(AND(CX1105=$DE$2,$DF$2&lt;&gt;0),0,IF(AND(DB1105&lt;&gt;"",OR(DB1104&lt;&gt;"",DB1106&lt;&gt;"")),MAX($DF$2:DF1104)+1,0))</f>
        <v>0</v>
      </c>
    </row>
    <row r="1106" spans="102:110">
      <c r="CX1106" s="259">
        <f t="shared" ca="1" si="1230"/>
        <v>62</v>
      </c>
      <c r="CY1106" s="259" t="str">
        <f t="shared" ca="1" si="1228"/>
        <v>MASTRO</v>
      </c>
      <c r="CZ1106" s="259" t="e">
        <f t="shared" ca="1" si="1232"/>
        <v>#N/A</v>
      </c>
      <c r="DA1106" s="259" t="str">
        <f t="shared" ca="1" si="1237"/>
        <v/>
      </c>
      <c r="DB1106" s="259" t="str">
        <f t="shared" ca="1" si="1233"/>
        <v/>
      </c>
      <c r="DC1106" s="259" t="str">
        <f t="shared" ca="1" si="1234"/>
        <v/>
      </c>
      <c r="DD1106" s="259" t="str">
        <f t="shared" ca="1" si="1235"/>
        <v/>
      </c>
      <c r="DE1106" s="259" t="str">
        <f t="shared" ca="1" si="1236"/>
        <v/>
      </c>
      <c r="DF1106" s="259">
        <f ca="1">IF(AND(CX1106=$DE$2,$DF$2&lt;&gt;0),0,IF(AND(DB1106&lt;&gt;"",OR(DB1105&lt;&gt;"",DB1107&lt;&gt;"")),MAX($DF$2:DF1105)+1,0))</f>
        <v>0</v>
      </c>
    </row>
    <row r="1107" spans="102:110">
      <c r="CX1107" s="259">
        <f t="shared" ca="1" si="1230"/>
        <v>62</v>
      </c>
      <c r="CY1107" s="259" t="str">
        <f t="shared" ca="1" si="1228"/>
        <v>MASTRO</v>
      </c>
      <c r="CZ1107" s="259" t="e">
        <f t="shared" ca="1" si="1232"/>
        <v>#N/A</v>
      </c>
      <c r="DA1107" s="259" t="str">
        <f t="shared" ca="1" si="1237"/>
        <v/>
      </c>
      <c r="DB1107" s="259" t="str">
        <f t="shared" ca="1" si="1233"/>
        <v/>
      </c>
      <c r="DC1107" s="259" t="str">
        <f t="shared" ca="1" si="1234"/>
        <v/>
      </c>
      <c r="DD1107" s="259" t="str">
        <f t="shared" ca="1" si="1235"/>
        <v/>
      </c>
      <c r="DE1107" s="259" t="str">
        <f t="shared" ca="1" si="1236"/>
        <v/>
      </c>
      <c r="DF1107" s="259">
        <f ca="1">IF(AND(CX1107=$DE$2,$DF$2&lt;&gt;0),0,IF(AND(DB1107&lt;&gt;"",OR(DB1106&lt;&gt;"",DB1108&lt;&gt;"")),MAX($DF$2:DF1106)+1,0))</f>
        <v>0</v>
      </c>
    </row>
    <row r="1108" spans="102:110">
      <c r="CX1108" s="259">
        <f t="shared" ca="1" si="1230"/>
        <v>62</v>
      </c>
      <c r="CY1108" s="259" t="str">
        <f t="shared" ca="1" si="1228"/>
        <v>MASTRO</v>
      </c>
      <c r="CZ1108" s="259" t="e">
        <f t="shared" ca="1" si="1232"/>
        <v>#N/A</v>
      </c>
      <c r="DA1108" s="259" t="str">
        <f t="shared" ca="1" si="1237"/>
        <v/>
      </c>
      <c r="DB1108" s="259" t="str">
        <f t="shared" ca="1" si="1233"/>
        <v/>
      </c>
      <c r="DC1108" s="259" t="str">
        <f t="shared" ca="1" si="1234"/>
        <v/>
      </c>
      <c r="DD1108" s="259" t="str">
        <f t="shared" ca="1" si="1235"/>
        <v/>
      </c>
      <c r="DE1108" s="259" t="str">
        <f t="shared" ca="1" si="1236"/>
        <v/>
      </c>
      <c r="DF1108" s="259">
        <f ca="1">IF(AND(CX1108=$DE$2,$DF$2&lt;&gt;0),0,IF(AND(DB1108&lt;&gt;"",OR(DB1107&lt;&gt;"",DB1109&lt;&gt;"")),MAX($DF$2:DF1107)+1,0))</f>
        <v>0</v>
      </c>
    </row>
    <row r="1109" spans="102:110">
      <c r="CX1109" s="259">
        <f t="shared" ca="1" si="1230"/>
        <v>62</v>
      </c>
      <c r="CY1109" s="259" t="str">
        <f t="shared" ca="1" si="1228"/>
        <v>MASTRO</v>
      </c>
      <c r="CZ1109" s="259" t="e">
        <f t="shared" ca="1" si="1232"/>
        <v>#N/A</v>
      </c>
      <c r="DA1109" s="259" t="str">
        <f t="shared" ca="1" si="1237"/>
        <v/>
      </c>
      <c r="DB1109" s="259" t="str">
        <f t="shared" ca="1" si="1233"/>
        <v/>
      </c>
      <c r="DC1109" s="259" t="str">
        <f t="shared" ca="1" si="1234"/>
        <v/>
      </c>
      <c r="DD1109" s="259" t="str">
        <f t="shared" ca="1" si="1235"/>
        <v/>
      </c>
      <c r="DE1109" s="259" t="str">
        <f t="shared" ca="1" si="1236"/>
        <v/>
      </c>
      <c r="DF1109" s="259">
        <f ca="1">IF(AND(CX1109=$DE$2,$DF$2&lt;&gt;0),0,IF(AND(DB1109&lt;&gt;"",OR(DB1108&lt;&gt;"",DB1110&lt;&gt;"")),MAX($DF$2:DF1108)+1,0))</f>
        <v>0</v>
      </c>
    </row>
    <row r="1110" spans="102:110">
      <c r="CX1110" s="259">
        <f t="shared" ca="1" si="1230"/>
        <v>62</v>
      </c>
      <c r="CY1110" s="259" t="str">
        <f t="shared" ca="1" si="1228"/>
        <v>MASTRO</v>
      </c>
      <c r="CZ1110" s="259" t="e">
        <f t="shared" ca="1" si="1232"/>
        <v>#N/A</v>
      </c>
      <c r="DA1110" s="259" t="str">
        <f t="shared" ca="1" si="1237"/>
        <v/>
      </c>
      <c r="DB1110" s="259" t="str">
        <f t="shared" ca="1" si="1233"/>
        <v/>
      </c>
      <c r="DC1110" s="259" t="str">
        <f t="shared" ca="1" si="1234"/>
        <v/>
      </c>
      <c r="DD1110" s="259" t="str">
        <f t="shared" ca="1" si="1235"/>
        <v/>
      </c>
      <c r="DE1110" s="259" t="str">
        <f t="shared" ca="1" si="1236"/>
        <v/>
      </c>
      <c r="DF1110" s="259">
        <f ca="1">IF(AND(CX1110=$DE$2,$DF$2&lt;&gt;0),0,IF(AND(DB1110&lt;&gt;"",OR(DB1109&lt;&gt;"",DB1111&lt;&gt;"")),MAX($DF$2:DF1109)+1,0))</f>
        <v>0</v>
      </c>
    </row>
    <row r="1111" spans="102:110">
      <c r="CX1111" s="259">
        <f t="shared" ca="1" si="1230"/>
        <v>62</v>
      </c>
      <c r="CY1111" s="259" t="str">
        <f t="shared" ca="1" si="1228"/>
        <v>MASTRO</v>
      </c>
      <c r="CZ1111" s="259" t="e">
        <f t="shared" ca="1" si="1232"/>
        <v>#N/A</v>
      </c>
      <c r="DA1111" s="259" t="str">
        <f t="shared" ca="1" si="1237"/>
        <v/>
      </c>
      <c r="DB1111" s="259" t="str">
        <f t="shared" ca="1" si="1233"/>
        <v/>
      </c>
      <c r="DC1111" s="259" t="str">
        <f t="shared" ca="1" si="1234"/>
        <v/>
      </c>
      <c r="DD1111" s="259" t="str">
        <f t="shared" ca="1" si="1235"/>
        <v/>
      </c>
      <c r="DE1111" s="259" t="str">
        <f t="shared" ca="1" si="1236"/>
        <v/>
      </c>
      <c r="DF1111" s="259">
        <f ca="1">IF(AND(CX1111=$DE$2,$DF$2&lt;&gt;0),0,IF(AND(DB1111&lt;&gt;"",OR(DB1110&lt;&gt;"",DB1112&lt;&gt;"")),MAX($DF$2:DF1110)+1,0))</f>
        <v>0</v>
      </c>
    </row>
    <row r="1112" spans="102:110">
      <c r="CX1112" s="259">
        <f t="shared" ca="1" si="1230"/>
        <v>62</v>
      </c>
      <c r="CY1112" s="259" t="str">
        <f t="shared" ca="1" si="1228"/>
        <v>MASTRO</v>
      </c>
      <c r="CZ1112" s="259" t="e">
        <f t="shared" ca="1" si="1232"/>
        <v>#N/A</v>
      </c>
      <c r="DA1112" s="259" t="str">
        <f t="shared" ca="1" si="1237"/>
        <v/>
      </c>
      <c r="DB1112" s="259" t="str">
        <f t="shared" ca="1" si="1233"/>
        <v/>
      </c>
      <c r="DC1112" s="259" t="str">
        <f t="shared" ca="1" si="1234"/>
        <v/>
      </c>
      <c r="DD1112" s="259" t="str">
        <f t="shared" ca="1" si="1235"/>
        <v/>
      </c>
      <c r="DE1112" s="259" t="str">
        <f t="shared" ca="1" si="1236"/>
        <v/>
      </c>
      <c r="DF1112" s="259">
        <f ca="1">IF(AND(CX1112=$DE$2,$DF$2&lt;&gt;0),0,IF(AND(DB1112&lt;&gt;"",OR(DB1111&lt;&gt;"",DB1113&lt;&gt;"")),MAX($DF$2:DF1111)+1,0))</f>
        <v>0</v>
      </c>
    </row>
    <row r="1113" spans="102:110">
      <c r="CX1113" s="259">
        <f t="shared" ca="1" si="1230"/>
        <v>62</v>
      </c>
      <c r="CY1113" s="259" t="str">
        <f t="shared" ca="1" si="1228"/>
        <v>MASTRO</v>
      </c>
      <c r="CZ1113" s="259" t="e">
        <f t="shared" ca="1" si="1232"/>
        <v>#N/A</v>
      </c>
      <c r="DA1113" s="259" t="str">
        <f t="shared" ca="1" si="1237"/>
        <v/>
      </c>
      <c r="DB1113" s="259" t="str">
        <f t="shared" ca="1" si="1233"/>
        <v/>
      </c>
      <c r="DC1113" s="259" t="str">
        <f t="shared" ca="1" si="1234"/>
        <v/>
      </c>
      <c r="DD1113" s="259" t="str">
        <f t="shared" ca="1" si="1235"/>
        <v/>
      </c>
      <c r="DE1113" s="259" t="str">
        <f t="shared" ca="1" si="1236"/>
        <v/>
      </c>
      <c r="DF1113" s="259">
        <f ca="1">IF(AND(CX1113=$DE$2,$DF$2&lt;&gt;0),0,IF(AND(DB1113&lt;&gt;"",OR(DB1112&lt;&gt;"",DB1114&lt;&gt;"")),MAX($DF$2:DF1112)+1,0))</f>
        <v>0</v>
      </c>
    </row>
    <row r="1114" spans="102:110">
      <c r="CX1114" s="259">
        <f t="shared" ca="1" si="1230"/>
        <v>62</v>
      </c>
      <c r="CY1114" s="259" t="str">
        <f t="shared" ca="1" si="1228"/>
        <v>MASTRO</v>
      </c>
      <c r="CZ1114" s="259" t="e">
        <f t="shared" ca="1" si="1232"/>
        <v>#N/A</v>
      </c>
      <c r="DA1114" s="259" t="str">
        <f t="shared" ca="1" si="1237"/>
        <v/>
      </c>
      <c r="DB1114" s="259" t="str">
        <f t="shared" ca="1" si="1233"/>
        <v/>
      </c>
      <c r="DC1114" s="259" t="str">
        <f t="shared" ca="1" si="1234"/>
        <v/>
      </c>
      <c r="DD1114" s="259" t="str">
        <f t="shared" ca="1" si="1235"/>
        <v/>
      </c>
      <c r="DE1114" s="259" t="str">
        <f t="shared" ca="1" si="1236"/>
        <v/>
      </c>
      <c r="DF1114" s="259">
        <f ca="1">IF(AND(CX1114=$DE$2,$DF$2&lt;&gt;0),0,IF(AND(DB1114&lt;&gt;"",OR(DB1113&lt;&gt;"",DB1115&lt;&gt;"")),MAX($DF$2:DF1113)+1,0))</f>
        <v>0</v>
      </c>
    </row>
    <row r="1115" spans="102:110">
      <c r="CX1115" s="259">
        <f t="shared" ca="1" si="1230"/>
        <v>62</v>
      </c>
      <c r="CY1115" s="259" t="str">
        <f t="shared" ca="1" si="1228"/>
        <v>MASTRO</v>
      </c>
      <c r="CZ1115" s="259" t="e">
        <f t="shared" ca="1" si="1232"/>
        <v>#N/A</v>
      </c>
      <c r="DA1115" s="259" t="str">
        <f t="shared" ca="1" si="1237"/>
        <v/>
      </c>
      <c r="DB1115" s="259" t="str">
        <f t="shared" ca="1" si="1233"/>
        <v/>
      </c>
      <c r="DC1115" s="259" t="str">
        <f t="shared" ca="1" si="1234"/>
        <v/>
      </c>
      <c r="DD1115" s="259" t="str">
        <f t="shared" ca="1" si="1235"/>
        <v/>
      </c>
      <c r="DE1115" s="259" t="str">
        <f t="shared" ca="1" si="1236"/>
        <v/>
      </c>
      <c r="DF1115" s="259">
        <f ca="1">IF(AND(CX1115=$DE$2,$DF$2&lt;&gt;0),0,IF(AND(DB1115&lt;&gt;"",OR(DB1114&lt;&gt;"",DB1116&lt;&gt;"")),MAX($DF$2:DF1114)+1,0))</f>
        <v>0</v>
      </c>
    </row>
    <row r="1116" spans="102:110">
      <c r="CX1116" s="259">
        <f t="shared" ca="1" si="1230"/>
        <v>62</v>
      </c>
      <c r="CY1116" s="259" t="str">
        <f t="shared" ca="1" si="1228"/>
        <v>MASTRO</v>
      </c>
      <c r="CZ1116" s="259" t="e">
        <f t="shared" ca="1" si="1232"/>
        <v>#N/A</v>
      </c>
      <c r="DA1116" s="259" t="str">
        <f t="shared" ca="1" si="1237"/>
        <v/>
      </c>
      <c r="DB1116" s="259" t="str">
        <f t="shared" ca="1" si="1233"/>
        <v/>
      </c>
      <c r="DC1116" s="259" t="str">
        <f t="shared" ca="1" si="1234"/>
        <v/>
      </c>
      <c r="DD1116" s="259" t="str">
        <f t="shared" ca="1" si="1235"/>
        <v/>
      </c>
      <c r="DE1116" s="259" t="str">
        <f t="shared" ca="1" si="1236"/>
        <v/>
      </c>
      <c r="DF1116" s="259">
        <f ca="1">IF(AND(CX1116=$DE$2,$DF$2&lt;&gt;0),0,IF(AND(DB1116&lt;&gt;"",OR(DB1115&lt;&gt;"",DB1117&lt;&gt;"")),MAX($DF$2:DF1115)+1,0))</f>
        <v>0</v>
      </c>
    </row>
    <row r="1117" spans="102:110">
      <c r="CX1117" s="259">
        <f t="shared" ca="1" si="1230"/>
        <v>62</v>
      </c>
      <c r="CY1117" s="259" t="str">
        <f t="shared" ca="1" si="1228"/>
        <v>MASTRO</v>
      </c>
      <c r="CZ1117" s="259" t="e">
        <f t="shared" ca="1" si="1232"/>
        <v>#N/A</v>
      </c>
      <c r="DA1117" s="259" t="str">
        <f t="shared" ca="1" si="1237"/>
        <v/>
      </c>
      <c r="DB1117" s="259" t="str">
        <f t="shared" ca="1" si="1233"/>
        <v/>
      </c>
      <c r="DC1117" s="259" t="str">
        <f t="shared" ca="1" si="1234"/>
        <v/>
      </c>
      <c r="DD1117" s="259" t="str">
        <f t="shared" ca="1" si="1235"/>
        <v/>
      </c>
      <c r="DE1117" s="259" t="str">
        <f t="shared" ca="1" si="1236"/>
        <v/>
      </c>
      <c r="DF1117" s="259">
        <f ca="1">IF(AND(CX1117=$DE$2,$DF$2&lt;&gt;0),0,IF(AND(DB1117&lt;&gt;"",OR(DB1116&lt;&gt;"",DB1118&lt;&gt;"")),MAX($DF$2:DF1116)+1,0))</f>
        <v>0</v>
      </c>
    </row>
    <row r="1118" spans="102:110">
      <c r="CX1118" s="259" t="str">
        <f>IFERROR(IF(CX1100+1=1,"",(CX1100+1)),"")</f>
        <v/>
      </c>
      <c r="CY1118" s="259" t="str">
        <f t="shared" ca="1" si="1228"/>
        <v>MASTRO</v>
      </c>
      <c r="DB1118" s="259" t="str">
        <f t="shared" ref="DB1118" ca="1" si="1238">CY1118</f>
        <v>MASTRO</v>
      </c>
      <c r="DF1118" s="259">
        <f ca="1">IF(AND(CX1118=$DE$2,$DF$2&lt;&gt;0),0,IF(AND(DB1118&lt;&gt;"",OR(DB1117&lt;&gt;"",DB1119&lt;&gt;"")),MAX($DF$2:DF1117)+1,0))</f>
        <v>0</v>
      </c>
    </row>
    <row r="1119" spans="102:110">
      <c r="CX1119" s="259">
        <f ca="1">$EA$65</f>
        <v>63</v>
      </c>
      <c r="CY1119" s="259" t="str">
        <f t="shared" ca="1" si="1228"/>
        <v>MASTRO</v>
      </c>
      <c r="DA1119" s="259" t="str">
        <f ca="1">IF(CY1118="MASTRO","Conto n.","")</f>
        <v>Conto n.</v>
      </c>
      <c r="DB1119" s="259" t="str">
        <f ca="1">IF(CY1119=0,"",INDEX(PIANO_DEI_CONTI,MATCH(DC1119,DENOMINAZIONE,0),1))</f>
        <v/>
      </c>
      <c r="DC1119" s="259" t="str">
        <f ca="1">IF(OR(CY1119=0,CY1119="mastro"),"",CY1119)</f>
        <v/>
      </c>
      <c r="DD1119" s="259" t="str">
        <f ca="1">IF(AND($DA$2=TRUE,OR(INDEX(PIANO_DEI_CONTI,MATCH($DC1119,DENOMINAZIONE,0),4)="A",INDEX(PIANO_DEI_CONTI,MATCH($DC1119,DENOMINAZIONE,0),4)="D/A"),SUMIFS(AVERE,DENOMINAZIONE_GIORNALE,"="&amp;$DC1119)&gt;SUMIFS(DARE,DENOMINAZIONE_GIORNALE,"="&amp;$DC1119)),CONCATENATE("s ",FIXED(ABS(SUMIFS(AVERE,DENOMINAZIONE_GIORNALE,"="&amp;$DC1119)-SUMIFS(DARE,DENOMINAZIONE_GIORNALE,"="&amp;$DC1119)),2)),"")</f>
        <v/>
      </c>
      <c r="DE1119" s="259" t="str">
        <f ca="1">IF(AND($DA$2=TRUE,OR(INDEX(PIANO_DEI_CONTI,MATCH($DC1119,DENOMINAZIONE,0),4)="D",INDEX(PIANO_DEI_CONTI,MATCH($DC1119,DENOMINAZIONE,0),4)="D/A"),SUMIFS(DARE,DENOMINAZIONE_GIORNALE,"="&amp;$DC1119)&gt;SUMIFS(AVERE,DENOMINAZIONE_GIORNALE,"="&amp;$DC1119)),CONCATENATE("s ",FIXED(ABS(SUMIFS(DARE,DENOMINAZIONE_GIORNALE,"="&amp;$DC1119)-SUMIFS(AVERE,DENOMINAZIONE_GIORNALE,"="&amp;$DC1119)),2)),"")</f>
        <v/>
      </c>
      <c r="DF1119" s="259">
        <f ca="1">IF(AND(CX1119=$DE$2,$DF$2&lt;&gt;0),0,IF(AND(DB1119&lt;&gt;"",OR(DB1118&lt;&gt;"",DB1120&lt;&gt;"")),MAX($DF$2:DF1118)+1,0))</f>
        <v>0</v>
      </c>
    </row>
    <row r="1120" spans="102:110">
      <c r="CX1120" s="259">
        <f t="shared" ref="CX1120:CX1135" ca="1" si="1239">$EA$65</f>
        <v>63</v>
      </c>
      <c r="CY1120" s="259" t="str">
        <f t="shared" ca="1" si="1228"/>
        <v>MASTRO</v>
      </c>
      <c r="DA1120" s="259" t="str">
        <f ca="1">IF(DB1119="","","Num. riga")</f>
        <v/>
      </c>
      <c r="DB1120" s="259" t="str">
        <f t="shared" ref="DB1120" ca="1" si="1240">IF(DB1119="","","Data")</f>
        <v/>
      </c>
      <c r="DC1120" s="259" t="str">
        <f ca="1">IF(DB1119="","","Operazioni")</f>
        <v/>
      </c>
      <c r="DD1120" s="259" t="str">
        <f ca="1">IF(DB1119="","","Dare        ")</f>
        <v/>
      </c>
      <c r="DE1120" s="259" t="str">
        <f ca="1">IF(DB1119="","","Avere        ")</f>
        <v/>
      </c>
      <c r="DF1120" s="259">
        <f ca="1">IF(AND(CX1120=$DE$2,$DF$2&lt;&gt;0),0,IF(AND(DB1120&lt;&gt;"",OR(DB1119&lt;&gt;"",DB1121&lt;&gt;"")),MAX($DF$2:DF1119)+1,0))</f>
        <v>0</v>
      </c>
    </row>
    <row r="1121" spans="102:110">
      <c r="CX1121" s="259">
        <f t="shared" ca="1" si="1239"/>
        <v>63</v>
      </c>
      <c r="CY1121" s="259" t="str">
        <f t="shared" ca="1" si="1228"/>
        <v>MASTRO</v>
      </c>
      <c r="CZ1121" s="259" t="e">
        <f t="shared" ref="CZ1121:CZ1135" ca="1" si="1241">SUM(MATCH($CY1121,INDIRECT(ADDRESS(SUM(CZ1120)+3,54)&amp;":"&amp;ADDRESS(400,54)),0),CZ1120)</f>
        <v>#N/A</v>
      </c>
      <c r="DA1121" s="259" t="str">
        <f ca="1">IFERROR(INDEX(LIBRO_GIORNALE,CZ1121,1),"")</f>
        <v/>
      </c>
      <c r="DB1121" s="259" t="str">
        <f t="shared" ref="DB1121:DB1135" ca="1" si="1242">IF(RIGHT(TEXT(IFERROR(INDEX(LIBRO_GIORNALE,CZ1121,2),""),"gg/mm/aa"),1)="a",TEXT(IFERROR(INDEX(LIBRO_GIORNALE,CZ1121,2),""),"dd/mm/yy"),TEXT(IFERROR(INDEX(LIBRO_GIORNALE,CZ1121,2),""),"gg/mm/aa"))</f>
        <v/>
      </c>
      <c r="DC1121" s="259" t="str">
        <f t="shared" ref="DC1121:DC1135" ca="1" si="1243">IF(IFERROR(INDEX(LIBRO_GIORNALE,CZ1121,4),"")=0,"manca la descrizione dell'operazione",IFERROR(INDEX(LIBRO_GIORNALE,CZ1121,4),""))</f>
        <v/>
      </c>
      <c r="DD1121" s="259" t="str">
        <f t="shared" ref="DD1121:DD1135" ca="1" si="1244">IFERROR(IF(INDEX(LIBRO_GIORNALE,CZ1121,5)&gt;0,INDEX(LIBRO_GIORNALE,CZ1121,5),""),"")</f>
        <v/>
      </c>
      <c r="DE1121" s="259" t="str">
        <f t="shared" ref="DE1121:DE1135" ca="1" si="1245">IFERROR(IF(INDEX(LIBRO_GIORNALE,CZ1121,6)&gt;0,INDEX(LIBRO_GIORNALE,CZ1121,6),""),"")</f>
        <v/>
      </c>
      <c r="DF1121" s="259">
        <f ca="1">IF(AND(CX1121=$DE$2,$DF$2&lt;&gt;0),0,IF(AND(DB1121&lt;&gt;"",OR(DB1120&lt;&gt;"",DB1122&lt;&gt;"")),MAX($DF$2:DF1120)+1,0))</f>
        <v>0</v>
      </c>
    </row>
    <row r="1122" spans="102:110">
      <c r="CX1122" s="259">
        <f t="shared" ca="1" si="1239"/>
        <v>63</v>
      </c>
      <c r="CY1122" s="259" t="str">
        <f t="shared" ca="1" si="1228"/>
        <v>MASTRO</v>
      </c>
      <c r="CZ1122" s="259" t="e">
        <f t="shared" ca="1" si="1241"/>
        <v>#N/A</v>
      </c>
      <c r="DA1122" s="259" t="str">
        <f t="shared" ref="DA1122:DA1135" ca="1" si="1246">IFERROR(INDEX(LIBRO_GIORNALE,CZ1122,1),"")</f>
        <v/>
      </c>
      <c r="DB1122" s="259" t="str">
        <f t="shared" ca="1" si="1242"/>
        <v/>
      </c>
      <c r="DC1122" s="259" t="str">
        <f t="shared" ca="1" si="1243"/>
        <v/>
      </c>
      <c r="DD1122" s="259" t="str">
        <f t="shared" ca="1" si="1244"/>
        <v/>
      </c>
      <c r="DE1122" s="259" t="str">
        <f t="shared" ca="1" si="1245"/>
        <v/>
      </c>
      <c r="DF1122" s="259">
        <f ca="1">IF(AND(CX1122=$DE$2,$DF$2&lt;&gt;0),0,IF(AND(DB1122&lt;&gt;"",OR(DB1121&lt;&gt;"",DB1123&lt;&gt;"")),MAX($DF$2:DF1121)+1,0))</f>
        <v>0</v>
      </c>
    </row>
    <row r="1123" spans="102:110">
      <c r="CX1123" s="259">
        <f t="shared" ca="1" si="1239"/>
        <v>63</v>
      </c>
      <c r="CY1123" s="259" t="str">
        <f t="shared" ca="1" si="1228"/>
        <v>MASTRO</v>
      </c>
      <c r="CZ1123" s="259" t="e">
        <f t="shared" ca="1" si="1241"/>
        <v>#N/A</v>
      </c>
      <c r="DA1123" s="259" t="str">
        <f t="shared" ca="1" si="1246"/>
        <v/>
      </c>
      <c r="DB1123" s="259" t="str">
        <f t="shared" ca="1" si="1242"/>
        <v/>
      </c>
      <c r="DC1123" s="259" t="str">
        <f t="shared" ca="1" si="1243"/>
        <v/>
      </c>
      <c r="DD1123" s="259" t="str">
        <f t="shared" ca="1" si="1244"/>
        <v/>
      </c>
      <c r="DE1123" s="259" t="str">
        <f t="shared" ca="1" si="1245"/>
        <v/>
      </c>
      <c r="DF1123" s="259">
        <f ca="1">IF(AND(CX1123=$DE$2,$DF$2&lt;&gt;0),0,IF(AND(DB1123&lt;&gt;"",OR(DB1122&lt;&gt;"",DB1124&lt;&gt;"")),MAX($DF$2:DF1122)+1,0))</f>
        <v>0</v>
      </c>
    </row>
    <row r="1124" spans="102:110">
      <c r="CX1124" s="259">
        <f t="shared" ca="1" si="1239"/>
        <v>63</v>
      </c>
      <c r="CY1124" s="259" t="str">
        <f t="shared" ca="1" si="1228"/>
        <v>MASTRO</v>
      </c>
      <c r="CZ1124" s="259" t="e">
        <f t="shared" ca="1" si="1241"/>
        <v>#N/A</v>
      </c>
      <c r="DA1124" s="259" t="str">
        <f t="shared" ca="1" si="1246"/>
        <v/>
      </c>
      <c r="DB1124" s="259" t="str">
        <f t="shared" ca="1" si="1242"/>
        <v/>
      </c>
      <c r="DC1124" s="259" t="str">
        <f t="shared" ca="1" si="1243"/>
        <v/>
      </c>
      <c r="DD1124" s="259" t="str">
        <f t="shared" ca="1" si="1244"/>
        <v/>
      </c>
      <c r="DE1124" s="259" t="str">
        <f t="shared" ca="1" si="1245"/>
        <v/>
      </c>
      <c r="DF1124" s="259">
        <f ca="1">IF(AND(CX1124=$DE$2,$DF$2&lt;&gt;0),0,IF(AND(DB1124&lt;&gt;"",OR(DB1123&lt;&gt;"",DB1125&lt;&gt;"")),MAX($DF$2:DF1123)+1,0))</f>
        <v>0</v>
      </c>
    </row>
    <row r="1125" spans="102:110">
      <c r="CX1125" s="259">
        <f t="shared" ca="1" si="1239"/>
        <v>63</v>
      </c>
      <c r="CY1125" s="259" t="str">
        <f t="shared" ca="1" si="1228"/>
        <v>MASTRO</v>
      </c>
      <c r="CZ1125" s="259" t="e">
        <f t="shared" ca="1" si="1241"/>
        <v>#N/A</v>
      </c>
      <c r="DA1125" s="259" t="str">
        <f t="shared" ca="1" si="1246"/>
        <v/>
      </c>
      <c r="DB1125" s="259" t="str">
        <f t="shared" ca="1" si="1242"/>
        <v/>
      </c>
      <c r="DC1125" s="259" t="str">
        <f t="shared" ca="1" si="1243"/>
        <v/>
      </c>
      <c r="DD1125" s="259" t="str">
        <f t="shared" ca="1" si="1244"/>
        <v/>
      </c>
      <c r="DE1125" s="259" t="str">
        <f t="shared" ca="1" si="1245"/>
        <v/>
      </c>
      <c r="DF1125" s="259">
        <f ca="1">IF(AND(CX1125=$DE$2,$DF$2&lt;&gt;0),0,IF(AND(DB1125&lt;&gt;"",OR(DB1124&lt;&gt;"",DB1126&lt;&gt;"")),MAX($DF$2:DF1124)+1,0))</f>
        <v>0</v>
      </c>
    </row>
    <row r="1126" spans="102:110">
      <c r="CX1126" s="259">
        <f t="shared" ca="1" si="1239"/>
        <v>63</v>
      </c>
      <c r="CY1126" s="259" t="str">
        <f t="shared" ref="CY1126:CY1157" ca="1" si="1247">IF(ISERROR(INDEX($CV$3:$CX$2300,MATCH(CX1126,$CW$3:$CW$2300,0),1)),"MASTRO",INDEX($CV$3:$CX$2300,MATCH(CX1126,$CW$3:$CW$2300,0),1))</f>
        <v>MASTRO</v>
      </c>
      <c r="CZ1126" s="259" t="e">
        <f t="shared" ca="1" si="1241"/>
        <v>#N/A</v>
      </c>
      <c r="DA1126" s="259" t="str">
        <f t="shared" ca="1" si="1246"/>
        <v/>
      </c>
      <c r="DB1126" s="259" t="str">
        <f t="shared" ca="1" si="1242"/>
        <v/>
      </c>
      <c r="DC1126" s="259" t="str">
        <f t="shared" ca="1" si="1243"/>
        <v/>
      </c>
      <c r="DD1126" s="259" t="str">
        <f t="shared" ca="1" si="1244"/>
        <v/>
      </c>
      <c r="DE1126" s="259" t="str">
        <f t="shared" ca="1" si="1245"/>
        <v/>
      </c>
      <c r="DF1126" s="259">
        <f ca="1">IF(AND(CX1126=$DE$2,$DF$2&lt;&gt;0),0,IF(AND(DB1126&lt;&gt;"",OR(DB1125&lt;&gt;"",DB1127&lt;&gt;"")),MAX($DF$2:DF1125)+1,0))</f>
        <v>0</v>
      </c>
    </row>
    <row r="1127" spans="102:110">
      <c r="CX1127" s="259">
        <f t="shared" ca="1" si="1239"/>
        <v>63</v>
      </c>
      <c r="CY1127" s="259" t="str">
        <f t="shared" ca="1" si="1247"/>
        <v>MASTRO</v>
      </c>
      <c r="CZ1127" s="259" t="e">
        <f t="shared" ca="1" si="1241"/>
        <v>#N/A</v>
      </c>
      <c r="DA1127" s="259" t="str">
        <f t="shared" ca="1" si="1246"/>
        <v/>
      </c>
      <c r="DB1127" s="259" t="str">
        <f t="shared" ca="1" si="1242"/>
        <v/>
      </c>
      <c r="DC1127" s="259" t="str">
        <f t="shared" ca="1" si="1243"/>
        <v/>
      </c>
      <c r="DD1127" s="259" t="str">
        <f t="shared" ca="1" si="1244"/>
        <v/>
      </c>
      <c r="DE1127" s="259" t="str">
        <f t="shared" ca="1" si="1245"/>
        <v/>
      </c>
      <c r="DF1127" s="259">
        <f ca="1">IF(AND(CX1127=$DE$2,$DF$2&lt;&gt;0),0,IF(AND(DB1127&lt;&gt;"",OR(DB1126&lt;&gt;"",DB1128&lt;&gt;"")),MAX($DF$2:DF1126)+1,0))</f>
        <v>0</v>
      </c>
    </row>
    <row r="1128" spans="102:110">
      <c r="CX1128" s="259">
        <f t="shared" ca="1" si="1239"/>
        <v>63</v>
      </c>
      <c r="CY1128" s="259" t="str">
        <f t="shared" ca="1" si="1247"/>
        <v>MASTRO</v>
      </c>
      <c r="CZ1128" s="259" t="e">
        <f t="shared" ca="1" si="1241"/>
        <v>#N/A</v>
      </c>
      <c r="DA1128" s="259" t="str">
        <f t="shared" ca="1" si="1246"/>
        <v/>
      </c>
      <c r="DB1128" s="259" t="str">
        <f t="shared" ca="1" si="1242"/>
        <v/>
      </c>
      <c r="DC1128" s="259" t="str">
        <f t="shared" ca="1" si="1243"/>
        <v/>
      </c>
      <c r="DD1128" s="259" t="str">
        <f t="shared" ca="1" si="1244"/>
        <v/>
      </c>
      <c r="DE1128" s="259" t="str">
        <f t="shared" ca="1" si="1245"/>
        <v/>
      </c>
      <c r="DF1128" s="259">
        <f ca="1">IF(AND(CX1128=$DE$2,$DF$2&lt;&gt;0),0,IF(AND(DB1128&lt;&gt;"",OR(DB1127&lt;&gt;"",DB1129&lt;&gt;"")),MAX($DF$2:DF1127)+1,0))</f>
        <v>0</v>
      </c>
    </row>
    <row r="1129" spans="102:110">
      <c r="CX1129" s="259">
        <f t="shared" ca="1" si="1239"/>
        <v>63</v>
      </c>
      <c r="CY1129" s="259" t="str">
        <f t="shared" ca="1" si="1247"/>
        <v>MASTRO</v>
      </c>
      <c r="CZ1129" s="259" t="e">
        <f t="shared" ca="1" si="1241"/>
        <v>#N/A</v>
      </c>
      <c r="DA1129" s="259" t="str">
        <f t="shared" ca="1" si="1246"/>
        <v/>
      </c>
      <c r="DB1129" s="259" t="str">
        <f t="shared" ca="1" si="1242"/>
        <v/>
      </c>
      <c r="DC1129" s="259" t="str">
        <f t="shared" ca="1" si="1243"/>
        <v/>
      </c>
      <c r="DD1129" s="259" t="str">
        <f t="shared" ca="1" si="1244"/>
        <v/>
      </c>
      <c r="DE1129" s="259" t="str">
        <f t="shared" ca="1" si="1245"/>
        <v/>
      </c>
      <c r="DF1129" s="259">
        <f ca="1">IF(AND(CX1129=$DE$2,$DF$2&lt;&gt;0),0,IF(AND(DB1129&lt;&gt;"",OR(DB1128&lt;&gt;"",DB1130&lt;&gt;"")),MAX($DF$2:DF1128)+1,0))</f>
        <v>0</v>
      </c>
    </row>
    <row r="1130" spans="102:110">
      <c r="CX1130" s="259">
        <f t="shared" ca="1" si="1239"/>
        <v>63</v>
      </c>
      <c r="CY1130" s="259" t="str">
        <f t="shared" ca="1" si="1247"/>
        <v>MASTRO</v>
      </c>
      <c r="CZ1130" s="259" t="e">
        <f t="shared" ca="1" si="1241"/>
        <v>#N/A</v>
      </c>
      <c r="DA1130" s="259" t="str">
        <f t="shared" ca="1" si="1246"/>
        <v/>
      </c>
      <c r="DB1130" s="259" t="str">
        <f t="shared" ca="1" si="1242"/>
        <v/>
      </c>
      <c r="DC1130" s="259" t="str">
        <f t="shared" ca="1" si="1243"/>
        <v/>
      </c>
      <c r="DD1130" s="259" t="str">
        <f t="shared" ca="1" si="1244"/>
        <v/>
      </c>
      <c r="DE1130" s="259" t="str">
        <f t="shared" ca="1" si="1245"/>
        <v/>
      </c>
      <c r="DF1130" s="259">
        <f ca="1">IF(AND(CX1130=$DE$2,$DF$2&lt;&gt;0),0,IF(AND(DB1130&lt;&gt;"",OR(DB1129&lt;&gt;"",DB1131&lt;&gt;"")),MAX($DF$2:DF1129)+1,0))</f>
        <v>0</v>
      </c>
    </row>
    <row r="1131" spans="102:110">
      <c r="CX1131" s="259">
        <f t="shared" ca="1" si="1239"/>
        <v>63</v>
      </c>
      <c r="CY1131" s="259" t="str">
        <f t="shared" ca="1" si="1247"/>
        <v>MASTRO</v>
      </c>
      <c r="CZ1131" s="259" t="e">
        <f t="shared" ca="1" si="1241"/>
        <v>#N/A</v>
      </c>
      <c r="DA1131" s="259" t="str">
        <f t="shared" ca="1" si="1246"/>
        <v/>
      </c>
      <c r="DB1131" s="259" t="str">
        <f t="shared" ca="1" si="1242"/>
        <v/>
      </c>
      <c r="DC1131" s="259" t="str">
        <f t="shared" ca="1" si="1243"/>
        <v/>
      </c>
      <c r="DD1131" s="259" t="str">
        <f t="shared" ca="1" si="1244"/>
        <v/>
      </c>
      <c r="DE1131" s="259" t="str">
        <f t="shared" ca="1" si="1245"/>
        <v/>
      </c>
      <c r="DF1131" s="259">
        <f ca="1">IF(AND(CX1131=$DE$2,$DF$2&lt;&gt;0),0,IF(AND(DB1131&lt;&gt;"",OR(DB1130&lt;&gt;"",DB1132&lt;&gt;"")),MAX($DF$2:DF1130)+1,0))</f>
        <v>0</v>
      </c>
    </row>
    <row r="1132" spans="102:110">
      <c r="CX1132" s="259">
        <f t="shared" ca="1" si="1239"/>
        <v>63</v>
      </c>
      <c r="CY1132" s="259" t="str">
        <f t="shared" ca="1" si="1247"/>
        <v>MASTRO</v>
      </c>
      <c r="CZ1132" s="259" t="e">
        <f t="shared" ca="1" si="1241"/>
        <v>#N/A</v>
      </c>
      <c r="DA1132" s="259" t="str">
        <f t="shared" ca="1" si="1246"/>
        <v/>
      </c>
      <c r="DB1132" s="259" t="str">
        <f t="shared" ca="1" si="1242"/>
        <v/>
      </c>
      <c r="DC1132" s="259" t="str">
        <f t="shared" ca="1" si="1243"/>
        <v/>
      </c>
      <c r="DD1132" s="259" t="str">
        <f t="shared" ca="1" si="1244"/>
        <v/>
      </c>
      <c r="DE1132" s="259" t="str">
        <f t="shared" ca="1" si="1245"/>
        <v/>
      </c>
      <c r="DF1132" s="259">
        <f ca="1">IF(AND(CX1132=$DE$2,$DF$2&lt;&gt;0),0,IF(AND(DB1132&lt;&gt;"",OR(DB1131&lt;&gt;"",DB1133&lt;&gt;"")),MAX($DF$2:DF1131)+1,0))</f>
        <v>0</v>
      </c>
    </row>
    <row r="1133" spans="102:110">
      <c r="CX1133" s="259">
        <f t="shared" ca="1" si="1239"/>
        <v>63</v>
      </c>
      <c r="CY1133" s="259" t="str">
        <f t="shared" ca="1" si="1247"/>
        <v>MASTRO</v>
      </c>
      <c r="CZ1133" s="259" t="e">
        <f t="shared" ca="1" si="1241"/>
        <v>#N/A</v>
      </c>
      <c r="DA1133" s="259" t="str">
        <f t="shared" ca="1" si="1246"/>
        <v/>
      </c>
      <c r="DB1133" s="259" t="str">
        <f t="shared" ca="1" si="1242"/>
        <v/>
      </c>
      <c r="DC1133" s="259" t="str">
        <f t="shared" ca="1" si="1243"/>
        <v/>
      </c>
      <c r="DD1133" s="259" t="str">
        <f t="shared" ca="1" si="1244"/>
        <v/>
      </c>
      <c r="DE1133" s="259" t="str">
        <f t="shared" ca="1" si="1245"/>
        <v/>
      </c>
      <c r="DF1133" s="259">
        <f ca="1">IF(AND(CX1133=$DE$2,$DF$2&lt;&gt;0),0,IF(AND(DB1133&lt;&gt;"",OR(DB1132&lt;&gt;"",DB1134&lt;&gt;"")),MAX($DF$2:DF1132)+1,0))</f>
        <v>0</v>
      </c>
    </row>
    <row r="1134" spans="102:110">
      <c r="CX1134" s="259">
        <f t="shared" ca="1" si="1239"/>
        <v>63</v>
      </c>
      <c r="CY1134" s="259" t="str">
        <f t="shared" ca="1" si="1247"/>
        <v>MASTRO</v>
      </c>
      <c r="CZ1134" s="259" t="e">
        <f t="shared" ca="1" si="1241"/>
        <v>#N/A</v>
      </c>
      <c r="DA1134" s="259" t="str">
        <f t="shared" ca="1" si="1246"/>
        <v/>
      </c>
      <c r="DB1134" s="259" t="str">
        <f t="shared" ca="1" si="1242"/>
        <v/>
      </c>
      <c r="DC1134" s="259" t="str">
        <f t="shared" ca="1" si="1243"/>
        <v/>
      </c>
      <c r="DD1134" s="259" t="str">
        <f t="shared" ca="1" si="1244"/>
        <v/>
      </c>
      <c r="DE1134" s="259" t="str">
        <f t="shared" ca="1" si="1245"/>
        <v/>
      </c>
      <c r="DF1134" s="259">
        <f ca="1">IF(AND(CX1134=$DE$2,$DF$2&lt;&gt;0),0,IF(AND(DB1134&lt;&gt;"",OR(DB1133&lt;&gt;"",DB1135&lt;&gt;"")),MAX($DF$2:DF1133)+1,0))</f>
        <v>0</v>
      </c>
    </row>
    <row r="1135" spans="102:110">
      <c r="CX1135" s="259">
        <f t="shared" ca="1" si="1239"/>
        <v>63</v>
      </c>
      <c r="CY1135" s="259" t="str">
        <f t="shared" ca="1" si="1247"/>
        <v>MASTRO</v>
      </c>
      <c r="CZ1135" s="259" t="e">
        <f t="shared" ca="1" si="1241"/>
        <v>#N/A</v>
      </c>
      <c r="DA1135" s="259" t="str">
        <f t="shared" ca="1" si="1246"/>
        <v/>
      </c>
      <c r="DB1135" s="259" t="str">
        <f t="shared" ca="1" si="1242"/>
        <v/>
      </c>
      <c r="DC1135" s="259" t="str">
        <f t="shared" ca="1" si="1243"/>
        <v/>
      </c>
      <c r="DD1135" s="259" t="str">
        <f t="shared" ca="1" si="1244"/>
        <v/>
      </c>
      <c r="DE1135" s="259" t="str">
        <f t="shared" ca="1" si="1245"/>
        <v/>
      </c>
      <c r="DF1135" s="259">
        <f ca="1">IF(AND(CX1135=$DE$2,$DF$2&lt;&gt;0),0,IF(AND(DB1135&lt;&gt;"",OR(DB1134&lt;&gt;"",DB1136&lt;&gt;"")),MAX($DF$2:DF1134)+1,0))</f>
        <v>0</v>
      </c>
    </row>
    <row r="1136" spans="102:110">
      <c r="CX1136" s="259" t="str">
        <f>IFERROR(IF(CX1118+1=1,"",(CX1118+1)),"")</f>
        <v/>
      </c>
      <c r="CY1136" s="259" t="str">
        <f t="shared" ca="1" si="1247"/>
        <v>MASTRO</v>
      </c>
      <c r="DB1136" s="259" t="str">
        <f t="shared" ref="DB1136" ca="1" si="1248">CY1136</f>
        <v>MASTRO</v>
      </c>
      <c r="DF1136" s="259">
        <f ca="1">IF(AND(CX1136=$DE$2,$DF$2&lt;&gt;0),0,IF(AND(DB1136&lt;&gt;"",OR(DB1135&lt;&gt;"",DB1137&lt;&gt;"")),MAX($DF$2:DF1135)+1,0))</f>
        <v>0</v>
      </c>
    </row>
    <row r="1137" spans="102:110">
      <c r="CX1137" s="259">
        <f ca="1">$EA$66</f>
        <v>64</v>
      </c>
      <c r="CY1137" s="259" t="str">
        <f t="shared" ca="1" si="1247"/>
        <v>MASTRO</v>
      </c>
      <c r="DA1137" s="259" t="str">
        <f ca="1">IF(CY1136="MASTRO","Conto n.","")</f>
        <v>Conto n.</v>
      </c>
      <c r="DB1137" s="259" t="str">
        <f ca="1">IF(CY1137=0,"",INDEX(PIANO_DEI_CONTI,MATCH(DC1137,DENOMINAZIONE,0),1))</f>
        <v/>
      </c>
      <c r="DC1137" s="259" t="str">
        <f ca="1">IF(OR(CY1137=0,CY1137="mastro"),"",CY1137)</f>
        <v/>
      </c>
      <c r="DD1137" s="259" t="str">
        <f ca="1">IF(AND($DA$2=TRUE,OR(INDEX(PIANO_DEI_CONTI,MATCH($DC1137,DENOMINAZIONE,0),4)="A",INDEX(PIANO_DEI_CONTI,MATCH($DC1137,DENOMINAZIONE,0),4)="D/A"),SUMIFS(AVERE,DENOMINAZIONE_GIORNALE,"="&amp;$DC1137)&gt;SUMIFS(DARE,DENOMINAZIONE_GIORNALE,"="&amp;$DC1137)),CONCATENATE("s ",FIXED(ABS(SUMIFS(AVERE,DENOMINAZIONE_GIORNALE,"="&amp;$DC1137)-SUMIFS(DARE,DENOMINAZIONE_GIORNALE,"="&amp;$DC1137)),2)),"")</f>
        <v/>
      </c>
      <c r="DE1137" s="259" t="str">
        <f ca="1">IF(AND($DA$2=TRUE,OR(INDEX(PIANO_DEI_CONTI,MATCH($DC1137,DENOMINAZIONE,0),4)="D",INDEX(PIANO_DEI_CONTI,MATCH($DC1137,DENOMINAZIONE,0),4)="D/A"),SUMIFS(DARE,DENOMINAZIONE_GIORNALE,"="&amp;$DC1137)&gt;SUMIFS(AVERE,DENOMINAZIONE_GIORNALE,"="&amp;$DC1137)),CONCATENATE("s ",FIXED(ABS(SUMIFS(DARE,DENOMINAZIONE_GIORNALE,"="&amp;$DC1137)-SUMIFS(AVERE,DENOMINAZIONE_GIORNALE,"="&amp;$DC1137)),2)),"")</f>
        <v/>
      </c>
      <c r="DF1137" s="259">
        <f ca="1">IF(AND(CX1137=$DE$2,$DF$2&lt;&gt;0),0,IF(AND(DB1137&lt;&gt;"",OR(DB1136&lt;&gt;"",DB1138&lt;&gt;"")),MAX($DF$2:DF1136)+1,0))</f>
        <v>0</v>
      </c>
    </row>
    <row r="1138" spans="102:110">
      <c r="CX1138" s="259">
        <f t="shared" ref="CX1138:CX1153" ca="1" si="1249">$EA$66</f>
        <v>64</v>
      </c>
      <c r="CY1138" s="259" t="str">
        <f t="shared" ca="1" si="1247"/>
        <v>MASTRO</v>
      </c>
      <c r="DA1138" s="259" t="str">
        <f ca="1">IF(DB1137="","","Num. riga")</f>
        <v/>
      </c>
      <c r="DB1138" s="259" t="str">
        <f t="shared" ref="DB1138" ca="1" si="1250">IF(DB1137="","","Data")</f>
        <v/>
      </c>
      <c r="DC1138" s="259" t="str">
        <f ca="1">IF(DB1137="","","Operazioni")</f>
        <v/>
      </c>
      <c r="DD1138" s="259" t="str">
        <f ca="1">IF(DB1137="","","Dare        ")</f>
        <v/>
      </c>
      <c r="DE1138" s="259" t="str">
        <f ca="1">IF(DB1137="","","Avere        ")</f>
        <v/>
      </c>
      <c r="DF1138" s="259">
        <f ca="1">IF(AND(CX1138=$DE$2,$DF$2&lt;&gt;0),0,IF(AND(DB1138&lt;&gt;"",OR(DB1137&lt;&gt;"",DB1139&lt;&gt;"")),MAX($DF$2:DF1137)+1,0))</f>
        <v>0</v>
      </c>
    </row>
    <row r="1139" spans="102:110">
      <c r="CX1139" s="259">
        <f t="shared" ca="1" si="1249"/>
        <v>64</v>
      </c>
      <c r="CY1139" s="259" t="str">
        <f t="shared" ca="1" si="1247"/>
        <v>MASTRO</v>
      </c>
      <c r="CZ1139" s="259" t="e">
        <f t="shared" ref="CZ1139:CZ1153" ca="1" si="1251">SUM(MATCH($CY1139,INDIRECT(ADDRESS(SUM(CZ1138)+3,54)&amp;":"&amp;ADDRESS(400,54)),0),CZ1138)</f>
        <v>#N/A</v>
      </c>
      <c r="DA1139" s="259" t="str">
        <f ca="1">IFERROR(INDEX(LIBRO_GIORNALE,CZ1139,1),"")</f>
        <v/>
      </c>
      <c r="DB1139" s="259" t="str">
        <f t="shared" ref="DB1139:DB1153" ca="1" si="1252">IF(RIGHT(TEXT(IFERROR(INDEX(LIBRO_GIORNALE,CZ1139,2),""),"gg/mm/aa"),1)="a",TEXT(IFERROR(INDEX(LIBRO_GIORNALE,CZ1139,2),""),"dd/mm/yy"),TEXT(IFERROR(INDEX(LIBRO_GIORNALE,CZ1139,2),""),"gg/mm/aa"))</f>
        <v/>
      </c>
      <c r="DC1139" s="259" t="str">
        <f t="shared" ref="DC1139:DC1153" ca="1" si="1253">IF(IFERROR(INDEX(LIBRO_GIORNALE,CZ1139,4),"")=0,"manca la descrizione dell'operazione",IFERROR(INDEX(LIBRO_GIORNALE,CZ1139,4),""))</f>
        <v/>
      </c>
      <c r="DD1139" s="259" t="str">
        <f t="shared" ref="DD1139:DD1153" ca="1" si="1254">IFERROR(IF(INDEX(LIBRO_GIORNALE,CZ1139,5)&gt;0,INDEX(LIBRO_GIORNALE,CZ1139,5),""),"")</f>
        <v/>
      </c>
      <c r="DE1139" s="259" t="str">
        <f t="shared" ref="DE1139:DE1153" ca="1" si="1255">IFERROR(IF(INDEX(LIBRO_GIORNALE,CZ1139,6)&gt;0,INDEX(LIBRO_GIORNALE,CZ1139,6),""),"")</f>
        <v/>
      </c>
      <c r="DF1139" s="259">
        <f ca="1">IF(AND(CX1139=$DE$2,$DF$2&lt;&gt;0),0,IF(AND(DB1139&lt;&gt;"",OR(DB1138&lt;&gt;"",DB1140&lt;&gt;"")),MAX($DF$2:DF1138)+1,0))</f>
        <v>0</v>
      </c>
    </row>
    <row r="1140" spans="102:110">
      <c r="CX1140" s="259">
        <f t="shared" ca="1" si="1249"/>
        <v>64</v>
      </c>
      <c r="CY1140" s="259" t="str">
        <f t="shared" ca="1" si="1247"/>
        <v>MASTRO</v>
      </c>
      <c r="CZ1140" s="259" t="e">
        <f t="shared" ca="1" si="1251"/>
        <v>#N/A</v>
      </c>
      <c r="DA1140" s="259" t="str">
        <f t="shared" ref="DA1140:DA1153" ca="1" si="1256">IFERROR(INDEX(LIBRO_GIORNALE,CZ1140,1),"")</f>
        <v/>
      </c>
      <c r="DB1140" s="259" t="str">
        <f t="shared" ca="1" si="1252"/>
        <v/>
      </c>
      <c r="DC1140" s="259" t="str">
        <f t="shared" ca="1" si="1253"/>
        <v/>
      </c>
      <c r="DD1140" s="259" t="str">
        <f t="shared" ca="1" si="1254"/>
        <v/>
      </c>
      <c r="DE1140" s="259" t="str">
        <f t="shared" ca="1" si="1255"/>
        <v/>
      </c>
      <c r="DF1140" s="259">
        <f ca="1">IF(AND(CX1140=$DE$2,$DF$2&lt;&gt;0),0,IF(AND(DB1140&lt;&gt;"",OR(DB1139&lt;&gt;"",DB1141&lt;&gt;"")),MAX($DF$2:DF1139)+1,0))</f>
        <v>0</v>
      </c>
    </row>
    <row r="1141" spans="102:110">
      <c r="CX1141" s="259">
        <f t="shared" ca="1" si="1249"/>
        <v>64</v>
      </c>
      <c r="CY1141" s="259" t="str">
        <f t="shared" ca="1" si="1247"/>
        <v>MASTRO</v>
      </c>
      <c r="CZ1141" s="259" t="e">
        <f t="shared" ca="1" si="1251"/>
        <v>#N/A</v>
      </c>
      <c r="DA1141" s="259" t="str">
        <f t="shared" ca="1" si="1256"/>
        <v/>
      </c>
      <c r="DB1141" s="259" t="str">
        <f t="shared" ca="1" si="1252"/>
        <v/>
      </c>
      <c r="DC1141" s="259" t="str">
        <f t="shared" ca="1" si="1253"/>
        <v/>
      </c>
      <c r="DD1141" s="259" t="str">
        <f t="shared" ca="1" si="1254"/>
        <v/>
      </c>
      <c r="DE1141" s="259" t="str">
        <f t="shared" ca="1" si="1255"/>
        <v/>
      </c>
      <c r="DF1141" s="259">
        <f ca="1">IF(AND(CX1141=$DE$2,$DF$2&lt;&gt;0),0,IF(AND(DB1141&lt;&gt;"",OR(DB1140&lt;&gt;"",DB1142&lt;&gt;"")),MAX($DF$2:DF1140)+1,0))</f>
        <v>0</v>
      </c>
    </row>
    <row r="1142" spans="102:110">
      <c r="CX1142" s="259">
        <f t="shared" ca="1" si="1249"/>
        <v>64</v>
      </c>
      <c r="CY1142" s="259" t="str">
        <f t="shared" ca="1" si="1247"/>
        <v>MASTRO</v>
      </c>
      <c r="CZ1142" s="259" t="e">
        <f t="shared" ca="1" si="1251"/>
        <v>#N/A</v>
      </c>
      <c r="DA1142" s="259" t="str">
        <f t="shared" ca="1" si="1256"/>
        <v/>
      </c>
      <c r="DB1142" s="259" t="str">
        <f t="shared" ca="1" si="1252"/>
        <v/>
      </c>
      <c r="DC1142" s="259" t="str">
        <f t="shared" ca="1" si="1253"/>
        <v/>
      </c>
      <c r="DD1142" s="259" t="str">
        <f t="shared" ca="1" si="1254"/>
        <v/>
      </c>
      <c r="DE1142" s="259" t="str">
        <f t="shared" ca="1" si="1255"/>
        <v/>
      </c>
      <c r="DF1142" s="259">
        <f ca="1">IF(AND(CX1142=$DE$2,$DF$2&lt;&gt;0),0,IF(AND(DB1142&lt;&gt;"",OR(DB1141&lt;&gt;"",DB1143&lt;&gt;"")),MAX($DF$2:DF1141)+1,0))</f>
        <v>0</v>
      </c>
    </row>
    <row r="1143" spans="102:110">
      <c r="CX1143" s="259">
        <f t="shared" ca="1" si="1249"/>
        <v>64</v>
      </c>
      <c r="CY1143" s="259" t="str">
        <f t="shared" ca="1" si="1247"/>
        <v>MASTRO</v>
      </c>
      <c r="CZ1143" s="259" t="e">
        <f t="shared" ca="1" si="1251"/>
        <v>#N/A</v>
      </c>
      <c r="DA1143" s="259" t="str">
        <f t="shared" ca="1" si="1256"/>
        <v/>
      </c>
      <c r="DB1143" s="259" t="str">
        <f t="shared" ca="1" si="1252"/>
        <v/>
      </c>
      <c r="DC1143" s="259" t="str">
        <f t="shared" ca="1" si="1253"/>
        <v/>
      </c>
      <c r="DD1143" s="259" t="str">
        <f t="shared" ca="1" si="1254"/>
        <v/>
      </c>
      <c r="DE1143" s="259" t="str">
        <f t="shared" ca="1" si="1255"/>
        <v/>
      </c>
      <c r="DF1143" s="259">
        <f ca="1">IF(AND(CX1143=$DE$2,$DF$2&lt;&gt;0),0,IF(AND(DB1143&lt;&gt;"",OR(DB1142&lt;&gt;"",DB1144&lt;&gt;"")),MAX($DF$2:DF1142)+1,0))</f>
        <v>0</v>
      </c>
    </row>
    <row r="1144" spans="102:110">
      <c r="CX1144" s="259">
        <f t="shared" ca="1" si="1249"/>
        <v>64</v>
      </c>
      <c r="CY1144" s="259" t="str">
        <f t="shared" ca="1" si="1247"/>
        <v>MASTRO</v>
      </c>
      <c r="CZ1144" s="259" t="e">
        <f t="shared" ca="1" si="1251"/>
        <v>#N/A</v>
      </c>
      <c r="DA1144" s="259" t="str">
        <f t="shared" ca="1" si="1256"/>
        <v/>
      </c>
      <c r="DB1144" s="259" t="str">
        <f t="shared" ca="1" si="1252"/>
        <v/>
      </c>
      <c r="DC1144" s="259" t="str">
        <f t="shared" ca="1" si="1253"/>
        <v/>
      </c>
      <c r="DD1144" s="259" t="str">
        <f t="shared" ca="1" si="1254"/>
        <v/>
      </c>
      <c r="DE1144" s="259" t="str">
        <f t="shared" ca="1" si="1255"/>
        <v/>
      </c>
      <c r="DF1144" s="259">
        <f ca="1">IF(AND(CX1144=$DE$2,$DF$2&lt;&gt;0),0,IF(AND(DB1144&lt;&gt;"",OR(DB1143&lt;&gt;"",DB1145&lt;&gt;"")),MAX($DF$2:DF1143)+1,0))</f>
        <v>0</v>
      </c>
    </row>
    <row r="1145" spans="102:110">
      <c r="CX1145" s="259">
        <f t="shared" ca="1" si="1249"/>
        <v>64</v>
      </c>
      <c r="CY1145" s="259" t="str">
        <f t="shared" ca="1" si="1247"/>
        <v>MASTRO</v>
      </c>
      <c r="CZ1145" s="259" t="e">
        <f t="shared" ca="1" si="1251"/>
        <v>#N/A</v>
      </c>
      <c r="DA1145" s="259" t="str">
        <f t="shared" ca="1" si="1256"/>
        <v/>
      </c>
      <c r="DB1145" s="259" t="str">
        <f t="shared" ca="1" si="1252"/>
        <v/>
      </c>
      <c r="DC1145" s="259" t="str">
        <f t="shared" ca="1" si="1253"/>
        <v/>
      </c>
      <c r="DD1145" s="259" t="str">
        <f t="shared" ca="1" si="1254"/>
        <v/>
      </c>
      <c r="DE1145" s="259" t="str">
        <f t="shared" ca="1" si="1255"/>
        <v/>
      </c>
      <c r="DF1145" s="259">
        <f ca="1">IF(AND(CX1145=$DE$2,$DF$2&lt;&gt;0),0,IF(AND(DB1145&lt;&gt;"",OR(DB1144&lt;&gt;"",DB1146&lt;&gt;"")),MAX($DF$2:DF1144)+1,0))</f>
        <v>0</v>
      </c>
    </row>
    <row r="1146" spans="102:110">
      <c r="CX1146" s="259">
        <f t="shared" ca="1" si="1249"/>
        <v>64</v>
      </c>
      <c r="CY1146" s="259" t="str">
        <f t="shared" ca="1" si="1247"/>
        <v>MASTRO</v>
      </c>
      <c r="CZ1146" s="259" t="e">
        <f t="shared" ca="1" si="1251"/>
        <v>#N/A</v>
      </c>
      <c r="DA1146" s="259" t="str">
        <f t="shared" ca="1" si="1256"/>
        <v/>
      </c>
      <c r="DB1146" s="259" t="str">
        <f t="shared" ca="1" si="1252"/>
        <v/>
      </c>
      <c r="DC1146" s="259" t="str">
        <f t="shared" ca="1" si="1253"/>
        <v/>
      </c>
      <c r="DD1146" s="259" t="str">
        <f t="shared" ca="1" si="1254"/>
        <v/>
      </c>
      <c r="DE1146" s="259" t="str">
        <f t="shared" ca="1" si="1255"/>
        <v/>
      </c>
      <c r="DF1146" s="259">
        <f ca="1">IF(AND(CX1146=$DE$2,$DF$2&lt;&gt;0),0,IF(AND(DB1146&lt;&gt;"",OR(DB1145&lt;&gt;"",DB1147&lt;&gt;"")),MAX($DF$2:DF1145)+1,0))</f>
        <v>0</v>
      </c>
    </row>
    <row r="1147" spans="102:110">
      <c r="CX1147" s="259">
        <f t="shared" ca="1" si="1249"/>
        <v>64</v>
      </c>
      <c r="CY1147" s="259" t="str">
        <f t="shared" ca="1" si="1247"/>
        <v>MASTRO</v>
      </c>
      <c r="CZ1147" s="259" t="e">
        <f t="shared" ca="1" si="1251"/>
        <v>#N/A</v>
      </c>
      <c r="DA1147" s="259" t="str">
        <f t="shared" ca="1" si="1256"/>
        <v/>
      </c>
      <c r="DB1147" s="259" t="str">
        <f t="shared" ca="1" si="1252"/>
        <v/>
      </c>
      <c r="DC1147" s="259" t="str">
        <f t="shared" ca="1" si="1253"/>
        <v/>
      </c>
      <c r="DD1147" s="259" t="str">
        <f t="shared" ca="1" si="1254"/>
        <v/>
      </c>
      <c r="DE1147" s="259" t="str">
        <f t="shared" ca="1" si="1255"/>
        <v/>
      </c>
      <c r="DF1147" s="259">
        <f ca="1">IF(AND(CX1147=$DE$2,$DF$2&lt;&gt;0),0,IF(AND(DB1147&lt;&gt;"",OR(DB1146&lt;&gt;"",DB1148&lt;&gt;"")),MAX($DF$2:DF1146)+1,0))</f>
        <v>0</v>
      </c>
    </row>
    <row r="1148" spans="102:110">
      <c r="CX1148" s="259">
        <f t="shared" ca="1" si="1249"/>
        <v>64</v>
      </c>
      <c r="CY1148" s="259" t="str">
        <f t="shared" ca="1" si="1247"/>
        <v>MASTRO</v>
      </c>
      <c r="CZ1148" s="259" t="e">
        <f t="shared" ca="1" si="1251"/>
        <v>#N/A</v>
      </c>
      <c r="DA1148" s="259" t="str">
        <f t="shared" ca="1" si="1256"/>
        <v/>
      </c>
      <c r="DB1148" s="259" t="str">
        <f t="shared" ca="1" si="1252"/>
        <v/>
      </c>
      <c r="DC1148" s="259" t="str">
        <f t="shared" ca="1" si="1253"/>
        <v/>
      </c>
      <c r="DD1148" s="259" t="str">
        <f t="shared" ca="1" si="1254"/>
        <v/>
      </c>
      <c r="DE1148" s="259" t="str">
        <f t="shared" ca="1" si="1255"/>
        <v/>
      </c>
      <c r="DF1148" s="259">
        <f ca="1">IF(AND(CX1148=$DE$2,$DF$2&lt;&gt;0),0,IF(AND(DB1148&lt;&gt;"",OR(DB1147&lt;&gt;"",DB1149&lt;&gt;"")),MAX($DF$2:DF1147)+1,0))</f>
        <v>0</v>
      </c>
    </row>
    <row r="1149" spans="102:110">
      <c r="CX1149" s="259">
        <f t="shared" ca="1" si="1249"/>
        <v>64</v>
      </c>
      <c r="CY1149" s="259" t="str">
        <f t="shared" ca="1" si="1247"/>
        <v>MASTRO</v>
      </c>
      <c r="CZ1149" s="259" t="e">
        <f t="shared" ca="1" si="1251"/>
        <v>#N/A</v>
      </c>
      <c r="DA1149" s="259" t="str">
        <f t="shared" ca="1" si="1256"/>
        <v/>
      </c>
      <c r="DB1149" s="259" t="str">
        <f t="shared" ca="1" si="1252"/>
        <v/>
      </c>
      <c r="DC1149" s="259" t="str">
        <f t="shared" ca="1" si="1253"/>
        <v/>
      </c>
      <c r="DD1149" s="259" t="str">
        <f t="shared" ca="1" si="1254"/>
        <v/>
      </c>
      <c r="DE1149" s="259" t="str">
        <f t="shared" ca="1" si="1255"/>
        <v/>
      </c>
      <c r="DF1149" s="259">
        <f ca="1">IF(AND(CX1149=$DE$2,$DF$2&lt;&gt;0),0,IF(AND(DB1149&lt;&gt;"",OR(DB1148&lt;&gt;"",DB1150&lt;&gt;"")),MAX($DF$2:DF1148)+1,0))</f>
        <v>0</v>
      </c>
    </row>
    <row r="1150" spans="102:110">
      <c r="CX1150" s="259">
        <f t="shared" ca="1" si="1249"/>
        <v>64</v>
      </c>
      <c r="CY1150" s="259" t="str">
        <f t="shared" ca="1" si="1247"/>
        <v>MASTRO</v>
      </c>
      <c r="CZ1150" s="259" t="e">
        <f t="shared" ca="1" si="1251"/>
        <v>#N/A</v>
      </c>
      <c r="DA1150" s="259" t="str">
        <f t="shared" ca="1" si="1256"/>
        <v/>
      </c>
      <c r="DB1150" s="259" t="str">
        <f t="shared" ca="1" si="1252"/>
        <v/>
      </c>
      <c r="DC1150" s="259" t="str">
        <f t="shared" ca="1" si="1253"/>
        <v/>
      </c>
      <c r="DD1150" s="259" t="str">
        <f t="shared" ca="1" si="1254"/>
        <v/>
      </c>
      <c r="DE1150" s="259" t="str">
        <f t="shared" ca="1" si="1255"/>
        <v/>
      </c>
      <c r="DF1150" s="259">
        <f ca="1">IF(AND(CX1150=$DE$2,$DF$2&lt;&gt;0),0,IF(AND(DB1150&lt;&gt;"",OR(DB1149&lt;&gt;"",DB1151&lt;&gt;"")),MAX($DF$2:DF1149)+1,0))</f>
        <v>0</v>
      </c>
    </row>
    <row r="1151" spans="102:110">
      <c r="CX1151" s="259">
        <f t="shared" ca="1" si="1249"/>
        <v>64</v>
      </c>
      <c r="CY1151" s="259" t="str">
        <f t="shared" ca="1" si="1247"/>
        <v>MASTRO</v>
      </c>
      <c r="CZ1151" s="259" t="e">
        <f t="shared" ca="1" si="1251"/>
        <v>#N/A</v>
      </c>
      <c r="DA1151" s="259" t="str">
        <f t="shared" ca="1" si="1256"/>
        <v/>
      </c>
      <c r="DB1151" s="259" t="str">
        <f t="shared" ca="1" si="1252"/>
        <v/>
      </c>
      <c r="DC1151" s="259" t="str">
        <f t="shared" ca="1" si="1253"/>
        <v/>
      </c>
      <c r="DD1151" s="259" t="str">
        <f t="shared" ca="1" si="1254"/>
        <v/>
      </c>
      <c r="DE1151" s="259" t="str">
        <f t="shared" ca="1" si="1255"/>
        <v/>
      </c>
      <c r="DF1151" s="259">
        <f ca="1">IF(AND(CX1151=$DE$2,$DF$2&lt;&gt;0),0,IF(AND(DB1151&lt;&gt;"",OR(DB1150&lt;&gt;"",DB1152&lt;&gt;"")),MAX($DF$2:DF1150)+1,0))</f>
        <v>0</v>
      </c>
    </row>
    <row r="1152" spans="102:110">
      <c r="CX1152" s="259">
        <f t="shared" ca="1" si="1249"/>
        <v>64</v>
      </c>
      <c r="CY1152" s="259" t="str">
        <f t="shared" ca="1" si="1247"/>
        <v>MASTRO</v>
      </c>
      <c r="CZ1152" s="259" t="e">
        <f t="shared" ca="1" si="1251"/>
        <v>#N/A</v>
      </c>
      <c r="DA1152" s="259" t="str">
        <f t="shared" ca="1" si="1256"/>
        <v/>
      </c>
      <c r="DB1152" s="259" t="str">
        <f t="shared" ca="1" si="1252"/>
        <v/>
      </c>
      <c r="DC1152" s="259" t="str">
        <f t="shared" ca="1" si="1253"/>
        <v/>
      </c>
      <c r="DD1152" s="259" t="str">
        <f t="shared" ca="1" si="1254"/>
        <v/>
      </c>
      <c r="DE1152" s="259" t="str">
        <f t="shared" ca="1" si="1255"/>
        <v/>
      </c>
      <c r="DF1152" s="259">
        <f ca="1">IF(AND(CX1152=$DE$2,$DF$2&lt;&gt;0),0,IF(AND(DB1152&lt;&gt;"",OR(DB1151&lt;&gt;"",DB1153&lt;&gt;"")),MAX($DF$2:DF1151)+1,0))</f>
        <v>0</v>
      </c>
    </row>
    <row r="1153" spans="102:110">
      <c r="CX1153" s="259">
        <f t="shared" ca="1" si="1249"/>
        <v>64</v>
      </c>
      <c r="CY1153" s="259" t="str">
        <f t="shared" ca="1" si="1247"/>
        <v>MASTRO</v>
      </c>
      <c r="CZ1153" s="259" t="e">
        <f t="shared" ca="1" si="1251"/>
        <v>#N/A</v>
      </c>
      <c r="DA1153" s="259" t="str">
        <f t="shared" ca="1" si="1256"/>
        <v/>
      </c>
      <c r="DB1153" s="259" t="str">
        <f t="shared" ca="1" si="1252"/>
        <v/>
      </c>
      <c r="DC1153" s="259" t="str">
        <f t="shared" ca="1" si="1253"/>
        <v/>
      </c>
      <c r="DD1153" s="259" t="str">
        <f t="shared" ca="1" si="1254"/>
        <v/>
      </c>
      <c r="DE1153" s="259" t="str">
        <f t="shared" ca="1" si="1255"/>
        <v/>
      </c>
      <c r="DF1153" s="259">
        <f ca="1">IF(AND(CX1153=$DE$2,$DF$2&lt;&gt;0),0,IF(AND(DB1153&lt;&gt;"",OR(DB1152&lt;&gt;"",DB1154&lt;&gt;"")),MAX($DF$2:DF1152)+1,0))</f>
        <v>0</v>
      </c>
    </row>
    <row r="1154" spans="102:110">
      <c r="CX1154" s="259" t="str">
        <f>IFERROR(IF(CX1136+1=1,"",(CX1136+1)),"")</f>
        <v/>
      </c>
      <c r="CY1154" s="259" t="str">
        <f t="shared" ca="1" si="1247"/>
        <v>MASTRO</v>
      </c>
      <c r="DB1154" s="259" t="str">
        <f t="shared" ref="DB1154" ca="1" si="1257">CY1154</f>
        <v>MASTRO</v>
      </c>
      <c r="DF1154" s="259">
        <f ca="1">IF(AND(CX1154=$DE$2,$DF$2&lt;&gt;0),0,IF(AND(DB1154&lt;&gt;"",OR(DB1153&lt;&gt;"",DB1155&lt;&gt;"")),MAX($DF$2:DF1153)+1,0))</f>
        <v>0</v>
      </c>
    </row>
    <row r="1155" spans="102:110">
      <c r="CX1155" s="259">
        <f ca="1">$EA$67</f>
        <v>65</v>
      </c>
      <c r="CY1155" s="259" t="str">
        <f t="shared" ca="1" si="1247"/>
        <v>MASTRO</v>
      </c>
      <c r="DA1155" s="259" t="str">
        <f ca="1">IF(CY1154="MASTRO","Conto n.","")</f>
        <v>Conto n.</v>
      </c>
      <c r="DB1155" s="259" t="str">
        <f ca="1">IF(CY1155=0,"",INDEX(PIANO_DEI_CONTI,MATCH(DC1155,DENOMINAZIONE,0),1))</f>
        <v/>
      </c>
      <c r="DC1155" s="259" t="str">
        <f ca="1">IF(OR(CY1155=0,CY1155="mastro"),"",CY1155)</f>
        <v/>
      </c>
      <c r="DD1155" s="259" t="str">
        <f ca="1">IF(AND($DA$2=TRUE,OR(INDEX(PIANO_DEI_CONTI,MATCH($DC1155,DENOMINAZIONE,0),4)="A",INDEX(PIANO_DEI_CONTI,MATCH($DC1155,DENOMINAZIONE,0),4)="D/A"),SUMIFS(AVERE,DENOMINAZIONE_GIORNALE,"="&amp;$DC1155)&gt;SUMIFS(DARE,DENOMINAZIONE_GIORNALE,"="&amp;$DC1155)),CONCATENATE("s ",FIXED(ABS(SUMIFS(AVERE,DENOMINAZIONE_GIORNALE,"="&amp;$DC1155)-SUMIFS(DARE,DENOMINAZIONE_GIORNALE,"="&amp;$DC1155)),2)),"")</f>
        <v/>
      </c>
      <c r="DE1155" s="259" t="str">
        <f ca="1">IF(AND($DA$2=TRUE,OR(INDEX(PIANO_DEI_CONTI,MATCH($DC1155,DENOMINAZIONE,0),4)="D",INDEX(PIANO_DEI_CONTI,MATCH($DC1155,DENOMINAZIONE,0),4)="D/A"),SUMIFS(DARE,DENOMINAZIONE_GIORNALE,"="&amp;$DC1155)&gt;SUMIFS(AVERE,DENOMINAZIONE_GIORNALE,"="&amp;$DC1155)),CONCATENATE("s ",FIXED(ABS(SUMIFS(DARE,DENOMINAZIONE_GIORNALE,"="&amp;$DC1155)-SUMIFS(AVERE,DENOMINAZIONE_GIORNALE,"="&amp;$DC1155)),2)),"")</f>
        <v/>
      </c>
      <c r="DF1155" s="259">
        <f ca="1">IF(AND(CX1155=$DE$2,$DF$2&lt;&gt;0),0,IF(AND(DB1155&lt;&gt;"",OR(DB1154&lt;&gt;"",DB1156&lt;&gt;"")),MAX($DF$2:DF1154)+1,0))</f>
        <v>0</v>
      </c>
    </row>
    <row r="1156" spans="102:110">
      <c r="CX1156" s="259">
        <f t="shared" ref="CX1156:CX1171" ca="1" si="1258">$EA$67</f>
        <v>65</v>
      </c>
      <c r="CY1156" s="259" t="str">
        <f t="shared" ca="1" si="1247"/>
        <v>MASTRO</v>
      </c>
      <c r="DA1156" s="259" t="str">
        <f ca="1">IF(DB1155="","","Num. riga")</f>
        <v/>
      </c>
      <c r="DB1156" s="259" t="str">
        <f t="shared" ref="DB1156" ca="1" si="1259">IF(DB1155="","","Data")</f>
        <v/>
      </c>
      <c r="DC1156" s="259" t="str">
        <f ca="1">IF(DB1155="","","Operazioni")</f>
        <v/>
      </c>
      <c r="DD1156" s="259" t="str">
        <f ca="1">IF(DB1155="","","Dare        ")</f>
        <v/>
      </c>
      <c r="DE1156" s="259" t="str">
        <f ca="1">IF(DB1155="","","Avere        ")</f>
        <v/>
      </c>
      <c r="DF1156" s="259">
        <f ca="1">IF(AND(CX1156=$DE$2,$DF$2&lt;&gt;0),0,IF(AND(DB1156&lt;&gt;"",OR(DB1155&lt;&gt;"",DB1157&lt;&gt;"")),MAX($DF$2:DF1155)+1,0))</f>
        <v>0</v>
      </c>
    </row>
    <row r="1157" spans="102:110">
      <c r="CX1157" s="259">
        <f t="shared" ca="1" si="1258"/>
        <v>65</v>
      </c>
      <c r="CY1157" s="259" t="str">
        <f t="shared" ca="1" si="1247"/>
        <v>MASTRO</v>
      </c>
      <c r="CZ1157" s="259" t="e">
        <f t="shared" ref="CZ1157:CZ1171" ca="1" si="1260">SUM(MATCH($CY1157,INDIRECT(ADDRESS(SUM(CZ1156)+3,54)&amp;":"&amp;ADDRESS(400,54)),0),CZ1156)</f>
        <v>#N/A</v>
      </c>
      <c r="DA1157" s="259" t="str">
        <f ca="1">IFERROR(INDEX(LIBRO_GIORNALE,CZ1157,1),"")</f>
        <v/>
      </c>
      <c r="DB1157" s="259" t="str">
        <f t="shared" ref="DB1157:DB1171" ca="1" si="1261">IF(RIGHT(TEXT(IFERROR(INDEX(LIBRO_GIORNALE,CZ1157,2),""),"gg/mm/aa"),1)="a",TEXT(IFERROR(INDEX(LIBRO_GIORNALE,CZ1157,2),""),"dd/mm/yy"),TEXT(IFERROR(INDEX(LIBRO_GIORNALE,CZ1157,2),""),"gg/mm/aa"))</f>
        <v/>
      </c>
      <c r="DC1157" s="259" t="str">
        <f t="shared" ref="DC1157:DC1171" ca="1" si="1262">IF(IFERROR(INDEX(LIBRO_GIORNALE,CZ1157,4),"")=0,"manca la descrizione dell'operazione",IFERROR(INDEX(LIBRO_GIORNALE,CZ1157,4),""))</f>
        <v/>
      </c>
      <c r="DD1157" s="259" t="str">
        <f t="shared" ref="DD1157:DD1171" ca="1" si="1263">IFERROR(IF(INDEX(LIBRO_GIORNALE,CZ1157,5)&gt;0,INDEX(LIBRO_GIORNALE,CZ1157,5),""),"")</f>
        <v/>
      </c>
      <c r="DE1157" s="259" t="str">
        <f t="shared" ref="DE1157:DE1171" ca="1" si="1264">IFERROR(IF(INDEX(LIBRO_GIORNALE,CZ1157,6)&gt;0,INDEX(LIBRO_GIORNALE,CZ1157,6),""),"")</f>
        <v/>
      </c>
      <c r="DF1157" s="259">
        <f ca="1">IF(AND(CX1157=$DE$2,$DF$2&lt;&gt;0),0,IF(AND(DB1157&lt;&gt;"",OR(DB1156&lt;&gt;"",DB1158&lt;&gt;"")),MAX($DF$2:DF1156)+1,0))</f>
        <v>0</v>
      </c>
    </row>
    <row r="1158" spans="102:110">
      <c r="CX1158" s="259">
        <f t="shared" ca="1" si="1258"/>
        <v>65</v>
      </c>
      <c r="CY1158" s="259" t="str">
        <f t="shared" ref="CY1158:CY1189" ca="1" si="1265">IF(ISERROR(INDEX($CV$3:$CX$2300,MATCH(CX1158,$CW$3:$CW$2300,0),1)),"MASTRO",INDEX($CV$3:$CX$2300,MATCH(CX1158,$CW$3:$CW$2300,0),1))</f>
        <v>MASTRO</v>
      </c>
      <c r="CZ1158" s="259" t="e">
        <f t="shared" ca="1" si="1260"/>
        <v>#N/A</v>
      </c>
      <c r="DA1158" s="259" t="str">
        <f t="shared" ref="DA1158:DA1171" ca="1" si="1266">IFERROR(INDEX(LIBRO_GIORNALE,CZ1158,1),"")</f>
        <v/>
      </c>
      <c r="DB1158" s="259" t="str">
        <f t="shared" ca="1" si="1261"/>
        <v/>
      </c>
      <c r="DC1158" s="259" t="str">
        <f t="shared" ca="1" si="1262"/>
        <v/>
      </c>
      <c r="DD1158" s="259" t="str">
        <f t="shared" ca="1" si="1263"/>
        <v/>
      </c>
      <c r="DE1158" s="259" t="str">
        <f t="shared" ca="1" si="1264"/>
        <v/>
      </c>
      <c r="DF1158" s="259">
        <f ca="1">IF(AND(CX1158=$DE$2,$DF$2&lt;&gt;0),0,IF(AND(DB1158&lt;&gt;"",OR(DB1157&lt;&gt;"",DB1159&lt;&gt;"")),MAX($DF$2:DF1157)+1,0))</f>
        <v>0</v>
      </c>
    </row>
    <row r="1159" spans="102:110">
      <c r="CX1159" s="259">
        <f t="shared" ca="1" si="1258"/>
        <v>65</v>
      </c>
      <c r="CY1159" s="259" t="str">
        <f t="shared" ca="1" si="1265"/>
        <v>MASTRO</v>
      </c>
      <c r="CZ1159" s="259" t="e">
        <f t="shared" ca="1" si="1260"/>
        <v>#N/A</v>
      </c>
      <c r="DA1159" s="259" t="str">
        <f t="shared" ca="1" si="1266"/>
        <v/>
      </c>
      <c r="DB1159" s="259" t="str">
        <f t="shared" ca="1" si="1261"/>
        <v/>
      </c>
      <c r="DC1159" s="259" t="str">
        <f t="shared" ca="1" si="1262"/>
        <v/>
      </c>
      <c r="DD1159" s="259" t="str">
        <f t="shared" ca="1" si="1263"/>
        <v/>
      </c>
      <c r="DE1159" s="259" t="str">
        <f t="shared" ca="1" si="1264"/>
        <v/>
      </c>
      <c r="DF1159" s="259">
        <f ca="1">IF(AND(CX1159=$DE$2,$DF$2&lt;&gt;0),0,IF(AND(DB1159&lt;&gt;"",OR(DB1158&lt;&gt;"",DB1160&lt;&gt;"")),MAX($DF$2:DF1158)+1,0))</f>
        <v>0</v>
      </c>
    </row>
    <row r="1160" spans="102:110">
      <c r="CX1160" s="259">
        <f t="shared" ca="1" si="1258"/>
        <v>65</v>
      </c>
      <c r="CY1160" s="259" t="str">
        <f t="shared" ca="1" si="1265"/>
        <v>MASTRO</v>
      </c>
      <c r="CZ1160" s="259" t="e">
        <f t="shared" ca="1" si="1260"/>
        <v>#N/A</v>
      </c>
      <c r="DA1160" s="259" t="str">
        <f t="shared" ca="1" si="1266"/>
        <v/>
      </c>
      <c r="DB1160" s="259" t="str">
        <f t="shared" ca="1" si="1261"/>
        <v/>
      </c>
      <c r="DC1160" s="259" t="str">
        <f t="shared" ca="1" si="1262"/>
        <v/>
      </c>
      <c r="DD1160" s="259" t="str">
        <f t="shared" ca="1" si="1263"/>
        <v/>
      </c>
      <c r="DE1160" s="259" t="str">
        <f t="shared" ca="1" si="1264"/>
        <v/>
      </c>
      <c r="DF1160" s="259">
        <f ca="1">IF(AND(CX1160=$DE$2,$DF$2&lt;&gt;0),0,IF(AND(DB1160&lt;&gt;"",OR(DB1159&lt;&gt;"",DB1161&lt;&gt;"")),MAX($DF$2:DF1159)+1,0))</f>
        <v>0</v>
      </c>
    </row>
    <row r="1161" spans="102:110">
      <c r="CX1161" s="259">
        <f t="shared" ca="1" si="1258"/>
        <v>65</v>
      </c>
      <c r="CY1161" s="259" t="str">
        <f t="shared" ca="1" si="1265"/>
        <v>MASTRO</v>
      </c>
      <c r="CZ1161" s="259" t="e">
        <f t="shared" ca="1" si="1260"/>
        <v>#N/A</v>
      </c>
      <c r="DA1161" s="259" t="str">
        <f t="shared" ca="1" si="1266"/>
        <v/>
      </c>
      <c r="DB1161" s="259" t="str">
        <f t="shared" ca="1" si="1261"/>
        <v/>
      </c>
      <c r="DC1161" s="259" t="str">
        <f t="shared" ca="1" si="1262"/>
        <v/>
      </c>
      <c r="DD1161" s="259" t="str">
        <f t="shared" ca="1" si="1263"/>
        <v/>
      </c>
      <c r="DE1161" s="259" t="str">
        <f t="shared" ca="1" si="1264"/>
        <v/>
      </c>
      <c r="DF1161" s="259">
        <f ca="1">IF(AND(CX1161=$DE$2,$DF$2&lt;&gt;0),0,IF(AND(DB1161&lt;&gt;"",OR(DB1160&lt;&gt;"",DB1162&lt;&gt;"")),MAX($DF$2:DF1160)+1,0))</f>
        <v>0</v>
      </c>
    </row>
    <row r="1162" spans="102:110">
      <c r="CX1162" s="259">
        <f t="shared" ca="1" si="1258"/>
        <v>65</v>
      </c>
      <c r="CY1162" s="259" t="str">
        <f t="shared" ca="1" si="1265"/>
        <v>MASTRO</v>
      </c>
      <c r="CZ1162" s="259" t="e">
        <f t="shared" ca="1" si="1260"/>
        <v>#N/A</v>
      </c>
      <c r="DA1162" s="259" t="str">
        <f t="shared" ca="1" si="1266"/>
        <v/>
      </c>
      <c r="DB1162" s="259" t="str">
        <f t="shared" ca="1" si="1261"/>
        <v/>
      </c>
      <c r="DC1162" s="259" t="str">
        <f t="shared" ca="1" si="1262"/>
        <v/>
      </c>
      <c r="DD1162" s="259" t="str">
        <f t="shared" ca="1" si="1263"/>
        <v/>
      </c>
      <c r="DE1162" s="259" t="str">
        <f t="shared" ca="1" si="1264"/>
        <v/>
      </c>
      <c r="DF1162" s="259">
        <f ca="1">IF(AND(CX1162=$DE$2,$DF$2&lt;&gt;0),0,IF(AND(DB1162&lt;&gt;"",OR(DB1161&lt;&gt;"",DB1163&lt;&gt;"")),MAX($DF$2:DF1161)+1,0))</f>
        <v>0</v>
      </c>
    </row>
    <row r="1163" spans="102:110">
      <c r="CX1163" s="259">
        <f t="shared" ca="1" si="1258"/>
        <v>65</v>
      </c>
      <c r="CY1163" s="259" t="str">
        <f t="shared" ca="1" si="1265"/>
        <v>MASTRO</v>
      </c>
      <c r="CZ1163" s="259" t="e">
        <f t="shared" ca="1" si="1260"/>
        <v>#N/A</v>
      </c>
      <c r="DA1163" s="259" t="str">
        <f t="shared" ca="1" si="1266"/>
        <v/>
      </c>
      <c r="DB1163" s="259" t="str">
        <f t="shared" ca="1" si="1261"/>
        <v/>
      </c>
      <c r="DC1163" s="259" t="str">
        <f t="shared" ca="1" si="1262"/>
        <v/>
      </c>
      <c r="DD1163" s="259" t="str">
        <f t="shared" ca="1" si="1263"/>
        <v/>
      </c>
      <c r="DE1163" s="259" t="str">
        <f t="shared" ca="1" si="1264"/>
        <v/>
      </c>
      <c r="DF1163" s="259">
        <f ca="1">IF(AND(CX1163=$DE$2,$DF$2&lt;&gt;0),0,IF(AND(DB1163&lt;&gt;"",OR(DB1162&lt;&gt;"",DB1164&lt;&gt;"")),MAX($DF$2:DF1162)+1,0))</f>
        <v>0</v>
      </c>
    </row>
    <row r="1164" spans="102:110">
      <c r="CX1164" s="259">
        <f t="shared" ca="1" si="1258"/>
        <v>65</v>
      </c>
      <c r="CY1164" s="259" t="str">
        <f t="shared" ca="1" si="1265"/>
        <v>MASTRO</v>
      </c>
      <c r="CZ1164" s="259" t="e">
        <f t="shared" ca="1" si="1260"/>
        <v>#N/A</v>
      </c>
      <c r="DA1164" s="259" t="str">
        <f t="shared" ca="1" si="1266"/>
        <v/>
      </c>
      <c r="DB1164" s="259" t="str">
        <f t="shared" ca="1" si="1261"/>
        <v/>
      </c>
      <c r="DC1164" s="259" t="str">
        <f t="shared" ca="1" si="1262"/>
        <v/>
      </c>
      <c r="DD1164" s="259" t="str">
        <f t="shared" ca="1" si="1263"/>
        <v/>
      </c>
      <c r="DE1164" s="259" t="str">
        <f t="shared" ca="1" si="1264"/>
        <v/>
      </c>
      <c r="DF1164" s="259">
        <f ca="1">IF(AND(CX1164=$DE$2,$DF$2&lt;&gt;0),0,IF(AND(DB1164&lt;&gt;"",OR(DB1163&lt;&gt;"",DB1165&lt;&gt;"")),MAX($DF$2:DF1163)+1,0))</f>
        <v>0</v>
      </c>
    </row>
    <row r="1165" spans="102:110">
      <c r="CX1165" s="259">
        <f t="shared" ca="1" si="1258"/>
        <v>65</v>
      </c>
      <c r="CY1165" s="259" t="str">
        <f t="shared" ca="1" si="1265"/>
        <v>MASTRO</v>
      </c>
      <c r="CZ1165" s="259" t="e">
        <f t="shared" ca="1" si="1260"/>
        <v>#N/A</v>
      </c>
      <c r="DA1165" s="259" t="str">
        <f t="shared" ca="1" si="1266"/>
        <v/>
      </c>
      <c r="DB1165" s="259" t="str">
        <f t="shared" ca="1" si="1261"/>
        <v/>
      </c>
      <c r="DC1165" s="259" t="str">
        <f t="shared" ca="1" si="1262"/>
        <v/>
      </c>
      <c r="DD1165" s="259" t="str">
        <f t="shared" ca="1" si="1263"/>
        <v/>
      </c>
      <c r="DE1165" s="259" t="str">
        <f t="shared" ca="1" si="1264"/>
        <v/>
      </c>
      <c r="DF1165" s="259">
        <f ca="1">IF(AND(CX1165=$DE$2,$DF$2&lt;&gt;0),0,IF(AND(DB1165&lt;&gt;"",OR(DB1164&lt;&gt;"",DB1166&lt;&gt;"")),MAX($DF$2:DF1164)+1,0))</f>
        <v>0</v>
      </c>
    </row>
    <row r="1166" spans="102:110">
      <c r="CX1166" s="259">
        <f t="shared" ca="1" si="1258"/>
        <v>65</v>
      </c>
      <c r="CY1166" s="259" t="str">
        <f t="shared" ca="1" si="1265"/>
        <v>MASTRO</v>
      </c>
      <c r="CZ1166" s="259" t="e">
        <f t="shared" ca="1" si="1260"/>
        <v>#N/A</v>
      </c>
      <c r="DA1166" s="259" t="str">
        <f t="shared" ca="1" si="1266"/>
        <v/>
      </c>
      <c r="DB1166" s="259" t="str">
        <f t="shared" ca="1" si="1261"/>
        <v/>
      </c>
      <c r="DC1166" s="259" t="str">
        <f t="shared" ca="1" si="1262"/>
        <v/>
      </c>
      <c r="DD1166" s="259" t="str">
        <f t="shared" ca="1" si="1263"/>
        <v/>
      </c>
      <c r="DE1166" s="259" t="str">
        <f t="shared" ca="1" si="1264"/>
        <v/>
      </c>
      <c r="DF1166" s="259">
        <f ca="1">IF(AND(CX1166=$DE$2,$DF$2&lt;&gt;0),0,IF(AND(DB1166&lt;&gt;"",OR(DB1165&lt;&gt;"",DB1167&lt;&gt;"")),MAX($DF$2:DF1165)+1,0))</f>
        <v>0</v>
      </c>
    </row>
    <row r="1167" spans="102:110">
      <c r="CX1167" s="259">
        <f t="shared" ca="1" si="1258"/>
        <v>65</v>
      </c>
      <c r="CY1167" s="259" t="str">
        <f t="shared" ca="1" si="1265"/>
        <v>MASTRO</v>
      </c>
      <c r="CZ1167" s="259" t="e">
        <f t="shared" ca="1" si="1260"/>
        <v>#N/A</v>
      </c>
      <c r="DA1167" s="259" t="str">
        <f t="shared" ca="1" si="1266"/>
        <v/>
      </c>
      <c r="DB1167" s="259" t="str">
        <f t="shared" ca="1" si="1261"/>
        <v/>
      </c>
      <c r="DC1167" s="259" t="str">
        <f t="shared" ca="1" si="1262"/>
        <v/>
      </c>
      <c r="DD1167" s="259" t="str">
        <f t="shared" ca="1" si="1263"/>
        <v/>
      </c>
      <c r="DE1167" s="259" t="str">
        <f t="shared" ca="1" si="1264"/>
        <v/>
      </c>
      <c r="DF1167" s="259">
        <f ca="1">IF(AND(CX1167=$DE$2,$DF$2&lt;&gt;0),0,IF(AND(DB1167&lt;&gt;"",OR(DB1166&lt;&gt;"",DB1168&lt;&gt;"")),MAX($DF$2:DF1166)+1,0))</f>
        <v>0</v>
      </c>
    </row>
    <row r="1168" spans="102:110">
      <c r="CX1168" s="259">
        <f t="shared" ca="1" si="1258"/>
        <v>65</v>
      </c>
      <c r="CY1168" s="259" t="str">
        <f t="shared" ca="1" si="1265"/>
        <v>MASTRO</v>
      </c>
      <c r="CZ1168" s="259" t="e">
        <f t="shared" ca="1" si="1260"/>
        <v>#N/A</v>
      </c>
      <c r="DA1168" s="259" t="str">
        <f t="shared" ca="1" si="1266"/>
        <v/>
      </c>
      <c r="DB1168" s="259" t="str">
        <f t="shared" ca="1" si="1261"/>
        <v/>
      </c>
      <c r="DC1168" s="259" t="str">
        <f t="shared" ca="1" si="1262"/>
        <v/>
      </c>
      <c r="DD1168" s="259" t="str">
        <f t="shared" ca="1" si="1263"/>
        <v/>
      </c>
      <c r="DE1168" s="259" t="str">
        <f t="shared" ca="1" si="1264"/>
        <v/>
      </c>
      <c r="DF1168" s="259">
        <f ca="1">IF(AND(CX1168=$DE$2,$DF$2&lt;&gt;0),0,IF(AND(DB1168&lt;&gt;"",OR(DB1167&lt;&gt;"",DB1169&lt;&gt;"")),MAX($DF$2:DF1167)+1,0))</f>
        <v>0</v>
      </c>
    </row>
    <row r="1169" spans="102:110">
      <c r="CX1169" s="259">
        <f t="shared" ca="1" si="1258"/>
        <v>65</v>
      </c>
      <c r="CY1169" s="259" t="str">
        <f t="shared" ca="1" si="1265"/>
        <v>MASTRO</v>
      </c>
      <c r="CZ1169" s="259" t="e">
        <f t="shared" ca="1" si="1260"/>
        <v>#N/A</v>
      </c>
      <c r="DA1169" s="259" t="str">
        <f t="shared" ca="1" si="1266"/>
        <v/>
      </c>
      <c r="DB1169" s="259" t="str">
        <f t="shared" ca="1" si="1261"/>
        <v/>
      </c>
      <c r="DC1169" s="259" t="str">
        <f t="shared" ca="1" si="1262"/>
        <v/>
      </c>
      <c r="DD1169" s="259" t="str">
        <f t="shared" ca="1" si="1263"/>
        <v/>
      </c>
      <c r="DE1169" s="259" t="str">
        <f t="shared" ca="1" si="1264"/>
        <v/>
      </c>
      <c r="DF1169" s="259">
        <f ca="1">IF(AND(CX1169=$DE$2,$DF$2&lt;&gt;0),0,IF(AND(DB1169&lt;&gt;"",OR(DB1168&lt;&gt;"",DB1170&lt;&gt;"")),MAX($DF$2:DF1168)+1,0))</f>
        <v>0</v>
      </c>
    </row>
    <row r="1170" spans="102:110">
      <c r="CX1170" s="259">
        <f t="shared" ca="1" si="1258"/>
        <v>65</v>
      </c>
      <c r="CY1170" s="259" t="str">
        <f t="shared" ca="1" si="1265"/>
        <v>MASTRO</v>
      </c>
      <c r="CZ1170" s="259" t="e">
        <f t="shared" ca="1" si="1260"/>
        <v>#N/A</v>
      </c>
      <c r="DA1170" s="259" t="str">
        <f t="shared" ca="1" si="1266"/>
        <v/>
      </c>
      <c r="DB1170" s="259" t="str">
        <f t="shared" ca="1" si="1261"/>
        <v/>
      </c>
      <c r="DC1170" s="259" t="str">
        <f t="shared" ca="1" si="1262"/>
        <v/>
      </c>
      <c r="DD1170" s="259" t="str">
        <f t="shared" ca="1" si="1263"/>
        <v/>
      </c>
      <c r="DE1170" s="259" t="str">
        <f t="shared" ca="1" si="1264"/>
        <v/>
      </c>
      <c r="DF1170" s="259">
        <f ca="1">IF(AND(CX1170=$DE$2,$DF$2&lt;&gt;0),0,IF(AND(DB1170&lt;&gt;"",OR(DB1169&lt;&gt;"",DB1171&lt;&gt;"")),MAX($DF$2:DF1169)+1,0))</f>
        <v>0</v>
      </c>
    </row>
    <row r="1171" spans="102:110">
      <c r="CX1171" s="259">
        <f t="shared" ca="1" si="1258"/>
        <v>65</v>
      </c>
      <c r="CY1171" s="259" t="str">
        <f t="shared" ca="1" si="1265"/>
        <v>MASTRO</v>
      </c>
      <c r="CZ1171" s="259" t="e">
        <f t="shared" ca="1" si="1260"/>
        <v>#N/A</v>
      </c>
      <c r="DA1171" s="259" t="str">
        <f t="shared" ca="1" si="1266"/>
        <v/>
      </c>
      <c r="DB1171" s="259" t="str">
        <f t="shared" ca="1" si="1261"/>
        <v/>
      </c>
      <c r="DC1171" s="259" t="str">
        <f t="shared" ca="1" si="1262"/>
        <v/>
      </c>
      <c r="DD1171" s="259" t="str">
        <f t="shared" ca="1" si="1263"/>
        <v/>
      </c>
      <c r="DE1171" s="259" t="str">
        <f t="shared" ca="1" si="1264"/>
        <v/>
      </c>
      <c r="DF1171" s="259">
        <f ca="1">IF(AND(CX1171=$DE$2,$DF$2&lt;&gt;0),0,IF(AND(DB1171&lt;&gt;"",OR(DB1170&lt;&gt;"",DB1172&lt;&gt;"")),MAX($DF$2:DF1170)+1,0))</f>
        <v>0</v>
      </c>
    </row>
    <row r="1172" spans="102:110">
      <c r="CX1172" s="259" t="str">
        <f>IFERROR(IF(CX1154+1=1,"",(CX1154+1)),"")</f>
        <v/>
      </c>
      <c r="CY1172" s="259" t="str">
        <f t="shared" ca="1" si="1265"/>
        <v>MASTRO</v>
      </c>
      <c r="DB1172" s="259" t="str">
        <f t="shared" ref="DB1172" ca="1" si="1267">CY1172</f>
        <v>MASTRO</v>
      </c>
      <c r="DF1172" s="259">
        <f ca="1">IF(AND(CX1172=$DE$2,$DF$2&lt;&gt;0),0,IF(AND(DB1172&lt;&gt;"",OR(DB1171&lt;&gt;"",DB1173&lt;&gt;"")),MAX($DF$2:DF1171)+1,0))</f>
        <v>0</v>
      </c>
    </row>
    <row r="1173" spans="102:110">
      <c r="CX1173" s="259">
        <f ca="1">$EA$68</f>
        <v>66</v>
      </c>
      <c r="CY1173" s="259" t="str">
        <f t="shared" ca="1" si="1265"/>
        <v>MASTRO</v>
      </c>
      <c r="DA1173" s="259" t="str">
        <f ca="1">IF(CY1172="MASTRO","Conto n.","")</f>
        <v>Conto n.</v>
      </c>
      <c r="DB1173" s="259" t="str">
        <f ca="1">IF(CY1173=0,"",INDEX(PIANO_DEI_CONTI,MATCH(DC1173,DENOMINAZIONE,0),1))</f>
        <v/>
      </c>
      <c r="DC1173" s="259" t="str">
        <f ca="1">IF(OR(CY1173=0,CY1173="mastro"),"",CY1173)</f>
        <v/>
      </c>
      <c r="DD1173" s="259" t="str">
        <f ca="1">IF(AND($DA$2=TRUE,OR(INDEX(PIANO_DEI_CONTI,MATCH($DC1173,DENOMINAZIONE,0),4)="A",INDEX(PIANO_DEI_CONTI,MATCH($DC1173,DENOMINAZIONE,0),4)="D/A"),SUMIFS(AVERE,DENOMINAZIONE_GIORNALE,"="&amp;$DC1173)&gt;SUMIFS(DARE,DENOMINAZIONE_GIORNALE,"="&amp;$DC1173)),CONCATENATE("s ",FIXED(ABS(SUMIFS(AVERE,DENOMINAZIONE_GIORNALE,"="&amp;$DC1173)-SUMIFS(DARE,DENOMINAZIONE_GIORNALE,"="&amp;$DC1173)),2)),"")</f>
        <v/>
      </c>
      <c r="DE1173" s="259" t="str">
        <f ca="1">IF(AND($DA$2=TRUE,OR(INDEX(PIANO_DEI_CONTI,MATCH($DC1173,DENOMINAZIONE,0),4)="D",INDEX(PIANO_DEI_CONTI,MATCH($DC1173,DENOMINAZIONE,0),4)="D/A"),SUMIFS(DARE,DENOMINAZIONE_GIORNALE,"="&amp;$DC1173)&gt;SUMIFS(AVERE,DENOMINAZIONE_GIORNALE,"="&amp;$DC1173)),CONCATENATE("s ",FIXED(ABS(SUMIFS(DARE,DENOMINAZIONE_GIORNALE,"="&amp;$DC1173)-SUMIFS(AVERE,DENOMINAZIONE_GIORNALE,"="&amp;$DC1173)),2)),"")</f>
        <v/>
      </c>
      <c r="DF1173" s="259">
        <f ca="1">IF(AND(CX1173=$DE$2,$DF$2&lt;&gt;0),0,IF(AND(DB1173&lt;&gt;"",OR(DB1172&lt;&gt;"",DB1174&lt;&gt;"")),MAX($DF$2:DF1172)+1,0))</f>
        <v>0</v>
      </c>
    </row>
    <row r="1174" spans="102:110">
      <c r="CX1174" s="259">
        <f t="shared" ref="CX1174:CX1189" ca="1" si="1268">$EA$68</f>
        <v>66</v>
      </c>
      <c r="CY1174" s="259" t="str">
        <f t="shared" ca="1" si="1265"/>
        <v>MASTRO</v>
      </c>
      <c r="DA1174" s="259" t="str">
        <f ca="1">IF(DB1173="","","Num. riga")</f>
        <v/>
      </c>
      <c r="DB1174" s="259" t="str">
        <f t="shared" ref="DB1174" ca="1" si="1269">IF(DB1173="","","Data")</f>
        <v/>
      </c>
      <c r="DC1174" s="259" t="str">
        <f ca="1">IF(DB1173="","","Operazioni")</f>
        <v/>
      </c>
      <c r="DD1174" s="259" t="str">
        <f ca="1">IF(DB1173="","","Dare        ")</f>
        <v/>
      </c>
      <c r="DE1174" s="259" t="str">
        <f ca="1">IF(DB1173="","","Avere        ")</f>
        <v/>
      </c>
      <c r="DF1174" s="259">
        <f ca="1">IF(AND(CX1174=$DE$2,$DF$2&lt;&gt;0),0,IF(AND(DB1174&lt;&gt;"",OR(DB1173&lt;&gt;"",DB1175&lt;&gt;"")),MAX($DF$2:DF1173)+1,0))</f>
        <v>0</v>
      </c>
    </row>
    <row r="1175" spans="102:110">
      <c r="CX1175" s="259">
        <f t="shared" ca="1" si="1268"/>
        <v>66</v>
      </c>
      <c r="CY1175" s="259" t="str">
        <f t="shared" ca="1" si="1265"/>
        <v>MASTRO</v>
      </c>
      <c r="CZ1175" s="259" t="e">
        <f t="shared" ref="CZ1175:CZ1189" ca="1" si="1270">SUM(MATCH($CY1175,INDIRECT(ADDRESS(SUM(CZ1174)+3,54)&amp;":"&amp;ADDRESS(400,54)),0),CZ1174)</f>
        <v>#N/A</v>
      </c>
      <c r="DA1175" s="259" t="str">
        <f ca="1">IFERROR(INDEX(LIBRO_GIORNALE,CZ1175,1),"")</f>
        <v/>
      </c>
      <c r="DB1175" s="259" t="str">
        <f t="shared" ref="DB1175:DB1189" ca="1" si="1271">IF(RIGHT(TEXT(IFERROR(INDEX(LIBRO_GIORNALE,CZ1175,2),""),"gg/mm/aa"),1)="a",TEXT(IFERROR(INDEX(LIBRO_GIORNALE,CZ1175,2),""),"dd/mm/yy"),TEXT(IFERROR(INDEX(LIBRO_GIORNALE,CZ1175,2),""),"gg/mm/aa"))</f>
        <v/>
      </c>
      <c r="DC1175" s="259" t="str">
        <f t="shared" ref="DC1175:DC1189" ca="1" si="1272">IF(IFERROR(INDEX(LIBRO_GIORNALE,CZ1175,4),"")=0,"manca la descrizione dell'operazione",IFERROR(INDEX(LIBRO_GIORNALE,CZ1175,4),""))</f>
        <v/>
      </c>
      <c r="DD1175" s="259" t="str">
        <f t="shared" ref="DD1175:DD1189" ca="1" si="1273">IFERROR(IF(INDEX(LIBRO_GIORNALE,CZ1175,5)&gt;0,INDEX(LIBRO_GIORNALE,CZ1175,5),""),"")</f>
        <v/>
      </c>
      <c r="DE1175" s="259" t="str">
        <f t="shared" ref="DE1175:DE1189" ca="1" si="1274">IFERROR(IF(INDEX(LIBRO_GIORNALE,CZ1175,6)&gt;0,INDEX(LIBRO_GIORNALE,CZ1175,6),""),"")</f>
        <v/>
      </c>
      <c r="DF1175" s="259">
        <f ca="1">IF(AND(CX1175=$DE$2,$DF$2&lt;&gt;0),0,IF(AND(DB1175&lt;&gt;"",OR(DB1174&lt;&gt;"",DB1176&lt;&gt;"")),MAX($DF$2:DF1174)+1,0))</f>
        <v>0</v>
      </c>
    </row>
    <row r="1176" spans="102:110">
      <c r="CX1176" s="259">
        <f t="shared" ca="1" si="1268"/>
        <v>66</v>
      </c>
      <c r="CY1176" s="259" t="str">
        <f t="shared" ca="1" si="1265"/>
        <v>MASTRO</v>
      </c>
      <c r="CZ1176" s="259" t="e">
        <f t="shared" ca="1" si="1270"/>
        <v>#N/A</v>
      </c>
      <c r="DA1176" s="259" t="str">
        <f t="shared" ref="DA1176:DA1189" ca="1" si="1275">IFERROR(INDEX(LIBRO_GIORNALE,CZ1176,1),"")</f>
        <v/>
      </c>
      <c r="DB1176" s="259" t="str">
        <f t="shared" ca="1" si="1271"/>
        <v/>
      </c>
      <c r="DC1176" s="259" t="str">
        <f t="shared" ca="1" si="1272"/>
        <v/>
      </c>
      <c r="DD1176" s="259" t="str">
        <f t="shared" ca="1" si="1273"/>
        <v/>
      </c>
      <c r="DE1176" s="259" t="str">
        <f t="shared" ca="1" si="1274"/>
        <v/>
      </c>
      <c r="DF1176" s="259">
        <f ca="1">IF(AND(CX1176=$DE$2,$DF$2&lt;&gt;0),0,IF(AND(DB1176&lt;&gt;"",OR(DB1175&lt;&gt;"",DB1177&lt;&gt;"")),MAX($DF$2:DF1175)+1,0))</f>
        <v>0</v>
      </c>
    </row>
    <row r="1177" spans="102:110">
      <c r="CX1177" s="259">
        <f t="shared" ca="1" si="1268"/>
        <v>66</v>
      </c>
      <c r="CY1177" s="259" t="str">
        <f t="shared" ca="1" si="1265"/>
        <v>MASTRO</v>
      </c>
      <c r="CZ1177" s="259" t="e">
        <f t="shared" ca="1" si="1270"/>
        <v>#N/A</v>
      </c>
      <c r="DA1177" s="259" t="str">
        <f t="shared" ca="1" si="1275"/>
        <v/>
      </c>
      <c r="DB1177" s="259" t="str">
        <f t="shared" ca="1" si="1271"/>
        <v/>
      </c>
      <c r="DC1177" s="259" t="str">
        <f t="shared" ca="1" si="1272"/>
        <v/>
      </c>
      <c r="DD1177" s="259" t="str">
        <f t="shared" ca="1" si="1273"/>
        <v/>
      </c>
      <c r="DE1177" s="259" t="str">
        <f t="shared" ca="1" si="1274"/>
        <v/>
      </c>
      <c r="DF1177" s="259">
        <f ca="1">IF(AND(CX1177=$DE$2,$DF$2&lt;&gt;0),0,IF(AND(DB1177&lt;&gt;"",OR(DB1176&lt;&gt;"",DB1178&lt;&gt;"")),MAX($DF$2:DF1176)+1,0))</f>
        <v>0</v>
      </c>
    </row>
    <row r="1178" spans="102:110">
      <c r="CX1178" s="259">
        <f t="shared" ca="1" si="1268"/>
        <v>66</v>
      </c>
      <c r="CY1178" s="259" t="str">
        <f t="shared" ca="1" si="1265"/>
        <v>MASTRO</v>
      </c>
      <c r="CZ1178" s="259" t="e">
        <f t="shared" ca="1" si="1270"/>
        <v>#N/A</v>
      </c>
      <c r="DA1178" s="259" t="str">
        <f t="shared" ca="1" si="1275"/>
        <v/>
      </c>
      <c r="DB1178" s="259" t="str">
        <f t="shared" ca="1" si="1271"/>
        <v/>
      </c>
      <c r="DC1178" s="259" t="str">
        <f t="shared" ca="1" si="1272"/>
        <v/>
      </c>
      <c r="DD1178" s="259" t="str">
        <f t="shared" ca="1" si="1273"/>
        <v/>
      </c>
      <c r="DE1178" s="259" t="str">
        <f t="shared" ca="1" si="1274"/>
        <v/>
      </c>
      <c r="DF1178" s="259">
        <f ca="1">IF(AND(CX1178=$DE$2,$DF$2&lt;&gt;0),0,IF(AND(DB1178&lt;&gt;"",OR(DB1177&lt;&gt;"",DB1179&lt;&gt;"")),MAX($DF$2:DF1177)+1,0))</f>
        <v>0</v>
      </c>
    </row>
    <row r="1179" spans="102:110">
      <c r="CX1179" s="259">
        <f t="shared" ca="1" si="1268"/>
        <v>66</v>
      </c>
      <c r="CY1179" s="259" t="str">
        <f t="shared" ca="1" si="1265"/>
        <v>MASTRO</v>
      </c>
      <c r="CZ1179" s="259" t="e">
        <f t="shared" ca="1" si="1270"/>
        <v>#N/A</v>
      </c>
      <c r="DA1179" s="259" t="str">
        <f t="shared" ca="1" si="1275"/>
        <v/>
      </c>
      <c r="DB1179" s="259" t="str">
        <f t="shared" ca="1" si="1271"/>
        <v/>
      </c>
      <c r="DC1179" s="259" t="str">
        <f t="shared" ca="1" si="1272"/>
        <v/>
      </c>
      <c r="DD1179" s="259" t="str">
        <f t="shared" ca="1" si="1273"/>
        <v/>
      </c>
      <c r="DE1179" s="259" t="str">
        <f t="shared" ca="1" si="1274"/>
        <v/>
      </c>
      <c r="DF1179" s="259">
        <f ca="1">IF(AND(CX1179=$DE$2,$DF$2&lt;&gt;0),0,IF(AND(DB1179&lt;&gt;"",OR(DB1178&lt;&gt;"",DB1180&lt;&gt;"")),MAX($DF$2:DF1178)+1,0))</f>
        <v>0</v>
      </c>
    </row>
    <row r="1180" spans="102:110">
      <c r="CX1180" s="259">
        <f t="shared" ca="1" si="1268"/>
        <v>66</v>
      </c>
      <c r="CY1180" s="259" t="str">
        <f t="shared" ca="1" si="1265"/>
        <v>MASTRO</v>
      </c>
      <c r="CZ1180" s="259" t="e">
        <f t="shared" ca="1" si="1270"/>
        <v>#N/A</v>
      </c>
      <c r="DA1180" s="259" t="str">
        <f t="shared" ca="1" si="1275"/>
        <v/>
      </c>
      <c r="DB1180" s="259" t="str">
        <f t="shared" ca="1" si="1271"/>
        <v/>
      </c>
      <c r="DC1180" s="259" t="str">
        <f t="shared" ca="1" si="1272"/>
        <v/>
      </c>
      <c r="DD1180" s="259" t="str">
        <f t="shared" ca="1" si="1273"/>
        <v/>
      </c>
      <c r="DE1180" s="259" t="str">
        <f t="shared" ca="1" si="1274"/>
        <v/>
      </c>
      <c r="DF1180" s="259">
        <f ca="1">IF(AND(CX1180=$DE$2,$DF$2&lt;&gt;0),0,IF(AND(DB1180&lt;&gt;"",OR(DB1179&lt;&gt;"",DB1181&lt;&gt;"")),MAX($DF$2:DF1179)+1,0))</f>
        <v>0</v>
      </c>
    </row>
    <row r="1181" spans="102:110">
      <c r="CX1181" s="259">
        <f t="shared" ca="1" si="1268"/>
        <v>66</v>
      </c>
      <c r="CY1181" s="259" t="str">
        <f t="shared" ca="1" si="1265"/>
        <v>MASTRO</v>
      </c>
      <c r="CZ1181" s="259" t="e">
        <f t="shared" ca="1" si="1270"/>
        <v>#N/A</v>
      </c>
      <c r="DA1181" s="259" t="str">
        <f t="shared" ca="1" si="1275"/>
        <v/>
      </c>
      <c r="DB1181" s="259" t="str">
        <f t="shared" ca="1" si="1271"/>
        <v/>
      </c>
      <c r="DC1181" s="259" t="str">
        <f t="shared" ca="1" si="1272"/>
        <v/>
      </c>
      <c r="DD1181" s="259" t="str">
        <f t="shared" ca="1" si="1273"/>
        <v/>
      </c>
      <c r="DE1181" s="259" t="str">
        <f t="shared" ca="1" si="1274"/>
        <v/>
      </c>
      <c r="DF1181" s="259">
        <f ca="1">IF(AND(CX1181=$DE$2,$DF$2&lt;&gt;0),0,IF(AND(DB1181&lt;&gt;"",OR(DB1180&lt;&gt;"",DB1182&lt;&gt;"")),MAX($DF$2:DF1180)+1,0))</f>
        <v>0</v>
      </c>
    </row>
    <row r="1182" spans="102:110">
      <c r="CX1182" s="259">
        <f t="shared" ca="1" si="1268"/>
        <v>66</v>
      </c>
      <c r="CY1182" s="259" t="str">
        <f t="shared" ca="1" si="1265"/>
        <v>MASTRO</v>
      </c>
      <c r="CZ1182" s="259" t="e">
        <f t="shared" ca="1" si="1270"/>
        <v>#N/A</v>
      </c>
      <c r="DA1182" s="259" t="str">
        <f t="shared" ca="1" si="1275"/>
        <v/>
      </c>
      <c r="DB1182" s="259" t="str">
        <f t="shared" ca="1" si="1271"/>
        <v/>
      </c>
      <c r="DC1182" s="259" t="str">
        <f t="shared" ca="1" si="1272"/>
        <v/>
      </c>
      <c r="DD1182" s="259" t="str">
        <f t="shared" ca="1" si="1273"/>
        <v/>
      </c>
      <c r="DE1182" s="259" t="str">
        <f t="shared" ca="1" si="1274"/>
        <v/>
      </c>
      <c r="DF1182" s="259">
        <f ca="1">IF(AND(CX1182=$DE$2,$DF$2&lt;&gt;0),0,IF(AND(DB1182&lt;&gt;"",OR(DB1181&lt;&gt;"",DB1183&lt;&gt;"")),MAX($DF$2:DF1181)+1,0))</f>
        <v>0</v>
      </c>
    </row>
    <row r="1183" spans="102:110">
      <c r="CX1183" s="259">
        <f t="shared" ca="1" si="1268"/>
        <v>66</v>
      </c>
      <c r="CY1183" s="259" t="str">
        <f t="shared" ca="1" si="1265"/>
        <v>MASTRO</v>
      </c>
      <c r="CZ1183" s="259" t="e">
        <f t="shared" ca="1" si="1270"/>
        <v>#N/A</v>
      </c>
      <c r="DA1183" s="259" t="str">
        <f t="shared" ca="1" si="1275"/>
        <v/>
      </c>
      <c r="DB1183" s="259" t="str">
        <f t="shared" ca="1" si="1271"/>
        <v/>
      </c>
      <c r="DC1183" s="259" t="str">
        <f t="shared" ca="1" si="1272"/>
        <v/>
      </c>
      <c r="DD1183" s="259" t="str">
        <f t="shared" ca="1" si="1273"/>
        <v/>
      </c>
      <c r="DE1183" s="259" t="str">
        <f t="shared" ca="1" si="1274"/>
        <v/>
      </c>
      <c r="DF1183" s="259">
        <f ca="1">IF(AND(CX1183=$DE$2,$DF$2&lt;&gt;0),0,IF(AND(DB1183&lt;&gt;"",OR(DB1182&lt;&gt;"",DB1184&lt;&gt;"")),MAX($DF$2:DF1182)+1,0))</f>
        <v>0</v>
      </c>
    </row>
    <row r="1184" spans="102:110">
      <c r="CX1184" s="259">
        <f t="shared" ca="1" si="1268"/>
        <v>66</v>
      </c>
      <c r="CY1184" s="259" t="str">
        <f t="shared" ca="1" si="1265"/>
        <v>MASTRO</v>
      </c>
      <c r="CZ1184" s="259" t="e">
        <f t="shared" ca="1" si="1270"/>
        <v>#N/A</v>
      </c>
      <c r="DA1184" s="259" t="str">
        <f t="shared" ca="1" si="1275"/>
        <v/>
      </c>
      <c r="DB1184" s="259" t="str">
        <f t="shared" ca="1" si="1271"/>
        <v/>
      </c>
      <c r="DC1184" s="259" t="str">
        <f t="shared" ca="1" si="1272"/>
        <v/>
      </c>
      <c r="DD1184" s="259" t="str">
        <f t="shared" ca="1" si="1273"/>
        <v/>
      </c>
      <c r="DE1184" s="259" t="str">
        <f t="shared" ca="1" si="1274"/>
        <v/>
      </c>
      <c r="DF1184" s="259">
        <f ca="1">IF(AND(CX1184=$DE$2,$DF$2&lt;&gt;0),0,IF(AND(DB1184&lt;&gt;"",OR(DB1183&lt;&gt;"",DB1185&lt;&gt;"")),MAX($DF$2:DF1183)+1,0))</f>
        <v>0</v>
      </c>
    </row>
    <row r="1185" spans="102:110">
      <c r="CX1185" s="259">
        <f t="shared" ca="1" si="1268"/>
        <v>66</v>
      </c>
      <c r="CY1185" s="259" t="str">
        <f t="shared" ca="1" si="1265"/>
        <v>MASTRO</v>
      </c>
      <c r="CZ1185" s="259" t="e">
        <f t="shared" ca="1" si="1270"/>
        <v>#N/A</v>
      </c>
      <c r="DA1185" s="259" t="str">
        <f t="shared" ca="1" si="1275"/>
        <v/>
      </c>
      <c r="DB1185" s="259" t="str">
        <f t="shared" ca="1" si="1271"/>
        <v/>
      </c>
      <c r="DC1185" s="259" t="str">
        <f t="shared" ca="1" si="1272"/>
        <v/>
      </c>
      <c r="DD1185" s="259" t="str">
        <f t="shared" ca="1" si="1273"/>
        <v/>
      </c>
      <c r="DE1185" s="259" t="str">
        <f t="shared" ca="1" si="1274"/>
        <v/>
      </c>
      <c r="DF1185" s="259">
        <f ca="1">IF(AND(CX1185=$DE$2,$DF$2&lt;&gt;0),0,IF(AND(DB1185&lt;&gt;"",OR(DB1184&lt;&gt;"",DB1186&lt;&gt;"")),MAX($DF$2:DF1184)+1,0))</f>
        <v>0</v>
      </c>
    </row>
    <row r="1186" spans="102:110">
      <c r="CX1186" s="259">
        <f t="shared" ca="1" si="1268"/>
        <v>66</v>
      </c>
      <c r="CY1186" s="259" t="str">
        <f t="shared" ca="1" si="1265"/>
        <v>MASTRO</v>
      </c>
      <c r="CZ1186" s="259" t="e">
        <f t="shared" ca="1" si="1270"/>
        <v>#N/A</v>
      </c>
      <c r="DA1186" s="259" t="str">
        <f t="shared" ca="1" si="1275"/>
        <v/>
      </c>
      <c r="DB1186" s="259" t="str">
        <f t="shared" ca="1" si="1271"/>
        <v/>
      </c>
      <c r="DC1186" s="259" t="str">
        <f t="shared" ca="1" si="1272"/>
        <v/>
      </c>
      <c r="DD1186" s="259" t="str">
        <f t="shared" ca="1" si="1273"/>
        <v/>
      </c>
      <c r="DE1186" s="259" t="str">
        <f t="shared" ca="1" si="1274"/>
        <v/>
      </c>
      <c r="DF1186" s="259">
        <f ca="1">IF(AND(CX1186=$DE$2,$DF$2&lt;&gt;0),0,IF(AND(DB1186&lt;&gt;"",OR(DB1185&lt;&gt;"",DB1187&lt;&gt;"")),MAX($DF$2:DF1185)+1,0))</f>
        <v>0</v>
      </c>
    </row>
    <row r="1187" spans="102:110">
      <c r="CX1187" s="259">
        <f t="shared" ca="1" si="1268"/>
        <v>66</v>
      </c>
      <c r="CY1187" s="259" t="str">
        <f t="shared" ca="1" si="1265"/>
        <v>MASTRO</v>
      </c>
      <c r="CZ1187" s="259" t="e">
        <f t="shared" ca="1" si="1270"/>
        <v>#N/A</v>
      </c>
      <c r="DA1187" s="259" t="str">
        <f t="shared" ca="1" si="1275"/>
        <v/>
      </c>
      <c r="DB1187" s="259" t="str">
        <f t="shared" ca="1" si="1271"/>
        <v/>
      </c>
      <c r="DC1187" s="259" t="str">
        <f t="shared" ca="1" si="1272"/>
        <v/>
      </c>
      <c r="DD1187" s="259" t="str">
        <f t="shared" ca="1" si="1273"/>
        <v/>
      </c>
      <c r="DE1187" s="259" t="str">
        <f t="shared" ca="1" si="1274"/>
        <v/>
      </c>
      <c r="DF1187" s="259">
        <f ca="1">IF(AND(CX1187=$DE$2,$DF$2&lt;&gt;0),0,IF(AND(DB1187&lt;&gt;"",OR(DB1186&lt;&gt;"",DB1188&lt;&gt;"")),MAX($DF$2:DF1186)+1,0))</f>
        <v>0</v>
      </c>
    </row>
    <row r="1188" spans="102:110">
      <c r="CX1188" s="259">
        <f t="shared" ca="1" si="1268"/>
        <v>66</v>
      </c>
      <c r="CY1188" s="259" t="str">
        <f t="shared" ca="1" si="1265"/>
        <v>MASTRO</v>
      </c>
      <c r="CZ1188" s="259" t="e">
        <f t="shared" ca="1" si="1270"/>
        <v>#N/A</v>
      </c>
      <c r="DA1188" s="259" t="str">
        <f t="shared" ca="1" si="1275"/>
        <v/>
      </c>
      <c r="DB1188" s="259" t="str">
        <f t="shared" ca="1" si="1271"/>
        <v/>
      </c>
      <c r="DC1188" s="259" t="str">
        <f t="shared" ca="1" si="1272"/>
        <v/>
      </c>
      <c r="DD1188" s="259" t="str">
        <f t="shared" ca="1" si="1273"/>
        <v/>
      </c>
      <c r="DE1188" s="259" t="str">
        <f t="shared" ca="1" si="1274"/>
        <v/>
      </c>
      <c r="DF1188" s="259">
        <f ca="1">IF(AND(CX1188=$DE$2,$DF$2&lt;&gt;0),0,IF(AND(DB1188&lt;&gt;"",OR(DB1187&lt;&gt;"",DB1189&lt;&gt;"")),MAX($DF$2:DF1187)+1,0))</f>
        <v>0</v>
      </c>
    </row>
    <row r="1189" spans="102:110">
      <c r="CX1189" s="259">
        <f t="shared" ca="1" si="1268"/>
        <v>66</v>
      </c>
      <c r="CY1189" s="259" t="str">
        <f t="shared" ca="1" si="1265"/>
        <v>MASTRO</v>
      </c>
      <c r="CZ1189" s="259" t="e">
        <f t="shared" ca="1" si="1270"/>
        <v>#N/A</v>
      </c>
      <c r="DA1189" s="259" t="str">
        <f t="shared" ca="1" si="1275"/>
        <v/>
      </c>
      <c r="DB1189" s="259" t="str">
        <f t="shared" ca="1" si="1271"/>
        <v/>
      </c>
      <c r="DC1189" s="259" t="str">
        <f t="shared" ca="1" si="1272"/>
        <v/>
      </c>
      <c r="DD1189" s="259" t="str">
        <f t="shared" ca="1" si="1273"/>
        <v/>
      </c>
      <c r="DE1189" s="259" t="str">
        <f t="shared" ca="1" si="1274"/>
        <v/>
      </c>
      <c r="DF1189" s="259">
        <f ca="1">IF(AND(CX1189=$DE$2,$DF$2&lt;&gt;0),0,IF(AND(DB1189&lt;&gt;"",OR(DB1188&lt;&gt;"",DB1190&lt;&gt;"")),MAX($DF$2:DF1188)+1,0))</f>
        <v>0</v>
      </c>
    </row>
    <row r="1190" spans="102:110">
      <c r="CX1190" s="259" t="str">
        <f>IFERROR(IF(CX1172+1=1,"",(CX1172+1)),"")</f>
        <v/>
      </c>
      <c r="CY1190" s="259" t="s">
        <v>269</v>
      </c>
      <c r="DB1190" s="259" t="str">
        <f t="shared" ref="DB1190" si="1276">CY1190</f>
        <v>MASTRO</v>
      </c>
      <c r="DF1190" s="259">
        <f ca="1">IF(AND(CX1190=$DE$2,$DF$2&lt;&gt;0),0,IF(AND(DB1190&lt;&gt;"",OR(DB1189&lt;&gt;"",DB1191&lt;&gt;"")),MAX($DF$2:DF1189)+1,0))</f>
        <v>0</v>
      </c>
    </row>
    <row r="1191" spans="102:110">
      <c r="CX1191" s="259">
        <f ca="1">$EA$69</f>
        <v>67</v>
      </c>
      <c r="CY1191" s="259" t="str">
        <f t="shared" ref="CY1191:CY1223" ca="1" si="1277">IF(ISERROR(INDEX($CV$3:$CX$2300,MATCH(CX1191,$CW$3:$CW$2300,0),1)),"MASTRO",INDEX($CV$3:$CX$2300,MATCH(CX1191,$CW$3:$CW$2300,0),1))</f>
        <v>MASTRO</v>
      </c>
      <c r="DA1191" s="259" t="str">
        <f>IF(CY1190="MASTRO","Conto n.","")</f>
        <v>Conto n.</v>
      </c>
      <c r="DB1191" s="259" t="str">
        <f ca="1">IF(CY1191=0,"",INDEX(PIANO_DEI_CONTI,MATCH(DC1191,DENOMINAZIONE,0),1))</f>
        <v/>
      </c>
      <c r="DC1191" s="259" t="str">
        <f ca="1">IF(OR(CY1191=0,CY1191="mastro"),"",CY1191)</f>
        <v/>
      </c>
      <c r="DD1191" s="259" t="str">
        <f ca="1">IF(AND($DA$2=TRUE,OR(INDEX(PIANO_DEI_CONTI,MATCH($DC1191,DENOMINAZIONE,0),4)="A",INDEX(PIANO_DEI_CONTI,MATCH($DC1191,DENOMINAZIONE,0),4)="D/A"),SUMIFS(AVERE,DENOMINAZIONE_GIORNALE,"="&amp;$DC1191)&gt;SUMIFS(DARE,DENOMINAZIONE_GIORNALE,"="&amp;$DC1191)),CONCATENATE("s ",FIXED(ABS(SUMIFS(AVERE,DENOMINAZIONE_GIORNALE,"="&amp;$DC1191)-SUMIFS(DARE,DENOMINAZIONE_GIORNALE,"="&amp;$DC1191)),2)),"")</f>
        <v/>
      </c>
      <c r="DE1191" s="259" t="str">
        <f ca="1">IF(AND($DA$2=TRUE,OR(INDEX(PIANO_DEI_CONTI,MATCH($DC1191,DENOMINAZIONE,0),4)="D",INDEX(PIANO_DEI_CONTI,MATCH($DC1191,DENOMINAZIONE,0),4)="D/A"),SUMIFS(DARE,DENOMINAZIONE_GIORNALE,"="&amp;$DC1191)&gt;SUMIFS(AVERE,DENOMINAZIONE_GIORNALE,"="&amp;$DC1191)),CONCATENATE("s ",FIXED(ABS(SUMIFS(DARE,DENOMINAZIONE_GIORNALE,"="&amp;$DC1191)-SUMIFS(AVERE,DENOMINAZIONE_GIORNALE,"="&amp;$DC1191)),2)),"")</f>
        <v/>
      </c>
      <c r="DF1191" s="259">
        <f ca="1">IF(AND(CX1191=$DE$2,$DF$2&lt;&gt;0),0,IF(AND(DB1191&lt;&gt;"",OR(DB1190&lt;&gt;"",DB1192&lt;&gt;"")),MAX($DF$2:DF1190)+1,0))</f>
        <v>0</v>
      </c>
    </row>
    <row r="1192" spans="102:110">
      <c r="CX1192" s="259">
        <f t="shared" ref="CX1192:CX1207" ca="1" si="1278">$EA$69</f>
        <v>67</v>
      </c>
      <c r="CY1192" s="259" t="str">
        <f t="shared" ca="1" si="1277"/>
        <v>MASTRO</v>
      </c>
      <c r="DA1192" s="259" t="str">
        <f ca="1">IF(DB1191="","","Num. riga")</f>
        <v/>
      </c>
      <c r="DB1192" s="259" t="str">
        <f t="shared" ref="DB1192" ca="1" si="1279">IF(DB1191="","","Data")</f>
        <v/>
      </c>
      <c r="DC1192" s="259" t="str">
        <f ca="1">IF(DB1191="","","Operazioni")</f>
        <v/>
      </c>
      <c r="DD1192" s="259" t="str">
        <f ca="1">IF(DB1191="","","Dare        ")</f>
        <v/>
      </c>
      <c r="DE1192" s="259" t="str">
        <f ca="1">IF(DB1191="","","Avere        ")</f>
        <v/>
      </c>
      <c r="DF1192" s="259">
        <f ca="1">IF(AND(CX1192=$DE$2,$DF$2&lt;&gt;0),0,IF(AND(DB1192&lt;&gt;"",OR(DB1191&lt;&gt;"",DB1193&lt;&gt;"")),MAX($DF$2:DF1191)+1,0))</f>
        <v>0</v>
      </c>
    </row>
    <row r="1193" spans="102:110">
      <c r="CX1193" s="259">
        <f t="shared" ca="1" si="1278"/>
        <v>67</v>
      </c>
      <c r="CY1193" s="259" t="str">
        <f t="shared" ca="1" si="1277"/>
        <v>MASTRO</v>
      </c>
      <c r="CZ1193" s="259" t="e">
        <f t="shared" ref="CZ1193:CZ1207" ca="1" si="1280">SUM(MATCH($CY1193,INDIRECT(ADDRESS(SUM(CZ1192)+3,54)&amp;":"&amp;ADDRESS(400,54)),0),CZ1192)</f>
        <v>#N/A</v>
      </c>
      <c r="DA1193" s="259" t="str">
        <f ca="1">IFERROR(INDEX(LIBRO_GIORNALE,CZ1193,1),"")</f>
        <v/>
      </c>
      <c r="DB1193" s="259" t="str">
        <f t="shared" ref="DB1193:DB1207" ca="1" si="1281">IF(RIGHT(TEXT(IFERROR(INDEX(LIBRO_GIORNALE,CZ1193,2),""),"gg/mm/aa"),1)="a",TEXT(IFERROR(INDEX(LIBRO_GIORNALE,CZ1193,2),""),"dd/mm/yy"),TEXT(IFERROR(INDEX(LIBRO_GIORNALE,CZ1193,2),""),"gg/mm/aa"))</f>
        <v/>
      </c>
      <c r="DC1193" s="259" t="str">
        <f t="shared" ref="DC1193:DC1207" ca="1" si="1282">IF(IFERROR(INDEX(LIBRO_GIORNALE,CZ1193,4),"")=0,"manca la descrizione dell'operazione",IFERROR(INDEX(LIBRO_GIORNALE,CZ1193,4),""))</f>
        <v/>
      </c>
      <c r="DD1193" s="259" t="str">
        <f t="shared" ref="DD1193:DD1207" ca="1" si="1283">IFERROR(IF(INDEX(LIBRO_GIORNALE,CZ1193,5)&gt;0,INDEX(LIBRO_GIORNALE,CZ1193,5),""),"")</f>
        <v/>
      </c>
      <c r="DE1193" s="259" t="str">
        <f t="shared" ref="DE1193:DE1207" ca="1" si="1284">IFERROR(IF(INDEX(LIBRO_GIORNALE,CZ1193,6)&gt;0,INDEX(LIBRO_GIORNALE,CZ1193,6),""),"")</f>
        <v/>
      </c>
      <c r="DF1193" s="259">
        <f ca="1">IF(AND(CX1193=$DE$2,$DF$2&lt;&gt;0),0,IF(AND(DB1193&lt;&gt;"",OR(DB1192&lt;&gt;"",DB1194&lt;&gt;"")),MAX($DF$2:DF1192)+1,0))</f>
        <v>0</v>
      </c>
    </row>
    <row r="1194" spans="102:110">
      <c r="CX1194" s="259">
        <f t="shared" ca="1" si="1278"/>
        <v>67</v>
      </c>
      <c r="CY1194" s="259" t="str">
        <f t="shared" ca="1" si="1277"/>
        <v>MASTRO</v>
      </c>
      <c r="CZ1194" s="259" t="e">
        <f t="shared" ca="1" si="1280"/>
        <v>#N/A</v>
      </c>
      <c r="DA1194" s="259" t="str">
        <f t="shared" ref="DA1194:DA1207" ca="1" si="1285">IFERROR(INDEX(LIBRO_GIORNALE,CZ1194,1),"")</f>
        <v/>
      </c>
      <c r="DB1194" s="259" t="str">
        <f t="shared" ca="1" si="1281"/>
        <v/>
      </c>
      <c r="DC1194" s="259" t="str">
        <f t="shared" ca="1" si="1282"/>
        <v/>
      </c>
      <c r="DD1194" s="259" t="str">
        <f t="shared" ca="1" si="1283"/>
        <v/>
      </c>
      <c r="DE1194" s="259" t="str">
        <f t="shared" ca="1" si="1284"/>
        <v/>
      </c>
      <c r="DF1194" s="259">
        <f ca="1">IF(AND(CX1194=$DE$2,$DF$2&lt;&gt;0),0,IF(AND(DB1194&lt;&gt;"",OR(DB1193&lt;&gt;"",DB1195&lt;&gt;"")),MAX($DF$2:DF1193)+1,0))</f>
        <v>0</v>
      </c>
    </row>
    <row r="1195" spans="102:110">
      <c r="CX1195" s="259">
        <f t="shared" ca="1" si="1278"/>
        <v>67</v>
      </c>
      <c r="CY1195" s="259" t="str">
        <f t="shared" ca="1" si="1277"/>
        <v>MASTRO</v>
      </c>
      <c r="CZ1195" s="259" t="e">
        <f t="shared" ca="1" si="1280"/>
        <v>#N/A</v>
      </c>
      <c r="DA1195" s="259" t="str">
        <f t="shared" ca="1" si="1285"/>
        <v/>
      </c>
      <c r="DB1195" s="259" t="str">
        <f t="shared" ca="1" si="1281"/>
        <v/>
      </c>
      <c r="DC1195" s="259" t="str">
        <f t="shared" ca="1" si="1282"/>
        <v/>
      </c>
      <c r="DD1195" s="259" t="str">
        <f t="shared" ca="1" si="1283"/>
        <v/>
      </c>
      <c r="DE1195" s="259" t="str">
        <f t="shared" ca="1" si="1284"/>
        <v/>
      </c>
      <c r="DF1195" s="259">
        <f ca="1">IF(AND(CX1195=$DE$2,$DF$2&lt;&gt;0),0,IF(AND(DB1195&lt;&gt;"",OR(DB1194&lt;&gt;"",DB1196&lt;&gt;"")),MAX($DF$2:DF1194)+1,0))</f>
        <v>0</v>
      </c>
    </row>
    <row r="1196" spans="102:110">
      <c r="CX1196" s="259">
        <f t="shared" ca="1" si="1278"/>
        <v>67</v>
      </c>
      <c r="CY1196" s="259" t="str">
        <f t="shared" ca="1" si="1277"/>
        <v>MASTRO</v>
      </c>
      <c r="CZ1196" s="259" t="e">
        <f t="shared" ca="1" si="1280"/>
        <v>#N/A</v>
      </c>
      <c r="DA1196" s="259" t="str">
        <f t="shared" ca="1" si="1285"/>
        <v/>
      </c>
      <c r="DB1196" s="259" t="str">
        <f t="shared" ca="1" si="1281"/>
        <v/>
      </c>
      <c r="DC1196" s="259" t="str">
        <f t="shared" ca="1" si="1282"/>
        <v/>
      </c>
      <c r="DD1196" s="259" t="str">
        <f t="shared" ca="1" si="1283"/>
        <v/>
      </c>
      <c r="DE1196" s="259" t="str">
        <f t="shared" ca="1" si="1284"/>
        <v/>
      </c>
      <c r="DF1196" s="259">
        <f ca="1">IF(AND(CX1196=$DE$2,$DF$2&lt;&gt;0),0,IF(AND(DB1196&lt;&gt;"",OR(DB1195&lt;&gt;"",DB1197&lt;&gt;"")),MAX($DF$2:DF1195)+1,0))</f>
        <v>0</v>
      </c>
    </row>
    <row r="1197" spans="102:110">
      <c r="CX1197" s="259">
        <f t="shared" ca="1" si="1278"/>
        <v>67</v>
      </c>
      <c r="CY1197" s="259" t="str">
        <f t="shared" ca="1" si="1277"/>
        <v>MASTRO</v>
      </c>
      <c r="CZ1197" s="259" t="e">
        <f t="shared" ca="1" si="1280"/>
        <v>#N/A</v>
      </c>
      <c r="DA1197" s="259" t="str">
        <f t="shared" ca="1" si="1285"/>
        <v/>
      </c>
      <c r="DB1197" s="259" t="str">
        <f t="shared" ca="1" si="1281"/>
        <v/>
      </c>
      <c r="DC1197" s="259" t="str">
        <f t="shared" ca="1" si="1282"/>
        <v/>
      </c>
      <c r="DD1197" s="259" t="str">
        <f t="shared" ca="1" si="1283"/>
        <v/>
      </c>
      <c r="DE1197" s="259" t="str">
        <f t="shared" ca="1" si="1284"/>
        <v/>
      </c>
      <c r="DF1197" s="259">
        <f ca="1">IF(AND(CX1197=$DE$2,$DF$2&lt;&gt;0),0,IF(AND(DB1197&lt;&gt;"",OR(DB1196&lt;&gt;"",DB1198&lt;&gt;"")),MAX($DF$2:DF1196)+1,0))</f>
        <v>0</v>
      </c>
    </row>
    <row r="1198" spans="102:110">
      <c r="CX1198" s="259">
        <f t="shared" ca="1" si="1278"/>
        <v>67</v>
      </c>
      <c r="CY1198" s="259" t="str">
        <f t="shared" ca="1" si="1277"/>
        <v>MASTRO</v>
      </c>
      <c r="CZ1198" s="259" t="e">
        <f t="shared" ca="1" si="1280"/>
        <v>#N/A</v>
      </c>
      <c r="DA1198" s="259" t="str">
        <f t="shared" ca="1" si="1285"/>
        <v/>
      </c>
      <c r="DB1198" s="259" t="str">
        <f t="shared" ca="1" si="1281"/>
        <v/>
      </c>
      <c r="DC1198" s="259" t="str">
        <f t="shared" ca="1" si="1282"/>
        <v/>
      </c>
      <c r="DD1198" s="259" t="str">
        <f t="shared" ca="1" si="1283"/>
        <v/>
      </c>
      <c r="DE1198" s="259" t="str">
        <f t="shared" ca="1" si="1284"/>
        <v/>
      </c>
      <c r="DF1198" s="259">
        <f ca="1">IF(AND(CX1198=$DE$2,$DF$2&lt;&gt;0),0,IF(AND(DB1198&lt;&gt;"",OR(DB1197&lt;&gt;"",DB1199&lt;&gt;"")),MAX($DF$2:DF1197)+1,0))</f>
        <v>0</v>
      </c>
    </row>
    <row r="1199" spans="102:110">
      <c r="CX1199" s="259">
        <f t="shared" ca="1" si="1278"/>
        <v>67</v>
      </c>
      <c r="CY1199" s="259" t="str">
        <f t="shared" ca="1" si="1277"/>
        <v>MASTRO</v>
      </c>
      <c r="CZ1199" s="259" t="e">
        <f t="shared" ca="1" si="1280"/>
        <v>#N/A</v>
      </c>
      <c r="DA1199" s="259" t="str">
        <f t="shared" ca="1" si="1285"/>
        <v/>
      </c>
      <c r="DB1199" s="259" t="str">
        <f t="shared" ca="1" si="1281"/>
        <v/>
      </c>
      <c r="DC1199" s="259" t="str">
        <f t="shared" ca="1" si="1282"/>
        <v/>
      </c>
      <c r="DD1199" s="259" t="str">
        <f t="shared" ca="1" si="1283"/>
        <v/>
      </c>
      <c r="DE1199" s="259" t="str">
        <f t="shared" ca="1" si="1284"/>
        <v/>
      </c>
      <c r="DF1199" s="259">
        <f ca="1">IF(AND(CX1199=$DE$2,$DF$2&lt;&gt;0),0,IF(AND(DB1199&lt;&gt;"",OR(DB1198&lt;&gt;"",DB1200&lt;&gt;"")),MAX($DF$2:DF1198)+1,0))</f>
        <v>0</v>
      </c>
    </row>
    <row r="1200" spans="102:110">
      <c r="CX1200" s="259">
        <f t="shared" ca="1" si="1278"/>
        <v>67</v>
      </c>
      <c r="CY1200" s="259" t="str">
        <f t="shared" ca="1" si="1277"/>
        <v>MASTRO</v>
      </c>
      <c r="CZ1200" s="259" t="e">
        <f t="shared" ca="1" si="1280"/>
        <v>#N/A</v>
      </c>
      <c r="DA1200" s="259" t="str">
        <f t="shared" ca="1" si="1285"/>
        <v/>
      </c>
      <c r="DB1200" s="259" t="str">
        <f t="shared" ca="1" si="1281"/>
        <v/>
      </c>
      <c r="DC1200" s="259" t="str">
        <f t="shared" ca="1" si="1282"/>
        <v/>
      </c>
      <c r="DD1200" s="259" t="str">
        <f t="shared" ca="1" si="1283"/>
        <v/>
      </c>
      <c r="DE1200" s="259" t="str">
        <f t="shared" ca="1" si="1284"/>
        <v/>
      </c>
      <c r="DF1200" s="259">
        <f ca="1">IF(AND(CX1200=$DE$2,$DF$2&lt;&gt;0),0,IF(AND(DB1200&lt;&gt;"",OR(DB1199&lt;&gt;"",DB1201&lt;&gt;"")),MAX($DF$2:DF1199)+1,0))</f>
        <v>0</v>
      </c>
    </row>
    <row r="1201" spans="102:110">
      <c r="CX1201" s="259">
        <f t="shared" ca="1" si="1278"/>
        <v>67</v>
      </c>
      <c r="CY1201" s="259" t="str">
        <f t="shared" ca="1" si="1277"/>
        <v>MASTRO</v>
      </c>
      <c r="CZ1201" s="259" t="e">
        <f t="shared" ca="1" si="1280"/>
        <v>#N/A</v>
      </c>
      <c r="DA1201" s="259" t="str">
        <f t="shared" ca="1" si="1285"/>
        <v/>
      </c>
      <c r="DB1201" s="259" t="str">
        <f t="shared" ca="1" si="1281"/>
        <v/>
      </c>
      <c r="DC1201" s="259" t="str">
        <f t="shared" ca="1" si="1282"/>
        <v/>
      </c>
      <c r="DD1201" s="259" t="str">
        <f t="shared" ca="1" si="1283"/>
        <v/>
      </c>
      <c r="DE1201" s="259" t="str">
        <f t="shared" ca="1" si="1284"/>
        <v/>
      </c>
      <c r="DF1201" s="259">
        <f ca="1">IF(AND(CX1201=$DE$2,$DF$2&lt;&gt;0),0,IF(AND(DB1201&lt;&gt;"",OR(DB1200&lt;&gt;"",DB1202&lt;&gt;"")),MAX($DF$2:DF1200)+1,0))</f>
        <v>0</v>
      </c>
    </row>
    <row r="1202" spans="102:110">
      <c r="CX1202" s="259">
        <f t="shared" ca="1" si="1278"/>
        <v>67</v>
      </c>
      <c r="CY1202" s="259" t="str">
        <f t="shared" ca="1" si="1277"/>
        <v>MASTRO</v>
      </c>
      <c r="CZ1202" s="259" t="e">
        <f t="shared" ca="1" si="1280"/>
        <v>#N/A</v>
      </c>
      <c r="DA1202" s="259" t="str">
        <f t="shared" ca="1" si="1285"/>
        <v/>
      </c>
      <c r="DB1202" s="259" t="str">
        <f t="shared" ca="1" si="1281"/>
        <v/>
      </c>
      <c r="DC1202" s="259" t="str">
        <f t="shared" ca="1" si="1282"/>
        <v/>
      </c>
      <c r="DD1202" s="259" t="str">
        <f t="shared" ca="1" si="1283"/>
        <v/>
      </c>
      <c r="DE1202" s="259" t="str">
        <f t="shared" ca="1" si="1284"/>
        <v/>
      </c>
      <c r="DF1202" s="259">
        <f ca="1">IF(AND(CX1202=$DE$2,$DF$2&lt;&gt;0),0,IF(AND(DB1202&lt;&gt;"",OR(DB1201&lt;&gt;"",DB1203&lt;&gt;"")),MAX($DF$2:DF1201)+1,0))</f>
        <v>0</v>
      </c>
    </row>
    <row r="1203" spans="102:110">
      <c r="CX1203" s="259">
        <f t="shared" ca="1" si="1278"/>
        <v>67</v>
      </c>
      <c r="CY1203" s="259" t="str">
        <f t="shared" ca="1" si="1277"/>
        <v>MASTRO</v>
      </c>
      <c r="CZ1203" s="259" t="e">
        <f t="shared" ca="1" si="1280"/>
        <v>#N/A</v>
      </c>
      <c r="DA1203" s="259" t="str">
        <f t="shared" ca="1" si="1285"/>
        <v/>
      </c>
      <c r="DB1203" s="259" t="str">
        <f t="shared" ca="1" si="1281"/>
        <v/>
      </c>
      <c r="DC1203" s="259" t="str">
        <f t="shared" ca="1" si="1282"/>
        <v/>
      </c>
      <c r="DD1203" s="259" t="str">
        <f t="shared" ca="1" si="1283"/>
        <v/>
      </c>
      <c r="DE1203" s="259" t="str">
        <f t="shared" ca="1" si="1284"/>
        <v/>
      </c>
      <c r="DF1203" s="259">
        <f ca="1">IF(AND(CX1203=$DE$2,$DF$2&lt;&gt;0),0,IF(AND(DB1203&lt;&gt;"",OR(DB1202&lt;&gt;"",DB1204&lt;&gt;"")),MAX($DF$2:DF1202)+1,0))</f>
        <v>0</v>
      </c>
    </row>
    <row r="1204" spans="102:110">
      <c r="CX1204" s="259">
        <f t="shared" ca="1" si="1278"/>
        <v>67</v>
      </c>
      <c r="CY1204" s="259" t="str">
        <f t="shared" ca="1" si="1277"/>
        <v>MASTRO</v>
      </c>
      <c r="CZ1204" s="259" t="e">
        <f t="shared" ca="1" si="1280"/>
        <v>#N/A</v>
      </c>
      <c r="DA1204" s="259" t="str">
        <f t="shared" ca="1" si="1285"/>
        <v/>
      </c>
      <c r="DB1204" s="259" t="str">
        <f t="shared" ca="1" si="1281"/>
        <v/>
      </c>
      <c r="DC1204" s="259" t="str">
        <f t="shared" ca="1" si="1282"/>
        <v/>
      </c>
      <c r="DD1204" s="259" t="str">
        <f t="shared" ca="1" si="1283"/>
        <v/>
      </c>
      <c r="DE1204" s="259" t="str">
        <f t="shared" ca="1" si="1284"/>
        <v/>
      </c>
      <c r="DF1204" s="259">
        <f ca="1">IF(AND(CX1204=$DE$2,$DF$2&lt;&gt;0),0,IF(AND(DB1204&lt;&gt;"",OR(DB1203&lt;&gt;"",DB1205&lt;&gt;"")),MAX($DF$2:DF1203)+1,0))</f>
        <v>0</v>
      </c>
    </row>
    <row r="1205" spans="102:110">
      <c r="CX1205" s="259">
        <f t="shared" ca="1" si="1278"/>
        <v>67</v>
      </c>
      <c r="CY1205" s="259" t="str">
        <f t="shared" ca="1" si="1277"/>
        <v>MASTRO</v>
      </c>
      <c r="CZ1205" s="259" t="e">
        <f t="shared" ca="1" si="1280"/>
        <v>#N/A</v>
      </c>
      <c r="DA1205" s="259" t="str">
        <f t="shared" ca="1" si="1285"/>
        <v/>
      </c>
      <c r="DB1205" s="259" t="str">
        <f t="shared" ca="1" si="1281"/>
        <v/>
      </c>
      <c r="DC1205" s="259" t="str">
        <f t="shared" ca="1" si="1282"/>
        <v/>
      </c>
      <c r="DD1205" s="259" t="str">
        <f t="shared" ca="1" si="1283"/>
        <v/>
      </c>
      <c r="DE1205" s="259" t="str">
        <f t="shared" ca="1" si="1284"/>
        <v/>
      </c>
      <c r="DF1205" s="259">
        <f ca="1">IF(AND(CX1205=$DE$2,$DF$2&lt;&gt;0),0,IF(AND(DB1205&lt;&gt;"",OR(DB1204&lt;&gt;"",DB1206&lt;&gt;"")),MAX($DF$2:DF1204)+1,0))</f>
        <v>0</v>
      </c>
    </row>
    <row r="1206" spans="102:110">
      <c r="CX1206" s="259">
        <f t="shared" ca="1" si="1278"/>
        <v>67</v>
      </c>
      <c r="CY1206" s="259" t="str">
        <f t="shared" ca="1" si="1277"/>
        <v>MASTRO</v>
      </c>
      <c r="CZ1206" s="259" t="e">
        <f t="shared" ca="1" si="1280"/>
        <v>#N/A</v>
      </c>
      <c r="DA1206" s="259" t="str">
        <f t="shared" ca="1" si="1285"/>
        <v/>
      </c>
      <c r="DB1206" s="259" t="str">
        <f t="shared" ca="1" si="1281"/>
        <v/>
      </c>
      <c r="DC1206" s="259" t="str">
        <f t="shared" ca="1" si="1282"/>
        <v/>
      </c>
      <c r="DD1206" s="259" t="str">
        <f t="shared" ca="1" si="1283"/>
        <v/>
      </c>
      <c r="DE1206" s="259" t="str">
        <f t="shared" ca="1" si="1284"/>
        <v/>
      </c>
      <c r="DF1206" s="259">
        <f ca="1">IF(AND(CX1206=$DE$2,$DF$2&lt;&gt;0),0,IF(AND(DB1206&lt;&gt;"",OR(DB1205&lt;&gt;"",DB1207&lt;&gt;"")),MAX($DF$2:DF1205)+1,0))</f>
        <v>0</v>
      </c>
    </row>
    <row r="1207" spans="102:110">
      <c r="CX1207" s="259">
        <f t="shared" ca="1" si="1278"/>
        <v>67</v>
      </c>
      <c r="CY1207" s="259" t="str">
        <f t="shared" ca="1" si="1277"/>
        <v>MASTRO</v>
      </c>
      <c r="CZ1207" s="259" t="e">
        <f t="shared" ca="1" si="1280"/>
        <v>#N/A</v>
      </c>
      <c r="DA1207" s="259" t="str">
        <f t="shared" ca="1" si="1285"/>
        <v/>
      </c>
      <c r="DB1207" s="259" t="str">
        <f t="shared" ca="1" si="1281"/>
        <v/>
      </c>
      <c r="DC1207" s="259" t="str">
        <f t="shared" ca="1" si="1282"/>
        <v/>
      </c>
      <c r="DD1207" s="259" t="str">
        <f t="shared" ca="1" si="1283"/>
        <v/>
      </c>
      <c r="DE1207" s="259" t="str">
        <f t="shared" ca="1" si="1284"/>
        <v/>
      </c>
      <c r="DF1207" s="259">
        <f ca="1">IF(AND(CX1207=$DE$2,$DF$2&lt;&gt;0),0,IF(AND(DB1207&lt;&gt;"",OR(DB1206&lt;&gt;"",DB1208&lt;&gt;"")),MAX($DF$2:DF1206)+1,0))</f>
        <v>0</v>
      </c>
    </row>
    <row r="1208" spans="102:110">
      <c r="CX1208" s="259" t="str">
        <f>IFERROR(IF(CX1190+1=1,"",(CX1190+1)),"")</f>
        <v/>
      </c>
      <c r="CY1208" s="259" t="str">
        <f t="shared" ca="1" si="1277"/>
        <v>MASTRO</v>
      </c>
      <c r="DB1208" s="259" t="str">
        <f t="shared" ref="DB1208" ca="1" si="1286">CY1208</f>
        <v>MASTRO</v>
      </c>
      <c r="DF1208" s="259">
        <f ca="1">IF(AND(CX1208=$DE$2,$DF$2&lt;&gt;0),0,IF(AND(DB1208&lt;&gt;"",OR(DB1207&lt;&gt;"",DB1209&lt;&gt;"")),MAX($DF$2:DF1207)+1,0))</f>
        <v>0</v>
      </c>
    </row>
    <row r="1209" spans="102:110">
      <c r="CX1209" s="259">
        <f ca="1">$EA$70</f>
        <v>68</v>
      </c>
      <c r="CY1209" s="259" t="str">
        <f t="shared" ca="1" si="1277"/>
        <v>MASTRO</v>
      </c>
      <c r="DA1209" s="259" t="str">
        <f ca="1">IF(CY1208="MASTRO","Conto n.","")</f>
        <v>Conto n.</v>
      </c>
      <c r="DB1209" s="259" t="str">
        <f ca="1">IF(CY1209=0,"",INDEX(PIANO_DEI_CONTI,MATCH(DC1209,DENOMINAZIONE,0),1))</f>
        <v/>
      </c>
      <c r="DC1209" s="259" t="str">
        <f ca="1">IF(OR(CY1209=0,CY1209="mastro"),"",CY1209)</f>
        <v/>
      </c>
      <c r="DD1209" s="259" t="str">
        <f ca="1">IF(AND($DA$2=TRUE,OR(INDEX(PIANO_DEI_CONTI,MATCH($DC1209,DENOMINAZIONE,0),4)="A",INDEX(PIANO_DEI_CONTI,MATCH($DC1209,DENOMINAZIONE,0),4)="D/A"),SUMIFS(AVERE,DENOMINAZIONE_GIORNALE,"="&amp;$DC1209)&gt;SUMIFS(DARE,DENOMINAZIONE_GIORNALE,"="&amp;$DC1209)),CONCATENATE("s ",FIXED(ABS(SUMIFS(AVERE,DENOMINAZIONE_GIORNALE,"="&amp;$DC1209)-SUMIFS(DARE,DENOMINAZIONE_GIORNALE,"="&amp;$DC1209)),2)),"")</f>
        <v/>
      </c>
      <c r="DE1209" s="259" t="str">
        <f ca="1">IF(AND($DA$2=TRUE,OR(INDEX(PIANO_DEI_CONTI,MATCH($DC1209,DENOMINAZIONE,0),4)="D",INDEX(PIANO_DEI_CONTI,MATCH($DC1209,DENOMINAZIONE,0),4)="D/A"),SUMIFS(DARE,DENOMINAZIONE_GIORNALE,"="&amp;$DC1209)&gt;SUMIFS(AVERE,DENOMINAZIONE_GIORNALE,"="&amp;$DC1209)),CONCATENATE("s ",FIXED(ABS(SUMIFS(DARE,DENOMINAZIONE_GIORNALE,"="&amp;$DC1209)-SUMIFS(AVERE,DENOMINAZIONE_GIORNALE,"="&amp;$DC1209)),2)),"")</f>
        <v/>
      </c>
      <c r="DF1209" s="259">
        <f ca="1">IF(AND(CX1209=$DE$2,$DF$2&lt;&gt;0),0,IF(AND(DB1209&lt;&gt;"",OR(DB1208&lt;&gt;"",DB1210&lt;&gt;"")),MAX($DF$2:DF1208)+1,0))</f>
        <v>0</v>
      </c>
    </row>
    <row r="1210" spans="102:110">
      <c r="CX1210" s="259">
        <f t="shared" ref="CX1210:CX1225" ca="1" si="1287">$EA$70</f>
        <v>68</v>
      </c>
      <c r="CY1210" s="259" t="str">
        <f t="shared" ca="1" si="1277"/>
        <v>MASTRO</v>
      </c>
      <c r="DA1210" s="259" t="str">
        <f ca="1">IF(DB1209="","","Num. riga")</f>
        <v/>
      </c>
      <c r="DB1210" s="259" t="str">
        <f t="shared" ref="DB1210" ca="1" si="1288">IF(DB1209="","","Data")</f>
        <v/>
      </c>
      <c r="DC1210" s="259" t="str">
        <f ca="1">IF(DB1209="","","Operazioni")</f>
        <v/>
      </c>
      <c r="DD1210" s="259" t="str">
        <f ca="1">IF(DB1209="","","Dare        ")</f>
        <v/>
      </c>
      <c r="DE1210" s="259" t="str">
        <f ca="1">IF(DB1209="","","Avere        ")</f>
        <v/>
      </c>
      <c r="DF1210" s="259">
        <f ca="1">IF(AND(CX1210=$DE$2,$DF$2&lt;&gt;0),0,IF(AND(DB1210&lt;&gt;"",OR(DB1209&lt;&gt;"",DB1211&lt;&gt;"")),MAX($DF$2:DF1209)+1,0))</f>
        <v>0</v>
      </c>
    </row>
    <row r="1211" spans="102:110">
      <c r="CX1211" s="259">
        <f t="shared" ca="1" si="1287"/>
        <v>68</v>
      </c>
      <c r="CY1211" s="259" t="str">
        <f t="shared" ca="1" si="1277"/>
        <v>MASTRO</v>
      </c>
      <c r="CZ1211" s="259" t="e">
        <f t="shared" ref="CZ1211:CZ1225" ca="1" si="1289">SUM(MATCH($CY1211,INDIRECT(ADDRESS(SUM(CZ1210)+3,54)&amp;":"&amp;ADDRESS(400,54)),0),CZ1210)</f>
        <v>#N/A</v>
      </c>
      <c r="DA1211" s="259" t="str">
        <f ca="1">IFERROR(INDEX(LIBRO_GIORNALE,CZ1211,1),"")</f>
        <v/>
      </c>
      <c r="DB1211" s="259" t="str">
        <f t="shared" ref="DB1211:DB1225" ca="1" si="1290">IF(RIGHT(TEXT(IFERROR(INDEX(LIBRO_GIORNALE,CZ1211,2),""),"gg/mm/aa"),1)="a",TEXT(IFERROR(INDEX(LIBRO_GIORNALE,CZ1211,2),""),"dd/mm/yy"),TEXT(IFERROR(INDEX(LIBRO_GIORNALE,CZ1211,2),""),"gg/mm/aa"))</f>
        <v/>
      </c>
      <c r="DC1211" s="259" t="str">
        <f t="shared" ref="DC1211:DC1225" ca="1" si="1291">IF(IFERROR(INDEX(LIBRO_GIORNALE,CZ1211,4),"")=0,"manca la descrizione dell'operazione",IFERROR(INDEX(LIBRO_GIORNALE,CZ1211,4),""))</f>
        <v/>
      </c>
      <c r="DD1211" s="259" t="str">
        <f t="shared" ref="DD1211:DD1225" ca="1" si="1292">IFERROR(IF(INDEX(LIBRO_GIORNALE,CZ1211,5)&gt;0,INDEX(LIBRO_GIORNALE,CZ1211,5),""),"")</f>
        <v/>
      </c>
      <c r="DE1211" s="259" t="str">
        <f t="shared" ref="DE1211:DE1225" ca="1" si="1293">IFERROR(IF(INDEX(LIBRO_GIORNALE,CZ1211,6)&gt;0,INDEX(LIBRO_GIORNALE,CZ1211,6),""),"")</f>
        <v/>
      </c>
      <c r="DF1211" s="259">
        <f ca="1">IF(AND(CX1211=$DE$2,$DF$2&lt;&gt;0),0,IF(AND(DB1211&lt;&gt;"",OR(DB1210&lt;&gt;"",DB1212&lt;&gt;"")),MAX($DF$2:DF1210)+1,0))</f>
        <v>0</v>
      </c>
    </row>
    <row r="1212" spans="102:110">
      <c r="CX1212" s="259">
        <f t="shared" ca="1" si="1287"/>
        <v>68</v>
      </c>
      <c r="CY1212" s="259" t="str">
        <f t="shared" ca="1" si="1277"/>
        <v>MASTRO</v>
      </c>
      <c r="CZ1212" s="259" t="e">
        <f t="shared" ca="1" si="1289"/>
        <v>#N/A</v>
      </c>
      <c r="DA1212" s="259" t="str">
        <f t="shared" ref="DA1212:DA1225" ca="1" si="1294">IFERROR(INDEX(LIBRO_GIORNALE,CZ1212,1),"")</f>
        <v/>
      </c>
      <c r="DB1212" s="259" t="str">
        <f t="shared" ca="1" si="1290"/>
        <v/>
      </c>
      <c r="DC1212" s="259" t="str">
        <f t="shared" ca="1" si="1291"/>
        <v/>
      </c>
      <c r="DD1212" s="259" t="str">
        <f t="shared" ca="1" si="1292"/>
        <v/>
      </c>
      <c r="DE1212" s="259" t="str">
        <f t="shared" ca="1" si="1293"/>
        <v/>
      </c>
      <c r="DF1212" s="259">
        <f ca="1">IF(AND(CX1212=$DE$2,$DF$2&lt;&gt;0),0,IF(AND(DB1212&lt;&gt;"",OR(DB1211&lt;&gt;"",DB1213&lt;&gt;"")),MAX($DF$2:DF1211)+1,0))</f>
        <v>0</v>
      </c>
    </row>
    <row r="1213" spans="102:110">
      <c r="CX1213" s="259">
        <f t="shared" ca="1" si="1287"/>
        <v>68</v>
      </c>
      <c r="CY1213" s="259" t="str">
        <f t="shared" ca="1" si="1277"/>
        <v>MASTRO</v>
      </c>
      <c r="CZ1213" s="259" t="e">
        <f t="shared" ca="1" si="1289"/>
        <v>#N/A</v>
      </c>
      <c r="DA1213" s="259" t="str">
        <f t="shared" ca="1" si="1294"/>
        <v/>
      </c>
      <c r="DB1213" s="259" t="str">
        <f t="shared" ca="1" si="1290"/>
        <v/>
      </c>
      <c r="DC1213" s="259" t="str">
        <f t="shared" ca="1" si="1291"/>
        <v/>
      </c>
      <c r="DD1213" s="259" t="str">
        <f t="shared" ca="1" si="1292"/>
        <v/>
      </c>
      <c r="DE1213" s="259" t="str">
        <f t="shared" ca="1" si="1293"/>
        <v/>
      </c>
      <c r="DF1213" s="259">
        <f ca="1">IF(AND(CX1213=$DE$2,$DF$2&lt;&gt;0),0,IF(AND(DB1213&lt;&gt;"",OR(DB1212&lt;&gt;"",DB1214&lt;&gt;"")),MAX($DF$2:DF1212)+1,0))</f>
        <v>0</v>
      </c>
    </row>
    <row r="1214" spans="102:110">
      <c r="CX1214" s="259">
        <f t="shared" ca="1" si="1287"/>
        <v>68</v>
      </c>
      <c r="CY1214" s="259" t="str">
        <f t="shared" ca="1" si="1277"/>
        <v>MASTRO</v>
      </c>
      <c r="CZ1214" s="259" t="e">
        <f t="shared" ca="1" si="1289"/>
        <v>#N/A</v>
      </c>
      <c r="DA1214" s="259" t="str">
        <f t="shared" ca="1" si="1294"/>
        <v/>
      </c>
      <c r="DB1214" s="259" t="str">
        <f t="shared" ca="1" si="1290"/>
        <v/>
      </c>
      <c r="DC1214" s="259" t="str">
        <f t="shared" ca="1" si="1291"/>
        <v/>
      </c>
      <c r="DD1214" s="259" t="str">
        <f t="shared" ca="1" si="1292"/>
        <v/>
      </c>
      <c r="DE1214" s="259" t="str">
        <f t="shared" ca="1" si="1293"/>
        <v/>
      </c>
      <c r="DF1214" s="259">
        <f ca="1">IF(AND(CX1214=$DE$2,$DF$2&lt;&gt;0),0,IF(AND(DB1214&lt;&gt;"",OR(DB1213&lt;&gt;"",DB1215&lt;&gt;"")),MAX($DF$2:DF1213)+1,0))</f>
        <v>0</v>
      </c>
    </row>
    <row r="1215" spans="102:110">
      <c r="CX1215" s="259">
        <f t="shared" ca="1" si="1287"/>
        <v>68</v>
      </c>
      <c r="CY1215" s="259" t="str">
        <f t="shared" ca="1" si="1277"/>
        <v>MASTRO</v>
      </c>
      <c r="CZ1215" s="259" t="e">
        <f t="shared" ca="1" si="1289"/>
        <v>#N/A</v>
      </c>
      <c r="DA1215" s="259" t="str">
        <f t="shared" ca="1" si="1294"/>
        <v/>
      </c>
      <c r="DB1215" s="259" t="str">
        <f t="shared" ca="1" si="1290"/>
        <v/>
      </c>
      <c r="DC1215" s="259" t="str">
        <f t="shared" ca="1" si="1291"/>
        <v/>
      </c>
      <c r="DD1215" s="259" t="str">
        <f t="shared" ca="1" si="1292"/>
        <v/>
      </c>
      <c r="DE1215" s="259" t="str">
        <f t="shared" ca="1" si="1293"/>
        <v/>
      </c>
      <c r="DF1215" s="259">
        <f ca="1">IF(AND(CX1215=$DE$2,$DF$2&lt;&gt;0),0,IF(AND(DB1215&lt;&gt;"",OR(DB1214&lt;&gt;"",DB1216&lt;&gt;"")),MAX($DF$2:DF1214)+1,0))</f>
        <v>0</v>
      </c>
    </row>
    <row r="1216" spans="102:110">
      <c r="CX1216" s="259">
        <f t="shared" ca="1" si="1287"/>
        <v>68</v>
      </c>
      <c r="CY1216" s="259" t="str">
        <f t="shared" ca="1" si="1277"/>
        <v>MASTRO</v>
      </c>
      <c r="CZ1216" s="259" t="e">
        <f t="shared" ca="1" si="1289"/>
        <v>#N/A</v>
      </c>
      <c r="DA1216" s="259" t="str">
        <f t="shared" ca="1" si="1294"/>
        <v/>
      </c>
      <c r="DB1216" s="259" t="str">
        <f t="shared" ca="1" si="1290"/>
        <v/>
      </c>
      <c r="DC1216" s="259" t="str">
        <f t="shared" ca="1" si="1291"/>
        <v/>
      </c>
      <c r="DD1216" s="259" t="str">
        <f t="shared" ca="1" si="1292"/>
        <v/>
      </c>
      <c r="DE1216" s="259" t="str">
        <f t="shared" ca="1" si="1293"/>
        <v/>
      </c>
      <c r="DF1216" s="259">
        <f ca="1">IF(AND(CX1216=$DE$2,$DF$2&lt;&gt;0),0,IF(AND(DB1216&lt;&gt;"",OR(DB1215&lt;&gt;"",DB1217&lt;&gt;"")),MAX($DF$2:DF1215)+1,0))</f>
        <v>0</v>
      </c>
    </row>
    <row r="1217" spans="102:110">
      <c r="CX1217" s="259">
        <f t="shared" ca="1" si="1287"/>
        <v>68</v>
      </c>
      <c r="CY1217" s="259" t="str">
        <f t="shared" ca="1" si="1277"/>
        <v>MASTRO</v>
      </c>
      <c r="CZ1217" s="259" t="e">
        <f t="shared" ca="1" si="1289"/>
        <v>#N/A</v>
      </c>
      <c r="DA1217" s="259" t="str">
        <f t="shared" ca="1" si="1294"/>
        <v/>
      </c>
      <c r="DB1217" s="259" t="str">
        <f t="shared" ca="1" si="1290"/>
        <v/>
      </c>
      <c r="DC1217" s="259" t="str">
        <f t="shared" ca="1" si="1291"/>
        <v/>
      </c>
      <c r="DD1217" s="259" t="str">
        <f t="shared" ca="1" si="1292"/>
        <v/>
      </c>
      <c r="DE1217" s="259" t="str">
        <f t="shared" ca="1" si="1293"/>
        <v/>
      </c>
      <c r="DF1217" s="259">
        <f ca="1">IF(AND(CX1217=$DE$2,$DF$2&lt;&gt;0),0,IF(AND(DB1217&lt;&gt;"",OR(DB1216&lt;&gt;"",DB1218&lt;&gt;"")),MAX($DF$2:DF1216)+1,0))</f>
        <v>0</v>
      </c>
    </row>
    <row r="1218" spans="102:110">
      <c r="CX1218" s="259">
        <f t="shared" ca="1" si="1287"/>
        <v>68</v>
      </c>
      <c r="CY1218" s="259" t="str">
        <f t="shared" ca="1" si="1277"/>
        <v>MASTRO</v>
      </c>
      <c r="CZ1218" s="259" t="e">
        <f t="shared" ca="1" si="1289"/>
        <v>#N/A</v>
      </c>
      <c r="DA1218" s="259" t="str">
        <f t="shared" ca="1" si="1294"/>
        <v/>
      </c>
      <c r="DB1218" s="259" t="str">
        <f t="shared" ca="1" si="1290"/>
        <v/>
      </c>
      <c r="DC1218" s="259" t="str">
        <f t="shared" ca="1" si="1291"/>
        <v/>
      </c>
      <c r="DD1218" s="259" t="str">
        <f t="shared" ca="1" si="1292"/>
        <v/>
      </c>
      <c r="DE1218" s="259" t="str">
        <f t="shared" ca="1" si="1293"/>
        <v/>
      </c>
      <c r="DF1218" s="259">
        <f ca="1">IF(AND(CX1218=$DE$2,$DF$2&lt;&gt;0),0,IF(AND(DB1218&lt;&gt;"",OR(DB1217&lt;&gt;"",DB1219&lt;&gt;"")),MAX($DF$2:DF1217)+1,0))</f>
        <v>0</v>
      </c>
    </row>
    <row r="1219" spans="102:110">
      <c r="CX1219" s="259">
        <f t="shared" ca="1" si="1287"/>
        <v>68</v>
      </c>
      <c r="CY1219" s="259" t="str">
        <f t="shared" ca="1" si="1277"/>
        <v>MASTRO</v>
      </c>
      <c r="CZ1219" s="259" t="e">
        <f t="shared" ca="1" si="1289"/>
        <v>#N/A</v>
      </c>
      <c r="DA1219" s="259" t="str">
        <f t="shared" ca="1" si="1294"/>
        <v/>
      </c>
      <c r="DB1219" s="259" t="str">
        <f t="shared" ca="1" si="1290"/>
        <v/>
      </c>
      <c r="DC1219" s="259" t="str">
        <f t="shared" ca="1" si="1291"/>
        <v/>
      </c>
      <c r="DD1219" s="259" t="str">
        <f t="shared" ca="1" si="1292"/>
        <v/>
      </c>
      <c r="DE1219" s="259" t="str">
        <f t="shared" ca="1" si="1293"/>
        <v/>
      </c>
      <c r="DF1219" s="259">
        <f ca="1">IF(AND(CX1219=$DE$2,$DF$2&lt;&gt;0),0,IF(AND(DB1219&lt;&gt;"",OR(DB1218&lt;&gt;"",DB1220&lt;&gt;"")),MAX($DF$2:DF1218)+1,0))</f>
        <v>0</v>
      </c>
    </row>
    <row r="1220" spans="102:110">
      <c r="CX1220" s="259">
        <f t="shared" ca="1" si="1287"/>
        <v>68</v>
      </c>
      <c r="CY1220" s="259" t="str">
        <f t="shared" ca="1" si="1277"/>
        <v>MASTRO</v>
      </c>
      <c r="CZ1220" s="259" t="e">
        <f t="shared" ca="1" si="1289"/>
        <v>#N/A</v>
      </c>
      <c r="DA1220" s="259" t="str">
        <f t="shared" ca="1" si="1294"/>
        <v/>
      </c>
      <c r="DB1220" s="259" t="str">
        <f t="shared" ca="1" si="1290"/>
        <v/>
      </c>
      <c r="DC1220" s="259" t="str">
        <f t="shared" ca="1" si="1291"/>
        <v/>
      </c>
      <c r="DD1220" s="259" t="str">
        <f t="shared" ca="1" si="1292"/>
        <v/>
      </c>
      <c r="DE1220" s="259" t="str">
        <f t="shared" ca="1" si="1293"/>
        <v/>
      </c>
      <c r="DF1220" s="259">
        <f ca="1">IF(AND(CX1220=$DE$2,$DF$2&lt;&gt;0),0,IF(AND(DB1220&lt;&gt;"",OR(DB1219&lt;&gt;"",DB1221&lt;&gt;"")),MAX($DF$2:DF1219)+1,0))</f>
        <v>0</v>
      </c>
    </row>
    <row r="1221" spans="102:110">
      <c r="CX1221" s="259">
        <f t="shared" ca="1" si="1287"/>
        <v>68</v>
      </c>
      <c r="CY1221" s="259" t="str">
        <f t="shared" ca="1" si="1277"/>
        <v>MASTRO</v>
      </c>
      <c r="CZ1221" s="259" t="e">
        <f t="shared" ca="1" si="1289"/>
        <v>#N/A</v>
      </c>
      <c r="DA1221" s="259" t="str">
        <f t="shared" ca="1" si="1294"/>
        <v/>
      </c>
      <c r="DB1221" s="259" t="str">
        <f t="shared" ca="1" si="1290"/>
        <v/>
      </c>
      <c r="DC1221" s="259" t="str">
        <f t="shared" ca="1" si="1291"/>
        <v/>
      </c>
      <c r="DD1221" s="259" t="str">
        <f t="shared" ca="1" si="1292"/>
        <v/>
      </c>
      <c r="DE1221" s="259" t="str">
        <f t="shared" ca="1" si="1293"/>
        <v/>
      </c>
      <c r="DF1221" s="259">
        <f ca="1">IF(AND(CX1221=$DE$2,$DF$2&lt;&gt;0),0,IF(AND(DB1221&lt;&gt;"",OR(DB1220&lt;&gt;"",DB1222&lt;&gt;"")),MAX($DF$2:DF1220)+1,0))</f>
        <v>0</v>
      </c>
    </row>
    <row r="1222" spans="102:110">
      <c r="CX1222" s="259">
        <f t="shared" ca="1" si="1287"/>
        <v>68</v>
      </c>
      <c r="CY1222" s="259" t="str">
        <f t="shared" ca="1" si="1277"/>
        <v>MASTRO</v>
      </c>
      <c r="CZ1222" s="259" t="e">
        <f t="shared" ca="1" si="1289"/>
        <v>#N/A</v>
      </c>
      <c r="DA1222" s="259" t="str">
        <f t="shared" ca="1" si="1294"/>
        <v/>
      </c>
      <c r="DB1222" s="259" t="str">
        <f t="shared" ca="1" si="1290"/>
        <v/>
      </c>
      <c r="DC1222" s="259" t="str">
        <f t="shared" ca="1" si="1291"/>
        <v/>
      </c>
      <c r="DD1222" s="259" t="str">
        <f t="shared" ca="1" si="1292"/>
        <v/>
      </c>
      <c r="DE1222" s="259" t="str">
        <f t="shared" ca="1" si="1293"/>
        <v/>
      </c>
      <c r="DF1222" s="259">
        <f ca="1">IF(AND(CX1222=$DE$2,$DF$2&lt;&gt;0),0,IF(AND(DB1222&lt;&gt;"",OR(DB1221&lt;&gt;"",DB1223&lt;&gt;"")),MAX($DF$2:DF1221)+1,0))</f>
        <v>0</v>
      </c>
    </row>
    <row r="1223" spans="102:110">
      <c r="CX1223" s="259">
        <f t="shared" ca="1" si="1287"/>
        <v>68</v>
      </c>
      <c r="CY1223" s="259" t="str">
        <f t="shared" ca="1" si="1277"/>
        <v>MASTRO</v>
      </c>
      <c r="CZ1223" s="259" t="e">
        <f t="shared" ca="1" si="1289"/>
        <v>#N/A</v>
      </c>
      <c r="DA1223" s="259" t="str">
        <f t="shared" ca="1" si="1294"/>
        <v/>
      </c>
      <c r="DB1223" s="259" t="str">
        <f t="shared" ca="1" si="1290"/>
        <v/>
      </c>
      <c r="DC1223" s="259" t="str">
        <f t="shared" ca="1" si="1291"/>
        <v/>
      </c>
      <c r="DD1223" s="259" t="str">
        <f t="shared" ca="1" si="1292"/>
        <v/>
      </c>
      <c r="DE1223" s="259" t="str">
        <f t="shared" ca="1" si="1293"/>
        <v/>
      </c>
      <c r="DF1223" s="259">
        <f ca="1">IF(AND(CX1223=$DE$2,$DF$2&lt;&gt;0),0,IF(AND(DB1223&lt;&gt;"",OR(DB1222&lt;&gt;"",DB1224&lt;&gt;"")),MAX($DF$2:DF1222)+1,0))</f>
        <v>0</v>
      </c>
    </row>
    <row r="1224" spans="102:110">
      <c r="CX1224" s="259">
        <f t="shared" ca="1" si="1287"/>
        <v>68</v>
      </c>
      <c r="CY1224" s="259" t="str">
        <f t="shared" ref="CY1224:CY1257" ca="1" si="1295">IF(ISERROR(INDEX($CV$3:$CX$2300,MATCH(CX1224,$CW$3:$CW$2300,0),1)),"MASTRO",INDEX($CV$3:$CX$2300,MATCH(CX1224,$CW$3:$CW$2300,0),1))</f>
        <v>MASTRO</v>
      </c>
      <c r="CZ1224" s="259" t="e">
        <f t="shared" ca="1" si="1289"/>
        <v>#N/A</v>
      </c>
      <c r="DA1224" s="259" t="str">
        <f t="shared" ca="1" si="1294"/>
        <v/>
      </c>
      <c r="DB1224" s="259" t="str">
        <f t="shared" ca="1" si="1290"/>
        <v/>
      </c>
      <c r="DC1224" s="259" t="str">
        <f t="shared" ca="1" si="1291"/>
        <v/>
      </c>
      <c r="DD1224" s="259" t="str">
        <f t="shared" ca="1" si="1292"/>
        <v/>
      </c>
      <c r="DE1224" s="259" t="str">
        <f t="shared" ca="1" si="1293"/>
        <v/>
      </c>
      <c r="DF1224" s="259">
        <f ca="1">IF(AND(CX1224=$DE$2,$DF$2&lt;&gt;0),0,IF(AND(DB1224&lt;&gt;"",OR(DB1223&lt;&gt;"",DB1225&lt;&gt;"")),MAX($DF$2:DF1223)+1,0))</f>
        <v>0</v>
      </c>
    </row>
    <row r="1225" spans="102:110">
      <c r="CX1225" s="259">
        <f t="shared" ca="1" si="1287"/>
        <v>68</v>
      </c>
      <c r="CY1225" s="259" t="str">
        <f t="shared" ca="1" si="1295"/>
        <v>MASTRO</v>
      </c>
      <c r="CZ1225" s="259" t="e">
        <f t="shared" ca="1" si="1289"/>
        <v>#N/A</v>
      </c>
      <c r="DA1225" s="259" t="str">
        <f t="shared" ca="1" si="1294"/>
        <v/>
      </c>
      <c r="DB1225" s="259" t="str">
        <f t="shared" ca="1" si="1290"/>
        <v/>
      </c>
      <c r="DC1225" s="259" t="str">
        <f t="shared" ca="1" si="1291"/>
        <v/>
      </c>
      <c r="DD1225" s="259" t="str">
        <f t="shared" ca="1" si="1292"/>
        <v/>
      </c>
      <c r="DE1225" s="259" t="str">
        <f t="shared" ca="1" si="1293"/>
        <v/>
      </c>
      <c r="DF1225" s="259">
        <f ca="1">IF(AND(CX1225=$DE$2,$DF$2&lt;&gt;0),0,IF(AND(DB1225&lt;&gt;"",OR(DB1224&lt;&gt;"",DB1226&lt;&gt;"")),MAX($DF$2:DF1224)+1,0))</f>
        <v>0</v>
      </c>
    </row>
    <row r="1226" spans="102:110">
      <c r="CX1226" s="259" t="str">
        <f>IFERROR(IF(CX1208+1=1,"",(CX1208+1)),"")</f>
        <v/>
      </c>
      <c r="CY1226" s="259" t="str">
        <f t="shared" ca="1" si="1295"/>
        <v>MASTRO</v>
      </c>
      <c r="DB1226" s="259" t="str">
        <f t="shared" ref="DB1226" ca="1" si="1296">CY1226</f>
        <v>MASTRO</v>
      </c>
      <c r="DF1226" s="259">
        <f ca="1">IF(AND(CX1226=$DE$2,$DF$2&lt;&gt;0),0,IF(AND(DB1226&lt;&gt;"",OR(DB1225&lt;&gt;"",DB1227&lt;&gt;"")),MAX($DF$2:DF1225)+1,0))</f>
        <v>0</v>
      </c>
    </row>
    <row r="1227" spans="102:110">
      <c r="CX1227" s="259">
        <f ca="1">$EA$71</f>
        <v>69</v>
      </c>
      <c r="CY1227" s="259" t="str">
        <f t="shared" ca="1" si="1295"/>
        <v>MASTRO</v>
      </c>
      <c r="DA1227" s="259" t="str">
        <f ca="1">IF(CY1226="MASTRO","Conto n.","")</f>
        <v>Conto n.</v>
      </c>
      <c r="DB1227" s="259" t="str">
        <f ca="1">IF(CY1227=0,"",INDEX(PIANO_DEI_CONTI,MATCH(DC1227,DENOMINAZIONE,0),1))</f>
        <v/>
      </c>
      <c r="DC1227" s="259" t="str">
        <f ca="1">IF(OR(CY1227=0,CY1227="mastro"),"",CY1227)</f>
        <v/>
      </c>
      <c r="DD1227" s="259" t="str">
        <f ca="1">IF(AND($DA$2=TRUE,OR(INDEX(PIANO_DEI_CONTI,MATCH($DC1227,DENOMINAZIONE,0),4)="A",INDEX(PIANO_DEI_CONTI,MATCH($DC1227,DENOMINAZIONE,0),4)="D/A"),SUMIFS(AVERE,DENOMINAZIONE_GIORNALE,"="&amp;$DC1227)&gt;SUMIFS(DARE,DENOMINAZIONE_GIORNALE,"="&amp;$DC1227)),CONCATENATE("s ",FIXED(ABS(SUMIFS(AVERE,DENOMINAZIONE_GIORNALE,"="&amp;$DC1227)-SUMIFS(DARE,DENOMINAZIONE_GIORNALE,"="&amp;$DC1227)),2)),"")</f>
        <v/>
      </c>
      <c r="DE1227" s="259" t="str">
        <f ca="1">IF(AND($DA$2=TRUE,OR(INDEX(PIANO_DEI_CONTI,MATCH($DC1227,DENOMINAZIONE,0),4)="D",INDEX(PIANO_DEI_CONTI,MATCH($DC1227,DENOMINAZIONE,0),4)="D/A"),SUMIFS(DARE,DENOMINAZIONE_GIORNALE,"="&amp;$DC1227)&gt;SUMIFS(AVERE,DENOMINAZIONE_GIORNALE,"="&amp;$DC1227)),CONCATENATE("s ",FIXED(ABS(SUMIFS(DARE,DENOMINAZIONE_GIORNALE,"="&amp;$DC1227)-SUMIFS(AVERE,DENOMINAZIONE_GIORNALE,"="&amp;$DC1227)),2)),"")</f>
        <v/>
      </c>
      <c r="DF1227" s="259">
        <f ca="1">IF(AND(CX1227=$DE$2,$DF$2&lt;&gt;0),0,IF(AND(DB1227&lt;&gt;"",OR(DB1226&lt;&gt;"",DB1228&lt;&gt;"")),MAX($DF$2:DF1226)+1,0))</f>
        <v>0</v>
      </c>
    </row>
    <row r="1228" spans="102:110">
      <c r="CX1228" s="259">
        <f t="shared" ref="CX1228:CX1243" ca="1" si="1297">$EA$71</f>
        <v>69</v>
      </c>
      <c r="CY1228" s="259" t="str">
        <f t="shared" ca="1" si="1295"/>
        <v>MASTRO</v>
      </c>
      <c r="DA1228" s="259" t="str">
        <f ca="1">IF(DB1227="","","Num. riga")</f>
        <v/>
      </c>
      <c r="DB1228" s="259" t="str">
        <f t="shared" ref="DB1228" ca="1" si="1298">IF(DB1227="","","Data")</f>
        <v/>
      </c>
      <c r="DC1228" s="259" t="str">
        <f ca="1">IF(DB1227="","","Operazioni")</f>
        <v/>
      </c>
      <c r="DD1228" s="259" t="str">
        <f ca="1">IF(DB1227="","","Dare        ")</f>
        <v/>
      </c>
      <c r="DE1228" s="259" t="str">
        <f ca="1">IF(DB1227="","","Avere        ")</f>
        <v/>
      </c>
      <c r="DF1228" s="259">
        <f ca="1">IF(AND(CX1228=$DE$2,$DF$2&lt;&gt;0),0,IF(AND(DB1228&lt;&gt;"",OR(DB1227&lt;&gt;"",DB1229&lt;&gt;"")),MAX($DF$2:DF1227)+1,0))</f>
        <v>0</v>
      </c>
    </row>
    <row r="1229" spans="102:110">
      <c r="CX1229" s="259">
        <f t="shared" ca="1" si="1297"/>
        <v>69</v>
      </c>
      <c r="CY1229" s="259" t="str">
        <f t="shared" ca="1" si="1295"/>
        <v>MASTRO</v>
      </c>
      <c r="CZ1229" s="259" t="e">
        <f t="shared" ref="CZ1229:CZ1243" ca="1" si="1299">SUM(MATCH($CY1229,INDIRECT(ADDRESS(SUM(CZ1228)+3,54)&amp;":"&amp;ADDRESS(400,54)),0),CZ1228)</f>
        <v>#N/A</v>
      </c>
      <c r="DA1229" s="259" t="str">
        <f ca="1">IFERROR(INDEX(LIBRO_GIORNALE,CZ1229,1),"")</f>
        <v/>
      </c>
      <c r="DB1229" s="259" t="str">
        <f t="shared" ref="DB1229:DB1243" ca="1" si="1300">IF(RIGHT(TEXT(IFERROR(INDEX(LIBRO_GIORNALE,CZ1229,2),""),"gg/mm/aa"),1)="a",TEXT(IFERROR(INDEX(LIBRO_GIORNALE,CZ1229,2),""),"dd/mm/yy"),TEXT(IFERROR(INDEX(LIBRO_GIORNALE,CZ1229,2),""),"gg/mm/aa"))</f>
        <v/>
      </c>
      <c r="DC1229" s="259" t="str">
        <f t="shared" ref="DC1229:DC1243" ca="1" si="1301">IF(IFERROR(INDEX(LIBRO_GIORNALE,CZ1229,4),"")=0,"manca la descrizione dell'operazione",IFERROR(INDEX(LIBRO_GIORNALE,CZ1229,4),""))</f>
        <v/>
      </c>
      <c r="DD1229" s="259" t="str">
        <f t="shared" ref="DD1229:DD1243" ca="1" si="1302">IFERROR(IF(INDEX(LIBRO_GIORNALE,CZ1229,5)&gt;0,INDEX(LIBRO_GIORNALE,CZ1229,5),""),"")</f>
        <v/>
      </c>
      <c r="DE1229" s="259" t="str">
        <f t="shared" ref="DE1229:DE1243" ca="1" si="1303">IFERROR(IF(INDEX(LIBRO_GIORNALE,CZ1229,6)&gt;0,INDEX(LIBRO_GIORNALE,CZ1229,6),""),"")</f>
        <v/>
      </c>
      <c r="DF1229" s="259">
        <f ca="1">IF(AND(CX1229=$DE$2,$DF$2&lt;&gt;0),0,IF(AND(DB1229&lt;&gt;"",OR(DB1228&lt;&gt;"",DB1230&lt;&gt;"")),MAX($DF$2:DF1228)+1,0))</f>
        <v>0</v>
      </c>
    </row>
    <row r="1230" spans="102:110">
      <c r="CX1230" s="259">
        <f t="shared" ca="1" si="1297"/>
        <v>69</v>
      </c>
      <c r="CY1230" s="259" t="str">
        <f t="shared" ca="1" si="1295"/>
        <v>MASTRO</v>
      </c>
      <c r="CZ1230" s="259" t="e">
        <f t="shared" ca="1" si="1299"/>
        <v>#N/A</v>
      </c>
      <c r="DA1230" s="259" t="str">
        <f t="shared" ref="DA1230:DA1243" ca="1" si="1304">IFERROR(INDEX(LIBRO_GIORNALE,CZ1230,1),"")</f>
        <v/>
      </c>
      <c r="DB1230" s="259" t="str">
        <f t="shared" ca="1" si="1300"/>
        <v/>
      </c>
      <c r="DC1230" s="259" t="str">
        <f t="shared" ca="1" si="1301"/>
        <v/>
      </c>
      <c r="DD1230" s="259" t="str">
        <f t="shared" ca="1" si="1302"/>
        <v/>
      </c>
      <c r="DE1230" s="259" t="str">
        <f t="shared" ca="1" si="1303"/>
        <v/>
      </c>
      <c r="DF1230" s="259">
        <f ca="1">IF(AND(CX1230=$DE$2,$DF$2&lt;&gt;0),0,IF(AND(DB1230&lt;&gt;"",OR(DB1229&lt;&gt;"",DB1231&lt;&gt;"")),MAX($DF$2:DF1229)+1,0))</f>
        <v>0</v>
      </c>
    </row>
    <row r="1231" spans="102:110">
      <c r="CX1231" s="259">
        <f t="shared" ca="1" si="1297"/>
        <v>69</v>
      </c>
      <c r="CY1231" s="259" t="str">
        <f t="shared" ca="1" si="1295"/>
        <v>MASTRO</v>
      </c>
      <c r="CZ1231" s="259" t="e">
        <f t="shared" ca="1" si="1299"/>
        <v>#N/A</v>
      </c>
      <c r="DA1231" s="259" t="str">
        <f t="shared" ca="1" si="1304"/>
        <v/>
      </c>
      <c r="DB1231" s="259" t="str">
        <f t="shared" ca="1" si="1300"/>
        <v/>
      </c>
      <c r="DC1231" s="259" t="str">
        <f t="shared" ca="1" si="1301"/>
        <v/>
      </c>
      <c r="DD1231" s="259" t="str">
        <f t="shared" ca="1" si="1302"/>
        <v/>
      </c>
      <c r="DE1231" s="259" t="str">
        <f t="shared" ca="1" si="1303"/>
        <v/>
      </c>
      <c r="DF1231" s="259">
        <f ca="1">IF(AND(CX1231=$DE$2,$DF$2&lt;&gt;0),0,IF(AND(DB1231&lt;&gt;"",OR(DB1230&lt;&gt;"",DB1232&lt;&gt;"")),MAX($DF$2:DF1230)+1,0))</f>
        <v>0</v>
      </c>
    </row>
    <row r="1232" spans="102:110">
      <c r="CX1232" s="259">
        <f t="shared" ca="1" si="1297"/>
        <v>69</v>
      </c>
      <c r="CY1232" s="259" t="str">
        <f t="shared" ca="1" si="1295"/>
        <v>MASTRO</v>
      </c>
      <c r="CZ1232" s="259" t="e">
        <f t="shared" ca="1" si="1299"/>
        <v>#N/A</v>
      </c>
      <c r="DA1232" s="259" t="str">
        <f t="shared" ca="1" si="1304"/>
        <v/>
      </c>
      <c r="DB1232" s="259" t="str">
        <f t="shared" ca="1" si="1300"/>
        <v/>
      </c>
      <c r="DC1232" s="259" t="str">
        <f t="shared" ca="1" si="1301"/>
        <v/>
      </c>
      <c r="DD1232" s="259" t="str">
        <f t="shared" ca="1" si="1302"/>
        <v/>
      </c>
      <c r="DE1232" s="259" t="str">
        <f t="shared" ca="1" si="1303"/>
        <v/>
      </c>
      <c r="DF1232" s="259">
        <f ca="1">IF(AND(CX1232=$DE$2,$DF$2&lt;&gt;0),0,IF(AND(DB1232&lt;&gt;"",OR(DB1231&lt;&gt;"",DB1233&lt;&gt;"")),MAX($DF$2:DF1231)+1,0))</f>
        <v>0</v>
      </c>
    </row>
    <row r="1233" spans="102:110">
      <c r="CX1233" s="259">
        <f t="shared" ca="1" si="1297"/>
        <v>69</v>
      </c>
      <c r="CY1233" s="259" t="str">
        <f t="shared" ca="1" si="1295"/>
        <v>MASTRO</v>
      </c>
      <c r="CZ1233" s="259" t="e">
        <f t="shared" ca="1" si="1299"/>
        <v>#N/A</v>
      </c>
      <c r="DA1233" s="259" t="str">
        <f t="shared" ca="1" si="1304"/>
        <v/>
      </c>
      <c r="DB1233" s="259" t="str">
        <f t="shared" ca="1" si="1300"/>
        <v/>
      </c>
      <c r="DC1233" s="259" t="str">
        <f t="shared" ca="1" si="1301"/>
        <v/>
      </c>
      <c r="DD1233" s="259" t="str">
        <f t="shared" ca="1" si="1302"/>
        <v/>
      </c>
      <c r="DE1233" s="259" t="str">
        <f t="shared" ca="1" si="1303"/>
        <v/>
      </c>
      <c r="DF1233" s="259">
        <f ca="1">IF(AND(CX1233=$DE$2,$DF$2&lt;&gt;0),0,IF(AND(DB1233&lt;&gt;"",OR(DB1232&lt;&gt;"",DB1234&lt;&gt;"")),MAX($DF$2:DF1232)+1,0))</f>
        <v>0</v>
      </c>
    </row>
    <row r="1234" spans="102:110">
      <c r="CX1234" s="259">
        <f t="shared" ca="1" si="1297"/>
        <v>69</v>
      </c>
      <c r="CY1234" s="259" t="str">
        <f t="shared" ca="1" si="1295"/>
        <v>MASTRO</v>
      </c>
      <c r="CZ1234" s="259" t="e">
        <f t="shared" ca="1" si="1299"/>
        <v>#N/A</v>
      </c>
      <c r="DA1234" s="259" t="str">
        <f t="shared" ca="1" si="1304"/>
        <v/>
      </c>
      <c r="DB1234" s="259" t="str">
        <f t="shared" ca="1" si="1300"/>
        <v/>
      </c>
      <c r="DC1234" s="259" t="str">
        <f t="shared" ca="1" si="1301"/>
        <v/>
      </c>
      <c r="DD1234" s="259" t="str">
        <f t="shared" ca="1" si="1302"/>
        <v/>
      </c>
      <c r="DE1234" s="259" t="str">
        <f t="shared" ca="1" si="1303"/>
        <v/>
      </c>
      <c r="DF1234" s="259">
        <f ca="1">IF(AND(CX1234=$DE$2,$DF$2&lt;&gt;0),0,IF(AND(DB1234&lt;&gt;"",OR(DB1233&lt;&gt;"",DB1235&lt;&gt;"")),MAX($DF$2:DF1233)+1,0))</f>
        <v>0</v>
      </c>
    </row>
    <row r="1235" spans="102:110">
      <c r="CX1235" s="259">
        <f t="shared" ca="1" si="1297"/>
        <v>69</v>
      </c>
      <c r="CY1235" s="259" t="str">
        <f t="shared" ca="1" si="1295"/>
        <v>MASTRO</v>
      </c>
      <c r="CZ1235" s="259" t="e">
        <f t="shared" ca="1" si="1299"/>
        <v>#N/A</v>
      </c>
      <c r="DA1235" s="259" t="str">
        <f t="shared" ca="1" si="1304"/>
        <v/>
      </c>
      <c r="DB1235" s="259" t="str">
        <f t="shared" ca="1" si="1300"/>
        <v/>
      </c>
      <c r="DC1235" s="259" t="str">
        <f t="shared" ca="1" si="1301"/>
        <v/>
      </c>
      <c r="DD1235" s="259" t="str">
        <f t="shared" ca="1" si="1302"/>
        <v/>
      </c>
      <c r="DE1235" s="259" t="str">
        <f t="shared" ca="1" si="1303"/>
        <v/>
      </c>
      <c r="DF1235" s="259">
        <f ca="1">IF(AND(CX1235=$DE$2,$DF$2&lt;&gt;0),0,IF(AND(DB1235&lt;&gt;"",OR(DB1234&lt;&gt;"",DB1236&lt;&gt;"")),MAX($DF$2:DF1234)+1,0))</f>
        <v>0</v>
      </c>
    </row>
    <row r="1236" spans="102:110">
      <c r="CX1236" s="259">
        <f t="shared" ca="1" si="1297"/>
        <v>69</v>
      </c>
      <c r="CY1236" s="259" t="str">
        <f t="shared" ca="1" si="1295"/>
        <v>MASTRO</v>
      </c>
      <c r="CZ1236" s="259" t="e">
        <f t="shared" ca="1" si="1299"/>
        <v>#N/A</v>
      </c>
      <c r="DA1236" s="259" t="str">
        <f t="shared" ca="1" si="1304"/>
        <v/>
      </c>
      <c r="DB1236" s="259" t="str">
        <f t="shared" ca="1" si="1300"/>
        <v/>
      </c>
      <c r="DC1236" s="259" t="str">
        <f t="shared" ca="1" si="1301"/>
        <v/>
      </c>
      <c r="DD1236" s="259" t="str">
        <f t="shared" ca="1" si="1302"/>
        <v/>
      </c>
      <c r="DE1236" s="259" t="str">
        <f t="shared" ca="1" si="1303"/>
        <v/>
      </c>
      <c r="DF1236" s="259">
        <f ca="1">IF(AND(CX1236=$DE$2,$DF$2&lt;&gt;0),0,IF(AND(DB1236&lt;&gt;"",OR(DB1235&lt;&gt;"",DB1237&lt;&gt;"")),MAX($DF$2:DF1235)+1,0))</f>
        <v>0</v>
      </c>
    </row>
    <row r="1237" spans="102:110">
      <c r="CX1237" s="259">
        <f t="shared" ca="1" si="1297"/>
        <v>69</v>
      </c>
      <c r="CY1237" s="259" t="str">
        <f t="shared" ca="1" si="1295"/>
        <v>MASTRO</v>
      </c>
      <c r="CZ1237" s="259" t="e">
        <f t="shared" ca="1" si="1299"/>
        <v>#N/A</v>
      </c>
      <c r="DA1237" s="259" t="str">
        <f t="shared" ca="1" si="1304"/>
        <v/>
      </c>
      <c r="DB1237" s="259" t="str">
        <f t="shared" ca="1" si="1300"/>
        <v/>
      </c>
      <c r="DC1237" s="259" t="str">
        <f t="shared" ca="1" si="1301"/>
        <v/>
      </c>
      <c r="DD1237" s="259" t="str">
        <f t="shared" ca="1" si="1302"/>
        <v/>
      </c>
      <c r="DE1237" s="259" t="str">
        <f t="shared" ca="1" si="1303"/>
        <v/>
      </c>
      <c r="DF1237" s="259">
        <f ca="1">IF(AND(CX1237=$DE$2,$DF$2&lt;&gt;0),0,IF(AND(DB1237&lt;&gt;"",OR(DB1236&lt;&gt;"",DB1238&lt;&gt;"")),MAX($DF$2:DF1236)+1,0))</f>
        <v>0</v>
      </c>
    </row>
    <row r="1238" spans="102:110">
      <c r="CX1238" s="259">
        <f t="shared" ca="1" si="1297"/>
        <v>69</v>
      </c>
      <c r="CY1238" s="259" t="str">
        <f t="shared" ca="1" si="1295"/>
        <v>MASTRO</v>
      </c>
      <c r="CZ1238" s="259" t="e">
        <f t="shared" ca="1" si="1299"/>
        <v>#N/A</v>
      </c>
      <c r="DA1238" s="259" t="str">
        <f t="shared" ca="1" si="1304"/>
        <v/>
      </c>
      <c r="DB1238" s="259" t="str">
        <f t="shared" ca="1" si="1300"/>
        <v/>
      </c>
      <c r="DC1238" s="259" t="str">
        <f t="shared" ca="1" si="1301"/>
        <v/>
      </c>
      <c r="DD1238" s="259" t="str">
        <f t="shared" ca="1" si="1302"/>
        <v/>
      </c>
      <c r="DE1238" s="259" t="str">
        <f t="shared" ca="1" si="1303"/>
        <v/>
      </c>
      <c r="DF1238" s="259">
        <f ca="1">IF(AND(CX1238=$DE$2,$DF$2&lt;&gt;0),0,IF(AND(DB1238&lt;&gt;"",OR(DB1237&lt;&gt;"",DB1239&lt;&gt;"")),MAX($DF$2:DF1237)+1,0))</f>
        <v>0</v>
      </c>
    </row>
    <row r="1239" spans="102:110">
      <c r="CX1239" s="259">
        <f t="shared" ca="1" si="1297"/>
        <v>69</v>
      </c>
      <c r="CY1239" s="259" t="str">
        <f t="shared" ca="1" si="1295"/>
        <v>MASTRO</v>
      </c>
      <c r="CZ1239" s="259" t="e">
        <f t="shared" ca="1" si="1299"/>
        <v>#N/A</v>
      </c>
      <c r="DA1239" s="259" t="str">
        <f t="shared" ca="1" si="1304"/>
        <v/>
      </c>
      <c r="DB1239" s="259" t="str">
        <f t="shared" ca="1" si="1300"/>
        <v/>
      </c>
      <c r="DC1239" s="259" t="str">
        <f t="shared" ca="1" si="1301"/>
        <v/>
      </c>
      <c r="DD1239" s="259" t="str">
        <f t="shared" ca="1" si="1302"/>
        <v/>
      </c>
      <c r="DE1239" s="259" t="str">
        <f t="shared" ca="1" si="1303"/>
        <v/>
      </c>
      <c r="DF1239" s="259">
        <f ca="1">IF(AND(CX1239=$DE$2,$DF$2&lt;&gt;0),0,IF(AND(DB1239&lt;&gt;"",OR(DB1238&lt;&gt;"",DB1240&lt;&gt;"")),MAX($DF$2:DF1238)+1,0))</f>
        <v>0</v>
      </c>
    </row>
    <row r="1240" spans="102:110">
      <c r="CX1240" s="259">
        <f t="shared" ca="1" si="1297"/>
        <v>69</v>
      </c>
      <c r="CY1240" s="259" t="str">
        <f t="shared" ca="1" si="1295"/>
        <v>MASTRO</v>
      </c>
      <c r="CZ1240" s="259" t="e">
        <f t="shared" ca="1" si="1299"/>
        <v>#N/A</v>
      </c>
      <c r="DA1240" s="259" t="str">
        <f t="shared" ca="1" si="1304"/>
        <v/>
      </c>
      <c r="DB1240" s="259" t="str">
        <f t="shared" ca="1" si="1300"/>
        <v/>
      </c>
      <c r="DC1240" s="259" t="str">
        <f t="shared" ca="1" si="1301"/>
        <v/>
      </c>
      <c r="DD1240" s="259" t="str">
        <f t="shared" ca="1" si="1302"/>
        <v/>
      </c>
      <c r="DE1240" s="259" t="str">
        <f t="shared" ca="1" si="1303"/>
        <v/>
      </c>
      <c r="DF1240" s="259">
        <f ca="1">IF(AND(CX1240=$DE$2,$DF$2&lt;&gt;0),0,IF(AND(DB1240&lt;&gt;"",OR(DB1239&lt;&gt;"",DB1241&lt;&gt;"")),MAX($DF$2:DF1239)+1,0))</f>
        <v>0</v>
      </c>
    </row>
    <row r="1241" spans="102:110">
      <c r="CX1241" s="259">
        <f t="shared" ca="1" si="1297"/>
        <v>69</v>
      </c>
      <c r="CY1241" s="259" t="str">
        <f t="shared" ca="1" si="1295"/>
        <v>MASTRO</v>
      </c>
      <c r="CZ1241" s="259" t="e">
        <f t="shared" ca="1" si="1299"/>
        <v>#N/A</v>
      </c>
      <c r="DA1241" s="259" t="str">
        <f t="shared" ca="1" si="1304"/>
        <v/>
      </c>
      <c r="DB1241" s="259" t="str">
        <f t="shared" ca="1" si="1300"/>
        <v/>
      </c>
      <c r="DC1241" s="259" t="str">
        <f t="shared" ca="1" si="1301"/>
        <v/>
      </c>
      <c r="DD1241" s="259" t="str">
        <f t="shared" ca="1" si="1302"/>
        <v/>
      </c>
      <c r="DE1241" s="259" t="str">
        <f t="shared" ca="1" si="1303"/>
        <v/>
      </c>
      <c r="DF1241" s="259">
        <f ca="1">IF(AND(CX1241=$DE$2,$DF$2&lt;&gt;0),0,IF(AND(DB1241&lt;&gt;"",OR(DB1240&lt;&gt;"",DB1242&lt;&gt;"")),MAX($DF$2:DF1240)+1,0))</f>
        <v>0</v>
      </c>
    </row>
    <row r="1242" spans="102:110">
      <c r="CX1242" s="259">
        <f t="shared" ca="1" si="1297"/>
        <v>69</v>
      </c>
      <c r="CY1242" s="259" t="str">
        <f t="shared" ca="1" si="1295"/>
        <v>MASTRO</v>
      </c>
      <c r="CZ1242" s="259" t="e">
        <f t="shared" ca="1" si="1299"/>
        <v>#N/A</v>
      </c>
      <c r="DA1242" s="259" t="str">
        <f t="shared" ca="1" si="1304"/>
        <v/>
      </c>
      <c r="DB1242" s="259" t="str">
        <f t="shared" ca="1" si="1300"/>
        <v/>
      </c>
      <c r="DC1242" s="259" t="str">
        <f t="shared" ca="1" si="1301"/>
        <v/>
      </c>
      <c r="DD1242" s="259" t="str">
        <f t="shared" ca="1" si="1302"/>
        <v/>
      </c>
      <c r="DE1242" s="259" t="str">
        <f t="shared" ca="1" si="1303"/>
        <v/>
      </c>
      <c r="DF1242" s="259">
        <f ca="1">IF(AND(CX1242=$DE$2,$DF$2&lt;&gt;0),0,IF(AND(DB1242&lt;&gt;"",OR(DB1241&lt;&gt;"",DB1243&lt;&gt;"")),MAX($DF$2:DF1241)+1,0))</f>
        <v>0</v>
      </c>
    </row>
    <row r="1243" spans="102:110">
      <c r="CX1243" s="259">
        <f t="shared" ca="1" si="1297"/>
        <v>69</v>
      </c>
      <c r="CY1243" s="259" t="str">
        <f t="shared" ca="1" si="1295"/>
        <v>MASTRO</v>
      </c>
      <c r="CZ1243" s="259" t="e">
        <f t="shared" ca="1" si="1299"/>
        <v>#N/A</v>
      </c>
      <c r="DA1243" s="259" t="str">
        <f t="shared" ca="1" si="1304"/>
        <v/>
      </c>
      <c r="DB1243" s="259" t="str">
        <f t="shared" ca="1" si="1300"/>
        <v/>
      </c>
      <c r="DC1243" s="259" t="str">
        <f t="shared" ca="1" si="1301"/>
        <v/>
      </c>
      <c r="DD1243" s="259" t="str">
        <f t="shared" ca="1" si="1302"/>
        <v/>
      </c>
      <c r="DE1243" s="259" t="str">
        <f t="shared" ca="1" si="1303"/>
        <v/>
      </c>
      <c r="DF1243" s="259">
        <f ca="1">IF(AND(CX1243=$DE$2,$DF$2&lt;&gt;0),0,IF(AND(DB1243&lt;&gt;"",OR(DB1242&lt;&gt;"",DB1244&lt;&gt;"")),MAX($DF$2:DF1242)+1,0))</f>
        <v>0</v>
      </c>
    </row>
    <row r="1244" spans="102:110">
      <c r="CX1244" s="259" t="str">
        <f>IFERROR(IF(CX1226+1=1,"",(CX1226+1)),"")</f>
        <v/>
      </c>
      <c r="CY1244" s="259" t="str">
        <f t="shared" ca="1" si="1295"/>
        <v>MASTRO</v>
      </c>
      <c r="DB1244" s="259" t="str">
        <f t="shared" ref="DB1244" ca="1" si="1305">CY1244</f>
        <v>MASTRO</v>
      </c>
      <c r="DF1244" s="259">
        <f ca="1">IF(AND(CX1244=$DE$2,$DF$2&lt;&gt;0),0,IF(AND(DB1244&lt;&gt;"",OR(DB1243&lt;&gt;"",DB1245&lt;&gt;"")),MAX($DF$2:DF1243)+1,0))</f>
        <v>0</v>
      </c>
    </row>
    <row r="1245" spans="102:110">
      <c r="CX1245" s="259">
        <f ca="1">$EA$72</f>
        <v>70</v>
      </c>
      <c r="CY1245" s="259" t="str">
        <f t="shared" ca="1" si="1295"/>
        <v>MASTRO</v>
      </c>
      <c r="DA1245" s="259" t="str">
        <f ca="1">IF(CY1244="MASTRO","Conto n.","")</f>
        <v>Conto n.</v>
      </c>
      <c r="DB1245" s="259" t="str">
        <f ca="1">IF(CY1245=0,"",INDEX(PIANO_DEI_CONTI,MATCH(DC1245,DENOMINAZIONE,0),1))</f>
        <v/>
      </c>
      <c r="DC1245" s="259" t="str">
        <f ca="1">IF(OR(CY1245=0,CY1245="mastro"),"",CY1245)</f>
        <v/>
      </c>
      <c r="DD1245" s="259" t="str">
        <f ca="1">IF(AND($DA$2=TRUE,OR(INDEX(PIANO_DEI_CONTI,MATCH($DC1245,DENOMINAZIONE,0),4)="A",INDEX(PIANO_DEI_CONTI,MATCH($DC1245,DENOMINAZIONE,0),4)="D/A"),SUMIFS(AVERE,DENOMINAZIONE_GIORNALE,"="&amp;$DC1245)&gt;SUMIFS(DARE,DENOMINAZIONE_GIORNALE,"="&amp;$DC1245)),CONCATENATE("s ",FIXED(ABS(SUMIFS(AVERE,DENOMINAZIONE_GIORNALE,"="&amp;$DC1245)-SUMIFS(DARE,DENOMINAZIONE_GIORNALE,"="&amp;$DC1245)),2)),"")</f>
        <v/>
      </c>
      <c r="DE1245" s="259" t="str">
        <f ca="1">IF(AND($DA$2=TRUE,OR(INDEX(PIANO_DEI_CONTI,MATCH($DC1245,DENOMINAZIONE,0),4)="D",INDEX(PIANO_DEI_CONTI,MATCH($DC1245,DENOMINAZIONE,0),4)="D/A"),SUMIFS(DARE,DENOMINAZIONE_GIORNALE,"="&amp;$DC1245)&gt;SUMIFS(AVERE,DENOMINAZIONE_GIORNALE,"="&amp;$DC1245)),CONCATENATE("s ",FIXED(ABS(SUMIFS(DARE,DENOMINAZIONE_GIORNALE,"="&amp;$DC1245)-SUMIFS(AVERE,DENOMINAZIONE_GIORNALE,"="&amp;$DC1245)),2)),"")</f>
        <v/>
      </c>
      <c r="DF1245" s="259">
        <f ca="1">IF(AND(CX1245=$DE$2,$DF$2&lt;&gt;0),0,IF(AND(DB1245&lt;&gt;"",OR(DB1244&lt;&gt;"",DB1246&lt;&gt;"")),MAX($DF$2:DF1244)+1,0))</f>
        <v>0</v>
      </c>
    </row>
    <row r="1246" spans="102:110">
      <c r="CX1246" s="259">
        <f t="shared" ref="CX1246:CX1261" ca="1" si="1306">$EA$72</f>
        <v>70</v>
      </c>
      <c r="CY1246" s="259" t="str">
        <f t="shared" ca="1" si="1295"/>
        <v>MASTRO</v>
      </c>
      <c r="DA1246" s="259" t="str">
        <f ca="1">IF(DB1245="","","Num. riga")</f>
        <v/>
      </c>
      <c r="DB1246" s="259" t="str">
        <f t="shared" ref="DB1246" ca="1" si="1307">IF(DB1245="","","Data")</f>
        <v/>
      </c>
      <c r="DC1246" s="259" t="str">
        <f ca="1">IF(DB1245="","","Operazioni")</f>
        <v/>
      </c>
      <c r="DD1246" s="259" t="str">
        <f ca="1">IF(DB1245="","","Dare        ")</f>
        <v/>
      </c>
      <c r="DE1246" s="259" t="str">
        <f ca="1">IF(DB1245="","","Avere        ")</f>
        <v/>
      </c>
      <c r="DF1246" s="259">
        <f ca="1">IF(AND(CX1246=$DE$2,$DF$2&lt;&gt;0),0,IF(AND(DB1246&lt;&gt;"",OR(DB1245&lt;&gt;"",DB1247&lt;&gt;"")),MAX($DF$2:DF1245)+1,0))</f>
        <v>0</v>
      </c>
    </row>
    <row r="1247" spans="102:110">
      <c r="CX1247" s="259">
        <f t="shared" ca="1" si="1306"/>
        <v>70</v>
      </c>
      <c r="CY1247" s="259" t="str">
        <f t="shared" ca="1" si="1295"/>
        <v>MASTRO</v>
      </c>
      <c r="CZ1247" s="259" t="e">
        <f t="shared" ref="CZ1247:CZ1261" ca="1" si="1308">SUM(MATCH($CY1247,INDIRECT(ADDRESS(SUM(CZ1246)+3,54)&amp;":"&amp;ADDRESS(400,54)),0),CZ1246)</f>
        <v>#N/A</v>
      </c>
      <c r="DA1247" s="259" t="str">
        <f ca="1">IFERROR(INDEX(LIBRO_GIORNALE,CZ1247,1),"")</f>
        <v/>
      </c>
      <c r="DB1247" s="259" t="str">
        <f t="shared" ref="DB1247:DB1261" ca="1" si="1309">IF(RIGHT(TEXT(IFERROR(INDEX(LIBRO_GIORNALE,CZ1247,2),""),"gg/mm/aa"),1)="a",TEXT(IFERROR(INDEX(LIBRO_GIORNALE,CZ1247,2),""),"dd/mm/yy"),TEXT(IFERROR(INDEX(LIBRO_GIORNALE,CZ1247,2),""),"gg/mm/aa"))</f>
        <v/>
      </c>
      <c r="DC1247" s="259" t="str">
        <f t="shared" ref="DC1247:DC1261" ca="1" si="1310">IF(IFERROR(INDEX(LIBRO_GIORNALE,CZ1247,4),"")=0,"manca la descrizione dell'operazione",IFERROR(INDEX(LIBRO_GIORNALE,CZ1247,4),""))</f>
        <v/>
      </c>
      <c r="DD1247" s="259" t="str">
        <f t="shared" ref="DD1247:DD1261" ca="1" si="1311">IFERROR(IF(INDEX(LIBRO_GIORNALE,CZ1247,5)&gt;0,INDEX(LIBRO_GIORNALE,CZ1247,5),""),"")</f>
        <v/>
      </c>
      <c r="DE1247" s="259" t="str">
        <f t="shared" ref="DE1247:DE1261" ca="1" si="1312">IFERROR(IF(INDEX(LIBRO_GIORNALE,CZ1247,6)&gt;0,INDEX(LIBRO_GIORNALE,CZ1247,6),""),"")</f>
        <v/>
      </c>
      <c r="DF1247" s="259">
        <f ca="1">IF(AND(CX1247=$DE$2,$DF$2&lt;&gt;0),0,IF(AND(DB1247&lt;&gt;"",OR(DB1246&lt;&gt;"",DB1248&lt;&gt;"")),MAX($DF$2:DF1246)+1,0))</f>
        <v>0</v>
      </c>
    </row>
    <row r="1248" spans="102:110">
      <c r="CX1248" s="259">
        <f t="shared" ca="1" si="1306"/>
        <v>70</v>
      </c>
      <c r="CY1248" s="259" t="str">
        <f t="shared" ca="1" si="1295"/>
        <v>MASTRO</v>
      </c>
      <c r="CZ1248" s="259" t="e">
        <f t="shared" ca="1" si="1308"/>
        <v>#N/A</v>
      </c>
      <c r="DA1248" s="259" t="str">
        <f t="shared" ref="DA1248:DA1261" ca="1" si="1313">IFERROR(INDEX(LIBRO_GIORNALE,CZ1248,1),"")</f>
        <v/>
      </c>
      <c r="DB1248" s="259" t="str">
        <f t="shared" ca="1" si="1309"/>
        <v/>
      </c>
      <c r="DC1248" s="259" t="str">
        <f t="shared" ca="1" si="1310"/>
        <v/>
      </c>
      <c r="DD1248" s="259" t="str">
        <f t="shared" ca="1" si="1311"/>
        <v/>
      </c>
      <c r="DE1248" s="259" t="str">
        <f t="shared" ca="1" si="1312"/>
        <v/>
      </c>
      <c r="DF1248" s="259">
        <f ca="1">IF(AND(CX1248=$DE$2,$DF$2&lt;&gt;0),0,IF(AND(DB1248&lt;&gt;"",OR(DB1247&lt;&gt;"",DB1249&lt;&gt;"")),MAX($DF$2:DF1247)+1,0))</f>
        <v>0</v>
      </c>
    </row>
    <row r="1249" spans="102:110">
      <c r="CX1249" s="259">
        <f t="shared" ca="1" si="1306"/>
        <v>70</v>
      </c>
      <c r="CY1249" s="259" t="str">
        <f t="shared" ca="1" si="1295"/>
        <v>MASTRO</v>
      </c>
      <c r="CZ1249" s="259" t="e">
        <f t="shared" ca="1" si="1308"/>
        <v>#N/A</v>
      </c>
      <c r="DA1249" s="259" t="str">
        <f t="shared" ca="1" si="1313"/>
        <v/>
      </c>
      <c r="DB1249" s="259" t="str">
        <f t="shared" ca="1" si="1309"/>
        <v/>
      </c>
      <c r="DC1249" s="259" t="str">
        <f t="shared" ca="1" si="1310"/>
        <v/>
      </c>
      <c r="DD1249" s="259" t="str">
        <f t="shared" ca="1" si="1311"/>
        <v/>
      </c>
      <c r="DE1249" s="259" t="str">
        <f t="shared" ca="1" si="1312"/>
        <v/>
      </c>
      <c r="DF1249" s="259">
        <f ca="1">IF(AND(CX1249=$DE$2,$DF$2&lt;&gt;0),0,IF(AND(DB1249&lt;&gt;"",OR(DB1248&lt;&gt;"",DB1250&lt;&gt;"")),MAX($DF$2:DF1248)+1,0))</f>
        <v>0</v>
      </c>
    </row>
    <row r="1250" spans="102:110">
      <c r="CX1250" s="259">
        <f t="shared" ca="1" si="1306"/>
        <v>70</v>
      </c>
      <c r="CY1250" s="259" t="str">
        <f t="shared" ca="1" si="1295"/>
        <v>MASTRO</v>
      </c>
      <c r="CZ1250" s="259" t="e">
        <f t="shared" ca="1" si="1308"/>
        <v>#N/A</v>
      </c>
      <c r="DA1250" s="259" t="str">
        <f t="shared" ca="1" si="1313"/>
        <v/>
      </c>
      <c r="DB1250" s="259" t="str">
        <f t="shared" ca="1" si="1309"/>
        <v/>
      </c>
      <c r="DC1250" s="259" t="str">
        <f t="shared" ca="1" si="1310"/>
        <v/>
      </c>
      <c r="DD1250" s="259" t="str">
        <f t="shared" ca="1" si="1311"/>
        <v/>
      </c>
      <c r="DE1250" s="259" t="str">
        <f t="shared" ca="1" si="1312"/>
        <v/>
      </c>
      <c r="DF1250" s="259">
        <f ca="1">IF(AND(CX1250=$DE$2,$DF$2&lt;&gt;0),0,IF(AND(DB1250&lt;&gt;"",OR(DB1249&lt;&gt;"",DB1251&lt;&gt;"")),MAX($DF$2:DF1249)+1,0))</f>
        <v>0</v>
      </c>
    </row>
    <row r="1251" spans="102:110">
      <c r="CX1251" s="259">
        <f t="shared" ca="1" si="1306"/>
        <v>70</v>
      </c>
      <c r="CY1251" s="259" t="str">
        <f t="shared" ca="1" si="1295"/>
        <v>MASTRO</v>
      </c>
      <c r="CZ1251" s="259" t="e">
        <f t="shared" ca="1" si="1308"/>
        <v>#N/A</v>
      </c>
      <c r="DA1251" s="259" t="str">
        <f t="shared" ca="1" si="1313"/>
        <v/>
      </c>
      <c r="DB1251" s="259" t="str">
        <f t="shared" ca="1" si="1309"/>
        <v/>
      </c>
      <c r="DC1251" s="259" t="str">
        <f t="shared" ca="1" si="1310"/>
        <v/>
      </c>
      <c r="DD1251" s="259" t="str">
        <f t="shared" ca="1" si="1311"/>
        <v/>
      </c>
      <c r="DE1251" s="259" t="str">
        <f t="shared" ca="1" si="1312"/>
        <v/>
      </c>
      <c r="DF1251" s="259">
        <f ca="1">IF(AND(CX1251=$DE$2,$DF$2&lt;&gt;0),0,IF(AND(DB1251&lt;&gt;"",OR(DB1250&lt;&gt;"",DB1252&lt;&gt;"")),MAX($DF$2:DF1250)+1,0))</f>
        <v>0</v>
      </c>
    </row>
    <row r="1252" spans="102:110">
      <c r="CX1252" s="259">
        <f t="shared" ca="1" si="1306"/>
        <v>70</v>
      </c>
      <c r="CY1252" s="259" t="str">
        <f t="shared" ca="1" si="1295"/>
        <v>MASTRO</v>
      </c>
      <c r="CZ1252" s="259" t="e">
        <f t="shared" ca="1" si="1308"/>
        <v>#N/A</v>
      </c>
      <c r="DA1252" s="259" t="str">
        <f t="shared" ca="1" si="1313"/>
        <v/>
      </c>
      <c r="DB1252" s="259" t="str">
        <f t="shared" ca="1" si="1309"/>
        <v/>
      </c>
      <c r="DC1252" s="259" t="str">
        <f t="shared" ca="1" si="1310"/>
        <v/>
      </c>
      <c r="DD1252" s="259" t="str">
        <f t="shared" ca="1" si="1311"/>
        <v/>
      </c>
      <c r="DE1252" s="259" t="str">
        <f t="shared" ca="1" si="1312"/>
        <v/>
      </c>
      <c r="DF1252" s="259">
        <f ca="1">IF(AND(CX1252=$DE$2,$DF$2&lt;&gt;0),0,IF(AND(DB1252&lt;&gt;"",OR(DB1251&lt;&gt;"",DB1253&lt;&gt;"")),MAX($DF$2:DF1251)+1,0))</f>
        <v>0</v>
      </c>
    </row>
    <row r="1253" spans="102:110">
      <c r="CX1253" s="259">
        <f t="shared" ca="1" si="1306"/>
        <v>70</v>
      </c>
      <c r="CY1253" s="259" t="str">
        <f t="shared" ca="1" si="1295"/>
        <v>MASTRO</v>
      </c>
      <c r="CZ1253" s="259" t="e">
        <f t="shared" ca="1" si="1308"/>
        <v>#N/A</v>
      </c>
      <c r="DA1253" s="259" t="str">
        <f t="shared" ca="1" si="1313"/>
        <v/>
      </c>
      <c r="DB1253" s="259" t="str">
        <f t="shared" ca="1" si="1309"/>
        <v/>
      </c>
      <c r="DC1253" s="259" t="str">
        <f t="shared" ca="1" si="1310"/>
        <v/>
      </c>
      <c r="DD1253" s="259" t="str">
        <f t="shared" ca="1" si="1311"/>
        <v/>
      </c>
      <c r="DE1253" s="259" t="str">
        <f t="shared" ca="1" si="1312"/>
        <v/>
      </c>
      <c r="DF1253" s="259">
        <f ca="1">IF(AND(CX1253=$DE$2,$DF$2&lt;&gt;0),0,IF(AND(DB1253&lt;&gt;"",OR(DB1252&lt;&gt;"",DB1254&lt;&gt;"")),MAX($DF$2:DF1252)+1,0))</f>
        <v>0</v>
      </c>
    </row>
    <row r="1254" spans="102:110">
      <c r="CX1254" s="259">
        <f t="shared" ca="1" si="1306"/>
        <v>70</v>
      </c>
      <c r="CY1254" s="259" t="str">
        <f t="shared" ca="1" si="1295"/>
        <v>MASTRO</v>
      </c>
      <c r="CZ1254" s="259" t="e">
        <f t="shared" ca="1" si="1308"/>
        <v>#N/A</v>
      </c>
      <c r="DA1254" s="259" t="str">
        <f t="shared" ca="1" si="1313"/>
        <v/>
      </c>
      <c r="DB1254" s="259" t="str">
        <f t="shared" ca="1" si="1309"/>
        <v/>
      </c>
      <c r="DC1254" s="259" t="str">
        <f t="shared" ca="1" si="1310"/>
        <v/>
      </c>
      <c r="DD1254" s="259" t="str">
        <f t="shared" ca="1" si="1311"/>
        <v/>
      </c>
      <c r="DE1254" s="259" t="str">
        <f t="shared" ca="1" si="1312"/>
        <v/>
      </c>
      <c r="DF1254" s="259">
        <f ca="1">IF(AND(CX1254=$DE$2,$DF$2&lt;&gt;0),0,IF(AND(DB1254&lt;&gt;"",OR(DB1253&lt;&gt;"",DB1255&lt;&gt;"")),MAX($DF$2:DF1253)+1,0))</f>
        <v>0</v>
      </c>
    </row>
    <row r="1255" spans="102:110">
      <c r="CX1255" s="259">
        <f t="shared" ca="1" si="1306"/>
        <v>70</v>
      </c>
      <c r="CY1255" s="259" t="str">
        <f t="shared" ca="1" si="1295"/>
        <v>MASTRO</v>
      </c>
      <c r="CZ1255" s="259" t="e">
        <f t="shared" ca="1" si="1308"/>
        <v>#N/A</v>
      </c>
      <c r="DA1255" s="259" t="str">
        <f t="shared" ca="1" si="1313"/>
        <v/>
      </c>
      <c r="DB1255" s="259" t="str">
        <f t="shared" ca="1" si="1309"/>
        <v/>
      </c>
      <c r="DC1255" s="259" t="str">
        <f t="shared" ca="1" si="1310"/>
        <v/>
      </c>
      <c r="DD1255" s="259" t="str">
        <f t="shared" ca="1" si="1311"/>
        <v/>
      </c>
      <c r="DE1255" s="259" t="str">
        <f t="shared" ca="1" si="1312"/>
        <v/>
      </c>
      <c r="DF1255" s="259">
        <f ca="1">IF(AND(CX1255=$DE$2,$DF$2&lt;&gt;0),0,IF(AND(DB1255&lt;&gt;"",OR(DB1254&lt;&gt;"",DB1256&lt;&gt;"")),MAX($DF$2:DF1254)+1,0))</f>
        <v>0</v>
      </c>
    </row>
    <row r="1256" spans="102:110">
      <c r="CX1256" s="259">
        <f t="shared" ca="1" si="1306"/>
        <v>70</v>
      </c>
      <c r="CY1256" s="259" t="str">
        <f t="shared" ca="1" si="1295"/>
        <v>MASTRO</v>
      </c>
      <c r="CZ1256" s="259" t="e">
        <f t="shared" ca="1" si="1308"/>
        <v>#N/A</v>
      </c>
      <c r="DA1256" s="259" t="str">
        <f t="shared" ca="1" si="1313"/>
        <v/>
      </c>
      <c r="DB1256" s="259" t="str">
        <f t="shared" ca="1" si="1309"/>
        <v/>
      </c>
      <c r="DC1256" s="259" t="str">
        <f t="shared" ca="1" si="1310"/>
        <v/>
      </c>
      <c r="DD1256" s="259" t="str">
        <f t="shared" ca="1" si="1311"/>
        <v/>
      </c>
      <c r="DE1256" s="259" t="str">
        <f t="shared" ca="1" si="1312"/>
        <v/>
      </c>
      <c r="DF1256" s="259">
        <f ca="1">IF(AND(CX1256=$DE$2,$DF$2&lt;&gt;0),0,IF(AND(DB1256&lt;&gt;"",OR(DB1255&lt;&gt;"",DB1257&lt;&gt;"")),MAX($DF$2:DF1255)+1,0))</f>
        <v>0</v>
      </c>
    </row>
    <row r="1257" spans="102:110">
      <c r="CX1257" s="259">
        <f t="shared" ca="1" si="1306"/>
        <v>70</v>
      </c>
      <c r="CY1257" s="259" t="str">
        <f t="shared" ca="1" si="1295"/>
        <v>MASTRO</v>
      </c>
      <c r="CZ1257" s="259" t="e">
        <f t="shared" ca="1" si="1308"/>
        <v>#N/A</v>
      </c>
      <c r="DA1257" s="259" t="str">
        <f t="shared" ca="1" si="1313"/>
        <v/>
      </c>
      <c r="DB1257" s="259" t="str">
        <f t="shared" ca="1" si="1309"/>
        <v/>
      </c>
      <c r="DC1257" s="259" t="str">
        <f t="shared" ca="1" si="1310"/>
        <v/>
      </c>
      <c r="DD1257" s="259" t="str">
        <f t="shared" ca="1" si="1311"/>
        <v/>
      </c>
      <c r="DE1257" s="259" t="str">
        <f t="shared" ca="1" si="1312"/>
        <v/>
      </c>
      <c r="DF1257" s="259">
        <f ca="1">IF(AND(CX1257=$DE$2,$DF$2&lt;&gt;0),0,IF(AND(DB1257&lt;&gt;"",OR(DB1256&lt;&gt;"",DB1258&lt;&gt;"")),MAX($DF$2:DF1256)+1,0))</f>
        <v>0</v>
      </c>
    </row>
    <row r="1258" spans="102:110">
      <c r="CX1258" s="259">
        <f t="shared" ca="1" si="1306"/>
        <v>70</v>
      </c>
      <c r="CY1258" s="259" t="str">
        <f t="shared" ref="CY1258:CY1290" ca="1" si="1314">IF(ISERROR(INDEX($CV$3:$CX$2300,MATCH(CX1258,$CW$3:$CW$2300,0),1)),"MASTRO",INDEX($CV$3:$CX$2300,MATCH(CX1258,$CW$3:$CW$2300,0),1))</f>
        <v>MASTRO</v>
      </c>
      <c r="CZ1258" s="259" t="e">
        <f t="shared" ca="1" si="1308"/>
        <v>#N/A</v>
      </c>
      <c r="DA1258" s="259" t="str">
        <f t="shared" ca="1" si="1313"/>
        <v/>
      </c>
      <c r="DB1258" s="259" t="str">
        <f t="shared" ca="1" si="1309"/>
        <v/>
      </c>
      <c r="DC1258" s="259" t="str">
        <f t="shared" ca="1" si="1310"/>
        <v/>
      </c>
      <c r="DD1258" s="259" t="str">
        <f t="shared" ca="1" si="1311"/>
        <v/>
      </c>
      <c r="DE1258" s="259" t="str">
        <f t="shared" ca="1" si="1312"/>
        <v/>
      </c>
      <c r="DF1258" s="259">
        <f ca="1">IF(AND(CX1258=$DE$2,$DF$2&lt;&gt;0),0,IF(AND(DB1258&lt;&gt;"",OR(DB1257&lt;&gt;"",DB1259&lt;&gt;"")),MAX($DF$2:DF1257)+1,0))</f>
        <v>0</v>
      </c>
    </row>
    <row r="1259" spans="102:110">
      <c r="CX1259" s="259">
        <f t="shared" ca="1" si="1306"/>
        <v>70</v>
      </c>
      <c r="CY1259" s="259" t="str">
        <f t="shared" ca="1" si="1314"/>
        <v>MASTRO</v>
      </c>
      <c r="CZ1259" s="259" t="e">
        <f t="shared" ca="1" si="1308"/>
        <v>#N/A</v>
      </c>
      <c r="DA1259" s="259" t="str">
        <f t="shared" ca="1" si="1313"/>
        <v/>
      </c>
      <c r="DB1259" s="259" t="str">
        <f t="shared" ca="1" si="1309"/>
        <v/>
      </c>
      <c r="DC1259" s="259" t="str">
        <f t="shared" ca="1" si="1310"/>
        <v/>
      </c>
      <c r="DD1259" s="259" t="str">
        <f t="shared" ca="1" si="1311"/>
        <v/>
      </c>
      <c r="DE1259" s="259" t="str">
        <f t="shared" ca="1" si="1312"/>
        <v/>
      </c>
      <c r="DF1259" s="259">
        <f ca="1">IF(AND(CX1259=$DE$2,$DF$2&lt;&gt;0),0,IF(AND(DB1259&lt;&gt;"",OR(DB1258&lt;&gt;"",DB1260&lt;&gt;"")),MAX($DF$2:DF1258)+1,0))</f>
        <v>0</v>
      </c>
    </row>
    <row r="1260" spans="102:110">
      <c r="CX1260" s="259">
        <f t="shared" ca="1" si="1306"/>
        <v>70</v>
      </c>
      <c r="CY1260" s="259" t="str">
        <f t="shared" ca="1" si="1314"/>
        <v>MASTRO</v>
      </c>
      <c r="CZ1260" s="259" t="e">
        <f t="shared" ca="1" si="1308"/>
        <v>#N/A</v>
      </c>
      <c r="DA1260" s="259" t="str">
        <f t="shared" ca="1" si="1313"/>
        <v/>
      </c>
      <c r="DB1260" s="259" t="str">
        <f t="shared" ca="1" si="1309"/>
        <v/>
      </c>
      <c r="DC1260" s="259" t="str">
        <f t="shared" ca="1" si="1310"/>
        <v/>
      </c>
      <c r="DD1260" s="259" t="str">
        <f t="shared" ca="1" si="1311"/>
        <v/>
      </c>
      <c r="DE1260" s="259" t="str">
        <f t="shared" ca="1" si="1312"/>
        <v/>
      </c>
      <c r="DF1260" s="259">
        <f ca="1">IF(AND(CX1260=$DE$2,$DF$2&lt;&gt;0),0,IF(AND(DB1260&lt;&gt;"",OR(DB1259&lt;&gt;"",DB1261&lt;&gt;"")),MAX($DF$2:DF1259)+1,0))</f>
        <v>0</v>
      </c>
    </row>
    <row r="1261" spans="102:110">
      <c r="CX1261" s="259">
        <f t="shared" ca="1" si="1306"/>
        <v>70</v>
      </c>
      <c r="CY1261" s="259" t="str">
        <f t="shared" ca="1" si="1314"/>
        <v>MASTRO</v>
      </c>
      <c r="CZ1261" s="259" t="e">
        <f t="shared" ca="1" si="1308"/>
        <v>#N/A</v>
      </c>
      <c r="DA1261" s="259" t="str">
        <f t="shared" ca="1" si="1313"/>
        <v/>
      </c>
      <c r="DB1261" s="259" t="str">
        <f t="shared" ca="1" si="1309"/>
        <v/>
      </c>
      <c r="DC1261" s="259" t="str">
        <f t="shared" ca="1" si="1310"/>
        <v/>
      </c>
      <c r="DD1261" s="259" t="str">
        <f t="shared" ca="1" si="1311"/>
        <v/>
      </c>
      <c r="DE1261" s="259" t="str">
        <f t="shared" ca="1" si="1312"/>
        <v/>
      </c>
      <c r="DF1261" s="259">
        <f ca="1">IF(AND(CX1261=$DE$2,$DF$2&lt;&gt;0),0,IF(AND(DB1261&lt;&gt;"",OR(DB1260&lt;&gt;"",DB1262&lt;&gt;"")),MAX($DF$2:DF1260)+1,0))</f>
        <v>0</v>
      </c>
    </row>
    <row r="1262" spans="102:110">
      <c r="CX1262" s="259" t="str">
        <f>IFERROR(IF(CX1244+1=1,"",(CX1244+1)),"")</f>
        <v/>
      </c>
      <c r="CY1262" s="259" t="str">
        <f t="shared" ca="1" si="1314"/>
        <v>MASTRO</v>
      </c>
      <c r="DB1262" s="259" t="str">
        <f t="shared" ref="DB1262" ca="1" si="1315">CY1262</f>
        <v>MASTRO</v>
      </c>
      <c r="DF1262" s="259">
        <f ca="1">IF(AND(CX1262=$DE$2,$DF$2&lt;&gt;0),0,IF(AND(DB1262&lt;&gt;"",OR(DB1261&lt;&gt;"",DB1263&lt;&gt;"")),MAX($DF$2:DF1261)+1,0))</f>
        <v>0</v>
      </c>
    </row>
    <row r="1263" spans="102:110">
      <c r="CX1263" s="259">
        <f ca="1">$EA$73</f>
        <v>71</v>
      </c>
      <c r="CY1263" s="259" t="str">
        <f t="shared" ca="1" si="1314"/>
        <v>MASTRO</v>
      </c>
      <c r="DA1263" s="259" t="str">
        <f ca="1">IF(CY1262="MASTRO","Conto n.","")</f>
        <v>Conto n.</v>
      </c>
      <c r="DB1263" s="259" t="str">
        <f ca="1">IF(CY1263=0,"",INDEX(PIANO_DEI_CONTI,MATCH(DC1263,DENOMINAZIONE,0),1))</f>
        <v/>
      </c>
      <c r="DC1263" s="259" t="str">
        <f ca="1">IF(OR(CY1263=0,CY1263="mastro"),"",CY1263)</f>
        <v/>
      </c>
      <c r="DD1263" s="259" t="str">
        <f ca="1">IF(AND($DA$2=TRUE,OR(INDEX(PIANO_DEI_CONTI,MATCH($DC1263,DENOMINAZIONE,0),4)="A",INDEX(PIANO_DEI_CONTI,MATCH($DC1263,DENOMINAZIONE,0),4)="D/A"),SUMIFS(AVERE,DENOMINAZIONE_GIORNALE,"="&amp;$DC1263)&gt;SUMIFS(DARE,DENOMINAZIONE_GIORNALE,"="&amp;$DC1263)),CONCATENATE("s ",FIXED(ABS(SUMIFS(AVERE,DENOMINAZIONE_GIORNALE,"="&amp;$DC1263)-SUMIFS(DARE,DENOMINAZIONE_GIORNALE,"="&amp;$DC1263)),2)),"")</f>
        <v/>
      </c>
      <c r="DE1263" s="259" t="str">
        <f ca="1">IF(AND($DA$2=TRUE,OR(INDEX(PIANO_DEI_CONTI,MATCH($DC1263,DENOMINAZIONE,0),4)="D",INDEX(PIANO_DEI_CONTI,MATCH($DC1263,DENOMINAZIONE,0),4)="D/A"),SUMIFS(DARE,DENOMINAZIONE_GIORNALE,"="&amp;$DC1263)&gt;SUMIFS(AVERE,DENOMINAZIONE_GIORNALE,"="&amp;$DC1263)),CONCATENATE("s ",FIXED(ABS(SUMIFS(DARE,DENOMINAZIONE_GIORNALE,"="&amp;$DC1263)-SUMIFS(AVERE,DENOMINAZIONE_GIORNALE,"="&amp;$DC1263)),2)),"")</f>
        <v/>
      </c>
      <c r="DF1263" s="259">
        <f ca="1">IF(AND(CX1263=$DE$2,$DF$2&lt;&gt;0),0,IF(AND(DB1263&lt;&gt;"",OR(DB1262&lt;&gt;"",DB1264&lt;&gt;"")),MAX($DF$2:DF1262)+1,0))</f>
        <v>0</v>
      </c>
    </row>
    <row r="1264" spans="102:110">
      <c r="CX1264" s="259">
        <f t="shared" ref="CX1264:CX1279" ca="1" si="1316">$EA$73</f>
        <v>71</v>
      </c>
      <c r="CY1264" s="259" t="str">
        <f t="shared" ca="1" si="1314"/>
        <v>MASTRO</v>
      </c>
      <c r="DA1264" s="259" t="str">
        <f ca="1">IF(DB1263="","","Num. riga")</f>
        <v/>
      </c>
      <c r="DB1264" s="259" t="str">
        <f t="shared" ref="DB1264" ca="1" si="1317">IF(DB1263="","","Data")</f>
        <v/>
      </c>
      <c r="DC1264" s="259" t="str">
        <f ca="1">IF(DB1263="","","Operazioni")</f>
        <v/>
      </c>
      <c r="DD1264" s="259" t="str">
        <f ca="1">IF(DB1263="","","Dare        ")</f>
        <v/>
      </c>
      <c r="DE1264" s="259" t="str">
        <f ca="1">IF(DB1263="","","Avere        ")</f>
        <v/>
      </c>
      <c r="DF1264" s="259">
        <f ca="1">IF(AND(CX1264=$DE$2,$DF$2&lt;&gt;0),0,IF(AND(DB1264&lt;&gt;"",OR(DB1263&lt;&gt;"",DB1265&lt;&gt;"")),MAX($DF$2:DF1263)+1,0))</f>
        <v>0</v>
      </c>
    </row>
    <row r="1265" spans="102:110">
      <c r="CX1265" s="259">
        <f t="shared" ca="1" si="1316"/>
        <v>71</v>
      </c>
      <c r="CY1265" s="259" t="str">
        <f t="shared" ca="1" si="1314"/>
        <v>MASTRO</v>
      </c>
      <c r="CZ1265" s="259" t="e">
        <f t="shared" ref="CZ1265:CZ1279" ca="1" si="1318">SUM(MATCH($CY1265,INDIRECT(ADDRESS(SUM(CZ1264)+3,54)&amp;":"&amp;ADDRESS(400,54)),0),CZ1264)</f>
        <v>#N/A</v>
      </c>
      <c r="DA1265" s="259" t="str">
        <f ca="1">IFERROR(INDEX(LIBRO_GIORNALE,CZ1265,1),"")</f>
        <v/>
      </c>
      <c r="DB1265" s="259" t="str">
        <f t="shared" ref="DB1265:DB1279" ca="1" si="1319">IF(RIGHT(TEXT(IFERROR(INDEX(LIBRO_GIORNALE,CZ1265,2),""),"gg/mm/aa"),1)="a",TEXT(IFERROR(INDEX(LIBRO_GIORNALE,CZ1265,2),""),"dd/mm/yy"),TEXT(IFERROR(INDEX(LIBRO_GIORNALE,CZ1265,2),""),"gg/mm/aa"))</f>
        <v/>
      </c>
      <c r="DC1265" s="259" t="str">
        <f t="shared" ref="DC1265:DC1279" ca="1" si="1320">IF(IFERROR(INDEX(LIBRO_GIORNALE,CZ1265,4),"")=0,"manca la descrizione dell'operazione",IFERROR(INDEX(LIBRO_GIORNALE,CZ1265,4),""))</f>
        <v/>
      </c>
      <c r="DD1265" s="259" t="str">
        <f t="shared" ref="DD1265:DD1279" ca="1" si="1321">IFERROR(IF(INDEX(LIBRO_GIORNALE,CZ1265,5)&gt;0,INDEX(LIBRO_GIORNALE,CZ1265,5),""),"")</f>
        <v/>
      </c>
      <c r="DE1265" s="259" t="str">
        <f t="shared" ref="DE1265:DE1279" ca="1" si="1322">IFERROR(IF(INDEX(LIBRO_GIORNALE,CZ1265,6)&gt;0,INDEX(LIBRO_GIORNALE,CZ1265,6),""),"")</f>
        <v/>
      </c>
      <c r="DF1265" s="259">
        <f ca="1">IF(AND(CX1265=$DE$2,$DF$2&lt;&gt;0),0,IF(AND(DB1265&lt;&gt;"",OR(DB1264&lt;&gt;"",DB1266&lt;&gt;"")),MAX($DF$2:DF1264)+1,0))</f>
        <v>0</v>
      </c>
    </row>
    <row r="1266" spans="102:110">
      <c r="CX1266" s="259">
        <f t="shared" ca="1" si="1316"/>
        <v>71</v>
      </c>
      <c r="CY1266" s="259" t="str">
        <f t="shared" ca="1" si="1314"/>
        <v>MASTRO</v>
      </c>
      <c r="CZ1266" s="259" t="e">
        <f t="shared" ca="1" si="1318"/>
        <v>#N/A</v>
      </c>
      <c r="DA1266" s="259" t="str">
        <f t="shared" ref="DA1266:DA1279" ca="1" si="1323">IFERROR(INDEX(LIBRO_GIORNALE,CZ1266,1),"")</f>
        <v/>
      </c>
      <c r="DB1266" s="259" t="str">
        <f t="shared" ca="1" si="1319"/>
        <v/>
      </c>
      <c r="DC1266" s="259" t="str">
        <f t="shared" ca="1" si="1320"/>
        <v/>
      </c>
      <c r="DD1266" s="259" t="str">
        <f t="shared" ca="1" si="1321"/>
        <v/>
      </c>
      <c r="DE1266" s="259" t="str">
        <f t="shared" ca="1" si="1322"/>
        <v/>
      </c>
      <c r="DF1266" s="259">
        <f ca="1">IF(AND(CX1266=$DE$2,$DF$2&lt;&gt;0),0,IF(AND(DB1266&lt;&gt;"",OR(DB1265&lt;&gt;"",DB1267&lt;&gt;"")),MAX($DF$2:DF1265)+1,0))</f>
        <v>0</v>
      </c>
    </row>
    <row r="1267" spans="102:110">
      <c r="CX1267" s="259">
        <f t="shared" ca="1" si="1316"/>
        <v>71</v>
      </c>
      <c r="CY1267" s="259" t="str">
        <f t="shared" ca="1" si="1314"/>
        <v>MASTRO</v>
      </c>
      <c r="CZ1267" s="259" t="e">
        <f t="shared" ca="1" si="1318"/>
        <v>#N/A</v>
      </c>
      <c r="DA1267" s="259" t="str">
        <f t="shared" ca="1" si="1323"/>
        <v/>
      </c>
      <c r="DB1267" s="259" t="str">
        <f t="shared" ca="1" si="1319"/>
        <v/>
      </c>
      <c r="DC1267" s="259" t="str">
        <f t="shared" ca="1" si="1320"/>
        <v/>
      </c>
      <c r="DD1267" s="259" t="str">
        <f t="shared" ca="1" si="1321"/>
        <v/>
      </c>
      <c r="DE1267" s="259" t="str">
        <f t="shared" ca="1" si="1322"/>
        <v/>
      </c>
      <c r="DF1267" s="259">
        <f ca="1">IF(AND(CX1267=$DE$2,$DF$2&lt;&gt;0),0,IF(AND(DB1267&lt;&gt;"",OR(DB1266&lt;&gt;"",DB1268&lt;&gt;"")),MAX($DF$2:DF1266)+1,0))</f>
        <v>0</v>
      </c>
    </row>
    <row r="1268" spans="102:110">
      <c r="CX1268" s="259">
        <f t="shared" ca="1" si="1316"/>
        <v>71</v>
      </c>
      <c r="CY1268" s="259" t="str">
        <f t="shared" ca="1" si="1314"/>
        <v>MASTRO</v>
      </c>
      <c r="CZ1268" s="259" t="e">
        <f t="shared" ca="1" si="1318"/>
        <v>#N/A</v>
      </c>
      <c r="DA1268" s="259" t="str">
        <f t="shared" ca="1" si="1323"/>
        <v/>
      </c>
      <c r="DB1268" s="259" t="str">
        <f t="shared" ca="1" si="1319"/>
        <v/>
      </c>
      <c r="DC1268" s="259" t="str">
        <f t="shared" ca="1" si="1320"/>
        <v/>
      </c>
      <c r="DD1268" s="259" t="str">
        <f t="shared" ca="1" si="1321"/>
        <v/>
      </c>
      <c r="DE1268" s="259" t="str">
        <f t="shared" ca="1" si="1322"/>
        <v/>
      </c>
      <c r="DF1268" s="259">
        <f ca="1">IF(AND(CX1268=$DE$2,$DF$2&lt;&gt;0),0,IF(AND(DB1268&lt;&gt;"",OR(DB1267&lt;&gt;"",DB1269&lt;&gt;"")),MAX($DF$2:DF1267)+1,0))</f>
        <v>0</v>
      </c>
    </row>
    <row r="1269" spans="102:110">
      <c r="CX1269" s="259">
        <f t="shared" ca="1" si="1316"/>
        <v>71</v>
      </c>
      <c r="CY1269" s="259" t="str">
        <f t="shared" ca="1" si="1314"/>
        <v>MASTRO</v>
      </c>
      <c r="CZ1269" s="259" t="e">
        <f t="shared" ca="1" si="1318"/>
        <v>#N/A</v>
      </c>
      <c r="DA1269" s="259" t="str">
        <f t="shared" ca="1" si="1323"/>
        <v/>
      </c>
      <c r="DB1269" s="259" t="str">
        <f t="shared" ca="1" si="1319"/>
        <v/>
      </c>
      <c r="DC1269" s="259" t="str">
        <f t="shared" ca="1" si="1320"/>
        <v/>
      </c>
      <c r="DD1269" s="259" t="str">
        <f t="shared" ca="1" si="1321"/>
        <v/>
      </c>
      <c r="DE1269" s="259" t="str">
        <f t="shared" ca="1" si="1322"/>
        <v/>
      </c>
      <c r="DF1269" s="259">
        <f ca="1">IF(AND(CX1269=$DE$2,$DF$2&lt;&gt;0),0,IF(AND(DB1269&lt;&gt;"",OR(DB1268&lt;&gt;"",DB1270&lt;&gt;"")),MAX($DF$2:DF1268)+1,0))</f>
        <v>0</v>
      </c>
    </row>
    <row r="1270" spans="102:110">
      <c r="CX1270" s="259">
        <f t="shared" ca="1" si="1316"/>
        <v>71</v>
      </c>
      <c r="CY1270" s="259" t="str">
        <f t="shared" ca="1" si="1314"/>
        <v>MASTRO</v>
      </c>
      <c r="CZ1270" s="259" t="e">
        <f t="shared" ca="1" si="1318"/>
        <v>#N/A</v>
      </c>
      <c r="DA1270" s="259" t="str">
        <f t="shared" ca="1" si="1323"/>
        <v/>
      </c>
      <c r="DB1270" s="259" t="str">
        <f t="shared" ca="1" si="1319"/>
        <v/>
      </c>
      <c r="DC1270" s="259" t="str">
        <f t="shared" ca="1" si="1320"/>
        <v/>
      </c>
      <c r="DD1270" s="259" t="str">
        <f t="shared" ca="1" si="1321"/>
        <v/>
      </c>
      <c r="DE1270" s="259" t="str">
        <f t="shared" ca="1" si="1322"/>
        <v/>
      </c>
      <c r="DF1270" s="259">
        <f ca="1">IF(AND(CX1270=$DE$2,$DF$2&lt;&gt;0),0,IF(AND(DB1270&lt;&gt;"",OR(DB1269&lt;&gt;"",DB1271&lt;&gt;"")),MAX($DF$2:DF1269)+1,0))</f>
        <v>0</v>
      </c>
    </row>
    <row r="1271" spans="102:110">
      <c r="CX1271" s="259">
        <f t="shared" ca="1" si="1316"/>
        <v>71</v>
      </c>
      <c r="CY1271" s="259" t="str">
        <f t="shared" ca="1" si="1314"/>
        <v>MASTRO</v>
      </c>
      <c r="CZ1271" s="259" t="e">
        <f t="shared" ca="1" si="1318"/>
        <v>#N/A</v>
      </c>
      <c r="DA1271" s="259" t="str">
        <f t="shared" ca="1" si="1323"/>
        <v/>
      </c>
      <c r="DB1271" s="259" t="str">
        <f t="shared" ca="1" si="1319"/>
        <v/>
      </c>
      <c r="DC1271" s="259" t="str">
        <f t="shared" ca="1" si="1320"/>
        <v/>
      </c>
      <c r="DD1271" s="259" t="str">
        <f t="shared" ca="1" si="1321"/>
        <v/>
      </c>
      <c r="DE1271" s="259" t="str">
        <f t="shared" ca="1" si="1322"/>
        <v/>
      </c>
      <c r="DF1271" s="259">
        <f ca="1">IF(AND(CX1271=$DE$2,$DF$2&lt;&gt;0),0,IF(AND(DB1271&lt;&gt;"",OR(DB1270&lt;&gt;"",DB1272&lt;&gt;"")),MAX($DF$2:DF1270)+1,0))</f>
        <v>0</v>
      </c>
    </row>
    <row r="1272" spans="102:110">
      <c r="CX1272" s="259">
        <f t="shared" ca="1" si="1316"/>
        <v>71</v>
      </c>
      <c r="CY1272" s="259" t="str">
        <f t="shared" ca="1" si="1314"/>
        <v>MASTRO</v>
      </c>
      <c r="CZ1272" s="259" t="e">
        <f t="shared" ca="1" si="1318"/>
        <v>#N/A</v>
      </c>
      <c r="DA1272" s="259" t="str">
        <f t="shared" ca="1" si="1323"/>
        <v/>
      </c>
      <c r="DB1272" s="259" t="str">
        <f t="shared" ca="1" si="1319"/>
        <v/>
      </c>
      <c r="DC1272" s="259" t="str">
        <f t="shared" ca="1" si="1320"/>
        <v/>
      </c>
      <c r="DD1272" s="259" t="str">
        <f t="shared" ca="1" si="1321"/>
        <v/>
      </c>
      <c r="DE1272" s="259" t="str">
        <f t="shared" ca="1" si="1322"/>
        <v/>
      </c>
      <c r="DF1272" s="259">
        <f ca="1">IF(AND(CX1272=$DE$2,$DF$2&lt;&gt;0),0,IF(AND(DB1272&lt;&gt;"",OR(DB1271&lt;&gt;"",DB1273&lt;&gt;"")),MAX($DF$2:DF1271)+1,0))</f>
        <v>0</v>
      </c>
    </row>
    <row r="1273" spans="102:110">
      <c r="CX1273" s="259">
        <f t="shared" ca="1" si="1316"/>
        <v>71</v>
      </c>
      <c r="CY1273" s="259" t="str">
        <f t="shared" ca="1" si="1314"/>
        <v>MASTRO</v>
      </c>
      <c r="CZ1273" s="259" t="e">
        <f t="shared" ca="1" si="1318"/>
        <v>#N/A</v>
      </c>
      <c r="DA1273" s="259" t="str">
        <f t="shared" ca="1" si="1323"/>
        <v/>
      </c>
      <c r="DB1273" s="259" t="str">
        <f t="shared" ca="1" si="1319"/>
        <v/>
      </c>
      <c r="DC1273" s="259" t="str">
        <f t="shared" ca="1" si="1320"/>
        <v/>
      </c>
      <c r="DD1273" s="259" t="str">
        <f t="shared" ca="1" si="1321"/>
        <v/>
      </c>
      <c r="DE1273" s="259" t="str">
        <f t="shared" ca="1" si="1322"/>
        <v/>
      </c>
      <c r="DF1273" s="259">
        <f ca="1">IF(AND(CX1273=$DE$2,$DF$2&lt;&gt;0),0,IF(AND(DB1273&lt;&gt;"",OR(DB1272&lt;&gt;"",DB1274&lt;&gt;"")),MAX($DF$2:DF1272)+1,0))</f>
        <v>0</v>
      </c>
    </row>
    <row r="1274" spans="102:110">
      <c r="CX1274" s="259">
        <f t="shared" ca="1" si="1316"/>
        <v>71</v>
      </c>
      <c r="CY1274" s="259" t="str">
        <f t="shared" ca="1" si="1314"/>
        <v>MASTRO</v>
      </c>
      <c r="CZ1274" s="259" t="e">
        <f t="shared" ca="1" si="1318"/>
        <v>#N/A</v>
      </c>
      <c r="DA1274" s="259" t="str">
        <f t="shared" ca="1" si="1323"/>
        <v/>
      </c>
      <c r="DB1274" s="259" t="str">
        <f t="shared" ca="1" si="1319"/>
        <v/>
      </c>
      <c r="DC1274" s="259" t="str">
        <f t="shared" ca="1" si="1320"/>
        <v/>
      </c>
      <c r="DD1274" s="259" t="str">
        <f t="shared" ca="1" si="1321"/>
        <v/>
      </c>
      <c r="DE1274" s="259" t="str">
        <f t="shared" ca="1" si="1322"/>
        <v/>
      </c>
      <c r="DF1274" s="259">
        <f ca="1">IF(AND(CX1274=$DE$2,$DF$2&lt;&gt;0),0,IF(AND(DB1274&lt;&gt;"",OR(DB1273&lt;&gt;"",DB1275&lt;&gt;"")),MAX($DF$2:DF1273)+1,0))</f>
        <v>0</v>
      </c>
    </row>
    <row r="1275" spans="102:110">
      <c r="CX1275" s="259">
        <f t="shared" ca="1" si="1316"/>
        <v>71</v>
      </c>
      <c r="CY1275" s="259" t="str">
        <f t="shared" ca="1" si="1314"/>
        <v>MASTRO</v>
      </c>
      <c r="CZ1275" s="259" t="e">
        <f t="shared" ca="1" si="1318"/>
        <v>#N/A</v>
      </c>
      <c r="DA1275" s="259" t="str">
        <f t="shared" ca="1" si="1323"/>
        <v/>
      </c>
      <c r="DB1275" s="259" t="str">
        <f t="shared" ca="1" si="1319"/>
        <v/>
      </c>
      <c r="DC1275" s="259" t="str">
        <f t="shared" ca="1" si="1320"/>
        <v/>
      </c>
      <c r="DD1275" s="259" t="str">
        <f t="shared" ca="1" si="1321"/>
        <v/>
      </c>
      <c r="DE1275" s="259" t="str">
        <f t="shared" ca="1" si="1322"/>
        <v/>
      </c>
      <c r="DF1275" s="259">
        <f ca="1">IF(AND(CX1275=$DE$2,$DF$2&lt;&gt;0),0,IF(AND(DB1275&lt;&gt;"",OR(DB1274&lt;&gt;"",DB1276&lt;&gt;"")),MAX($DF$2:DF1274)+1,0))</f>
        <v>0</v>
      </c>
    </row>
    <row r="1276" spans="102:110">
      <c r="CX1276" s="259">
        <f t="shared" ca="1" si="1316"/>
        <v>71</v>
      </c>
      <c r="CY1276" s="259" t="str">
        <f t="shared" ca="1" si="1314"/>
        <v>MASTRO</v>
      </c>
      <c r="CZ1276" s="259" t="e">
        <f t="shared" ca="1" si="1318"/>
        <v>#N/A</v>
      </c>
      <c r="DA1276" s="259" t="str">
        <f t="shared" ca="1" si="1323"/>
        <v/>
      </c>
      <c r="DB1276" s="259" t="str">
        <f t="shared" ca="1" si="1319"/>
        <v/>
      </c>
      <c r="DC1276" s="259" t="str">
        <f t="shared" ca="1" si="1320"/>
        <v/>
      </c>
      <c r="DD1276" s="259" t="str">
        <f t="shared" ca="1" si="1321"/>
        <v/>
      </c>
      <c r="DE1276" s="259" t="str">
        <f t="shared" ca="1" si="1322"/>
        <v/>
      </c>
      <c r="DF1276" s="259">
        <f ca="1">IF(AND(CX1276=$DE$2,$DF$2&lt;&gt;0),0,IF(AND(DB1276&lt;&gt;"",OR(DB1275&lt;&gt;"",DB1277&lt;&gt;"")),MAX($DF$2:DF1275)+1,0))</f>
        <v>0</v>
      </c>
    </row>
    <row r="1277" spans="102:110">
      <c r="CX1277" s="259">
        <f t="shared" ca="1" si="1316"/>
        <v>71</v>
      </c>
      <c r="CY1277" s="259" t="str">
        <f t="shared" ca="1" si="1314"/>
        <v>MASTRO</v>
      </c>
      <c r="CZ1277" s="259" t="e">
        <f t="shared" ca="1" si="1318"/>
        <v>#N/A</v>
      </c>
      <c r="DA1277" s="259" t="str">
        <f t="shared" ca="1" si="1323"/>
        <v/>
      </c>
      <c r="DB1277" s="259" t="str">
        <f t="shared" ca="1" si="1319"/>
        <v/>
      </c>
      <c r="DC1277" s="259" t="str">
        <f t="shared" ca="1" si="1320"/>
        <v/>
      </c>
      <c r="DD1277" s="259" t="str">
        <f t="shared" ca="1" si="1321"/>
        <v/>
      </c>
      <c r="DE1277" s="259" t="str">
        <f t="shared" ca="1" si="1322"/>
        <v/>
      </c>
      <c r="DF1277" s="259">
        <f ca="1">IF(AND(CX1277=$DE$2,$DF$2&lt;&gt;0),0,IF(AND(DB1277&lt;&gt;"",OR(DB1276&lt;&gt;"",DB1278&lt;&gt;"")),MAX($DF$2:DF1276)+1,0))</f>
        <v>0</v>
      </c>
    </row>
    <row r="1278" spans="102:110">
      <c r="CX1278" s="259">
        <f t="shared" ca="1" si="1316"/>
        <v>71</v>
      </c>
      <c r="CY1278" s="259" t="str">
        <f t="shared" ca="1" si="1314"/>
        <v>MASTRO</v>
      </c>
      <c r="CZ1278" s="259" t="e">
        <f t="shared" ca="1" si="1318"/>
        <v>#N/A</v>
      </c>
      <c r="DA1278" s="259" t="str">
        <f t="shared" ca="1" si="1323"/>
        <v/>
      </c>
      <c r="DB1278" s="259" t="str">
        <f t="shared" ca="1" si="1319"/>
        <v/>
      </c>
      <c r="DC1278" s="259" t="str">
        <f t="shared" ca="1" si="1320"/>
        <v/>
      </c>
      <c r="DD1278" s="259" t="str">
        <f t="shared" ca="1" si="1321"/>
        <v/>
      </c>
      <c r="DE1278" s="259" t="str">
        <f t="shared" ca="1" si="1322"/>
        <v/>
      </c>
      <c r="DF1278" s="259">
        <f ca="1">IF(AND(CX1278=$DE$2,$DF$2&lt;&gt;0),0,IF(AND(DB1278&lt;&gt;"",OR(DB1277&lt;&gt;"",DB1279&lt;&gt;"")),MAX($DF$2:DF1277)+1,0))</f>
        <v>0</v>
      </c>
    </row>
    <row r="1279" spans="102:110">
      <c r="CX1279" s="259">
        <f t="shared" ca="1" si="1316"/>
        <v>71</v>
      </c>
      <c r="CY1279" s="259" t="str">
        <f t="shared" ca="1" si="1314"/>
        <v>MASTRO</v>
      </c>
      <c r="CZ1279" s="259" t="e">
        <f t="shared" ca="1" si="1318"/>
        <v>#N/A</v>
      </c>
      <c r="DA1279" s="259" t="str">
        <f t="shared" ca="1" si="1323"/>
        <v/>
      </c>
      <c r="DB1279" s="259" t="str">
        <f t="shared" ca="1" si="1319"/>
        <v/>
      </c>
      <c r="DC1279" s="259" t="str">
        <f t="shared" ca="1" si="1320"/>
        <v/>
      </c>
      <c r="DD1279" s="259" t="str">
        <f t="shared" ca="1" si="1321"/>
        <v/>
      </c>
      <c r="DE1279" s="259" t="str">
        <f t="shared" ca="1" si="1322"/>
        <v/>
      </c>
      <c r="DF1279" s="259">
        <f ca="1">IF(AND(CX1279=$DE$2,$DF$2&lt;&gt;0),0,IF(AND(DB1279&lt;&gt;"",OR(DB1278&lt;&gt;"",DB1280&lt;&gt;"")),MAX($DF$2:DF1278)+1,0))</f>
        <v>0</v>
      </c>
    </row>
    <row r="1280" spans="102:110">
      <c r="CX1280" s="259" t="str">
        <f>IFERROR(IF(CX1262+1=1,"",(CX1262+1)),"")</f>
        <v/>
      </c>
      <c r="CY1280" s="259" t="str">
        <f t="shared" ca="1" si="1314"/>
        <v>MASTRO</v>
      </c>
      <c r="DB1280" s="259" t="str">
        <f t="shared" ref="DB1280" ca="1" si="1324">CY1280</f>
        <v>MASTRO</v>
      </c>
      <c r="DF1280" s="259">
        <f ca="1">IF(AND(CX1280=$DE$2,$DF$2&lt;&gt;0),0,IF(AND(DB1280&lt;&gt;"",OR(DB1279&lt;&gt;"",DB1281&lt;&gt;"")),MAX($DF$2:DF1279)+1,0))</f>
        <v>0</v>
      </c>
    </row>
    <row r="1281" spans="102:110">
      <c r="CX1281" s="259">
        <f ca="1">$EA$74</f>
        <v>72</v>
      </c>
      <c r="CY1281" s="259" t="str">
        <f t="shared" ca="1" si="1314"/>
        <v>MASTRO</v>
      </c>
      <c r="DA1281" s="259" t="str">
        <f ca="1">IF(CY1280="MASTRO","Conto n.","")</f>
        <v>Conto n.</v>
      </c>
      <c r="DB1281" s="259" t="str">
        <f ca="1">IF(CY1281=0,"",INDEX(PIANO_DEI_CONTI,MATCH(DC1281,DENOMINAZIONE,0),1))</f>
        <v/>
      </c>
      <c r="DC1281" s="259" t="str">
        <f ca="1">IF(OR(CY1281=0,CY1281="mastro"),"",CY1281)</f>
        <v/>
      </c>
      <c r="DD1281" s="259" t="str">
        <f ca="1">IF(AND($DA$2=TRUE,OR(INDEX(PIANO_DEI_CONTI,MATCH($DC1281,DENOMINAZIONE,0),4)="A",INDEX(PIANO_DEI_CONTI,MATCH($DC1281,DENOMINAZIONE,0),4)="D/A"),SUMIFS(AVERE,DENOMINAZIONE_GIORNALE,"="&amp;$DC1281)&gt;SUMIFS(DARE,DENOMINAZIONE_GIORNALE,"="&amp;$DC1281)),CONCATENATE("s ",FIXED(ABS(SUMIFS(AVERE,DENOMINAZIONE_GIORNALE,"="&amp;$DC1281)-SUMIFS(DARE,DENOMINAZIONE_GIORNALE,"="&amp;$DC1281)),2)),"")</f>
        <v/>
      </c>
      <c r="DE1281" s="259" t="str">
        <f ca="1">IF(AND($DA$2=TRUE,OR(INDEX(PIANO_DEI_CONTI,MATCH($DC1281,DENOMINAZIONE,0),4)="D",INDEX(PIANO_DEI_CONTI,MATCH($DC1281,DENOMINAZIONE,0),4)="D/A"),SUMIFS(DARE,DENOMINAZIONE_GIORNALE,"="&amp;$DC1281)&gt;SUMIFS(AVERE,DENOMINAZIONE_GIORNALE,"="&amp;$DC1281)),CONCATENATE("s ",FIXED(ABS(SUMIFS(DARE,DENOMINAZIONE_GIORNALE,"="&amp;$DC1281)-SUMIFS(AVERE,DENOMINAZIONE_GIORNALE,"="&amp;$DC1281)),2)),"")</f>
        <v/>
      </c>
      <c r="DF1281" s="259">
        <f ca="1">IF(AND(CX1281=$DE$2,$DF$2&lt;&gt;0),0,IF(AND(DB1281&lt;&gt;"",OR(DB1280&lt;&gt;"",DB1282&lt;&gt;"")),MAX($DF$2:DF1280)+1,0))</f>
        <v>0</v>
      </c>
    </row>
    <row r="1282" spans="102:110">
      <c r="CX1282" s="259">
        <f t="shared" ref="CX1282:CX1297" ca="1" si="1325">$EA$74</f>
        <v>72</v>
      </c>
      <c r="CY1282" s="259" t="str">
        <f t="shared" ca="1" si="1314"/>
        <v>MASTRO</v>
      </c>
      <c r="DA1282" s="259" t="str">
        <f ca="1">IF(DB1281="","","Num. riga")</f>
        <v/>
      </c>
      <c r="DB1282" s="259" t="str">
        <f t="shared" ref="DB1282" ca="1" si="1326">IF(DB1281="","","Data")</f>
        <v/>
      </c>
      <c r="DC1282" s="259" t="str">
        <f ca="1">IF(DB1281="","","Operazioni")</f>
        <v/>
      </c>
      <c r="DD1282" s="259" t="str">
        <f ca="1">IF(DB1281="","","Dare        ")</f>
        <v/>
      </c>
      <c r="DE1282" s="259" t="str">
        <f ca="1">IF(DB1281="","","Avere        ")</f>
        <v/>
      </c>
      <c r="DF1282" s="259">
        <f ca="1">IF(AND(CX1282=$DE$2,$DF$2&lt;&gt;0),0,IF(AND(DB1282&lt;&gt;"",OR(DB1281&lt;&gt;"",DB1283&lt;&gt;"")),MAX($DF$2:DF1281)+1,0))</f>
        <v>0</v>
      </c>
    </row>
    <row r="1283" spans="102:110">
      <c r="CX1283" s="259">
        <f t="shared" ca="1" si="1325"/>
        <v>72</v>
      </c>
      <c r="CY1283" s="259" t="str">
        <f t="shared" ca="1" si="1314"/>
        <v>MASTRO</v>
      </c>
      <c r="CZ1283" s="259" t="e">
        <f t="shared" ref="CZ1283:CZ1297" ca="1" si="1327">SUM(MATCH($CY1283,INDIRECT(ADDRESS(SUM(CZ1282)+3,54)&amp;":"&amp;ADDRESS(400,54)),0),CZ1282)</f>
        <v>#N/A</v>
      </c>
      <c r="DA1283" s="259" t="str">
        <f ca="1">IFERROR(INDEX(LIBRO_GIORNALE,CZ1283,1),"")</f>
        <v/>
      </c>
      <c r="DB1283" s="259" t="str">
        <f t="shared" ref="DB1283:DB1297" ca="1" si="1328">IF(RIGHT(TEXT(IFERROR(INDEX(LIBRO_GIORNALE,CZ1283,2),""),"gg/mm/aa"),1)="a",TEXT(IFERROR(INDEX(LIBRO_GIORNALE,CZ1283,2),""),"dd/mm/yy"),TEXT(IFERROR(INDEX(LIBRO_GIORNALE,CZ1283,2),""),"gg/mm/aa"))</f>
        <v/>
      </c>
      <c r="DC1283" s="259" t="str">
        <f t="shared" ref="DC1283:DC1297" ca="1" si="1329">IF(IFERROR(INDEX(LIBRO_GIORNALE,CZ1283,4),"")=0,"manca la descrizione dell'operazione",IFERROR(INDEX(LIBRO_GIORNALE,CZ1283,4),""))</f>
        <v/>
      </c>
      <c r="DD1283" s="259" t="str">
        <f t="shared" ref="DD1283:DD1297" ca="1" si="1330">IFERROR(IF(INDEX(LIBRO_GIORNALE,CZ1283,5)&gt;0,INDEX(LIBRO_GIORNALE,CZ1283,5),""),"")</f>
        <v/>
      </c>
      <c r="DE1283" s="259" t="str">
        <f t="shared" ref="DE1283:DE1297" ca="1" si="1331">IFERROR(IF(INDEX(LIBRO_GIORNALE,CZ1283,6)&gt;0,INDEX(LIBRO_GIORNALE,CZ1283,6),""),"")</f>
        <v/>
      </c>
      <c r="DF1283" s="259">
        <f ca="1">IF(AND(CX1283=$DE$2,$DF$2&lt;&gt;0),0,IF(AND(DB1283&lt;&gt;"",OR(DB1282&lt;&gt;"",DB1284&lt;&gt;"")),MAX($DF$2:DF1282)+1,0))</f>
        <v>0</v>
      </c>
    </row>
    <row r="1284" spans="102:110">
      <c r="CX1284" s="259">
        <f t="shared" ca="1" si="1325"/>
        <v>72</v>
      </c>
      <c r="CY1284" s="259" t="str">
        <f t="shared" ca="1" si="1314"/>
        <v>MASTRO</v>
      </c>
      <c r="CZ1284" s="259" t="e">
        <f t="shared" ca="1" si="1327"/>
        <v>#N/A</v>
      </c>
      <c r="DA1284" s="259" t="str">
        <f t="shared" ref="DA1284:DA1297" ca="1" si="1332">IFERROR(INDEX(LIBRO_GIORNALE,CZ1284,1),"")</f>
        <v/>
      </c>
      <c r="DB1284" s="259" t="str">
        <f t="shared" ca="1" si="1328"/>
        <v/>
      </c>
      <c r="DC1284" s="259" t="str">
        <f t="shared" ca="1" si="1329"/>
        <v/>
      </c>
      <c r="DD1284" s="259" t="str">
        <f t="shared" ca="1" si="1330"/>
        <v/>
      </c>
      <c r="DE1284" s="259" t="str">
        <f t="shared" ca="1" si="1331"/>
        <v/>
      </c>
      <c r="DF1284" s="259">
        <f ca="1">IF(AND(CX1284=$DE$2,$DF$2&lt;&gt;0),0,IF(AND(DB1284&lt;&gt;"",OR(DB1283&lt;&gt;"",DB1285&lt;&gt;"")),MAX($DF$2:DF1283)+1,0))</f>
        <v>0</v>
      </c>
    </row>
    <row r="1285" spans="102:110">
      <c r="CX1285" s="259">
        <f t="shared" ca="1" si="1325"/>
        <v>72</v>
      </c>
      <c r="CY1285" s="259" t="str">
        <f t="shared" ca="1" si="1314"/>
        <v>MASTRO</v>
      </c>
      <c r="CZ1285" s="259" t="e">
        <f t="shared" ca="1" si="1327"/>
        <v>#N/A</v>
      </c>
      <c r="DA1285" s="259" t="str">
        <f t="shared" ca="1" si="1332"/>
        <v/>
      </c>
      <c r="DB1285" s="259" t="str">
        <f t="shared" ca="1" si="1328"/>
        <v/>
      </c>
      <c r="DC1285" s="259" t="str">
        <f t="shared" ca="1" si="1329"/>
        <v/>
      </c>
      <c r="DD1285" s="259" t="str">
        <f t="shared" ca="1" si="1330"/>
        <v/>
      </c>
      <c r="DE1285" s="259" t="str">
        <f t="shared" ca="1" si="1331"/>
        <v/>
      </c>
      <c r="DF1285" s="259">
        <f ca="1">IF(AND(CX1285=$DE$2,$DF$2&lt;&gt;0),0,IF(AND(DB1285&lt;&gt;"",OR(DB1284&lt;&gt;"",DB1286&lt;&gt;"")),MAX($DF$2:DF1284)+1,0))</f>
        <v>0</v>
      </c>
    </row>
    <row r="1286" spans="102:110">
      <c r="CX1286" s="259">
        <f t="shared" ca="1" si="1325"/>
        <v>72</v>
      </c>
      <c r="CY1286" s="259" t="str">
        <f t="shared" ca="1" si="1314"/>
        <v>MASTRO</v>
      </c>
      <c r="CZ1286" s="259" t="e">
        <f t="shared" ca="1" si="1327"/>
        <v>#N/A</v>
      </c>
      <c r="DA1286" s="259" t="str">
        <f t="shared" ca="1" si="1332"/>
        <v/>
      </c>
      <c r="DB1286" s="259" t="str">
        <f t="shared" ca="1" si="1328"/>
        <v/>
      </c>
      <c r="DC1286" s="259" t="str">
        <f t="shared" ca="1" si="1329"/>
        <v/>
      </c>
      <c r="DD1286" s="259" t="str">
        <f t="shared" ca="1" si="1330"/>
        <v/>
      </c>
      <c r="DE1286" s="259" t="str">
        <f t="shared" ca="1" si="1331"/>
        <v/>
      </c>
      <c r="DF1286" s="259">
        <f ca="1">IF(AND(CX1286=$DE$2,$DF$2&lt;&gt;0),0,IF(AND(DB1286&lt;&gt;"",OR(DB1285&lt;&gt;"",DB1287&lt;&gt;"")),MAX($DF$2:DF1285)+1,0))</f>
        <v>0</v>
      </c>
    </row>
    <row r="1287" spans="102:110">
      <c r="CX1287" s="259">
        <f t="shared" ca="1" si="1325"/>
        <v>72</v>
      </c>
      <c r="CY1287" s="259" t="str">
        <f t="shared" ca="1" si="1314"/>
        <v>MASTRO</v>
      </c>
      <c r="CZ1287" s="259" t="e">
        <f t="shared" ca="1" si="1327"/>
        <v>#N/A</v>
      </c>
      <c r="DA1287" s="259" t="str">
        <f t="shared" ca="1" si="1332"/>
        <v/>
      </c>
      <c r="DB1287" s="259" t="str">
        <f t="shared" ca="1" si="1328"/>
        <v/>
      </c>
      <c r="DC1287" s="259" t="str">
        <f t="shared" ca="1" si="1329"/>
        <v/>
      </c>
      <c r="DD1287" s="259" t="str">
        <f t="shared" ca="1" si="1330"/>
        <v/>
      </c>
      <c r="DE1287" s="259" t="str">
        <f t="shared" ca="1" si="1331"/>
        <v/>
      </c>
      <c r="DF1287" s="259">
        <f ca="1">IF(AND(CX1287=$DE$2,$DF$2&lt;&gt;0),0,IF(AND(DB1287&lt;&gt;"",OR(DB1286&lt;&gt;"",DB1288&lt;&gt;"")),MAX($DF$2:DF1286)+1,0))</f>
        <v>0</v>
      </c>
    </row>
    <row r="1288" spans="102:110">
      <c r="CX1288" s="259">
        <f t="shared" ca="1" si="1325"/>
        <v>72</v>
      </c>
      <c r="CY1288" s="259" t="str">
        <f t="shared" ca="1" si="1314"/>
        <v>MASTRO</v>
      </c>
      <c r="CZ1288" s="259" t="e">
        <f t="shared" ca="1" si="1327"/>
        <v>#N/A</v>
      </c>
      <c r="DA1288" s="259" t="str">
        <f t="shared" ca="1" si="1332"/>
        <v/>
      </c>
      <c r="DB1288" s="259" t="str">
        <f t="shared" ca="1" si="1328"/>
        <v/>
      </c>
      <c r="DC1288" s="259" t="str">
        <f t="shared" ca="1" si="1329"/>
        <v/>
      </c>
      <c r="DD1288" s="259" t="str">
        <f t="shared" ca="1" si="1330"/>
        <v/>
      </c>
      <c r="DE1288" s="259" t="str">
        <f t="shared" ca="1" si="1331"/>
        <v/>
      </c>
      <c r="DF1288" s="259">
        <f ca="1">IF(AND(CX1288=$DE$2,$DF$2&lt;&gt;0),0,IF(AND(DB1288&lt;&gt;"",OR(DB1287&lt;&gt;"",DB1289&lt;&gt;"")),MAX($DF$2:DF1287)+1,0))</f>
        <v>0</v>
      </c>
    </row>
    <row r="1289" spans="102:110">
      <c r="CX1289" s="259">
        <f t="shared" ca="1" si="1325"/>
        <v>72</v>
      </c>
      <c r="CY1289" s="259" t="str">
        <f t="shared" ca="1" si="1314"/>
        <v>MASTRO</v>
      </c>
      <c r="CZ1289" s="259" t="e">
        <f t="shared" ca="1" si="1327"/>
        <v>#N/A</v>
      </c>
      <c r="DA1289" s="259" t="str">
        <f t="shared" ca="1" si="1332"/>
        <v/>
      </c>
      <c r="DB1289" s="259" t="str">
        <f t="shared" ca="1" si="1328"/>
        <v/>
      </c>
      <c r="DC1289" s="259" t="str">
        <f t="shared" ca="1" si="1329"/>
        <v/>
      </c>
      <c r="DD1289" s="259" t="str">
        <f t="shared" ca="1" si="1330"/>
        <v/>
      </c>
      <c r="DE1289" s="259" t="str">
        <f t="shared" ca="1" si="1331"/>
        <v/>
      </c>
      <c r="DF1289" s="259">
        <f ca="1">IF(AND(CX1289=$DE$2,$DF$2&lt;&gt;0),0,IF(AND(DB1289&lt;&gt;"",OR(DB1288&lt;&gt;"",DB1290&lt;&gt;"")),MAX($DF$2:DF1288)+1,0))</f>
        <v>0</v>
      </c>
    </row>
    <row r="1290" spans="102:110">
      <c r="CX1290" s="259">
        <f t="shared" ca="1" si="1325"/>
        <v>72</v>
      </c>
      <c r="CY1290" s="259" t="str">
        <f t="shared" ca="1" si="1314"/>
        <v>MASTRO</v>
      </c>
      <c r="CZ1290" s="259" t="e">
        <f t="shared" ca="1" si="1327"/>
        <v>#N/A</v>
      </c>
      <c r="DA1290" s="259" t="str">
        <f t="shared" ca="1" si="1332"/>
        <v/>
      </c>
      <c r="DB1290" s="259" t="str">
        <f t="shared" ca="1" si="1328"/>
        <v/>
      </c>
      <c r="DC1290" s="259" t="str">
        <f t="shared" ca="1" si="1329"/>
        <v/>
      </c>
      <c r="DD1290" s="259" t="str">
        <f t="shared" ca="1" si="1330"/>
        <v/>
      </c>
      <c r="DE1290" s="259" t="str">
        <f t="shared" ca="1" si="1331"/>
        <v/>
      </c>
      <c r="DF1290" s="259">
        <f ca="1">IF(AND(CX1290=$DE$2,$DF$2&lt;&gt;0),0,IF(AND(DB1290&lt;&gt;"",OR(DB1289&lt;&gt;"",DB1291&lt;&gt;"")),MAX($DF$2:DF1289)+1,0))</f>
        <v>0</v>
      </c>
    </row>
    <row r="1291" spans="102:110">
      <c r="CX1291" s="259">
        <f t="shared" ca="1" si="1325"/>
        <v>72</v>
      </c>
      <c r="CY1291" s="259" t="str">
        <f t="shared" ref="CY1291:CY1323" ca="1" si="1333">IF(ISERROR(INDEX($CV$3:$CX$2300,MATCH(CX1291,$CW$3:$CW$2300,0),1)),"MASTRO",INDEX($CV$3:$CX$2300,MATCH(CX1291,$CW$3:$CW$2300,0),1))</f>
        <v>MASTRO</v>
      </c>
      <c r="CZ1291" s="259" t="e">
        <f t="shared" ca="1" si="1327"/>
        <v>#N/A</v>
      </c>
      <c r="DA1291" s="259" t="str">
        <f t="shared" ca="1" si="1332"/>
        <v/>
      </c>
      <c r="DB1291" s="259" t="str">
        <f t="shared" ca="1" si="1328"/>
        <v/>
      </c>
      <c r="DC1291" s="259" t="str">
        <f t="shared" ca="1" si="1329"/>
        <v/>
      </c>
      <c r="DD1291" s="259" t="str">
        <f t="shared" ca="1" si="1330"/>
        <v/>
      </c>
      <c r="DE1291" s="259" t="str">
        <f t="shared" ca="1" si="1331"/>
        <v/>
      </c>
      <c r="DF1291" s="259">
        <f ca="1">IF(AND(CX1291=$DE$2,$DF$2&lt;&gt;0),0,IF(AND(DB1291&lt;&gt;"",OR(DB1290&lt;&gt;"",DB1292&lt;&gt;"")),MAX($DF$2:DF1290)+1,0))</f>
        <v>0</v>
      </c>
    </row>
    <row r="1292" spans="102:110">
      <c r="CX1292" s="259">
        <f t="shared" ca="1" si="1325"/>
        <v>72</v>
      </c>
      <c r="CY1292" s="259" t="str">
        <f t="shared" ca="1" si="1333"/>
        <v>MASTRO</v>
      </c>
      <c r="CZ1292" s="259" t="e">
        <f t="shared" ca="1" si="1327"/>
        <v>#N/A</v>
      </c>
      <c r="DA1292" s="259" t="str">
        <f t="shared" ca="1" si="1332"/>
        <v/>
      </c>
      <c r="DB1292" s="259" t="str">
        <f t="shared" ca="1" si="1328"/>
        <v/>
      </c>
      <c r="DC1292" s="259" t="str">
        <f t="shared" ca="1" si="1329"/>
        <v/>
      </c>
      <c r="DD1292" s="259" t="str">
        <f t="shared" ca="1" si="1330"/>
        <v/>
      </c>
      <c r="DE1292" s="259" t="str">
        <f t="shared" ca="1" si="1331"/>
        <v/>
      </c>
      <c r="DF1292" s="259">
        <f ca="1">IF(AND(CX1292=$DE$2,$DF$2&lt;&gt;0),0,IF(AND(DB1292&lt;&gt;"",OR(DB1291&lt;&gt;"",DB1293&lt;&gt;"")),MAX($DF$2:DF1291)+1,0))</f>
        <v>0</v>
      </c>
    </row>
    <row r="1293" spans="102:110">
      <c r="CX1293" s="259">
        <f t="shared" ca="1" si="1325"/>
        <v>72</v>
      </c>
      <c r="CY1293" s="259" t="str">
        <f t="shared" ca="1" si="1333"/>
        <v>MASTRO</v>
      </c>
      <c r="CZ1293" s="259" t="e">
        <f t="shared" ca="1" si="1327"/>
        <v>#N/A</v>
      </c>
      <c r="DA1293" s="259" t="str">
        <f t="shared" ca="1" si="1332"/>
        <v/>
      </c>
      <c r="DB1293" s="259" t="str">
        <f t="shared" ca="1" si="1328"/>
        <v/>
      </c>
      <c r="DC1293" s="259" t="str">
        <f t="shared" ca="1" si="1329"/>
        <v/>
      </c>
      <c r="DD1293" s="259" t="str">
        <f t="shared" ca="1" si="1330"/>
        <v/>
      </c>
      <c r="DE1293" s="259" t="str">
        <f t="shared" ca="1" si="1331"/>
        <v/>
      </c>
      <c r="DF1293" s="259">
        <f ca="1">IF(AND(CX1293=$DE$2,$DF$2&lt;&gt;0),0,IF(AND(DB1293&lt;&gt;"",OR(DB1292&lt;&gt;"",DB1294&lt;&gt;"")),MAX($DF$2:DF1292)+1,0))</f>
        <v>0</v>
      </c>
    </row>
    <row r="1294" spans="102:110">
      <c r="CX1294" s="259">
        <f t="shared" ca="1" si="1325"/>
        <v>72</v>
      </c>
      <c r="CY1294" s="259" t="str">
        <f t="shared" ca="1" si="1333"/>
        <v>MASTRO</v>
      </c>
      <c r="CZ1294" s="259" t="e">
        <f t="shared" ca="1" si="1327"/>
        <v>#N/A</v>
      </c>
      <c r="DA1294" s="259" t="str">
        <f t="shared" ca="1" si="1332"/>
        <v/>
      </c>
      <c r="DB1294" s="259" t="str">
        <f t="shared" ca="1" si="1328"/>
        <v/>
      </c>
      <c r="DC1294" s="259" t="str">
        <f t="shared" ca="1" si="1329"/>
        <v/>
      </c>
      <c r="DD1294" s="259" t="str">
        <f t="shared" ca="1" si="1330"/>
        <v/>
      </c>
      <c r="DE1294" s="259" t="str">
        <f t="shared" ca="1" si="1331"/>
        <v/>
      </c>
      <c r="DF1294" s="259">
        <f ca="1">IF(AND(CX1294=$DE$2,$DF$2&lt;&gt;0),0,IF(AND(DB1294&lt;&gt;"",OR(DB1293&lt;&gt;"",DB1295&lt;&gt;"")),MAX($DF$2:DF1293)+1,0))</f>
        <v>0</v>
      </c>
    </row>
    <row r="1295" spans="102:110">
      <c r="CX1295" s="259">
        <f t="shared" ca="1" si="1325"/>
        <v>72</v>
      </c>
      <c r="CY1295" s="259" t="str">
        <f t="shared" ca="1" si="1333"/>
        <v>MASTRO</v>
      </c>
      <c r="CZ1295" s="259" t="e">
        <f t="shared" ca="1" si="1327"/>
        <v>#N/A</v>
      </c>
      <c r="DA1295" s="259" t="str">
        <f t="shared" ca="1" si="1332"/>
        <v/>
      </c>
      <c r="DB1295" s="259" t="str">
        <f t="shared" ca="1" si="1328"/>
        <v/>
      </c>
      <c r="DC1295" s="259" t="str">
        <f t="shared" ca="1" si="1329"/>
        <v/>
      </c>
      <c r="DD1295" s="259" t="str">
        <f t="shared" ca="1" si="1330"/>
        <v/>
      </c>
      <c r="DE1295" s="259" t="str">
        <f t="shared" ca="1" si="1331"/>
        <v/>
      </c>
      <c r="DF1295" s="259">
        <f ca="1">IF(AND(CX1295=$DE$2,$DF$2&lt;&gt;0),0,IF(AND(DB1295&lt;&gt;"",OR(DB1294&lt;&gt;"",DB1296&lt;&gt;"")),MAX($DF$2:DF1294)+1,0))</f>
        <v>0</v>
      </c>
    </row>
    <row r="1296" spans="102:110">
      <c r="CX1296" s="259">
        <f t="shared" ca="1" si="1325"/>
        <v>72</v>
      </c>
      <c r="CY1296" s="259" t="str">
        <f t="shared" ca="1" si="1333"/>
        <v>MASTRO</v>
      </c>
      <c r="CZ1296" s="259" t="e">
        <f t="shared" ca="1" si="1327"/>
        <v>#N/A</v>
      </c>
      <c r="DA1296" s="259" t="str">
        <f t="shared" ca="1" si="1332"/>
        <v/>
      </c>
      <c r="DB1296" s="259" t="str">
        <f t="shared" ca="1" si="1328"/>
        <v/>
      </c>
      <c r="DC1296" s="259" t="str">
        <f t="shared" ca="1" si="1329"/>
        <v/>
      </c>
      <c r="DD1296" s="259" t="str">
        <f t="shared" ca="1" si="1330"/>
        <v/>
      </c>
      <c r="DE1296" s="259" t="str">
        <f t="shared" ca="1" si="1331"/>
        <v/>
      </c>
      <c r="DF1296" s="259">
        <f ca="1">IF(AND(CX1296=$DE$2,$DF$2&lt;&gt;0),0,IF(AND(DB1296&lt;&gt;"",OR(DB1295&lt;&gt;"",DB1297&lt;&gt;"")),MAX($DF$2:DF1295)+1,0))</f>
        <v>0</v>
      </c>
    </row>
    <row r="1297" spans="102:110">
      <c r="CX1297" s="259">
        <f t="shared" ca="1" si="1325"/>
        <v>72</v>
      </c>
      <c r="CY1297" s="259" t="str">
        <f t="shared" ca="1" si="1333"/>
        <v>MASTRO</v>
      </c>
      <c r="CZ1297" s="259" t="e">
        <f t="shared" ca="1" si="1327"/>
        <v>#N/A</v>
      </c>
      <c r="DA1297" s="259" t="str">
        <f t="shared" ca="1" si="1332"/>
        <v/>
      </c>
      <c r="DB1297" s="259" t="str">
        <f t="shared" ca="1" si="1328"/>
        <v/>
      </c>
      <c r="DC1297" s="259" t="str">
        <f t="shared" ca="1" si="1329"/>
        <v/>
      </c>
      <c r="DD1297" s="259" t="str">
        <f t="shared" ca="1" si="1330"/>
        <v/>
      </c>
      <c r="DE1297" s="259" t="str">
        <f t="shared" ca="1" si="1331"/>
        <v/>
      </c>
      <c r="DF1297" s="259">
        <f ca="1">IF(AND(CX1297=$DE$2,$DF$2&lt;&gt;0),0,IF(AND(DB1297&lt;&gt;"",OR(DB1296&lt;&gt;"",DB1298&lt;&gt;"")),MAX($DF$2:DF1296)+1,0))</f>
        <v>0</v>
      </c>
    </row>
    <row r="1298" spans="102:110">
      <c r="CX1298" s="259" t="str">
        <f>IFERROR(IF(CX1280+1=1,"",(CX1280+1)),"")</f>
        <v/>
      </c>
      <c r="CY1298" s="259" t="str">
        <f t="shared" ca="1" si="1333"/>
        <v>MASTRO</v>
      </c>
      <c r="DB1298" s="259" t="str">
        <f t="shared" ref="DB1298" ca="1" si="1334">CY1298</f>
        <v>MASTRO</v>
      </c>
      <c r="DF1298" s="259">
        <f ca="1">IF(AND(CX1298=$DE$2,$DF$2&lt;&gt;0),0,IF(AND(DB1298&lt;&gt;"",OR(DB1297&lt;&gt;"",DB1299&lt;&gt;"")),MAX($DF$2:DF1297)+1,0))</f>
        <v>0</v>
      </c>
    </row>
    <row r="1299" spans="102:110">
      <c r="CX1299" s="259">
        <f ca="1">$EA$75</f>
        <v>73</v>
      </c>
      <c r="CY1299" s="259" t="str">
        <f t="shared" ca="1" si="1333"/>
        <v>MASTRO</v>
      </c>
      <c r="DA1299" s="259" t="str">
        <f ca="1">IF(CY1298="MASTRO","Conto n.","")</f>
        <v>Conto n.</v>
      </c>
      <c r="DB1299" s="259" t="str">
        <f ca="1">IF(CY1299=0,"",INDEX(PIANO_DEI_CONTI,MATCH(DC1299,DENOMINAZIONE,0),1))</f>
        <v/>
      </c>
      <c r="DC1299" s="259" t="str">
        <f ca="1">IF(OR(CY1299=0,CY1299="mastro"),"",CY1299)</f>
        <v/>
      </c>
      <c r="DD1299" s="259" t="str">
        <f ca="1">IF(AND($DA$2=TRUE,OR(INDEX(PIANO_DEI_CONTI,MATCH($DC1299,DENOMINAZIONE,0),4)="A",INDEX(PIANO_DEI_CONTI,MATCH($DC1299,DENOMINAZIONE,0),4)="D/A"),SUMIFS(AVERE,DENOMINAZIONE_GIORNALE,"="&amp;$DC1299)&gt;SUMIFS(DARE,DENOMINAZIONE_GIORNALE,"="&amp;$DC1299)),CONCATENATE("s ",FIXED(ABS(SUMIFS(AVERE,DENOMINAZIONE_GIORNALE,"="&amp;$DC1299)-SUMIFS(DARE,DENOMINAZIONE_GIORNALE,"="&amp;$DC1299)),2)),"")</f>
        <v/>
      </c>
      <c r="DE1299" s="259" t="str">
        <f ca="1">IF(AND($DA$2=TRUE,OR(INDEX(PIANO_DEI_CONTI,MATCH($DC1299,DENOMINAZIONE,0),4)="D",INDEX(PIANO_DEI_CONTI,MATCH($DC1299,DENOMINAZIONE,0),4)="D/A"),SUMIFS(DARE,DENOMINAZIONE_GIORNALE,"="&amp;$DC1299)&gt;SUMIFS(AVERE,DENOMINAZIONE_GIORNALE,"="&amp;$DC1299)),CONCATENATE("s ",FIXED(ABS(SUMIFS(DARE,DENOMINAZIONE_GIORNALE,"="&amp;$DC1299)-SUMIFS(AVERE,DENOMINAZIONE_GIORNALE,"="&amp;$DC1299)),2)),"")</f>
        <v/>
      </c>
      <c r="DF1299" s="259">
        <f ca="1">IF(AND(CX1299=$DE$2,$DF$2&lt;&gt;0),0,IF(AND(DB1299&lt;&gt;"",OR(DB1298&lt;&gt;"",DB1300&lt;&gt;"")),MAX($DF$2:DF1298)+1,0))</f>
        <v>0</v>
      </c>
    </row>
    <row r="1300" spans="102:110">
      <c r="CX1300" s="259">
        <f t="shared" ref="CX1300:CX1315" ca="1" si="1335">$EA$75</f>
        <v>73</v>
      </c>
      <c r="CY1300" s="259" t="str">
        <f t="shared" ca="1" si="1333"/>
        <v>MASTRO</v>
      </c>
      <c r="DA1300" s="259" t="str">
        <f ca="1">IF(DB1299="","","Num. riga")</f>
        <v/>
      </c>
      <c r="DB1300" s="259" t="str">
        <f t="shared" ref="DB1300" ca="1" si="1336">IF(DB1299="","","Data")</f>
        <v/>
      </c>
      <c r="DC1300" s="259" t="str">
        <f ca="1">IF(DB1299="","","Operazioni")</f>
        <v/>
      </c>
      <c r="DD1300" s="259" t="str">
        <f ca="1">IF(DB1299="","","Dare        ")</f>
        <v/>
      </c>
      <c r="DE1300" s="259" t="str">
        <f ca="1">IF(DB1299="","","Avere        ")</f>
        <v/>
      </c>
      <c r="DF1300" s="259">
        <f ca="1">IF(AND(CX1300=$DE$2,$DF$2&lt;&gt;0),0,IF(AND(DB1300&lt;&gt;"",OR(DB1299&lt;&gt;"",DB1301&lt;&gt;"")),MAX($DF$2:DF1299)+1,0))</f>
        <v>0</v>
      </c>
    </row>
    <row r="1301" spans="102:110">
      <c r="CX1301" s="259">
        <f t="shared" ca="1" si="1335"/>
        <v>73</v>
      </c>
      <c r="CY1301" s="259" t="str">
        <f t="shared" ca="1" si="1333"/>
        <v>MASTRO</v>
      </c>
      <c r="CZ1301" s="259" t="e">
        <f t="shared" ref="CZ1301:CZ1315" ca="1" si="1337">SUM(MATCH($CY1301,INDIRECT(ADDRESS(SUM(CZ1300)+3,54)&amp;":"&amp;ADDRESS(400,54)),0),CZ1300)</f>
        <v>#N/A</v>
      </c>
      <c r="DA1301" s="259" t="str">
        <f ca="1">IFERROR(INDEX(LIBRO_GIORNALE,CZ1301,1),"")</f>
        <v/>
      </c>
      <c r="DB1301" s="259" t="str">
        <f t="shared" ref="DB1301:DB1315" ca="1" si="1338">IF(RIGHT(TEXT(IFERROR(INDEX(LIBRO_GIORNALE,CZ1301,2),""),"gg/mm/aa"),1)="a",TEXT(IFERROR(INDEX(LIBRO_GIORNALE,CZ1301,2),""),"dd/mm/yy"),TEXT(IFERROR(INDEX(LIBRO_GIORNALE,CZ1301,2),""),"gg/mm/aa"))</f>
        <v/>
      </c>
      <c r="DC1301" s="259" t="str">
        <f t="shared" ref="DC1301:DC1315" ca="1" si="1339">IF(IFERROR(INDEX(LIBRO_GIORNALE,CZ1301,4),"")=0,"manca la descrizione dell'operazione",IFERROR(INDEX(LIBRO_GIORNALE,CZ1301,4),""))</f>
        <v/>
      </c>
      <c r="DD1301" s="259" t="str">
        <f t="shared" ref="DD1301:DD1315" ca="1" si="1340">IFERROR(IF(INDEX(LIBRO_GIORNALE,CZ1301,5)&gt;0,INDEX(LIBRO_GIORNALE,CZ1301,5),""),"")</f>
        <v/>
      </c>
      <c r="DE1301" s="259" t="str">
        <f t="shared" ref="DE1301:DE1315" ca="1" si="1341">IFERROR(IF(INDEX(LIBRO_GIORNALE,CZ1301,6)&gt;0,INDEX(LIBRO_GIORNALE,CZ1301,6),""),"")</f>
        <v/>
      </c>
      <c r="DF1301" s="259">
        <f ca="1">IF(AND(CX1301=$DE$2,$DF$2&lt;&gt;0),0,IF(AND(DB1301&lt;&gt;"",OR(DB1300&lt;&gt;"",DB1302&lt;&gt;"")),MAX($DF$2:DF1300)+1,0))</f>
        <v>0</v>
      </c>
    </row>
    <row r="1302" spans="102:110">
      <c r="CX1302" s="259">
        <f t="shared" ca="1" si="1335"/>
        <v>73</v>
      </c>
      <c r="CY1302" s="259" t="str">
        <f t="shared" ca="1" si="1333"/>
        <v>MASTRO</v>
      </c>
      <c r="CZ1302" s="259" t="e">
        <f t="shared" ca="1" si="1337"/>
        <v>#N/A</v>
      </c>
      <c r="DA1302" s="259" t="str">
        <f t="shared" ref="DA1302:DA1315" ca="1" si="1342">IFERROR(INDEX(LIBRO_GIORNALE,CZ1302,1),"")</f>
        <v/>
      </c>
      <c r="DB1302" s="259" t="str">
        <f t="shared" ca="1" si="1338"/>
        <v/>
      </c>
      <c r="DC1302" s="259" t="str">
        <f t="shared" ca="1" si="1339"/>
        <v/>
      </c>
      <c r="DD1302" s="259" t="str">
        <f t="shared" ca="1" si="1340"/>
        <v/>
      </c>
      <c r="DE1302" s="259" t="str">
        <f t="shared" ca="1" si="1341"/>
        <v/>
      </c>
      <c r="DF1302" s="259">
        <f ca="1">IF(AND(CX1302=$DE$2,$DF$2&lt;&gt;0),0,IF(AND(DB1302&lt;&gt;"",OR(DB1301&lt;&gt;"",DB1303&lt;&gt;"")),MAX($DF$2:DF1301)+1,0))</f>
        <v>0</v>
      </c>
    </row>
    <row r="1303" spans="102:110">
      <c r="CX1303" s="259">
        <f t="shared" ca="1" si="1335"/>
        <v>73</v>
      </c>
      <c r="CY1303" s="259" t="str">
        <f t="shared" ca="1" si="1333"/>
        <v>MASTRO</v>
      </c>
      <c r="CZ1303" s="259" t="e">
        <f t="shared" ca="1" si="1337"/>
        <v>#N/A</v>
      </c>
      <c r="DA1303" s="259" t="str">
        <f t="shared" ca="1" si="1342"/>
        <v/>
      </c>
      <c r="DB1303" s="259" t="str">
        <f t="shared" ca="1" si="1338"/>
        <v/>
      </c>
      <c r="DC1303" s="259" t="str">
        <f t="shared" ca="1" si="1339"/>
        <v/>
      </c>
      <c r="DD1303" s="259" t="str">
        <f t="shared" ca="1" si="1340"/>
        <v/>
      </c>
      <c r="DE1303" s="259" t="str">
        <f t="shared" ca="1" si="1341"/>
        <v/>
      </c>
      <c r="DF1303" s="259">
        <f ca="1">IF(AND(CX1303=$DE$2,$DF$2&lt;&gt;0),0,IF(AND(DB1303&lt;&gt;"",OR(DB1302&lt;&gt;"",DB1304&lt;&gt;"")),MAX($DF$2:DF1302)+1,0))</f>
        <v>0</v>
      </c>
    </row>
    <row r="1304" spans="102:110">
      <c r="CX1304" s="259">
        <f t="shared" ca="1" si="1335"/>
        <v>73</v>
      </c>
      <c r="CY1304" s="259" t="str">
        <f t="shared" ca="1" si="1333"/>
        <v>MASTRO</v>
      </c>
      <c r="CZ1304" s="259" t="e">
        <f t="shared" ca="1" si="1337"/>
        <v>#N/A</v>
      </c>
      <c r="DA1304" s="259" t="str">
        <f t="shared" ca="1" si="1342"/>
        <v/>
      </c>
      <c r="DB1304" s="259" t="str">
        <f t="shared" ca="1" si="1338"/>
        <v/>
      </c>
      <c r="DC1304" s="259" t="str">
        <f t="shared" ca="1" si="1339"/>
        <v/>
      </c>
      <c r="DD1304" s="259" t="str">
        <f t="shared" ca="1" si="1340"/>
        <v/>
      </c>
      <c r="DE1304" s="259" t="str">
        <f t="shared" ca="1" si="1341"/>
        <v/>
      </c>
      <c r="DF1304" s="259">
        <f ca="1">IF(AND(CX1304=$DE$2,$DF$2&lt;&gt;0),0,IF(AND(DB1304&lt;&gt;"",OR(DB1303&lt;&gt;"",DB1305&lt;&gt;"")),MAX($DF$2:DF1303)+1,0))</f>
        <v>0</v>
      </c>
    </row>
    <row r="1305" spans="102:110">
      <c r="CX1305" s="259">
        <f t="shared" ca="1" si="1335"/>
        <v>73</v>
      </c>
      <c r="CY1305" s="259" t="str">
        <f t="shared" ca="1" si="1333"/>
        <v>MASTRO</v>
      </c>
      <c r="CZ1305" s="259" t="e">
        <f t="shared" ca="1" si="1337"/>
        <v>#N/A</v>
      </c>
      <c r="DA1305" s="259" t="str">
        <f t="shared" ca="1" si="1342"/>
        <v/>
      </c>
      <c r="DB1305" s="259" t="str">
        <f t="shared" ca="1" si="1338"/>
        <v/>
      </c>
      <c r="DC1305" s="259" t="str">
        <f t="shared" ca="1" si="1339"/>
        <v/>
      </c>
      <c r="DD1305" s="259" t="str">
        <f t="shared" ca="1" si="1340"/>
        <v/>
      </c>
      <c r="DE1305" s="259" t="str">
        <f t="shared" ca="1" si="1341"/>
        <v/>
      </c>
      <c r="DF1305" s="259">
        <f ca="1">IF(AND(CX1305=$DE$2,$DF$2&lt;&gt;0),0,IF(AND(DB1305&lt;&gt;"",OR(DB1304&lt;&gt;"",DB1306&lt;&gt;"")),MAX($DF$2:DF1304)+1,0))</f>
        <v>0</v>
      </c>
    </row>
    <row r="1306" spans="102:110">
      <c r="CX1306" s="259">
        <f t="shared" ca="1" si="1335"/>
        <v>73</v>
      </c>
      <c r="CY1306" s="259" t="str">
        <f t="shared" ca="1" si="1333"/>
        <v>MASTRO</v>
      </c>
      <c r="CZ1306" s="259" t="e">
        <f t="shared" ca="1" si="1337"/>
        <v>#N/A</v>
      </c>
      <c r="DA1306" s="259" t="str">
        <f t="shared" ca="1" si="1342"/>
        <v/>
      </c>
      <c r="DB1306" s="259" t="str">
        <f t="shared" ca="1" si="1338"/>
        <v/>
      </c>
      <c r="DC1306" s="259" t="str">
        <f t="shared" ca="1" si="1339"/>
        <v/>
      </c>
      <c r="DD1306" s="259" t="str">
        <f t="shared" ca="1" si="1340"/>
        <v/>
      </c>
      <c r="DE1306" s="259" t="str">
        <f t="shared" ca="1" si="1341"/>
        <v/>
      </c>
      <c r="DF1306" s="259">
        <f ca="1">IF(AND(CX1306=$DE$2,$DF$2&lt;&gt;0),0,IF(AND(DB1306&lt;&gt;"",OR(DB1305&lt;&gt;"",DB1307&lt;&gt;"")),MAX($DF$2:DF1305)+1,0))</f>
        <v>0</v>
      </c>
    </row>
    <row r="1307" spans="102:110">
      <c r="CX1307" s="259">
        <f t="shared" ca="1" si="1335"/>
        <v>73</v>
      </c>
      <c r="CY1307" s="259" t="str">
        <f t="shared" ca="1" si="1333"/>
        <v>MASTRO</v>
      </c>
      <c r="CZ1307" s="259" t="e">
        <f t="shared" ca="1" si="1337"/>
        <v>#N/A</v>
      </c>
      <c r="DA1307" s="259" t="str">
        <f t="shared" ca="1" si="1342"/>
        <v/>
      </c>
      <c r="DB1307" s="259" t="str">
        <f t="shared" ca="1" si="1338"/>
        <v/>
      </c>
      <c r="DC1307" s="259" t="str">
        <f t="shared" ca="1" si="1339"/>
        <v/>
      </c>
      <c r="DD1307" s="259" t="str">
        <f t="shared" ca="1" si="1340"/>
        <v/>
      </c>
      <c r="DE1307" s="259" t="str">
        <f t="shared" ca="1" si="1341"/>
        <v/>
      </c>
      <c r="DF1307" s="259">
        <f ca="1">IF(AND(CX1307=$DE$2,$DF$2&lt;&gt;0),0,IF(AND(DB1307&lt;&gt;"",OR(DB1306&lt;&gt;"",DB1308&lt;&gt;"")),MAX($DF$2:DF1306)+1,0))</f>
        <v>0</v>
      </c>
    </row>
    <row r="1308" spans="102:110">
      <c r="CX1308" s="259">
        <f t="shared" ca="1" si="1335"/>
        <v>73</v>
      </c>
      <c r="CY1308" s="259" t="str">
        <f t="shared" ca="1" si="1333"/>
        <v>MASTRO</v>
      </c>
      <c r="CZ1308" s="259" t="e">
        <f t="shared" ca="1" si="1337"/>
        <v>#N/A</v>
      </c>
      <c r="DA1308" s="259" t="str">
        <f t="shared" ca="1" si="1342"/>
        <v/>
      </c>
      <c r="DB1308" s="259" t="str">
        <f t="shared" ca="1" si="1338"/>
        <v/>
      </c>
      <c r="DC1308" s="259" t="str">
        <f t="shared" ca="1" si="1339"/>
        <v/>
      </c>
      <c r="DD1308" s="259" t="str">
        <f t="shared" ca="1" si="1340"/>
        <v/>
      </c>
      <c r="DE1308" s="259" t="str">
        <f t="shared" ca="1" si="1341"/>
        <v/>
      </c>
      <c r="DF1308" s="259">
        <f ca="1">IF(AND(CX1308=$DE$2,$DF$2&lt;&gt;0),0,IF(AND(DB1308&lt;&gt;"",OR(DB1307&lt;&gt;"",DB1309&lt;&gt;"")),MAX($DF$2:DF1307)+1,0))</f>
        <v>0</v>
      </c>
    </row>
    <row r="1309" spans="102:110">
      <c r="CX1309" s="259">
        <f t="shared" ca="1" si="1335"/>
        <v>73</v>
      </c>
      <c r="CY1309" s="259" t="str">
        <f t="shared" ca="1" si="1333"/>
        <v>MASTRO</v>
      </c>
      <c r="CZ1309" s="259" t="e">
        <f t="shared" ca="1" si="1337"/>
        <v>#N/A</v>
      </c>
      <c r="DA1309" s="259" t="str">
        <f t="shared" ca="1" si="1342"/>
        <v/>
      </c>
      <c r="DB1309" s="259" t="str">
        <f t="shared" ca="1" si="1338"/>
        <v/>
      </c>
      <c r="DC1309" s="259" t="str">
        <f t="shared" ca="1" si="1339"/>
        <v/>
      </c>
      <c r="DD1309" s="259" t="str">
        <f t="shared" ca="1" si="1340"/>
        <v/>
      </c>
      <c r="DE1309" s="259" t="str">
        <f t="shared" ca="1" si="1341"/>
        <v/>
      </c>
      <c r="DF1309" s="259">
        <f ca="1">IF(AND(CX1309=$DE$2,$DF$2&lt;&gt;0),0,IF(AND(DB1309&lt;&gt;"",OR(DB1308&lt;&gt;"",DB1310&lt;&gt;"")),MAX($DF$2:DF1308)+1,0))</f>
        <v>0</v>
      </c>
    </row>
    <row r="1310" spans="102:110">
      <c r="CX1310" s="259">
        <f t="shared" ca="1" si="1335"/>
        <v>73</v>
      </c>
      <c r="CY1310" s="259" t="str">
        <f t="shared" ca="1" si="1333"/>
        <v>MASTRO</v>
      </c>
      <c r="CZ1310" s="259" t="e">
        <f t="shared" ca="1" si="1337"/>
        <v>#N/A</v>
      </c>
      <c r="DA1310" s="259" t="str">
        <f t="shared" ca="1" si="1342"/>
        <v/>
      </c>
      <c r="DB1310" s="259" t="str">
        <f t="shared" ca="1" si="1338"/>
        <v/>
      </c>
      <c r="DC1310" s="259" t="str">
        <f t="shared" ca="1" si="1339"/>
        <v/>
      </c>
      <c r="DD1310" s="259" t="str">
        <f t="shared" ca="1" si="1340"/>
        <v/>
      </c>
      <c r="DE1310" s="259" t="str">
        <f t="shared" ca="1" si="1341"/>
        <v/>
      </c>
      <c r="DF1310" s="259">
        <f ca="1">IF(AND(CX1310=$DE$2,$DF$2&lt;&gt;0),0,IF(AND(DB1310&lt;&gt;"",OR(DB1309&lt;&gt;"",DB1311&lt;&gt;"")),MAX($DF$2:DF1309)+1,0))</f>
        <v>0</v>
      </c>
    </row>
    <row r="1311" spans="102:110">
      <c r="CX1311" s="259">
        <f t="shared" ca="1" si="1335"/>
        <v>73</v>
      </c>
      <c r="CY1311" s="259" t="str">
        <f t="shared" ca="1" si="1333"/>
        <v>MASTRO</v>
      </c>
      <c r="CZ1311" s="259" t="e">
        <f t="shared" ca="1" si="1337"/>
        <v>#N/A</v>
      </c>
      <c r="DA1311" s="259" t="str">
        <f t="shared" ca="1" si="1342"/>
        <v/>
      </c>
      <c r="DB1311" s="259" t="str">
        <f t="shared" ca="1" si="1338"/>
        <v/>
      </c>
      <c r="DC1311" s="259" t="str">
        <f t="shared" ca="1" si="1339"/>
        <v/>
      </c>
      <c r="DD1311" s="259" t="str">
        <f t="shared" ca="1" si="1340"/>
        <v/>
      </c>
      <c r="DE1311" s="259" t="str">
        <f t="shared" ca="1" si="1341"/>
        <v/>
      </c>
      <c r="DF1311" s="259">
        <f ca="1">IF(AND(CX1311=$DE$2,$DF$2&lt;&gt;0),0,IF(AND(DB1311&lt;&gt;"",OR(DB1310&lt;&gt;"",DB1312&lt;&gt;"")),MAX($DF$2:DF1310)+1,0))</f>
        <v>0</v>
      </c>
    </row>
    <row r="1312" spans="102:110">
      <c r="CX1312" s="259">
        <f t="shared" ca="1" si="1335"/>
        <v>73</v>
      </c>
      <c r="CY1312" s="259" t="str">
        <f t="shared" ca="1" si="1333"/>
        <v>MASTRO</v>
      </c>
      <c r="CZ1312" s="259" t="e">
        <f t="shared" ca="1" si="1337"/>
        <v>#N/A</v>
      </c>
      <c r="DA1312" s="259" t="str">
        <f t="shared" ca="1" si="1342"/>
        <v/>
      </c>
      <c r="DB1312" s="259" t="str">
        <f t="shared" ca="1" si="1338"/>
        <v/>
      </c>
      <c r="DC1312" s="259" t="str">
        <f t="shared" ca="1" si="1339"/>
        <v/>
      </c>
      <c r="DD1312" s="259" t="str">
        <f t="shared" ca="1" si="1340"/>
        <v/>
      </c>
      <c r="DE1312" s="259" t="str">
        <f t="shared" ca="1" si="1341"/>
        <v/>
      </c>
      <c r="DF1312" s="259">
        <f ca="1">IF(AND(CX1312=$DE$2,$DF$2&lt;&gt;0),0,IF(AND(DB1312&lt;&gt;"",OR(DB1311&lt;&gt;"",DB1313&lt;&gt;"")),MAX($DF$2:DF1311)+1,0))</f>
        <v>0</v>
      </c>
    </row>
    <row r="1313" spans="102:110">
      <c r="CX1313" s="259">
        <f t="shared" ca="1" si="1335"/>
        <v>73</v>
      </c>
      <c r="CY1313" s="259" t="str">
        <f t="shared" ca="1" si="1333"/>
        <v>MASTRO</v>
      </c>
      <c r="CZ1313" s="259" t="e">
        <f t="shared" ca="1" si="1337"/>
        <v>#N/A</v>
      </c>
      <c r="DA1313" s="259" t="str">
        <f t="shared" ca="1" si="1342"/>
        <v/>
      </c>
      <c r="DB1313" s="259" t="str">
        <f t="shared" ca="1" si="1338"/>
        <v/>
      </c>
      <c r="DC1313" s="259" t="str">
        <f t="shared" ca="1" si="1339"/>
        <v/>
      </c>
      <c r="DD1313" s="259" t="str">
        <f t="shared" ca="1" si="1340"/>
        <v/>
      </c>
      <c r="DE1313" s="259" t="str">
        <f t="shared" ca="1" si="1341"/>
        <v/>
      </c>
      <c r="DF1313" s="259">
        <f ca="1">IF(AND(CX1313=$DE$2,$DF$2&lt;&gt;0),0,IF(AND(DB1313&lt;&gt;"",OR(DB1312&lt;&gt;"",DB1314&lt;&gt;"")),MAX($DF$2:DF1312)+1,0))</f>
        <v>0</v>
      </c>
    </row>
    <row r="1314" spans="102:110">
      <c r="CX1314" s="259">
        <f t="shared" ca="1" si="1335"/>
        <v>73</v>
      </c>
      <c r="CY1314" s="259" t="str">
        <f t="shared" ca="1" si="1333"/>
        <v>MASTRO</v>
      </c>
      <c r="CZ1314" s="259" t="e">
        <f t="shared" ca="1" si="1337"/>
        <v>#N/A</v>
      </c>
      <c r="DA1314" s="259" t="str">
        <f t="shared" ca="1" si="1342"/>
        <v/>
      </c>
      <c r="DB1314" s="259" t="str">
        <f t="shared" ca="1" si="1338"/>
        <v/>
      </c>
      <c r="DC1314" s="259" t="str">
        <f t="shared" ca="1" si="1339"/>
        <v/>
      </c>
      <c r="DD1314" s="259" t="str">
        <f t="shared" ca="1" si="1340"/>
        <v/>
      </c>
      <c r="DE1314" s="259" t="str">
        <f t="shared" ca="1" si="1341"/>
        <v/>
      </c>
      <c r="DF1314" s="259">
        <f ca="1">IF(AND(CX1314=$DE$2,$DF$2&lt;&gt;0),0,IF(AND(DB1314&lt;&gt;"",OR(DB1313&lt;&gt;"",DB1315&lt;&gt;"")),MAX($DF$2:DF1313)+1,0))</f>
        <v>0</v>
      </c>
    </row>
    <row r="1315" spans="102:110">
      <c r="CX1315" s="259">
        <f t="shared" ca="1" si="1335"/>
        <v>73</v>
      </c>
      <c r="CY1315" s="259" t="str">
        <f t="shared" ca="1" si="1333"/>
        <v>MASTRO</v>
      </c>
      <c r="CZ1315" s="259" t="e">
        <f t="shared" ca="1" si="1337"/>
        <v>#N/A</v>
      </c>
      <c r="DA1315" s="259" t="str">
        <f t="shared" ca="1" si="1342"/>
        <v/>
      </c>
      <c r="DB1315" s="259" t="str">
        <f t="shared" ca="1" si="1338"/>
        <v/>
      </c>
      <c r="DC1315" s="259" t="str">
        <f t="shared" ca="1" si="1339"/>
        <v/>
      </c>
      <c r="DD1315" s="259" t="str">
        <f t="shared" ca="1" si="1340"/>
        <v/>
      </c>
      <c r="DE1315" s="259" t="str">
        <f t="shared" ca="1" si="1341"/>
        <v/>
      </c>
      <c r="DF1315" s="259">
        <f ca="1">IF(AND(CX1315=$DE$2,$DF$2&lt;&gt;0),0,IF(AND(DB1315&lt;&gt;"",OR(DB1314&lt;&gt;"",DB1316&lt;&gt;"")),MAX($DF$2:DF1314)+1,0))</f>
        <v>0</v>
      </c>
    </row>
    <row r="1316" spans="102:110">
      <c r="CX1316" s="259" t="str">
        <f>IFERROR(IF(CX1298+1=1,"",(CX1298+1)),"")</f>
        <v/>
      </c>
      <c r="CY1316" s="259" t="str">
        <f t="shared" ca="1" si="1333"/>
        <v>MASTRO</v>
      </c>
      <c r="DB1316" s="259" t="str">
        <f t="shared" ref="DB1316" ca="1" si="1343">CY1316</f>
        <v>MASTRO</v>
      </c>
      <c r="DF1316" s="259">
        <f ca="1">IF(AND(CX1316=$DE$2,$DF$2&lt;&gt;0),0,IF(AND(DB1316&lt;&gt;"",OR(DB1315&lt;&gt;"",DB1317&lt;&gt;"")),MAX($DF$2:DF1315)+1,0))</f>
        <v>0</v>
      </c>
    </row>
    <row r="1317" spans="102:110">
      <c r="CX1317" s="259">
        <f ca="1">$EA$76</f>
        <v>74</v>
      </c>
      <c r="CY1317" s="259" t="str">
        <f t="shared" ca="1" si="1333"/>
        <v>MASTRO</v>
      </c>
      <c r="DA1317" s="259" t="str">
        <f ca="1">IF(CY1316="MASTRO","Conto n.","")</f>
        <v>Conto n.</v>
      </c>
      <c r="DB1317" s="259" t="str">
        <f ca="1">IF(CY1317=0,"",INDEX(PIANO_DEI_CONTI,MATCH(DC1317,DENOMINAZIONE,0),1))</f>
        <v/>
      </c>
      <c r="DC1317" s="259" t="str">
        <f ca="1">IF(OR(CY1317=0,CY1317="mastro"),"",CY1317)</f>
        <v/>
      </c>
      <c r="DD1317" s="259" t="str">
        <f ca="1">IF(AND($DA$2=TRUE,OR(INDEX(PIANO_DEI_CONTI,MATCH($DC1317,DENOMINAZIONE,0),4)="A",INDEX(PIANO_DEI_CONTI,MATCH($DC1317,DENOMINAZIONE,0),4)="D/A"),SUMIFS(AVERE,DENOMINAZIONE_GIORNALE,"="&amp;$DC1317)&gt;SUMIFS(DARE,DENOMINAZIONE_GIORNALE,"="&amp;$DC1317)),CONCATENATE("s ",FIXED(ABS(SUMIFS(AVERE,DENOMINAZIONE_GIORNALE,"="&amp;$DC1317)-SUMIFS(DARE,DENOMINAZIONE_GIORNALE,"="&amp;$DC1317)),2)),"")</f>
        <v/>
      </c>
      <c r="DE1317" s="259" t="str">
        <f ca="1">IF(AND($DA$2=TRUE,OR(INDEX(PIANO_DEI_CONTI,MATCH($DC1317,DENOMINAZIONE,0),4)="D",INDEX(PIANO_DEI_CONTI,MATCH($DC1317,DENOMINAZIONE,0),4)="D/A"),SUMIFS(DARE,DENOMINAZIONE_GIORNALE,"="&amp;$DC1317)&gt;SUMIFS(AVERE,DENOMINAZIONE_GIORNALE,"="&amp;$DC1317)),CONCATENATE("s ",FIXED(ABS(SUMIFS(DARE,DENOMINAZIONE_GIORNALE,"="&amp;$DC1317)-SUMIFS(AVERE,DENOMINAZIONE_GIORNALE,"="&amp;$DC1317)),2)),"")</f>
        <v/>
      </c>
      <c r="DF1317" s="259">
        <f ca="1">IF(AND(CX1317=$DE$2,$DF$2&lt;&gt;0),0,IF(AND(DB1317&lt;&gt;"",OR(DB1316&lt;&gt;"",DB1318&lt;&gt;"")),MAX($DF$2:DF1316)+1,0))</f>
        <v>0</v>
      </c>
    </row>
    <row r="1318" spans="102:110">
      <c r="CX1318" s="259">
        <f t="shared" ref="CX1318:CX1333" ca="1" si="1344">$EA$76</f>
        <v>74</v>
      </c>
      <c r="CY1318" s="259" t="str">
        <f t="shared" ca="1" si="1333"/>
        <v>MASTRO</v>
      </c>
      <c r="DA1318" s="259" t="str">
        <f ca="1">IF(DB1317="","","Num. riga")</f>
        <v/>
      </c>
      <c r="DB1318" s="259" t="str">
        <f t="shared" ref="DB1318" ca="1" si="1345">IF(DB1317="","","Data")</f>
        <v/>
      </c>
      <c r="DC1318" s="259" t="str">
        <f ca="1">IF(DB1317="","","Operazioni")</f>
        <v/>
      </c>
      <c r="DD1318" s="259" t="str">
        <f ca="1">IF(DB1317="","","Dare        ")</f>
        <v/>
      </c>
      <c r="DE1318" s="259" t="str">
        <f ca="1">IF(DB1317="","","Avere        ")</f>
        <v/>
      </c>
      <c r="DF1318" s="259">
        <f ca="1">IF(AND(CX1318=$DE$2,$DF$2&lt;&gt;0),0,IF(AND(DB1318&lt;&gt;"",OR(DB1317&lt;&gt;"",DB1319&lt;&gt;"")),MAX($DF$2:DF1317)+1,0))</f>
        <v>0</v>
      </c>
    </row>
    <row r="1319" spans="102:110">
      <c r="CX1319" s="259">
        <f t="shared" ca="1" si="1344"/>
        <v>74</v>
      </c>
      <c r="CY1319" s="259" t="str">
        <f t="shared" ca="1" si="1333"/>
        <v>MASTRO</v>
      </c>
      <c r="CZ1319" s="259" t="e">
        <f t="shared" ref="CZ1319:CZ1333" ca="1" si="1346">SUM(MATCH($CY1319,INDIRECT(ADDRESS(SUM(CZ1318)+3,54)&amp;":"&amp;ADDRESS(400,54)),0),CZ1318)</f>
        <v>#N/A</v>
      </c>
      <c r="DA1319" s="259" t="str">
        <f ca="1">IFERROR(INDEX(LIBRO_GIORNALE,CZ1319,1),"")</f>
        <v/>
      </c>
      <c r="DB1319" s="259" t="str">
        <f t="shared" ref="DB1319:DB1333" ca="1" si="1347">IF(RIGHT(TEXT(IFERROR(INDEX(LIBRO_GIORNALE,CZ1319,2),""),"gg/mm/aa"),1)="a",TEXT(IFERROR(INDEX(LIBRO_GIORNALE,CZ1319,2),""),"dd/mm/yy"),TEXT(IFERROR(INDEX(LIBRO_GIORNALE,CZ1319,2),""),"gg/mm/aa"))</f>
        <v/>
      </c>
      <c r="DC1319" s="259" t="str">
        <f t="shared" ref="DC1319:DC1333" ca="1" si="1348">IF(IFERROR(INDEX(LIBRO_GIORNALE,CZ1319,4),"")=0,"manca la descrizione dell'operazione",IFERROR(INDEX(LIBRO_GIORNALE,CZ1319,4),""))</f>
        <v/>
      </c>
      <c r="DD1319" s="259" t="str">
        <f t="shared" ref="DD1319:DD1333" ca="1" si="1349">IFERROR(IF(INDEX(LIBRO_GIORNALE,CZ1319,5)&gt;0,INDEX(LIBRO_GIORNALE,CZ1319,5),""),"")</f>
        <v/>
      </c>
      <c r="DE1319" s="259" t="str">
        <f t="shared" ref="DE1319:DE1333" ca="1" si="1350">IFERROR(IF(INDEX(LIBRO_GIORNALE,CZ1319,6)&gt;0,INDEX(LIBRO_GIORNALE,CZ1319,6),""),"")</f>
        <v/>
      </c>
      <c r="DF1319" s="259">
        <f ca="1">IF(AND(CX1319=$DE$2,$DF$2&lt;&gt;0),0,IF(AND(DB1319&lt;&gt;"",OR(DB1318&lt;&gt;"",DB1320&lt;&gt;"")),MAX($DF$2:DF1318)+1,0))</f>
        <v>0</v>
      </c>
    </row>
    <row r="1320" spans="102:110">
      <c r="CX1320" s="259">
        <f t="shared" ca="1" si="1344"/>
        <v>74</v>
      </c>
      <c r="CY1320" s="259" t="str">
        <f t="shared" ca="1" si="1333"/>
        <v>MASTRO</v>
      </c>
      <c r="CZ1320" s="259" t="e">
        <f t="shared" ca="1" si="1346"/>
        <v>#N/A</v>
      </c>
      <c r="DA1320" s="259" t="str">
        <f t="shared" ref="DA1320:DA1333" ca="1" si="1351">IFERROR(INDEX(LIBRO_GIORNALE,CZ1320,1),"")</f>
        <v/>
      </c>
      <c r="DB1320" s="259" t="str">
        <f t="shared" ca="1" si="1347"/>
        <v/>
      </c>
      <c r="DC1320" s="259" t="str">
        <f t="shared" ca="1" si="1348"/>
        <v/>
      </c>
      <c r="DD1320" s="259" t="str">
        <f t="shared" ca="1" si="1349"/>
        <v/>
      </c>
      <c r="DE1320" s="259" t="str">
        <f t="shared" ca="1" si="1350"/>
        <v/>
      </c>
      <c r="DF1320" s="259">
        <f ca="1">IF(AND(CX1320=$DE$2,$DF$2&lt;&gt;0),0,IF(AND(DB1320&lt;&gt;"",OR(DB1319&lt;&gt;"",DB1321&lt;&gt;"")),MAX($DF$2:DF1319)+1,0))</f>
        <v>0</v>
      </c>
    </row>
    <row r="1321" spans="102:110">
      <c r="CX1321" s="259">
        <f t="shared" ca="1" si="1344"/>
        <v>74</v>
      </c>
      <c r="CY1321" s="259" t="str">
        <f t="shared" ca="1" si="1333"/>
        <v>MASTRO</v>
      </c>
      <c r="CZ1321" s="259" t="e">
        <f t="shared" ca="1" si="1346"/>
        <v>#N/A</v>
      </c>
      <c r="DA1321" s="259" t="str">
        <f t="shared" ca="1" si="1351"/>
        <v/>
      </c>
      <c r="DB1321" s="259" t="str">
        <f t="shared" ca="1" si="1347"/>
        <v/>
      </c>
      <c r="DC1321" s="259" t="str">
        <f t="shared" ca="1" si="1348"/>
        <v/>
      </c>
      <c r="DD1321" s="259" t="str">
        <f t="shared" ca="1" si="1349"/>
        <v/>
      </c>
      <c r="DE1321" s="259" t="str">
        <f t="shared" ca="1" si="1350"/>
        <v/>
      </c>
      <c r="DF1321" s="259">
        <f ca="1">IF(AND(CX1321=$DE$2,$DF$2&lt;&gt;0),0,IF(AND(DB1321&lt;&gt;"",OR(DB1320&lt;&gt;"",DB1322&lt;&gt;"")),MAX($DF$2:DF1320)+1,0))</f>
        <v>0</v>
      </c>
    </row>
    <row r="1322" spans="102:110">
      <c r="CX1322" s="259">
        <f t="shared" ca="1" si="1344"/>
        <v>74</v>
      </c>
      <c r="CY1322" s="259" t="str">
        <f t="shared" ca="1" si="1333"/>
        <v>MASTRO</v>
      </c>
      <c r="CZ1322" s="259" t="e">
        <f t="shared" ca="1" si="1346"/>
        <v>#N/A</v>
      </c>
      <c r="DA1322" s="259" t="str">
        <f t="shared" ca="1" si="1351"/>
        <v/>
      </c>
      <c r="DB1322" s="259" t="str">
        <f t="shared" ca="1" si="1347"/>
        <v/>
      </c>
      <c r="DC1322" s="259" t="str">
        <f t="shared" ca="1" si="1348"/>
        <v/>
      </c>
      <c r="DD1322" s="259" t="str">
        <f t="shared" ca="1" si="1349"/>
        <v/>
      </c>
      <c r="DE1322" s="259" t="str">
        <f t="shared" ca="1" si="1350"/>
        <v/>
      </c>
      <c r="DF1322" s="259">
        <f ca="1">IF(AND(CX1322=$DE$2,$DF$2&lt;&gt;0),0,IF(AND(DB1322&lt;&gt;"",OR(DB1321&lt;&gt;"",DB1323&lt;&gt;"")),MAX($DF$2:DF1321)+1,0))</f>
        <v>0</v>
      </c>
    </row>
    <row r="1323" spans="102:110">
      <c r="CX1323" s="259">
        <f t="shared" ca="1" si="1344"/>
        <v>74</v>
      </c>
      <c r="CY1323" s="259" t="str">
        <f t="shared" ca="1" si="1333"/>
        <v>MASTRO</v>
      </c>
      <c r="CZ1323" s="259" t="e">
        <f t="shared" ca="1" si="1346"/>
        <v>#N/A</v>
      </c>
      <c r="DA1323" s="259" t="str">
        <f t="shared" ca="1" si="1351"/>
        <v/>
      </c>
      <c r="DB1323" s="259" t="str">
        <f t="shared" ca="1" si="1347"/>
        <v/>
      </c>
      <c r="DC1323" s="259" t="str">
        <f t="shared" ca="1" si="1348"/>
        <v/>
      </c>
      <c r="DD1323" s="259" t="str">
        <f t="shared" ca="1" si="1349"/>
        <v/>
      </c>
      <c r="DE1323" s="259" t="str">
        <f t="shared" ca="1" si="1350"/>
        <v/>
      </c>
      <c r="DF1323" s="259">
        <f ca="1">IF(AND(CX1323=$DE$2,$DF$2&lt;&gt;0),0,IF(AND(DB1323&lt;&gt;"",OR(DB1322&lt;&gt;"",DB1324&lt;&gt;"")),MAX($DF$2:DF1322)+1,0))</f>
        <v>0</v>
      </c>
    </row>
    <row r="1324" spans="102:110">
      <c r="CX1324" s="259">
        <f t="shared" ca="1" si="1344"/>
        <v>74</v>
      </c>
      <c r="CY1324" s="259" t="str">
        <f t="shared" ref="CY1324:CY1356" ca="1" si="1352">IF(ISERROR(INDEX($CV$3:$CX$2300,MATCH(CX1324,$CW$3:$CW$2300,0),1)),"MASTRO",INDEX($CV$3:$CX$2300,MATCH(CX1324,$CW$3:$CW$2300,0),1))</f>
        <v>MASTRO</v>
      </c>
      <c r="CZ1324" s="259" t="e">
        <f t="shared" ca="1" si="1346"/>
        <v>#N/A</v>
      </c>
      <c r="DA1324" s="259" t="str">
        <f t="shared" ca="1" si="1351"/>
        <v/>
      </c>
      <c r="DB1324" s="259" t="str">
        <f t="shared" ca="1" si="1347"/>
        <v/>
      </c>
      <c r="DC1324" s="259" t="str">
        <f t="shared" ca="1" si="1348"/>
        <v/>
      </c>
      <c r="DD1324" s="259" t="str">
        <f t="shared" ca="1" si="1349"/>
        <v/>
      </c>
      <c r="DE1324" s="259" t="str">
        <f t="shared" ca="1" si="1350"/>
        <v/>
      </c>
      <c r="DF1324" s="259">
        <f ca="1">IF(AND(CX1324=$DE$2,$DF$2&lt;&gt;0),0,IF(AND(DB1324&lt;&gt;"",OR(DB1323&lt;&gt;"",DB1325&lt;&gt;"")),MAX($DF$2:DF1323)+1,0))</f>
        <v>0</v>
      </c>
    </row>
    <row r="1325" spans="102:110">
      <c r="CX1325" s="259">
        <f t="shared" ca="1" si="1344"/>
        <v>74</v>
      </c>
      <c r="CY1325" s="259" t="str">
        <f t="shared" ca="1" si="1352"/>
        <v>MASTRO</v>
      </c>
      <c r="CZ1325" s="259" t="e">
        <f t="shared" ca="1" si="1346"/>
        <v>#N/A</v>
      </c>
      <c r="DA1325" s="259" t="str">
        <f t="shared" ca="1" si="1351"/>
        <v/>
      </c>
      <c r="DB1325" s="259" t="str">
        <f t="shared" ca="1" si="1347"/>
        <v/>
      </c>
      <c r="DC1325" s="259" t="str">
        <f t="shared" ca="1" si="1348"/>
        <v/>
      </c>
      <c r="DD1325" s="259" t="str">
        <f t="shared" ca="1" si="1349"/>
        <v/>
      </c>
      <c r="DE1325" s="259" t="str">
        <f t="shared" ca="1" si="1350"/>
        <v/>
      </c>
      <c r="DF1325" s="259">
        <f ca="1">IF(AND(CX1325=$DE$2,$DF$2&lt;&gt;0),0,IF(AND(DB1325&lt;&gt;"",OR(DB1324&lt;&gt;"",DB1326&lt;&gt;"")),MAX($DF$2:DF1324)+1,0))</f>
        <v>0</v>
      </c>
    </row>
    <row r="1326" spans="102:110">
      <c r="CX1326" s="259">
        <f t="shared" ca="1" si="1344"/>
        <v>74</v>
      </c>
      <c r="CY1326" s="259" t="str">
        <f t="shared" ca="1" si="1352"/>
        <v>MASTRO</v>
      </c>
      <c r="CZ1326" s="259" t="e">
        <f t="shared" ca="1" si="1346"/>
        <v>#N/A</v>
      </c>
      <c r="DA1326" s="259" t="str">
        <f t="shared" ca="1" si="1351"/>
        <v/>
      </c>
      <c r="DB1326" s="259" t="str">
        <f t="shared" ca="1" si="1347"/>
        <v/>
      </c>
      <c r="DC1326" s="259" t="str">
        <f t="shared" ca="1" si="1348"/>
        <v/>
      </c>
      <c r="DD1326" s="259" t="str">
        <f t="shared" ca="1" si="1349"/>
        <v/>
      </c>
      <c r="DE1326" s="259" t="str">
        <f t="shared" ca="1" si="1350"/>
        <v/>
      </c>
      <c r="DF1326" s="259">
        <f ca="1">IF(AND(CX1326=$DE$2,$DF$2&lt;&gt;0),0,IF(AND(DB1326&lt;&gt;"",OR(DB1325&lt;&gt;"",DB1327&lt;&gt;"")),MAX($DF$2:DF1325)+1,0))</f>
        <v>0</v>
      </c>
    </row>
    <row r="1327" spans="102:110">
      <c r="CX1327" s="259">
        <f t="shared" ca="1" si="1344"/>
        <v>74</v>
      </c>
      <c r="CY1327" s="259" t="str">
        <f t="shared" ca="1" si="1352"/>
        <v>MASTRO</v>
      </c>
      <c r="CZ1327" s="259" t="e">
        <f t="shared" ca="1" si="1346"/>
        <v>#N/A</v>
      </c>
      <c r="DA1327" s="259" t="str">
        <f t="shared" ca="1" si="1351"/>
        <v/>
      </c>
      <c r="DB1327" s="259" t="str">
        <f t="shared" ca="1" si="1347"/>
        <v/>
      </c>
      <c r="DC1327" s="259" t="str">
        <f t="shared" ca="1" si="1348"/>
        <v/>
      </c>
      <c r="DD1327" s="259" t="str">
        <f t="shared" ca="1" si="1349"/>
        <v/>
      </c>
      <c r="DE1327" s="259" t="str">
        <f t="shared" ca="1" si="1350"/>
        <v/>
      </c>
      <c r="DF1327" s="259">
        <f ca="1">IF(AND(CX1327=$DE$2,$DF$2&lt;&gt;0),0,IF(AND(DB1327&lt;&gt;"",OR(DB1326&lt;&gt;"",DB1328&lt;&gt;"")),MAX($DF$2:DF1326)+1,0))</f>
        <v>0</v>
      </c>
    </row>
    <row r="1328" spans="102:110">
      <c r="CX1328" s="259">
        <f t="shared" ca="1" si="1344"/>
        <v>74</v>
      </c>
      <c r="CY1328" s="259" t="str">
        <f t="shared" ca="1" si="1352"/>
        <v>MASTRO</v>
      </c>
      <c r="CZ1328" s="259" t="e">
        <f t="shared" ca="1" si="1346"/>
        <v>#N/A</v>
      </c>
      <c r="DA1328" s="259" t="str">
        <f t="shared" ca="1" si="1351"/>
        <v/>
      </c>
      <c r="DB1328" s="259" t="str">
        <f t="shared" ca="1" si="1347"/>
        <v/>
      </c>
      <c r="DC1328" s="259" t="str">
        <f t="shared" ca="1" si="1348"/>
        <v/>
      </c>
      <c r="DD1328" s="259" t="str">
        <f t="shared" ca="1" si="1349"/>
        <v/>
      </c>
      <c r="DE1328" s="259" t="str">
        <f t="shared" ca="1" si="1350"/>
        <v/>
      </c>
      <c r="DF1328" s="259">
        <f ca="1">IF(AND(CX1328=$DE$2,$DF$2&lt;&gt;0),0,IF(AND(DB1328&lt;&gt;"",OR(DB1327&lt;&gt;"",DB1329&lt;&gt;"")),MAX($DF$2:DF1327)+1,0))</f>
        <v>0</v>
      </c>
    </row>
    <row r="1329" spans="102:110">
      <c r="CX1329" s="259">
        <f t="shared" ca="1" si="1344"/>
        <v>74</v>
      </c>
      <c r="CY1329" s="259" t="str">
        <f t="shared" ca="1" si="1352"/>
        <v>MASTRO</v>
      </c>
      <c r="CZ1329" s="259" t="e">
        <f t="shared" ca="1" si="1346"/>
        <v>#N/A</v>
      </c>
      <c r="DA1329" s="259" t="str">
        <f t="shared" ca="1" si="1351"/>
        <v/>
      </c>
      <c r="DB1329" s="259" t="str">
        <f t="shared" ca="1" si="1347"/>
        <v/>
      </c>
      <c r="DC1329" s="259" t="str">
        <f t="shared" ca="1" si="1348"/>
        <v/>
      </c>
      <c r="DD1329" s="259" t="str">
        <f t="shared" ca="1" si="1349"/>
        <v/>
      </c>
      <c r="DE1329" s="259" t="str">
        <f t="shared" ca="1" si="1350"/>
        <v/>
      </c>
      <c r="DF1329" s="259">
        <f ca="1">IF(AND(CX1329=$DE$2,$DF$2&lt;&gt;0),0,IF(AND(DB1329&lt;&gt;"",OR(DB1328&lt;&gt;"",DB1330&lt;&gt;"")),MAX($DF$2:DF1328)+1,0))</f>
        <v>0</v>
      </c>
    </row>
    <row r="1330" spans="102:110">
      <c r="CX1330" s="259">
        <f t="shared" ca="1" si="1344"/>
        <v>74</v>
      </c>
      <c r="CY1330" s="259" t="str">
        <f t="shared" ca="1" si="1352"/>
        <v>MASTRO</v>
      </c>
      <c r="CZ1330" s="259" t="e">
        <f t="shared" ca="1" si="1346"/>
        <v>#N/A</v>
      </c>
      <c r="DA1330" s="259" t="str">
        <f t="shared" ca="1" si="1351"/>
        <v/>
      </c>
      <c r="DB1330" s="259" t="str">
        <f t="shared" ca="1" si="1347"/>
        <v/>
      </c>
      <c r="DC1330" s="259" t="str">
        <f t="shared" ca="1" si="1348"/>
        <v/>
      </c>
      <c r="DD1330" s="259" t="str">
        <f t="shared" ca="1" si="1349"/>
        <v/>
      </c>
      <c r="DE1330" s="259" t="str">
        <f t="shared" ca="1" si="1350"/>
        <v/>
      </c>
      <c r="DF1330" s="259">
        <f ca="1">IF(AND(CX1330=$DE$2,$DF$2&lt;&gt;0),0,IF(AND(DB1330&lt;&gt;"",OR(DB1329&lt;&gt;"",DB1331&lt;&gt;"")),MAX($DF$2:DF1329)+1,0))</f>
        <v>0</v>
      </c>
    </row>
    <row r="1331" spans="102:110">
      <c r="CX1331" s="259">
        <f t="shared" ca="1" si="1344"/>
        <v>74</v>
      </c>
      <c r="CY1331" s="259" t="str">
        <f t="shared" ca="1" si="1352"/>
        <v>MASTRO</v>
      </c>
      <c r="CZ1331" s="259" t="e">
        <f t="shared" ca="1" si="1346"/>
        <v>#N/A</v>
      </c>
      <c r="DA1331" s="259" t="str">
        <f t="shared" ca="1" si="1351"/>
        <v/>
      </c>
      <c r="DB1331" s="259" t="str">
        <f t="shared" ca="1" si="1347"/>
        <v/>
      </c>
      <c r="DC1331" s="259" t="str">
        <f t="shared" ca="1" si="1348"/>
        <v/>
      </c>
      <c r="DD1331" s="259" t="str">
        <f t="shared" ca="1" si="1349"/>
        <v/>
      </c>
      <c r="DE1331" s="259" t="str">
        <f t="shared" ca="1" si="1350"/>
        <v/>
      </c>
      <c r="DF1331" s="259">
        <f ca="1">IF(AND(CX1331=$DE$2,$DF$2&lt;&gt;0),0,IF(AND(DB1331&lt;&gt;"",OR(DB1330&lt;&gt;"",DB1332&lt;&gt;"")),MAX($DF$2:DF1330)+1,0))</f>
        <v>0</v>
      </c>
    </row>
    <row r="1332" spans="102:110">
      <c r="CX1332" s="259">
        <f t="shared" ca="1" si="1344"/>
        <v>74</v>
      </c>
      <c r="CY1332" s="259" t="str">
        <f t="shared" ca="1" si="1352"/>
        <v>MASTRO</v>
      </c>
      <c r="CZ1332" s="259" t="e">
        <f t="shared" ca="1" si="1346"/>
        <v>#N/A</v>
      </c>
      <c r="DA1332" s="259" t="str">
        <f t="shared" ca="1" si="1351"/>
        <v/>
      </c>
      <c r="DB1332" s="259" t="str">
        <f t="shared" ca="1" si="1347"/>
        <v/>
      </c>
      <c r="DC1332" s="259" t="str">
        <f t="shared" ca="1" si="1348"/>
        <v/>
      </c>
      <c r="DD1332" s="259" t="str">
        <f t="shared" ca="1" si="1349"/>
        <v/>
      </c>
      <c r="DE1332" s="259" t="str">
        <f t="shared" ca="1" si="1350"/>
        <v/>
      </c>
      <c r="DF1332" s="259">
        <f ca="1">IF(AND(CX1332=$DE$2,$DF$2&lt;&gt;0),0,IF(AND(DB1332&lt;&gt;"",OR(DB1331&lt;&gt;"",DB1333&lt;&gt;"")),MAX($DF$2:DF1331)+1,0))</f>
        <v>0</v>
      </c>
    </row>
    <row r="1333" spans="102:110">
      <c r="CX1333" s="259">
        <f t="shared" ca="1" si="1344"/>
        <v>74</v>
      </c>
      <c r="CY1333" s="259" t="str">
        <f t="shared" ca="1" si="1352"/>
        <v>MASTRO</v>
      </c>
      <c r="CZ1333" s="259" t="e">
        <f t="shared" ca="1" si="1346"/>
        <v>#N/A</v>
      </c>
      <c r="DA1333" s="259" t="str">
        <f t="shared" ca="1" si="1351"/>
        <v/>
      </c>
      <c r="DB1333" s="259" t="str">
        <f t="shared" ca="1" si="1347"/>
        <v/>
      </c>
      <c r="DC1333" s="259" t="str">
        <f t="shared" ca="1" si="1348"/>
        <v/>
      </c>
      <c r="DD1333" s="259" t="str">
        <f t="shared" ca="1" si="1349"/>
        <v/>
      </c>
      <c r="DE1333" s="259" t="str">
        <f t="shared" ca="1" si="1350"/>
        <v/>
      </c>
      <c r="DF1333" s="259">
        <f ca="1">IF(AND(CX1333=$DE$2,$DF$2&lt;&gt;0),0,IF(AND(DB1333&lt;&gt;"",OR(DB1332&lt;&gt;"",DB1334&lt;&gt;"")),MAX($DF$2:DF1332)+1,0))</f>
        <v>0</v>
      </c>
    </row>
    <row r="1334" spans="102:110">
      <c r="CX1334" s="259" t="str">
        <f>IFERROR(IF(CX1316+1=1,"",(CX1316+1)),"")</f>
        <v/>
      </c>
      <c r="CY1334" s="259" t="str">
        <f t="shared" ca="1" si="1352"/>
        <v>MASTRO</v>
      </c>
      <c r="DB1334" s="259" t="str">
        <f t="shared" ref="DB1334" ca="1" si="1353">CY1334</f>
        <v>MASTRO</v>
      </c>
      <c r="DF1334" s="259">
        <f ca="1">IF(AND(CX1334=$DE$2,$DF$2&lt;&gt;0),0,IF(AND(DB1334&lt;&gt;"",OR(DB1333&lt;&gt;"",DB1335&lt;&gt;"")),MAX($DF$2:DF1333)+1,0))</f>
        <v>0</v>
      </c>
    </row>
    <row r="1335" spans="102:110">
      <c r="CX1335" s="259">
        <f ca="1">$EA$77</f>
        <v>75</v>
      </c>
      <c r="CY1335" s="259" t="str">
        <f t="shared" ca="1" si="1352"/>
        <v>MASTRO</v>
      </c>
      <c r="DA1335" s="259" t="str">
        <f ca="1">IF(CY1334="MASTRO","Conto n.","")</f>
        <v>Conto n.</v>
      </c>
      <c r="DB1335" s="259" t="str">
        <f ca="1">IF(CY1335=0,"",INDEX(PIANO_DEI_CONTI,MATCH(DC1335,DENOMINAZIONE,0),1))</f>
        <v/>
      </c>
      <c r="DC1335" s="259" t="str">
        <f ca="1">IF(OR(CY1335=0,CY1335="mastro"),"",CY1335)</f>
        <v/>
      </c>
      <c r="DD1335" s="259" t="str">
        <f ca="1">IF(AND($DA$2=TRUE,OR(INDEX(PIANO_DEI_CONTI,MATCH($DC1335,DENOMINAZIONE,0),4)="A",INDEX(PIANO_DEI_CONTI,MATCH($DC1335,DENOMINAZIONE,0),4)="D/A"),SUMIFS(AVERE,DENOMINAZIONE_GIORNALE,"="&amp;$DC1335)&gt;SUMIFS(DARE,DENOMINAZIONE_GIORNALE,"="&amp;$DC1335)),CONCATENATE("s ",FIXED(ABS(SUMIFS(AVERE,DENOMINAZIONE_GIORNALE,"="&amp;$DC1335)-SUMIFS(DARE,DENOMINAZIONE_GIORNALE,"="&amp;$DC1335)),2)),"")</f>
        <v/>
      </c>
      <c r="DE1335" s="259" t="str">
        <f ca="1">IF(AND($DA$2=TRUE,OR(INDEX(PIANO_DEI_CONTI,MATCH($DC1335,DENOMINAZIONE,0),4)="D",INDEX(PIANO_DEI_CONTI,MATCH($DC1335,DENOMINAZIONE,0),4)="D/A"),SUMIFS(DARE,DENOMINAZIONE_GIORNALE,"="&amp;$DC1335)&gt;SUMIFS(AVERE,DENOMINAZIONE_GIORNALE,"="&amp;$DC1335)),CONCATENATE("s ",FIXED(ABS(SUMIFS(DARE,DENOMINAZIONE_GIORNALE,"="&amp;$DC1335)-SUMIFS(AVERE,DENOMINAZIONE_GIORNALE,"="&amp;$DC1335)),2)),"")</f>
        <v/>
      </c>
      <c r="DF1335" s="259">
        <f ca="1">IF(AND(CX1335=$DE$2,$DF$2&lt;&gt;0),0,IF(AND(DB1335&lt;&gt;"",OR(DB1334&lt;&gt;"",DB1336&lt;&gt;"")),MAX($DF$2:DF1334)+1,0))</f>
        <v>0</v>
      </c>
    </row>
    <row r="1336" spans="102:110">
      <c r="CX1336" s="259">
        <f t="shared" ref="CX1336:CX1351" ca="1" si="1354">$EA$77</f>
        <v>75</v>
      </c>
      <c r="CY1336" s="259" t="str">
        <f t="shared" ca="1" si="1352"/>
        <v>MASTRO</v>
      </c>
      <c r="DA1336" s="259" t="str">
        <f ca="1">IF(DB1335="","","Num. riga")</f>
        <v/>
      </c>
      <c r="DB1336" s="259" t="str">
        <f t="shared" ref="DB1336" ca="1" si="1355">IF(DB1335="","","Data")</f>
        <v/>
      </c>
      <c r="DC1336" s="259" t="str">
        <f ca="1">IF(DB1335="","","Operazioni")</f>
        <v/>
      </c>
      <c r="DD1336" s="259" t="str">
        <f ca="1">IF(DB1335="","","Dare        ")</f>
        <v/>
      </c>
      <c r="DE1336" s="259" t="str">
        <f ca="1">IF(DB1335="","","Avere        ")</f>
        <v/>
      </c>
      <c r="DF1336" s="259">
        <f ca="1">IF(AND(CX1336=$DE$2,$DF$2&lt;&gt;0),0,IF(AND(DB1336&lt;&gt;"",OR(DB1335&lt;&gt;"",DB1337&lt;&gt;"")),MAX($DF$2:DF1335)+1,0))</f>
        <v>0</v>
      </c>
    </row>
    <row r="1337" spans="102:110">
      <c r="CX1337" s="259">
        <f t="shared" ca="1" si="1354"/>
        <v>75</v>
      </c>
      <c r="CY1337" s="259" t="str">
        <f t="shared" ca="1" si="1352"/>
        <v>MASTRO</v>
      </c>
      <c r="CZ1337" s="259" t="e">
        <f t="shared" ref="CZ1337:CZ1351" ca="1" si="1356">SUM(MATCH($CY1337,INDIRECT(ADDRESS(SUM(CZ1336)+3,54)&amp;":"&amp;ADDRESS(400,54)),0),CZ1336)</f>
        <v>#N/A</v>
      </c>
      <c r="DA1337" s="259" t="str">
        <f ca="1">IFERROR(INDEX(LIBRO_GIORNALE,CZ1337,1),"")</f>
        <v/>
      </c>
      <c r="DB1337" s="259" t="str">
        <f t="shared" ref="DB1337:DB1351" ca="1" si="1357">IF(RIGHT(TEXT(IFERROR(INDEX(LIBRO_GIORNALE,CZ1337,2),""),"gg/mm/aa"),1)="a",TEXT(IFERROR(INDEX(LIBRO_GIORNALE,CZ1337,2),""),"dd/mm/yy"),TEXT(IFERROR(INDEX(LIBRO_GIORNALE,CZ1337,2),""),"gg/mm/aa"))</f>
        <v/>
      </c>
      <c r="DC1337" s="259" t="str">
        <f t="shared" ref="DC1337:DC1351" ca="1" si="1358">IF(IFERROR(INDEX(LIBRO_GIORNALE,CZ1337,4),"")=0,"manca la descrizione dell'operazione",IFERROR(INDEX(LIBRO_GIORNALE,CZ1337,4),""))</f>
        <v/>
      </c>
      <c r="DD1337" s="259" t="str">
        <f t="shared" ref="DD1337:DD1351" ca="1" si="1359">IFERROR(IF(INDEX(LIBRO_GIORNALE,CZ1337,5)&gt;0,INDEX(LIBRO_GIORNALE,CZ1337,5),""),"")</f>
        <v/>
      </c>
      <c r="DE1337" s="259" t="str">
        <f t="shared" ref="DE1337:DE1351" ca="1" si="1360">IFERROR(IF(INDEX(LIBRO_GIORNALE,CZ1337,6)&gt;0,INDEX(LIBRO_GIORNALE,CZ1337,6),""),"")</f>
        <v/>
      </c>
      <c r="DF1337" s="259">
        <f ca="1">IF(AND(CX1337=$DE$2,$DF$2&lt;&gt;0),0,IF(AND(DB1337&lt;&gt;"",OR(DB1336&lt;&gt;"",DB1338&lt;&gt;"")),MAX($DF$2:DF1336)+1,0))</f>
        <v>0</v>
      </c>
    </row>
    <row r="1338" spans="102:110">
      <c r="CX1338" s="259">
        <f t="shared" ca="1" si="1354"/>
        <v>75</v>
      </c>
      <c r="CY1338" s="259" t="str">
        <f t="shared" ca="1" si="1352"/>
        <v>MASTRO</v>
      </c>
      <c r="CZ1338" s="259" t="e">
        <f t="shared" ca="1" si="1356"/>
        <v>#N/A</v>
      </c>
      <c r="DA1338" s="259" t="str">
        <f t="shared" ref="DA1338:DA1351" ca="1" si="1361">IFERROR(INDEX(LIBRO_GIORNALE,CZ1338,1),"")</f>
        <v/>
      </c>
      <c r="DB1338" s="259" t="str">
        <f t="shared" ca="1" si="1357"/>
        <v/>
      </c>
      <c r="DC1338" s="259" t="str">
        <f t="shared" ca="1" si="1358"/>
        <v/>
      </c>
      <c r="DD1338" s="259" t="str">
        <f t="shared" ca="1" si="1359"/>
        <v/>
      </c>
      <c r="DE1338" s="259" t="str">
        <f t="shared" ca="1" si="1360"/>
        <v/>
      </c>
      <c r="DF1338" s="259">
        <f ca="1">IF(AND(CX1338=$DE$2,$DF$2&lt;&gt;0),0,IF(AND(DB1338&lt;&gt;"",OR(DB1337&lt;&gt;"",DB1339&lt;&gt;"")),MAX($DF$2:DF1337)+1,0))</f>
        <v>0</v>
      </c>
    </row>
    <row r="1339" spans="102:110">
      <c r="CX1339" s="259">
        <f t="shared" ca="1" si="1354"/>
        <v>75</v>
      </c>
      <c r="CY1339" s="259" t="str">
        <f t="shared" ca="1" si="1352"/>
        <v>MASTRO</v>
      </c>
      <c r="CZ1339" s="259" t="e">
        <f t="shared" ca="1" si="1356"/>
        <v>#N/A</v>
      </c>
      <c r="DA1339" s="259" t="str">
        <f t="shared" ca="1" si="1361"/>
        <v/>
      </c>
      <c r="DB1339" s="259" t="str">
        <f t="shared" ca="1" si="1357"/>
        <v/>
      </c>
      <c r="DC1339" s="259" t="str">
        <f t="shared" ca="1" si="1358"/>
        <v/>
      </c>
      <c r="DD1339" s="259" t="str">
        <f t="shared" ca="1" si="1359"/>
        <v/>
      </c>
      <c r="DE1339" s="259" t="str">
        <f t="shared" ca="1" si="1360"/>
        <v/>
      </c>
      <c r="DF1339" s="259">
        <f ca="1">IF(AND(CX1339=$DE$2,$DF$2&lt;&gt;0),0,IF(AND(DB1339&lt;&gt;"",OR(DB1338&lt;&gt;"",DB1340&lt;&gt;"")),MAX($DF$2:DF1338)+1,0))</f>
        <v>0</v>
      </c>
    </row>
    <row r="1340" spans="102:110">
      <c r="CX1340" s="259">
        <f t="shared" ca="1" si="1354"/>
        <v>75</v>
      </c>
      <c r="CY1340" s="259" t="str">
        <f t="shared" ca="1" si="1352"/>
        <v>MASTRO</v>
      </c>
      <c r="CZ1340" s="259" t="e">
        <f t="shared" ca="1" si="1356"/>
        <v>#N/A</v>
      </c>
      <c r="DA1340" s="259" t="str">
        <f t="shared" ca="1" si="1361"/>
        <v/>
      </c>
      <c r="DB1340" s="259" t="str">
        <f t="shared" ca="1" si="1357"/>
        <v/>
      </c>
      <c r="DC1340" s="259" t="str">
        <f t="shared" ca="1" si="1358"/>
        <v/>
      </c>
      <c r="DD1340" s="259" t="str">
        <f t="shared" ca="1" si="1359"/>
        <v/>
      </c>
      <c r="DE1340" s="259" t="str">
        <f t="shared" ca="1" si="1360"/>
        <v/>
      </c>
      <c r="DF1340" s="259">
        <f ca="1">IF(AND(CX1340=$DE$2,$DF$2&lt;&gt;0),0,IF(AND(DB1340&lt;&gt;"",OR(DB1339&lt;&gt;"",DB1341&lt;&gt;"")),MAX($DF$2:DF1339)+1,0))</f>
        <v>0</v>
      </c>
    </row>
    <row r="1341" spans="102:110">
      <c r="CX1341" s="259">
        <f t="shared" ca="1" si="1354"/>
        <v>75</v>
      </c>
      <c r="CY1341" s="259" t="str">
        <f t="shared" ca="1" si="1352"/>
        <v>MASTRO</v>
      </c>
      <c r="CZ1341" s="259" t="e">
        <f t="shared" ca="1" si="1356"/>
        <v>#N/A</v>
      </c>
      <c r="DA1341" s="259" t="str">
        <f t="shared" ca="1" si="1361"/>
        <v/>
      </c>
      <c r="DB1341" s="259" t="str">
        <f t="shared" ca="1" si="1357"/>
        <v/>
      </c>
      <c r="DC1341" s="259" t="str">
        <f t="shared" ca="1" si="1358"/>
        <v/>
      </c>
      <c r="DD1341" s="259" t="str">
        <f t="shared" ca="1" si="1359"/>
        <v/>
      </c>
      <c r="DE1341" s="259" t="str">
        <f t="shared" ca="1" si="1360"/>
        <v/>
      </c>
      <c r="DF1341" s="259">
        <f ca="1">IF(AND(CX1341=$DE$2,$DF$2&lt;&gt;0),0,IF(AND(DB1341&lt;&gt;"",OR(DB1340&lt;&gt;"",DB1342&lt;&gt;"")),MAX($DF$2:DF1340)+1,0))</f>
        <v>0</v>
      </c>
    </row>
    <row r="1342" spans="102:110">
      <c r="CX1342" s="259">
        <f t="shared" ca="1" si="1354"/>
        <v>75</v>
      </c>
      <c r="CY1342" s="259" t="str">
        <f t="shared" ca="1" si="1352"/>
        <v>MASTRO</v>
      </c>
      <c r="CZ1342" s="259" t="e">
        <f t="shared" ca="1" si="1356"/>
        <v>#N/A</v>
      </c>
      <c r="DA1342" s="259" t="str">
        <f t="shared" ca="1" si="1361"/>
        <v/>
      </c>
      <c r="DB1342" s="259" t="str">
        <f t="shared" ca="1" si="1357"/>
        <v/>
      </c>
      <c r="DC1342" s="259" t="str">
        <f t="shared" ca="1" si="1358"/>
        <v/>
      </c>
      <c r="DD1342" s="259" t="str">
        <f t="shared" ca="1" si="1359"/>
        <v/>
      </c>
      <c r="DE1342" s="259" t="str">
        <f t="shared" ca="1" si="1360"/>
        <v/>
      </c>
      <c r="DF1342" s="259">
        <f ca="1">IF(AND(CX1342=$DE$2,$DF$2&lt;&gt;0),0,IF(AND(DB1342&lt;&gt;"",OR(DB1341&lt;&gt;"",DB1343&lt;&gt;"")),MAX($DF$2:DF1341)+1,0))</f>
        <v>0</v>
      </c>
    </row>
    <row r="1343" spans="102:110">
      <c r="CX1343" s="259">
        <f t="shared" ca="1" si="1354"/>
        <v>75</v>
      </c>
      <c r="CY1343" s="259" t="str">
        <f t="shared" ca="1" si="1352"/>
        <v>MASTRO</v>
      </c>
      <c r="CZ1343" s="259" t="e">
        <f t="shared" ca="1" si="1356"/>
        <v>#N/A</v>
      </c>
      <c r="DA1343" s="259" t="str">
        <f t="shared" ca="1" si="1361"/>
        <v/>
      </c>
      <c r="DB1343" s="259" t="str">
        <f t="shared" ca="1" si="1357"/>
        <v/>
      </c>
      <c r="DC1343" s="259" t="str">
        <f t="shared" ca="1" si="1358"/>
        <v/>
      </c>
      <c r="DD1343" s="259" t="str">
        <f t="shared" ca="1" si="1359"/>
        <v/>
      </c>
      <c r="DE1343" s="259" t="str">
        <f t="shared" ca="1" si="1360"/>
        <v/>
      </c>
      <c r="DF1343" s="259">
        <f ca="1">IF(AND(CX1343=$DE$2,$DF$2&lt;&gt;0),0,IF(AND(DB1343&lt;&gt;"",OR(DB1342&lt;&gt;"",DB1344&lt;&gt;"")),MAX($DF$2:DF1342)+1,0))</f>
        <v>0</v>
      </c>
    </row>
    <row r="1344" spans="102:110">
      <c r="CX1344" s="259">
        <f t="shared" ca="1" si="1354"/>
        <v>75</v>
      </c>
      <c r="CY1344" s="259" t="str">
        <f t="shared" ca="1" si="1352"/>
        <v>MASTRO</v>
      </c>
      <c r="CZ1344" s="259" t="e">
        <f t="shared" ca="1" si="1356"/>
        <v>#N/A</v>
      </c>
      <c r="DA1344" s="259" t="str">
        <f t="shared" ca="1" si="1361"/>
        <v/>
      </c>
      <c r="DB1344" s="259" t="str">
        <f t="shared" ca="1" si="1357"/>
        <v/>
      </c>
      <c r="DC1344" s="259" t="str">
        <f t="shared" ca="1" si="1358"/>
        <v/>
      </c>
      <c r="DD1344" s="259" t="str">
        <f t="shared" ca="1" si="1359"/>
        <v/>
      </c>
      <c r="DE1344" s="259" t="str">
        <f t="shared" ca="1" si="1360"/>
        <v/>
      </c>
      <c r="DF1344" s="259">
        <f ca="1">IF(AND(CX1344=$DE$2,$DF$2&lt;&gt;0),0,IF(AND(DB1344&lt;&gt;"",OR(DB1343&lt;&gt;"",DB1345&lt;&gt;"")),MAX($DF$2:DF1343)+1,0))</f>
        <v>0</v>
      </c>
    </row>
    <row r="1345" spans="102:110">
      <c r="CX1345" s="259">
        <f t="shared" ca="1" si="1354"/>
        <v>75</v>
      </c>
      <c r="CY1345" s="259" t="str">
        <f t="shared" ca="1" si="1352"/>
        <v>MASTRO</v>
      </c>
      <c r="CZ1345" s="259" t="e">
        <f t="shared" ca="1" si="1356"/>
        <v>#N/A</v>
      </c>
      <c r="DA1345" s="259" t="str">
        <f t="shared" ca="1" si="1361"/>
        <v/>
      </c>
      <c r="DB1345" s="259" t="str">
        <f t="shared" ca="1" si="1357"/>
        <v/>
      </c>
      <c r="DC1345" s="259" t="str">
        <f t="shared" ca="1" si="1358"/>
        <v/>
      </c>
      <c r="DD1345" s="259" t="str">
        <f t="shared" ca="1" si="1359"/>
        <v/>
      </c>
      <c r="DE1345" s="259" t="str">
        <f t="shared" ca="1" si="1360"/>
        <v/>
      </c>
      <c r="DF1345" s="259">
        <f ca="1">IF(AND(CX1345=$DE$2,$DF$2&lt;&gt;0),0,IF(AND(DB1345&lt;&gt;"",OR(DB1344&lt;&gt;"",DB1346&lt;&gt;"")),MAX($DF$2:DF1344)+1,0))</f>
        <v>0</v>
      </c>
    </row>
    <row r="1346" spans="102:110">
      <c r="CX1346" s="259">
        <f t="shared" ca="1" si="1354"/>
        <v>75</v>
      </c>
      <c r="CY1346" s="259" t="str">
        <f t="shared" ca="1" si="1352"/>
        <v>MASTRO</v>
      </c>
      <c r="CZ1346" s="259" t="e">
        <f t="shared" ca="1" si="1356"/>
        <v>#N/A</v>
      </c>
      <c r="DA1346" s="259" t="str">
        <f t="shared" ca="1" si="1361"/>
        <v/>
      </c>
      <c r="DB1346" s="259" t="str">
        <f t="shared" ca="1" si="1357"/>
        <v/>
      </c>
      <c r="DC1346" s="259" t="str">
        <f t="shared" ca="1" si="1358"/>
        <v/>
      </c>
      <c r="DD1346" s="259" t="str">
        <f t="shared" ca="1" si="1359"/>
        <v/>
      </c>
      <c r="DE1346" s="259" t="str">
        <f t="shared" ca="1" si="1360"/>
        <v/>
      </c>
      <c r="DF1346" s="259">
        <f ca="1">IF(AND(CX1346=$DE$2,$DF$2&lt;&gt;0),0,IF(AND(DB1346&lt;&gt;"",OR(DB1345&lt;&gt;"",DB1347&lt;&gt;"")),MAX($DF$2:DF1345)+1,0))</f>
        <v>0</v>
      </c>
    </row>
    <row r="1347" spans="102:110">
      <c r="CX1347" s="259">
        <f t="shared" ca="1" si="1354"/>
        <v>75</v>
      </c>
      <c r="CY1347" s="259" t="str">
        <f t="shared" ca="1" si="1352"/>
        <v>MASTRO</v>
      </c>
      <c r="CZ1347" s="259" t="e">
        <f t="shared" ca="1" si="1356"/>
        <v>#N/A</v>
      </c>
      <c r="DA1347" s="259" t="str">
        <f t="shared" ca="1" si="1361"/>
        <v/>
      </c>
      <c r="DB1347" s="259" t="str">
        <f t="shared" ca="1" si="1357"/>
        <v/>
      </c>
      <c r="DC1347" s="259" t="str">
        <f t="shared" ca="1" si="1358"/>
        <v/>
      </c>
      <c r="DD1347" s="259" t="str">
        <f t="shared" ca="1" si="1359"/>
        <v/>
      </c>
      <c r="DE1347" s="259" t="str">
        <f t="shared" ca="1" si="1360"/>
        <v/>
      </c>
      <c r="DF1347" s="259">
        <f ca="1">IF(AND(CX1347=$DE$2,$DF$2&lt;&gt;0),0,IF(AND(DB1347&lt;&gt;"",OR(DB1346&lt;&gt;"",DB1348&lt;&gt;"")),MAX($DF$2:DF1346)+1,0))</f>
        <v>0</v>
      </c>
    </row>
    <row r="1348" spans="102:110">
      <c r="CX1348" s="259">
        <f t="shared" ca="1" si="1354"/>
        <v>75</v>
      </c>
      <c r="CY1348" s="259" t="str">
        <f t="shared" ca="1" si="1352"/>
        <v>MASTRO</v>
      </c>
      <c r="CZ1348" s="259" t="e">
        <f t="shared" ca="1" si="1356"/>
        <v>#N/A</v>
      </c>
      <c r="DA1348" s="259" t="str">
        <f t="shared" ca="1" si="1361"/>
        <v/>
      </c>
      <c r="DB1348" s="259" t="str">
        <f t="shared" ca="1" si="1357"/>
        <v/>
      </c>
      <c r="DC1348" s="259" t="str">
        <f t="shared" ca="1" si="1358"/>
        <v/>
      </c>
      <c r="DD1348" s="259" t="str">
        <f t="shared" ca="1" si="1359"/>
        <v/>
      </c>
      <c r="DE1348" s="259" t="str">
        <f t="shared" ca="1" si="1360"/>
        <v/>
      </c>
      <c r="DF1348" s="259">
        <f ca="1">IF(AND(CX1348=$DE$2,$DF$2&lt;&gt;0),0,IF(AND(DB1348&lt;&gt;"",OR(DB1347&lt;&gt;"",DB1349&lt;&gt;"")),MAX($DF$2:DF1347)+1,0))</f>
        <v>0</v>
      </c>
    </row>
    <row r="1349" spans="102:110">
      <c r="CX1349" s="259">
        <f t="shared" ca="1" si="1354"/>
        <v>75</v>
      </c>
      <c r="CY1349" s="259" t="str">
        <f t="shared" ca="1" si="1352"/>
        <v>MASTRO</v>
      </c>
      <c r="CZ1349" s="259" t="e">
        <f t="shared" ca="1" si="1356"/>
        <v>#N/A</v>
      </c>
      <c r="DA1349" s="259" t="str">
        <f t="shared" ca="1" si="1361"/>
        <v/>
      </c>
      <c r="DB1349" s="259" t="str">
        <f t="shared" ca="1" si="1357"/>
        <v/>
      </c>
      <c r="DC1349" s="259" t="str">
        <f t="shared" ca="1" si="1358"/>
        <v/>
      </c>
      <c r="DD1349" s="259" t="str">
        <f t="shared" ca="1" si="1359"/>
        <v/>
      </c>
      <c r="DE1349" s="259" t="str">
        <f t="shared" ca="1" si="1360"/>
        <v/>
      </c>
      <c r="DF1349" s="259">
        <f ca="1">IF(AND(CX1349=$DE$2,$DF$2&lt;&gt;0),0,IF(AND(DB1349&lt;&gt;"",OR(DB1348&lt;&gt;"",DB1350&lt;&gt;"")),MAX($DF$2:DF1348)+1,0))</f>
        <v>0</v>
      </c>
    </row>
    <row r="1350" spans="102:110">
      <c r="CX1350" s="259">
        <f t="shared" ca="1" si="1354"/>
        <v>75</v>
      </c>
      <c r="CY1350" s="259" t="str">
        <f t="shared" ca="1" si="1352"/>
        <v>MASTRO</v>
      </c>
      <c r="CZ1350" s="259" t="e">
        <f t="shared" ca="1" si="1356"/>
        <v>#N/A</v>
      </c>
      <c r="DA1350" s="259" t="str">
        <f t="shared" ca="1" si="1361"/>
        <v/>
      </c>
      <c r="DB1350" s="259" t="str">
        <f t="shared" ca="1" si="1357"/>
        <v/>
      </c>
      <c r="DC1350" s="259" t="str">
        <f t="shared" ca="1" si="1358"/>
        <v/>
      </c>
      <c r="DD1350" s="259" t="str">
        <f t="shared" ca="1" si="1359"/>
        <v/>
      </c>
      <c r="DE1350" s="259" t="str">
        <f t="shared" ca="1" si="1360"/>
        <v/>
      </c>
      <c r="DF1350" s="259">
        <f ca="1">IF(AND(CX1350=$DE$2,$DF$2&lt;&gt;0),0,IF(AND(DB1350&lt;&gt;"",OR(DB1349&lt;&gt;"",DB1351&lt;&gt;"")),MAX($DF$2:DF1349)+1,0))</f>
        <v>0</v>
      </c>
    </row>
    <row r="1351" spans="102:110">
      <c r="CX1351" s="259">
        <f t="shared" ca="1" si="1354"/>
        <v>75</v>
      </c>
      <c r="CY1351" s="259" t="str">
        <f t="shared" ca="1" si="1352"/>
        <v>MASTRO</v>
      </c>
      <c r="CZ1351" s="259" t="e">
        <f t="shared" ca="1" si="1356"/>
        <v>#N/A</v>
      </c>
      <c r="DA1351" s="259" t="str">
        <f t="shared" ca="1" si="1361"/>
        <v/>
      </c>
      <c r="DB1351" s="259" t="str">
        <f t="shared" ca="1" si="1357"/>
        <v/>
      </c>
      <c r="DC1351" s="259" t="str">
        <f t="shared" ca="1" si="1358"/>
        <v/>
      </c>
      <c r="DD1351" s="259" t="str">
        <f t="shared" ca="1" si="1359"/>
        <v/>
      </c>
      <c r="DE1351" s="259" t="str">
        <f t="shared" ca="1" si="1360"/>
        <v/>
      </c>
      <c r="DF1351" s="259">
        <f ca="1">IF(AND(CX1351=$DE$2,$DF$2&lt;&gt;0),0,IF(AND(DB1351&lt;&gt;"",OR(DB1350&lt;&gt;"",DB1352&lt;&gt;"")),MAX($DF$2:DF1350)+1,0))</f>
        <v>0</v>
      </c>
    </row>
    <row r="1352" spans="102:110">
      <c r="CX1352" s="259" t="str">
        <f>IFERROR(IF(CX1334+1=1,"",(CX1334+1)),"")</f>
        <v/>
      </c>
      <c r="CY1352" s="259" t="str">
        <f t="shared" ca="1" si="1352"/>
        <v>MASTRO</v>
      </c>
      <c r="DB1352" s="259" t="str">
        <f t="shared" ref="DB1352" ca="1" si="1362">CY1352</f>
        <v>MASTRO</v>
      </c>
      <c r="DF1352" s="259">
        <f ca="1">IF(AND(CX1352=$DE$2,$DF$2&lt;&gt;0),0,IF(AND(DB1352&lt;&gt;"",OR(DB1351&lt;&gt;"",DB1353&lt;&gt;"")),MAX($DF$2:DF1351)+1,0))</f>
        <v>0</v>
      </c>
    </row>
    <row r="1353" spans="102:110">
      <c r="CX1353" s="259">
        <f ca="1">$EA$78</f>
        <v>76</v>
      </c>
      <c r="CY1353" s="259" t="str">
        <f t="shared" ca="1" si="1352"/>
        <v>MASTRO</v>
      </c>
      <c r="DA1353" s="259" t="str">
        <f ca="1">IF(CY1352="MASTRO","Conto n.","")</f>
        <v>Conto n.</v>
      </c>
      <c r="DB1353" s="259" t="str">
        <f ca="1">IF(CY1353=0,"",INDEX(PIANO_DEI_CONTI,MATCH(DC1353,DENOMINAZIONE,0),1))</f>
        <v/>
      </c>
      <c r="DC1353" s="259" t="str">
        <f ca="1">IF(OR(CY1353=0,CY1353="mastro"),"",CY1353)</f>
        <v/>
      </c>
      <c r="DD1353" s="259" t="str">
        <f ca="1">IF(AND($DA$2=TRUE,OR(INDEX(PIANO_DEI_CONTI,MATCH($DC1353,DENOMINAZIONE,0),4)="A",INDEX(PIANO_DEI_CONTI,MATCH($DC1353,DENOMINAZIONE,0),4)="D/A"),SUMIFS(AVERE,DENOMINAZIONE_GIORNALE,"="&amp;$DC1353)&gt;SUMIFS(DARE,DENOMINAZIONE_GIORNALE,"="&amp;$DC1353)),CONCATENATE("s ",FIXED(ABS(SUMIFS(AVERE,DENOMINAZIONE_GIORNALE,"="&amp;$DC1353)-SUMIFS(DARE,DENOMINAZIONE_GIORNALE,"="&amp;$DC1353)),2)),"")</f>
        <v/>
      </c>
      <c r="DE1353" s="259" t="str">
        <f ca="1">IF(AND($DA$2=TRUE,OR(INDEX(PIANO_DEI_CONTI,MATCH($DC1353,DENOMINAZIONE,0),4)="D",INDEX(PIANO_DEI_CONTI,MATCH($DC1353,DENOMINAZIONE,0),4)="D/A"),SUMIFS(DARE,DENOMINAZIONE_GIORNALE,"="&amp;$DC1353)&gt;SUMIFS(AVERE,DENOMINAZIONE_GIORNALE,"="&amp;$DC1353)),CONCATENATE("s ",FIXED(ABS(SUMIFS(DARE,DENOMINAZIONE_GIORNALE,"="&amp;$DC1353)-SUMIFS(AVERE,DENOMINAZIONE_GIORNALE,"="&amp;$DC1353)),2)),"")</f>
        <v/>
      </c>
      <c r="DF1353" s="259">
        <f ca="1">IF(AND(CX1353=$DE$2,$DF$2&lt;&gt;0),0,IF(AND(DB1353&lt;&gt;"",OR(DB1352&lt;&gt;"",DB1354&lt;&gt;"")),MAX($DF$2:DF1352)+1,0))</f>
        <v>0</v>
      </c>
    </row>
    <row r="1354" spans="102:110">
      <c r="CX1354" s="259">
        <f t="shared" ref="CX1354:CX1369" ca="1" si="1363">$EA$78</f>
        <v>76</v>
      </c>
      <c r="CY1354" s="259" t="str">
        <f t="shared" ca="1" si="1352"/>
        <v>MASTRO</v>
      </c>
      <c r="DA1354" s="259" t="str">
        <f ca="1">IF(DB1353="","","Num. riga")</f>
        <v/>
      </c>
      <c r="DB1354" s="259" t="str">
        <f t="shared" ref="DB1354" ca="1" si="1364">IF(DB1353="","","Data")</f>
        <v/>
      </c>
      <c r="DC1354" s="259" t="str">
        <f ca="1">IF(DB1353="","","Operazioni")</f>
        <v/>
      </c>
      <c r="DD1354" s="259" t="str">
        <f ca="1">IF(DB1353="","","Dare        ")</f>
        <v/>
      </c>
      <c r="DE1354" s="259" t="str">
        <f ca="1">IF(DB1353="","","Avere        ")</f>
        <v/>
      </c>
      <c r="DF1354" s="259">
        <f ca="1">IF(AND(CX1354=$DE$2,$DF$2&lt;&gt;0),0,IF(AND(DB1354&lt;&gt;"",OR(DB1353&lt;&gt;"",DB1355&lt;&gt;"")),MAX($DF$2:DF1353)+1,0))</f>
        <v>0</v>
      </c>
    </row>
    <row r="1355" spans="102:110">
      <c r="CX1355" s="259">
        <f t="shared" ca="1" si="1363"/>
        <v>76</v>
      </c>
      <c r="CY1355" s="259" t="str">
        <f t="shared" ca="1" si="1352"/>
        <v>MASTRO</v>
      </c>
      <c r="CZ1355" s="259" t="e">
        <f t="shared" ref="CZ1355:CZ1369" ca="1" si="1365">SUM(MATCH($CY1355,INDIRECT(ADDRESS(SUM(CZ1354)+3,54)&amp;":"&amp;ADDRESS(400,54)),0),CZ1354)</f>
        <v>#N/A</v>
      </c>
      <c r="DA1355" s="259" t="str">
        <f ca="1">IFERROR(INDEX(LIBRO_GIORNALE,CZ1355,1),"")</f>
        <v/>
      </c>
      <c r="DB1355" s="259" t="str">
        <f t="shared" ref="DB1355:DB1369" ca="1" si="1366">IF(RIGHT(TEXT(IFERROR(INDEX(LIBRO_GIORNALE,CZ1355,2),""),"gg/mm/aa"),1)="a",TEXT(IFERROR(INDEX(LIBRO_GIORNALE,CZ1355,2),""),"dd/mm/yy"),TEXT(IFERROR(INDEX(LIBRO_GIORNALE,CZ1355,2),""),"gg/mm/aa"))</f>
        <v/>
      </c>
      <c r="DC1355" s="259" t="str">
        <f t="shared" ref="DC1355:DC1369" ca="1" si="1367">IF(IFERROR(INDEX(LIBRO_GIORNALE,CZ1355,4),"")=0,"manca la descrizione dell'operazione",IFERROR(INDEX(LIBRO_GIORNALE,CZ1355,4),""))</f>
        <v/>
      </c>
      <c r="DD1355" s="259" t="str">
        <f t="shared" ref="DD1355:DD1369" ca="1" si="1368">IFERROR(IF(INDEX(LIBRO_GIORNALE,CZ1355,5)&gt;0,INDEX(LIBRO_GIORNALE,CZ1355,5),""),"")</f>
        <v/>
      </c>
      <c r="DE1355" s="259" t="str">
        <f t="shared" ref="DE1355:DE1369" ca="1" si="1369">IFERROR(IF(INDEX(LIBRO_GIORNALE,CZ1355,6)&gt;0,INDEX(LIBRO_GIORNALE,CZ1355,6),""),"")</f>
        <v/>
      </c>
      <c r="DF1355" s="259">
        <f ca="1">IF(AND(CX1355=$DE$2,$DF$2&lt;&gt;0),0,IF(AND(DB1355&lt;&gt;"",OR(DB1354&lt;&gt;"",DB1356&lt;&gt;"")),MAX($DF$2:DF1354)+1,0))</f>
        <v>0</v>
      </c>
    </row>
    <row r="1356" spans="102:110">
      <c r="CX1356" s="259">
        <f t="shared" ca="1" si="1363"/>
        <v>76</v>
      </c>
      <c r="CY1356" s="259" t="str">
        <f t="shared" ca="1" si="1352"/>
        <v>MASTRO</v>
      </c>
      <c r="CZ1356" s="259" t="e">
        <f t="shared" ca="1" si="1365"/>
        <v>#N/A</v>
      </c>
      <c r="DA1356" s="259" t="str">
        <f t="shared" ref="DA1356:DA1369" ca="1" si="1370">IFERROR(INDEX(LIBRO_GIORNALE,CZ1356,1),"")</f>
        <v/>
      </c>
      <c r="DB1356" s="259" t="str">
        <f t="shared" ca="1" si="1366"/>
        <v/>
      </c>
      <c r="DC1356" s="259" t="str">
        <f t="shared" ca="1" si="1367"/>
        <v/>
      </c>
      <c r="DD1356" s="259" t="str">
        <f t="shared" ca="1" si="1368"/>
        <v/>
      </c>
      <c r="DE1356" s="259" t="str">
        <f t="shared" ca="1" si="1369"/>
        <v/>
      </c>
      <c r="DF1356" s="259">
        <f ca="1">IF(AND(CX1356=$DE$2,$DF$2&lt;&gt;0),0,IF(AND(DB1356&lt;&gt;"",OR(DB1355&lt;&gt;"",DB1357&lt;&gt;"")),MAX($DF$2:DF1355)+1,0))</f>
        <v>0</v>
      </c>
    </row>
    <row r="1357" spans="102:110">
      <c r="CX1357" s="259">
        <f t="shared" ca="1" si="1363"/>
        <v>76</v>
      </c>
      <c r="CY1357" s="259" t="str">
        <f t="shared" ref="CY1357:CY1387" ca="1" si="1371">IF(ISERROR(INDEX($CV$3:$CX$2300,MATCH(CX1357,$CW$3:$CW$2300,0),1)),"MASTRO",INDEX($CV$3:$CX$2300,MATCH(CX1357,$CW$3:$CW$2300,0),1))</f>
        <v>MASTRO</v>
      </c>
      <c r="CZ1357" s="259" t="e">
        <f t="shared" ca="1" si="1365"/>
        <v>#N/A</v>
      </c>
      <c r="DA1357" s="259" t="str">
        <f t="shared" ca="1" si="1370"/>
        <v/>
      </c>
      <c r="DB1357" s="259" t="str">
        <f t="shared" ca="1" si="1366"/>
        <v/>
      </c>
      <c r="DC1357" s="259" t="str">
        <f t="shared" ca="1" si="1367"/>
        <v/>
      </c>
      <c r="DD1357" s="259" t="str">
        <f t="shared" ca="1" si="1368"/>
        <v/>
      </c>
      <c r="DE1357" s="259" t="str">
        <f t="shared" ca="1" si="1369"/>
        <v/>
      </c>
      <c r="DF1357" s="259">
        <f ca="1">IF(AND(CX1357=$DE$2,$DF$2&lt;&gt;0),0,IF(AND(DB1357&lt;&gt;"",OR(DB1356&lt;&gt;"",DB1358&lt;&gt;"")),MAX($DF$2:DF1356)+1,0))</f>
        <v>0</v>
      </c>
    </row>
    <row r="1358" spans="102:110">
      <c r="CX1358" s="259">
        <f t="shared" ca="1" si="1363"/>
        <v>76</v>
      </c>
      <c r="CY1358" s="259" t="str">
        <f t="shared" ca="1" si="1371"/>
        <v>MASTRO</v>
      </c>
      <c r="CZ1358" s="259" t="e">
        <f t="shared" ca="1" si="1365"/>
        <v>#N/A</v>
      </c>
      <c r="DA1358" s="259" t="str">
        <f t="shared" ca="1" si="1370"/>
        <v/>
      </c>
      <c r="DB1358" s="259" t="str">
        <f t="shared" ca="1" si="1366"/>
        <v/>
      </c>
      <c r="DC1358" s="259" t="str">
        <f t="shared" ca="1" si="1367"/>
        <v/>
      </c>
      <c r="DD1358" s="259" t="str">
        <f t="shared" ca="1" si="1368"/>
        <v/>
      </c>
      <c r="DE1358" s="259" t="str">
        <f t="shared" ca="1" si="1369"/>
        <v/>
      </c>
      <c r="DF1358" s="259">
        <f ca="1">IF(AND(CX1358=$DE$2,$DF$2&lt;&gt;0),0,IF(AND(DB1358&lt;&gt;"",OR(DB1357&lt;&gt;"",DB1359&lt;&gt;"")),MAX($DF$2:DF1357)+1,0))</f>
        <v>0</v>
      </c>
    </row>
    <row r="1359" spans="102:110">
      <c r="CX1359" s="259">
        <f t="shared" ca="1" si="1363"/>
        <v>76</v>
      </c>
      <c r="CY1359" s="259" t="str">
        <f t="shared" ca="1" si="1371"/>
        <v>MASTRO</v>
      </c>
      <c r="CZ1359" s="259" t="e">
        <f t="shared" ca="1" si="1365"/>
        <v>#N/A</v>
      </c>
      <c r="DA1359" s="259" t="str">
        <f t="shared" ca="1" si="1370"/>
        <v/>
      </c>
      <c r="DB1359" s="259" t="str">
        <f t="shared" ca="1" si="1366"/>
        <v/>
      </c>
      <c r="DC1359" s="259" t="str">
        <f t="shared" ca="1" si="1367"/>
        <v/>
      </c>
      <c r="DD1359" s="259" t="str">
        <f t="shared" ca="1" si="1368"/>
        <v/>
      </c>
      <c r="DE1359" s="259" t="str">
        <f t="shared" ca="1" si="1369"/>
        <v/>
      </c>
      <c r="DF1359" s="259">
        <f ca="1">IF(AND(CX1359=$DE$2,$DF$2&lt;&gt;0),0,IF(AND(DB1359&lt;&gt;"",OR(DB1358&lt;&gt;"",DB1360&lt;&gt;"")),MAX($DF$2:DF1358)+1,0))</f>
        <v>0</v>
      </c>
    </row>
    <row r="1360" spans="102:110">
      <c r="CX1360" s="259">
        <f t="shared" ca="1" si="1363"/>
        <v>76</v>
      </c>
      <c r="CY1360" s="259" t="str">
        <f t="shared" ca="1" si="1371"/>
        <v>MASTRO</v>
      </c>
      <c r="CZ1360" s="259" t="e">
        <f t="shared" ca="1" si="1365"/>
        <v>#N/A</v>
      </c>
      <c r="DA1360" s="259" t="str">
        <f t="shared" ca="1" si="1370"/>
        <v/>
      </c>
      <c r="DB1360" s="259" t="str">
        <f t="shared" ca="1" si="1366"/>
        <v/>
      </c>
      <c r="DC1360" s="259" t="str">
        <f t="shared" ca="1" si="1367"/>
        <v/>
      </c>
      <c r="DD1360" s="259" t="str">
        <f t="shared" ca="1" si="1368"/>
        <v/>
      </c>
      <c r="DE1360" s="259" t="str">
        <f t="shared" ca="1" si="1369"/>
        <v/>
      </c>
      <c r="DF1360" s="259">
        <f ca="1">IF(AND(CX1360=$DE$2,$DF$2&lt;&gt;0),0,IF(AND(DB1360&lt;&gt;"",OR(DB1359&lt;&gt;"",DB1361&lt;&gt;"")),MAX($DF$2:DF1359)+1,0))</f>
        <v>0</v>
      </c>
    </row>
    <row r="1361" spans="102:110">
      <c r="CX1361" s="259">
        <f t="shared" ca="1" si="1363"/>
        <v>76</v>
      </c>
      <c r="CY1361" s="259" t="str">
        <f t="shared" ca="1" si="1371"/>
        <v>MASTRO</v>
      </c>
      <c r="CZ1361" s="259" t="e">
        <f t="shared" ca="1" si="1365"/>
        <v>#N/A</v>
      </c>
      <c r="DA1361" s="259" t="str">
        <f t="shared" ca="1" si="1370"/>
        <v/>
      </c>
      <c r="DB1361" s="259" t="str">
        <f t="shared" ca="1" si="1366"/>
        <v/>
      </c>
      <c r="DC1361" s="259" t="str">
        <f t="shared" ca="1" si="1367"/>
        <v/>
      </c>
      <c r="DD1361" s="259" t="str">
        <f t="shared" ca="1" si="1368"/>
        <v/>
      </c>
      <c r="DE1361" s="259" t="str">
        <f t="shared" ca="1" si="1369"/>
        <v/>
      </c>
      <c r="DF1361" s="259">
        <f ca="1">IF(AND(CX1361=$DE$2,$DF$2&lt;&gt;0),0,IF(AND(DB1361&lt;&gt;"",OR(DB1360&lt;&gt;"",DB1362&lt;&gt;"")),MAX($DF$2:DF1360)+1,0))</f>
        <v>0</v>
      </c>
    </row>
    <row r="1362" spans="102:110">
      <c r="CX1362" s="259">
        <f t="shared" ca="1" si="1363"/>
        <v>76</v>
      </c>
      <c r="CY1362" s="259" t="str">
        <f t="shared" ca="1" si="1371"/>
        <v>MASTRO</v>
      </c>
      <c r="CZ1362" s="259" t="e">
        <f t="shared" ca="1" si="1365"/>
        <v>#N/A</v>
      </c>
      <c r="DA1362" s="259" t="str">
        <f t="shared" ca="1" si="1370"/>
        <v/>
      </c>
      <c r="DB1362" s="259" t="str">
        <f t="shared" ca="1" si="1366"/>
        <v/>
      </c>
      <c r="DC1362" s="259" t="str">
        <f t="shared" ca="1" si="1367"/>
        <v/>
      </c>
      <c r="DD1362" s="259" t="str">
        <f t="shared" ca="1" si="1368"/>
        <v/>
      </c>
      <c r="DE1362" s="259" t="str">
        <f t="shared" ca="1" si="1369"/>
        <v/>
      </c>
      <c r="DF1362" s="259">
        <f ca="1">IF(AND(CX1362=$DE$2,$DF$2&lt;&gt;0),0,IF(AND(DB1362&lt;&gt;"",OR(DB1361&lt;&gt;"",DB1363&lt;&gt;"")),MAX($DF$2:DF1361)+1,0))</f>
        <v>0</v>
      </c>
    </row>
    <row r="1363" spans="102:110">
      <c r="CX1363" s="259">
        <f t="shared" ca="1" si="1363"/>
        <v>76</v>
      </c>
      <c r="CY1363" s="259" t="str">
        <f t="shared" ca="1" si="1371"/>
        <v>MASTRO</v>
      </c>
      <c r="CZ1363" s="259" t="e">
        <f t="shared" ca="1" si="1365"/>
        <v>#N/A</v>
      </c>
      <c r="DA1363" s="259" t="str">
        <f t="shared" ca="1" si="1370"/>
        <v/>
      </c>
      <c r="DB1363" s="259" t="str">
        <f t="shared" ca="1" si="1366"/>
        <v/>
      </c>
      <c r="DC1363" s="259" t="str">
        <f t="shared" ca="1" si="1367"/>
        <v/>
      </c>
      <c r="DD1363" s="259" t="str">
        <f t="shared" ca="1" si="1368"/>
        <v/>
      </c>
      <c r="DE1363" s="259" t="str">
        <f t="shared" ca="1" si="1369"/>
        <v/>
      </c>
      <c r="DF1363" s="259">
        <f ca="1">IF(AND(CX1363=$DE$2,$DF$2&lt;&gt;0),0,IF(AND(DB1363&lt;&gt;"",OR(DB1362&lt;&gt;"",DB1364&lt;&gt;"")),MAX($DF$2:DF1362)+1,0))</f>
        <v>0</v>
      </c>
    </row>
    <row r="1364" spans="102:110">
      <c r="CX1364" s="259">
        <f t="shared" ca="1" si="1363"/>
        <v>76</v>
      </c>
      <c r="CY1364" s="259" t="str">
        <f t="shared" ca="1" si="1371"/>
        <v>MASTRO</v>
      </c>
      <c r="CZ1364" s="259" t="e">
        <f t="shared" ca="1" si="1365"/>
        <v>#N/A</v>
      </c>
      <c r="DA1364" s="259" t="str">
        <f t="shared" ca="1" si="1370"/>
        <v/>
      </c>
      <c r="DB1364" s="259" t="str">
        <f t="shared" ca="1" si="1366"/>
        <v/>
      </c>
      <c r="DC1364" s="259" t="str">
        <f t="shared" ca="1" si="1367"/>
        <v/>
      </c>
      <c r="DD1364" s="259" t="str">
        <f t="shared" ca="1" si="1368"/>
        <v/>
      </c>
      <c r="DE1364" s="259" t="str">
        <f t="shared" ca="1" si="1369"/>
        <v/>
      </c>
      <c r="DF1364" s="259">
        <f ca="1">IF(AND(CX1364=$DE$2,$DF$2&lt;&gt;0),0,IF(AND(DB1364&lt;&gt;"",OR(DB1363&lt;&gt;"",DB1365&lt;&gt;"")),MAX($DF$2:DF1363)+1,0))</f>
        <v>0</v>
      </c>
    </row>
    <row r="1365" spans="102:110">
      <c r="CX1365" s="259">
        <f t="shared" ca="1" si="1363"/>
        <v>76</v>
      </c>
      <c r="CY1365" s="259" t="str">
        <f t="shared" ca="1" si="1371"/>
        <v>MASTRO</v>
      </c>
      <c r="CZ1365" s="259" t="e">
        <f t="shared" ca="1" si="1365"/>
        <v>#N/A</v>
      </c>
      <c r="DA1365" s="259" t="str">
        <f t="shared" ca="1" si="1370"/>
        <v/>
      </c>
      <c r="DB1365" s="259" t="str">
        <f t="shared" ca="1" si="1366"/>
        <v/>
      </c>
      <c r="DC1365" s="259" t="str">
        <f t="shared" ca="1" si="1367"/>
        <v/>
      </c>
      <c r="DD1365" s="259" t="str">
        <f t="shared" ca="1" si="1368"/>
        <v/>
      </c>
      <c r="DE1365" s="259" t="str">
        <f t="shared" ca="1" si="1369"/>
        <v/>
      </c>
      <c r="DF1365" s="259">
        <f ca="1">IF(AND(CX1365=$DE$2,$DF$2&lt;&gt;0),0,IF(AND(DB1365&lt;&gt;"",OR(DB1364&lt;&gt;"",DB1366&lt;&gt;"")),MAX($DF$2:DF1364)+1,0))</f>
        <v>0</v>
      </c>
    </row>
    <row r="1366" spans="102:110">
      <c r="CX1366" s="259">
        <f t="shared" ca="1" si="1363"/>
        <v>76</v>
      </c>
      <c r="CY1366" s="259" t="str">
        <f t="shared" ca="1" si="1371"/>
        <v>MASTRO</v>
      </c>
      <c r="CZ1366" s="259" t="e">
        <f t="shared" ca="1" si="1365"/>
        <v>#N/A</v>
      </c>
      <c r="DA1366" s="259" t="str">
        <f t="shared" ca="1" si="1370"/>
        <v/>
      </c>
      <c r="DB1366" s="259" t="str">
        <f t="shared" ca="1" si="1366"/>
        <v/>
      </c>
      <c r="DC1366" s="259" t="str">
        <f t="shared" ca="1" si="1367"/>
        <v/>
      </c>
      <c r="DD1366" s="259" t="str">
        <f t="shared" ca="1" si="1368"/>
        <v/>
      </c>
      <c r="DE1366" s="259" t="str">
        <f t="shared" ca="1" si="1369"/>
        <v/>
      </c>
      <c r="DF1366" s="259">
        <f ca="1">IF(AND(CX1366=$DE$2,$DF$2&lt;&gt;0),0,IF(AND(DB1366&lt;&gt;"",OR(DB1365&lt;&gt;"",DB1367&lt;&gt;"")),MAX($DF$2:DF1365)+1,0))</f>
        <v>0</v>
      </c>
    </row>
    <row r="1367" spans="102:110">
      <c r="CX1367" s="259">
        <f t="shared" ca="1" si="1363"/>
        <v>76</v>
      </c>
      <c r="CY1367" s="259" t="str">
        <f t="shared" ca="1" si="1371"/>
        <v>MASTRO</v>
      </c>
      <c r="CZ1367" s="259" t="e">
        <f t="shared" ca="1" si="1365"/>
        <v>#N/A</v>
      </c>
      <c r="DA1367" s="259" t="str">
        <f t="shared" ca="1" si="1370"/>
        <v/>
      </c>
      <c r="DB1367" s="259" t="str">
        <f t="shared" ca="1" si="1366"/>
        <v/>
      </c>
      <c r="DC1367" s="259" t="str">
        <f t="shared" ca="1" si="1367"/>
        <v/>
      </c>
      <c r="DD1367" s="259" t="str">
        <f t="shared" ca="1" si="1368"/>
        <v/>
      </c>
      <c r="DE1367" s="259" t="str">
        <f t="shared" ca="1" si="1369"/>
        <v/>
      </c>
      <c r="DF1367" s="259">
        <f ca="1">IF(AND(CX1367=$DE$2,$DF$2&lt;&gt;0),0,IF(AND(DB1367&lt;&gt;"",OR(DB1366&lt;&gt;"",DB1368&lt;&gt;"")),MAX($DF$2:DF1366)+1,0))</f>
        <v>0</v>
      </c>
    </row>
    <row r="1368" spans="102:110">
      <c r="CX1368" s="259">
        <f t="shared" ca="1" si="1363"/>
        <v>76</v>
      </c>
      <c r="CY1368" s="259" t="str">
        <f t="shared" ca="1" si="1371"/>
        <v>MASTRO</v>
      </c>
      <c r="CZ1368" s="259" t="e">
        <f t="shared" ca="1" si="1365"/>
        <v>#N/A</v>
      </c>
      <c r="DA1368" s="259" t="str">
        <f t="shared" ca="1" si="1370"/>
        <v/>
      </c>
      <c r="DB1368" s="259" t="str">
        <f t="shared" ca="1" si="1366"/>
        <v/>
      </c>
      <c r="DC1368" s="259" t="str">
        <f t="shared" ca="1" si="1367"/>
        <v/>
      </c>
      <c r="DD1368" s="259" t="str">
        <f t="shared" ca="1" si="1368"/>
        <v/>
      </c>
      <c r="DE1368" s="259" t="str">
        <f t="shared" ca="1" si="1369"/>
        <v/>
      </c>
      <c r="DF1368" s="259">
        <f ca="1">IF(AND(CX1368=$DE$2,$DF$2&lt;&gt;0),0,IF(AND(DB1368&lt;&gt;"",OR(DB1367&lt;&gt;"",DB1369&lt;&gt;"")),MAX($DF$2:DF1367)+1,0))</f>
        <v>0</v>
      </c>
    </row>
    <row r="1369" spans="102:110">
      <c r="CX1369" s="259">
        <f t="shared" ca="1" si="1363"/>
        <v>76</v>
      </c>
      <c r="CY1369" s="259" t="str">
        <f t="shared" ca="1" si="1371"/>
        <v>MASTRO</v>
      </c>
      <c r="CZ1369" s="259" t="e">
        <f t="shared" ca="1" si="1365"/>
        <v>#N/A</v>
      </c>
      <c r="DA1369" s="259" t="str">
        <f t="shared" ca="1" si="1370"/>
        <v/>
      </c>
      <c r="DB1369" s="259" t="str">
        <f t="shared" ca="1" si="1366"/>
        <v/>
      </c>
      <c r="DC1369" s="259" t="str">
        <f t="shared" ca="1" si="1367"/>
        <v/>
      </c>
      <c r="DD1369" s="259" t="str">
        <f t="shared" ca="1" si="1368"/>
        <v/>
      </c>
      <c r="DE1369" s="259" t="str">
        <f t="shared" ca="1" si="1369"/>
        <v/>
      </c>
      <c r="DF1369" s="259">
        <f ca="1">IF(AND(CX1369=$DE$2,$DF$2&lt;&gt;0),0,IF(AND(DB1369&lt;&gt;"",OR(DB1368&lt;&gt;"",DB1370&lt;&gt;"")),MAX($DF$2:DF1368)+1,0))</f>
        <v>0</v>
      </c>
    </row>
    <row r="1370" spans="102:110">
      <c r="CX1370" s="259" t="str">
        <f>IFERROR(IF(CX1352+1=1,"",(CX1352+1)),"")</f>
        <v/>
      </c>
      <c r="CY1370" s="259" t="str">
        <f t="shared" ca="1" si="1371"/>
        <v>MASTRO</v>
      </c>
      <c r="DB1370" s="259" t="str">
        <f t="shared" ref="DB1370" ca="1" si="1372">CY1370</f>
        <v>MASTRO</v>
      </c>
      <c r="DF1370" s="259">
        <f ca="1">IF(AND(CX1370=$DE$2,$DF$2&lt;&gt;0),0,IF(AND(DB1370&lt;&gt;"",OR(DB1369&lt;&gt;"",DB1371&lt;&gt;"")),MAX($DF$2:DF1369)+1,0))</f>
        <v>0</v>
      </c>
    </row>
    <row r="1371" spans="102:110">
      <c r="CX1371" s="259">
        <f ca="1">$EA$79</f>
        <v>77</v>
      </c>
      <c r="CY1371" s="259" t="str">
        <f t="shared" ca="1" si="1371"/>
        <v>MASTRO</v>
      </c>
      <c r="DA1371" s="259" t="str">
        <f ca="1">IF(CY1370="MASTRO","Conto n.","")</f>
        <v>Conto n.</v>
      </c>
      <c r="DB1371" s="259" t="str">
        <f ca="1">IF(CY1371=0,"",INDEX(PIANO_DEI_CONTI,MATCH(DC1371,DENOMINAZIONE,0),1))</f>
        <v/>
      </c>
      <c r="DC1371" s="259" t="str">
        <f ca="1">IF(OR(CY1371=0,CY1371="mastro"),"",CY1371)</f>
        <v/>
      </c>
      <c r="DD1371" s="259" t="str">
        <f ca="1">IF(AND($DA$2=TRUE,OR(INDEX(PIANO_DEI_CONTI,MATCH($DC1371,DENOMINAZIONE,0),4)="A",INDEX(PIANO_DEI_CONTI,MATCH($DC1371,DENOMINAZIONE,0),4)="D/A"),SUMIFS(AVERE,DENOMINAZIONE_GIORNALE,"="&amp;$DC1371)&gt;SUMIFS(DARE,DENOMINAZIONE_GIORNALE,"="&amp;$DC1371)),CONCATENATE("s ",FIXED(ABS(SUMIFS(AVERE,DENOMINAZIONE_GIORNALE,"="&amp;$DC1371)-SUMIFS(DARE,DENOMINAZIONE_GIORNALE,"="&amp;$DC1371)),2)),"")</f>
        <v/>
      </c>
      <c r="DE1371" s="259" t="str">
        <f ca="1">IF(AND($DA$2=TRUE,OR(INDEX(PIANO_DEI_CONTI,MATCH($DC1371,DENOMINAZIONE,0),4)="D",INDEX(PIANO_DEI_CONTI,MATCH($DC1371,DENOMINAZIONE,0),4)="D/A"),SUMIFS(DARE,DENOMINAZIONE_GIORNALE,"="&amp;$DC1371)&gt;SUMIFS(AVERE,DENOMINAZIONE_GIORNALE,"="&amp;$DC1371)),CONCATENATE("s ",FIXED(ABS(SUMIFS(DARE,DENOMINAZIONE_GIORNALE,"="&amp;$DC1371)-SUMIFS(AVERE,DENOMINAZIONE_GIORNALE,"="&amp;$DC1371)),2)),"")</f>
        <v/>
      </c>
      <c r="DF1371" s="259">
        <f ca="1">IF(AND(CX1371=$DE$2,$DF$2&lt;&gt;0),0,IF(AND(DB1371&lt;&gt;"",OR(DB1370&lt;&gt;"",DB1372&lt;&gt;"")),MAX($DF$2:DF1370)+1,0))</f>
        <v>0</v>
      </c>
    </row>
    <row r="1372" spans="102:110">
      <c r="CX1372" s="259">
        <f t="shared" ref="CX1372:CX1387" ca="1" si="1373">$EA$79</f>
        <v>77</v>
      </c>
      <c r="CY1372" s="259" t="str">
        <f t="shared" ca="1" si="1371"/>
        <v>MASTRO</v>
      </c>
      <c r="DA1372" s="259" t="str">
        <f ca="1">IF(DB1371="","","Num. riga")</f>
        <v/>
      </c>
      <c r="DB1372" s="259" t="str">
        <f t="shared" ref="DB1372" ca="1" si="1374">IF(DB1371="","","Data")</f>
        <v/>
      </c>
      <c r="DC1372" s="259" t="str">
        <f ca="1">IF(DB1371="","","Operazioni")</f>
        <v/>
      </c>
      <c r="DD1372" s="259" t="str">
        <f ca="1">IF(DB1371="","","Dare        ")</f>
        <v/>
      </c>
      <c r="DE1372" s="259" t="str">
        <f ca="1">IF(DB1371="","","Avere        ")</f>
        <v/>
      </c>
      <c r="DF1372" s="259">
        <f ca="1">IF(AND(CX1372=$DE$2,$DF$2&lt;&gt;0),0,IF(AND(DB1372&lt;&gt;"",OR(DB1371&lt;&gt;"",DB1373&lt;&gt;"")),MAX($DF$2:DF1371)+1,0))</f>
        <v>0</v>
      </c>
    </row>
    <row r="1373" spans="102:110">
      <c r="CX1373" s="259">
        <f t="shared" ca="1" si="1373"/>
        <v>77</v>
      </c>
      <c r="CY1373" s="259" t="str">
        <f t="shared" ca="1" si="1371"/>
        <v>MASTRO</v>
      </c>
      <c r="CZ1373" s="259" t="e">
        <f t="shared" ref="CZ1373:CZ1387" ca="1" si="1375">SUM(MATCH($CY1373,INDIRECT(ADDRESS(SUM(CZ1372)+3,54)&amp;":"&amp;ADDRESS(400,54)),0),CZ1372)</f>
        <v>#N/A</v>
      </c>
      <c r="DA1373" s="259" t="str">
        <f ca="1">IFERROR(INDEX(LIBRO_GIORNALE,CZ1373,1),"")</f>
        <v/>
      </c>
      <c r="DB1373" s="259" t="str">
        <f t="shared" ref="DB1373:DB1387" ca="1" si="1376">IF(RIGHT(TEXT(IFERROR(INDEX(LIBRO_GIORNALE,CZ1373,2),""),"gg/mm/aa"),1)="a",TEXT(IFERROR(INDEX(LIBRO_GIORNALE,CZ1373,2),""),"dd/mm/yy"),TEXT(IFERROR(INDEX(LIBRO_GIORNALE,CZ1373,2),""),"gg/mm/aa"))</f>
        <v/>
      </c>
      <c r="DC1373" s="259" t="str">
        <f t="shared" ref="DC1373:DC1387" ca="1" si="1377">IF(IFERROR(INDEX(LIBRO_GIORNALE,CZ1373,4),"")=0,"manca la descrizione dell'operazione",IFERROR(INDEX(LIBRO_GIORNALE,CZ1373,4),""))</f>
        <v/>
      </c>
      <c r="DD1373" s="259" t="str">
        <f t="shared" ref="DD1373:DD1387" ca="1" si="1378">IFERROR(IF(INDEX(LIBRO_GIORNALE,CZ1373,5)&gt;0,INDEX(LIBRO_GIORNALE,CZ1373,5),""),"")</f>
        <v/>
      </c>
      <c r="DE1373" s="259" t="str">
        <f t="shared" ref="DE1373:DE1387" ca="1" si="1379">IFERROR(IF(INDEX(LIBRO_GIORNALE,CZ1373,6)&gt;0,INDEX(LIBRO_GIORNALE,CZ1373,6),""),"")</f>
        <v/>
      </c>
      <c r="DF1373" s="259">
        <f ca="1">IF(AND(CX1373=$DE$2,$DF$2&lt;&gt;0),0,IF(AND(DB1373&lt;&gt;"",OR(DB1372&lt;&gt;"",DB1374&lt;&gt;"")),MAX($DF$2:DF1372)+1,0))</f>
        <v>0</v>
      </c>
    </row>
    <row r="1374" spans="102:110">
      <c r="CX1374" s="259">
        <f t="shared" ca="1" si="1373"/>
        <v>77</v>
      </c>
      <c r="CY1374" s="259" t="str">
        <f t="shared" ca="1" si="1371"/>
        <v>MASTRO</v>
      </c>
      <c r="CZ1374" s="259" t="e">
        <f t="shared" ca="1" si="1375"/>
        <v>#N/A</v>
      </c>
      <c r="DA1374" s="259" t="str">
        <f t="shared" ref="DA1374:DA1387" ca="1" si="1380">IFERROR(INDEX(LIBRO_GIORNALE,CZ1374,1),"")</f>
        <v/>
      </c>
      <c r="DB1374" s="259" t="str">
        <f t="shared" ca="1" si="1376"/>
        <v/>
      </c>
      <c r="DC1374" s="259" t="str">
        <f t="shared" ca="1" si="1377"/>
        <v/>
      </c>
      <c r="DD1374" s="259" t="str">
        <f t="shared" ca="1" si="1378"/>
        <v/>
      </c>
      <c r="DE1374" s="259" t="str">
        <f t="shared" ca="1" si="1379"/>
        <v/>
      </c>
      <c r="DF1374" s="259">
        <f ca="1">IF(AND(CX1374=$DE$2,$DF$2&lt;&gt;0),0,IF(AND(DB1374&lt;&gt;"",OR(DB1373&lt;&gt;"",DB1375&lt;&gt;"")),MAX($DF$2:DF1373)+1,0))</f>
        <v>0</v>
      </c>
    </row>
    <row r="1375" spans="102:110">
      <c r="CX1375" s="259">
        <f t="shared" ca="1" si="1373"/>
        <v>77</v>
      </c>
      <c r="CY1375" s="259" t="str">
        <f t="shared" ca="1" si="1371"/>
        <v>MASTRO</v>
      </c>
      <c r="CZ1375" s="259" t="e">
        <f t="shared" ca="1" si="1375"/>
        <v>#N/A</v>
      </c>
      <c r="DA1375" s="259" t="str">
        <f t="shared" ca="1" si="1380"/>
        <v/>
      </c>
      <c r="DB1375" s="259" t="str">
        <f t="shared" ca="1" si="1376"/>
        <v/>
      </c>
      <c r="DC1375" s="259" t="str">
        <f t="shared" ca="1" si="1377"/>
        <v/>
      </c>
      <c r="DD1375" s="259" t="str">
        <f t="shared" ca="1" si="1378"/>
        <v/>
      </c>
      <c r="DE1375" s="259" t="str">
        <f t="shared" ca="1" si="1379"/>
        <v/>
      </c>
      <c r="DF1375" s="259">
        <f ca="1">IF(AND(CX1375=$DE$2,$DF$2&lt;&gt;0),0,IF(AND(DB1375&lt;&gt;"",OR(DB1374&lt;&gt;"",DB1376&lt;&gt;"")),MAX($DF$2:DF1374)+1,0))</f>
        <v>0</v>
      </c>
    </row>
    <row r="1376" spans="102:110">
      <c r="CX1376" s="259">
        <f t="shared" ca="1" si="1373"/>
        <v>77</v>
      </c>
      <c r="CY1376" s="259" t="str">
        <f t="shared" ca="1" si="1371"/>
        <v>MASTRO</v>
      </c>
      <c r="CZ1376" s="259" t="e">
        <f t="shared" ca="1" si="1375"/>
        <v>#N/A</v>
      </c>
      <c r="DA1376" s="259" t="str">
        <f t="shared" ca="1" si="1380"/>
        <v/>
      </c>
      <c r="DB1376" s="259" t="str">
        <f t="shared" ca="1" si="1376"/>
        <v/>
      </c>
      <c r="DC1376" s="259" t="str">
        <f t="shared" ca="1" si="1377"/>
        <v/>
      </c>
      <c r="DD1376" s="259" t="str">
        <f t="shared" ca="1" si="1378"/>
        <v/>
      </c>
      <c r="DE1376" s="259" t="str">
        <f t="shared" ca="1" si="1379"/>
        <v/>
      </c>
      <c r="DF1376" s="259">
        <f ca="1">IF(AND(CX1376=$DE$2,$DF$2&lt;&gt;0),0,IF(AND(DB1376&lt;&gt;"",OR(DB1375&lt;&gt;"",DB1377&lt;&gt;"")),MAX($DF$2:DF1375)+1,0))</f>
        <v>0</v>
      </c>
    </row>
    <row r="1377" spans="102:110">
      <c r="CX1377" s="259">
        <f t="shared" ca="1" si="1373"/>
        <v>77</v>
      </c>
      <c r="CY1377" s="259" t="str">
        <f t="shared" ca="1" si="1371"/>
        <v>MASTRO</v>
      </c>
      <c r="CZ1377" s="259" t="e">
        <f t="shared" ca="1" si="1375"/>
        <v>#N/A</v>
      </c>
      <c r="DA1377" s="259" t="str">
        <f t="shared" ca="1" si="1380"/>
        <v/>
      </c>
      <c r="DB1377" s="259" t="str">
        <f t="shared" ca="1" si="1376"/>
        <v/>
      </c>
      <c r="DC1377" s="259" t="str">
        <f t="shared" ca="1" si="1377"/>
        <v/>
      </c>
      <c r="DD1377" s="259" t="str">
        <f t="shared" ca="1" si="1378"/>
        <v/>
      </c>
      <c r="DE1377" s="259" t="str">
        <f t="shared" ca="1" si="1379"/>
        <v/>
      </c>
      <c r="DF1377" s="259">
        <f ca="1">IF(AND(CX1377=$DE$2,$DF$2&lt;&gt;0),0,IF(AND(DB1377&lt;&gt;"",OR(DB1376&lt;&gt;"",DB1378&lt;&gt;"")),MAX($DF$2:DF1376)+1,0))</f>
        <v>0</v>
      </c>
    </row>
    <row r="1378" spans="102:110">
      <c r="CX1378" s="259">
        <f t="shared" ca="1" si="1373"/>
        <v>77</v>
      </c>
      <c r="CY1378" s="259" t="str">
        <f t="shared" ca="1" si="1371"/>
        <v>MASTRO</v>
      </c>
      <c r="CZ1378" s="259" t="e">
        <f t="shared" ca="1" si="1375"/>
        <v>#N/A</v>
      </c>
      <c r="DA1378" s="259" t="str">
        <f t="shared" ca="1" si="1380"/>
        <v/>
      </c>
      <c r="DB1378" s="259" t="str">
        <f t="shared" ca="1" si="1376"/>
        <v/>
      </c>
      <c r="DC1378" s="259" t="str">
        <f t="shared" ca="1" si="1377"/>
        <v/>
      </c>
      <c r="DD1378" s="259" t="str">
        <f t="shared" ca="1" si="1378"/>
        <v/>
      </c>
      <c r="DE1378" s="259" t="str">
        <f t="shared" ca="1" si="1379"/>
        <v/>
      </c>
      <c r="DF1378" s="259">
        <f ca="1">IF(AND(CX1378=$DE$2,$DF$2&lt;&gt;0),0,IF(AND(DB1378&lt;&gt;"",OR(DB1377&lt;&gt;"",DB1379&lt;&gt;"")),MAX($DF$2:DF1377)+1,0))</f>
        <v>0</v>
      </c>
    </row>
    <row r="1379" spans="102:110">
      <c r="CX1379" s="259">
        <f t="shared" ca="1" si="1373"/>
        <v>77</v>
      </c>
      <c r="CY1379" s="259" t="str">
        <f t="shared" ca="1" si="1371"/>
        <v>MASTRO</v>
      </c>
      <c r="CZ1379" s="259" t="e">
        <f t="shared" ca="1" si="1375"/>
        <v>#N/A</v>
      </c>
      <c r="DA1379" s="259" t="str">
        <f t="shared" ca="1" si="1380"/>
        <v/>
      </c>
      <c r="DB1379" s="259" t="str">
        <f t="shared" ca="1" si="1376"/>
        <v/>
      </c>
      <c r="DC1379" s="259" t="str">
        <f t="shared" ca="1" si="1377"/>
        <v/>
      </c>
      <c r="DD1379" s="259" t="str">
        <f t="shared" ca="1" si="1378"/>
        <v/>
      </c>
      <c r="DE1379" s="259" t="str">
        <f t="shared" ca="1" si="1379"/>
        <v/>
      </c>
      <c r="DF1379" s="259">
        <f ca="1">IF(AND(CX1379=$DE$2,$DF$2&lt;&gt;0),0,IF(AND(DB1379&lt;&gt;"",OR(DB1378&lt;&gt;"",DB1380&lt;&gt;"")),MAX($DF$2:DF1378)+1,0))</f>
        <v>0</v>
      </c>
    </row>
    <row r="1380" spans="102:110">
      <c r="CX1380" s="259">
        <f t="shared" ca="1" si="1373"/>
        <v>77</v>
      </c>
      <c r="CY1380" s="259" t="str">
        <f t="shared" ca="1" si="1371"/>
        <v>MASTRO</v>
      </c>
      <c r="CZ1380" s="259" t="e">
        <f t="shared" ca="1" si="1375"/>
        <v>#N/A</v>
      </c>
      <c r="DA1380" s="259" t="str">
        <f t="shared" ca="1" si="1380"/>
        <v/>
      </c>
      <c r="DB1380" s="259" t="str">
        <f t="shared" ca="1" si="1376"/>
        <v/>
      </c>
      <c r="DC1380" s="259" t="str">
        <f t="shared" ca="1" si="1377"/>
        <v/>
      </c>
      <c r="DD1380" s="259" t="str">
        <f t="shared" ca="1" si="1378"/>
        <v/>
      </c>
      <c r="DE1380" s="259" t="str">
        <f t="shared" ca="1" si="1379"/>
        <v/>
      </c>
      <c r="DF1380" s="259">
        <f ca="1">IF(AND(CX1380=$DE$2,$DF$2&lt;&gt;0),0,IF(AND(DB1380&lt;&gt;"",OR(DB1379&lt;&gt;"",DB1381&lt;&gt;"")),MAX($DF$2:DF1379)+1,0))</f>
        <v>0</v>
      </c>
    </row>
    <row r="1381" spans="102:110">
      <c r="CX1381" s="259">
        <f t="shared" ca="1" si="1373"/>
        <v>77</v>
      </c>
      <c r="CY1381" s="259" t="str">
        <f t="shared" ca="1" si="1371"/>
        <v>MASTRO</v>
      </c>
      <c r="CZ1381" s="259" t="e">
        <f t="shared" ca="1" si="1375"/>
        <v>#N/A</v>
      </c>
      <c r="DA1381" s="259" t="str">
        <f t="shared" ca="1" si="1380"/>
        <v/>
      </c>
      <c r="DB1381" s="259" t="str">
        <f t="shared" ca="1" si="1376"/>
        <v/>
      </c>
      <c r="DC1381" s="259" t="str">
        <f t="shared" ca="1" si="1377"/>
        <v/>
      </c>
      <c r="DD1381" s="259" t="str">
        <f t="shared" ca="1" si="1378"/>
        <v/>
      </c>
      <c r="DE1381" s="259" t="str">
        <f t="shared" ca="1" si="1379"/>
        <v/>
      </c>
      <c r="DF1381" s="259">
        <f ca="1">IF(AND(CX1381=$DE$2,$DF$2&lt;&gt;0),0,IF(AND(DB1381&lt;&gt;"",OR(DB1380&lt;&gt;"",DB1382&lt;&gt;"")),MAX($DF$2:DF1380)+1,0))</f>
        <v>0</v>
      </c>
    </row>
    <row r="1382" spans="102:110">
      <c r="CX1382" s="259">
        <f t="shared" ca="1" si="1373"/>
        <v>77</v>
      </c>
      <c r="CY1382" s="259" t="str">
        <f t="shared" ca="1" si="1371"/>
        <v>MASTRO</v>
      </c>
      <c r="CZ1382" s="259" t="e">
        <f t="shared" ca="1" si="1375"/>
        <v>#N/A</v>
      </c>
      <c r="DA1382" s="259" t="str">
        <f t="shared" ca="1" si="1380"/>
        <v/>
      </c>
      <c r="DB1382" s="259" t="str">
        <f t="shared" ca="1" si="1376"/>
        <v/>
      </c>
      <c r="DC1382" s="259" t="str">
        <f t="shared" ca="1" si="1377"/>
        <v/>
      </c>
      <c r="DD1382" s="259" t="str">
        <f t="shared" ca="1" si="1378"/>
        <v/>
      </c>
      <c r="DE1382" s="259" t="str">
        <f t="shared" ca="1" si="1379"/>
        <v/>
      </c>
      <c r="DF1382" s="259">
        <f ca="1">IF(AND(CX1382=$DE$2,$DF$2&lt;&gt;0),0,IF(AND(DB1382&lt;&gt;"",OR(DB1381&lt;&gt;"",DB1383&lt;&gt;"")),MAX($DF$2:DF1381)+1,0))</f>
        <v>0</v>
      </c>
    </row>
    <row r="1383" spans="102:110">
      <c r="CX1383" s="259">
        <f t="shared" ca="1" si="1373"/>
        <v>77</v>
      </c>
      <c r="CY1383" s="259" t="str">
        <f t="shared" ca="1" si="1371"/>
        <v>MASTRO</v>
      </c>
      <c r="CZ1383" s="259" t="e">
        <f t="shared" ca="1" si="1375"/>
        <v>#N/A</v>
      </c>
      <c r="DA1383" s="259" t="str">
        <f t="shared" ca="1" si="1380"/>
        <v/>
      </c>
      <c r="DB1383" s="259" t="str">
        <f t="shared" ca="1" si="1376"/>
        <v/>
      </c>
      <c r="DC1383" s="259" t="str">
        <f t="shared" ca="1" si="1377"/>
        <v/>
      </c>
      <c r="DD1383" s="259" t="str">
        <f t="shared" ca="1" si="1378"/>
        <v/>
      </c>
      <c r="DE1383" s="259" t="str">
        <f t="shared" ca="1" si="1379"/>
        <v/>
      </c>
      <c r="DF1383" s="259">
        <f ca="1">IF(AND(CX1383=$DE$2,$DF$2&lt;&gt;0),0,IF(AND(DB1383&lt;&gt;"",OR(DB1382&lt;&gt;"",DB1384&lt;&gt;"")),MAX($DF$2:DF1382)+1,0))</f>
        <v>0</v>
      </c>
    </row>
    <row r="1384" spans="102:110">
      <c r="CX1384" s="259">
        <f t="shared" ca="1" si="1373"/>
        <v>77</v>
      </c>
      <c r="CY1384" s="259" t="str">
        <f t="shared" ca="1" si="1371"/>
        <v>MASTRO</v>
      </c>
      <c r="CZ1384" s="259" t="e">
        <f t="shared" ca="1" si="1375"/>
        <v>#N/A</v>
      </c>
      <c r="DA1384" s="259" t="str">
        <f t="shared" ca="1" si="1380"/>
        <v/>
      </c>
      <c r="DB1384" s="259" t="str">
        <f t="shared" ca="1" si="1376"/>
        <v/>
      </c>
      <c r="DC1384" s="259" t="str">
        <f t="shared" ca="1" si="1377"/>
        <v/>
      </c>
      <c r="DD1384" s="259" t="str">
        <f t="shared" ca="1" si="1378"/>
        <v/>
      </c>
      <c r="DE1384" s="259" t="str">
        <f t="shared" ca="1" si="1379"/>
        <v/>
      </c>
      <c r="DF1384" s="259">
        <f ca="1">IF(AND(CX1384=$DE$2,$DF$2&lt;&gt;0),0,IF(AND(DB1384&lt;&gt;"",OR(DB1383&lt;&gt;"",DB1385&lt;&gt;"")),MAX($DF$2:DF1383)+1,0))</f>
        <v>0</v>
      </c>
    </row>
    <row r="1385" spans="102:110">
      <c r="CX1385" s="259">
        <f t="shared" ca="1" si="1373"/>
        <v>77</v>
      </c>
      <c r="CY1385" s="259" t="str">
        <f t="shared" ca="1" si="1371"/>
        <v>MASTRO</v>
      </c>
      <c r="CZ1385" s="259" t="e">
        <f t="shared" ca="1" si="1375"/>
        <v>#N/A</v>
      </c>
      <c r="DA1385" s="259" t="str">
        <f t="shared" ca="1" si="1380"/>
        <v/>
      </c>
      <c r="DB1385" s="259" t="str">
        <f t="shared" ca="1" si="1376"/>
        <v/>
      </c>
      <c r="DC1385" s="259" t="str">
        <f t="shared" ca="1" si="1377"/>
        <v/>
      </c>
      <c r="DD1385" s="259" t="str">
        <f t="shared" ca="1" si="1378"/>
        <v/>
      </c>
      <c r="DE1385" s="259" t="str">
        <f t="shared" ca="1" si="1379"/>
        <v/>
      </c>
      <c r="DF1385" s="259">
        <f ca="1">IF(AND(CX1385=$DE$2,$DF$2&lt;&gt;0),0,IF(AND(DB1385&lt;&gt;"",OR(DB1384&lt;&gt;"",DB1386&lt;&gt;"")),MAX($DF$2:DF1384)+1,0))</f>
        <v>0</v>
      </c>
    </row>
    <row r="1386" spans="102:110">
      <c r="CX1386" s="259">
        <f t="shared" ca="1" si="1373"/>
        <v>77</v>
      </c>
      <c r="CY1386" s="259" t="str">
        <f t="shared" ca="1" si="1371"/>
        <v>MASTRO</v>
      </c>
      <c r="CZ1386" s="259" t="e">
        <f t="shared" ca="1" si="1375"/>
        <v>#N/A</v>
      </c>
      <c r="DA1386" s="259" t="str">
        <f t="shared" ca="1" si="1380"/>
        <v/>
      </c>
      <c r="DB1386" s="259" t="str">
        <f t="shared" ca="1" si="1376"/>
        <v/>
      </c>
      <c r="DC1386" s="259" t="str">
        <f t="shared" ca="1" si="1377"/>
        <v/>
      </c>
      <c r="DD1386" s="259" t="str">
        <f t="shared" ca="1" si="1378"/>
        <v/>
      </c>
      <c r="DE1386" s="259" t="str">
        <f t="shared" ca="1" si="1379"/>
        <v/>
      </c>
      <c r="DF1386" s="259">
        <f ca="1">IF(AND(CX1386=$DE$2,$DF$2&lt;&gt;0),0,IF(AND(DB1386&lt;&gt;"",OR(DB1385&lt;&gt;"",DB1387&lt;&gt;"")),MAX($DF$2:DF1385)+1,0))</f>
        <v>0</v>
      </c>
    </row>
    <row r="1387" spans="102:110">
      <c r="CX1387" s="259">
        <f t="shared" ca="1" si="1373"/>
        <v>77</v>
      </c>
      <c r="CY1387" s="259" t="str">
        <f t="shared" ca="1" si="1371"/>
        <v>MASTRO</v>
      </c>
      <c r="CZ1387" s="259" t="e">
        <f t="shared" ca="1" si="1375"/>
        <v>#N/A</v>
      </c>
      <c r="DA1387" s="259" t="str">
        <f t="shared" ca="1" si="1380"/>
        <v/>
      </c>
      <c r="DB1387" s="259" t="str">
        <f t="shared" ca="1" si="1376"/>
        <v/>
      </c>
      <c r="DC1387" s="259" t="str">
        <f t="shared" ca="1" si="1377"/>
        <v/>
      </c>
      <c r="DD1387" s="259" t="str">
        <f t="shared" ca="1" si="1378"/>
        <v/>
      </c>
      <c r="DE1387" s="259" t="str">
        <f t="shared" ca="1" si="1379"/>
        <v/>
      </c>
      <c r="DF1387" s="259">
        <f ca="1">IF(AND(CX1387=$DE$2,$DF$2&lt;&gt;0),0,IF(AND(DB1387&lt;&gt;"",OR(DB1386&lt;&gt;"",DB1388&lt;&gt;"")),MAX($DF$2:DF1386)+1,0))</f>
        <v>0</v>
      </c>
    </row>
    <row r="1388" spans="102:110">
      <c r="CX1388" s="259" t="str">
        <f>IFERROR(IF(CX1370+1=1,"",(CX1370+1)),"")</f>
        <v/>
      </c>
      <c r="CY1388" s="259" t="s">
        <v>269</v>
      </c>
      <c r="DB1388" s="259" t="str">
        <f t="shared" ref="DB1388" si="1381">CY1388</f>
        <v>MASTRO</v>
      </c>
      <c r="DF1388" s="259">
        <f ca="1">IF(AND(CX1388=$DE$2,$DF$2&lt;&gt;0),0,IF(AND(DB1388&lt;&gt;"",OR(DB1387&lt;&gt;"",DB1389&lt;&gt;"")),MAX($DF$2:DF1387)+1,0))</f>
        <v>0</v>
      </c>
    </row>
    <row r="1389" spans="102:110">
      <c r="CX1389" s="259">
        <f ca="1">$EA$80</f>
        <v>78</v>
      </c>
      <c r="CY1389" s="259" t="str">
        <f t="shared" ref="CY1389:CY1421" ca="1" si="1382">IF(ISERROR(INDEX($CV$3:$CX$2300,MATCH(CX1389,$CW$3:$CW$2300,0),1)),"MASTRO",INDEX($CV$3:$CX$2300,MATCH(CX1389,$CW$3:$CW$2300,0),1))</f>
        <v>MASTRO</v>
      </c>
      <c r="DA1389" s="259" t="str">
        <f>IF(CY1388="MASTRO","Conto n.","")</f>
        <v>Conto n.</v>
      </c>
      <c r="DB1389" s="259" t="str">
        <f ca="1">IF(CY1389=0,"",INDEX(PIANO_DEI_CONTI,MATCH(DC1389,DENOMINAZIONE,0),1))</f>
        <v/>
      </c>
      <c r="DC1389" s="259" t="str">
        <f ca="1">IF(OR(CY1389=0,CY1389="mastro"),"",CY1389)</f>
        <v/>
      </c>
      <c r="DD1389" s="259" t="str">
        <f ca="1">IF(AND($DA$2=TRUE,OR(INDEX(PIANO_DEI_CONTI,MATCH($DC1389,DENOMINAZIONE,0),4)="A",INDEX(PIANO_DEI_CONTI,MATCH($DC1389,DENOMINAZIONE,0),4)="D/A"),SUMIFS(AVERE,DENOMINAZIONE_GIORNALE,"="&amp;$DC1389)&gt;SUMIFS(DARE,DENOMINAZIONE_GIORNALE,"="&amp;$DC1389)),CONCATENATE("s ",FIXED(ABS(SUMIFS(AVERE,DENOMINAZIONE_GIORNALE,"="&amp;$DC1389)-SUMIFS(DARE,DENOMINAZIONE_GIORNALE,"="&amp;$DC1389)),2)),"")</f>
        <v/>
      </c>
      <c r="DE1389" s="259" t="str">
        <f ca="1">IF(AND($DA$2=TRUE,OR(INDEX(PIANO_DEI_CONTI,MATCH($DC1389,DENOMINAZIONE,0),4)="D",INDEX(PIANO_DEI_CONTI,MATCH($DC1389,DENOMINAZIONE,0),4)="D/A"),SUMIFS(DARE,DENOMINAZIONE_GIORNALE,"="&amp;$DC1389)&gt;SUMIFS(AVERE,DENOMINAZIONE_GIORNALE,"="&amp;$DC1389)),CONCATENATE("s ",FIXED(ABS(SUMIFS(DARE,DENOMINAZIONE_GIORNALE,"="&amp;$DC1389)-SUMIFS(AVERE,DENOMINAZIONE_GIORNALE,"="&amp;$DC1389)),2)),"")</f>
        <v/>
      </c>
      <c r="DF1389" s="259">
        <f ca="1">IF(AND(CX1389=$DE$2,$DF$2&lt;&gt;0),0,IF(AND(DB1389&lt;&gt;"",OR(DB1388&lt;&gt;"",DB1390&lt;&gt;"")),MAX($DF$2:DF1388)+1,0))</f>
        <v>0</v>
      </c>
    </row>
    <row r="1390" spans="102:110">
      <c r="CX1390" s="259">
        <f t="shared" ref="CX1390:CX1405" ca="1" si="1383">$EA$80</f>
        <v>78</v>
      </c>
      <c r="CY1390" s="259" t="str">
        <f t="shared" ca="1" si="1382"/>
        <v>MASTRO</v>
      </c>
      <c r="DA1390" s="259" t="str">
        <f ca="1">IF(DB1389="","","Num. riga")</f>
        <v/>
      </c>
      <c r="DB1390" s="259" t="str">
        <f t="shared" ref="DB1390" ca="1" si="1384">IF(DB1389="","","Data")</f>
        <v/>
      </c>
      <c r="DC1390" s="259" t="str">
        <f ca="1">IF(DB1389="","","Operazioni")</f>
        <v/>
      </c>
      <c r="DD1390" s="259" t="str">
        <f ca="1">IF(DB1389="","","Dare        ")</f>
        <v/>
      </c>
      <c r="DE1390" s="259" t="str">
        <f ca="1">IF(DB1389="","","Avere        ")</f>
        <v/>
      </c>
      <c r="DF1390" s="259">
        <f ca="1">IF(AND(CX1390=$DE$2,$DF$2&lt;&gt;0),0,IF(AND(DB1390&lt;&gt;"",OR(DB1389&lt;&gt;"",DB1391&lt;&gt;"")),MAX($DF$2:DF1389)+1,0))</f>
        <v>0</v>
      </c>
    </row>
    <row r="1391" spans="102:110">
      <c r="CX1391" s="259">
        <f t="shared" ca="1" si="1383"/>
        <v>78</v>
      </c>
      <c r="CY1391" s="259" t="str">
        <f t="shared" ca="1" si="1382"/>
        <v>MASTRO</v>
      </c>
      <c r="CZ1391" s="259" t="e">
        <f t="shared" ref="CZ1391:CZ1405" ca="1" si="1385">SUM(MATCH($CY1391,INDIRECT(ADDRESS(SUM(CZ1390)+3,54)&amp;":"&amp;ADDRESS(400,54)),0),CZ1390)</f>
        <v>#N/A</v>
      </c>
      <c r="DA1391" s="259" t="str">
        <f ca="1">IFERROR(INDEX(LIBRO_GIORNALE,CZ1391,1),"")</f>
        <v/>
      </c>
      <c r="DB1391" s="259" t="str">
        <f t="shared" ref="DB1391:DB1405" ca="1" si="1386">IF(RIGHT(TEXT(IFERROR(INDEX(LIBRO_GIORNALE,CZ1391,2),""),"gg/mm/aa"),1)="a",TEXT(IFERROR(INDEX(LIBRO_GIORNALE,CZ1391,2),""),"dd/mm/yy"),TEXT(IFERROR(INDEX(LIBRO_GIORNALE,CZ1391,2),""),"gg/mm/aa"))</f>
        <v/>
      </c>
      <c r="DC1391" s="259" t="str">
        <f t="shared" ref="DC1391:DC1405" ca="1" si="1387">IF(IFERROR(INDEX(LIBRO_GIORNALE,CZ1391,4),"")=0,"manca la descrizione dell'operazione",IFERROR(INDEX(LIBRO_GIORNALE,CZ1391,4),""))</f>
        <v/>
      </c>
      <c r="DD1391" s="259" t="str">
        <f t="shared" ref="DD1391:DD1405" ca="1" si="1388">IFERROR(IF(INDEX(LIBRO_GIORNALE,CZ1391,5)&gt;0,INDEX(LIBRO_GIORNALE,CZ1391,5),""),"")</f>
        <v/>
      </c>
      <c r="DE1391" s="259" t="str">
        <f t="shared" ref="DE1391:DE1405" ca="1" si="1389">IFERROR(IF(INDEX(LIBRO_GIORNALE,CZ1391,6)&gt;0,INDEX(LIBRO_GIORNALE,CZ1391,6),""),"")</f>
        <v/>
      </c>
      <c r="DF1391" s="259">
        <f ca="1">IF(AND(CX1391=$DE$2,$DF$2&lt;&gt;0),0,IF(AND(DB1391&lt;&gt;"",OR(DB1390&lt;&gt;"",DB1392&lt;&gt;"")),MAX($DF$2:DF1390)+1,0))</f>
        <v>0</v>
      </c>
    </row>
    <row r="1392" spans="102:110">
      <c r="CX1392" s="259">
        <f t="shared" ca="1" si="1383"/>
        <v>78</v>
      </c>
      <c r="CY1392" s="259" t="str">
        <f t="shared" ca="1" si="1382"/>
        <v>MASTRO</v>
      </c>
      <c r="CZ1392" s="259" t="e">
        <f t="shared" ca="1" si="1385"/>
        <v>#N/A</v>
      </c>
      <c r="DA1392" s="259" t="str">
        <f t="shared" ref="DA1392:DA1405" ca="1" si="1390">IFERROR(INDEX(LIBRO_GIORNALE,CZ1392,1),"")</f>
        <v/>
      </c>
      <c r="DB1392" s="259" t="str">
        <f t="shared" ca="1" si="1386"/>
        <v/>
      </c>
      <c r="DC1392" s="259" t="str">
        <f t="shared" ca="1" si="1387"/>
        <v/>
      </c>
      <c r="DD1392" s="259" t="str">
        <f t="shared" ca="1" si="1388"/>
        <v/>
      </c>
      <c r="DE1392" s="259" t="str">
        <f t="shared" ca="1" si="1389"/>
        <v/>
      </c>
      <c r="DF1392" s="259">
        <f ca="1">IF(AND(CX1392=$DE$2,$DF$2&lt;&gt;0),0,IF(AND(DB1392&lt;&gt;"",OR(DB1391&lt;&gt;"",DB1393&lt;&gt;"")),MAX($DF$2:DF1391)+1,0))</f>
        <v>0</v>
      </c>
    </row>
    <row r="1393" spans="102:110">
      <c r="CX1393" s="259">
        <f t="shared" ca="1" si="1383"/>
        <v>78</v>
      </c>
      <c r="CY1393" s="259" t="str">
        <f t="shared" ca="1" si="1382"/>
        <v>MASTRO</v>
      </c>
      <c r="CZ1393" s="259" t="e">
        <f t="shared" ca="1" si="1385"/>
        <v>#N/A</v>
      </c>
      <c r="DA1393" s="259" t="str">
        <f t="shared" ca="1" si="1390"/>
        <v/>
      </c>
      <c r="DB1393" s="259" t="str">
        <f t="shared" ca="1" si="1386"/>
        <v/>
      </c>
      <c r="DC1393" s="259" t="str">
        <f t="shared" ca="1" si="1387"/>
        <v/>
      </c>
      <c r="DD1393" s="259" t="str">
        <f t="shared" ca="1" si="1388"/>
        <v/>
      </c>
      <c r="DE1393" s="259" t="str">
        <f t="shared" ca="1" si="1389"/>
        <v/>
      </c>
      <c r="DF1393" s="259">
        <f ca="1">IF(AND(CX1393=$DE$2,$DF$2&lt;&gt;0),0,IF(AND(DB1393&lt;&gt;"",OR(DB1392&lt;&gt;"",DB1394&lt;&gt;"")),MAX($DF$2:DF1392)+1,0))</f>
        <v>0</v>
      </c>
    </row>
    <row r="1394" spans="102:110">
      <c r="CX1394" s="259">
        <f t="shared" ca="1" si="1383"/>
        <v>78</v>
      </c>
      <c r="CY1394" s="259" t="str">
        <f t="shared" ca="1" si="1382"/>
        <v>MASTRO</v>
      </c>
      <c r="CZ1394" s="259" t="e">
        <f t="shared" ca="1" si="1385"/>
        <v>#N/A</v>
      </c>
      <c r="DA1394" s="259" t="str">
        <f t="shared" ca="1" si="1390"/>
        <v/>
      </c>
      <c r="DB1394" s="259" t="str">
        <f t="shared" ca="1" si="1386"/>
        <v/>
      </c>
      <c r="DC1394" s="259" t="str">
        <f t="shared" ca="1" si="1387"/>
        <v/>
      </c>
      <c r="DD1394" s="259" t="str">
        <f t="shared" ca="1" si="1388"/>
        <v/>
      </c>
      <c r="DE1394" s="259" t="str">
        <f t="shared" ca="1" si="1389"/>
        <v/>
      </c>
      <c r="DF1394" s="259">
        <f ca="1">IF(AND(CX1394=$DE$2,$DF$2&lt;&gt;0),0,IF(AND(DB1394&lt;&gt;"",OR(DB1393&lt;&gt;"",DB1395&lt;&gt;"")),MAX($DF$2:DF1393)+1,0))</f>
        <v>0</v>
      </c>
    </row>
    <row r="1395" spans="102:110">
      <c r="CX1395" s="259">
        <f t="shared" ca="1" si="1383"/>
        <v>78</v>
      </c>
      <c r="CY1395" s="259" t="str">
        <f t="shared" ca="1" si="1382"/>
        <v>MASTRO</v>
      </c>
      <c r="CZ1395" s="259" t="e">
        <f t="shared" ca="1" si="1385"/>
        <v>#N/A</v>
      </c>
      <c r="DA1395" s="259" t="str">
        <f t="shared" ca="1" si="1390"/>
        <v/>
      </c>
      <c r="DB1395" s="259" t="str">
        <f t="shared" ca="1" si="1386"/>
        <v/>
      </c>
      <c r="DC1395" s="259" t="str">
        <f t="shared" ca="1" si="1387"/>
        <v/>
      </c>
      <c r="DD1395" s="259" t="str">
        <f t="shared" ca="1" si="1388"/>
        <v/>
      </c>
      <c r="DE1395" s="259" t="str">
        <f t="shared" ca="1" si="1389"/>
        <v/>
      </c>
      <c r="DF1395" s="259">
        <f ca="1">IF(AND(CX1395=$DE$2,$DF$2&lt;&gt;0),0,IF(AND(DB1395&lt;&gt;"",OR(DB1394&lt;&gt;"",DB1396&lt;&gt;"")),MAX($DF$2:DF1394)+1,0))</f>
        <v>0</v>
      </c>
    </row>
    <row r="1396" spans="102:110">
      <c r="CX1396" s="259">
        <f t="shared" ca="1" si="1383"/>
        <v>78</v>
      </c>
      <c r="CY1396" s="259" t="str">
        <f t="shared" ca="1" si="1382"/>
        <v>MASTRO</v>
      </c>
      <c r="CZ1396" s="259" t="e">
        <f t="shared" ca="1" si="1385"/>
        <v>#N/A</v>
      </c>
      <c r="DA1396" s="259" t="str">
        <f t="shared" ca="1" si="1390"/>
        <v/>
      </c>
      <c r="DB1396" s="259" t="str">
        <f t="shared" ca="1" si="1386"/>
        <v/>
      </c>
      <c r="DC1396" s="259" t="str">
        <f t="shared" ca="1" si="1387"/>
        <v/>
      </c>
      <c r="DD1396" s="259" t="str">
        <f t="shared" ca="1" si="1388"/>
        <v/>
      </c>
      <c r="DE1396" s="259" t="str">
        <f t="shared" ca="1" si="1389"/>
        <v/>
      </c>
      <c r="DF1396" s="259">
        <f ca="1">IF(AND(CX1396=$DE$2,$DF$2&lt;&gt;0),0,IF(AND(DB1396&lt;&gt;"",OR(DB1395&lt;&gt;"",DB1397&lt;&gt;"")),MAX($DF$2:DF1395)+1,0))</f>
        <v>0</v>
      </c>
    </row>
    <row r="1397" spans="102:110">
      <c r="CX1397" s="259">
        <f t="shared" ca="1" si="1383"/>
        <v>78</v>
      </c>
      <c r="CY1397" s="259" t="str">
        <f t="shared" ca="1" si="1382"/>
        <v>MASTRO</v>
      </c>
      <c r="CZ1397" s="259" t="e">
        <f t="shared" ca="1" si="1385"/>
        <v>#N/A</v>
      </c>
      <c r="DA1397" s="259" t="str">
        <f t="shared" ca="1" si="1390"/>
        <v/>
      </c>
      <c r="DB1397" s="259" t="str">
        <f t="shared" ca="1" si="1386"/>
        <v/>
      </c>
      <c r="DC1397" s="259" t="str">
        <f t="shared" ca="1" si="1387"/>
        <v/>
      </c>
      <c r="DD1397" s="259" t="str">
        <f t="shared" ca="1" si="1388"/>
        <v/>
      </c>
      <c r="DE1397" s="259" t="str">
        <f t="shared" ca="1" si="1389"/>
        <v/>
      </c>
      <c r="DF1397" s="259">
        <f ca="1">IF(AND(CX1397=$DE$2,$DF$2&lt;&gt;0),0,IF(AND(DB1397&lt;&gt;"",OR(DB1396&lt;&gt;"",DB1398&lt;&gt;"")),MAX($DF$2:DF1396)+1,0))</f>
        <v>0</v>
      </c>
    </row>
    <row r="1398" spans="102:110">
      <c r="CX1398" s="259">
        <f t="shared" ca="1" si="1383"/>
        <v>78</v>
      </c>
      <c r="CY1398" s="259" t="str">
        <f t="shared" ca="1" si="1382"/>
        <v>MASTRO</v>
      </c>
      <c r="CZ1398" s="259" t="e">
        <f t="shared" ca="1" si="1385"/>
        <v>#N/A</v>
      </c>
      <c r="DA1398" s="259" t="str">
        <f t="shared" ca="1" si="1390"/>
        <v/>
      </c>
      <c r="DB1398" s="259" t="str">
        <f t="shared" ca="1" si="1386"/>
        <v/>
      </c>
      <c r="DC1398" s="259" t="str">
        <f t="shared" ca="1" si="1387"/>
        <v/>
      </c>
      <c r="DD1398" s="259" t="str">
        <f t="shared" ca="1" si="1388"/>
        <v/>
      </c>
      <c r="DE1398" s="259" t="str">
        <f t="shared" ca="1" si="1389"/>
        <v/>
      </c>
      <c r="DF1398" s="259">
        <f ca="1">IF(AND(CX1398=$DE$2,$DF$2&lt;&gt;0),0,IF(AND(DB1398&lt;&gt;"",OR(DB1397&lt;&gt;"",DB1399&lt;&gt;"")),MAX($DF$2:DF1397)+1,0))</f>
        <v>0</v>
      </c>
    </row>
    <row r="1399" spans="102:110">
      <c r="CX1399" s="259">
        <f t="shared" ca="1" si="1383"/>
        <v>78</v>
      </c>
      <c r="CY1399" s="259" t="str">
        <f t="shared" ca="1" si="1382"/>
        <v>MASTRO</v>
      </c>
      <c r="CZ1399" s="259" t="e">
        <f t="shared" ca="1" si="1385"/>
        <v>#N/A</v>
      </c>
      <c r="DA1399" s="259" t="str">
        <f t="shared" ca="1" si="1390"/>
        <v/>
      </c>
      <c r="DB1399" s="259" t="str">
        <f t="shared" ca="1" si="1386"/>
        <v/>
      </c>
      <c r="DC1399" s="259" t="str">
        <f t="shared" ca="1" si="1387"/>
        <v/>
      </c>
      <c r="DD1399" s="259" t="str">
        <f t="shared" ca="1" si="1388"/>
        <v/>
      </c>
      <c r="DE1399" s="259" t="str">
        <f t="shared" ca="1" si="1389"/>
        <v/>
      </c>
      <c r="DF1399" s="259">
        <f ca="1">IF(AND(CX1399=$DE$2,$DF$2&lt;&gt;0),0,IF(AND(DB1399&lt;&gt;"",OR(DB1398&lt;&gt;"",DB1400&lt;&gt;"")),MAX($DF$2:DF1398)+1,0))</f>
        <v>0</v>
      </c>
    </row>
    <row r="1400" spans="102:110">
      <c r="CX1400" s="259">
        <f t="shared" ca="1" si="1383"/>
        <v>78</v>
      </c>
      <c r="CY1400" s="259" t="str">
        <f t="shared" ca="1" si="1382"/>
        <v>MASTRO</v>
      </c>
      <c r="CZ1400" s="259" t="e">
        <f t="shared" ca="1" si="1385"/>
        <v>#N/A</v>
      </c>
      <c r="DA1400" s="259" t="str">
        <f t="shared" ca="1" si="1390"/>
        <v/>
      </c>
      <c r="DB1400" s="259" t="str">
        <f t="shared" ca="1" si="1386"/>
        <v/>
      </c>
      <c r="DC1400" s="259" t="str">
        <f t="shared" ca="1" si="1387"/>
        <v/>
      </c>
      <c r="DD1400" s="259" t="str">
        <f t="shared" ca="1" si="1388"/>
        <v/>
      </c>
      <c r="DE1400" s="259" t="str">
        <f t="shared" ca="1" si="1389"/>
        <v/>
      </c>
      <c r="DF1400" s="259">
        <f ca="1">IF(AND(CX1400=$DE$2,$DF$2&lt;&gt;0),0,IF(AND(DB1400&lt;&gt;"",OR(DB1399&lt;&gt;"",DB1401&lt;&gt;"")),MAX($DF$2:DF1399)+1,0))</f>
        <v>0</v>
      </c>
    </row>
    <row r="1401" spans="102:110">
      <c r="CX1401" s="259">
        <f t="shared" ca="1" si="1383"/>
        <v>78</v>
      </c>
      <c r="CY1401" s="259" t="str">
        <f t="shared" ca="1" si="1382"/>
        <v>MASTRO</v>
      </c>
      <c r="CZ1401" s="259" t="e">
        <f t="shared" ca="1" si="1385"/>
        <v>#N/A</v>
      </c>
      <c r="DA1401" s="259" t="str">
        <f t="shared" ca="1" si="1390"/>
        <v/>
      </c>
      <c r="DB1401" s="259" t="str">
        <f t="shared" ca="1" si="1386"/>
        <v/>
      </c>
      <c r="DC1401" s="259" t="str">
        <f t="shared" ca="1" si="1387"/>
        <v/>
      </c>
      <c r="DD1401" s="259" t="str">
        <f t="shared" ca="1" si="1388"/>
        <v/>
      </c>
      <c r="DE1401" s="259" t="str">
        <f t="shared" ca="1" si="1389"/>
        <v/>
      </c>
      <c r="DF1401" s="259">
        <f ca="1">IF(AND(CX1401=$DE$2,$DF$2&lt;&gt;0),0,IF(AND(DB1401&lt;&gt;"",OR(DB1400&lt;&gt;"",DB1402&lt;&gt;"")),MAX($DF$2:DF1400)+1,0))</f>
        <v>0</v>
      </c>
    </row>
    <row r="1402" spans="102:110">
      <c r="CX1402" s="259">
        <f t="shared" ca="1" si="1383"/>
        <v>78</v>
      </c>
      <c r="CY1402" s="259" t="str">
        <f t="shared" ca="1" si="1382"/>
        <v>MASTRO</v>
      </c>
      <c r="CZ1402" s="259" t="e">
        <f t="shared" ca="1" si="1385"/>
        <v>#N/A</v>
      </c>
      <c r="DA1402" s="259" t="str">
        <f t="shared" ca="1" si="1390"/>
        <v/>
      </c>
      <c r="DB1402" s="259" t="str">
        <f t="shared" ca="1" si="1386"/>
        <v/>
      </c>
      <c r="DC1402" s="259" t="str">
        <f t="shared" ca="1" si="1387"/>
        <v/>
      </c>
      <c r="DD1402" s="259" t="str">
        <f t="shared" ca="1" si="1388"/>
        <v/>
      </c>
      <c r="DE1402" s="259" t="str">
        <f t="shared" ca="1" si="1389"/>
        <v/>
      </c>
      <c r="DF1402" s="259">
        <f ca="1">IF(AND(CX1402=$DE$2,$DF$2&lt;&gt;0),0,IF(AND(DB1402&lt;&gt;"",OR(DB1401&lt;&gt;"",DB1403&lt;&gt;"")),MAX($DF$2:DF1401)+1,0))</f>
        <v>0</v>
      </c>
    </row>
    <row r="1403" spans="102:110">
      <c r="CX1403" s="259">
        <f t="shared" ca="1" si="1383"/>
        <v>78</v>
      </c>
      <c r="CY1403" s="259" t="str">
        <f t="shared" ca="1" si="1382"/>
        <v>MASTRO</v>
      </c>
      <c r="CZ1403" s="259" t="e">
        <f t="shared" ca="1" si="1385"/>
        <v>#N/A</v>
      </c>
      <c r="DA1403" s="259" t="str">
        <f t="shared" ca="1" si="1390"/>
        <v/>
      </c>
      <c r="DB1403" s="259" t="str">
        <f t="shared" ca="1" si="1386"/>
        <v/>
      </c>
      <c r="DC1403" s="259" t="str">
        <f t="shared" ca="1" si="1387"/>
        <v/>
      </c>
      <c r="DD1403" s="259" t="str">
        <f t="shared" ca="1" si="1388"/>
        <v/>
      </c>
      <c r="DE1403" s="259" t="str">
        <f t="shared" ca="1" si="1389"/>
        <v/>
      </c>
      <c r="DF1403" s="259">
        <f ca="1">IF(AND(CX1403=$DE$2,$DF$2&lt;&gt;0),0,IF(AND(DB1403&lt;&gt;"",OR(DB1402&lt;&gt;"",DB1404&lt;&gt;"")),MAX($DF$2:DF1402)+1,0))</f>
        <v>0</v>
      </c>
    </row>
    <row r="1404" spans="102:110">
      <c r="CX1404" s="259">
        <f t="shared" ca="1" si="1383"/>
        <v>78</v>
      </c>
      <c r="CY1404" s="259" t="str">
        <f t="shared" ca="1" si="1382"/>
        <v>MASTRO</v>
      </c>
      <c r="CZ1404" s="259" t="e">
        <f t="shared" ca="1" si="1385"/>
        <v>#N/A</v>
      </c>
      <c r="DA1404" s="259" t="str">
        <f t="shared" ca="1" si="1390"/>
        <v/>
      </c>
      <c r="DB1404" s="259" t="str">
        <f t="shared" ca="1" si="1386"/>
        <v/>
      </c>
      <c r="DC1404" s="259" t="str">
        <f t="shared" ca="1" si="1387"/>
        <v/>
      </c>
      <c r="DD1404" s="259" t="str">
        <f t="shared" ca="1" si="1388"/>
        <v/>
      </c>
      <c r="DE1404" s="259" t="str">
        <f t="shared" ca="1" si="1389"/>
        <v/>
      </c>
      <c r="DF1404" s="259">
        <f ca="1">IF(AND(CX1404=$DE$2,$DF$2&lt;&gt;0),0,IF(AND(DB1404&lt;&gt;"",OR(DB1403&lt;&gt;"",DB1405&lt;&gt;"")),MAX($DF$2:DF1403)+1,0))</f>
        <v>0</v>
      </c>
    </row>
    <row r="1405" spans="102:110">
      <c r="CX1405" s="259">
        <f t="shared" ca="1" si="1383"/>
        <v>78</v>
      </c>
      <c r="CY1405" s="259" t="str">
        <f t="shared" ca="1" si="1382"/>
        <v>MASTRO</v>
      </c>
      <c r="CZ1405" s="259" t="e">
        <f t="shared" ca="1" si="1385"/>
        <v>#N/A</v>
      </c>
      <c r="DA1405" s="259" t="str">
        <f t="shared" ca="1" si="1390"/>
        <v/>
      </c>
      <c r="DB1405" s="259" t="str">
        <f t="shared" ca="1" si="1386"/>
        <v/>
      </c>
      <c r="DC1405" s="259" t="str">
        <f t="shared" ca="1" si="1387"/>
        <v/>
      </c>
      <c r="DD1405" s="259" t="str">
        <f t="shared" ca="1" si="1388"/>
        <v/>
      </c>
      <c r="DE1405" s="259" t="str">
        <f t="shared" ca="1" si="1389"/>
        <v/>
      </c>
      <c r="DF1405" s="259">
        <f ca="1">IF(AND(CX1405=$DE$2,$DF$2&lt;&gt;0),0,IF(AND(DB1405&lt;&gt;"",OR(DB1404&lt;&gt;"",DB1406&lt;&gt;"")),MAX($DF$2:DF1404)+1,0))</f>
        <v>0</v>
      </c>
    </row>
    <row r="1406" spans="102:110">
      <c r="CX1406" s="259" t="str">
        <f>IFERROR(IF(CX1388+1=1,"",(CX1388+1)),"")</f>
        <v/>
      </c>
      <c r="CY1406" s="259" t="str">
        <f t="shared" ca="1" si="1382"/>
        <v>MASTRO</v>
      </c>
      <c r="DB1406" s="259" t="str">
        <f t="shared" ref="DB1406" ca="1" si="1391">CY1406</f>
        <v>MASTRO</v>
      </c>
      <c r="DF1406" s="259">
        <f ca="1">IF(AND(CX1406=$DE$2,$DF$2&lt;&gt;0),0,IF(AND(DB1406&lt;&gt;"",OR(DB1405&lt;&gt;"",DB1407&lt;&gt;"")),MAX($DF$2:DF1405)+1,0))</f>
        <v>0</v>
      </c>
    </row>
    <row r="1407" spans="102:110">
      <c r="CX1407" s="259">
        <f ca="1">$EA$81</f>
        <v>79</v>
      </c>
      <c r="CY1407" s="259" t="str">
        <f t="shared" ca="1" si="1382"/>
        <v>MASTRO</v>
      </c>
      <c r="DA1407" s="259" t="str">
        <f ca="1">IF(CY1406="MASTRO","Conto n.","")</f>
        <v>Conto n.</v>
      </c>
      <c r="DB1407" s="259" t="str">
        <f ca="1">IF(CY1407=0,"",INDEX(PIANO_DEI_CONTI,MATCH(DC1407,DENOMINAZIONE,0),1))</f>
        <v/>
      </c>
      <c r="DC1407" s="259" t="str">
        <f ca="1">IF(OR(CY1407=0,CY1407="mastro"),"",CY1407)</f>
        <v/>
      </c>
      <c r="DD1407" s="259" t="str">
        <f ca="1">IF(AND($DA$2=TRUE,OR(INDEX(PIANO_DEI_CONTI,MATCH($DC1407,DENOMINAZIONE,0),4)="A",INDEX(PIANO_DEI_CONTI,MATCH($DC1407,DENOMINAZIONE,0),4)="D/A"),SUMIFS(AVERE,DENOMINAZIONE_GIORNALE,"="&amp;$DC1407)&gt;SUMIFS(DARE,DENOMINAZIONE_GIORNALE,"="&amp;$DC1407)),CONCATENATE("s ",FIXED(ABS(SUMIFS(AVERE,DENOMINAZIONE_GIORNALE,"="&amp;$DC1407)-SUMIFS(DARE,DENOMINAZIONE_GIORNALE,"="&amp;$DC1407)),2)),"")</f>
        <v/>
      </c>
      <c r="DE1407" s="259" t="str">
        <f ca="1">IF(AND($DA$2=TRUE,OR(INDEX(PIANO_DEI_CONTI,MATCH($DC1407,DENOMINAZIONE,0),4)="D",INDEX(PIANO_DEI_CONTI,MATCH($DC1407,DENOMINAZIONE,0),4)="D/A"),SUMIFS(DARE,DENOMINAZIONE_GIORNALE,"="&amp;$DC1407)&gt;SUMIFS(AVERE,DENOMINAZIONE_GIORNALE,"="&amp;$DC1407)),CONCATENATE("s ",FIXED(ABS(SUMIFS(DARE,DENOMINAZIONE_GIORNALE,"="&amp;$DC1407)-SUMIFS(AVERE,DENOMINAZIONE_GIORNALE,"="&amp;$DC1407)),2)),"")</f>
        <v/>
      </c>
      <c r="DF1407" s="259">
        <f ca="1">IF(AND(CX1407=$DE$2,$DF$2&lt;&gt;0),0,IF(AND(DB1407&lt;&gt;"",OR(DB1406&lt;&gt;"",DB1408&lt;&gt;"")),MAX($DF$2:DF1406)+1,0))</f>
        <v>0</v>
      </c>
    </row>
    <row r="1408" spans="102:110">
      <c r="CX1408" s="259">
        <f t="shared" ref="CX1408:CX1423" ca="1" si="1392">$EA$81</f>
        <v>79</v>
      </c>
      <c r="CY1408" s="259" t="str">
        <f t="shared" ca="1" si="1382"/>
        <v>MASTRO</v>
      </c>
      <c r="DA1408" s="259" t="str">
        <f ca="1">IF(DB1407="","","Num. riga")</f>
        <v/>
      </c>
      <c r="DB1408" s="259" t="str">
        <f t="shared" ref="DB1408" ca="1" si="1393">IF(DB1407="","","Data")</f>
        <v/>
      </c>
      <c r="DC1408" s="259" t="str">
        <f ca="1">IF(DB1407="","","Operazioni")</f>
        <v/>
      </c>
      <c r="DD1408" s="259" t="str">
        <f ca="1">IF(DB1407="","","Dare        ")</f>
        <v/>
      </c>
      <c r="DE1408" s="259" t="str">
        <f ca="1">IF(DB1407="","","Avere        ")</f>
        <v/>
      </c>
      <c r="DF1408" s="259">
        <f ca="1">IF(AND(CX1408=$DE$2,$DF$2&lt;&gt;0),0,IF(AND(DB1408&lt;&gt;"",OR(DB1407&lt;&gt;"",DB1409&lt;&gt;"")),MAX($DF$2:DF1407)+1,0))</f>
        <v>0</v>
      </c>
    </row>
    <row r="1409" spans="102:110">
      <c r="CX1409" s="259">
        <f t="shared" ca="1" si="1392"/>
        <v>79</v>
      </c>
      <c r="CY1409" s="259" t="str">
        <f t="shared" ca="1" si="1382"/>
        <v>MASTRO</v>
      </c>
      <c r="CZ1409" s="259" t="e">
        <f t="shared" ref="CZ1409:CZ1423" ca="1" si="1394">SUM(MATCH($CY1409,INDIRECT(ADDRESS(SUM(CZ1408)+3,54)&amp;":"&amp;ADDRESS(400,54)),0),CZ1408)</f>
        <v>#N/A</v>
      </c>
      <c r="DA1409" s="259" t="str">
        <f ca="1">IFERROR(INDEX(LIBRO_GIORNALE,CZ1409,1),"")</f>
        <v/>
      </c>
      <c r="DB1409" s="259" t="str">
        <f t="shared" ref="DB1409:DB1423" ca="1" si="1395">IF(RIGHT(TEXT(IFERROR(INDEX(LIBRO_GIORNALE,CZ1409,2),""),"gg/mm/aa"),1)="a",TEXT(IFERROR(INDEX(LIBRO_GIORNALE,CZ1409,2),""),"dd/mm/yy"),TEXT(IFERROR(INDEX(LIBRO_GIORNALE,CZ1409,2),""),"gg/mm/aa"))</f>
        <v/>
      </c>
      <c r="DC1409" s="259" t="str">
        <f t="shared" ref="DC1409:DC1423" ca="1" si="1396">IF(IFERROR(INDEX(LIBRO_GIORNALE,CZ1409,4),"")=0,"manca la descrizione dell'operazione",IFERROR(INDEX(LIBRO_GIORNALE,CZ1409,4),""))</f>
        <v/>
      </c>
      <c r="DD1409" s="259" t="str">
        <f t="shared" ref="DD1409:DD1423" ca="1" si="1397">IFERROR(IF(INDEX(LIBRO_GIORNALE,CZ1409,5)&gt;0,INDEX(LIBRO_GIORNALE,CZ1409,5),""),"")</f>
        <v/>
      </c>
      <c r="DE1409" s="259" t="str">
        <f t="shared" ref="DE1409:DE1423" ca="1" si="1398">IFERROR(IF(INDEX(LIBRO_GIORNALE,CZ1409,6)&gt;0,INDEX(LIBRO_GIORNALE,CZ1409,6),""),"")</f>
        <v/>
      </c>
      <c r="DF1409" s="259">
        <f ca="1">IF(AND(CX1409=$DE$2,$DF$2&lt;&gt;0),0,IF(AND(DB1409&lt;&gt;"",OR(DB1408&lt;&gt;"",DB1410&lt;&gt;"")),MAX($DF$2:DF1408)+1,0))</f>
        <v>0</v>
      </c>
    </row>
    <row r="1410" spans="102:110">
      <c r="CX1410" s="259">
        <f t="shared" ca="1" si="1392"/>
        <v>79</v>
      </c>
      <c r="CY1410" s="259" t="str">
        <f t="shared" ca="1" si="1382"/>
        <v>MASTRO</v>
      </c>
      <c r="CZ1410" s="259" t="e">
        <f t="shared" ca="1" si="1394"/>
        <v>#N/A</v>
      </c>
      <c r="DA1410" s="259" t="str">
        <f t="shared" ref="DA1410:DA1423" ca="1" si="1399">IFERROR(INDEX(LIBRO_GIORNALE,CZ1410,1),"")</f>
        <v/>
      </c>
      <c r="DB1410" s="259" t="str">
        <f t="shared" ca="1" si="1395"/>
        <v/>
      </c>
      <c r="DC1410" s="259" t="str">
        <f t="shared" ca="1" si="1396"/>
        <v/>
      </c>
      <c r="DD1410" s="259" t="str">
        <f t="shared" ca="1" si="1397"/>
        <v/>
      </c>
      <c r="DE1410" s="259" t="str">
        <f t="shared" ca="1" si="1398"/>
        <v/>
      </c>
      <c r="DF1410" s="259">
        <f ca="1">IF(AND(CX1410=$DE$2,$DF$2&lt;&gt;0),0,IF(AND(DB1410&lt;&gt;"",OR(DB1409&lt;&gt;"",DB1411&lt;&gt;"")),MAX($DF$2:DF1409)+1,0))</f>
        <v>0</v>
      </c>
    </row>
    <row r="1411" spans="102:110">
      <c r="CX1411" s="259">
        <f t="shared" ca="1" si="1392"/>
        <v>79</v>
      </c>
      <c r="CY1411" s="259" t="str">
        <f t="shared" ca="1" si="1382"/>
        <v>MASTRO</v>
      </c>
      <c r="CZ1411" s="259" t="e">
        <f t="shared" ca="1" si="1394"/>
        <v>#N/A</v>
      </c>
      <c r="DA1411" s="259" t="str">
        <f t="shared" ca="1" si="1399"/>
        <v/>
      </c>
      <c r="DB1411" s="259" t="str">
        <f t="shared" ca="1" si="1395"/>
        <v/>
      </c>
      <c r="DC1411" s="259" t="str">
        <f t="shared" ca="1" si="1396"/>
        <v/>
      </c>
      <c r="DD1411" s="259" t="str">
        <f t="shared" ca="1" si="1397"/>
        <v/>
      </c>
      <c r="DE1411" s="259" t="str">
        <f t="shared" ca="1" si="1398"/>
        <v/>
      </c>
      <c r="DF1411" s="259">
        <f ca="1">IF(AND(CX1411=$DE$2,$DF$2&lt;&gt;0),0,IF(AND(DB1411&lt;&gt;"",OR(DB1410&lt;&gt;"",DB1412&lt;&gt;"")),MAX($DF$2:DF1410)+1,0))</f>
        <v>0</v>
      </c>
    </row>
    <row r="1412" spans="102:110">
      <c r="CX1412" s="259">
        <f t="shared" ca="1" si="1392"/>
        <v>79</v>
      </c>
      <c r="CY1412" s="259" t="str">
        <f t="shared" ca="1" si="1382"/>
        <v>MASTRO</v>
      </c>
      <c r="CZ1412" s="259" t="e">
        <f t="shared" ca="1" si="1394"/>
        <v>#N/A</v>
      </c>
      <c r="DA1412" s="259" t="str">
        <f t="shared" ca="1" si="1399"/>
        <v/>
      </c>
      <c r="DB1412" s="259" t="str">
        <f t="shared" ca="1" si="1395"/>
        <v/>
      </c>
      <c r="DC1412" s="259" t="str">
        <f t="shared" ca="1" si="1396"/>
        <v/>
      </c>
      <c r="DD1412" s="259" t="str">
        <f t="shared" ca="1" si="1397"/>
        <v/>
      </c>
      <c r="DE1412" s="259" t="str">
        <f t="shared" ca="1" si="1398"/>
        <v/>
      </c>
      <c r="DF1412" s="259">
        <f ca="1">IF(AND(CX1412=$DE$2,$DF$2&lt;&gt;0),0,IF(AND(DB1412&lt;&gt;"",OR(DB1411&lt;&gt;"",DB1413&lt;&gt;"")),MAX($DF$2:DF1411)+1,0))</f>
        <v>0</v>
      </c>
    </row>
    <row r="1413" spans="102:110">
      <c r="CX1413" s="259">
        <f t="shared" ca="1" si="1392"/>
        <v>79</v>
      </c>
      <c r="CY1413" s="259" t="str">
        <f t="shared" ca="1" si="1382"/>
        <v>MASTRO</v>
      </c>
      <c r="CZ1413" s="259" t="e">
        <f t="shared" ca="1" si="1394"/>
        <v>#N/A</v>
      </c>
      <c r="DA1413" s="259" t="str">
        <f t="shared" ca="1" si="1399"/>
        <v/>
      </c>
      <c r="DB1413" s="259" t="str">
        <f t="shared" ca="1" si="1395"/>
        <v/>
      </c>
      <c r="DC1413" s="259" t="str">
        <f t="shared" ca="1" si="1396"/>
        <v/>
      </c>
      <c r="DD1413" s="259" t="str">
        <f t="shared" ca="1" si="1397"/>
        <v/>
      </c>
      <c r="DE1413" s="259" t="str">
        <f t="shared" ca="1" si="1398"/>
        <v/>
      </c>
      <c r="DF1413" s="259">
        <f ca="1">IF(AND(CX1413=$DE$2,$DF$2&lt;&gt;0),0,IF(AND(DB1413&lt;&gt;"",OR(DB1412&lt;&gt;"",DB1414&lt;&gt;"")),MAX($DF$2:DF1412)+1,0))</f>
        <v>0</v>
      </c>
    </row>
    <row r="1414" spans="102:110">
      <c r="CX1414" s="259">
        <f t="shared" ca="1" si="1392"/>
        <v>79</v>
      </c>
      <c r="CY1414" s="259" t="str">
        <f t="shared" ca="1" si="1382"/>
        <v>MASTRO</v>
      </c>
      <c r="CZ1414" s="259" t="e">
        <f t="shared" ca="1" si="1394"/>
        <v>#N/A</v>
      </c>
      <c r="DA1414" s="259" t="str">
        <f t="shared" ca="1" si="1399"/>
        <v/>
      </c>
      <c r="DB1414" s="259" t="str">
        <f t="shared" ca="1" si="1395"/>
        <v/>
      </c>
      <c r="DC1414" s="259" t="str">
        <f t="shared" ca="1" si="1396"/>
        <v/>
      </c>
      <c r="DD1414" s="259" t="str">
        <f t="shared" ca="1" si="1397"/>
        <v/>
      </c>
      <c r="DE1414" s="259" t="str">
        <f t="shared" ca="1" si="1398"/>
        <v/>
      </c>
      <c r="DF1414" s="259">
        <f ca="1">IF(AND(CX1414=$DE$2,$DF$2&lt;&gt;0),0,IF(AND(DB1414&lt;&gt;"",OR(DB1413&lt;&gt;"",DB1415&lt;&gt;"")),MAX($DF$2:DF1413)+1,0))</f>
        <v>0</v>
      </c>
    </row>
    <row r="1415" spans="102:110">
      <c r="CX1415" s="259">
        <f t="shared" ca="1" si="1392"/>
        <v>79</v>
      </c>
      <c r="CY1415" s="259" t="str">
        <f t="shared" ca="1" si="1382"/>
        <v>MASTRO</v>
      </c>
      <c r="CZ1415" s="259" t="e">
        <f t="shared" ca="1" si="1394"/>
        <v>#N/A</v>
      </c>
      <c r="DA1415" s="259" t="str">
        <f t="shared" ca="1" si="1399"/>
        <v/>
      </c>
      <c r="DB1415" s="259" t="str">
        <f t="shared" ca="1" si="1395"/>
        <v/>
      </c>
      <c r="DC1415" s="259" t="str">
        <f t="shared" ca="1" si="1396"/>
        <v/>
      </c>
      <c r="DD1415" s="259" t="str">
        <f t="shared" ca="1" si="1397"/>
        <v/>
      </c>
      <c r="DE1415" s="259" t="str">
        <f t="shared" ca="1" si="1398"/>
        <v/>
      </c>
      <c r="DF1415" s="259">
        <f ca="1">IF(AND(CX1415=$DE$2,$DF$2&lt;&gt;0),0,IF(AND(DB1415&lt;&gt;"",OR(DB1414&lt;&gt;"",DB1416&lt;&gt;"")),MAX($DF$2:DF1414)+1,0))</f>
        <v>0</v>
      </c>
    </row>
    <row r="1416" spans="102:110">
      <c r="CX1416" s="259">
        <f t="shared" ca="1" si="1392"/>
        <v>79</v>
      </c>
      <c r="CY1416" s="259" t="str">
        <f t="shared" ca="1" si="1382"/>
        <v>MASTRO</v>
      </c>
      <c r="CZ1416" s="259" t="e">
        <f t="shared" ca="1" si="1394"/>
        <v>#N/A</v>
      </c>
      <c r="DA1416" s="259" t="str">
        <f t="shared" ca="1" si="1399"/>
        <v/>
      </c>
      <c r="DB1416" s="259" t="str">
        <f t="shared" ca="1" si="1395"/>
        <v/>
      </c>
      <c r="DC1416" s="259" t="str">
        <f t="shared" ca="1" si="1396"/>
        <v/>
      </c>
      <c r="DD1416" s="259" t="str">
        <f t="shared" ca="1" si="1397"/>
        <v/>
      </c>
      <c r="DE1416" s="259" t="str">
        <f t="shared" ca="1" si="1398"/>
        <v/>
      </c>
      <c r="DF1416" s="259">
        <f ca="1">IF(AND(CX1416=$DE$2,$DF$2&lt;&gt;0),0,IF(AND(DB1416&lt;&gt;"",OR(DB1415&lt;&gt;"",DB1417&lt;&gt;"")),MAX($DF$2:DF1415)+1,0))</f>
        <v>0</v>
      </c>
    </row>
    <row r="1417" spans="102:110">
      <c r="CX1417" s="259">
        <f t="shared" ca="1" si="1392"/>
        <v>79</v>
      </c>
      <c r="CY1417" s="259" t="str">
        <f t="shared" ca="1" si="1382"/>
        <v>MASTRO</v>
      </c>
      <c r="CZ1417" s="259" t="e">
        <f t="shared" ca="1" si="1394"/>
        <v>#N/A</v>
      </c>
      <c r="DA1417" s="259" t="str">
        <f t="shared" ca="1" si="1399"/>
        <v/>
      </c>
      <c r="DB1417" s="259" t="str">
        <f t="shared" ca="1" si="1395"/>
        <v/>
      </c>
      <c r="DC1417" s="259" t="str">
        <f t="shared" ca="1" si="1396"/>
        <v/>
      </c>
      <c r="DD1417" s="259" t="str">
        <f t="shared" ca="1" si="1397"/>
        <v/>
      </c>
      <c r="DE1417" s="259" t="str">
        <f t="shared" ca="1" si="1398"/>
        <v/>
      </c>
      <c r="DF1417" s="259">
        <f ca="1">IF(AND(CX1417=$DE$2,$DF$2&lt;&gt;0),0,IF(AND(DB1417&lt;&gt;"",OR(DB1416&lt;&gt;"",DB1418&lt;&gt;"")),MAX($DF$2:DF1416)+1,0))</f>
        <v>0</v>
      </c>
    </row>
    <row r="1418" spans="102:110">
      <c r="CX1418" s="259">
        <f t="shared" ca="1" si="1392"/>
        <v>79</v>
      </c>
      <c r="CY1418" s="259" t="str">
        <f t="shared" ca="1" si="1382"/>
        <v>MASTRO</v>
      </c>
      <c r="CZ1418" s="259" t="e">
        <f t="shared" ca="1" si="1394"/>
        <v>#N/A</v>
      </c>
      <c r="DA1418" s="259" t="str">
        <f t="shared" ca="1" si="1399"/>
        <v/>
      </c>
      <c r="DB1418" s="259" t="str">
        <f t="shared" ca="1" si="1395"/>
        <v/>
      </c>
      <c r="DC1418" s="259" t="str">
        <f t="shared" ca="1" si="1396"/>
        <v/>
      </c>
      <c r="DD1418" s="259" t="str">
        <f t="shared" ca="1" si="1397"/>
        <v/>
      </c>
      <c r="DE1418" s="259" t="str">
        <f t="shared" ca="1" si="1398"/>
        <v/>
      </c>
      <c r="DF1418" s="259">
        <f ca="1">IF(AND(CX1418=$DE$2,$DF$2&lt;&gt;0),0,IF(AND(DB1418&lt;&gt;"",OR(DB1417&lt;&gt;"",DB1419&lt;&gt;"")),MAX($DF$2:DF1417)+1,0))</f>
        <v>0</v>
      </c>
    </row>
    <row r="1419" spans="102:110">
      <c r="CX1419" s="259">
        <f t="shared" ca="1" si="1392"/>
        <v>79</v>
      </c>
      <c r="CY1419" s="259" t="str">
        <f t="shared" ca="1" si="1382"/>
        <v>MASTRO</v>
      </c>
      <c r="CZ1419" s="259" t="e">
        <f t="shared" ca="1" si="1394"/>
        <v>#N/A</v>
      </c>
      <c r="DA1419" s="259" t="str">
        <f t="shared" ca="1" si="1399"/>
        <v/>
      </c>
      <c r="DB1419" s="259" t="str">
        <f t="shared" ca="1" si="1395"/>
        <v/>
      </c>
      <c r="DC1419" s="259" t="str">
        <f t="shared" ca="1" si="1396"/>
        <v/>
      </c>
      <c r="DD1419" s="259" t="str">
        <f t="shared" ca="1" si="1397"/>
        <v/>
      </c>
      <c r="DE1419" s="259" t="str">
        <f t="shared" ca="1" si="1398"/>
        <v/>
      </c>
      <c r="DF1419" s="259">
        <f ca="1">IF(AND(CX1419=$DE$2,$DF$2&lt;&gt;0),0,IF(AND(DB1419&lt;&gt;"",OR(DB1418&lt;&gt;"",DB1420&lt;&gt;"")),MAX($DF$2:DF1418)+1,0))</f>
        <v>0</v>
      </c>
    </row>
    <row r="1420" spans="102:110">
      <c r="CX1420" s="259">
        <f t="shared" ca="1" si="1392"/>
        <v>79</v>
      </c>
      <c r="CY1420" s="259" t="str">
        <f t="shared" ca="1" si="1382"/>
        <v>MASTRO</v>
      </c>
      <c r="CZ1420" s="259" t="e">
        <f t="shared" ca="1" si="1394"/>
        <v>#N/A</v>
      </c>
      <c r="DA1420" s="259" t="str">
        <f t="shared" ca="1" si="1399"/>
        <v/>
      </c>
      <c r="DB1420" s="259" t="str">
        <f t="shared" ca="1" si="1395"/>
        <v/>
      </c>
      <c r="DC1420" s="259" t="str">
        <f t="shared" ca="1" si="1396"/>
        <v/>
      </c>
      <c r="DD1420" s="259" t="str">
        <f t="shared" ca="1" si="1397"/>
        <v/>
      </c>
      <c r="DE1420" s="259" t="str">
        <f t="shared" ca="1" si="1398"/>
        <v/>
      </c>
      <c r="DF1420" s="259">
        <f ca="1">IF(AND(CX1420=$DE$2,$DF$2&lt;&gt;0),0,IF(AND(DB1420&lt;&gt;"",OR(DB1419&lt;&gt;"",DB1421&lt;&gt;"")),MAX($DF$2:DF1419)+1,0))</f>
        <v>0</v>
      </c>
    </row>
    <row r="1421" spans="102:110">
      <c r="CX1421" s="259">
        <f t="shared" ca="1" si="1392"/>
        <v>79</v>
      </c>
      <c r="CY1421" s="259" t="str">
        <f t="shared" ca="1" si="1382"/>
        <v>MASTRO</v>
      </c>
      <c r="CZ1421" s="259" t="e">
        <f t="shared" ca="1" si="1394"/>
        <v>#N/A</v>
      </c>
      <c r="DA1421" s="259" t="str">
        <f t="shared" ca="1" si="1399"/>
        <v/>
      </c>
      <c r="DB1421" s="259" t="str">
        <f t="shared" ca="1" si="1395"/>
        <v/>
      </c>
      <c r="DC1421" s="259" t="str">
        <f t="shared" ca="1" si="1396"/>
        <v/>
      </c>
      <c r="DD1421" s="259" t="str">
        <f t="shared" ca="1" si="1397"/>
        <v/>
      </c>
      <c r="DE1421" s="259" t="str">
        <f t="shared" ca="1" si="1398"/>
        <v/>
      </c>
      <c r="DF1421" s="259">
        <f ca="1">IF(AND(CX1421=$DE$2,$DF$2&lt;&gt;0),0,IF(AND(DB1421&lt;&gt;"",OR(DB1420&lt;&gt;"",DB1422&lt;&gt;"")),MAX($DF$2:DF1420)+1,0))</f>
        <v>0</v>
      </c>
    </row>
    <row r="1422" spans="102:110">
      <c r="CX1422" s="259">
        <f t="shared" ca="1" si="1392"/>
        <v>79</v>
      </c>
      <c r="CY1422" s="259" t="str">
        <f t="shared" ref="CY1422:CY1456" ca="1" si="1400">IF(ISERROR(INDEX($CV$3:$CX$2300,MATCH(CX1422,$CW$3:$CW$2300,0),1)),"MASTRO",INDEX($CV$3:$CX$2300,MATCH(CX1422,$CW$3:$CW$2300,0),1))</f>
        <v>MASTRO</v>
      </c>
      <c r="CZ1422" s="259" t="e">
        <f t="shared" ca="1" si="1394"/>
        <v>#N/A</v>
      </c>
      <c r="DA1422" s="259" t="str">
        <f t="shared" ca="1" si="1399"/>
        <v/>
      </c>
      <c r="DB1422" s="259" t="str">
        <f t="shared" ca="1" si="1395"/>
        <v/>
      </c>
      <c r="DC1422" s="259" t="str">
        <f t="shared" ca="1" si="1396"/>
        <v/>
      </c>
      <c r="DD1422" s="259" t="str">
        <f t="shared" ca="1" si="1397"/>
        <v/>
      </c>
      <c r="DE1422" s="259" t="str">
        <f t="shared" ca="1" si="1398"/>
        <v/>
      </c>
      <c r="DF1422" s="259">
        <f ca="1">IF(AND(CX1422=$DE$2,$DF$2&lt;&gt;0),0,IF(AND(DB1422&lt;&gt;"",OR(DB1421&lt;&gt;"",DB1423&lt;&gt;"")),MAX($DF$2:DF1421)+1,0))</f>
        <v>0</v>
      </c>
    </row>
    <row r="1423" spans="102:110">
      <c r="CX1423" s="259">
        <f t="shared" ca="1" si="1392"/>
        <v>79</v>
      </c>
      <c r="CY1423" s="259" t="str">
        <f t="shared" ca="1" si="1400"/>
        <v>MASTRO</v>
      </c>
      <c r="CZ1423" s="259" t="e">
        <f t="shared" ca="1" si="1394"/>
        <v>#N/A</v>
      </c>
      <c r="DA1423" s="259" t="str">
        <f t="shared" ca="1" si="1399"/>
        <v/>
      </c>
      <c r="DB1423" s="259" t="str">
        <f t="shared" ca="1" si="1395"/>
        <v/>
      </c>
      <c r="DC1423" s="259" t="str">
        <f t="shared" ca="1" si="1396"/>
        <v/>
      </c>
      <c r="DD1423" s="259" t="str">
        <f t="shared" ca="1" si="1397"/>
        <v/>
      </c>
      <c r="DE1423" s="259" t="str">
        <f t="shared" ca="1" si="1398"/>
        <v/>
      </c>
      <c r="DF1423" s="259">
        <f ca="1">IF(AND(CX1423=$DE$2,$DF$2&lt;&gt;0),0,IF(AND(DB1423&lt;&gt;"",OR(DB1422&lt;&gt;"",DB1424&lt;&gt;"")),MAX($DF$2:DF1422)+1,0))</f>
        <v>0</v>
      </c>
    </row>
    <row r="1424" spans="102:110">
      <c r="CX1424" s="259" t="str">
        <f>IFERROR(IF(CX1406+1=1,"",(CX1406+1)),"")</f>
        <v/>
      </c>
      <c r="CY1424" s="259" t="str">
        <f t="shared" ca="1" si="1400"/>
        <v>MASTRO</v>
      </c>
      <c r="DB1424" s="259" t="str">
        <f t="shared" ref="DB1424" ca="1" si="1401">CY1424</f>
        <v>MASTRO</v>
      </c>
      <c r="DF1424" s="259">
        <f ca="1">IF(AND(CX1424=$DE$2,$DF$2&lt;&gt;0),0,IF(AND(DB1424&lt;&gt;"",OR(DB1423&lt;&gt;"",DB1425&lt;&gt;"")),MAX($DF$2:DF1423)+1,0))</f>
        <v>0</v>
      </c>
    </row>
    <row r="1425" spans="102:110">
      <c r="CX1425" s="259">
        <f ca="1">$EA$82</f>
        <v>80</v>
      </c>
      <c r="CY1425" s="259" t="str">
        <f t="shared" ca="1" si="1400"/>
        <v>MASTRO</v>
      </c>
      <c r="DA1425" s="259" t="str">
        <f ca="1">IF(CY1424="MASTRO","Conto n.","")</f>
        <v>Conto n.</v>
      </c>
      <c r="DB1425" s="259" t="str">
        <f ca="1">IF(CY1425=0,"",INDEX(PIANO_DEI_CONTI,MATCH(DC1425,DENOMINAZIONE,0),1))</f>
        <v/>
      </c>
      <c r="DC1425" s="259" t="str">
        <f ca="1">IF(OR(CY1425=0,CY1425="mastro"),"",CY1425)</f>
        <v/>
      </c>
      <c r="DD1425" s="259" t="str">
        <f ca="1">IF(AND($DA$2=TRUE,OR(INDEX(PIANO_DEI_CONTI,MATCH($DC1425,DENOMINAZIONE,0),4)="A",INDEX(PIANO_DEI_CONTI,MATCH($DC1425,DENOMINAZIONE,0),4)="D/A"),SUMIFS(AVERE,DENOMINAZIONE_GIORNALE,"="&amp;$DC1425)&gt;SUMIFS(DARE,DENOMINAZIONE_GIORNALE,"="&amp;$DC1425)),CONCATENATE("s ",FIXED(ABS(SUMIFS(AVERE,DENOMINAZIONE_GIORNALE,"="&amp;$DC1425)-SUMIFS(DARE,DENOMINAZIONE_GIORNALE,"="&amp;$DC1425)),2)),"")</f>
        <v/>
      </c>
      <c r="DE1425" s="259" t="str">
        <f ca="1">IF(AND($DA$2=TRUE,OR(INDEX(PIANO_DEI_CONTI,MATCH($DC1425,DENOMINAZIONE,0),4)="D",INDEX(PIANO_DEI_CONTI,MATCH($DC1425,DENOMINAZIONE,0),4)="D/A"),SUMIFS(DARE,DENOMINAZIONE_GIORNALE,"="&amp;$DC1425)&gt;SUMIFS(AVERE,DENOMINAZIONE_GIORNALE,"="&amp;$DC1425)),CONCATENATE("s ",FIXED(ABS(SUMIFS(DARE,DENOMINAZIONE_GIORNALE,"="&amp;$DC1425)-SUMIFS(AVERE,DENOMINAZIONE_GIORNALE,"="&amp;$DC1425)),2)),"")</f>
        <v/>
      </c>
      <c r="DF1425" s="259">
        <f ca="1">IF(AND(CX1425=$DE$2,$DF$2&lt;&gt;0),0,IF(AND(DB1425&lt;&gt;"",OR(DB1424&lt;&gt;"",DB1426&lt;&gt;"")),MAX($DF$2:DF1424)+1,0))</f>
        <v>0</v>
      </c>
    </row>
    <row r="1426" spans="102:110">
      <c r="CX1426" s="259">
        <f t="shared" ref="CX1426:CX1441" ca="1" si="1402">$EA$82</f>
        <v>80</v>
      </c>
      <c r="CY1426" s="259" t="str">
        <f t="shared" ca="1" si="1400"/>
        <v>MASTRO</v>
      </c>
      <c r="DA1426" s="259" t="str">
        <f ca="1">IF(DB1425="","","Num. riga")</f>
        <v/>
      </c>
      <c r="DB1426" s="259" t="str">
        <f t="shared" ref="DB1426" ca="1" si="1403">IF(DB1425="","","Data")</f>
        <v/>
      </c>
      <c r="DC1426" s="259" t="str">
        <f ca="1">IF(DB1425="","","Operazioni")</f>
        <v/>
      </c>
      <c r="DD1426" s="259" t="str">
        <f ca="1">IF(DB1425="","","Dare        ")</f>
        <v/>
      </c>
      <c r="DE1426" s="259" t="str">
        <f ca="1">IF(DB1425="","","Avere        ")</f>
        <v/>
      </c>
      <c r="DF1426" s="259">
        <f ca="1">IF(AND(CX1426=$DE$2,$DF$2&lt;&gt;0),0,IF(AND(DB1426&lt;&gt;"",OR(DB1425&lt;&gt;"",DB1427&lt;&gt;"")),MAX($DF$2:DF1425)+1,0))</f>
        <v>0</v>
      </c>
    </row>
    <row r="1427" spans="102:110">
      <c r="CX1427" s="259">
        <f t="shared" ca="1" si="1402"/>
        <v>80</v>
      </c>
      <c r="CY1427" s="259" t="str">
        <f t="shared" ca="1" si="1400"/>
        <v>MASTRO</v>
      </c>
      <c r="CZ1427" s="259" t="e">
        <f t="shared" ref="CZ1427:CZ1441" ca="1" si="1404">SUM(MATCH($CY1427,INDIRECT(ADDRESS(SUM(CZ1426)+3,54)&amp;":"&amp;ADDRESS(400,54)),0),CZ1426)</f>
        <v>#N/A</v>
      </c>
      <c r="DA1427" s="259" t="str">
        <f ca="1">IFERROR(INDEX(LIBRO_GIORNALE,CZ1427,1),"")</f>
        <v/>
      </c>
      <c r="DB1427" s="259" t="str">
        <f t="shared" ref="DB1427:DB1441" ca="1" si="1405">IF(RIGHT(TEXT(IFERROR(INDEX(LIBRO_GIORNALE,CZ1427,2),""),"gg/mm/aa"),1)="a",TEXT(IFERROR(INDEX(LIBRO_GIORNALE,CZ1427,2),""),"dd/mm/yy"),TEXT(IFERROR(INDEX(LIBRO_GIORNALE,CZ1427,2),""),"gg/mm/aa"))</f>
        <v/>
      </c>
      <c r="DC1427" s="259" t="str">
        <f t="shared" ref="DC1427:DC1441" ca="1" si="1406">IF(IFERROR(INDEX(LIBRO_GIORNALE,CZ1427,4),"")=0,"manca la descrizione dell'operazione",IFERROR(INDEX(LIBRO_GIORNALE,CZ1427,4),""))</f>
        <v/>
      </c>
      <c r="DD1427" s="259" t="str">
        <f t="shared" ref="DD1427:DD1441" ca="1" si="1407">IFERROR(IF(INDEX(LIBRO_GIORNALE,CZ1427,5)&gt;0,INDEX(LIBRO_GIORNALE,CZ1427,5),""),"")</f>
        <v/>
      </c>
      <c r="DE1427" s="259" t="str">
        <f t="shared" ref="DE1427:DE1441" ca="1" si="1408">IFERROR(IF(INDEX(LIBRO_GIORNALE,CZ1427,6)&gt;0,INDEX(LIBRO_GIORNALE,CZ1427,6),""),"")</f>
        <v/>
      </c>
      <c r="DF1427" s="259">
        <f ca="1">IF(AND(CX1427=$DE$2,$DF$2&lt;&gt;0),0,IF(AND(DB1427&lt;&gt;"",OR(DB1426&lt;&gt;"",DB1428&lt;&gt;"")),MAX($DF$2:DF1426)+1,0))</f>
        <v>0</v>
      </c>
    </row>
    <row r="1428" spans="102:110">
      <c r="CX1428" s="259">
        <f t="shared" ca="1" si="1402"/>
        <v>80</v>
      </c>
      <c r="CY1428" s="259" t="str">
        <f t="shared" ca="1" si="1400"/>
        <v>MASTRO</v>
      </c>
      <c r="CZ1428" s="259" t="e">
        <f t="shared" ca="1" si="1404"/>
        <v>#N/A</v>
      </c>
      <c r="DA1428" s="259" t="str">
        <f t="shared" ref="DA1428:DA1441" ca="1" si="1409">IFERROR(INDEX(LIBRO_GIORNALE,CZ1428,1),"")</f>
        <v/>
      </c>
      <c r="DB1428" s="259" t="str">
        <f t="shared" ca="1" si="1405"/>
        <v/>
      </c>
      <c r="DC1428" s="259" t="str">
        <f t="shared" ca="1" si="1406"/>
        <v/>
      </c>
      <c r="DD1428" s="259" t="str">
        <f t="shared" ca="1" si="1407"/>
        <v/>
      </c>
      <c r="DE1428" s="259" t="str">
        <f t="shared" ca="1" si="1408"/>
        <v/>
      </c>
      <c r="DF1428" s="259">
        <f ca="1">IF(AND(CX1428=$DE$2,$DF$2&lt;&gt;0),0,IF(AND(DB1428&lt;&gt;"",OR(DB1427&lt;&gt;"",DB1429&lt;&gt;"")),MAX($DF$2:DF1427)+1,0))</f>
        <v>0</v>
      </c>
    </row>
    <row r="1429" spans="102:110">
      <c r="CX1429" s="259">
        <f t="shared" ca="1" si="1402"/>
        <v>80</v>
      </c>
      <c r="CY1429" s="259" t="str">
        <f t="shared" ca="1" si="1400"/>
        <v>MASTRO</v>
      </c>
      <c r="CZ1429" s="259" t="e">
        <f t="shared" ca="1" si="1404"/>
        <v>#N/A</v>
      </c>
      <c r="DA1429" s="259" t="str">
        <f t="shared" ca="1" si="1409"/>
        <v/>
      </c>
      <c r="DB1429" s="259" t="str">
        <f t="shared" ca="1" si="1405"/>
        <v/>
      </c>
      <c r="DC1429" s="259" t="str">
        <f t="shared" ca="1" si="1406"/>
        <v/>
      </c>
      <c r="DD1429" s="259" t="str">
        <f t="shared" ca="1" si="1407"/>
        <v/>
      </c>
      <c r="DE1429" s="259" t="str">
        <f t="shared" ca="1" si="1408"/>
        <v/>
      </c>
      <c r="DF1429" s="259">
        <f ca="1">IF(AND(CX1429=$DE$2,$DF$2&lt;&gt;0),0,IF(AND(DB1429&lt;&gt;"",OR(DB1428&lt;&gt;"",DB1430&lt;&gt;"")),MAX($DF$2:DF1428)+1,0))</f>
        <v>0</v>
      </c>
    </row>
    <row r="1430" spans="102:110">
      <c r="CX1430" s="259">
        <f t="shared" ca="1" si="1402"/>
        <v>80</v>
      </c>
      <c r="CY1430" s="259" t="str">
        <f t="shared" ca="1" si="1400"/>
        <v>MASTRO</v>
      </c>
      <c r="CZ1430" s="259" t="e">
        <f t="shared" ca="1" si="1404"/>
        <v>#N/A</v>
      </c>
      <c r="DA1430" s="259" t="str">
        <f t="shared" ca="1" si="1409"/>
        <v/>
      </c>
      <c r="DB1430" s="259" t="str">
        <f t="shared" ca="1" si="1405"/>
        <v/>
      </c>
      <c r="DC1430" s="259" t="str">
        <f t="shared" ca="1" si="1406"/>
        <v/>
      </c>
      <c r="DD1430" s="259" t="str">
        <f t="shared" ca="1" si="1407"/>
        <v/>
      </c>
      <c r="DE1430" s="259" t="str">
        <f t="shared" ca="1" si="1408"/>
        <v/>
      </c>
      <c r="DF1430" s="259">
        <f ca="1">IF(AND(CX1430=$DE$2,$DF$2&lt;&gt;0),0,IF(AND(DB1430&lt;&gt;"",OR(DB1429&lt;&gt;"",DB1431&lt;&gt;"")),MAX($DF$2:DF1429)+1,0))</f>
        <v>0</v>
      </c>
    </row>
    <row r="1431" spans="102:110">
      <c r="CX1431" s="259">
        <f t="shared" ca="1" si="1402"/>
        <v>80</v>
      </c>
      <c r="CY1431" s="259" t="str">
        <f t="shared" ca="1" si="1400"/>
        <v>MASTRO</v>
      </c>
      <c r="CZ1431" s="259" t="e">
        <f t="shared" ca="1" si="1404"/>
        <v>#N/A</v>
      </c>
      <c r="DA1431" s="259" t="str">
        <f t="shared" ca="1" si="1409"/>
        <v/>
      </c>
      <c r="DB1431" s="259" t="str">
        <f t="shared" ca="1" si="1405"/>
        <v/>
      </c>
      <c r="DC1431" s="259" t="str">
        <f t="shared" ca="1" si="1406"/>
        <v/>
      </c>
      <c r="DD1431" s="259" t="str">
        <f t="shared" ca="1" si="1407"/>
        <v/>
      </c>
      <c r="DE1431" s="259" t="str">
        <f t="shared" ca="1" si="1408"/>
        <v/>
      </c>
      <c r="DF1431" s="259">
        <f ca="1">IF(AND(CX1431=$DE$2,$DF$2&lt;&gt;0),0,IF(AND(DB1431&lt;&gt;"",OR(DB1430&lt;&gt;"",DB1432&lt;&gt;"")),MAX($DF$2:DF1430)+1,0))</f>
        <v>0</v>
      </c>
    </row>
    <row r="1432" spans="102:110">
      <c r="CX1432" s="259">
        <f t="shared" ca="1" si="1402"/>
        <v>80</v>
      </c>
      <c r="CY1432" s="259" t="str">
        <f t="shared" ca="1" si="1400"/>
        <v>MASTRO</v>
      </c>
      <c r="CZ1432" s="259" t="e">
        <f t="shared" ca="1" si="1404"/>
        <v>#N/A</v>
      </c>
      <c r="DA1432" s="259" t="str">
        <f t="shared" ca="1" si="1409"/>
        <v/>
      </c>
      <c r="DB1432" s="259" t="str">
        <f t="shared" ca="1" si="1405"/>
        <v/>
      </c>
      <c r="DC1432" s="259" t="str">
        <f t="shared" ca="1" si="1406"/>
        <v/>
      </c>
      <c r="DD1432" s="259" t="str">
        <f t="shared" ca="1" si="1407"/>
        <v/>
      </c>
      <c r="DE1432" s="259" t="str">
        <f t="shared" ca="1" si="1408"/>
        <v/>
      </c>
      <c r="DF1432" s="259">
        <f ca="1">IF(AND(CX1432=$DE$2,$DF$2&lt;&gt;0),0,IF(AND(DB1432&lt;&gt;"",OR(DB1431&lt;&gt;"",DB1433&lt;&gt;"")),MAX($DF$2:DF1431)+1,0))</f>
        <v>0</v>
      </c>
    </row>
    <row r="1433" spans="102:110">
      <c r="CX1433" s="259">
        <f t="shared" ca="1" si="1402"/>
        <v>80</v>
      </c>
      <c r="CY1433" s="259" t="str">
        <f t="shared" ca="1" si="1400"/>
        <v>MASTRO</v>
      </c>
      <c r="CZ1433" s="259" t="e">
        <f t="shared" ca="1" si="1404"/>
        <v>#N/A</v>
      </c>
      <c r="DA1433" s="259" t="str">
        <f t="shared" ca="1" si="1409"/>
        <v/>
      </c>
      <c r="DB1433" s="259" t="str">
        <f t="shared" ca="1" si="1405"/>
        <v/>
      </c>
      <c r="DC1433" s="259" t="str">
        <f t="shared" ca="1" si="1406"/>
        <v/>
      </c>
      <c r="DD1433" s="259" t="str">
        <f t="shared" ca="1" si="1407"/>
        <v/>
      </c>
      <c r="DE1433" s="259" t="str">
        <f t="shared" ca="1" si="1408"/>
        <v/>
      </c>
      <c r="DF1433" s="259">
        <f ca="1">IF(AND(CX1433=$DE$2,$DF$2&lt;&gt;0),0,IF(AND(DB1433&lt;&gt;"",OR(DB1432&lt;&gt;"",DB1434&lt;&gt;"")),MAX($DF$2:DF1432)+1,0))</f>
        <v>0</v>
      </c>
    </row>
    <row r="1434" spans="102:110">
      <c r="CX1434" s="259">
        <f t="shared" ca="1" si="1402"/>
        <v>80</v>
      </c>
      <c r="CY1434" s="259" t="str">
        <f t="shared" ca="1" si="1400"/>
        <v>MASTRO</v>
      </c>
      <c r="CZ1434" s="259" t="e">
        <f t="shared" ca="1" si="1404"/>
        <v>#N/A</v>
      </c>
      <c r="DA1434" s="259" t="str">
        <f t="shared" ca="1" si="1409"/>
        <v/>
      </c>
      <c r="DB1434" s="259" t="str">
        <f t="shared" ca="1" si="1405"/>
        <v/>
      </c>
      <c r="DC1434" s="259" t="str">
        <f t="shared" ca="1" si="1406"/>
        <v/>
      </c>
      <c r="DD1434" s="259" t="str">
        <f t="shared" ca="1" si="1407"/>
        <v/>
      </c>
      <c r="DE1434" s="259" t="str">
        <f t="shared" ca="1" si="1408"/>
        <v/>
      </c>
      <c r="DF1434" s="259">
        <f ca="1">IF(AND(CX1434=$DE$2,$DF$2&lt;&gt;0),0,IF(AND(DB1434&lt;&gt;"",OR(DB1433&lt;&gt;"",DB1435&lt;&gt;"")),MAX($DF$2:DF1433)+1,0))</f>
        <v>0</v>
      </c>
    </row>
    <row r="1435" spans="102:110">
      <c r="CX1435" s="259">
        <f t="shared" ca="1" si="1402"/>
        <v>80</v>
      </c>
      <c r="CY1435" s="259" t="str">
        <f t="shared" ca="1" si="1400"/>
        <v>MASTRO</v>
      </c>
      <c r="CZ1435" s="259" t="e">
        <f t="shared" ca="1" si="1404"/>
        <v>#N/A</v>
      </c>
      <c r="DA1435" s="259" t="str">
        <f t="shared" ca="1" si="1409"/>
        <v/>
      </c>
      <c r="DB1435" s="259" t="str">
        <f t="shared" ca="1" si="1405"/>
        <v/>
      </c>
      <c r="DC1435" s="259" t="str">
        <f t="shared" ca="1" si="1406"/>
        <v/>
      </c>
      <c r="DD1435" s="259" t="str">
        <f t="shared" ca="1" si="1407"/>
        <v/>
      </c>
      <c r="DE1435" s="259" t="str">
        <f t="shared" ca="1" si="1408"/>
        <v/>
      </c>
      <c r="DF1435" s="259">
        <f ca="1">IF(AND(CX1435=$DE$2,$DF$2&lt;&gt;0),0,IF(AND(DB1435&lt;&gt;"",OR(DB1434&lt;&gt;"",DB1436&lt;&gt;"")),MAX($DF$2:DF1434)+1,0))</f>
        <v>0</v>
      </c>
    </row>
    <row r="1436" spans="102:110">
      <c r="CX1436" s="259">
        <f t="shared" ca="1" si="1402"/>
        <v>80</v>
      </c>
      <c r="CY1436" s="259" t="str">
        <f t="shared" ca="1" si="1400"/>
        <v>MASTRO</v>
      </c>
      <c r="CZ1436" s="259" t="e">
        <f t="shared" ca="1" si="1404"/>
        <v>#N/A</v>
      </c>
      <c r="DA1436" s="259" t="str">
        <f t="shared" ca="1" si="1409"/>
        <v/>
      </c>
      <c r="DB1436" s="259" t="str">
        <f t="shared" ca="1" si="1405"/>
        <v/>
      </c>
      <c r="DC1436" s="259" t="str">
        <f t="shared" ca="1" si="1406"/>
        <v/>
      </c>
      <c r="DD1436" s="259" t="str">
        <f t="shared" ca="1" si="1407"/>
        <v/>
      </c>
      <c r="DE1436" s="259" t="str">
        <f t="shared" ca="1" si="1408"/>
        <v/>
      </c>
      <c r="DF1436" s="259">
        <f ca="1">IF(AND(CX1436=$DE$2,$DF$2&lt;&gt;0),0,IF(AND(DB1436&lt;&gt;"",OR(DB1435&lt;&gt;"",DB1437&lt;&gt;"")),MAX($DF$2:DF1435)+1,0))</f>
        <v>0</v>
      </c>
    </row>
    <row r="1437" spans="102:110">
      <c r="CX1437" s="259">
        <f t="shared" ca="1" si="1402"/>
        <v>80</v>
      </c>
      <c r="CY1437" s="259" t="str">
        <f t="shared" ca="1" si="1400"/>
        <v>MASTRO</v>
      </c>
      <c r="CZ1437" s="259" t="e">
        <f t="shared" ca="1" si="1404"/>
        <v>#N/A</v>
      </c>
      <c r="DA1437" s="259" t="str">
        <f t="shared" ca="1" si="1409"/>
        <v/>
      </c>
      <c r="DB1437" s="259" t="str">
        <f t="shared" ca="1" si="1405"/>
        <v/>
      </c>
      <c r="DC1437" s="259" t="str">
        <f t="shared" ca="1" si="1406"/>
        <v/>
      </c>
      <c r="DD1437" s="259" t="str">
        <f t="shared" ca="1" si="1407"/>
        <v/>
      </c>
      <c r="DE1437" s="259" t="str">
        <f t="shared" ca="1" si="1408"/>
        <v/>
      </c>
      <c r="DF1437" s="259">
        <f ca="1">IF(AND(CX1437=$DE$2,$DF$2&lt;&gt;0),0,IF(AND(DB1437&lt;&gt;"",OR(DB1436&lt;&gt;"",DB1438&lt;&gt;"")),MAX($DF$2:DF1436)+1,0))</f>
        <v>0</v>
      </c>
    </row>
    <row r="1438" spans="102:110">
      <c r="CX1438" s="259">
        <f t="shared" ca="1" si="1402"/>
        <v>80</v>
      </c>
      <c r="CY1438" s="259" t="str">
        <f t="shared" ca="1" si="1400"/>
        <v>MASTRO</v>
      </c>
      <c r="CZ1438" s="259" t="e">
        <f t="shared" ca="1" si="1404"/>
        <v>#N/A</v>
      </c>
      <c r="DA1438" s="259" t="str">
        <f t="shared" ca="1" si="1409"/>
        <v/>
      </c>
      <c r="DB1438" s="259" t="str">
        <f t="shared" ca="1" si="1405"/>
        <v/>
      </c>
      <c r="DC1438" s="259" t="str">
        <f t="shared" ca="1" si="1406"/>
        <v/>
      </c>
      <c r="DD1438" s="259" t="str">
        <f t="shared" ca="1" si="1407"/>
        <v/>
      </c>
      <c r="DE1438" s="259" t="str">
        <f t="shared" ca="1" si="1408"/>
        <v/>
      </c>
      <c r="DF1438" s="259">
        <f ca="1">IF(AND(CX1438=$DE$2,$DF$2&lt;&gt;0),0,IF(AND(DB1438&lt;&gt;"",OR(DB1437&lt;&gt;"",DB1439&lt;&gt;"")),MAX($DF$2:DF1437)+1,0))</f>
        <v>0</v>
      </c>
    </row>
    <row r="1439" spans="102:110">
      <c r="CX1439" s="259">
        <f t="shared" ca="1" si="1402"/>
        <v>80</v>
      </c>
      <c r="CY1439" s="259" t="str">
        <f t="shared" ca="1" si="1400"/>
        <v>MASTRO</v>
      </c>
      <c r="CZ1439" s="259" t="e">
        <f t="shared" ca="1" si="1404"/>
        <v>#N/A</v>
      </c>
      <c r="DA1439" s="259" t="str">
        <f t="shared" ca="1" si="1409"/>
        <v/>
      </c>
      <c r="DB1439" s="259" t="str">
        <f t="shared" ca="1" si="1405"/>
        <v/>
      </c>
      <c r="DC1439" s="259" t="str">
        <f t="shared" ca="1" si="1406"/>
        <v/>
      </c>
      <c r="DD1439" s="259" t="str">
        <f t="shared" ca="1" si="1407"/>
        <v/>
      </c>
      <c r="DE1439" s="259" t="str">
        <f t="shared" ca="1" si="1408"/>
        <v/>
      </c>
      <c r="DF1439" s="259">
        <f ca="1">IF(AND(CX1439=$DE$2,$DF$2&lt;&gt;0),0,IF(AND(DB1439&lt;&gt;"",OR(DB1438&lt;&gt;"",DB1440&lt;&gt;"")),MAX($DF$2:DF1438)+1,0))</f>
        <v>0</v>
      </c>
    </row>
    <row r="1440" spans="102:110">
      <c r="CX1440" s="259">
        <f t="shared" ca="1" si="1402"/>
        <v>80</v>
      </c>
      <c r="CY1440" s="259" t="str">
        <f t="shared" ca="1" si="1400"/>
        <v>MASTRO</v>
      </c>
      <c r="CZ1440" s="259" t="e">
        <f t="shared" ca="1" si="1404"/>
        <v>#N/A</v>
      </c>
      <c r="DA1440" s="259" t="str">
        <f t="shared" ca="1" si="1409"/>
        <v/>
      </c>
      <c r="DB1440" s="259" t="str">
        <f t="shared" ca="1" si="1405"/>
        <v/>
      </c>
      <c r="DC1440" s="259" t="str">
        <f t="shared" ca="1" si="1406"/>
        <v/>
      </c>
      <c r="DD1440" s="259" t="str">
        <f t="shared" ca="1" si="1407"/>
        <v/>
      </c>
      <c r="DE1440" s="259" t="str">
        <f t="shared" ca="1" si="1408"/>
        <v/>
      </c>
      <c r="DF1440" s="259">
        <f ca="1">IF(AND(CX1440=$DE$2,$DF$2&lt;&gt;0),0,IF(AND(DB1440&lt;&gt;"",OR(DB1439&lt;&gt;"",DB1441&lt;&gt;"")),MAX($DF$2:DF1439)+1,0))</f>
        <v>0</v>
      </c>
    </row>
    <row r="1441" spans="102:110">
      <c r="CX1441" s="259">
        <f t="shared" ca="1" si="1402"/>
        <v>80</v>
      </c>
      <c r="CY1441" s="259" t="str">
        <f t="shared" ca="1" si="1400"/>
        <v>MASTRO</v>
      </c>
      <c r="CZ1441" s="259" t="e">
        <f t="shared" ca="1" si="1404"/>
        <v>#N/A</v>
      </c>
      <c r="DA1441" s="259" t="str">
        <f t="shared" ca="1" si="1409"/>
        <v/>
      </c>
      <c r="DB1441" s="259" t="str">
        <f t="shared" ca="1" si="1405"/>
        <v/>
      </c>
      <c r="DC1441" s="259" t="str">
        <f t="shared" ca="1" si="1406"/>
        <v/>
      </c>
      <c r="DD1441" s="259" t="str">
        <f t="shared" ca="1" si="1407"/>
        <v/>
      </c>
      <c r="DE1441" s="259" t="str">
        <f t="shared" ca="1" si="1408"/>
        <v/>
      </c>
      <c r="DF1441" s="259">
        <f ca="1">IF(AND(CX1441=$DE$2,$DF$2&lt;&gt;0),0,IF(AND(DB1441&lt;&gt;"",OR(DB1440&lt;&gt;"",DB1442&lt;&gt;"")),MAX($DF$2:DF1440)+1,0))</f>
        <v>0</v>
      </c>
    </row>
    <row r="1442" spans="102:110">
      <c r="CX1442" s="259" t="str">
        <f>IFERROR(IF(CX1424+1=1,"",(CX1424+1)),"")</f>
        <v/>
      </c>
      <c r="CY1442" s="259" t="str">
        <f t="shared" ca="1" si="1400"/>
        <v>MASTRO</v>
      </c>
      <c r="DB1442" s="259" t="str">
        <f t="shared" ref="DB1442" ca="1" si="1410">CY1442</f>
        <v>MASTRO</v>
      </c>
      <c r="DF1442" s="259">
        <f ca="1">IF(AND(CX1442=$DE$2,$DF$2&lt;&gt;0),0,IF(AND(DB1442&lt;&gt;"",OR(DB1441&lt;&gt;"",DB1443&lt;&gt;"")),MAX($DF$2:DF1441)+1,0))</f>
        <v>0</v>
      </c>
    </row>
    <row r="1443" spans="102:110">
      <c r="CX1443" s="259">
        <f ca="1">$EA$83</f>
        <v>81</v>
      </c>
      <c r="CY1443" s="259" t="str">
        <f t="shared" ca="1" si="1400"/>
        <v>MASTRO</v>
      </c>
      <c r="DA1443" s="259" t="str">
        <f ca="1">IF(CY1442="MASTRO","Conto n.","")</f>
        <v>Conto n.</v>
      </c>
      <c r="DB1443" s="259" t="str">
        <f ca="1">IF(CY1443=0,"",INDEX(PIANO_DEI_CONTI,MATCH(DC1443,DENOMINAZIONE,0),1))</f>
        <v/>
      </c>
      <c r="DC1443" s="259" t="str">
        <f ca="1">IF(OR(CY1443=0,CY1443="mastro"),"",CY1443)</f>
        <v/>
      </c>
      <c r="DD1443" s="259" t="str">
        <f ca="1">IF(AND($DA$2=TRUE,OR(INDEX(PIANO_DEI_CONTI,MATCH($DC1443,DENOMINAZIONE,0),4)="A",INDEX(PIANO_DEI_CONTI,MATCH($DC1443,DENOMINAZIONE,0),4)="D/A"),SUMIFS(AVERE,DENOMINAZIONE_GIORNALE,"="&amp;$DC1443)&gt;SUMIFS(DARE,DENOMINAZIONE_GIORNALE,"="&amp;$DC1443)),CONCATENATE("s ",FIXED(ABS(SUMIFS(AVERE,DENOMINAZIONE_GIORNALE,"="&amp;$DC1443)-SUMIFS(DARE,DENOMINAZIONE_GIORNALE,"="&amp;$DC1443)),2)),"")</f>
        <v/>
      </c>
      <c r="DE1443" s="259" t="str">
        <f ca="1">IF(AND($DA$2=TRUE,OR(INDEX(PIANO_DEI_CONTI,MATCH($DC1443,DENOMINAZIONE,0),4)="D",INDEX(PIANO_DEI_CONTI,MATCH($DC1443,DENOMINAZIONE,0),4)="D/A"),SUMIFS(DARE,DENOMINAZIONE_GIORNALE,"="&amp;$DC1443)&gt;SUMIFS(AVERE,DENOMINAZIONE_GIORNALE,"="&amp;$DC1443)),CONCATENATE("s ",FIXED(ABS(SUMIFS(DARE,DENOMINAZIONE_GIORNALE,"="&amp;$DC1443)-SUMIFS(AVERE,DENOMINAZIONE_GIORNALE,"="&amp;$DC1443)),2)),"")</f>
        <v/>
      </c>
      <c r="DF1443" s="259">
        <f ca="1">IF(AND(CX1443=$DE$2,$DF$2&lt;&gt;0),0,IF(AND(DB1443&lt;&gt;"",OR(DB1442&lt;&gt;"",DB1444&lt;&gt;"")),MAX($DF$2:DF1442)+1,0))</f>
        <v>0</v>
      </c>
    </row>
    <row r="1444" spans="102:110">
      <c r="CX1444" s="259">
        <f t="shared" ref="CX1444:CX1459" ca="1" si="1411">$EA$83</f>
        <v>81</v>
      </c>
      <c r="CY1444" s="259" t="str">
        <f t="shared" ca="1" si="1400"/>
        <v>MASTRO</v>
      </c>
      <c r="DA1444" s="259" t="str">
        <f ca="1">IF(DB1443="","","Num. riga")</f>
        <v/>
      </c>
      <c r="DB1444" s="259" t="str">
        <f t="shared" ref="DB1444" ca="1" si="1412">IF(DB1443="","","Data")</f>
        <v/>
      </c>
      <c r="DC1444" s="259" t="str">
        <f ca="1">IF(DB1443="","","Operazioni")</f>
        <v/>
      </c>
      <c r="DD1444" s="259" t="str">
        <f ca="1">IF(DB1443="","","Dare        ")</f>
        <v/>
      </c>
      <c r="DE1444" s="259" t="str">
        <f ca="1">IF(DB1443="","","Avere        ")</f>
        <v/>
      </c>
      <c r="DF1444" s="259">
        <f ca="1">IF(AND(CX1444=$DE$2,$DF$2&lt;&gt;0),0,IF(AND(DB1444&lt;&gt;"",OR(DB1443&lt;&gt;"",DB1445&lt;&gt;"")),MAX($DF$2:DF1443)+1,0))</f>
        <v>0</v>
      </c>
    </row>
    <row r="1445" spans="102:110">
      <c r="CX1445" s="259">
        <f t="shared" ca="1" si="1411"/>
        <v>81</v>
      </c>
      <c r="CY1445" s="259" t="str">
        <f t="shared" ca="1" si="1400"/>
        <v>MASTRO</v>
      </c>
      <c r="CZ1445" s="259" t="e">
        <f t="shared" ref="CZ1445:CZ1459" ca="1" si="1413">SUM(MATCH($CY1445,INDIRECT(ADDRESS(SUM(CZ1444)+3,54)&amp;":"&amp;ADDRESS(400,54)),0),CZ1444)</f>
        <v>#N/A</v>
      </c>
      <c r="DA1445" s="259" t="str">
        <f ca="1">IFERROR(INDEX(LIBRO_GIORNALE,CZ1445,1),"")</f>
        <v/>
      </c>
      <c r="DB1445" s="259" t="str">
        <f t="shared" ref="DB1445:DB1459" ca="1" si="1414">IF(RIGHT(TEXT(IFERROR(INDEX(LIBRO_GIORNALE,CZ1445,2),""),"gg/mm/aa"),1)="a",TEXT(IFERROR(INDEX(LIBRO_GIORNALE,CZ1445,2),""),"dd/mm/yy"),TEXT(IFERROR(INDEX(LIBRO_GIORNALE,CZ1445,2),""),"gg/mm/aa"))</f>
        <v/>
      </c>
      <c r="DC1445" s="259" t="str">
        <f t="shared" ref="DC1445:DC1459" ca="1" si="1415">IF(IFERROR(INDEX(LIBRO_GIORNALE,CZ1445,4),"")=0,"manca la descrizione dell'operazione",IFERROR(INDEX(LIBRO_GIORNALE,CZ1445,4),""))</f>
        <v/>
      </c>
      <c r="DD1445" s="259" t="str">
        <f t="shared" ref="DD1445:DD1459" ca="1" si="1416">IFERROR(IF(INDEX(LIBRO_GIORNALE,CZ1445,5)&gt;0,INDEX(LIBRO_GIORNALE,CZ1445,5),""),"")</f>
        <v/>
      </c>
      <c r="DE1445" s="259" t="str">
        <f t="shared" ref="DE1445:DE1459" ca="1" si="1417">IFERROR(IF(INDEX(LIBRO_GIORNALE,CZ1445,6)&gt;0,INDEX(LIBRO_GIORNALE,CZ1445,6),""),"")</f>
        <v/>
      </c>
      <c r="DF1445" s="259">
        <f ca="1">IF(AND(CX1445=$DE$2,$DF$2&lt;&gt;0),0,IF(AND(DB1445&lt;&gt;"",OR(DB1444&lt;&gt;"",DB1446&lt;&gt;"")),MAX($DF$2:DF1444)+1,0))</f>
        <v>0</v>
      </c>
    </row>
    <row r="1446" spans="102:110">
      <c r="CX1446" s="259">
        <f t="shared" ca="1" si="1411"/>
        <v>81</v>
      </c>
      <c r="CY1446" s="259" t="str">
        <f t="shared" ca="1" si="1400"/>
        <v>MASTRO</v>
      </c>
      <c r="CZ1446" s="259" t="e">
        <f t="shared" ca="1" si="1413"/>
        <v>#N/A</v>
      </c>
      <c r="DA1446" s="259" t="str">
        <f t="shared" ref="DA1446:DA1459" ca="1" si="1418">IFERROR(INDEX(LIBRO_GIORNALE,CZ1446,1),"")</f>
        <v/>
      </c>
      <c r="DB1446" s="259" t="str">
        <f t="shared" ca="1" si="1414"/>
        <v/>
      </c>
      <c r="DC1446" s="259" t="str">
        <f t="shared" ca="1" si="1415"/>
        <v/>
      </c>
      <c r="DD1446" s="259" t="str">
        <f t="shared" ca="1" si="1416"/>
        <v/>
      </c>
      <c r="DE1446" s="259" t="str">
        <f t="shared" ca="1" si="1417"/>
        <v/>
      </c>
      <c r="DF1446" s="259">
        <f ca="1">IF(AND(CX1446=$DE$2,$DF$2&lt;&gt;0),0,IF(AND(DB1446&lt;&gt;"",OR(DB1445&lt;&gt;"",DB1447&lt;&gt;"")),MAX($DF$2:DF1445)+1,0))</f>
        <v>0</v>
      </c>
    </row>
    <row r="1447" spans="102:110">
      <c r="CX1447" s="259">
        <f t="shared" ca="1" si="1411"/>
        <v>81</v>
      </c>
      <c r="CY1447" s="259" t="str">
        <f t="shared" ca="1" si="1400"/>
        <v>MASTRO</v>
      </c>
      <c r="CZ1447" s="259" t="e">
        <f t="shared" ca="1" si="1413"/>
        <v>#N/A</v>
      </c>
      <c r="DA1447" s="259" t="str">
        <f t="shared" ca="1" si="1418"/>
        <v/>
      </c>
      <c r="DB1447" s="259" t="str">
        <f t="shared" ca="1" si="1414"/>
        <v/>
      </c>
      <c r="DC1447" s="259" t="str">
        <f t="shared" ca="1" si="1415"/>
        <v/>
      </c>
      <c r="DD1447" s="259" t="str">
        <f t="shared" ca="1" si="1416"/>
        <v/>
      </c>
      <c r="DE1447" s="259" t="str">
        <f t="shared" ca="1" si="1417"/>
        <v/>
      </c>
      <c r="DF1447" s="259">
        <f ca="1">IF(AND(CX1447=$DE$2,$DF$2&lt;&gt;0),0,IF(AND(DB1447&lt;&gt;"",OR(DB1446&lt;&gt;"",DB1448&lt;&gt;"")),MAX($DF$2:DF1446)+1,0))</f>
        <v>0</v>
      </c>
    </row>
    <row r="1448" spans="102:110">
      <c r="CX1448" s="259">
        <f t="shared" ca="1" si="1411"/>
        <v>81</v>
      </c>
      <c r="CY1448" s="259" t="str">
        <f t="shared" ca="1" si="1400"/>
        <v>MASTRO</v>
      </c>
      <c r="CZ1448" s="259" t="e">
        <f t="shared" ca="1" si="1413"/>
        <v>#N/A</v>
      </c>
      <c r="DA1448" s="259" t="str">
        <f t="shared" ca="1" si="1418"/>
        <v/>
      </c>
      <c r="DB1448" s="259" t="str">
        <f t="shared" ca="1" si="1414"/>
        <v/>
      </c>
      <c r="DC1448" s="259" t="str">
        <f t="shared" ca="1" si="1415"/>
        <v/>
      </c>
      <c r="DD1448" s="259" t="str">
        <f t="shared" ca="1" si="1416"/>
        <v/>
      </c>
      <c r="DE1448" s="259" t="str">
        <f t="shared" ca="1" si="1417"/>
        <v/>
      </c>
      <c r="DF1448" s="259">
        <f ca="1">IF(AND(CX1448=$DE$2,$DF$2&lt;&gt;0),0,IF(AND(DB1448&lt;&gt;"",OR(DB1447&lt;&gt;"",DB1449&lt;&gt;"")),MAX($DF$2:DF1447)+1,0))</f>
        <v>0</v>
      </c>
    </row>
    <row r="1449" spans="102:110">
      <c r="CX1449" s="259">
        <f t="shared" ca="1" si="1411"/>
        <v>81</v>
      </c>
      <c r="CY1449" s="259" t="str">
        <f t="shared" ca="1" si="1400"/>
        <v>MASTRO</v>
      </c>
      <c r="CZ1449" s="259" t="e">
        <f t="shared" ca="1" si="1413"/>
        <v>#N/A</v>
      </c>
      <c r="DA1449" s="259" t="str">
        <f t="shared" ca="1" si="1418"/>
        <v/>
      </c>
      <c r="DB1449" s="259" t="str">
        <f t="shared" ca="1" si="1414"/>
        <v/>
      </c>
      <c r="DC1449" s="259" t="str">
        <f t="shared" ca="1" si="1415"/>
        <v/>
      </c>
      <c r="DD1449" s="259" t="str">
        <f t="shared" ca="1" si="1416"/>
        <v/>
      </c>
      <c r="DE1449" s="259" t="str">
        <f t="shared" ca="1" si="1417"/>
        <v/>
      </c>
      <c r="DF1449" s="259">
        <f ca="1">IF(AND(CX1449=$DE$2,$DF$2&lt;&gt;0),0,IF(AND(DB1449&lt;&gt;"",OR(DB1448&lt;&gt;"",DB1450&lt;&gt;"")),MAX($DF$2:DF1448)+1,0))</f>
        <v>0</v>
      </c>
    </row>
    <row r="1450" spans="102:110">
      <c r="CX1450" s="259">
        <f t="shared" ca="1" si="1411"/>
        <v>81</v>
      </c>
      <c r="CY1450" s="259" t="str">
        <f t="shared" ca="1" si="1400"/>
        <v>MASTRO</v>
      </c>
      <c r="CZ1450" s="259" t="e">
        <f t="shared" ca="1" si="1413"/>
        <v>#N/A</v>
      </c>
      <c r="DA1450" s="259" t="str">
        <f t="shared" ca="1" si="1418"/>
        <v/>
      </c>
      <c r="DB1450" s="259" t="str">
        <f t="shared" ca="1" si="1414"/>
        <v/>
      </c>
      <c r="DC1450" s="259" t="str">
        <f t="shared" ca="1" si="1415"/>
        <v/>
      </c>
      <c r="DD1450" s="259" t="str">
        <f t="shared" ca="1" si="1416"/>
        <v/>
      </c>
      <c r="DE1450" s="259" t="str">
        <f t="shared" ca="1" si="1417"/>
        <v/>
      </c>
      <c r="DF1450" s="259">
        <f ca="1">IF(AND(CX1450=$DE$2,$DF$2&lt;&gt;0),0,IF(AND(DB1450&lt;&gt;"",OR(DB1449&lt;&gt;"",DB1451&lt;&gt;"")),MAX($DF$2:DF1449)+1,0))</f>
        <v>0</v>
      </c>
    </row>
    <row r="1451" spans="102:110">
      <c r="CX1451" s="259">
        <f t="shared" ca="1" si="1411"/>
        <v>81</v>
      </c>
      <c r="CY1451" s="259" t="str">
        <f t="shared" ca="1" si="1400"/>
        <v>MASTRO</v>
      </c>
      <c r="CZ1451" s="259" t="e">
        <f t="shared" ca="1" si="1413"/>
        <v>#N/A</v>
      </c>
      <c r="DA1451" s="259" t="str">
        <f t="shared" ca="1" si="1418"/>
        <v/>
      </c>
      <c r="DB1451" s="259" t="str">
        <f t="shared" ca="1" si="1414"/>
        <v/>
      </c>
      <c r="DC1451" s="259" t="str">
        <f t="shared" ca="1" si="1415"/>
        <v/>
      </c>
      <c r="DD1451" s="259" t="str">
        <f t="shared" ca="1" si="1416"/>
        <v/>
      </c>
      <c r="DE1451" s="259" t="str">
        <f t="shared" ca="1" si="1417"/>
        <v/>
      </c>
      <c r="DF1451" s="259">
        <f ca="1">IF(AND(CX1451=$DE$2,$DF$2&lt;&gt;0),0,IF(AND(DB1451&lt;&gt;"",OR(DB1450&lt;&gt;"",DB1452&lt;&gt;"")),MAX($DF$2:DF1450)+1,0))</f>
        <v>0</v>
      </c>
    </row>
    <row r="1452" spans="102:110">
      <c r="CX1452" s="259">
        <f t="shared" ca="1" si="1411"/>
        <v>81</v>
      </c>
      <c r="CY1452" s="259" t="str">
        <f t="shared" ca="1" si="1400"/>
        <v>MASTRO</v>
      </c>
      <c r="CZ1452" s="259" t="e">
        <f t="shared" ca="1" si="1413"/>
        <v>#N/A</v>
      </c>
      <c r="DA1452" s="259" t="str">
        <f t="shared" ca="1" si="1418"/>
        <v/>
      </c>
      <c r="DB1452" s="259" t="str">
        <f t="shared" ca="1" si="1414"/>
        <v/>
      </c>
      <c r="DC1452" s="259" t="str">
        <f t="shared" ca="1" si="1415"/>
        <v/>
      </c>
      <c r="DD1452" s="259" t="str">
        <f t="shared" ca="1" si="1416"/>
        <v/>
      </c>
      <c r="DE1452" s="259" t="str">
        <f t="shared" ca="1" si="1417"/>
        <v/>
      </c>
      <c r="DF1452" s="259">
        <f ca="1">IF(AND(CX1452=$DE$2,$DF$2&lt;&gt;0),0,IF(AND(DB1452&lt;&gt;"",OR(DB1451&lt;&gt;"",DB1453&lt;&gt;"")),MAX($DF$2:DF1451)+1,0))</f>
        <v>0</v>
      </c>
    </row>
    <row r="1453" spans="102:110">
      <c r="CX1453" s="259">
        <f t="shared" ca="1" si="1411"/>
        <v>81</v>
      </c>
      <c r="CY1453" s="259" t="str">
        <f t="shared" ca="1" si="1400"/>
        <v>MASTRO</v>
      </c>
      <c r="CZ1453" s="259" t="e">
        <f t="shared" ca="1" si="1413"/>
        <v>#N/A</v>
      </c>
      <c r="DA1453" s="259" t="str">
        <f t="shared" ca="1" si="1418"/>
        <v/>
      </c>
      <c r="DB1453" s="259" t="str">
        <f t="shared" ca="1" si="1414"/>
        <v/>
      </c>
      <c r="DC1453" s="259" t="str">
        <f t="shared" ca="1" si="1415"/>
        <v/>
      </c>
      <c r="DD1453" s="259" t="str">
        <f t="shared" ca="1" si="1416"/>
        <v/>
      </c>
      <c r="DE1453" s="259" t="str">
        <f t="shared" ca="1" si="1417"/>
        <v/>
      </c>
      <c r="DF1453" s="259">
        <f ca="1">IF(AND(CX1453=$DE$2,$DF$2&lt;&gt;0),0,IF(AND(DB1453&lt;&gt;"",OR(DB1452&lt;&gt;"",DB1454&lt;&gt;"")),MAX($DF$2:DF1452)+1,0))</f>
        <v>0</v>
      </c>
    </row>
    <row r="1454" spans="102:110">
      <c r="CX1454" s="259">
        <f t="shared" ca="1" si="1411"/>
        <v>81</v>
      </c>
      <c r="CY1454" s="259" t="str">
        <f t="shared" ca="1" si="1400"/>
        <v>MASTRO</v>
      </c>
      <c r="CZ1454" s="259" t="e">
        <f t="shared" ca="1" si="1413"/>
        <v>#N/A</v>
      </c>
      <c r="DA1454" s="259" t="str">
        <f t="shared" ca="1" si="1418"/>
        <v/>
      </c>
      <c r="DB1454" s="259" t="str">
        <f t="shared" ca="1" si="1414"/>
        <v/>
      </c>
      <c r="DC1454" s="259" t="str">
        <f t="shared" ca="1" si="1415"/>
        <v/>
      </c>
      <c r="DD1454" s="259" t="str">
        <f t="shared" ca="1" si="1416"/>
        <v/>
      </c>
      <c r="DE1454" s="259" t="str">
        <f t="shared" ca="1" si="1417"/>
        <v/>
      </c>
      <c r="DF1454" s="259">
        <f ca="1">IF(AND(CX1454=$DE$2,$DF$2&lt;&gt;0),0,IF(AND(DB1454&lt;&gt;"",OR(DB1453&lt;&gt;"",DB1455&lt;&gt;"")),MAX($DF$2:DF1453)+1,0))</f>
        <v>0</v>
      </c>
    </row>
    <row r="1455" spans="102:110">
      <c r="CX1455" s="259">
        <f t="shared" ca="1" si="1411"/>
        <v>81</v>
      </c>
      <c r="CY1455" s="259" t="str">
        <f t="shared" ca="1" si="1400"/>
        <v>MASTRO</v>
      </c>
      <c r="CZ1455" s="259" t="e">
        <f t="shared" ca="1" si="1413"/>
        <v>#N/A</v>
      </c>
      <c r="DA1455" s="259" t="str">
        <f t="shared" ca="1" si="1418"/>
        <v/>
      </c>
      <c r="DB1455" s="259" t="str">
        <f t="shared" ca="1" si="1414"/>
        <v/>
      </c>
      <c r="DC1455" s="259" t="str">
        <f t="shared" ca="1" si="1415"/>
        <v/>
      </c>
      <c r="DD1455" s="259" t="str">
        <f t="shared" ca="1" si="1416"/>
        <v/>
      </c>
      <c r="DE1455" s="259" t="str">
        <f t="shared" ca="1" si="1417"/>
        <v/>
      </c>
      <c r="DF1455" s="259">
        <f ca="1">IF(AND(CX1455=$DE$2,$DF$2&lt;&gt;0),0,IF(AND(DB1455&lt;&gt;"",OR(DB1454&lt;&gt;"",DB1456&lt;&gt;"")),MAX($DF$2:DF1454)+1,0))</f>
        <v>0</v>
      </c>
    </row>
    <row r="1456" spans="102:110">
      <c r="CX1456" s="259">
        <f t="shared" ca="1" si="1411"/>
        <v>81</v>
      </c>
      <c r="CY1456" s="259" t="str">
        <f t="shared" ca="1" si="1400"/>
        <v>MASTRO</v>
      </c>
      <c r="CZ1456" s="259" t="e">
        <f t="shared" ca="1" si="1413"/>
        <v>#N/A</v>
      </c>
      <c r="DA1456" s="259" t="str">
        <f t="shared" ca="1" si="1418"/>
        <v/>
      </c>
      <c r="DB1456" s="259" t="str">
        <f t="shared" ca="1" si="1414"/>
        <v/>
      </c>
      <c r="DC1456" s="259" t="str">
        <f t="shared" ca="1" si="1415"/>
        <v/>
      </c>
      <c r="DD1456" s="259" t="str">
        <f t="shared" ca="1" si="1416"/>
        <v/>
      </c>
      <c r="DE1456" s="259" t="str">
        <f t="shared" ca="1" si="1417"/>
        <v/>
      </c>
      <c r="DF1456" s="259">
        <f ca="1">IF(AND(CX1456=$DE$2,$DF$2&lt;&gt;0),0,IF(AND(DB1456&lt;&gt;"",OR(DB1455&lt;&gt;"",DB1457&lt;&gt;"")),MAX($DF$2:DF1455)+1,0))</f>
        <v>0</v>
      </c>
    </row>
    <row r="1457" spans="102:110">
      <c r="CX1457" s="259">
        <f t="shared" ca="1" si="1411"/>
        <v>81</v>
      </c>
      <c r="CY1457" s="259" t="str">
        <f t="shared" ref="CY1457:CY1489" ca="1" si="1419">IF(ISERROR(INDEX($CV$3:$CX$2300,MATCH(CX1457,$CW$3:$CW$2300,0),1)),"MASTRO",INDEX($CV$3:$CX$2300,MATCH(CX1457,$CW$3:$CW$2300,0),1))</f>
        <v>MASTRO</v>
      </c>
      <c r="CZ1457" s="259" t="e">
        <f t="shared" ca="1" si="1413"/>
        <v>#N/A</v>
      </c>
      <c r="DA1457" s="259" t="str">
        <f t="shared" ca="1" si="1418"/>
        <v/>
      </c>
      <c r="DB1457" s="259" t="str">
        <f t="shared" ca="1" si="1414"/>
        <v/>
      </c>
      <c r="DC1457" s="259" t="str">
        <f t="shared" ca="1" si="1415"/>
        <v/>
      </c>
      <c r="DD1457" s="259" t="str">
        <f t="shared" ca="1" si="1416"/>
        <v/>
      </c>
      <c r="DE1457" s="259" t="str">
        <f t="shared" ca="1" si="1417"/>
        <v/>
      </c>
      <c r="DF1457" s="259">
        <f ca="1">IF(AND(CX1457=$DE$2,$DF$2&lt;&gt;0),0,IF(AND(DB1457&lt;&gt;"",OR(DB1456&lt;&gt;"",DB1458&lt;&gt;"")),MAX($DF$2:DF1456)+1,0))</f>
        <v>0</v>
      </c>
    </row>
    <row r="1458" spans="102:110">
      <c r="CX1458" s="259">
        <f t="shared" ca="1" si="1411"/>
        <v>81</v>
      </c>
      <c r="CY1458" s="259" t="str">
        <f t="shared" ca="1" si="1419"/>
        <v>MASTRO</v>
      </c>
      <c r="CZ1458" s="259" t="e">
        <f t="shared" ca="1" si="1413"/>
        <v>#N/A</v>
      </c>
      <c r="DA1458" s="259" t="str">
        <f t="shared" ca="1" si="1418"/>
        <v/>
      </c>
      <c r="DB1458" s="259" t="str">
        <f t="shared" ca="1" si="1414"/>
        <v/>
      </c>
      <c r="DC1458" s="259" t="str">
        <f t="shared" ca="1" si="1415"/>
        <v/>
      </c>
      <c r="DD1458" s="259" t="str">
        <f t="shared" ca="1" si="1416"/>
        <v/>
      </c>
      <c r="DE1458" s="259" t="str">
        <f t="shared" ca="1" si="1417"/>
        <v/>
      </c>
      <c r="DF1458" s="259">
        <f ca="1">IF(AND(CX1458=$DE$2,$DF$2&lt;&gt;0),0,IF(AND(DB1458&lt;&gt;"",OR(DB1457&lt;&gt;"",DB1459&lt;&gt;"")),MAX($DF$2:DF1457)+1,0))</f>
        <v>0</v>
      </c>
    </row>
    <row r="1459" spans="102:110">
      <c r="CX1459" s="259">
        <f t="shared" ca="1" si="1411"/>
        <v>81</v>
      </c>
      <c r="CY1459" s="259" t="str">
        <f t="shared" ca="1" si="1419"/>
        <v>MASTRO</v>
      </c>
      <c r="CZ1459" s="259" t="e">
        <f t="shared" ca="1" si="1413"/>
        <v>#N/A</v>
      </c>
      <c r="DA1459" s="259" t="str">
        <f t="shared" ca="1" si="1418"/>
        <v/>
      </c>
      <c r="DB1459" s="259" t="str">
        <f t="shared" ca="1" si="1414"/>
        <v/>
      </c>
      <c r="DC1459" s="259" t="str">
        <f t="shared" ca="1" si="1415"/>
        <v/>
      </c>
      <c r="DD1459" s="259" t="str">
        <f t="shared" ca="1" si="1416"/>
        <v/>
      </c>
      <c r="DE1459" s="259" t="str">
        <f t="shared" ca="1" si="1417"/>
        <v/>
      </c>
      <c r="DF1459" s="259">
        <f ca="1">IF(AND(CX1459=$DE$2,$DF$2&lt;&gt;0),0,IF(AND(DB1459&lt;&gt;"",OR(DB1458&lt;&gt;"",DB1460&lt;&gt;"")),MAX($DF$2:DF1458)+1,0))</f>
        <v>0</v>
      </c>
    </row>
    <row r="1460" spans="102:110">
      <c r="CX1460" s="259" t="str">
        <f>IFERROR(IF(CX1442+1=1,"",(CX1442+1)),"")</f>
        <v/>
      </c>
      <c r="CY1460" s="259" t="str">
        <f t="shared" ca="1" si="1419"/>
        <v>MASTRO</v>
      </c>
      <c r="DB1460" s="259" t="str">
        <f t="shared" ref="DB1460" ca="1" si="1420">CY1460</f>
        <v>MASTRO</v>
      </c>
      <c r="DF1460" s="259">
        <f ca="1">IF(AND(CX1460=$DE$2,$DF$2&lt;&gt;0),0,IF(AND(DB1460&lt;&gt;"",OR(DB1459&lt;&gt;"",DB1461&lt;&gt;"")),MAX($DF$2:DF1459)+1,0))</f>
        <v>0</v>
      </c>
    </row>
    <row r="1461" spans="102:110">
      <c r="CX1461" s="259">
        <f ca="1">$EA$84</f>
        <v>82</v>
      </c>
      <c r="CY1461" s="259" t="str">
        <f t="shared" ca="1" si="1419"/>
        <v>MASTRO</v>
      </c>
      <c r="DA1461" s="259" t="str">
        <f ca="1">IF(CY1460="MASTRO","Conto n.","")</f>
        <v>Conto n.</v>
      </c>
      <c r="DB1461" s="259" t="str">
        <f ca="1">IF(CY1461=0,"",INDEX(PIANO_DEI_CONTI,MATCH(DC1461,DENOMINAZIONE,0),1))</f>
        <v/>
      </c>
      <c r="DC1461" s="259" t="str">
        <f ca="1">IF(OR(CY1461=0,CY1461="mastro"),"",CY1461)</f>
        <v/>
      </c>
      <c r="DD1461" s="259" t="str">
        <f ca="1">IF(AND($DA$2=TRUE,OR(INDEX(PIANO_DEI_CONTI,MATCH($DC1461,DENOMINAZIONE,0),4)="A",INDEX(PIANO_DEI_CONTI,MATCH($DC1461,DENOMINAZIONE,0),4)="D/A"),SUMIFS(AVERE,DENOMINAZIONE_GIORNALE,"="&amp;$DC1461)&gt;SUMIFS(DARE,DENOMINAZIONE_GIORNALE,"="&amp;$DC1461)),CONCATENATE("s ",FIXED(ABS(SUMIFS(AVERE,DENOMINAZIONE_GIORNALE,"="&amp;$DC1461)-SUMIFS(DARE,DENOMINAZIONE_GIORNALE,"="&amp;$DC1461)),2)),"")</f>
        <v/>
      </c>
      <c r="DE1461" s="259" t="str">
        <f ca="1">IF(AND($DA$2=TRUE,OR(INDEX(PIANO_DEI_CONTI,MATCH($DC1461,DENOMINAZIONE,0),4)="D",INDEX(PIANO_DEI_CONTI,MATCH($DC1461,DENOMINAZIONE,0),4)="D/A"),SUMIFS(DARE,DENOMINAZIONE_GIORNALE,"="&amp;$DC1461)&gt;SUMIFS(AVERE,DENOMINAZIONE_GIORNALE,"="&amp;$DC1461)),CONCATENATE("s ",FIXED(ABS(SUMIFS(DARE,DENOMINAZIONE_GIORNALE,"="&amp;$DC1461)-SUMIFS(AVERE,DENOMINAZIONE_GIORNALE,"="&amp;$DC1461)),2)),"")</f>
        <v/>
      </c>
      <c r="DF1461" s="259">
        <f ca="1">IF(AND(CX1461=$DE$2,$DF$2&lt;&gt;0),0,IF(AND(DB1461&lt;&gt;"",OR(DB1460&lt;&gt;"",DB1462&lt;&gt;"")),MAX($DF$2:DF1460)+1,0))</f>
        <v>0</v>
      </c>
    </row>
    <row r="1462" spans="102:110">
      <c r="CX1462" s="259">
        <f t="shared" ref="CX1462:CX1477" ca="1" si="1421">$EA$84</f>
        <v>82</v>
      </c>
      <c r="CY1462" s="259" t="str">
        <f t="shared" ca="1" si="1419"/>
        <v>MASTRO</v>
      </c>
      <c r="DA1462" s="259" t="str">
        <f ca="1">IF(DB1461="","","Num. riga")</f>
        <v/>
      </c>
      <c r="DB1462" s="259" t="str">
        <f t="shared" ref="DB1462" ca="1" si="1422">IF(DB1461="","","Data")</f>
        <v/>
      </c>
      <c r="DC1462" s="259" t="str">
        <f ca="1">IF(DB1461="","","Operazioni")</f>
        <v/>
      </c>
      <c r="DD1462" s="259" t="str">
        <f ca="1">IF(DB1461="","","Dare        ")</f>
        <v/>
      </c>
      <c r="DE1462" s="259" t="str">
        <f ca="1">IF(DB1461="","","Avere        ")</f>
        <v/>
      </c>
      <c r="DF1462" s="259">
        <f ca="1">IF(AND(CX1462=$DE$2,$DF$2&lt;&gt;0),0,IF(AND(DB1462&lt;&gt;"",OR(DB1461&lt;&gt;"",DB1463&lt;&gt;"")),MAX($DF$2:DF1461)+1,0))</f>
        <v>0</v>
      </c>
    </row>
    <row r="1463" spans="102:110">
      <c r="CX1463" s="259">
        <f t="shared" ca="1" si="1421"/>
        <v>82</v>
      </c>
      <c r="CY1463" s="259" t="str">
        <f t="shared" ca="1" si="1419"/>
        <v>MASTRO</v>
      </c>
      <c r="CZ1463" s="259" t="e">
        <f t="shared" ref="CZ1463:CZ1477" ca="1" si="1423">SUM(MATCH($CY1463,INDIRECT(ADDRESS(SUM(CZ1462)+3,54)&amp;":"&amp;ADDRESS(400,54)),0),CZ1462)</f>
        <v>#N/A</v>
      </c>
      <c r="DA1463" s="259" t="str">
        <f ca="1">IFERROR(INDEX(LIBRO_GIORNALE,CZ1463,1),"")</f>
        <v/>
      </c>
      <c r="DB1463" s="259" t="str">
        <f t="shared" ref="DB1463:DB1477" ca="1" si="1424">IF(RIGHT(TEXT(IFERROR(INDEX(LIBRO_GIORNALE,CZ1463,2),""),"gg/mm/aa"),1)="a",TEXT(IFERROR(INDEX(LIBRO_GIORNALE,CZ1463,2),""),"dd/mm/yy"),TEXT(IFERROR(INDEX(LIBRO_GIORNALE,CZ1463,2),""),"gg/mm/aa"))</f>
        <v/>
      </c>
      <c r="DC1463" s="259" t="str">
        <f t="shared" ref="DC1463:DC1477" ca="1" si="1425">IF(IFERROR(INDEX(LIBRO_GIORNALE,CZ1463,4),"")=0,"manca la descrizione dell'operazione",IFERROR(INDEX(LIBRO_GIORNALE,CZ1463,4),""))</f>
        <v/>
      </c>
      <c r="DD1463" s="259" t="str">
        <f t="shared" ref="DD1463:DD1477" ca="1" si="1426">IFERROR(IF(INDEX(LIBRO_GIORNALE,CZ1463,5)&gt;0,INDEX(LIBRO_GIORNALE,CZ1463,5),""),"")</f>
        <v/>
      </c>
      <c r="DE1463" s="259" t="str">
        <f t="shared" ref="DE1463:DE1477" ca="1" si="1427">IFERROR(IF(INDEX(LIBRO_GIORNALE,CZ1463,6)&gt;0,INDEX(LIBRO_GIORNALE,CZ1463,6),""),"")</f>
        <v/>
      </c>
      <c r="DF1463" s="259">
        <f ca="1">IF(AND(CX1463=$DE$2,$DF$2&lt;&gt;0),0,IF(AND(DB1463&lt;&gt;"",OR(DB1462&lt;&gt;"",DB1464&lt;&gt;"")),MAX($DF$2:DF1462)+1,0))</f>
        <v>0</v>
      </c>
    </row>
    <row r="1464" spans="102:110">
      <c r="CX1464" s="259">
        <f t="shared" ca="1" si="1421"/>
        <v>82</v>
      </c>
      <c r="CY1464" s="259" t="str">
        <f t="shared" ca="1" si="1419"/>
        <v>MASTRO</v>
      </c>
      <c r="CZ1464" s="259" t="e">
        <f t="shared" ca="1" si="1423"/>
        <v>#N/A</v>
      </c>
      <c r="DA1464" s="259" t="str">
        <f t="shared" ref="DA1464:DA1477" ca="1" si="1428">IFERROR(INDEX(LIBRO_GIORNALE,CZ1464,1),"")</f>
        <v/>
      </c>
      <c r="DB1464" s="259" t="str">
        <f t="shared" ca="1" si="1424"/>
        <v/>
      </c>
      <c r="DC1464" s="259" t="str">
        <f t="shared" ca="1" si="1425"/>
        <v/>
      </c>
      <c r="DD1464" s="259" t="str">
        <f t="shared" ca="1" si="1426"/>
        <v/>
      </c>
      <c r="DE1464" s="259" t="str">
        <f t="shared" ca="1" si="1427"/>
        <v/>
      </c>
      <c r="DF1464" s="259">
        <f ca="1">IF(AND(CX1464=$DE$2,$DF$2&lt;&gt;0),0,IF(AND(DB1464&lt;&gt;"",OR(DB1463&lt;&gt;"",DB1465&lt;&gt;"")),MAX($DF$2:DF1463)+1,0))</f>
        <v>0</v>
      </c>
    </row>
    <row r="1465" spans="102:110">
      <c r="CX1465" s="259">
        <f t="shared" ca="1" si="1421"/>
        <v>82</v>
      </c>
      <c r="CY1465" s="259" t="str">
        <f t="shared" ca="1" si="1419"/>
        <v>MASTRO</v>
      </c>
      <c r="CZ1465" s="259" t="e">
        <f t="shared" ca="1" si="1423"/>
        <v>#N/A</v>
      </c>
      <c r="DA1465" s="259" t="str">
        <f t="shared" ca="1" si="1428"/>
        <v/>
      </c>
      <c r="DB1465" s="259" t="str">
        <f t="shared" ca="1" si="1424"/>
        <v/>
      </c>
      <c r="DC1465" s="259" t="str">
        <f t="shared" ca="1" si="1425"/>
        <v/>
      </c>
      <c r="DD1465" s="259" t="str">
        <f t="shared" ca="1" si="1426"/>
        <v/>
      </c>
      <c r="DE1465" s="259" t="str">
        <f t="shared" ca="1" si="1427"/>
        <v/>
      </c>
      <c r="DF1465" s="259">
        <f ca="1">IF(AND(CX1465=$DE$2,$DF$2&lt;&gt;0),0,IF(AND(DB1465&lt;&gt;"",OR(DB1464&lt;&gt;"",DB1466&lt;&gt;"")),MAX($DF$2:DF1464)+1,0))</f>
        <v>0</v>
      </c>
    </row>
    <row r="1466" spans="102:110">
      <c r="CX1466" s="259">
        <f t="shared" ca="1" si="1421"/>
        <v>82</v>
      </c>
      <c r="CY1466" s="259" t="str">
        <f t="shared" ca="1" si="1419"/>
        <v>MASTRO</v>
      </c>
      <c r="CZ1466" s="259" t="e">
        <f t="shared" ca="1" si="1423"/>
        <v>#N/A</v>
      </c>
      <c r="DA1466" s="259" t="str">
        <f t="shared" ca="1" si="1428"/>
        <v/>
      </c>
      <c r="DB1466" s="259" t="str">
        <f t="shared" ca="1" si="1424"/>
        <v/>
      </c>
      <c r="DC1466" s="259" t="str">
        <f t="shared" ca="1" si="1425"/>
        <v/>
      </c>
      <c r="DD1466" s="259" t="str">
        <f t="shared" ca="1" si="1426"/>
        <v/>
      </c>
      <c r="DE1466" s="259" t="str">
        <f t="shared" ca="1" si="1427"/>
        <v/>
      </c>
      <c r="DF1466" s="259">
        <f ca="1">IF(AND(CX1466=$DE$2,$DF$2&lt;&gt;0),0,IF(AND(DB1466&lt;&gt;"",OR(DB1465&lt;&gt;"",DB1467&lt;&gt;"")),MAX($DF$2:DF1465)+1,0))</f>
        <v>0</v>
      </c>
    </row>
    <row r="1467" spans="102:110">
      <c r="CX1467" s="259">
        <f t="shared" ca="1" si="1421"/>
        <v>82</v>
      </c>
      <c r="CY1467" s="259" t="str">
        <f t="shared" ca="1" si="1419"/>
        <v>MASTRO</v>
      </c>
      <c r="CZ1467" s="259" t="e">
        <f t="shared" ca="1" si="1423"/>
        <v>#N/A</v>
      </c>
      <c r="DA1467" s="259" t="str">
        <f t="shared" ca="1" si="1428"/>
        <v/>
      </c>
      <c r="DB1467" s="259" t="str">
        <f t="shared" ca="1" si="1424"/>
        <v/>
      </c>
      <c r="DC1467" s="259" t="str">
        <f t="shared" ca="1" si="1425"/>
        <v/>
      </c>
      <c r="DD1467" s="259" t="str">
        <f t="shared" ca="1" si="1426"/>
        <v/>
      </c>
      <c r="DE1467" s="259" t="str">
        <f t="shared" ca="1" si="1427"/>
        <v/>
      </c>
      <c r="DF1467" s="259">
        <f ca="1">IF(AND(CX1467=$DE$2,$DF$2&lt;&gt;0),0,IF(AND(DB1467&lt;&gt;"",OR(DB1466&lt;&gt;"",DB1468&lt;&gt;"")),MAX($DF$2:DF1466)+1,0))</f>
        <v>0</v>
      </c>
    </row>
    <row r="1468" spans="102:110">
      <c r="CX1468" s="259">
        <f t="shared" ca="1" si="1421"/>
        <v>82</v>
      </c>
      <c r="CY1468" s="259" t="str">
        <f t="shared" ca="1" si="1419"/>
        <v>MASTRO</v>
      </c>
      <c r="CZ1468" s="259" t="e">
        <f t="shared" ca="1" si="1423"/>
        <v>#N/A</v>
      </c>
      <c r="DA1468" s="259" t="str">
        <f t="shared" ca="1" si="1428"/>
        <v/>
      </c>
      <c r="DB1468" s="259" t="str">
        <f t="shared" ca="1" si="1424"/>
        <v/>
      </c>
      <c r="DC1468" s="259" t="str">
        <f t="shared" ca="1" si="1425"/>
        <v/>
      </c>
      <c r="DD1468" s="259" t="str">
        <f t="shared" ca="1" si="1426"/>
        <v/>
      </c>
      <c r="DE1468" s="259" t="str">
        <f t="shared" ca="1" si="1427"/>
        <v/>
      </c>
      <c r="DF1468" s="259">
        <f ca="1">IF(AND(CX1468=$DE$2,$DF$2&lt;&gt;0),0,IF(AND(DB1468&lt;&gt;"",OR(DB1467&lt;&gt;"",DB1469&lt;&gt;"")),MAX($DF$2:DF1467)+1,0))</f>
        <v>0</v>
      </c>
    </row>
    <row r="1469" spans="102:110">
      <c r="CX1469" s="259">
        <f t="shared" ca="1" si="1421"/>
        <v>82</v>
      </c>
      <c r="CY1469" s="259" t="str">
        <f t="shared" ca="1" si="1419"/>
        <v>MASTRO</v>
      </c>
      <c r="CZ1469" s="259" t="e">
        <f t="shared" ca="1" si="1423"/>
        <v>#N/A</v>
      </c>
      <c r="DA1469" s="259" t="str">
        <f t="shared" ca="1" si="1428"/>
        <v/>
      </c>
      <c r="DB1469" s="259" t="str">
        <f t="shared" ca="1" si="1424"/>
        <v/>
      </c>
      <c r="DC1469" s="259" t="str">
        <f t="shared" ca="1" si="1425"/>
        <v/>
      </c>
      <c r="DD1469" s="259" t="str">
        <f t="shared" ca="1" si="1426"/>
        <v/>
      </c>
      <c r="DE1469" s="259" t="str">
        <f t="shared" ca="1" si="1427"/>
        <v/>
      </c>
      <c r="DF1469" s="259">
        <f ca="1">IF(AND(CX1469=$DE$2,$DF$2&lt;&gt;0),0,IF(AND(DB1469&lt;&gt;"",OR(DB1468&lt;&gt;"",DB1470&lt;&gt;"")),MAX($DF$2:DF1468)+1,0))</f>
        <v>0</v>
      </c>
    </row>
    <row r="1470" spans="102:110">
      <c r="CX1470" s="259">
        <f t="shared" ca="1" si="1421"/>
        <v>82</v>
      </c>
      <c r="CY1470" s="259" t="str">
        <f t="shared" ca="1" si="1419"/>
        <v>MASTRO</v>
      </c>
      <c r="CZ1470" s="259" t="e">
        <f t="shared" ca="1" si="1423"/>
        <v>#N/A</v>
      </c>
      <c r="DA1470" s="259" t="str">
        <f t="shared" ca="1" si="1428"/>
        <v/>
      </c>
      <c r="DB1470" s="259" t="str">
        <f t="shared" ca="1" si="1424"/>
        <v/>
      </c>
      <c r="DC1470" s="259" t="str">
        <f t="shared" ca="1" si="1425"/>
        <v/>
      </c>
      <c r="DD1470" s="259" t="str">
        <f t="shared" ca="1" si="1426"/>
        <v/>
      </c>
      <c r="DE1470" s="259" t="str">
        <f t="shared" ca="1" si="1427"/>
        <v/>
      </c>
      <c r="DF1470" s="259">
        <f ca="1">IF(AND(CX1470=$DE$2,$DF$2&lt;&gt;0),0,IF(AND(DB1470&lt;&gt;"",OR(DB1469&lt;&gt;"",DB1471&lt;&gt;"")),MAX($DF$2:DF1469)+1,0))</f>
        <v>0</v>
      </c>
    </row>
    <row r="1471" spans="102:110">
      <c r="CX1471" s="259">
        <f t="shared" ca="1" si="1421"/>
        <v>82</v>
      </c>
      <c r="CY1471" s="259" t="str">
        <f t="shared" ca="1" si="1419"/>
        <v>MASTRO</v>
      </c>
      <c r="CZ1471" s="259" t="e">
        <f t="shared" ca="1" si="1423"/>
        <v>#N/A</v>
      </c>
      <c r="DA1471" s="259" t="str">
        <f t="shared" ca="1" si="1428"/>
        <v/>
      </c>
      <c r="DB1471" s="259" t="str">
        <f t="shared" ca="1" si="1424"/>
        <v/>
      </c>
      <c r="DC1471" s="259" t="str">
        <f t="shared" ca="1" si="1425"/>
        <v/>
      </c>
      <c r="DD1471" s="259" t="str">
        <f t="shared" ca="1" si="1426"/>
        <v/>
      </c>
      <c r="DE1471" s="259" t="str">
        <f t="shared" ca="1" si="1427"/>
        <v/>
      </c>
      <c r="DF1471" s="259">
        <f ca="1">IF(AND(CX1471=$DE$2,$DF$2&lt;&gt;0),0,IF(AND(DB1471&lt;&gt;"",OR(DB1470&lt;&gt;"",DB1472&lt;&gt;"")),MAX($DF$2:DF1470)+1,0))</f>
        <v>0</v>
      </c>
    </row>
    <row r="1472" spans="102:110">
      <c r="CX1472" s="259">
        <f t="shared" ca="1" si="1421"/>
        <v>82</v>
      </c>
      <c r="CY1472" s="259" t="str">
        <f t="shared" ca="1" si="1419"/>
        <v>MASTRO</v>
      </c>
      <c r="CZ1472" s="259" t="e">
        <f t="shared" ca="1" si="1423"/>
        <v>#N/A</v>
      </c>
      <c r="DA1472" s="259" t="str">
        <f t="shared" ca="1" si="1428"/>
        <v/>
      </c>
      <c r="DB1472" s="259" t="str">
        <f t="shared" ca="1" si="1424"/>
        <v/>
      </c>
      <c r="DC1472" s="259" t="str">
        <f t="shared" ca="1" si="1425"/>
        <v/>
      </c>
      <c r="DD1472" s="259" t="str">
        <f t="shared" ca="1" si="1426"/>
        <v/>
      </c>
      <c r="DE1472" s="259" t="str">
        <f t="shared" ca="1" si="1427"/>
        <v/>
      </c>
      <c r="DF1472" s="259">
        <f ca="1">IF(AND(CX1472=$DE$2,$DF$2&lt;&gt;0),0,IF(AND(DB1472&lt;&gt;"",OR(DB1471&lt;&gt;"",DB1473&lt;&gt;"")),MAX($DF$2:DF1471)+1,0))</f>
        <v>0</v>
      </c>
    </row>
    <row r="1473" spans="102:110">
      <c r="CX1473" s="259">
        <f t="shared" ca="1" si="1421"/>
        <v>82</v>
      </c>
      <c r="CY1473" s="259" t="str">
        <f t="shared" ca="1" si="1419"/>
        <v>MASTRO</v>
      </c>
      <c r="CZ1473" s="259" t="e">
        <f t="shared" ca="1" si="1423"/>
        <v>#N/A</v>
      </c>
      <c r="DA1473" s="259" t="str">
        <f t="shared" ca="1" si="1428"/>
        <v/>
      </c>
      <c r="DB1473" s="259" t="str">
        <f t="shared" ca="1" si="1424"/>
        <v/>
      </c>
      <c r="DC1473" s="259" t="str">
        <f t="shared" ca="1" si="1425"/>
        <v/>
      </c>
      <c r="DD1473" s="259" t="str">
        <f t="shared" ca="1" si="1426"/>
        <v/>
      </c>
      <c r="DE1473" s="259" t="str">
        <f t="shared" ca="1" si="1427"/>
        <v/>
      </c>
      <c r="DF1473" s="259">
        <f ca="1">IF(AND(CX1473=$DE$2,$DF$2&lt;&gt;0),0,IF(AND(DB1473&lt;&gt;"",OR(DB1472&lt;&gt;"",DB1474&lt;&gt;"")),MAX($DF$2:DF1472)+1,0))</f>
        <v>0</v>
      </c>
    </row>
    <row r="1474" spans="102:110">
      <c r="CX1474" s="259">
        <f t="shared" ca="1" si="1421"/>
        <v>82</v>
      </c>
      <c r="CY1474" s="259" t="str">
        <f t="shared" ca="1" si="1419"/>
        <v>MASTRO</v>
      </c>
      <c r="CZ1474" s="259" t="e">
        <f t="shared" ca="1" si="1423"/>
        <v>#N/A</v>
      </c>
      <c r="DA1474" s="259" t="str">
        <f t="shared" ca="1" si="1428"/>
        <v/>
      </c>
      <c r="DB1474" s="259" t="str">
        <f t="shared" ca="1" si="1424"/>
        <v/>
      </c>
      <c r="DC1474" s="259" t="str">
        <f t="shared" ca="1" si="1425"/>
        <v/>
      </c>
      <c r="DD1474" s="259" t="str">
        <f t="shared" ca="1" si="1426"/>
        <v/>
      </c>
      <c r="DE1474" s="259" t="str">
        <f t="shared" ca="1" si="1427"/>
        <v/>
      </c>
      <c r="DF1474" s="259">
        <f ca="1">IF(AND(CX1474=$DE$2,$DF$2&lt;&gt;0),0,IF(AND(DB1474&lt;&gt;"",OR(DB1473&lt;&gt;"",DB1475&lt;&gt;"")),MAX($DF$2:DF1473)+1,0))</f>
        <v>0</v>
      </c>
    </row>
    <row r="1475" spans="102:110">
      <c r="CX1475" s="259">
        <f t="shared" ca="1" si="1421"/>
        <v>82</v>
      </c>
      <c r="CY1475" s="259" t="str">
        <f t="shared" ca="1" si="1419"/>
        <v>MASTRO</v>
      </c>
      <c r="CZ1475" s="259" t="e">
        <f t="shared" ca="1" si="1423"/>
        <v>#N/A</v>
      </c>
      <c r="DA1475" s="259" t="str">
        <f t="shared" ca="1" si="1428"/>
        <v/>
      </c>
      <c r="DB1475" s="259" t="str">
        <f t="shared" ca="1" si="1424"/>
        <v/>
      </c>
      <c r="DC1475" s="259" t="str">
        <f t="shared" ca="1" si="1425"/>
        <v/>
      </c>
      <c r="DD1475" s="259" t="str">
        <f t="shared" ca="1" si="1426"/>
        <v/>
      </c>
      <c r="DE1475" s="259" t="str">
        <f t="shared" ca="1" si="1427"/>
        <v/>
      </c>
      <c r="DF1475" s="259">
        <f ca="1">IF(AND(CX1475=$DE$2,$DF$2&lt;&gt;0),0,IF(AND(DB1475&lt;&gt;"",OR(DB1474&lt;&gt;"",DB1476&lt;&gt;"")),MAX($DF$2:DF1474)+1,0))</f>
        <v>0</v>
      </c>
    </row>
    <row r="1476" spans="102:110">
      <c r="CX1476" s="259">
        <f t="shared" ca="1" si="1421"/>
        <v>82</v>
      </c>
      <c r="CY1476" s="259" t="str">
        <f t="shared" ca="1" si="1419"/>
        <v>MASTRO</v>
      </c>
      <c r="CZ1476" s="259" t="e">
        <f t="shared" ca="1" si="1423"/>
        <v>#N/A</v>
      </c>
      <c r="DA1476" s="259" t="str">
        <f t="shared" ca="1" si="1428"/>
        <v/>
      </c>
      <c r="DB1476" s="259" t="str">
        <f t="shared" ca="1" si="1424"/>
        <v/>
      </c>
      <c r="DC1476" s="259" t="str">
        <f t="shared" ca="1" si="1425"/>
        <v/>
      </c>
      <c r="DD1476" s="259" t="str">
        <f t="shared" ca="1" si="1426"/>
        <v/>
      </c>
      <c r="DE1476" s="259" t="str">
        <f t="shared" ca="1" si="1427"/>
        <v/>
      </c>
      <c r="DF1476" s="259">
        <f ca="1">IF(AND(CX1476=$DE$2,$DF$2&lt;&gt;0),0,IF(AND(DB1476&lt;&gt;"",OR(DB1475&lt;&gt;"",DB1477&lt;&gt;"")),MAX($DF$2:DF1475)+1,0))</f>
        <v>0</v>
      </c>
    </row>
    <row r="1477" spans="102:110">
      <c r="CX1477" s="259">
        <f t="shared" ca="1" si="1421"/>
        <v>82</v>
      </c>
      <c r="CY1477" s="259" t="str">
        <f t="shared" ca="1" si="1419"/>
        <v>MASTRO</v>
      </c>
      <c r="CZ1477" s="259" t="e">
        <f t="shared" ca="1" si="1423"/>
        <v>#N/A</v>
      </c>
      <c r="DA1477" s="259" t="str">
        <f t="shared" ca="1" si="1428"/>
        <v/>
      </c>
      <c r="DB1477" s="259" t="str">
        <f t="shared" ca="1" si="1424"/>
        <v/>
      </c>
      <c r="DC1477" s="259" t="str">
        <f t="shared" ca="1" si="1425"/>
        <v/>
      </c>
      <c r="DD1477" s="259" t="str">
        <f t="shared" ca="1" si="1426"/>
        <v/>
      </c>
      <c r="DE1477" s="259" t="str">
        <f t="shared" ca="1" si="1427"/>
        <v/>
      </c>
      <c r="DF1477" s="259">
        <f ca="1">IF(AND(CX1477=$DE$2,$DF$2&lt;&gt;0),0,IF(AND(DB1477&lt;&gt;"",OR(DB1476&lt;&gt;"",DB1478&lt;&gt;"")),MAX($DF$2:DF1476)+1,0))</f>
        <v>0</v>
      </c>
    </row>
    <row r="1478" spans="102:110">
      <c r="CX1478" s="259" t="str">
        <f>IFERROR(IF(CX1460+1=1,"",(CX1460+1)),"")</f>
        <v/>
      </c>
      <c r="CY1478" s="259" t="str">
        <f t="shared" ca="1" si="1419"/>
        <v>MASTRO</v>
      </c>
      <c r="DB1478" s="259" t="str">
        <f t="shared" ref="DB1478" ca="1" si="1429">CY1478</f>
        <v>MASTRO</v>
      </c>
      <c r="DF1478" s="259">
        <f ca="1">IF(AND(CX1478=$DE$2,$DF$2&lt;&gt;0),0,IF(AND(DB1478&lt;&gt;"",OR(DB1477&lt;&gt;"",DB1479&lt;&gt;"")),MAX($DF$2:DF1477)+1,0))</f>
        <v>0</v>
      </c>
    </row>
    <row r="1479" spans="102:110">
      <c r="CX1479" s="259">
        <f ca="1">$EA$85</f>
        <v>83</v>
      </c>
      <c r="CY1479" s="259" t="str">
        <f t="shared" ca="1" si="1419"/>
        <v>MASTRO</v>
      </c>
      <c r="DA1479" s="259" t="str">
        <f ca="1">IF(CY1478="MASTRO","Conto n.","")</f>
        <v>Conto n.</v>
      </c>
      <c r="DB1479" s="259" t="str">
        <f ca="1">IF(CY1479=0,"",INDEX(PIANO_DEI_CONTI,MATCH(DC1479,DENOMINAZIONE,0),1))</f>
        <v/>
      </c>
      <c r="DC1479" s="259" t="str">
        <f ca="1">IF(OR(CY1479=0,CY1479="mastro"),"",CY1479)</f>
        <v/>
      </c>
      <c r="DD1479" s="259" t="str">
        <f ca="1">IF(AND($DA$2=TRUE,OR(INDEX(PIANO_DEI_CONTI,MATCH($DC1479,DENOMINAZIONE,0),4)="A",INDEX(PIANO_DEI_CONTI,MATCH($DC1479,DENOMINAZIONE,0),4)="D/A"),SUMIFS(AVERE,DENOMINAZIONE_GIORNALE,"="&amp;$DC1479)&gt;SUMIFS(DARE,DENOMINAZIONE_GIORNALE,"="&amp;$DC1479)),CONCATENATE("s ",FIXED(ABS(SUMIFS(AVERE,DENOMINAZIONE_GIORNALE,"="&amp;$DC1479)-SUMIFS(DARE,DENOMINAZIONE_GIORNALE,"="&amp;$DC1479)),2)),"")</f>
        <v/>
      </c>
      <c r="DE1479" s="259" t="str">
        <f ca="1">IF(AND($DA$2=TRUE,OR(INDEX(PIANO_DEI_CONTI,MATCH($DC1479,DENOMINAZIONE,0),4)="D",INDEX(PIANO_DEI_CONTI,MATCH($DC1479,DENOMINAZIONE,0),4)="D/A"),SUMIFS(DARE,DENOMINAZIONE_GIORNALE,"="&amp;$DC1479)&gt;SUMIFS(AVERE,DENOMINAZIONE_GIORNALE,"="&amp;$DC1479)),CONCATENATE("s ",FIXED(ABS(SUMIFS(DARE,DENOMINAZIONE_GIORNALE,"="&amp;$DC1479)-SUMIFS(AVERE,DENOMINAZIONE_GIORNALE,"="&amp;$DC1479)),2)),"")</f>
        <v/>
      </c>
      <c r="DF1479" s="259">
        <f ca="1">IF(AND(CX1479=$DE$2,$DF$2&lt;&gt;0),0,IF(AND(DB1479&lt;&gt;"",OR(DB1478&lt;&gt;"",DB1480&lt;&gt;"")),MAX($DF$2:DF1478)+1,0))</f>
        <v>0</v>
      </c>
    </row>
    <row r="1480" spans="102:110">
      <c r="CX1480" s="259">
        <f t="shared" ref="CX1480:CX1495" ca="1" si="1430">$EA$85</f>
        <v>83</v>
      </c>
      <c r="CY1480" s="259" t="str">
        <f t="shared" ca="1" si="1419"/>
        <v>MASTRO</v>
      </c>
      <c r="DA1480" s="259" t="str">
        <f ca="1">IF(DB1479="","","Num. riga")</f>
        <v/>
      </c>
      <c r="DB1480" s="259" t="str">
        <f t="shared" ref="DB1480" ca="1" si="1431">IF(DB1479="","","Data")</f>
        <v/>
      </c>
      <c r="DC1480" s="259" t="str">
        <f ca="1">IF(DB1479="","","Operazioni")</f>
        <v/>
      </c>
      <c r="DD1480" s="259" t="str">
        <f ca="1">IF(DB1479="","","Dare        ")</f>
        <v/>
      </c>
      <c r="DE1480" s="259" t="str">
        <f ca="1">IF(DB1479="","","Avere        ")</f>
        <v/>
      </c>
      <c r="DF1480" s="259">
        <f ca="1">IF(AND(CX1480=$DE$2,$DF$2&lt;&gt;0),0,IF(AND(DB1480&lt;&gt;"",OR(DB1479&lt;&gt;"",DB1481&lt;&gt;"")),MAX($DF$2:DF1479)+1,0))</f>
        <v>0</v>
      </c>
    </row>
    <row r="1481" spans="102:110">
      <c r="CX1481" s="259">
        <f t="shared" ca="1" si="1430"/>
        <v>83</v>
      </c>
      <c r="CY1481" s="259" t="str">
        <f t="shared" ca="1" si="1419"/>
        <v>MASTRO</v>
      </c>
      <c r="CZ1481" s="259" t="e">
        <f t="shared" ref="CZ1481:CZ1495" ca="1" si="1432">SUM(MATCH($CY1481,INDIRECT(ADDRESS(SUM(CZ1480)+3,54)&amp;":"&amp;ADDRESS(400,54)),0),CZ1480)</f>
        <v>#N/A</v>
      </c>
      <c r="DA1481" s="259" t="str">
        <f ca="1">IFERROR(INDEX(LIBRO_GIORNALE,CZ1481,1),"")</f>
        <v/>
      </c>
      <c r="DB1481" s="259" t="str">
        <f t="shared" ref="DB1481:DB1495" ca="1" si="1433">IF(RIGHT(TEXT(IFERROR(INDEX(LIBRO_GIORNALE,CZ1481,2),""),"gg/mm/aa"),1)="a",TEXT(IFERROR(INDEX(LIBRO_GIORNALE,CZ1481,2),""),"dd/mm/yy"),TEXT(IFERROR(INDEX(LIBRO_GIORNALE,CZ1481,2),""),"gg/mm/aa"))</f>
        <v/>
      </c>
      <c r="DC1481" s="259" t="str">
        <f t="shared" ref="DC1481:DC1495" ca="1" si="1434">IF(IFERROR(INDEX(LIBRO_GIORNALE,CZ1481,4),"")=0,"manca la descrizione dell'operazione",IFERROR(INDEX(LIBRO_GIORNALE,CZ1481,4),""))</f>
        <v/>
      </c>
      <c r="DD1481" s="259" t="str">
        <f t="shared" ref="DD1481:DD1495" ca="1" si="1435">IFERROR(IF(INDEX(LIBRO_GIORNALE,CZ1481,5)&gt;0,INDEX(LIBRO_GIORNALE,CZ1481,5),""),"")</f>
        <v/>
      </c>
      <c r="DE1481" s="259" t="str">
        <f t="shared" ref="DE1481:DE1495" ca="1" si="1436">IFERROR(IF(INDEX(LIBRO_GIORNALE,CZ1481,6)&gt;0,INDEX(LIBRO_GIORNALE,CZ1481,6),""),"")</f>
        <v/>
      </c>
      <c r="DF1481" s="259">
        <f ca="1">IF(AND(CX1481=$DE$2,$DF$2&lt;&gt;0),0,IF(AND(DB1481&lt;&gt;"",OR(DB1480&lt;&gt;"",DB1482&lt;&gt;"")),MAX($DF$2:DF1480)+1,0))</f>
        <v>0</v>
      </c>
    </row>
    <row r="1482" spans="102:110">
      <c r="CX1482" s="259">
        <f t="shared" ca="1" si="1430"/>
        <v>83</v>
      </c>
      <c r="CY1482" s="259" t="str">
        <f t="shared" ca="1" si="1419"/>
        <v>MASTRO</v>
      </c>
      <c r="CZ1482" s="259" t="e">
        <f t="shared" ca="1" si="1432"/>
        <v>#N/A</v>
      </c>
      <c r="DA1482" s="259" t="str">
        <f t="shared" ref="DA1482:DA1495" ca="1" si="1437">IFERROR(INDEX(LIBRO_GIORNALE,CZ1482,1),"")</f>
        <v/>
      </c>
      <c r="DB1482" s="259" t="str">
        <f t="shared" ca="1" si="1433"/>
        <v/>
      </c>
      <c r="DC1482" s="259" t="str">
        <f t="shared" ca="1" si="1434"/>
        <v/>
      </c>
      <c r="DD1482" s="259" t="str">
        <f t="shared" ca="1" si="1435"/>
        <v/>
      </c>
      <c r="DE1482" s="259" t="str">
        <f t="shared" ca="1" si="1436"/>
        <v/>
      </c>
      <c r="DF1482" s="259">
        <f ca="1">IF(AND(CX1482=$DE$2,$DF$2&lt;&gt;0),0,IF(AND(DB1482&lt;&gt;"",OR(DB1481&lt;&gt;"",DB1483&lt;&gt;"")),MAX($DF$2:DF1481)+1,0))</f>
        <v>0</v>
      </c>
    </row>
    <row r="1483" spans="102:110">
      <c r="CX1483" s="259">
        <f t="shared" ca="1" si="1430"/>
        <v>83</v>
      </c>
      <c r="CY1483" s="259" t="str">
        <f t="shared" ca="1" si="1419"/>
        <v>MASTRO</v>
      </c>
      <c r="CZ1483" s="259" t="e">
        <f t="shared" ca="1" si="1432"/>
        <v>#N/A</v>
      </c>
      <c r="DA1483" s="259" t="str">
        <f t="shared" ca="1" si="1437"/>
        <v/>
      </c>
      <c r="DB1483" s="259" t="str">
        <f t="shared" ca="1" si="1433"/>
        <v/>
      </c>
      <c r="DC1483" s="259" t="str">
        <f t="shared" ca="1" si="1434"/>
        <v/>
      </c>
      <c r="DD1483" s="259" t="str">
        <f t="shared" ca="1" si="1435"/>
        <v/>
      </c>
      <c r="DE1483" s="259" t="str">
        <f t="shared" ca="1" si="1436"/>
        <v/>
      </c>
      <c r="DF1483" s="259">
        <f ca="1">IF(AND(CX1483=$DE$2,$DF$2&lt;&gt;0),0,IF(AND(DB1483&lt;&gt;"",OR(DB1482&lt;&gt;"",DB1484&lt;&gt;"")),MAX($DF$2:DF1482)+1,0))</f>
        <v>0</v>
      </c>
    </row>
    <row r="1484" spans="102:110">
      <c r="CX1484" s="259">
        <f t="shared" ca="1" si="1430"/>
        <v>83</v>
      </c>
      <c r="CY1484" s="259" t="str">
        <f t="shared" ca="1" si="1419"/>
        <v>MASTRO</v>
      </c>
      <c r="CZ1484" s="259" t="e">
        <f t="shared" ca="1" si="1432"/>
        <v>#N/A</v>
      </c>
      <c r="DA1484" s="259" t="str">
        <f t="shared" ca="1" si="1437"/>
        <v/>
      </c>
      <c r="DB1484" s="259" t="str">
        <f t="shared" ca="1" si="1433"/>
        <v/>
      </c>
      <c r="DC1484" s="259" t="str">
        <f t="shared" ca="1" si="1434"/>
        <v/>
      </c>
      <c r="DD1484" s="259" t="str">
        <f t="shared" ca="1" si="1435"/>
        <v/>
      </c>
      <c r="DE1484" s="259" t="str">
        <f t="shared" ca="1" si="1436"/>
        <v/>
      </c>
      <c r="DF1484" s="259">
        <f ca="1">IF(AND(CX1484=$DE$2,$DF$2&lt;&gt;0),0,IF(AND(DB1484&lt;&gt;"",OR(DB1483&lt;&gt;"",DB1485&lt;&gt;"")),MAX($DF$2:DF1483)+1,0))</f>
        <v>0</v>
      </c>
    </row>
    <row r="1485" spans="102:110">
      <c r="CX1485" s="259">
        <f t="shared" ca="1" si="1430"/>
        <v>83</v>
      </c>
      <c r="CY1485" s="259" t="str">
        <f t="shared" ca="1" si="1419"/>
        <v>MASTRO</v>
      </c>
      <c r="CZ1485" s="259" t="e">
        <f t="shared" ca="1" si="1432"/>
        <v>#N/A</v>
      </c>
      <c r="DA1485" s="259" t="str">
        <f t="shared" ca="1" si="1437"/>
        <v/>
      </c>
      <c r="DB1485" s="259" t="str">
        <f t="shared" ca="1" si="1433"/>
        <v/>
      </c>
      <c r="DC1485" s="259" t="str">
        <f t="shared" ca="1" si="1434"/>
        <v/>
      </c>
      <c r="DD1485" s="259" t="str">
        <f t="shared" ca="1" si="1435"/>
        <v/>
      </c>
      <c r="DE1485" s="259" t="str">
        <f t="shared" ca="1" si="1436"/>
        <v/>
      </c>
      <c r="DF1485" s="259">
        <f ca="1">IF(AND(CX1485=$DE$2,$DF$2&lt;&gt;0),0,IF(AND(DB1485&lt;&gt;"",OR(DB1484&lt;&gt;"",DB1486&lt;&gt;"")),MAX($DF$2:DF1484)+1,0))</f>
        <v>0</v>
      </c>
    </row>
    <row r="1486" spans="102:110">
      <c r="CX1486" s="259">
        <f t="shared" ca="1" si="1430"/>
        <v>83</v>
      </c>
      <c r="CY1486" s="259" t="str">
        <f t="shared" ca="1" si="1419"/>
        <v>MASTRO</v>
      </c>
      <c r="CZ1486" s="259" t="e">
        <f t="shared" ca="1" si="1432"/>
        <v>#N/A</v>
      </c>
      <c r="DA1486" s="259" t="str">
        <f t="shared" ca="1" si="1437"/>
        <v/>
      </c>
      <c r="DB1486" s="259" t="str">
        <f t="shared" ca="1" si="1433"/>
        <v/>
      </c>
      <c r="DC1486" s="259" t="str">
        <f t="shared" ca="1" si="1434"/>
        <v/>
      </c>
      <c r="DD1486" s="259" t="str">
        <f t="shared" ca="1" si="1435"/>
        <v/>
      </c>
      <c r="DE1486" s="259" t="str">
        <f t="shared" ca="1" si="1436"/>
        <v/>
      </c>
      <c r="DF1486" s="259">
        <f ca="1">IF(AND(CX1486=$DE$2,$DF$2&lt;&gt;0),0,IF(AND(DB1486&lt;&gt;"",OR(DB1485&lt;&gt;"",DB1487&lt;&gt;"")),MAX($DF$2:DF1485)+1,0))</f>
        <v>0</v>
      </c>
    </row>
    <row r="1487" spans="102:110">
      <c r="CX1487" s="259">
        <f t="shared" ca="1" si="1430"/>
        <v>83</v>
      </c>
      <c r="CY1487" s="259" t="str">
        <f t="shared" ca="1" si="1419"/>
        <v>MASTRO</v>
      </c>
      <c r="CZ1487" s="259" t="e">
        <f t="shared" ca="1" si="1432"/>
        <v>#N/A</v>
      </c>
      <c r="DA1487" s="259" t="str">
        <f t="shared" ca="1" si="1437"/>
        <v/>
      </c>
      <c r="DB1487" s="259" t="str">
        <f t="shared" ca="1" si="1433"/>
        <v/>
      </c>
      <c r="DC1487" s="259" t="str">
        <f t="shared" ca="1" si="1434"/>
        <v/>
      </c>
      <c r="DD1487" s="259" t="str">
        <f t="shared" ca="1" si="1435"/>
        <v/>
      </c>
      <c r="DE1487" s="259" t="str">
        <f t="shared" ca="1" si="1436"/>
        <v/>
      </c>
      <c r="DF1487" s="259">
        <f ca="1">IF(AND(CX1487=$DE$2,$DF$2&lt;&gt;0),0,IF(AND(DB1487&lt;&gt;"",OR(DB1486&lt;&gt;"",DB1488&lt;&gt;"")),MAX($DF$2:DF1486)+1,0))</f>
        <v>0</v>
      </c>
    </row>
    <row r="1488" spans="102:110">
      <c r="CX1488" s="259">
        <f t="shared" ca="1" si="1430"/>
        <v>83</v>
      </c>
      <c r="CY1488" s="259" t="str">
        <f t="shared" ca="1" si="1419"/>
        <v>MASTRO</v>
      </c>
      <c r="CZ1488" s="259" t="e">
        <f t="shared" ca="1" si="1432"/>
        <v>#N/A</v>
      </c>
      <c r="DA1488" s="259" t="str">
        <f t="shared" ca="1" si="1437"/>
        <v/>
      </c>
      <c r="DB1488" s="259" t="str">
        <f t="shared" ca="1" si="1433"/>
        <v/>
      </c>
      <c r="DC1488" s="259" t="str">
        <f t="shared" ca="1" si="1434"/>
        <v/>
      </c>
      <c r="DD1488" s="259" t="str">
        <f t="shared" ca="1" si="1435"/>
        <v/>
      </c>
      <c r="DE1488" s="259" t="str">
        <f t="shared" ca="1" si="1436"/>
        <v/>
      </c>
      <c r="DF1488" s="259">
        <f ca="1">IF(AND(CX1488=$DE$2,$DF$2&lt;&gt;0),0,IF(AND(DB1488&lt;&gt;"",OR(DB1487&lt;&gt;"",DB1489&lt;&gt;"")),MAX($DF$2:DF1487)+1,0))</f>
        <v>0</v>
      </c>
    </row>
    <row r="1489" spans="102:110">
      <c r="CX1489" s="259">
        <f t="shared" ca="1" si="1430"/>
        <v>83</v>
      </c>
      <c r="CY1489" s="259" t="str">
        <f t="shared" ca="1" si="1419"/>
        <v>MASTRO</v>
      </c>
      <c r="CZ1489" s="259" t="e">
        <f t="shared" ca="1" si="1432"/>
        <v>#N/A</v>
      </c>
      <c r="DA1489" s="259" t="str">
        <f t="shared" ca="1" si="1437"/>
        <v/>
      </c>
      <c r="DB1489" s="259" t="str">
        <f t="shared" ca="1" si="1433"/>
        <v/>
      </c>
      <c r="DC1489" s="259" t="str">
        <f t="shared" ca="1" si="1434"/>
        <v/>
      </c>
      <c r="DD1489" s="259" t="str">
        <f t="shared" ca="1" si="1435"/>
        <v/>
      </c>
      <c r="DE1489" s="259" t="str">
        <f t="shared" ca="1" si="1436"/>
        <v/>
      </c>
      <c r="DF1489" s="259">
        <f ca="1">IF(AND(CX1489=$DE$2,$DF$2&lt;&gt;0),0,IF(AND(DB1489&lt;&gt;"",OR(DB1488&lt;&gt;"",DB1490&lt;&gt;"")),MAX($DF$2:DF1488)+1,0))</f>
        <v>0</v>
      </c>
    </row>
    <row r="1490" spans="102:110">
      <c r="CX1490" s="259">
        <f t="shared" ca="1" si="1430"/>
        <v>83</v>
      </c>
      <c r="CY1490" s="259" t="str">
        <f t="shared" ref="CY1490:CY1521" ca="1" si="1438">IF(ISERROR(INDEX($CV$3:$CX$2300,MATCH(CX1490,$CW$3:$CW$2300,0),1)),"MASTRO",INDEX($CV$3:$CX$2300,MATCH(CX1490,$CW$3:$CW$2300,0),1))</f>
        <v>MASTRO</v>
      </c>
      <c r="CZ1490" s="259" t="e">
        <f t="shared" ca="1" si="1432"/>
        <v>#N/A</v>
      </c>
      <c r="DA1490" s="259" t="str">
        <f t="shared" ca="1" si="1437"/>
        <v/>
      </c>
      <c r="DB1490" s="259" t="str">
        <f t="shared" ca="1" si="1433"/>
        <v/>
      </c>
      <c r="DC1490" s="259" t="str">
        <f t="shared" ca="1" si="1434"/>
        <v/>
      </c>
      <c r="DD1490" s="259" t="str">
        <f t="shared" ca="1" si="1435"/>
        <v/>
      </c>
      <c r="DE1490" s="259" t="str">
        <f t="shared" ca="1" si="1436"/>
        <v/>
      </c>
      <c r="DF1490" s="259">
        <f ca="1">IF(AND(CX1490=$DE$2,$DF$2&lt;&gt;0),0,IF(AND(DB1490&lt;&gt;"",OR(DB1489&lt;&gt;"",DB1491&lt;&gt;"")),MAX($DF$2:DF1489)+1,0))</f>
        <v>0</v>
      </c>
    </row>
    <row r="1491" spans="102:110">
      <c r="CX1491" s="259">
        <f t="shared" ca="1" si="1430"/>
        <v>83</v>
      </c>
      <c r="CY1491" s="259" t="str">
        <f t="shared" ca="1" si="1438"/>
        <v>MASTRO</v>
      </c>
      <c r="CZ1491" s="259" t="e">
        <f t="shared" ca="1" si="1432"/>
        <v>#N/A</v>
      </c>
      <c r="DA1491" s="259" t="str">
        <f t="shared" ca="1" si="1437"/>
        <v/>
      </c>
      <c r="DB1491" s="259" t="str">
        <f t="shared" ca="1" si="1433"/>
        <v/>
      </c>
      <c r="DC1491" s="259" t="str">
        <f t="shared" ca="1" si="1434"/>
        <v/>
      </c>
      <c r="DD1491" s="259" t="str">
        <f t="shared" ca="1" si="1435"/>
        <v/>
      </c>
      <c r="DE1491" s="259" t="str">
        <f t="shared" ca="1" si="1436"/>
        <v/>
      </c>
      <c r="DF1491" s="259">
        <f ca="1">IF(AND(CX1491=$DE$2,$DF$2&lt;&gt;0),0,IF(AND(DB1491&lt;&gt;"",OR(DB1490&lt;&gt;"",DB1492&lt;&gt;"")),MAX($DF$2:DF1490)+1,0))</f>
        <v>0</v>
      </c>
    </row>
    <row r="1492" spans="102:110">
      <c r="CX1492" s="259">
        <f t="shared" ca="1" si="1430"/>
        <v>83</v>
      </c>
      <c r="CY1492" s="259" t="str">
        <f t="shared" ca="1" si="1438"/>
        <v>MASTRO</v>
      </c>
      <c r="CZ1492" s="259" t="e">
        <f t="shared" ca="1" si="1432"/>
        <v>#N/A</v>
      </c>
      <c r="DA1492" s="259" t="str">
        <f t="shared" ca="1" si="1437"/>
        <v/>
      </c>
      <c r="DB1492" s="259" t="str">
        <f t="shared" ca="1" si="1433"/>
        <v/>
      </c>
      <c r="DC1492" s="259" t="str">
        <f t="shared" ca="1" si="1434"/>
        <v/>
      </c>
      <c r="DD1492" s="259" t="str">
        <f t="shared" ca="1" si="1435"/>
        <v/>
      </c>
      <c r="DE1492" s="259" t="str">
        <f t="shared" ca="1" si="1436"/>
        <v/>
      </c>
      <c r="DF1492" s="259">
        <f ca="1">IF(AND(CX1492=$DE$2,$DF$2&lt;&gt;0),0,IF(AND(DB1492&lt;&gt;"",OR(DB1491&lt;&gt;"",DB1493&lt;&gt;"")),MAX($DF$2:DF1491)+1,0))</f>
        <v>0</v>
      </c>
    </row>
    <row r="1493" spans="102:110">
      <c r="CX1493" s="259">
        <f t="shared" ca="1" si="1430"/>
        <v>83</v>
      </c>
      <c r="CY1493" s="259" t="str">
        <f t="shared" ca="1" si="1438"/>
        <v>MASTRO</v>
      </c>
      <c r="CZ1493" s="259" t="e">
        <f t="shared" ca="1" si="1432"/>
        <v>#N/A</v>
      </c>
      <c r="DA1493" s="259" t="str">
        <f t="shared" ca="1" si="1437"/>
        <v/>
      </c>
      <c r="DB1493" s="259" t="str">
        <f t="shared" ca="1" si="1433"/>
        <v/>
      </c>
      <c r="DC1493" s="259" t="str">
        <f t="shared" ca="1" si="1434"/>
        <v/>
      </c>
      <c r="DD1493" s="259" t="str">
        <f t="shared" ca="1" si="1435"/>
        <v/>
      </c>
      <c r="DE1493" s="259" t="str">
        <f t="shared" ca="1" si="1436"/>
        <v/>
      </c>
      <c r="DF1493" s="259">
        <f ca="1">IF(AND(CX1493=$DE$2,$DF$2&lt;&gt;0),0,IF(AND(DB1493&lt;&gt;"",OR(DB1492&lt;&gt;"",DB1494&lt;&gt;"")),MAX($DF$2:DF1492)+1,0))</f>
        <v>0</v>
      </c>
    </row>
    <row r="1494" spans="102:110">
      <c r="CX1494" s="259">
        <f t="shared" ca="1" si="1430"/>
        <v>83</v>
      </c>
      <c r="CY1494" s="259" t="str">
        <f t="shared" ca="1" si="1438"/>
        <v>MASTRO</v>
      </c>
      <c r="CZ1494" s="259" t="e">
        <f t="shared" ca="1" si="1432"/>
        <v>#N/A</v>
      </c>
      <c r="DA1494" s="259" t="str">
        <f t="shared" ca="1" si="1437"/>
        <v/>
      </c>
      <c r="DB1494" s="259" t="str">
        <f t="shared" ca="1" si="1433"/>
        <v/>
      </c>
      <c r="DC1494" s="259" t="str">
        <f t="shared" ca="1" si="1434"/>
        <v/>
      </c>
      <c r="DD1494" s="259" t="str">
        <f t="shared" ca="1" si="1435"/>
        <v/>
      </c>
      <c r="DE1494" s="259" t="str">
        <f t="shared" ca="1" si="1436"/>
        <v/>
      </c>
      <c r="DF1494" s="259">
        <f ca="1">IF(AND(CX1494=$DE$2,$DF$2&lt;&gt;0),0,IF(AND(DB1494&lt;&gt;"",OR(DB1493&lt;&gt;"",DB1495&lt;&gt;"")),MAX($DF$2:DF1493)+1,0))</f>
        <v>0</v>
      </c>
    </row>
    <row r="1495" spans="102:110">
      <c r="CX1495" s="259">
        <f t="shared" ca="1" si="1430"/>
        <v>83</v>
      </c>
      <c r="CY1495" s="259" t="str">
        <f t="shared" ca="1" si="1438"/>
        <v>MASTRO</v>
      </c>
      <c r="CZ1495" s="259" t="e">
        <f t="shared" ca="1" si="1432"/>
        <v>#N/A</v>
      </c>
      <c r="DA1495" s="259" t="str">
        <f t="shared" ca="1" si="1437"/>
        <v/>
      </c>
      <c r="DB1495" s="259" t="str">
        <f t="shared" ca="1" si="1433"/>
        <v/>
      </c>
      <c r="DC1495" s="259" t="str">
        <f t="shared" ca="1" si="1434"/>
        <v/>
      </c>
      <c r="DD1495" s="259" t="str">
        <f t="shared" ca="1" si="1435"/>
        <v/>
      </c>
      <c r="DE1495" s="259" t="str">
        <f t="shared" ca="1" si="1436"/>
        <v/>
      </c>
      <c r="DF1495" s="259">
        <f ca="1">IF(AND(CX1495=$DE$2,$DF$2&lt;&gt;0),0,IF(AND(DB1495&lt;&gt;"",OR(DB1494&lt;&gt;"",DB1496&lt;&gt;"")),MAX($DF$2:DF1494)+1,0))</f>
        <v>0</v>
      </c>
    </row>
    <row r="1496" spans="102:110">
      <c r="CX1496" s="259" t="str">
        <f>IFERROR(IF(CX1478+1=1,"",(CX1478+1)),"")</f>
        <v/>
      </c>
      <c r="CY1496" s="259" t="str">
        <f t="shared" ca="1" si="1438"/>
        <v>MASTRO</v>
      </c>
      <c r="DB1496" s="259" t="str">
        <f t="shared" ref="DB1496" ca="1" si="1439">CY1496</f>
        <v>MASTRO</v>
      </c>
      <c r="DF1496" s="259">
        <f ca="1">IF(AND(CX1496=$DE$2,$DF$2&lt;&gt;0),0,IF(AND(DB1496&lt;&gt;"",OR(DB1495&lt;&gt;"",DB1497&lt;&gt;"")),MAX($DF$2:DF1495)+1,0))</f>
        <v>0</v>
      </c>
    </row>
    <row r="1497" spans="102:110">
      <c r="CX1497" s="259">
        <f ca="1">$EA$86</f>
        <v>84</v>
      </c>
      <c r="CY1497" s="259" t="str">
        <f t="shared" ca="1" si="1438"/>
        <v>MASTRO</v>
      </c>
      <c r="DA1497" s="259" t="str">
        <f ca="1">IF(CY1496="MASTRO","Conto n.","")</f>
        <v>Conto n.</v>
      </c>
      <c r="DB1497" s="259" t="str">
        <f ca="1">IF(CY1497=0,"",INDEX(PIANO_DEI_CONTI,MATCH(DC1497,DENOMINAZIONE,0),1))</f>
        <v/>
      </c>
      <c r="DC1497" s="259" t="str">
        <f ca="1">IF(OR(CY1497=0,CY1497="mastro"),"",CY1497)</f>
        <v/>
      </c>
      <c r="DD1497" s="259" t="str">
        <f ca="1">IF(AND($DA$2=TRUE,OR(INDEX(PIANO_DEI_CONTI,MATCH($DC1497,DENOMINAZIONE,0),4)="A",INDEX(PIANO_DEI_CONTI,MATCH($DC1497,DENOMINAZIONE,0),4)="D/A"),SUMIFS(AVERE,DENOMINAZIONE_GIORNALE,"="&amp;$DC1497)&gt;SUMIFS(DARE,DENOMINAZIONE_GIORNALE,"="&amp;$DC1497)),CONCATENATE("s ",FIXED(ABS(SUMIFS(AVERE,DENOMINAZIONE_GIORNALE,"="&amp;$DC1497)-SUMIFS(DARE,DENOMINAZIONE_GIORNALE,"="&amp;$DC1497)),2)),"")</f>
        <v/>
      </c>
      <c r="DE1497" s="259" t="str">
        <f ca="1">IF(AND($DA$2=TRUE,OR(INDEX(PIANO_DEI_CONTI,MATCH($DC1497,DENOMINAZIONE,0),4)="D",INDEX(PIANO_DEI_CONTI,MATCH($DC1497,DENOMINAZIONE,0),4)="D/A"),SUMIFS(DARE,DENOMINAZIONE_GIORNALE,"="&amp;$DC1497)&gt;SUMIFS(AVERE,DENOMINAZIONE_GIORNALE,"="&amp;$DC1497)),CONCATENATE("s ",FIXED(ABS(SUMIFS(DARE,DENOMINAZIONE_GIORNALE,"="&amp;$DC1497)-SUMIFS(AVERE,DENOMINAZIONE_GIORNALE,"="&amp;$DC1497)),2)),"")</f>
        <v/>
      </c>
      <c r="DF1497" s="259">
        <f ca="1">IF(AND(CX1497=$DE$2,$DF$2&lt;&gt;0),0,IF(AND(DB1497&lt;&gt;"",OR(DB1496&lt;&gt;"",DB1498&lt;&gt;"")),MAX($DF$2:DF1496)+1,0))</f>
        <v>0</v>
      </c>
    </row>
    <row r="1498" spans="102:110">
      <c r="CX1498" s="259">
        <f t="shared" ref="CX1498:CX1513" ca="1" si="1440">$EA$86</f>
        <v>84</v>
      </c>
      <c r="CY1498" s="259" t="str">
        <f t="shared" ca="1" si="1438"/>
        <v>MASTRO</v>
      </c>
      <c r="DA1498" s="259" t="str">
        <f ca="1">IF(DB1497="","","Num. riga")</f>
        <v/>
      </c>
      <c r="DB1498" s="259" t="str">
        <f t="shared" ref="DB1498" ca="1" si="1441">IF(DB1497="","","Data")</f>
        <v/>
      </c>
      <c r="DC1498" s="259" t="str">
        <f ca="1">IF(DB1497="","","Operazioni")</f>
        <v/>
      </c>
      <c r="DD1498" s="259" t="str">
        <f ca="1">IF(DB1497="","","Dare        ")</f>
        <v/>
      </c>
      <c r="DE1498" s="259" t="str">
        <f ca="1">IF(DB1497="","","Avere        ")</f>
        <v/>
      </c>
      <c r="DF1498" s="259">
        <f ca="1">IF(AND(CX1498=$DE$2,$DF$2&lt;&gt;0),0,IF(AND(DB1498&lt;&gt;"",OR(DB1497&lt;&gt;"",DB1499&lt;&gt;"")),MAX($DF$2:DF1497)+1,0))</f>
        <v>0</v>
      </c>
    </row>
    <row r="1499" spans="102:110">
      <c r="CX1499" s="259">
        <f t="shared" ca="1" si="1440"/>
        <v>84</v>
      </c>
      <c r="CY1499" s="259" t="str">
        <f t="shared" ca="1" si="1438"/>
        <v>MASTRO</v>
      </c>
      <c r="CZ1499" s="259" t="e">
        <f t="shared" ref="CZ1499:CZ1513" ca="1" si="1442">SUM(MATCH($CY1499,INDIRECT(ADDRESS(SUM(CZ1498)+3,54)&amp;":"&amp;ADDRESS(400,54)),0),CZ1498)</f>
        <v>#N/A</v>
      </c>
      <c r="DA1499" s="259" t="str">
        <f ca="1">IFERROR(INDEX(LIBRO_GIORNALE,CZ1499,1),"")</f>
        <v/>
      </c>
      <c r="DB1499" s="259" t="str">
        <f t="shared" ref="DB1499:DB1513" ca="1" si="1443">IF(RIGHT(TEXT(IFERROR(INDEX(LIBRO_GIORNALE,CZ1499,2),""),"gg/mm/aa"),1)="a",TEXT(IFERROR(INDEX(LIBRO_GIORNALE,CZ1499,2),""),"dd/mm/yy"),TEXT(IFERROR(INDEX(LIBRO_GIORNALE,CZ1499,2),""),"gg/mm/aa"))</f>
        <v/>
      </c>
      <c r="DC1499" s="259" t="str">
        <f t="shared" ref="DC1499:DC1513" ca="1" si="1444">IF(IFERROR(INDEX(LIBRO_GIORNALE,CZ1499,4),"")=0,"manca la descrizione dell'operazione",IFERROR(INDEX(LIBRO_GIORNALE,CZ1499,4),""))</f>
        <v/>
      </c>
      <c r="DD1499" s="259" t="str">
        <f t="shared" ref="DD1499:DD1513" ca="1" si="1445">IFERROR(IF(INDEX(LIBRO_GIORNALE,CZ1499,5)&gt;0,INDEX(LIBRO_GIORNALE,CZ1499,5),""),"")</f>
        <v/>
      </c>
      <c r="DE1499" s="259" t="str">
        <f t="shared" ref="DE1499:DE1513" ca="1" si="1446">IFERROR(IF(INDEX(LIBRO_GIORNALE,CZ1499,6)&gt;0,INDEX(LIBRO_GIORNALE,CZ1499,6),""),"")</f>
        <v/>
      </c>
      <c r="DF1499" s="259">
        <f ca="1">IF(AND(CX1499=$DE$2,$DF$2&lt;&gt;0),0,IF(AND(DB1499&lt;&gt;"",OR(DB1498&lt;&gt;"",DB1500&lt;&gt;"")),MAX($DF$2:DF1498)+1,0))</f>
        <v>0</v>
      </c>
    </row>
    <row r="1500" spans="102:110">
      <c r="CX1500" s="259">
        <f t="shared" ca="1" si="1440"/>
        <v>84</v>
      </c>
      <c r="CY1500" s="259" t="str">
        <f t="shared" ca="1" si="1438"/>
        <v>MASTRO</v>
      </c>
      <c r="CZ1500" s="259" t="e">
        <f t="shared" ca="1" si="1442"/>
        <v>#N/A</v>
      </c>
      <c r="DA1500" s="259" t="str">
        <f t="shared" ref="DA1500:DA1513" ca="1" si="1447">IFERROR(INDEX(LIBRO_GIORNALE,CZ1500,1),"")</f>
        <v/>
      </c>
      <c r="DB1500" s="259" t="str">
        <f t="shared" ca="1" si="1443"/>
        <v/>
      </c>
      <c r="DC1500" s="259" t="str">
        <f t="shared" ca="1" si="1444"/>
        <v/>
      </c>
      <c r="DD1500" s="259" t="str">
        <f t="shared" ca="1" si="1445"/>
        <v/>
      </c>
      <c r="DE1500" s="259" t="str">
        <f t="shared" ca="1" si="1446"/>
        <v/>
      </c>
      <c r="DF1500" s="259">
        <f ca="1">IF(AND(CX1500=$DE$2,$DF$2&lt;&gt;0),0,IF(AND(DB1500&lt;&gt;"",OR(DB1499&lt;&gt;"",DB1501&lt;&gt;"")),MAX($DF$2:DF1499)+1,0))</f>
        <v>0</v>
      </c>
    </row>
    <row r="1501" spans="102:110">
      <c r="CX1501" s="259">
        <f t="shared" ca="1" si="1440"/>
        <v>84</v>
      </c>
      <c r="CY1501" s="259" t="str">
        <f t="shared" ca="1" si="1438"/>
        <v>MASTRO</v>
      </c>
      <c r="CZ1501" s="259" t="e">
        <f t="shared" ca="1" si="1442"/>
        <v>#N/A</v>
      </c>
      <c r="DA1501" s="259" t="str">
        <f t="shared" ca="1" si="1447"/>
        <v/>
      </c>
      <c r="DB1501" s="259" t="str">
        <f t="shared" ca="1" si="1443"/>
        <v/>
      </c>
      <c r="DC1501" s="259" t="str">
        <f t="shared" ca="1" si="1444"/>
        <v/>
      </c>
      <c r="DD1501" s="259" t="str">
        <f t="shared" ca="1" si="1445"/>
        <v/>
      </c>
      <c r="DE1501" s="259" t="str">
        <f t="shared" ca="1" si="1446"/>
        <v/>
      </c>
      <c r="DF1501" s="259">
        <f ca="1">IF(AND(CX1501=$DE$2,$DF$2&lt;&gt;0),0,IF(AND(DB1501&lt;&gt;"",OR(DB1500&lt;&gt;"",DB1502&lt;&gt;"")),MAX($DF$2:DF1500)+1,0))</f>
        <v>0</v>
      </c>
    </row>
    <row r="1502" spans="102:110">
      <c r="CX1502" s="259">
        <f t="shared" ca="1" si="1440"/>
        <v>84</v>
      </c>
      <c r="CY1502" s="259" t="str">
        <f t="shared" ca="1" si="1438"/>
        <v>MASTRO</v>
      </c>
      <c r="CZ1502" s="259" t="e">
        <f t="shared" ca="1" si="1442"/>
        <v>#N/A</v>
      </c>
      <c r="DA1502" s="259" t="str">
        <f t="shared" ca="1" si="1447"/>
        <v/>
      </c>
      <c r="DB1502" s="259" t="str">
        <f t="shared" ca="1" si="1443"/>
        <v/>
      </c>
      <c r="DC1502" s="259" t="str">
        <f t="shared" ca="1" si="1444"/>
        <v/>
      </c>
      <c r="DD1502" s="259" t="str">
        <f t="shared" ca="1" si="1445"/>
        <v/>
      </c>
      <c r="DE1502" s="259" t="str">
        <f t="shared" ca="1" si="1446"/>
        <v/>
      </c>
      <c r="DF1502" s="259">
        <f ca="1">IF(AND(CX1502=$DE$2,$DF$2&lt;&gt;0),0,IF(AND(DB1502&lt;&gt;"",OR(DB1501&lt;&gt;"",DB1503&lt;&gt;"")),MAX($DF$2:DF1501)+1,0))</f>
        <v>0</v>
      </c>
    </row>
    <row r="1503" spans="102:110">
      <c r="CX1503" s="259">
        <f t="shared" ca="1" si="1440"/>
        <v>84</v>
      </c>
      <c r="CY1503" s="259" t="str">
        <f t="shared" ca="1" si="1438"/>
        <v>MASTRO</v>
      </c>
      <c r="CZ1503" s="259" t="e">
        <f t="shared" ca="1" si="1442"/>
        <v>#N/A</v>
      </c>
      <c r="DA1503" s="259" t="str">
        <f t="shared" ca="1" si="1447"/>
        <v/>
      </c>
      <c r="DB1503" s="259" t="str">
        <f t="shared" ca="1" si="1443"/>
        <v/>
      </c>
      <c r="DC1503" s="259" t="str">
        <f t="shared" ca="1" si="1444"/>
        <v/>
      </c>
      <c r="DD1503" s="259" t="str">
        <f t="shared" ca="1" si="1445"/>
        <v/>
      </c>
      <c r="DE1503" s="259" t="str">
        <f t="shared" ca="1" si="1446"/>
        <v/>
      </c>
      <c r="DF1503" s="259">
        <f ca="1">IF(AND(CX1503=$DE$2,$DF$2&lt;&gt;0),0,IF(AND(DB1503&lt;&gt;"",OR(DB1502&lt;&gt;"",DB1504&lt;&gt;"")),MAX($DF$2:DF1502)+1,0))</f>
        <v>0</v>
      </c>
    </row>
    <row r="1504" spans="102:110">
      <c r="CX1504" s="259">
        <f t="shared" ca="1" si="1440"/>
        <v>84</v>
      </c>
      <c r="CY1504" s="259" t="str">
        <f t="shared" ca="1" si="1438"/>
        <v>MASTRO</v>
      </c>
      <c r="CZ1504" s="259" t="e">
        <f t="shared" ca="1" si="1442"/>
        <v>#N/A</v>
      </c>
      <c r="DA1504" s="259" t="str">
        <f t="shared" ca="1" si="1447"/>
        <v/>
      </c>
      <c r="DB1504" s="259" t="str">
        <f t="shared" ca="1" si="1443"/>
        <v/>
      </c>
      <c r="DC1504" s="259" t="str">
        <f t="shared" ca="1" si="1444"/>
        <v/>
      </c>
      <c r="DD1504" s="259" t="str">
        <f t="shared" ca="1" si="1445"/>
        <v/>
      </c>
      <c r="DE1504" s="259" t="str">
        <f t="shared" ca="1" si="1446"/>
        <v/>
      </c>
      <c r="DF1504" s="259">
        <f ca="1">IF(AND(CX1504=$DE$2,$DF$2&lt;&gt;0),0,IF(AND(DB1504&lt;&gt;"",OR(DB1503&lt;&gt;"",DB1505&lt;&gt;"")),MAX($DF$2:DF1503)+1,0))</f>
        <v>0</v>
      </c>
    </row>
    <row r="1505" spans="102:110">
      <c r="CX1505" s="259">
        <f t="shared" ca="1" si="1440"/>
        <v>84</v>
      </c>
      <c r="CY1505" s="259" t="str">
        <f t="shared" ca="1" si="1438"/>
        <v>MASTRO</v>
      </c>
      <c r="CZ1505" s="259" t="e">
        <f t="shared" ca="1" si="1442"/>
        <v>#N/A</v>
      </c>
      <c r="DA1505" s="259" t="str">
        <f t="shared" ca="1" si="1447"/>
        <v/>
      </c>
      <c r="DB1505" s="259" t="str">
        <f t="shared" ca="1" si="1443"/>
        <v/>
      </c>
      <c r="DC1505" s="259" t="str">
        <f t="shared" ca="1" si="1444"/>
        <v/>
      </c>
      <c r="DD1505" s="259" t="str">
        <f t="shared" ca="1" si="1445"/>
        <v/>
      </c>
      <c r="DE1505" s="259" t="str">
        <f t="shared" ca="1" si="1446"/>
        <v/>
      </c>
      <c r="DF1505" s="259">
        <f ca="1">IF(AND(CX1505=$DE$2,$DF$2&lt;&gt;0),0,IF(AND(DB1505&lt;&gt;"",OR(DB1504&lt;&gt;"",DB1506&lt;&gt;"")),MAX($DF$2:DF1504)+1,0))</f>
        <v>0</v>
      </c>
    </row>
    <row r="1506" spans="102:110">
      <c r="CX1506" s="259">
        <f t="shared" ca="1" si="1440"/>
        <v>84</v>
      </c>
      <c r="CY1506" s="259" t="str">
        <f t="shared" ca="1" si="1438"/>
        <v>MASTRO</v>
      </c>
      <c r="CZ1506" s="259" t="e">
        <f t="shared" ca="1" si="1442"/>
        <v>#N/A</v>
      </c>
      <c r="DA1506" s="259" t="str">
        <f t="shared" ca="1" si="1447"/>
        <v/>
      </c>
      <c r="DB1506" s="259" t="str">
        <f t="shared" ca="1" si="1443"/>
        <v/>
      </c>
      <c r="DC1506" s="259" t="str">
        <f t="shared" ca="1" si="1444"/>
        <v/>
      </c>
      <c r="DD1506" s="259" t="str">
        <f t="shared" ca="1" si="1445"/>
        <v/>
      </c>
      <c r="DE1506" s="259" t="str">
        <f t="shared" ca="1" si="1446"/>
        <v/>
      </c>
      <c r="DF1506" s="259">
        <f ca="1">IF(AND(CX1506=$DE$2,$DF$2&lt;&gt;0),0,IF(AND(DB1506&lt;&gt;"",OR(DB1505&lt;&gt;"",DB1507&lt;&gt;"")),MAX($DF$2:DF1505)+1,0))</f>
        <v>0</v>
      </c>
    </row>
    <row r="1507" spans="102:110">
      <c r="CX1507" s="259">
        <f t="shared" ca="1" si="1440"/>
        <v>84</v>
      </c>
      <c r="CY1507" s="259" t="str">
        <f t="shared" ca="1" si="1438"/>
        <v>MASTRO</v>
      </c>
      <c r="CZ1507" s="259" t="e">
        <f t="shared" ca="1" si="1442"/>
        <v>#N/A</v>
      </c>
      <c r="DA1507" s="259" t="str">
        <f t="shared" ca="1" si="1447"/>
        <v/>
      </c>
      <c r="DB1507" s="259" t="str">
        <f t="shared" ca="1" si="1443"/>
        <v/>
      </c>
      <c r="DC1507" s="259" t="str">
        <f t="shared" ca="1" si="1444"/>
        <v/>
      </c>
      <c r="DD1507" s="259" t="str">
        <f t="shared" ca="1" si="1445"/>
        <v/>
      </c>
      <c r="DE1507" s="259" t="str">
        <f t="shared" ca="1" si="1446"/>
        <v/>
      </c>
      <c r="DF1507" s="259">
        <f ca="1">IF(AND(CX1507=$DE$2,$DF$2&lt;&gt;0),0,IF(AND(DB1507&lt;&gt;"",OR(DB1506&lt;&gt;"",DB1508&lt;&gt;"")),MAX($DF$2:DF1506)+1,0))</f>
        <v>0</v>
      </c>
    </row>
    <row r="1508" spans="102:110">
      <c r="CX1508" s="259">
        <f t="shared" ca="1" si="1440"/>
        <v>84</v>
      </c>
      <c r="CY1508" s="259" t="str">
        <f t="shared" ca="1" si="1438"/>
        <v>MASTRO</v>
      </c>
      <c r="CZ1508" s="259" t="e">
        <f t="shared" ca="1" si="1442"/>
        <v>#N/A</v>
      </c>
      <c r="DA1508" s="259" t="str">
        <f t="shared" ca="1" si="1447"/>
        <v/>
      </c>
      <c r="DB1508" s="259" t="str">
        <f t="shared" ca="1" si="1443"/>
        <v/>
      </c>
      <c r="DC1508" s="259" t="str">
        <f t="shared" ca="1" si="1444"/>
        <v/>
      </c>
      <c r="DD1508" s="259" t="str">
        <f t="shared" ca="1" si="1445"/>
        <v/>
      </c>
      <c r="DE1508" s="259" t="str">
        <f t="shared" ca="1" si="1446"/>
        <v/>
      </c>
      <c r="DF1508" s="259">
        <f ca="1">IF(AND(CX1508=$DE$2,$DF$2&lt;&gt;0),0,IF(AND(DB1508&lt;&gt;"",OR(DB1507&lt;&gt;"",DB1509&lt;&gt;"")),MAX($DF$2:DF1507)+1,0))</f>
        <v>0</v>
      </c>
    </row>
    <row r="1509" spans="102:110">
      <c r="CX1509" s="259">
        <f t="shared" ca="1" si="1440"/>
        <v>84</v>
      </c>
      <c r="CY1509" s="259" t="str">
        <f t="shared" ca="1" si="1438"/>
        <v>MASTRO</v>
      </c>
      <c r="CZ1509" s="259" t="e">
        <f t="shared" ca="1" si="1442"/>
        <v>#N/A</v>
      </c>
      <c r="DA1509" s="259" t="str">
        <f t="shared" ca="1" si="1447"/>
        <v/>
      </c>
      <c r="DB1509" s="259" t="str">
        <f t="shared" ca="1" si="1443"/>
        <v/>
      </c>
      <c r="DC1509" s="259" t="str">
        <f t="shared" ca="1" si="1444"/>
        <v/>
      </c>
      <c r="DD1509" s="259" t="str">
        <f t="shared" ca="1" si="1445"/>
        <v/>
      </c>
      <c r="DE1509" s="259" t="str">
        <f t="shared" ca="1" si="1446"/>
        <v/>
      </c>
      <c r="DF1509" s="259">
        <f ca="1">IF(AND(CX1509=$DE$2,$DF$2&lt;&gt;0),0,IF(AND(DB1509&lt;&gt;"",OR(DB1508&lt;&gt;"",DB1510&lt;&gt;"")),MAX($DF$2:DF1508)+1,0))</f>
        <v>0</v>
      </c>
    </row>
    <row r="1510" spans="102:110">
      <c r="CX1510" s="259">
        <f t="shared" ca="1" si="1440"/>
        <v>84</v>
      </c>
      <c r="CY1510" s="259" t="str">
        <f t="shared" ca="1" si="1438"/>
        <v>MASTRO</v>
      </c>
      <c r="CZ1510" s="259" t="e">
        <f t="shared" ca="1" si="1442"/>
        <v>#N/A</v>
      </c>
      <c r="DA1510" s="259" t="str">
        <f t="shared" ca="1" si="1447"/>
        <v/>
      </c>
      <c r="DB1510" s="259" t="str">
        <f t="shared" ca="1" si="1443"/>
        <v/>
      </c>
      <c r="DC1510" s="259" t="str">
        <f t="shared" ca="1" si="1444"/>
        <v/>
      </c>
      <c r="DD1510" s="259" t="str">
        <f t="shared" ca="1" si="1445"/>
        <v/>
      </c>
      <c r="DE1510" s="259" t="str">
        <f t="shared" ca="1" si="1446"/>
        <v/>
      </c>
      <c r="DF1510" s="259">
        <f ca="1">IF(AND(CX1510=$DE$2,$DF$2&lt;&gt;0),0,IF(AND(DB1510&lt;&gt;"",OR(DB1509&lt;&gt;"",DB1511&lt;&gt;"")),MAX($DF$2:DF1509)+1,0))</f>
        <v>0</v>
      </c>
    </row>
    <row r="1511" spans="102:110">
      <c r="CX1511" s="259">
        <f t="shared" ca="1" si="1440"/>
        <v>84</v>
      </c>
      <c r="CY1511" s="259" t="str">
        <f t="shared" ca="1" si="1438"/>
        <v>MASTRO</v>
      </c>
      <c r="CZ1511" s="259" t="e">
        <f t="shared" ca="1" si="1442"/>
        <v>#N/A</v>
      </c>
      <c r="DA1511" s="259" t="str">
        <f t="shared" ca="1" si="1447"/>
        <v/>
      </c>
      <c r="DB1511" s="259" t="str">
        <f t="shared" ca="1" si="1443"/>
        <v/>
      </c>
      <c r="DC1511" s="259" t="str">
        <f t="shared" ca="1" si="1444"/>
        <v/>
      </c>
      <c r="DD1511" s="259" t="str">
        <f t="shared" ca="1" si="1445"/>
        <v/>
      </c>
      <c r="DE1511" s="259" t="str">
        <f t="shared" ca="1" si="1446"/>
        <v/>
      </c>
      <c r="DF1511" s="259">
        <f ca="1">IF(AND(CX1511=$DE$2,$DF$2&lt;&gt;0),0,IF(AND(DB1511&lt;&gt;"",OR(DB1510&lt;&gt;"",DB1512&lt;&gt;"")),MAX($DF$2:DF1510)+1,0))</f>
        <v>0</v>
      </c>
    </row>
    <row r="1512" spans="102:110">
      <c r="CX1512" s="259">
        <f t="shared" ca="1" si="1440"/>
        <v>84</v>
      </c>
      <c r="CY1512" s="259" t="str">
        <f t="shared" ca="1" si="1438"/>
        <v>MASTRO</v>
      </c>
      <c r="CZ1512" s="259" t="e">
        <f t="shared" ca="1" si="1442"/>
        <v>#N/A</v>
      </c>
      <c r="DA1512" s="259" t="str">
        <f t="shared" ca="1" si="1447"/>
        <v/>
      </c>
      <c r="DB1512" s="259" t="str">
        <f t="shared" ca="1" si="1443"/>
        <v/>
      </c>
      <c r="DC1512" s="259" t="str">
        <f t="shared" ca="1" si="1444"/>
        <v/>
      </c>
      <c r="DD1512" s="259" t="str">
        <f t="shared" ca="1" si="1445"/>
        <v/>
      </c>
      <c r="DE1512" s="259" t="str">
        <f t="shared" ca="1" si="1446"/>
        <v/>
      </c>
      <c r="DF1512" s="259">
        <f ca="1">IF(AND(CX1512=$DE$2,$DF$2&lt;&gt;0),0,IF(AND(DB1512&lt;&gt;"",OR(DB1511&lt;&gt;"",DB1513&lt;&gt;"")),MAX($DF$2:DF1511)+1,0))</f>
        <v>0</v>
      </c>
    </row>
    <row r="1513" spans="102:110">
      <c r="CX1513" s="259">
        <f t="shared" ca="1" si="1440"/>
        <v>84</v>
      </c>
      <c r="CY1513" s="259" t="str">
        <f t="shared" ca="1" si="1438"/>
        <v>MASTRO</v>
      </c>
      <c r="CZ1513" s="259" t="e">
        <f t="shared" ca="1" si="1442"/>
        <v>#N/A</v>
      </c>
      <c r="DA1513" s="259" t="str">
        <f t="shared" ca="1" si="1447"/>
        <v/>
      </c>
      <c r="DB1513" s="259" t="str">
        <f t="shared" ca="1" si="1443"/>
        <v/>
      </c>
      <c r="DC1513" s="259" t="str">
        <f t="shared" ca="1" si="1444"/>
        <v/>
      </c>
      <c r="DD1513" s="259" t="str">
        <f t="shared" ca="1" si="1445"/>
        <v/>
      </c>
      <c r="DE1513" s="259" t="str">
        <f t="shared" ca="1" si="1446"/>
        <v/>
      </c>
      <c r="DF1513" s="259">
        <f ca="1">IF(AND(CX1513=$DE$2,$DF$2&lt;&gt;0),0,IF(AND(DB1513&lt;&gt;"",OR(DB1512&lt;&gt;"",DB1514&lt;&gt;"")),MAX($DF$2:DF1512)+1,0))</f>
        <v>0</v>
      </c>
    </row>
    <row r="1514" spans="102:110">
      <c r="CX1514" s="259" t="str">
        <f>IFERROR(IF(CX1496+1=1,"",(CX1496+1)),"")</f>
        <v/>
      </c>
      <c r="CY1514" s="259" t="str">
        <f t="shared" ca="1" si="1438"/>
        <v>MASTRO</v>
      </c>
      <c r="DB1514" s="259" t="str">
        <f t="shared" ref="DB1514" ca="1" si="1448">CY1514</f>
        <v>MASTRO</v>
      </c>
      <c r="DF1514" s="259">
        <f ca="1">IF(AND(CX1514=$DE$2,$DF$2&lt;&gt;0),0,IF(AND(DB1514&lt;&gt;"",OR(DB1513&lt;&gt;"",DB1515&lt;&gt;"")),MAX($DF$2:DF1513)+1,0))</f>
        <v>0</v>
      </c>
    </row>
    <row r="1515" spans="102:110">
      <c r="CX1515" s="259">
        <f ca="1">$EA$87</f>
        <v>85</v>
      </c>
      <c r="CY1515" s="259" t="str">
        <f t="shared" ca="1" si="1438"/>
        <v>MASTRO</v>
      </c>
      <c r="DA1515" s="259" t="str">
        <f ca="1">IF(CY1514="MASTRO","Conto n.","")</f>
        <v>Conto n.</v>
      </c>
      <c r="DB1515" s="259" t="str">
        <f ca="1">IF(CY1515=0,"",INDEX(PIANO_DEI_CONTI,MATCH(DC1515,DENOMINAZIONE,0),1))</f>
        <v/>
      </c>
      <c r="DC1515" s="259" t="str">
        <f ca="1">IF(OR(CY1515=0,CY1515="mastro"),"",CY1515)</f>
        <v/>
      </c>
      <c r="DD1515" s="259" t="str">
        <f ca="1">IF(AND($DA$2=TRUE,OR(INDEX(PIANO_DEI_CONTI,MATCH($DC1515,DENOMINAZIONE,0),4)="A",INDEX(PIANO_DEI_CONTI,MATCH($DC1515,DENOMINAZIONE,0),4)="D/A"),SUMIFS(AVERE,DENOMINAZIONE_GIORNALE,"="&amp;$DC1515)&gt;SUMIFS(DARE,DENOMINAZIONE_GIORNALE,"="&amp;$DC1515)),CONCATENATE("s ",FIXED(ABS(SUMIFS(AVERE,DENOMINAZIONE_GIORNALE,"="&amp;$DC1515)-SUMIFS(DARE,DENOMINAZIONE_GIORNALE,"="&amp;$DC1515)),2)),"")</f>
        <v/>
      </c>
      <c r="DE1515" s="259" t="str">
        <f ca="1">IF(AND($DA$2=TRUE,OR(INDEX(PIANO_DEI_CONTI,MATCH($DC1515,DENOMINAZIONE,0),4)="D",INDEX(PIANO_DEI_CONTI,MATCH($DC1515,DENOMINAZIONE,0),4)="D/A"),SUMIFS(DARE,DENOMINAZIONE_GIORNALE,"="&amp;$DC1515)&gt;SUMIFS(AVERE,DENOMINAZIONE_GIORNALE,"="&amp;$DC1515)),CONCATENATE("s ",FIXED(ABS(SUMIFS(DARE,DENOMINAZIONE_GIORNALE,"="&amp;$DC1515)-SUMIFS(AVERE,DENOMINAZIONE_GIORNALE,"="&amp;$DC1515)),2)),"")</f>
        <v/>
      </c>
      <c r="DF1515" s="259">
        <f ca="1">IF(AND(CX1515=$DE$2,$DF$2&lt;&gt;0),0,IF(AND(DB1515&lt;&gt;"",OR(DB1514&lt;&gt;"",DB1516&lt;&gt;"")),MAX($DF$2:DF1514)+1,0))</f>
        <v>0</v>
      </c>
    </row>
    <row r="1516" spans="102:110">
      <c r="CX1516" s="259">
        <f t="shared" ref="CX1516:CX1531" ca="1" si="1449">$EA$87</f>
        <v>85</v>
      </c>
      <c r="CY1516" s="259" t="str">
        <f t="shared" ca="1" si="1438"/>
        <v>MASTRO</v>
      </c>
      <c r="DA1516" s="259" t="str">
        <f ca="1">IF(DB1515="","","Num. riga")</f>
        <v/>
      </c>
      <c r="DB1516" s="259" t="str">
        <f t="shared" ref="DB1516" ca="1" si="1450">IF(DB1515="","","Data")</f>
        <v/>
      </c>
      <c r="DC1516" s="259" t="str">
        <f ca="1">IF(DB1515="","","Operazioni")</f>
        <v/>
      </c>
      <c r="DD1516" s="259" t="str">
        <f ca="1">IF(DB1515="","","Dare        ")</f>
        <v/>
      </c>
      <c r="DE1516" s="259" t="str">
        <f ca="1">IF(DB1515="","","Avere        ")</f>
        <v/>
      </c>
      <c r="DF1516" s="259">
        <f ca="1">IF(AND(CX1516=$DE$2,$DF$2&lt;&gt;0),0,IF(AND(DB1516&lt;&gt;"",OR(DB1515&lt;&gt;"",DB1517&lt;&gt;"")),MAX($DF$2:DF1515)+1,0))</f>
        <v>0</v>
      </c>
    </row>
    <row r="1517" spans="102:110">
      <c r="CX1517" s="259">
        <f t="shared" ca="1" si="1449"/>
        <v>85</v>
      </c>
      <c r="CY1517" s="259" t="str">
        <f t="shared" ca="1" si="1438"/>
        <v>MASTRO</v>
      </c>
      <c r="CZ1517" s="259" t="e">
        <f t="shared" ref="CZ1517:CZ1531" ca="1" si="1451">SUM(MATCH($CY1517,INDIRECT(ADDRESS(SUM(CZ1516)+3,54)&amp;":"&amp;ADDRESS(400,54)),0),CZ1516)</f>
        <v>#N/A</v>
      </c>
      <c r="DA1517" s="259" t="str">
        <f ca="1">IFERROR(INDEX(LIBRO_GIORNALE,CZ1517,1),"")</f>
        <v/>
      </c>
      <c r="DB1517" s="259" t="str">
        <f t="shared" ref="DB1517:DB1531" ca="1" si="1452">IF(RIGHT(TEXT(IFERROR(INDEX(LIBRO_GIORNALE,CZ1517,2),""),"gg/mm/aa"),1)="a",TEXT(IFERROR(INDEX(LIBRO_GIORNALE,CZ1517,2),""),"dd/mm/yy"),TEXT(IFERROR(INDEX(LIBRO_GIORNALE,CZ1517,2),""),"gg/mm/aa"))</f>
        <v/>
      </c>
      <c r="DC1517" s="259" t="str">
        <f t="shared" ref="DC1517:DC1531" ca="1" si="1453">IF(IFERROR(INDEX(LIBRO_GIORNALE,CZ1517,4),"")=0,"manca la descrizione dell'operazione",IFERROR(INDEX(LIBRO_GIORNALE,CZ1517,4),""))</f>
        <v/>
      </c>
      <c r="DD1517" s="259" t="str">
        <f t="shared" ref="DD1517:DD1531" ca="1" si="1454">IFERROR(IF(INDEX(LIBRO_GIORNALE,CZ1517,5)&gt;0,INDEX(LIBRO_GIORNALE,CZ1517,5),""),"")</f>
        <v/>
      </c>
      <c r="DE1517" s="259" t="str">
        <f t="shared" ref="DE1517:DE1531" ca="1" si="1455">IFERROR(IF(INDEX(LIBRO_GIORNALE,CZ1517,6)&gt;0,INDEX(LIBRO_GIORNALE,CZ1517,6),""),"")</f>
        <v/>
      </c>
      <c r="DF1517" s="259">
        <f ca="1">IF(AND(CX1517=$DE$2,$DF$2&lt;&gt;0),0,IF(AND(DB1517&lt;&gt;"",OR(DB1516&lt;&gt;"",DB1518&lt;&gt;"")),MAX($DF$2:DF1516)+1,0))</f>
        <v>0</v>
      </c>
    </row>
    <row r="1518" spans="102:110">
      <c r="CX1518" s="259">
        <f t="shared" ca="1" si="1449"/>
        <v>85</v>
      </c>
      <c r="CY1518" s="259" t="str">
        <f t="shared" ca="1" si="1438"/>
        <v>MASTRO</v>
      </c>
      <c r="CZ1518" s="259" t="e">
        <f t="shared" ca="1" si="1451"/>
        <v>#N/A</v>
      </c>
      <c r="DA1518" s="259" t="str">
        <f t="shared" ref="DA1518:DA1531" ca="1" si="1456">IFERROR(INDEX(LIBRO_GIORNALE,CZ1518,1),"")</f>
        <v/>
      </c>
      <c r="DB1518" s="259" t="str">
        <f t="shared" ca="1" si="1452"/>
        <v/>
      </c>
      <c r="DC1518" s="259" t="str">
        <f t="shared" ca="1" si="1453"/>
        <v/>
      </c>
      <c r="DD1518" s="259" t="str">
        <f t="shared" ca="1" si="1454"/>
        <v/>
      </c>
      <c r="DE1518" s="259" t="str">
        <f t="shared" ca="1" si="1455"/>
        <v/>
      </c>
      <c r="DF1518" s="259">
        <f ca="1">IF(AND(CX1518=$DE$2,$DF$2&lt;&gt;0),0,IF(AND(DB1518&lt;&gt;"",OR(DB1517&lt;&gt;"",DB1519&lt;&gt;"")),MAX($DF$2:DF1517)+1,0))</f>
        <v>0</v>
      </c>
    </row>
    <row r="1519" spans="102:110">
      <c r="CX1519" s="259">
        <f t="shared" ca="1" si="1449"/>
        <v>85</v>
      </c>
      <c r="CY1519" s="259" t="str">
        <f t="shared" ca="1" si="1438"/>
        <v>MASTRO</v>
      </c>
      <c r="CZ1519" s="259" t="e">
        <f t="shared" ca="1" si="1451"/>
        <v>#N/A</v>
      </c>
      <c r="DA1519" s="259" t="str">
        <f t="shared" ca="1" si="1456"/>
        <v/>
      </c>
      <c r="DB1519" s="259" t="str">
        <f t="shared" ca="1" si="1452"/>
        <v/>
      </c>
      <c r="DC1519" s="259" t="str">
        <f t="shared" ca="1" si="1453"/>
        <v/>
      </c>
      <c r="DD1519" s="259" t="str">
        <f t="shared" ca="1" si="1454"/>
        <v/>
      </c>
      <c r="DE1519" s="259" t="str">
        <f t="shared" ca="1" si="1455"/>
        <v/>
      </c>
      <c r="DF1519" s="259">
        <f ca="1">IF(AND(CX1519=$DE$2,$DF$2&lt;&gt;0),0,IF(AND(DB1519&lt;&gt;"",OR(DB1518&lt;&gt;"",DB1520&lt;&gt;"")),MAX($DF$2:DF1518)+1,0))</f>
        <v>0</v>
      </c>
    </row>
    <row r="1520" spans="102:110">
      <c r="CX1520" s="259">
        <f t="shared" ca="1" si="1449"/>
        <v>85</v>
      </c>
      <c r="CY1520" s="259" t="str">
        <f t="shared" ca="1" si="1438"/>
        <v>MASTRO</v>
      </c>
      <c r="CZ1520" s="259" t="e">
        <f t="shared" ca="1" si="1451"/>
        <v>#N/A</v>
      </c>
      <c r="DA1520" s="259" t="str">
        <f t="shared" ca="1" si="1456"/>
        <v/>
      </c>
      <c r="DB1520" s="259" t="str">
        <f t="shared" ca="1" si="1452"/>
        <v/>
      </c>
      <c r="DC1520" s="259" t="str">
        <f t="shared" ca="1" si="1453"/>
        <v/>
      </c>
      <c r="DD1520" s="259" t="str">
        <f t="shared" ca="1" si="1454"/>
        <v/>
      </c>
      <c r="DE1520" s="259" t="str">
        <f t="shared" ca="1" si="1455"/>
        <v/>
      </c>
      <c r="DF1520" s="259">
        <f ca="1">IF(AND(CX1520=$DE$2,$DF$2&lt;&gt;0),0,IF(AND(DB1520&lt;&gt;"",OR(DB1519&lt;&gt;"",DB1521&lt;&gt;"")),MAX($DF$2:DF1519)+1,0))</f>
        <v>0</v>
      </c>
    </row>
    <row r="1521" spans="102:110">
      <c r="CX1521" s="259">
        <f t="shared" ca="1" si="1449"/>
        <v>85</v>
      </c>
      <c r="CY1521" s="259" t="str">
        <f t="shared" ca="1" si="1438"/>
        <v>MASTRO</v>
      </c>
      <c r="CZ1521" s="259" t="e">
        <f t="shared" ca="1" si="1451"/>
        <v>#N/A</v>
      </c>
      <c r="DA1521" s="259" t="str">
        <f t="shared" ca="1" si="1456"/>
        <v/>
      </c>
      <c r="DB1521" s="259" t="str">
        <f t="shared" ca="1" si="1452"/>
        <v/>
      </c>
      <c r="DC1521" s="259" t="str">
        <f t="shared" ca="1" si="1453"/>
        <v/>
      </c>
      <c r="DD1521" s="259" t="str">
        <f t="shared" ca="1" si="1454"/>
        <v/>
      </c>
      <c r="DE1521" s="259" t="str">
        <f t="shared" ca="1" si="1455"/>
        <v/>
      </c>
      <c r="DF1521" s="259">
        <f ca="1">IF(AND(CX1521=$DE$2,$DF$2&lt;&gt;0),0,IF(AND(DB1521&lt;&gt;"",OR(DB1520&lt;&gt;"",DB1522&lt;&gt;"")),MAX($DF$2:DF1520)+1,0))</f>
        <v>0</v>
      </c>
    </row>
    <row r="1522" spans="102:110">
      <c r="CX1522" s="259">
        <f t="shared" ca="1" si="1449"/>
        <v>85</v>
      </c>
      <c r="CY1522" s="259" t="str">
        <f t="shared" ref="CY1522:CY1553" ca="1" si="1457">IF(ISERROR(INDEX($CV$3:$CX$2300,MATCH(CX1522,$CW$3:$CW$2300,0),1)),"MASTRO",INDEX($CV$3:$CX$2300,MATCH(CX1522,$CW$3:$CW$2300,0),1))</f>
        <v>MASTRO</v>
      </c>
      <c r="CZ1522" s="259" t="e">
        <f t="shared" ca="1" si="1451"/>
        <v>#N/A</v>
      </c>
      <c r="DA1522" s="259" t="str">
        <f t="shared" ca="1" si="1456"/>
        <v/>
      </c>
      <c r="DB1522" s="259" t="str">
        <f t="shared" ca="1" si="1452"/>
        <v/>
      </c>
      <c r="DC1522" s="259" t="str">
        <f t="shared" ca="1" si="1453"/>
        <v/>
      </c>
      <c r="DD1522" s="259" t="str">
        <f t="shared" ca="1" si="1454"/>
        <v/>
      </c>
      <c r="DE1522" s="259" t="str">
        <f t="shared" ca="1" si="1455"/>
        <v/>
      </c>
      <c r="DF1522" s="259">
        <f ca="1">IF(AND(CX1522=$DE$2,$DF$2&lt;&gt;0),0,IF(AND(DB1522&lt;&gt;"",OR(DB1521&lt;&gt;"",DB1523&lt;&gt;"")),MAX($DF$2:DF1521)+1,0))</f>
        <v>0</v>
      </c>
    </row>
    <row r="1523" spans="102:110">
      <c r="CX1523" s="259">
        <f t="shared" ca="1" si="1449"/>
        <v>85</v>
      </c>
      <c r="CY1523" s="259" t="str">
        <f t="shared" ca="1" si="1457"/>
        <v>MASTRO</v>
      </c>
      <c r="CZ1523" s="259" t="e">
        <f t="shared" ca="1" si="1451"/>
        <v>#N/A</v>
      </c>
      <c r="DA1523" s="259" t="str">
        <f t="shared" ca="1" si="1456"/>
        <v/>
      </c>
      <c r="DB1523" s="259" t="str">
        <f t="shared" ca="1" si="1452"/>
        <v/>
      </c>
      <c r="DC1523" s="259" t="str">
        <f t="shared" ca="1" si="1453"/>
        <v/>
      </c>
      <c r="DD1523" s="259" t="str">
        <f t="shared" ca="1" si="1454"/>
        <v/>
      </c>
      <c r="DE1523" s="259" t="str">
        <f t="shared" ca="1" si="1455"/>
        <v/>
      </c>
      <c r="DF1523" s="259">
        <f ca="1">IF(AND(CX1523=$DE$2,$DF$2&lt;&gt;0),0,IF(AND(DB1523&lt;&gt;"",OR(DB1522&lt;&gt;"",DB1524&lt;&gt;"")),MAX($DF$2:DF1522)+1,0))</f>
        <v>0</v>
      </c>
    </row>
    <row r="1524" spans="102:110">
      <c r="CX1524" s="259">
        <f t="shared" ca="1" si="1449"/>
        <v>85</v>
      </c>
      <c r="CY1524" s="259" t="str">
        <f t="shared" ca="1" si="1457"/>
        <v>MASTRO</v>
      </c>
      <c r="CZ1524" s="259" t="e">
        <f t="shared" ca="1" si="1451"/>
        <v>#N/A</v>
      </c>
      <c r="DA1524" s="259" t="str">
        <f t="shared" ca="1" si="1456"/>
        <v/>
      </c>
      <c r="DB1524" s="259" t="str">
        <f t="shared" ca="1" si="1452"/>
        <v/>
      </c>
      <c r="DC1524" s="259" t="str">
        <f t="shared" ca="1" si="1453"/>
        <v/>
      </c>
      <c r="DD1524" s="259" t="str">
        <f t="shared" ca="1" si="1454"/>
        <v/>
      </c>
      <c r="DE1524" s="259" t="str">
        <f t="shared" ca="1" si="1455"/>
        <v/>
      </c>
      <c r="DF1524" s="259">
        <f ca="1">IF(AND(CX1524=$DE$2,$DF$2&lt;&gt;0),0,IF(AND(DB1524&lt;&gt;"",OR(DB1523&lt;&gt;"",DB1525&lt;&gt;"")),MAX($DF$2:DF1523)+1,0))</f>
        <v>0</v>
      </c>
    </row>
    <row r="1525" spans="102:110">
      <c r="CX1525" s="259">
        <f t="shared" ca="1" si="1449"/>
        <v>85</v>
      </c>
      <c r="CY1525" s="259" t="str">
        <f t="shared" ca="1" si="1457"/>
        <v>MASTRO</v>
      </c>
      <c r="CZ1525" s="259" t="e">
        <f t="shared" ca="1" si="1451"/>
        <v>#N/A</v>
      </c>
      <c r="DA1525" s="259" t="str">
        <f t="shared" ca="1" si="1456"/>
        <v/>
      </c>
      <c r="DB1525" s="259" t="str">
        <f t="shared" ca="1" si="1452"/>
        <v/>
      </c>
      <c r="DC1525" s="259" t="str">
        <f t="shared" ca="1" si="1453"/>
        <v/>
      </c>
      <c r="DD1525" s="259" t="str">
        <f t="shared" ca="1" si="1454"/>
        <v/>
      </c>
      <c r="DE1525" s="259" t="str">
        <f t="shared" ca="1" si="1455"/>
        <v/>
      </c>
      <c r="DF1525" s="259">
        <f ca="1">IF(AND(CX1525=$DE$2,$DF$2&lt;&gt;0),0,IF(AND(DB1525&lt;&gt;"",OR(DB1524&lt;&gt;"",DB1526&lt;&gt;"")),MAX($DF$2:DF1524)+1,0))</f>
        <v>0</v>
      </c>
    </row>
    <row r="1526" spans="102:110">
      <c r="CX1526" s="259">
        <f t="shared" ca="1" si="1449"/>
        <v>85</v>
      </c>
      <c r="CY1526" s="259" t="str">
        <f t="shared" ca="1" si="1457"/>
        <v>MASTRO</v>
      </c>
      <c r="CZ1526" s="259" t="e">
        <f t="shared" ca="1" si="1451"/>
        <v>#N/A</v>
      </c>
      <c r="DA1526" s="259" t="str">
        <f t="shared" ca="1" si="1456"/>
        <v/>
      </c>
      <c r="DB1526" s="259" t="str">
        <f t="shared" ca="1" si="1452"/>
        <v/>
      </c>
      <c r="DC1526" s="259" t="str">
        <f t="shared" ca="1" si="1453"/>
        <v/>
      </c>
      <c r="DD1526" s="259" t="str">
        <f t="shared" ca="1" si="1454"/>
        <v/>
      </c>
      <c r="DE1526" s="259" t="str">
        <f t="shared" ca="1" si="1455"/>
        <v/>
      </c>
      <c r="DF1526" s="259">
        <f ca="1">IF(AND(CX1526=$DE$2,$DF$2&lt;&gt;0),0,IF(AND(DB1526&lt;&gt;"",OR(DB1525&lt;&gt;"",DB1527&lt;&gt;"")),MAX($DF$2:DF1525)+1,0))</f>
        <v>0</v>
      </c>
    </row>
    <row r="1527" spans="102:110">
      <c r="CX1527" s="259">
        <f t="shared" ca="1" si="1449"/>
        <v>85</v>
      </c>
      <c r="CY1527" s="259" t="str">
        <f t="shared" ca="1" si="1457"/>
        <v>MASTRO</v>
      </c>
      <c r="CZ1527" s="259" t="e">
        <f t="shared" ca="1" si="1451"/>
        <v>#N/A</v>
      </c>
      <c r="DA1527" s="259" t="str">
        <f t="shared" ca="1" si="1456"/>
        <v/>
      </c>
      <c r="DB1527" s="259" t="str">
        <f t="shared" ca="1" si="1452"/>
        <v/>
      </c>
      <c r="DC1527" s="259" t="str">
        <f t="shared" ca="1" si="1453"/>
        <v/>
      </c>
      <c r="DD1527" s="259" t="str">
        <f t="shared" ca="1" si="1454"/>
        <v/>
      </c>
      <c r="DE1527" s="259" t="str">
        <f t="shared" ca="1" si="1455"/>
        <v/>
      </c>
      <c r="DF1527" s="259">
        <f ca="1">IF(AND(CX1527=$DE$2,$DF$2&lt;&gt;0),0,IF(AND(DB1527&lt;&gt;"",OR(DB1526&lt;&gt;"",DB1528&lt;&gt;"")),MAX($DF$2:DF1526)+1,0))</f>
        <v>0</v>
      </c>
    </row>
    <row r="1528" spans="102:110">
      <c r="CX1528" s="259">
        <f t="shared" ca="1" si="1449"/>
        <v>85</v>
      </c>
      <c r="CY1528" s="259" t="str">
        <f t="shared" ca="1" si="1457"/>
        <v>MASTRO</v>
      </c>
      <c r="CZ1528" s="259" t="e">
        <f t="shared" ca="1" si="1451"/>
        <v>#N/A</v>
      </c>
      <c r="DA1528" s="259" t="str">
        <f t="shared" ca="1" si="1456"/>
        <v/>
      </c>
      <c r="DB1528" s="259" t="str">
        <f t="shared" ca="1" si="1452"/>
        <v/>
      </c>
      <c r="DC1528" s="259" t="str">
        <f t="shared" ca="1" si="1453"/>
        <v/>
      </c>
      <c r="DD1528" s="259" t="str">
        <f t="shared" ca="1" si="1454"/>
        <v/>
      </c>
      <c r="DE1528" s="259" t="str">
        <f t="shared" ca="1" si="1455"/>
        <v/>
      </c>
      <c r="DF1528" s="259">
        <f ca="1">IF(AND(CX1528=$DE$2,$DF$2&lt;&gt;0),0,IF(AND(DB1528&lt;&gt;"",OR(DB1527&lt;&gt;"",DB1529&lt;&gt;"")),MAX($DF$2:DF1527)+1,0))</f>
        <v>0</v>
      </c>
    </row>
    <row r="1529" spans="102:110">
      <c r="CX1529" s="259">
        <f t="shared" ca="1" si="1449"/>
        <v>85</v>
      </c>
      <c r="CY1529" s="259" t="str">
        <f t="shared" ca="1" si="1457"/>
        <v>MASTRO</v>
      </c>
      <c r="CZ1529" s="259" t="e">
        <f t="shared" ca="1" si="1451"/>
        <v>#N/A</v>
      </c>
      <c r="DA1529" s="259" t="str">
        <f t="shared" ca="1" si="1456"/>
        <v/>
      </c>
      <c r="DB1529" s="259" t="str">
        <f t="shared" ca="1" si="1452"/>
        <v/>
      </c>
      <c r="DC1529" s="259" t="str">
        <f t="shared" ca="1" si="1453"/>
        <v/>
      </c>
      <c r="DD1529" s="259" t="str">
        <f t="shared" ca="1" si="1454"/>
        <v/>
      </c>
      <c r="DE1529" s="259" t="str">
        <f t="shared" ca="1" si="1455"/>
        <v/>
      </c>
      <c r="DF1529" s="259">
        <f ca="1">IF(AND(CX1529=$DE$2,$DF$2&lt;&gt;0),0,IF(AND(DB1529&lt;&gt;"",OR(DB1528&lt;&gt;"",DB1530&lt;&gt;"")),MAX($DF$2:DF1528)+1,0))</f>
        <v>0</v>
      </c>
    </row>
    <row r="1530" spans="102:110">
      <c r="CX1530" s="259">
        <f t="shared" ca="1" si="1449"/>
        <v>85</v>
      </c>
      <c r="CY1530" s="259" t="str">
        <f t="shared" ca="1" si="1457"/>
        <v>MASTRO</v>
      </c>
      <c r="CZ1530" s="259" t="e">
        <f t="shared" ca="1" si="1451"/>
        <v>#N/A</v>
      </c>
      <c r="DA1530" s="259" t="str">
        <f t="shared" ca="1" si="1456"/>
        <v/>
      </c>
      <c r="DB1530" s="259" t="str">
        <f t="shared" ca="1" si="1452"/>
        <v/>
      </c>
      <c r="DC1530" s="259" t="str">
        <f t="shared" ca="1" si="1453"/>
        <v/>
      </c>
      <c r="DD1530" s="259" t="str">
        <f t="shared" ca="1" si="1454"/>
        <v/>
      </c>
      <c r="DE1530" s="259" t="str">
        <f t="shared" ca="1" si="1455"/>
        <v/>
      </c>
      <c r="DF1530" s="259">
        <f ca="1">IF(AND(CX1530=$DE$2,$DF$2&lt;&gt;0),0,IF(AND(DB1530&lt;&gt;"",OR(DB1529&lt;&gt;"",DB1531&lt;&gt;"")),MAX($DF$2:DF1529)+1,0))</f>
        <v>0</v>
      </c>
    </row>
    <row r="1531" spans="102:110">
      <c r="CX1531" s="259">
        <f t="shared" ca="1" si="1449"/>
        <v>85</v>
      </c>
      <c r="CY1531" s="259" t="str">
        <f t="shared" ca="1" si="1457"/>
        <v>MASTRO</v>
      </c>
      <c r="CZ1531" s="259" t="e">
        <f t="shared" ca="1" si="1451"/>
        <v>#N/A</v>
      </c>
      <c r="DA1531" s="259" t="str">
        <f t="shared" ca="1" si="1456"/>
        <v/>
      </c>
      <c r="DB1531" s="259" t="str">
        <f t="shared" ca="1" si="1452"/>
        <v/>
      </c>
      <c r="DC1531" s="259" t="str">
        <f t="shared" ca="1" si="1453"/>
        <v/>
      </c>
      <c r="DD1531" s="259" t="str">
        <f t="shared" ca="1" si="1454"/>
        <v/>
      </c>
      <c r="DE1531" s="259" t="str">
        <f t="shared" ca="1" si="1455"/>
        <v/>
      </c>
      <c r="DF1531" s="259">
        <f ca="1">IF(AND(CX1531=$DE$2,$DF$2&lt;&gt;0),0,IF(AND(DB1531&lt;&gt;"",OR(DB1530&lt;&gt;"",DB1532&lt;&gt;"")),MAX($DF$2:DF1530)+1,0))</f>
        <v>0</v>
      </c>
    </row>
    <row r="1532" spans="102:110">
      <c r="CX1532" s="259" t="str">
        <f>IFERROR(IF(CX1514+1=1,"",(CX1514+1)),"")</f>
        <v/>
      </c>
      <c r="CY1532" s="259" t="str">
        <f t="shared" ca="1" si="1457"/>
        <v>MASTRO</v>
      </c>
      <c r="DB1532" s="259" t="str">
        <f t="shared" ref="DB1532" ca="1" si="1458">CY1532</f>
        <v>MASTRO</v>
      </c>
      <c r="DF1532" s="259">
        <f ca="1">IF(AND(CX1532=$DE$2,$DF$2&lt;&gt;0),0,IF(AND(DB1532&lt;&gt;"",OR(DB1531&lt;&gt;"",DB1533&lt;&gt;"")),MAX($DF$2:DF1531)+1,0))</f>
        <v>0</v>
      </c>
    </row>
    <row r="1533" spans="102:110">
      <c r="CX1533" s="259">
        <f ca="1">$EA$88</f>
        <v>86</v>
      </c>
      <c r="CY1533" s="259" t="str">
        <f t="shared" ca="1" si="1457"/>
        <v>MASTRO</v>
      </c>
      <c r="DA1533" s="259" t="str">
        <f ca="1">IF(CY1532="MASTRO","Conto n.","")</f>
        <v>Conto n.</v>
      </c>
      <c r="DB1533" s="259" t="str">
        <f ca="1">IF(CY1533=0,"",INDEX(PIANO_DEI_CONTI,MATCH(DC1533,DENOMINAZIONE,0),1))</f>
        <v/>
      </c>
      <c r="DC1533" s="259" t="str">
        <f ca="1">IF(OR(CY1533=0,CY1533="mastro"),"",CY1533)</f>
        <v/>
      </c>
      <c r="DD1533" s="259" t="str">
        <f ca="1">IF(AND($DA$2=TRUE,OR(INDEX(PIANO_DEI_CONTI,MATCH($DC1533,DENOMINAZIONE,0),4)="A",INDEX(PIANO_DEI_CONTI,MATCH($DC1533,DENOMINAZIONE,0),4)="D/A"),SUMIFS(AVERE,DENOMINAZIONE_GIORNALE,"="&amp;$DC1533)&gt;SUMIFS(DARE,DENOMINAZIONE_GIORNALE,"="&amp;$DC1533)),CONCATENATE("s ",FIXED(ABS(SUMIFS(AVERE,DENOMINAZIONE_GIORNALE,"="&amp;$DC1533)-SUMIFS(DARE,DENOMINAZIONE_GIORNALE,"="&amp;$DC1533)),2)),"")</f>
        <v/>
      </c>
      <c r="DE1533" s="259" t="str">
        <f ca="1">IF(AND($DA$2=TRUE,OR(INDEX(PIANO_DEI_CONTI,MATCH($DC1533,DENOMINAZIONE,0),4)="D",INDEX(PIANO_DEI_CONTI,MATCH($DC1533,DENOMINAZIONE,0),4)="D/A"),SUMIFS(DARE,DENOMINAZIONE_GIORNALE,"="&amp;$DC1533)&gt;SUMIFS(AVERE,DENOMINAZIONE_GIORNALE,"="&amp;$DC1533)),CONCATENATE("s ",FIXED(ABS(SUMIFS(DARE,DENOMINAZIONE_GIORNALE,"="&amp;$DC1533)-SUMIFS(AVERE,DENOMINAZIONE_GIORNALE,"="&amp;$DC1533)),2)),"")</f>
        <v/>
      </c>
      <c r="DF1533" s="259">
        <f ca="1">IF(AND(CX1533=$DE$2,$DF$2&lt;&gt;0),0,IF(AND(DB1533&lt;&gt;"",OR(DB1532&lt;&gt;"",DB1534&lt;&gt;"")),MAX($DF$2:DF1532)+1,0))</f>
        <v>0</v>
      </c>
    </row>
    <row r="1534" spans="102:110">
      <c r="CX1534" s="259">
        <f t="shared" ref="CX1534:CX1549" ca="1" si="1459">$EA$88</f>
        <v>86</v>
      </c>
      <c r="CY1534" s="259" t="str">
        <f t="shared" ca="1" si="1457"/>
        <v>MASTRO</v>
      </c>
      <c r="DA1534" s="259" t="str">
        <f ca="1">IF(DB1533="","","Num. riga")</f>
        <v/>
      </c>
      <c r="DB1534" s="259" t="str">
        <f t="shared" ref="DB1534" ca="1" si="1460">IF(DB1533="","","Data")</f>
        <v/>
      </c>
      <c r="DC1534" s="259" t="str">
        <f ca="1">IF(DB1533="","","Operazioni")</f>
        <v/>
      </c>
      <c r="DD1534" s="259" t="str">
        <f ca="1">IF(DB1533="","","Dare        ")</f>
        <v/>
      </c>
      <c r="DE1534" s="259" t="str">
        <f ca="1">IF(DB1533="","","Avere        ")</f>
        <v/>
      </c>
      <c r="DF1534" s="259">
        <f ca="1">IF(AND(CX1534=$DE$2,$DF$2&lt;&gt;0),0,IF(AND(DB1534&lt;&gt;"",OR(DB1533&lt;&gt;"",DB1535&lt;&gt;"")),MAX($DF$2:DF1533)+1,0))</f>
        <v>0</v>
      </c>
    </row>
    <row r="1535" spans="102:110">
      <c r="CX1535" s="259">
        <f t="shared" ca="1" si="1459"/>
        <v>86</v>
      </c>
      <c r="CY1535" s="259" t="str">
        <f t="shared" ca="1" si="1457"/>
        <v>MASTRO</v>
      </c>
      <c r="CZ1535" s="259" t="e">
        <f t="shared" ref="CZ1535:CZ1549" ca="1" si="1461">SUM(MATCH($CY1535,INDIRECT(ADDRESS(SUM(CZ1534)+3,54)&amp;":"&amp;ADDRESS(400,54)),0),CZ1534)</f>
        <v>#N/A</v>
      </c>
      <c r="DA1535" s="259" t="str">
        <f ca="1">IFERROR(INDEX(LIBRO_GIORNALE,CZ1535,1),"")</f>
        <v/>
      </c>
      <c r="DB1535" s="259" t="str">
        <f t="shared" ref="DB1535:DB1549" ca="1" si="1462">IF(RIGHT(TEXT(IFERROR(INDEX(LIBRO_GIORNALE,CZ1535,2),""),"gg/mm/aa"),1)="a",TEXT(IFERROR(INDEX(LIBRO_GIORNALE,CZ1535,2),""),"dd/mm/yy"),TEXT(IFERROR(INDEX(LIBRO_GIORNALE,CZ1535,2),""),"gg/mm/aa"))</f>
        <v/>
      </c>
      <c r="DC1535" s="259" t="str">
        <f t="shared" ref="DC1535:DC1549" ca="1" si="1463">IF(IFERROR(INDEX(LIBRO_GIORNALE,CZ1535,4),"")=0,"manca la descrizione dell'operazione",IFERROR(INDEX(LIBRO_GIORNALE,CZ1535,4),""))</f>
        <v/>
      </c>
      <c r="DD1535" s="259" t="str">
        <f t="shared" ref="DD1535:DD1549" ca="1" si="1464">IFERROR(IF(INDEX(LIBRO_GIORNALE,CZ1535,5)&gt;0,INDEX(LIBRO_GIORNALE,CZ1535,5),""),"")</f>
        <v/>
      </c>
      <c r="DE1535" s="259" t="str">
        <f t="shared" ref="DE1535:DE1549" ca="1" si="1465">IFERROR(IF(INDEX(LIBRO_GIORNALE,CZ1535,6)&gt;0,INDEX(LIBRO_GIORNALE,CZ1535,6),""),"")</f>
        <v/>
      </c>
      <c r="DF1535" s="259">
        <f ca="1">IF(AND(CX1535=$DE$2,$DF$2&lt;&gt;0),0,IF(AND(DB1535&lt;&gt;"",OR(DB1534&lt;&gt;"",DB1536&lt;&gt;"")),MAX($DF$2:DF1534)+1,0))</f>
        <v>0</v>
      </c>
    </row>
    <row r="1536" spans="102:110">
      <c r="CX1536" s="259">
        <f t="shared" ca="1" si="1459"/>
        <v>86</v>
      </c>
      <c r="CY1536" s="259" t="str">
        <f t="shared" ca="1" si="1457"/>
        <v>MASTRO</v>
      </c>
      <c r="CZ1536" s="259" t="e">
        <f t="shared" ca="1" si="1461"/>
        <v>#N/A</v>
      </c>
      <c r="DA1536" s="259" t="str">
        <f t="shared" ref="DA1536:DA1549" ca="1" si="1466">IFERROR(INDEX(LIBRO_GIORNALE,CZ1536,1),"")</f>
        <v/>
      </c>
      <c r="DB1536" s="259" t="str">
        <f t="shared" ca="1" si="1462"/>
        <v/>
      </c>
      <c r="DC1536" s="259" t="str">
        <f t="shared" ca="1" si="1463"/>
        <v/>
      </c>
      <c r="DD1536" s="259" t="str">
        <f t="shared" ca="1" si="1464"/>
        <v/>
      </c>
      <c r="DE1536" s="259" t="str">
        <f t="shared" ca="1" si="1465"/>
        <v/>
      </c>
      <c r="DF1536" s="259">
        <f ca="1">IF(AND(CX1536=$DE$2,$DF$2&lt;&gt;0),0,IF(AND(DB1536&lt;&gt;"",OR(DB1535&lt;&gt;"",DB1537&lt;&gt;"")),MAX($DF$2:DF1535)+1,0))</f>
        <v>0</v>
      </c>
    </row>
    <row r="1537" spans="102:110">
      <c r="CX1537" s="259">
        <f t="shared" ca="1" si="1459"/>
        <v>86</v>
      </c>
      <c r="CY1537" s="259" t="str">
        <f t="shared" ca="1" si="1457"/>
        <v>MASTRO</v>
      </c>
      <c r="CZ1537" s="259" t="e">
        <f t="shared" ca="1" si="1461"/>
        <v>#N/A</v>
      </c>
      <c r="DA1537" s="259" t="str">
        <f t="shared" ca="1" si="1466"/>
        <v/>
      </c>
      <c r="DB1537" s="259" t="str">
        <f t="shared" ca="1" si="1462"/>
        <v/>
      </c>
      <c r="DC1537" s="259" t="str">
        <f t="shared" ca="1" si="1463"/>
        <v/>
      </c>
      <c r="DD1537" s="259" t="str">
        <f t="shared" ca="1" si="1464"/>
        <v/>
      </c>
      <c r="DE1537" s="259" t="str">
        <f t="shared" ca="1" si="1465"/>
        <v/>
      </c>
      <c r="DF1537" s="259">
        <f ca="1">IF(AND(CX1537=$DE$2,$DF$2&lt;&gt;0),0,IF(AND(DB1537&lt;&gt;"",OR(DB1536&lt;&gt;"",DB1538&lt;&gt;"")),MAX($DF$2:DF1536)+1,0))</f>
        <v>0</v>
      </c>
    </row>
    <row r="1538" spans="102:110">
      <c r="CX1538" s="259">
        <f t="shared" ca="1" si="1459"/>
        <v>86</v>
      </c>
      <c r="CY1538" s="259" t="str">
        <f t="shared" ca="1" si="1457"/>
        <v>MASTRO</v>
      </c>
      <c r="CZ1538" s="259" t="e">
        <f t="shared" ca="1" si="1461"/>
        <v>#N/A</v>
      </c>
      <c r="DA1538" s="259" t="str">
        <f t="shared" ca="1" si="1466"/>
        <v/>
      </c>
      <c r="DB1538" s="259" t="str">
        <f t="shared" ca="1" si="1462"/>
        <v/>
      </c>
      <c r="DC1538" s="259" t="str">
        <f t="shared" ca="1" si="1463"/>
        <v/>
      </c>
      <c r="DD1538" s="259" t="str">
        <f t="shared" ca="1" si="1464"/>
        <v/>
      </c>
      <c r="DE1538" s="259" t="str">
        <f t="shared" ca="1" si="1465"/>
        <v/>
      </c>
      <c r="DF1538" s="259">
        <f ca="1">IF(AND(CX1538=$DE$2,$DF$2&lt;&gt;0),0,IF(AND(DB1538&lt;&gt;"",OR(DB1537&lt;&gt;"",DB1539&lt;&gt;"")),MAX($DF$2:DF1537)+1,0))</f>
        <v>0</v>
      </c>
    </row>
    <row r="1539" spans="102:110">
      <c r="CX1539" s="259">
        <f t="shared" ca="1" si="1459"/>
        <v>86</v>
      </c>
      <c r="CY1539" s="259" t="str">
        <f t="shared" ca="1" si="1457"/>
        <v>MASTRO</v>
      </c>
      <c r="CZ1539" s="259" t="e">
        <f t="shared" ca="1" si="1461"/>
        <v>#N/A</v>
      </c>
      <c r="DA1539" s="259" t="str">
        <f t="shared" ca="1" si="1466"/>
        <v/>
      </c>
      <c r="DB1539" s="259" t="str">
        <f t="shared" ca="1" si="1462"/>
        <v/>
      </c>
      <c r="DC1539" s="259" t="str">
        <f t="shared" ca="1" si="1463"/>
        <v/>
      </c>
      <c r="DD1539" s="259" t="str">
        <f t="shared" ca="1" si="1464"/>
        <v/>
      </c>
      <c r="DE1539" s="259" t="str">
        <f t="shared" ca="1" si="1465"/>
        <v/>
      </c>
      <c r="DF1539" s="259">
        <f ca="1">IF(AND(CX1539=$DE$2,$DF$2&lt;&gt;0),0,IF(AND(DB1539&lt;&gt;"",OR(DB1538&lt;&gt;"",DB1540&lt;&gt;"")),MAX($DF$2:DF1538)+1,0))</f>
        <v>0</v>
      </c>
    </row>
    <row r="1540" spans="102:110">
      <c r="CX1540" s="259">
        <f t="shared" ca="1" si="1459"/>
        <v>86</v>
      </c>
      <c r="CY1540" s="259" t="str">
        <f t="shared" ca="1" si="1457"/>
        <v>MASTRO</v>
      </c>
      <c r="CZ1540" s="259" t="e">
        <f t="shared" ca="1" si="1461"/>
        <v>#N/A</v>
      </c>
      <c r="DA1540" s="259" t="str">
        <f t="shared" ca="1" si="1466"/>
        <v/>
      </c>
      <c r="DB1540" s="259" t="str">
        <f t="shared" ca="1" si="1462"/>
        <v/>
      </c>
      <c r="DC1540" s="259" t="str">
        <f t="shared" ca="1" si="1463"/>
        <v/>
      </c>
      <c r="DD1540" s="259" t="str">
        <f t="shared" ca="1" si="1464"/>
        <v/>
      </c>
      <c r="DE1540" s="259" t="str">
        <f t="shared" ca="1" si="1465"/>
        <v/>
      </c>
      <c r="DF1540" s="259">
        <f ca="1">IF(AND(CX1540=$DE$2,$DF$2&lt;&gt;0),0,IF(AND(DB1540&lt;&gt;"",OR(DB1539&lt;&gt;"",DB1541&lt;&gt;"")),MAX($DF$2:DF1539)+1,0))</f>
        <v>0</v>
      </c>
    </row>
    <row r="1541" spans="102:110">
      <c r="CX1541" s="259">
        <f t="shared" ca="1" si="1459"/>
        <v>86</v>
      </c>
      <c r="CY1541" s="259" t="str">
        <f t="shared" ca="1" si="1457"/>
        <v>MASTRO</v>
      </c>
      <c r="CZ1541" s="259" t="e">
        <f t="shared" ca="1" si="1461"/>
        <v>#N/A</v>
      </c>
      <c r="DA1541" s="259" t="str">
        <f t="shared" ca="1" si="1466"/>
        <v/>
      </c>
      <c r="DB1541" s="259" t="str">
        <f t="shared" ca="1" si="1462"/>
        <v/>
      </c>
      <c r="DC1541" s="259" t="str">
        <f t="shared" ca="1" si="1463"/>
        <v/>
      </c>
      <c r="DD1541" s="259" t="str">
        <f t="shared" ca="1" si="1464"/>
        <v/>
      </c>
      <c r="DE1541" s="259" t="str">
        <f t="shared" ca="1" si="1465"/>
        <v/>
      </c>
      <c r="DF1541" s="259">
        <f ca="1">IF(AND(CX1541=$DE$2,$DF$2&lt;&gt;0),0,IF(AND(DB1541&lt;&gt;"",OR(DB1540&lt;&gt;"",DB1542&lt;&gt;"")),MAX($DF$2:DF1540)+1,0))</f>
        <v>0</v>
      </c>
    </row>
    <row r="1542" spans="102:110">
      <c r="CX1542" s="259">
        <f t="shared" ca="1" si="1459"/>
        <v>86</v>
      </c>
      <c r="CY1542" s="259" t="str">
        <f t="shared" ca="1" si="1457"/>
        <v>MASTRO</v>
      </c>
      <c r="CZ1542" s="259" t="e">
        <f t="shared" ca="1" si="1461"/>
        <v>#N/A</v>
      </c>
      <c r="DA1542" s="259" t="str">
        <f t="shared" ca="1" si="1466"/>
        <v/>
      </c>
      <c r="DB1542" s="259" t="str">
        <f t="shared" ca="1" si="1462"/>
        <v/>
      </c>
      <c r="DC1542" s="259" t="str">
        <f t="shared" ca="1" si="1463"/>
        <v/>
      </c>
      <c r="DD1542" s="259" t="str">
        <f t="shared" ca="1" si="1464"/>
        <v/>
      </c>
      <c r="DE1542" s="259" t="str">
        <f t="shared" ca="1" si="1465"/>
        <v/>
      </c>
      <c r="DF1542" s="259">
        <f ca="1">IF(AND(CX1542=$DE$2,$DF$2&lt;&gt;0),0,IF(AND(DB1542&lt;&gt;"",OR(DB1541&lt;&gt;"",DB1543&lt;&gt;"")),MAX($DF$2:DF1541)+1,0))</f>
        <v>0</v>
      </c>
    </row>
    <row r="1543" spans="102:110">
      <c r="CX1543" s="259">
        <f t="shared" ca="1" si="1459"/>
        <v>86</v>
      </c>
      <c r="CY1543" s="259" t="str">
        <f t="shared" ca="1" si="1457"/>
        <v>MASTRO</v>
      </c>
      <c r="CZ1543" s="259" t="e">
        <f t="shared" ca="1" si="1461"/>
        <v>#N/A</v>
      </c>
      <c r="DA1543" s="259" t="str">
        <f t="shared" ca="1" si="1466"/>
        <v/>
      </c>
      <c r="DB1543" s="259" t="str">
        <f t="shared" ca="1" si="1462"/>
        <v/>
      </c>
      <c r="DC1543" s="259" t="str">
        <f t="shared" ca="1" si="1463"/>
        <v/>
      </c>
      <c r="DD1543" s="259" t="str">
        <f t="shared" ca="1" si="1464"/>
        <v/>
      </c>
      <c r="DE1543" s="259" t="str">
        <f t="shared" ca="1" si="1465"/>
        <v/>
      </c>
      <c r="DF1543" s="259">
        <f ca="1">IF(AND(CX1543=$DE$2,$DF$2&lt;&gt;0),0,IF(AND(DB1543&lt;&gt;"",OR(DB1542&lt;&gt;"",DB1544&lt;&gt;"")),MAX($DF$2:DF1542)+1,0))</f>
        <v>0</v>
      </c>
    </row>
    <row r="1544" spans="102:110">
      <c r="CX1544" s="259">
        <f t="shared" ca="1" si="1459"/>
        <v>86</v>
      </c>
      <c r="CY1544" s="259" t="str">
        <f t="shared" ca="1" si="1457"/>
        <v>MASTRO</v>
      </c>
      <c r="CZ1544" s="259" t="e">
        <f t="shared" ca="1" si="1461"/>
        <v>#N/A</v>
      </c>
      <c r="DA1544" s="259" t="str">
        <f t="shared" ca="1" si="1466"/>
        <v/>
      </c>
      <c r="DB1544" s="259" t="str">
        <f t="shared" ca="1" si="1462"/>
        <v/>
      </c>
      <c r="DC1544" s="259" t="str">
        <f t="shared" ca="1" si="1463"/>
        <v/>
      </c>
      <c r="DD1544" s="259" t="str">
        <f t="shared" ca="1" si="1464"/>
        <v/>
      </c>
      <c r="DE1544" s="259" t="str">
        <f t="shared" ca="1" si="1465"/>
        <v/>
      </c>
      <c r="DF1544" s="259">
        <f ca="1">IF(AND(CX1544=$DE$2,$DF$2&lt;&gt;0),0,IF(AND(DB1544&lt;&gt;"",OR(DB1543&lt;&gt;"",DB1545&lt;&gt;"")),MAX($DF$2:DF1543)+1,0))</f>
        <v>0</v>
      </c>
    </row>
    <row r="1545" spans="102:110">
      <c r="CX1545" s="259">
        <f t="shared" ca="1" si="1459"/>
        <v>86</v>
      </c>
      <c r="CY1545" s="259" t="str">
        <f t="shared" ca="1" si="1457"/>
        <v>MASTRO</v>
      </c>
      <c r="CZ1545" s="259" t="e">
        <f t="shared" ca="1" si="1461"/>
        <v>#N/A</v>
      </c>
      <c r="DA1545" s="259" t="str">
        <f t="shared" ca="1" si="1466"/>
        <v/>
      </c>
      <c r="DB1545" s="259" t="str">
        <f t="shared" ca="1" si="1462"/>
        <v/>
      </c>
      <c r="DC1545" s="259" t="str">
        <f t="shared" ca="1" si="1463"/>
        <v/>
      </c>
      <c r="DD1545" s="259" t="str">
        <f t="shared" ca="1" si="1464"/>
        <v/>
      </c>
      <c r="DE1545" s="259" t="str">
        <f t="shared" ca="1" si="1465"/>
        <v/>
      </c>
      <c r="DF1545" s="259">
        <f ca="1">IF(AND(CX1545=$DE$2,$DF$2&lt;&gt;0),0,IF(AND(DB1545&lt;&gt;"",OR(DB1544&lt;&gt;"",DB1546&lt;&gt;"")),MAX($DF$2:DF1544)+1,0))</f>
        <v>0</v>
      </c>
    </row>
    <row r="1546" spans="102:110">
      <c r="CX1546" s="259">
        <f t="shared" ca="1" si="1459"/>
        <v>86</v>
      </c>
      <c r="CY1546" s="259" t="str">
        <f t="shared" ca="1" si="1457"/>
        <v>MASTRO</v>
      </c>
      <c r="CZ1546" s="259" t="e">
        <f t="shared" ca="1" si="1461"/>
        <v>#N/A</v>
      </c>
      <c r="DA1546" s="259" t="str">
        <f t="shared" ca="1" si="1466"/>
        <v/>
      </c>
      <c r="DB1546" s="259" t="str">
        <f t="shared" ca="1" si="1462"/>
        <v/>
      </c>
      <c r="DC1546" s="259" t="str">
        <f t="shared" ca="1" si="1463"/>
        <v/>
      </c>
      <c r="DD1546" s="259" t="str">
        <f t="shared" ca="1" si="1464"/>
        <v/>
      </c>
      <c r="DE1546" s="259" t="str">
        <f t="shared" ca="1" si="1465"/>
        <v/>
      </c>
      <c r="DF1546" s="259">
        <f ca="1">IF(AND(CX1546=$DE$2,$DF$2&lt;&gt;0),0,IF(AND(DB1546&lt;&gt;"",OR(DB1545&lt;&gt;"",DB1547&lt;&gt;"")),MAX($DF$2:DF1545)+1,0))</f>
        <v>0</v>
      </c>
    </row>
    <row r="1547" spans="102:110">
      <c r="CX1547" s="259">
        <f t="shared" ca="1" si="1459"/>
        <v>86</v>
      </c>
      <c r="CY1547" s="259" t="str">
        <f t="shared" ca="1" si="1457"/>
        <v>MASTRO</v>
      </c>
      <c r="CZ1547" s="259" t="e">
        <f t="shared" ca="1" si="1461"/>
        <v>#N/A</v>
      </c>
      <c r="DA1547" s="259" t="str">
        <f t="shared" ca="1" si="1466"/>
        <v/>
      </c>
      <c r="DB1547" s="259" t="str">
        <f t="shared" ca="1" si="1462"/>
        <v/>
      </c>
      <c r="DC1547" s="259" t="str">
        <f t="shared" ca="1" si="1463"/>
        <v/>
      </c>
      <c r="DD1547" s="259" t="str">
        <f t="shared" ca="1" si="1464"/>
        <v/>
      </c>
      <c r="DE1547" s="259" t="str">
        <f t="shared" ca="1" si="1465"/>
        <v/>
      </c>
      <c r="DF1547" s="259">
        <f ca="1">IF(AND(CX1547=$DE$2,$DF$2&lt;&gt;0),0,IF(AND(DB1547&lt;&gt;"",OR(DB1546&lt;&gt;"",DB1548&lt;&gt;"")),MAX($DF$2:DF1546)+1,0))</f>
        <v>0</v>
      </c>
    </row>
    <row r="1548" spans="102:110">
      <c r="CX1548" s="259">
        <f t="shared" ca="1" si="1459"/>
        <v>86</v>
      </c>
      <c r="CY1548" s="259" t="str">
        <f t="shared" ca="1" si="1457"/>
        <v>MASTRO</v>
      </c>
      <c r="CZ1548" s="259" t="e">
        <f t="shared" ca="1" si="1461"/>
        <v>#N/A</v>
      </c>
      <c r="DA1548" s="259" t="str">
        <f t="shared" ca="1" si="1466"/>
        <v/>
      </c>
      <c r="DB1548" s="259" t="str">
        <f t="shared" ca="1" si="1462"/>
        <v/>
      </c>
      <c r="DC1548" s="259" t="str">
        <f t="shared" ca="1" si="1463"/>
        <v/>
      </c>
      <c r="DD1548" s="259" t="str">
        <f t="shared" ca="1" si="1464"/>
        <v/>
      </c>
      <c r="DE1548" s="259" t="str">
        <f t="shared" ca="1" si="1465"/>
        <v/>
      </c>
      <c r="DF1548" s="259">
        <f ca="1">IF(AND(CX1548=$DE$2,$DF$2&lt;&gt;0),0,IF(AND(DB1548&lt;&gt;"",OR(DB1547&lt;&gt;"",DB1549&lt;&gt;"")),MAX($DF$2:DF1547)+1,0))</f>
        <v>0</v>
      </c>
    </row>
    <row r="1549" spans="102:110">
      <c r="CX1549" s="259">
        <f t="shared" ca="1" si="1459"/>
        <v>86</v>
      </c>
      <c r="CY1549" s="259" t="str">
        <f t="shared" ca="1" si="1457"/>
        <v>MASTRO</v>
      </c>
      <c r="CZ1549" s="259" t="e">
        <f t="shared" ca="1" si="1461"/>
        <v>#N/A</v>
      </c>
      <c r="DA1549" s="259" t="str">
        <f t="shared" ca="1" si="1466"/>
        <v/>
      </c>
      <c r="DB1549" s="259" t="str">
        <f t="shared" ca="1" si="1462"/>
        <v/>
      </c>
      <c r="DC1549" s="259" t="str">
        <f t="shared" ca="1" si="1463"/>
        <v/>
      </c>
      <c r="DD1549" s="259" t="str">
        <f t="shared" ca="1" si="1464"/>
        <v/>
      </c>
      <c r="DE1549" s="259" t="str">
        <f t="shared" ca="1" si="1465"/>
        <v/>
      </c>
      <c r="DF1549" s="259">
        <f ca="1">IF(AND(CX1549=$DE$2,$DF$2&lt;&gt;0),0,IF(AND(DB1549&lt;&gt;"",OR(DB1548&lt;&gt;"",DB1550&lt;&gt;"")),MAX($DF$2:DF1548)+1,0))</f>
        <v>0</v>
      </c>
    </row>
    <row r="1550" spans="102:110">
      <c r="CX1550" s="259" t="str">
        <f>IFERROR(IF(CX1532+1=1,"",(CX1532+1)),"")</f>
        <v/>
      </c>
      <c r="CY1550" s="259" t="str">
        <f t="shared" ca="1" si="1457"/>
        <v>MASTRO</v>
      </c>
      <c r="DB1550" s="259" t="str">
        <f t="shared" ref="DB1550" ca="1" si="1467">CY1550</f>
        <v>MASTRO</v>
      </c>
      <c r="DF1550" s="259">
        <f ca="1">IF(AND(CX1550=$DE$2,$DF$2&lt;&gt;0),0,IF(AND(DB1550&lt;&gt;"",OR(DB1549&lt;&gt;"",DB1551&lt;&gt;"")),MAX($DF$2:DF1549)+1,0))</f>
        <v>0</v>
      </c>
    </row>
    <row r="1551" spans="102:110">
      <c r="CX1551" s="259">
        <f ca="1">$EA$89</f>
        <v>87</v>
      </c>
      <c r="CY1551" s="259" t="str">
        <f t="shared" ca="1" si="1457"/>
        <v>MASTRO</v>
      </c>
      <c r="DA1551" s="259" t="str">
        <f ca="1">IF(CY1550="MASTRO","Conto n.","")</f>
        <v>Conto n.</v>
      </c>
      <c r="DB1551" s="259" t="str">
        <f ca="1">IF(CY1551=0,"",INDEX(PIANO_DEI_CONTI,MATCH(DC1551,DENOMINAZIONE,0),1))</f>
        <v/>
      </c>
      <c r="DC1551" s="259" t="str">
        <f ca="1">IF(OR(CY1551=0,CY1551="mastro"),"",CY1551)</f>
        <v/>
      </c>
      <c r="DD1551" s="259" t="str">
        <f ca="1">IF(AND($DA$2=TRUE,OR(INDEX(PIANO_DEI_CONTI,MATCH($DC1551,DENOMINAZIONE,0),4)="A",INDEX(PIANO_DEI_CONTI,MATCH($DC1551,DENOMINAZIONE,0),4)="D/A"),SUMIFS(AVERE,DENOMINAZIONE_GIORNALE,"="&amp;$DC1551)&gt;SUMIFS(DARE,DENOMINAZIONE_GIORNALE,"="&amp;$DC1551)),CONCATENATE("s ",FIXED(ABS(SUMIFS(AVERE,DENOMINAZIONE_GIORNALE,"="&amp;$DC1551)-SUMIFS(DARE,DENOMINAZIONE_GIORNALE,"="&amp;$DC1551)),2)),"")</f>
        <v/>
      </c>
      <c r="DE1551" s="259" t="str">
        <f ca="1">IF(AND($DA$2=TRUE,OR(INDEX(PIANO_DEI_CONTI,MATCH($DC1551,DENOMINAZIONE,0),4)="D",INDEX(PIANO_DEI_CONTI,MATCH($DC1551,DENOMINAZIONE,0),4)="D/A"),SUMIFS(DARE,DENOMINAZIONE_GIORNALE,"="&amp;$DC1551)&gt;SUMIFS(AVERE,DENOMINAZIONE_GIORNALE,"="&amp;$DC1551)),CONCATENATE("s ",FIXED(ABS(SUMIFS(DARE,DENOMINAZIONE_GIORNALE,"="&amp;$DC1551)-SUMIFS(AVERE,DENOMINAZIONE_GIORNALE,"="&amp;$DC1551)),2)),"")</f>
        <v/>
      </c>
      <c r="DF1551" s="259">
        <f ca="1">IF(AND(CX1551=$DE$2,$DF$2&lt;&gt;0),0,IF(AND(DB1551&lt;&gt;"",OR(DB1550&lt;&gt;"",DB1552&lt;&gt;"")),MAX($DF$2:DF1550)+1,0))</f>
        <v>0</v>
      </c>
    </row>
    <row r="1552" spans="102:110">
      <c r="CX1552" s="259">
        <f t="shared" ref="CX1552:CX1567" ca="1" si="1468">$EA$89</f>
        <v>87</v>
      </c>
      <c r="CY1552" s="259" t="str">
        <f t="shared" ca="1" si="1457"/>
        <v>MASTRO</v>
      </c>
      <c r="DA1552" s="259" t="str">
        <f ca="1">IF(DB1551="","","Num. riga")</f>
        <v/>
      </c>
      <c r="DB1552" s="259" t="str">
        <f t="shared" ref="DB1552" ca="1" si="1469">IF(DB1551="","","Data")</f>
        <v/>
      </c>
      <c r="DC1552" s="259" t="str">
        <f ca="1">IF(DB1551="","","Operazioni")</f>
        <v/>
      </c>
      <c r="DD1552" s="259" t="str">
        <f ca="1">IF(DB1551="","","Dare        ")</f>
        <v/>
      </c>
      <c r="DE1552" s="259" t="str">
        <f ca="1">IF(DB1551="","","Avere        ")</f>
        <v/>
      </c>
      <c r="DF1552" s="259">
        <f ca="1">IF(AND(CX1552=$DE$2,$DF$2&lt;&gt;0),0,IF(AND(DB1552&lt;&gt;"",OR(DB1551&lt;&gt;"",DB1553&lt;&gt;"")),MAX($DF$2:DF1551)+1,0))</f>
        <v>0</v>
      </c>
    </row>
    <row r="1553" spans="102:110">
      <c r="CX1553" s="259">
        <f t="shared" ca="1" si="1468"/>
        <v>87</v>
      </c>
      <c r="CY1553" s="259" t="str">
        <f t="shared" ca="1" si="1457"/>
        <v>MASTRO</v>
      </c>
      <c r="CZ1553" s="259" t="e">
        <f t="shared" ref="CZ1553:CZ1567" ca="1" si="1470">SUM(MATCH($CY1553,INDIRECT(ADDRESS(SUM(CZ1552)+3,54)&amp;":"&amp;ADDRESS(400,54)),0),CZ1552)</f>
        <v>#N/A</v>
      </c>
      <c r="DA1553" s="259" t="str">
        <f ca="1">IFERROR(INDEX(LIBRO_GIORNALE,CZ1553,1),"")</f>
        <v/>
      </c>
      <c r="DB1553" s="259" t="str">
        <f t="shared" ref="DB1553:DB1567" ca="1" si="1471">IF(RIGHT(TEXT(IFERROR(INDEX(LIBRO_GIORNALE,CZ1553,2),""),"gg/mm/aa"),1)="a",TEXT(IFERROR(INDEX(LIBRO_GIORNALE,CZ1553,2),""),"dd/mm/yy"),TEXT(IFERROR(INDEX(LIBRO_GIORNALE,CZ1553,2),""),"gg/mm/aa"))</f>
        <v/>
      </c>
      <c r="DC1553" s="259" t="str">
        <f t="shared" ref="DC1553:DC1567" ca="1" si="1472">IF(IFERROR(INDEX(LIBRO_GIORNALE,CZ1553,4),"")=0,"manca la descrizione dell'operazione",IFERROR(INDEX(LIBRO_GIORNALE,CZ1553,4),""))</f>
        <v/>
      </c>
      <c r="DD1553" s="259" t="str">
        <f t="shared" ref="DD1553:DD1567" ca="1" si="1473">IFERROR(IF(INDEX(LIBRO_GIORNALE,CZ1553,5)&gt;0,INDEX(LIBRO_GIORNALE,CZ1553,5),""),"")</f>
        <v/>
      </c>
      <c r="DE1553" s="259" t="str">
        <f t="shared" ref="DE1553:DE1567" ca="1" si="1474">IFERROR(IF(INDEX(LIBRO_GIORNALE,CZ1553,6)&gt;0,INDEX(LIBRO_GIORNALE,CZ1553,6),""),"")</f>
        <v/>
      </c>
      <c r="DF1553" s="259">
        <f ca="1">IF(AND(CX1553=$DE$2,$DF$2&lt;&gt;0),0,IF(AND(DB1553&lt;&gt;"",OR(DB1552&lt;&gt;"",DB1554&lt;&gt;"")),MAX($DF$2:DF1552)+1,0))</f>
        <v>0</v>
      </c>
    </row>
    <row r="1554" spans="102:110">
      <c r="CX1554" s="259">
        <f t="shared" ca="1" si="1468"/>
        <v>87</v>
      </c>
      <c r="CY1554" s="259" t="str">
        <f t="shared" ref="CY1554:CY1585" ca="1" si="1475">IF(ISERROR(INDEX($CV$3:$CX$2300,MATCH(CX1554,$CW$3:$CW$2300,0),1)),"MASTRO",INDEX($CV$3:$CX$2300,MATCH(CX1554,$CW$3:$CW$2300,0),1))</f>
        <v>MASTRO</v>
      </c>
      <c r="CZ1554" s="259" t="e">
        <f t="shared" ca="1" si="1470"/>
        <v>#N/A</v>
      </c>
      <c r="DA1554" s="259" t="str">
        <f t="shared" ref="DA1554:DA1567" ca="1" si="1476">IFERROR(INDEX(LIBRO_GIORNALE,CZ1554,1),"")</f>
        <v/>
      </c>
      <c r="DB1554" s="259" t="str">
        <f t="shared" ca="1" si="1471"/>
        <v/>
      </c>
      <c r="DC1554" s="259" t="str">
        <f t="shared" ca="1" si="1472"/>
        <v/>
      </c>
      <c r="DD1554" s="259" t="str">
        <f t="shared" ca="1" si="1473"/>
        <v/>
      </c>
      <c r="DE1554" s="259" t="str">
        <f t="shared" ca="1" si="1474"/>
        <v/>
      </c>
      <c r="DF1554" s="259">
        <f ca="1">IF(AND(CX1554=$DE$2,$DF$2&lt;&gt;0),0,IF(AND(DB1554&lt;&gt;"",OR(DB1553&lt;&gt;"",DB1555&lt;&gt;"")),MAX($DF$2:DF1553)+1,0))</f>
        <v>0</v>
      </c>
    </row>
    <row r="1555" spans="102:110">
      <c r="CX1555" s="259">
        <f t="shared" ca="1" si="1468"/>
        <v>87</v>
      </c>
      <c r="CY1555" s="259" t="str">
        <f t="shared" ca="1" si="1475"/>
        <v>MASTRO</v>
      </c>
      <c r="CZ1555" s="259" t="e">
        <f t="shared" ca="1" si="1470"/>
        <v>#N/A</v>
      </c>
      <c r="DA1555" s="259" t="str">
        <f t="shared" ca="1" si="1476"/>
        <v/>
      </c>
      <c r="DB1555" s="259" t="str">
        <f t="shared" ca="1" si="1471"/>
        <v/>
      </c>
      <c r="DC1555" s="259" t="str">
        <f t="shared" ca="1" si="1472"/>
        <v/>
      </c>
      <c r="DD1555" s="259" t="str">
        <f t="shared" ca="1" si="1473"/>
        <v/>
      </c>
      <c r="DE1555" s="259" t="str">
        <f t="shared" ca="1" si="1474"/>
        <v/>
      </c>
      <c r="DF1555" s="259">
        <f ca="1">IF(AND(CX1555=$DE$2,$DF$2&lt;&gt;0),0,IF(AND(DB1555&lt;&gt;"",OR(DB1554&lt;&gt;"",DB1556&lt;&gt;"")),MAX($DF$2:DF1554)+1,0))</f>
        <v>0</v>
      </c>
    </row>
    <row r="1556" spans="102:110">
      <c r="CX1556" s="259">
        <f t="shared" ca="1" si="1468"/>
        <v>87</v>
      </c>
      <c r="CY1556" s="259" t="str">
        <f t="shared" ca="1" si="1475"/>
        <v>MASTRO</v>
      </c>
      <c r="CZ1556" s="259" t="e">
        <f t="shared" ca="1" si="1470"/>
        <v>#N/A</v>
      </c>
      <c r="DA1556" s="259" t="str">
        <f t="shared" ca="1" si="1476"/>
        <v/>
      </c>
      <c r="DB1556" s="259" t="str">
        <f t="shared" ca="1" si="1471"/>
        <v/>
      </c>
      <c r="DC1556" s="259" t="str">
        <f t="shared" ca="1" si="1472"/>
        <v/>
      </c>
      <c r="DD1556" s="259" t="str">
        <f t="shared" ca="1" si="1473"/>
        <v/>
      </c>
      <c r="DE1556" s="259" t="str">
        <f t="shared" ca="1" si="1474"/>
        <v/>
      </c>
      <c r="DF1556" s="259">
        <f ca="1">IF(AND(CX1556=$DE$2,$DF$2&lt;&gt;0),0,IF(AND(DB1556&lt;&gt;"",OR(DB1555&lt;&gt;"",DB1557&lt;&gt;"")),MAX($DF$2:DF1555)+1,0))</f>
        <v>0</v>
      </c>
    </row>
    <row r="1557" spans="102:110">
      <c r="CX1557" s="259">
        <f t="shared" ca="1" si="1468"/>
        <v>87</v>
      </c>
      <c r="CY1557" s="259" t="str">
        <f t="shared" ca="1" si="1475"/>
        <v>MASTRO</v>
      </c>
      <c r="CZ1557" s="259" t="e">
        <f t="shared" ca="1" si="1470"/>
        <v>#N/A</v>
      </c>
      <c r="DA1557" s="259" t="str">
        <f t="shared" ca="1" si="1476"/>
        <v/>
      </c>
      <c r="DB1557" s="259" t="str">
        <f t="shared" ca="1" si="1471"/>
        <v/>
      </c>
      <c r="DC1557" s="259" t="str">
        <f t="shared" ca="1" si="1472"/>
        <v/>
      </c>
      <c r="DD1557" s="259" t="str">
        <f t="shared" ca="1" si="1473"/>
        <v/>
      </c>
      <c r="DE1557" s="259" t="str">
        <f t="shared" ca="1" si="1474"/>
        <v/>
      </c>
      <c r="DF1557" s="259">
        <f ca="1">IF(AND(CX1557=$DE$2,$DF$2&lt;&gt;0),0,IF(AND(DB1557&lt;&gt;"",OR(DB1556&lt;&gt;"",DB1558&lt;&gt;"")),MAX($DF$2:DF1556)+1,0))</f>
        <v>0</v>
      </c>
    </row>
    <row r="1558" spans="102:110">
      <c r="CX1558" s="259">
        <f t="shared" ca="1" si="1468"/>
        <v>87</v>
      </c>
      <c r="CY1558" s="259" t="str">
        <f t="shared" ca="1" si="1475"/>
        <v>MASTRO</v>
      </c>
      <c r="CZ1558" s="259" t="e">
        <f t="shared" ca="1" si="1470"/>
        <v>#N/A</v>
      </c>
      <c r="DA1558" s="259" t="str">
        <f t="shared" ca="1" si="1476"/>
        <v/>
      </c>
      <c r="DB1558" s="259" t="str">
        <f t="shared" ca="1" si="1471"/>
        <v/>
      </c>
      <c r="DC1558" s="259" t="str">
        <f t="shared" ca="1" si="1472"/>
        <v/>
      </c>
      <c r="DD1558" s="259" t="str">
        <f t="shared" ca="1" si="1473"/>
        <v/>
      </c>
      <c r="DE1558" s="259" t="str">
        <f t="shared" ca="1" si="1474"/>
        <v/>
      </c>
      <c r="DF1558" s="259">
        <f ca="1">IF(AND(CX1558=$DE$2,$DF$2&lt;&gt;0),0,IF(AND(DB1558&lt;&gt;"",OR(DB1557&lt;&gt;"",DB1559&lt;&gt;"")),MAX($DF$2:DF1557)+1,0))</f>
        <v>0</v>
      </c>
    </row>
    <row r="1559" spans="102:110">
      <c r="CX1559" s="259">
        <f t="shared" ca="1" si="1468"/>
        <v>87</v>
      </c>
      <c r="CY1559" s="259" t="str">
        <f t="shared" ca="1" si="1475"/>
        <v>MASTRO</v>
      </c>
      <c r="CZ1559" s="259" t="e">
        <f t="shared" ca="1" si="1470"/>
        <v>#N/A</v>
      </c>
      <c r="DA1559" s="259" t="str">
        <f t="shared" ca="1" si="1476"/>
        <v/>
      </c>
      <c r="DB1559" s="259" t="str">
        <f t="shared" ca="1" si="1471"/>
        <v/>
      </c>
      <c r="DC1559" s="259" t="str">
        <f t="shared" ca="1" si="1472"/>
        <v/>
      </c>
      <c r="DD1559" s="259" t="str">
        <f t="shared" ca="1" si="1473"/>
        <v/>
      </c>
      <c r="DE1559" s="259" t="str">
        <f t="shared" ca="1" si="1474"/>
        <v/>
      </c>
      <c r="DF1559" s="259">
        <f ca="1">IF(AND(CX1559=$DE$2,$DF$2&lt;&gt;0),0,IF(AND(DB1559&lt;&gt;"",OR(DB1558&lt;&gt;"",DB1560&lt;&gt;"")),MAX($DF$2:DF1558)+1,0))</f>
        <v>0</v>
      </c>
    </row>
    <row r="1560" spans="102:110">
      <c r="CX1560" s="259">
        <f t="shared" ca="1" si="1468"/>
        <v>87</v>
      </c>
      <c r="CY1560" s="259" t="str">
        <f t="shared" ca="1" si="1475"/>
        <v>MASTRO</v>
      </c>
      <c r="CZ1560" s="259" t="e">
        <f t="shared" ca="1" si="1470"/>
        <v>#N/A</v>
      </c>
      <c r="DA1560" s="259" t="str">
        <f t="shared" ca="1" si="1476"/>
        <v/>
      </c>
      <c r="DB1560" s="259" t="str">
        <f t="shared" ca="1" si="1471"/>
        <v/>
      </c>
      <c r="DC1560" s="259" t="str">
        <f t="shared" ca="1" si="1472"/>
        <v/>
      </c>
      <c r="DD1560" s="259" t="str">
        <f t="shared" ca="1" si="1473"/>
        <v/>
      </c>
      <c r="DE1560" s="259" t="str">
        <f t="shared" ca="1" si="1474"/>
        <v/>
      </c>
      <c r="DF1560" s="259">
        <f ca="1">IF(AND(CX1560=$DE$2,$DF$2&lt;&gt;0),0,IF(AND(DB1560&lt;&gt;"",OR(DB1559&lt;&gt;"",DB1561&lt;&gt;"")),MAX($DF$2:DF1559)+1,0))</f>
        <v>0</v>
      </c>
    </row>
    <row r="1561" spans="102:110">
      <c r="CX1561" s="259">
        <f t="shared" ca="1" si="1468"/>
        <v>87</v>
      </c>
      <c r="CY1561" s="259" t="str">
        <f t="shared" ca="1" si="1475"/>
        <v>MASTRO</v>
      </c>
      <c r="CZ1561" s="259" t="e">
        <f t="shared" ca="1" si="1470"/>
        <v>#N/A</v>
      </c>
      <c r="DA1561" s="259" t="str">
        <f t="shared" ca="1" si="1476"/>
        <v/>
      </c>
      <c r="DB1561" s="259" t="str">
        <f t="shared" ca="1" si="1471"/>
        <v/>
      </c>
      <c r="DC1561" s="259" t="str">
        <f t="shared" ca="1" si="1472"/>
        <v/>
      </c>
      <c r="DD1561" s="259" t="str">
        <f t="shared" ca="1" si="1473"/>
        <v/>
      </c>
      <c r="DE1561" s="259" t="str">
        <f t="shared" ca="1" si="1474"/>
        <v/>
      </c>
      <c r="DF1561" s="259">
        <f ca="1">IF(AND(CX1561=$DE$2,$DF$2&lt;&gt;0),0,IF(AND(DB1561&lt;&gt;"",OR(DB1560&lt;&gt;"",DB1562&lt;&gt;"")),MAX($DF$2:DF1560)+1,0))</f>
        <v>0</v>
      </c>
    </row>
    <row r="1562" spans="102:110">
      <c r="CX1562" s="259">
        <f t="shared" ca="1" si="1468"/>
        <v>87</v>
      </c>
      <c r="CY1562" s="259" t="str">
        <f t="shared" ca="1" si="1475"/>
        <v>MASTRO</v>
      </c>
      <c r="CZ1562" s="259" t="e">
        <f t="shared" ca="1" si="1470"/>
        <v>#N/A</v>
      </c>
      <c r="DA1562" s="259" t="str">
        <f t="shared" ca="1" si="1476"/>
        <v/>
      </c>
      <c r="DB1562" s="259" t="str">
        <f t="shared" ca="1" si="1471"/>
        <v/>
      </c>
      <c r="DC1562" s="259" t="str">
        <f t="shared" ca="1" si="1472"/>
        <v/>
      </c>
      <c r="DD1562" s="259" t="str">
        <f t="shared" ca="1" si="1473"/>
        <v/>
      </c>
      <c r="DE1562" s="259" t="str">
        <f t="shared" ca="1" si="1474"/>
        <v/>
      </c>
      <c r="DF1562" s="259">
        <f ca="1">IF(AND(CX1562=$DE$2,$DF$2&lt;&gt;0),0,IF(AND(DB1562&lt;&gt;"",OR(DB1561&lt;&gt;"",DB1563&lt;&gt;"")),MAX($DF$2:DF1561)+1,0))</f>
        <v>0</v>
      </c>
    </row>
    <row r="1563" spans="102:110">
      <c r="CX1563" s="259">
        <f t="shared" ca="1" si="1468"/>
        <v>87</v>
      </c>
      <c r="CY1563" s="259" t="str">
        <f t="shared" ca="1" si="1475"/>
        <v>MASTRO</v>
      </c>
      <c r="CZ1563" s="259" t="e">
        <f t="shared" ca="1" si="1470"/>
        <v>#N/A</v>
      </c>
      <c r="DA1563" s="259" t="str">
        <f t="shared" ca="1" si="1476"/>
        <v/>
      </c>
      <c r="DB1563" s="259" t="str">
        <f t="shared" ca="1" si="1471"/>
        <v/>
      </c>
      <c r="DC1563" s="259" t="str">
        <f t="shared" ca="1" si="1472"/>
        <v/>
      </c>
      <c r="DD1563" s="259" t="str">
        <f t="shared" ca="1" si="1473"/>
        <v/>
      </c>
      <c r="DE1563" s="259" t="str">
        <f t="shared" ca="1" si="1474"/>
        <v/>
      </c>
      <c r="DF1563" s="259">
        <f ca="1">IF(AND(CX1563=$DE$2,$DF$2&lt;&gt;0),0,IF(AND(DB1563&lt;&gt;"",OR(DB1562&lt;&gt;"",DB1564&lt;&gt;"")),MAX($DF$2:DF1562)+1,0))</f>
        <v>0</v>
      </c>
    </row>
    <row r="1564" spans="102:110">
      <c r="CX1564" s="259">
        <f t="shared" ca="1" si="1468"/>
        <v>87</v>
      </c>
      <c r="CY1564" s="259" t="str">
        <f t="shared" ca="1" si="1475"/>
        <v>MASTRO</v>
      </c>
      <c r="CZ1564" s="259" t="e">
        <f t="shared" ca="1" si="1470"/>
        <v>#N/A</v>
      </c>
      <c r="DA1564" s="259" t="str">
        <f t="shared" ca="1" si="1476"/>
        <v/>
      </c>
      <c r="DB1564" s="259" t="str">
        <f t="shared" ca="1" si="1471"/>
        <v/>
      </c>
      <c r="DC1564" s="259" t="str">
        <f t="shared" ca="1" si="1472"/>
        <v/>
      </c>
      <c r="DD1564" s="259" t="str">
        <f t="shared" ca="1" si="1473"/>
        <v/>
      </c>
      <c r="DE1564" s="259" t="str">
        <f t="shared" ca="1" si="1474"/>
        <v/>
      </c>
      <c r="DF1564" s="259">
        <f ca="1">IF(AND(CX1564=$DE$2,$DF$2&lt;&gt;0),0,IF(AND(DB1564&lt;&gt;"",OR(DB1563&lt;&gt;"",DB1565&lt;&gt;"")),MAX($DF$2:DF1563)+1,0))</f>
        <v>0</v>
      </c>
    </row>
    <row r="1565" spans="102:110">
      <c r="CX1565" s="259">
        <f t="shared" ca="1" si="1468"/>
        <v>87</v>
      </c>
      <c r="CY1565" s="259" t="str">
        <f t="shared" ca="1" si="1475"/>
        <v>MASTRO</v>
      </c>
      <c r="CZ1565" s="259" t="e">
        <f t="shared" ca="1" si="1470"/>
        <v>#N/A</v>
      </c>
      <c r="DA1565" s="259" t="str">
        <f t="shared" ca="1" si="1476"/>
        <v/>
      </c>
      <c r="DB1565" s="259" t="str">
        <f t="shared" ca="1" si="1471"/>
        <v/>
      </c>
      <c r="DC1565" s="259" t="str">
        <f t="shared" ca="1" si="1472"/>
        <v/>
      </c>
      <c r="DD1565" s="259" t="str">
        <f t="shared" ca="1" si="1473"/>
        <v/>
      </c>
      <c r="DE1565" s="259" t="str">
        <f t="shared" ca="1" si="1474"/>
        <v/>
      </c>
      <c r="DF1565" s="259">
        <f ca="1">IF(AND(CX1565=$DE$2,$DF$2&lt;&gt;0),0,IF(AND(DB1565&lt;&gt;"",OR(DB1564&lt;&gt;"",DB1566&lt;&gt;"")),MAX($DF$2:DF1564)+1,0))</f>
        <v>0</v>
      </c>
    </row>
    <row r="1566" spans="102:110">
      <c r="CX1566" s="259">
        <f t="shared" ca="1" si="1468"/>
        <v>87</v>
      </c>
      <c r="CY1566" s="259" t="str">
        <f t="shared" ca="1" si="1475"/>
        <v>MASTRO</v>
      </c>
      <c r="CZ1566" s="259" t="e">
        <f t="shared" ca="1" si="1470"/>
        <v>#N/A</v>
      </c>
      <c r="DA1566" s="259" t="str">
        <f t="shared" ca="1" si="1476"/>
        <v/>
      </c>
      <c r="DB1566" s="259" t="str">
        <f t="shared" ca="1" si="1471"/>
        <v/>
      </c>
      <c r="DC1566" s="259" t="str">
        <f t="shared" ca="1" si="1472"/>
        <v/>
      </c>
      <c r="DD1566" s="259" t="str">
        <f t="shared" ca="1" si="1473"/>
        <v/>
      </c>
      <c r="DE1566" s="259" t="str">
        <f t="shared" ca="1" si="1474"/>
        <v/>
      </c>
      <c r="DF1566" s="259">
        <f ca="1">IF(AND(CX1566=$DE$2,$DF$2&lt;&gt;0),0,IF(AND(DB1566&lt;&gt;"",OR(DB1565&lt;&gt;"",DB1567&lt;&gt;"")),MAX($DF$2:DF1565)+1,0))</f>
        <v>0</v>
      </c>
    </row>
    <row r="1567" spans="102:110">
      <c r="CX1567" s="259">
        <f t="shared" ca="1" si="1468"/>
        <v>87</v>
      </c>
      <c r="CY1567" s="259" t="str">
        <f t="shared" ca="1" si="1475"/>
        <v>MASTRO</v>
      </c>
      <c r="CZ1567" s="259" t="e">
        <f t="shared" ca="1" si="1470"/>
        <v>#N/A</v>
      </c>
      <c r="DA1567" s="259" t="str">
        <f t="shared" ca="1" si="1476"/>
        <v/>
      </c>
      <c r="DB1567" s="259" t="str">
        <f t="shared" ca="1" si="1471"/>
        <v/>
      </c>
      <c r="DC1567" s="259" t="str">
        <f t="shared" ca="1" si="1472"/>
        <v/>
      </c>
      <c r="DD1567" s="259" t="str">
        <f t="shared" ca="1" si="1473"/>
        <v/>
      </c>
      <c r="DE1567" s="259" t="str">
        <f t="shared" ca="1" si="1474"/>
        <v/>
      </c>
      <c r="DF1567" s="259">
        <f ca="1">IF(AND(CX1567=$DE$2,$DF$2&lt;&gt;0),0,IF(AND(DB1567&lt;&gt;"",OR(DB1566&lt;&gt;"",DB1568&lt;&gt;"")),MAX($DF$2:DF1566)+1,0))</f>
        <v>0</v>
      </c>
    </row>
    <row r="1568" spans="102:110">
      <c r="CX1568" s="259" t="str">
        <f>IFERROR(IF(CX1550+1=1,"",(CX1550+1)),"")</f>
        <v/>
      </c>
      <c r="CY1568" s="259" t="str">
        <f t="shared" ca="1" si="1475"/>
        <v>MASTRO</v>
      </c>
      <c r="DB1568" s="259" t="str">
        <f t="shared" ref="DB1568" ca="1" si="1477">CY1568</f>
        <v>MASTRO</v>
      </c>
      <c r="DF1568" s="259">
        <f ca="1">IF(AND(CX1568=$DE$2,$DF$2&lt;&gt;0),0,IF(AND(DB1568&lt;&gt;"",OR(DB1567&lt;&gt;"",DB1569&lt;&gt;"")),MAX($DF$2:DF1567)+1,0))</f>
        <v>0</v>
      </c>
    </row>
    <row r="1569" spans="102:110">
      <c r="CX1569" s="259">
        <f ca="1">$EA$90</f>
        <v>88</v>
      </c>
      <c r="CY1569" s="259" t="str">
        <f t="shared" ca="1" si="1475"/>
        <v>MASTRO</v>
      </c>
      <c r="DA1569" s="259" t="str">
        <f ca="1">IF(CY1568="MASTRO","Conto n.","")</f>
        <v>Conto n.</v>
      </c>
      <c r="DB1569" s="259" t="str">
        <f ca="1">IF(CY1569=0,"",INDEX(PIANO_DEI_CONTI,MATCH(DC1569,DENOMINAZIONE,0),1))</f>
        <v/>
      </c>
      <c r="DC1569" s="259" t="str">
        <f ca="1">IF(OR(CY1569=0,CY1569="mastro"),"",CY1569)</f>
        <v/>
      </c>
      <c r="DD1569" s="259" t="str">
        <f ca="1">IF(AND($DA$2=TRUE,OR(INDEX(PIANO_DEI_CONTI,MATCH($DC1569,DENOMINAZIONE,0),4)="A",INDEX(PIANO_DEI_CONTI,MATCH($DC1569,DENOMINAZIONE,0),4)="D/A"),SUMIFS(AVERE,DENOMINAZIONE_GIORNALE,"="&amp;$DC1569)&gt;SUMIFS(DARE,DENOMINAZIONE_GIORNALE,"="&amp;$DC1569)),CONCATENATE("s ",FIXED(ABS(SUMIFS(AVERE,DENOMINAZIONE_GIORNALE,"="&amp;$DC1569)-SUMIFS(DARE,DENOMINAZIONE_GIORNALE,"="&amp;$DC1569)),2)),"")</f>
        <v/>
      </c>
      <c r="DE1569" s="259" t="str">
        <f ca="1">IF(AND($DA$2=TRUE,OR(INDEX(PIANO_DEI_CONTI,MATCH($DC1569,DENOMINAZIONE,0),4)="D",INDEX(PIANO_DEI_CONTI,MATCH($DC1569,DENOMINAZIONE,0),4)="D/A"),SUMIFS(DARE,DENOMINAZIONE_GIORNALE,"="&amp;$DC1569)&gt;SUMIFS(AVERE,DENOMINAZIONE_GIORNALE,"="&amp;$DC1569)),CONCATENATE("s ",FIXED(ABS(SUMIFS(DARE,DENOMINAZIONE_GIORNALE,"="&amp;$DC1569)-SUMIFS(AVERE,DENOMINAZIONE_GIORNALE,"="&amp;$DC1569)),2)),"")</f>
        <v/>
      </c>
      <c r="DF1569" s="259">
        <f ca="1">IF(AND(CX1569=$DE$2,$DF$2&lt;&gt;0),0,IF(AND(DB1569&lt;&gt;"",OR(DB1568&lt;&gt;"",DB1570&lt;&gt;"")),MAX($DF$2:DF1568)+1,0))</f>
        <v>0</v>
      </c>
    </row>
    <row r="1570" spans="102:110">
      <c r="CX1570" s="259">
        <f t="shared" ref="CX1570:CX1585" ca="1" si="1478">$EA$90</f>
        <v>88</v>
      </c>
      <c r="CY1570" s="259" t="str">
        <f t="shared" ca="1" si="1475"/>
        <v>MASTRO</v>
      </c>
      <c r="DA1570" s="259" t="str">
        <f ca="1">IF(DB1569="","","Num. riga")</f>
        <v/>
      </c>
      <c r="DB1570" s="259" t="str">
        <f t="shared" ref="DB1570" ca="1" si="1479">IF(DB1569="","","Data")</f>
        <v/>
      </c>
      <c r="DC1570" s="259" t="str">
        <f ca="1">IF(DB1569="","","Operazioni")</f>
        <v/>
      </c>
      <c r="DD1570" s="259" t="str">
        <f ca="1">IF(DB1569="","","Dare        ")</f>
        <v/>
      </c>
      <c r="DE1570" s="259" t="str">
        <f ca="1">IF(DB1569="","","Avere        ")</f>
        <v/>
      </c>
      <c r="DF1570" s="259">
        <f ca="1">IF(AND(CX1570=$DE$2,$DF$2&lt;&gt;0),0,IF(AND(DB1570&lt;&gt;"",OR(DB1569&lt;&gt;"",DB1571&lt;&gt;"")),MAX($DF$2:DF1569)+1,0))</f>
        <v>0</v>
      </c>
    </row>
    <row r="1571" spans="102:110">
      <c r="CX1571" s="259">
        <f t="shared" ca="1" si="1478"/>
        <v>88</v>
      </c>
      <c r="CY1571" s="259" t="str">
        <f t="shared" ca="1" si="1475"/>
        <v>MASTRO</v>
      </c>
      <c r="CZ1571" s="259" t="e">
        <f t="shared" ref="CZ1571:CZ1585" ca="1" si="1480">SUM(MATCH($CY1571,INDIRECT(ADDRESS(SUM(CZ1570)+3,54)&amp;":"&amp;ADDRESS(400,54)),0),CZ1570)</f>
        <v>#N/A</v>
      </c>
      <c r="DA1571" s="259" t="str">
        <f ca="1">IFERROR(INDEX(LIBRO_GIORNALE,CZ1571,1),"")</f>
        <v/>
      </c>
      <c r="DB1571" s="259" t="str">
        <f t="shared" ref="DB1571:DB1585" ca="1" si="1481">IF(RIGHT(TEXT(IFERROR(INDEX(LIBRO_GIORNALE,CZ1571,2),""),"gg/mm/aa"),1)="a",TEXT(IFERROR(INDEX(LIBRO_GIORNALE,CZ1571,2),""),"dd/mm/yy"),TEXT(IFERROR(INDEX(LIBRO_GIORNALE,CZ1571,2),""),"gg/mm/aa"))</f>
        <v/>
      </c>
      <c r="DC1571" s="259" t="str">
        <f t="shared" ref="DC1571:DC1585" ca="1" si="1482">IF(IFERROR(INDEX(LIBRO_GIORNALE,CZ1571,4),"")=0,"manca la descrizione dell'operazione",IFERROR(INDEX(LIBRO_GIORNALE,CZ1571,4),""))</f>
        <v/>
      </c>
      <c r="DD1571" s="259" t="str">
        <f t="shared" ref="DD1571:DD1585" ca="1" si="1483">IFERROR(IF(INDEX(LIBRO_GIORNALE,CZ1571,5)&gt;0,INDEX(LIBRO_GIORNALE,CZ1571,5),""),"")</f>
        <v/>
      </c>
      <c r="DE1571" s="259" t="str">
        <f t="shared" ref="DE1571:DE1585" ca="1" si="1484">IFERROR(IF(INDEX(LIBRO_GIORNALE,CZ1571,6)&gt;0,INDEX(LIBRO_GIORNALE,CZ1571,6),""),"")</f>
        <v/>
      </c>
      <c r="DF1571" s="259">
        <f ca="1">IF(AND(CX1571=$DE$2,$DF$2&lt;&gt;0),0,IF(AND(DB1571&lt;&gt;"",OR(DB1570&lt;&gt;"",DB1572&lt;&gt;"")),MAX($DF$2:DF1570)+1,0))</f>
        <v>0</v>
      </c>
    </row>
    <row r="1572" spans="102:110">
      <c r="CX1572" s="259">
        <f t="shared" ca="1" si="1478"/>
        <v>88</v>
      </c>
      <c r="CY1572" s="259" t="str">
        <f t="shared" ca="1" si="1475"/>
        <v>MASTRO</v>
      </c>
      <c r="CZ1572" s="259" t="e">
        <f t="shared" ca="1" si="1480"/>
        <v>#N/A</v>
      </c>
      <c r="DA1572" s="259" t="str">
        <f t="shared" ref="DA1572:DA1585" ca="1" si="1485">IFERROR(INDEX(LIBRO_GIORNALE,CZ1572,1),"")</f>
        <v/>
      </c>
      <c r="DB1572" s="259" t="str">
        <f t="shared" ca="1" si="1481"/>
        <v/>
      </c>
      <c r="DC1572" s="259" t="str">
        <f t="shared" ca="1" si="1482"/>
        <v/>
      </c>
      <c r="DD1572" s="259" t="str">
        <f t="shared" ca="1" si="1483"/>
        <v/>
      </c>
      <c r="DE1572" s="259" t="str">
        <f t="shared" ca="1" si="1484"/>
        <v/>
      </c>
      <c r="DF1572" s="259">
        <f ca="1">IF(AND(CX1572=$DE$2,$DF$2&lt;&gt;0),0,IF(AND(DB1572&lt;&gt;"",OR(DB1571&lt;&gt;"",DB1573&lt;&gt;"")),MAX($DF$2:DF1571)+1,0))</f>
        <v>0</v>
      </c>
    </row>
    <row r="1573" spans="102:110">
      <c r="CX1573" s="259">
        <f t="shared" ca="1" si="1478"/>
        <v>88</v>
      </c>
      <c r="CY1573" s="259" t="str">
        <f t="shared" ca="1" si="1475"/>
        <v>MASTRO</v>
      </c>
      <c r="CZ1573" s="259" t="e">
        <f t="shared" ca="1" si="1480"/>
        <v>#N/A</v>
      </c>
      <c r="DA1573" s="259" t="str">
        <f t="shared" ca="1" si="1485"/>
        <v/>
      </c>
      <c r="DB1573" s="259" t="str">
        <f t="shared" ca="1" si="1481"/>
        <v/>
      </c>
      <c r="DC1573" s="259" t="str">
        <f t="shared" ca="1" si="1482"/>
        <v/>
      </c>
      <c r="DD1573" s="259" t="str">
        <f t="shared" ca="1" si="1483"/>
        <v/>
      </c>
      <c r="DE1573" s="259" t="str">
        <f t="shared" ca="1" si="1484"/>
        <v/>
      </c>
      <c r="DF1573" s="259">
        <f ca="1">IF(AND(CX1573=$DE$2,$DF$2&lt;&gt;0),0,IF(AND(DB1573&lt;&gt;"",OR(DB1572&lt;&gt;"",DB1574&lt;&gt;"")),MAX($DF$2:DF1572)+1,0))</f>
        <v>0</v>
      </c>
    </row>
    <row r="1574" spans="102:110">
      <c r="CX1574" s="259">
        <f t="shared" ca="1" si="1478"/>
        <v>88</v>
      </c>
      <c r="CY1574" s="259" t="str">
        <f t="shared" ca="1" si="1475"/>
        <v>MASTRO</v>
      </c>
      <c r="CZ1574" s="259" t="e">
        <f t="shared" ca="1" si="1480"/>
        <v>#N/A</v>
      </c>
      <c r="DA1574" s="259" t="str">
        <f t="shared" ca="1" si="1485"/>
        <v/>
      </c>
      <c r="DB1574" s="259" t="str">
        <f t="shared" ca="1" si="1481"/>
        <v/>
      </c>
      <c r="DC1574" s="259" t="str">
        <f t="shared" ca="1" si="1482"/>
        <v/>
      </c>
      <c r="DD1574" s="259" t="str">
        <f t="shared" ca="1" si="1483"/>
        <v/>
      </c>
      <c r="DE1574" s="259" t="str">
        <f t="shared" ca="1" si="1484"/>
        <v/>
      </c>
      <c r="DF1574" s="259">
        <f ca="1">IF(AND(CX1574=$DE$2,$DF$2&lt;&gt;0),0,IF(AND(DB1574&lt;&gt;"",OR(DB1573&lt;&gt;"",DB1575&lt;&gt;"")),MAX($DF$2:DF1573)+1,0))</f>
        <v>0</v>
      </c>
    </row>
    <row r="1575" spans="102:110">
      <c r="CX1575" s="259">
        <f t="shared" ca="1" si="1478"/>
        <v>88</v>
      </c>
      <c r="CY1575" s="259" t="str">
        <f t="shared" ca="1" si="1475"/>
        <v>MASTRO</v>
      </c>
      <c r="CZ1575" s="259" t="e">
        <f t="shared" ca="1" si="1480"/>
        <v>#N/A</v>
      </c>
      <c r="DA1575" s="259" t="str">
        <f t="shared" ca="1" si="1485"/>
        <v/>
      </c>
      <c r="DB1575" s="259" t="str">
        <f t="shared" ca="1" si="1481"/>
        <v/>
      </c>
      <c r="DC1575" s="259" t="str">
        <f t="shared" ca="1" si="1482"/>
        <v/>
      </c>
      <c r="DD1575" s="259" t="str">
        <f t="shared" ca="1" si="1483"/>
        <v/>
      </c>
      <c r="DE1575" s="259" t="str">
        <f t="shared" ca="1" si="1484"/>
        <v/>
      </c>
      <c r="DF1575" s="259">
        <f ca="1">IF(AND(CX1575=$DE$2,$DF$2&lt;&gt;0),0,IF(AND(DB1575&lt;&gt;"",OR(DB1574&lt;&gt;"",DB1576&lt;&gt;"")),MAX($DF$2:DF1574)+1,0))</f>
        <v>0</v>
      </c>
    </row>
    <row r="1576" spans="102:110">
      <c r="CX1576" s="259">
        <f t="shared" ca="1" si="1478"/>
        <v>88</v>
      </c>
      <c r="CY1576" s="259" t="str">
        <f t="shared" ca="1" si="1475"/>
        <v>MASTRO</v>
      </c>
      <c r="CZ1576" s="259" t="e">
        <f t="shared" ca="1" si="1480"/>
        <v>#N/A</v>
      </c>
      <c r="DA1576" s="259" t="str">
        <f t="shared" ca="1" si="1485"/>
        <v/>
      </c>
      <c r="DB1576" s="259" t="str">
        <f t="shared" ca="1" si="1481"/>
        <v/>
      </c>
      <c r="DC1576" s="259" t="str">
        <f t="shared" ca="1" si="1482"/>
        <v/>
      </c>
      <c r="DD1576" s="259" t="str">
        <f t="shared" ca="1" si="1483"/>
        <v/>
      </c>
      <c r="DE1576" s="259" t="str">
        <f t="shared" ca="1" si="1484"/>
        <v/>
      </c>
      <c r="DF1576" s="259">
        <f ca="1">IF(AND(CX1576=$DE$2,$DF$2&lt;&gt;0),0,IF(AND(DB1576&lt;&gt;"",OR(DB1575&lt;&gt;"",DB1577&lt;&gt;"")),MAX($DF$2:DF1575)+1,0))</f>
        <v>0</v>
      </c>
    </row>
    <row r="1577" spans="102:110">
      <c r="CX1577" s="259">
        <f t="shared" ca="1" si="1478"/>
        <v>88</v>
      </c>
      <c r="CY1577" s="259" t="str">
        <f t="shared" ca="1" si="1475"/>
        <v>MASTRO</v>
      </c>
      <c r="CZ1577" s="259" t="e">
        <f t="shared" ca="1" si="1480"/>
        <v>#N/A</v>
      </c>
      <c r="DA1577" s="259" t="str">
        <f t="shared" ca="1" si="1485"/>
        <v/>
      </c>
      <c r="DB1577" s="259" t="str">
        <f t="shared" ca="1" si="1481"/>
        <v/>
      </c>
      <c r="DC1577" s="259" t="str">
        <f t="shared" ca="1" si="1482"/>
        <v/>
      </c>
      <c r="DD1577" s="259" t="str">
        <f t="shared" ca="1" si="1483"/>
        <v/>
      </c>
      <c r="DE1577" s="259" t="str">
        <f t="shared" ca="1" si="1484"/>
        <v/>
      </c>
      <c r="DF1577" s="259">
        <f ca="1">IF(AND(CX1577=$DE$2,$DF$2&lt;&gt;0),0,IF(AND(DB1577&lt;&gt;"",OR(DB1576&lt;&gt;"",DB1578&lt;&gt;"")),MAX($DF$2:DF1576)+1,0))</f>
        <v>0</v>
      </c>
    </row>
    <row r="1578" spans="102:110">
      <c r="CX1578" s="259">
        <f t="shared" ca="1" si="1478"/>
        <v>88</v>
      </c>
      <c r="CY1578" s="259" t="str">
        <f t="shared" ca="1" si="1475"/>
        <v>MASTRO</v>
      </c>
      <c r="CZ1578" s="259" t="e">
        <f t="shared" ca="1" si="1480"/>
        <v>#N/A</v>
      </c>
      <c r="DA1578" s="259" t="str">
        <f t="shared" ca="1" si="1485"/>
        <v/>
      </c>
      <c r="DB1578" s="259" t="str">
        <f t="shared" ca="1" si="1481"/>
        <v/>
      </c>
      <c r="DC1578" s="259" t="str">
        <f t="shared" ca="1" si="1482"/>
        <v/>
      </c>
      <c r="DD1578" s="259" t="str">
        <f t="shared" ca="1" si="1483"/>
        <v/>
      </c>
      <c r="DE1578" s="259" t="str">
        <f t="shared" ca="1" si="1484"/>
        <v/>
      </c>
      <c r="DF1578" s="259">
        <f ca="1">IF(AND(CX1578=$DE$2,$DF$2&lt;&gt;0),0,IF(AND(DB1578&lt;&gt;"",OR(DB1577&lt;&gt;"",DB1579&lt;&gt;"")),MAX($DF$2:DF1577)+1,0))</f>
        <v>0</v>
      </c>
    </row>
    <row r="1579" spans="102:110">
      <c r="CX1579" s="259">
        <f t="shared" ca="1" si="1478"/>
        <v>88</v>
      </c>
      <c r="CY1579" s="259" t="str">
        <f t="shared" ca="1" si="1475"/>
        <v>MASTRO</v>
      </c>
      <c r="CZ1579" s="259" t="e">
        <f t="shared" ca="1" si="1480"/>
        <v>#N/A</v>
      </c>
      <c r="DA1579" s="259" t="str">
        <f t="shared" ca="1" si="1485"/>
        <v/>
      </c>
      <c r="DB1579" s="259" t="str">
        <f t="shared" ca="1" si="1481"/>
        <v/>
      </c>
      <c r="DC1579" s="259" t="str">
        <f t="shared" ca="1" si="1482"/>
        <v/>
      </c>
      <c r="DD1579" s="259" t="str">
        <f t="shared" ca="1" si="1483"/>
        <v/>
      </c>
      <c r="DE1579" s="259" t="str">
        <f t="shared" ca="1" si="1484"/>
        <v/>
      </c>
      <c r="DF1579" s="259">
        <f ca="1">IF(AND(CX1579=$DE$2,$DF$2&lt;&gt;0),0,IF(AND(DB1579&lt;&gt;"",OR(DB1578&lt;&gt;"",DB1580&lt;&gt;"")),MAX($DF$2:DF1578)+1,0))</f>
        <v>0</v>
      </c>
    </row>
    <row r="1580" spans="102:110">
      <c r="CX1580" s="259">
        <f t="shared" ca="1" si="1478"/>
        <v>88</v>
      </c>
      <c r="CY1580" s="259" t="str">
        <f t="shared" ca="1" si="1475"/>
        <v>MASTRO</v>
      </c>
      <c r="CZ1580" s="259" t="e">
        <f t="shared" ca="1" si="1480"/>
        <v>#N/A</v>
      </c>
      <c r="DA1580" s="259" t="str">
        <f t="shared" ca="1" si="1485"/>
        <v/>
      </c>
      <c r="DB1580" s="259" t="str">
        <f t="shared" ca="1" si="1481"/>
        <v/>
      </c>
      <c r="DC1580" s="259" t="str">
        <f t="shared" ca="1" si="1482"/>
        <v/>
      </c>
      <c r="DD1580" s="259" t="str">
        <f t="shared" ca="1" si="1483"/>
        <v/>
      </c>
      <c r="DE1580" s="259" t="str">
        <f t="shared" ca="1" si="1484"/>
        <v/>
      </c>
      <c r="DF1580" s="259">
        <f ca="1">IF(AND(CX1580=$DE$2,$DF$2&lt;&gt;0),0,IF(AND(DB1580&lt;&gt;"",OR(DB1579&lt;&gt;"",DB1581&lt;&gt;"")),MAX($DF$2:DF1579)+1,0))</f>
        <v>0</v>
      </c>
    </row>
    <row r="1581" spans="102:110">
      <c r="CX1581" s="259">
        <f t="shared" ca="1" si="1478"/>
        <v>88</v>
      </c>
      <c r="CY1581" s="259" t="str">
        <f t="shared" ca="1" si="1475"/>
        <v>MASTRO</v>
      </c>
      <c r="CZ1581" s="259" t="e">
        <f t="shared" ca="1" si="1480"/>
        <v>#N/A</v>
      </c>
      <c r="DA1581" s="259" t="str">
        <f t="shared" ca="1" si="1485"/>
        <v/>
      </c>
      <c r="DB1581" s="259" t="str">
        <f t="shared" ca="1" si="1481"/>
        <v/>
      </c>
      <c r="DC1581" s="259" t="str">
        <f t="shared" ca="1" si="1482"/>
        <v/>
      </c>
      <c r="DD1581" s="259" t="str">
        <f t="shared" ca="1" si="1483"/>
        <v/>
      </c>
      <c r="DE1581" s="259" t="str">
        <f t="shared" ca="1" si="1484"/>
        <v/>
      </c>
      <c r="DF1581" s="259">
        <f ca="1">IF(AND(CX1581=$DE$2,$DF$2&lt;&gt;0),0,IF(AND(DB1581&lt;&gt;"",OR(DB1580&lt;&gt;"",DB1582&lt;&gt;"")),MAX($DF$2:DF1580)+1,0))</f>
        <v>0</v>
      </c>
    </row>
    <row r="1582" spans="102:110">
      <c r="CX1582" s="259">
        <f t="shared" ca="1" si="1478"/>
        <v>88</v>
      </c>
      <c r="CY1582" s="259" t="str">
        <f t="shared" ca="1" si="1475"/>
        <v>MASTRO</v>
      </c>
      <c r="CZ1582" s="259" t="e">
        <f t="shared" ca="1" si="1480"/>
        <v>#N/A</v>
      </c>
      <c r="DA1582" s="259" t="str">
        <f t="shared" ca="1" si="1485"/>
        <v/>
      </c>
      <c r="DB1582" s="259" t="str">
        <f t="shared" ca="1" si="1481"/>
        <v/>
      </c>
      <c r="DC1582" s="259" t="str">
        <f t="shared" ca="1" si="1482"/>
        <v/>
      </c>
      <c r="DD1582" s="259" t="str">
        <f t="shared" ca="1" si="1483"/>
        <v/>
      </c>
      <c r="DE1582" s="259" t="str">
        <f t="shared" ca="1" si="1484"/>
        <v/>
      </c>
      <c r="DF1582" s="259">
        <f ca="1">IF(AND(CX1582=$DE$2,$DF$2&lt;&gt;0),0,IF(AND(DB1582&lt;&gt;"",OR(DB1581&lt;&gt;"",DB1583&lt;&gt;"")),MAX($DF$2:DF1581)+1,0))</f>
        <v>0</v>
      </c>
    </row>
    <row r="1583" spans="102:110">
      <c r="CX1583" s="259">
        <f t="shared" ca="1" si="1478"/>
        <v>88</v>
      </c>
      <c r="CY1583" s="259" t="str">
        <f t="shared" ca="1" si="1475"/>
        <v>MASTRO</v>
      </c>
      <c r="CZ1583" s="259" t="e">
        <f t="shared" ca="1" si="1480"/>
        <v>#N/A</v>
      </c>
      <c r="DA1583" s="259" t="str">
        <f t="shared" ca="1" si="1485"/>
        <v/>
      </c>
      <c r="DB1583" s="259" t="str">
        <f t="shared" ca="1" si="1481"/>
        <v/>
      </c>
      <c r="DC1583" s="259" t="str">
        <f t="shared" ca="1" si="1482"/>
        <v/>
      </c>
      <c r="DD1583" s="259" t="str">
        <f t="shared" ca="1" si="1483"/>
        <v/>
      </c>
      <c r="DE1583" s="259" t="str">
        <f t="shared" ca="1" si="1484"/>
        <v/>
      </c>
      <c r="DF1583" s="259">
        <f ca="1">IF(AND(CX1583=$DE$2,$DF$2&lt;&gt;0),0,IF(AND(DB1583&lt;&gt;"",OR(DB1582&lt;&gt;"",DB1584&lt;&gt;"")),MAX($DF$2:DF1582)+1,0))</f>
        <v>0</v>
      </c>
    </row>
    <row r="1584" spans="102:110">
      <c r="CX1584" s="259">
        <f t="shared" ca="1" si="1478"/>
        <v>88</v>
      </c>
      <c r="CY1584" s="259" t="str">
        <f t="shared" ca="1" si="1475"/>
        <v>MASTRO</v>
      </c>
      <c r="CZ1584" s="259" t="e">
        <f t="shared" ca="1" si="1480"/>
        <v>#N/A</v>
      </c>
      <c r="DA1584" s="259" t="str">
        <f t="shared" ca="1" si="1485"/>
        <v/>
      </c>
      <c r="DB1584" s="259" t="str">
        <f t="shared" ca="1" si="1481"/>
        <v/>
      </c>
      <c r="DC1584" s="259" t="str">
        <f t="shared" ca="1" si="1482"/>
        <v/>
      </c>
      <c r="DD1584" s="259" t="str">
        <f t="shared" ca="1" si="1483"/>
        <v/>
      </c>
      <c r="DE1584" s="259" t="str">
        <f t="shared" ca="1" si="1484"/>
        <v/>
      </c>
      <c r="DF1584" s="259">
        <f ca="1">IF(AND(CX1584=$DE$2,$DF$2&lt;&gt;0),0,IF(AND(DB1584&lt;&gt;"",OR(DB1583&lt;&gt;"",DB1585&lt;&gt;"")),MAX($DF$2:DF1583)+1,0))</f>
        <v>0</v>
      </c>
    </row>
    <row r="1585" spans="102:110">
      <c r="CX1585" s="259">
        <f t="shared" ca="1" si="1478"/>
        <v>88</v>
      </c>
      <c r="CY1585" s="259" t="str">
        <f t="shared" ca="1" si="1475"/>
        <v>MASTRO</v>
      </c>
      <c r="CZ1585" s="259" t="e">
        <f t="shared" ca="1" si="1480"/>
        <v>#N/A</v>
      </c>
      <c r="DA1585" s="259" t="str">
        <f t="shared" ca="1" si="1485"/>
        <v/>
      </c>
      <c r="DB1585" s="259" t="str">
        <f t="shared" ca="1" si="1481"/>
        <v/>
      </c>
      <c r="DC1585" s="259" t="str">
        <f t="shared" ca="1" si="1482"/>
        <v/>
      </c>
      <c r="DD1585" s="259" t="str">
        <f t="shared" ca="1" si="1483"/>
        <v/>
      </c>
      <c r="DE1585" s="259" t="str">
        <f t="shared" ca="1" si="1484"/>
        <v/>
      </c>
      <c r="DF1585" s="259">
        <f ca="1">IF(AND(CX1585=$DE$2,$DF$2&lt;&gt;0),0,IF(AND(DB1585&lt;&gt;"",OR(DB1584&lt;&gt;"",DB1586&lt;&gt;"")),MAX($DF$2:DF1584)+1,0))</f>
        <v>0</v>
      </c>
    </row>
    <row r="1586" spans="102:110">
      <c r="CX1586" s="259" t="str">
        <f>IFERROR(IF(CX1568+1=1,"",(CX1568+1)),"")</f>
        <v/>
      </c>
      <c r="CY1586" s="259" t="s">
        <v>269</v>
      </c>
      <c r="DB1586" s="259" t="str">
        <f t="shared" ref="DB1586" si="1486">CY1586</f>
        <v>MASTRO</v>
      </c>
      <c r="DF1586" s="259">
        <f ca="1">IF(AND(CX1586=$DE$2,$DF$2&lt;&gt;0),0,IF(AND(DB1586&lt;&gt;"",OR(DB1585&lt;&gt;"",DB1587&lt;&gt;"")),MAX($DF$2:DF1585)+1,0))</f>
        <v>0</v>
      </c>
    </row>
    <row r="1587" spans="102:110">
      <c r="CX1587" s="259">
        <f ca="1">$EA$91</f>
        <v>89</v>
      </c>
      <c r="CY1587" s="259" t="str">
        <f t="shared" ref="CY1587:CY1619" ca="1" si="1487">IF(ISERROR(INDEX($CV$3:$CX$2300,MATCH(CX1587,$CW$3:$CW$2300,0),1)),"MASTRO",INDEX($CV$3:$CX$2300,MATCH(CX1587,$CW$3:$CW$2300,0),1))</f>
        <v>MASTRO</v>
      </c>
      <c r="DA1587" s="259" t="str">
        <f>IF(CY1586="MASTRO","Conto n.","")</f>
        <v>Conto n.</v>
      </c>
      <c r="DB1587" s="259" t="str">
        <f ca="1">IF(CY1587=0,"",INDEX(PIANO_DEI_CONTI,MATCH(DC1587,DENOMINAZIONE,0),1))</f>
        <v/>
      </c>
      <c r="DC1587" s="259" t="str">
        <f ca="1">IF(OR(CY1587=0,CY1587="mastro"),"",CY1587)</f>
        <v/>
      </c>
      <c r="DD1587" s="259" t="str">
        <f ca="1">IF(AND($DA$2=TRUE,OR(INDEX(PIANO_DEI_CONTI,MATCH($DC1587,DENOMINAZIONE,0),4)="A",INDEX(PIANO_DEI_CONTI,MATCH($DC1587,DENOMINAZIONE,0),4)="D/A"),SUMIFS(AVERE,DENOMINAZIONE_GIORNALE,"="&amp;$DC1587)&gt;SUMIFS(DARE,DENOMINAZIONE_GIORNALE,"="&amp;$DC1587)),CONCATENATE("s ",FIXED(ABS(SUMIFS(AVERE,DENOMINAZIONE_GIORNALE,"="&amp;$DC1587)-SUMIFS(DARE,DENOMINAZIONE_GIORNALE,"="&amp;$DC1587)),2)),"")</f>
        <v/>
      </c>
      <c r="DE1587" s="259" t="str">
        <f ca="1">IF(AND($DA$2=TRUE,OR(INDEX(PIANO_DEI_CONTI,MATCH($DC1587,DENOMINAZIONE,0),4)="D",INDEX(PIANO_DEI_CONTI,MATCH($DC1587,DENOMINAZIONE,0),4)="D/A"),SUMIFS(DARE,DENOMINAZIONE_GIORNALE,"="&amp;$DC1587)&gt;SUMIFS(AVERE,DENOMINAZIONE_GIORNALE,"="&amp;$DC1587)),CONCATENATE("s ",FIXED(ABS(SUMIFS(DARE,DENOMINAZIONE_GIORNALE,"="&amp;$DC1587)-SUMIFS(AVERE,DENOMINAZIONE_GIORNALE,"="&amp;$DC1587)),2)),"")</f>
        <v/>
      </c>
      <c r="DF1587" s="259">
        <f ca="1">IF(AND(CX1587=$DE$2,$DF$2&lt;&gt;0),0,IF(AND(DB1587&lt;&gt;"",OR(DB1586&lt;&gt;"",DB1588&lt;&gt;"")),MAX($DF$2:DF1586)+1,0))</f>
        <v>0</v>
      </c>
    </row>
    <row r="1588" spans="102:110">
      <c r="CX1588" s="259">
        <f t="shared" ref="CX1588:CX1603" ca="1" si="1488">$EA$91</f>
        <v>89</v>
      </c>
      <c r="CY1588" s="259" t="str">
        <f t="shared" ca="1" si="1487"/>
        <v>MASTRO</v>
      </c>
      <c r="DA1588" s="259" t="str">
        <f ca="1">IF(DB1587="","","Num. riga")</f>
        <v/>
      </c>
      <c r="DB1588" s="259" t="str">
        <f t="shared" ref="DB1588" ca="1" si="1489">IF(DB1587="","","Data")</f>
        <v/>
      </c>
      <c r="DC1588" s="259" t="str">
        <f ca="1">IF(DB1587="","","Operazioni")</f>
        <v/>
      </c>
      <c r="DD1588" s="259" t="str">
        <f ca="1">IF(DB1587="","","Dare        ")</f>
        <v/>
      </c>
      <c r="DE1588" s="259" t="str">
        <f ca="1">IF(DB1587="","","Avere        ")</f>
        <v/>
      </c>
      <c r="DF1588" s="259">
        <f ca="1">IF(AND(CX1588=$DE$2,$DF$2&lt;&gt;0),0,IF(AND(DB1588&lt;&gt;"",OR(DB1587&lt;&gt;"",DB1589&lt;&gt;"")),MAX($DF$2:DF1587)+1,0))</f>
        <v>0</v>
      </c>
    </row>
    <row r="1589" spans="102:110">
      <c r="CX1589" s="259">
        <f t="shared" ca="1" si="1488"/>
        <v>89</v>
      </c>
      <c r="CY1589" s="259" t="str">
        <f t="shared" ca="1" si="1487"/>
        <v>MASTRO</v>
      </c>
      <c r="CZ1589" s="259" t="e">
        <f t="shared" ref="CZ1589:CZ1603" ca="1" si="1490">SUM(MATCH($CY1589,INDIRECT(ADDRESS(SUM(CZ1588)+3,54)&amp;":"&amp;ADDRESS(400,54)),0),CZ1588)</f>
        <v>#N/A</v>
      </c>
      <c r="DA1589" s="259" t="str">
        <f ca="1">IFERROR(INDEX(LIBRO_GIORNALE,CZ1589,1),"")</f>
        <v/>
      </c>
      <c r="DB1589" s="259" t="str">
        <f t="shared" ref="DB1589:DB1603" ca="1" si="1491">IF(RIGHT(TEXT(IFERROR(INDEX(LIBRO_GIORNALE,CZ1589,2),""),"gg/mm/aa"),1)="a",TEXT(IFERROR(INDEX(LIBRO_GIORNALE,CZ1589,2),""),"dd/mm/yy"),TEXT(IFERROR(INDEX(LIBRO_GIORNALE,CZ1589,2),""),"gg/mm/aa"))</f>
        <v/>
      </c>
      <c r="DC1589" s="259" t="str">
        <f t="shared" ref="DC1589:DC1603" ca="1" si="1492">IF(IFERROR(INDEX(LIBRO_GIORNALE,CZ1589,4),"")=0,"manca la descrizione dell'operazione",IFERROR(INDEX(LIBRO_GIORNALE,CZ1589,4),""))</f>
        <v/>
      </c>
      <c r="DD1589" s="259" t="str">
        <f t="shared" ref="DD1589:DD1603" ca="1" si="1493">IFERROR(IF(INDEX(LIBRO_GIORNALE,CZ1589,5)&gt;0,INDEX(LIBRO_GIORNALE,CZ1589,5),""),"")</f>
        <v/>
      </c>
      <c r="DE1589" s="259" t="str">
        <f t="shared" ref="DE1589:DE1603" ca="1" si="1494">IFERROR(IF(INDEX(LIBRO_GIORNALE,CZ1589,6)&gt;0,INDEX(LIBRO_GIORNALE,CZ1589,6),""),"")</f>
        <v/>
      </c>
      <c r="DF1589" s="259">
        <f ca="1">IF(AND(CX1589=$DE$2,$DF$2&lt;&gt;0),0,IF(AND(DB1589&lt;&gt;"",OR(DB1588&lt;&gt;"",DB1590&lt;&gt;"")),MAX($DF$2:DF1588)+1,0))</f>
        <v>0</v>
      </c>
    </row>
    <row r="1590" spans="102:110">
      <c r="CX1590" s="259">
        <f t="shared" ca="1" si="1488"/>
        <v>89</v>
      </c>
      <c r="CY1590" s="259" t="str">
        <f t="shared" ca="1" si="1487"/>
        <v>MASTRO</v>
      </c>
      <c r="CZ1590" s="259" t="e">
        <f t="shared" ca="1" si="1490"/>
        <v>#N/A</v>
      </c>
      <c r="DA1590" s="259" t="str">
        <f t="shared" ref="DA1590:DA1603" ca="1" si="1495">IFERROR(INDEX(LIBRO_GIORNALE,CZ1590,1),"")</f>
        <v/>
      </c>
      <c r="DB1590" s="259" t="str">
        <f t="shared" ca="1" si="1491"/>
        <v/>
      </c>
      <c r="DC1590" s="259" t="str">
        <f t="shared" ca="1" si="1492"/>
        <v/>
      </c>
      <c r="DD1590" s="259" t="str">
        <f t="shared" ca="1" si="1493"/>
        <v/>
      </c>
      <c r="DE1590" s="259" t="str">
        <f t="shared" ca="1" si="1494"/>
        <v/>
      </c>
      <c r="DF1590" s="259">
        <f ca="1">IF(AND(CX1590=$DE$2,$DF$2&lt;&gt;0),0,IF(AND(DB1590&lt;&gt;"",OR(DB1589&lt;&gt;"",DB1591&lt;&gt;"")),MAX($DF$2:DF1589)+1,0))</f>
        <v>0</v>
      </c>
    </row>
    <row r="1591" spans="102:110">
      <c r="CX1591" s="259">
        <f t="shared" ca="1" si="1488"/>
        <v>89</v>
      </c>
      <c r="CY1591" s="259" t="str">
        <f t="shared" ca="1" si="1487"/>
        <v>MASTRO</v>
      </c>
      <c r="CZ1591" s="259" t="e">
        <f t="shared" ca="1" si="1490"/>
        <v>#N/A</v>
      </c>
      <c r="DA1591" s="259" t="str">
        <f t="shared" ca="1" si="1495"/>
        <v/>
      </c>
      <c r="DB1591" s="259" t="str">
        <f t="shared" ca="1" si="1491"/>
        <v/>
      </c>
      <c r="DC1591" s="259" t="str">
        <f t="shared" ca="1" si="1492"/>
        <v/>
      </c>
      <c r="DD1591" s="259" t="str">
        <f t="shared" ca="1" si="1493"/>
        <v/>
      </c>
      <c r="DE1591" s="259" t="str">
        <f t="shared" ca="1" si="1494"/>
        <v/>
      </c>
      <c r="DF1591" s="259">
        <f ca="1">IF(AND(CX1591=$DE$2,$DF$2&lt;&gt;0),0,IF(AND(DB1591&lt;&gt;"",OR(DB1590&lt;&gt;"",DB1592&lt;&gt;"")),MAX($DF$2:DF1590)+1,0))</f>
        <v>0</v>
      </c>
    </row>
    <row r="1592" spans="102:110">
      <c r="CX1592" s="259">
        <f t="shared" ca="1" si="1488"/>
        <v>89</v>
      </c>
      <c r="CY1592" s="259" t="str">
        <f t="shared" ca="1" si="1487"/>
        <v>MASTRO</v>
      </c>
      <c r="CZ1592" s="259" t="e">
        <f t="shared" ca="1" si="1490"/>
        <v>#N/A</v>
      </c>
      <c r="DA1592" s="259" t="str">
        <f t="shared" ca="1" si="1495"/>
        <v/>
      </c>
      <c r="DB1592" s="259" t="str">
        <f t="shared" ca="1" si="1491"/>
        <v/>
      </c>
      <c r="DC1592" s="259" t="str">
        <f t="shared" ca="1" si="1492"/>
        <v/>
      </c>
      <c r="DD1592" s="259" t="str">
        <f t="shared" ca="1" si="1493"/>
        <v/>
      </c>
      <c r="DE1592" s="259" t="str">
        <f t="shared" ca="1" si="1494"/>
        <v/>
      </c>
      <c r="DF1592" s="259">
        <f ca="1">IF(AND(CX1592=$DE$2,$DF$2&lt;&gt;0),0,IF(AND(DB1592&lt;&gt;"",OR(DB1591&lt;&gt;"",DB1593&lt;&gt;"")),MAX($DF$2:DF1591)+1,0))</f>
        <v>0</v>
      </c>
    </row>
    <row r="1593" spans="102:110">
      <c r="CX1593" s="259">
        <f t="shared" ca="1" si="1488"/>
        <v>89</v>
      </c>
      <c r="CY1593" s="259" t="str">
        <f t="shared" ca="1" si="1487"/>
        <v>MASTRO</v>
      </c>
      <c r="CZ1593" s="259" t="e">
        <f t="shared" ca="1" si="1490"/>
        <v>#N/A</v>
      </c>
      <c r="DA1593" s="259" t="str">
        <f t="shared" ca="1" si="1495"/>
        <v/>
      </c>
      <c r="DB1593" s="259" t="str">
        <f t="shared" ca="1" si="1491"/>
        <v/>
      </c>
      <c r="DC1593" s="259" t="str">
        <f t="shared" ca="1" si="1492"/>
        <v/>
      </c>
      <c r="DD1593" s="259" t="str">
        <f t="shared" ca="1" si="1493"/>
        <v/>
      </c>
      <c r="DE1593" s="259" t="str">
        <f t="shared" ca="1" si="1494"/>
        <v/>
      </c>
      <c r="DF1593" s="259">
        <f ca="1">IF(AND(CX1593=$DE$2,$DF$2&lt;&gt;0),0,IF(AND(DB1593&lt;&gt;"",OR(DB1592&lt;&gt;"",DB1594&lt;&gt;"")),MAX($DF$2:DF1592)+1,0))</f>
        <v>0</v>
      </c>
    </row>
    <row r="1594" spans="102:110">
      <c r="CX1594" s="259">
        <f t="shared" ca="1" si="1488"/>
        <v>89</v>
      </c>
      <c r="CY1594" s="259" t="str">
        <f t="shared" ca="1" si="1487"/>
        <v>MASTRO</v>
      </c>
      <c r="CZ1594" s="259" t="e">
        <f t="shared" ca="1" si="1490"/>
        <v>#N/A</v>
      </c>
      <c r="DA1594" s="259" t="str">
        <f t="shared" ca="1" si="1495"/>
        <v/>
      </c>
      <c r="DB1594" s="259" t="str">
        <f t="shared" ca="1" si="1491"/>
        <v/>
      </c>
      <c r="DC1594" s="259" t="str">
        <f t="shared" ca="1" si="1492"/>
        <v/>
      </c>
      <c r="DD1594" s="259" t="str">
        <f t="shared" ca="1" si="1493"/>
        <v/>
      </c>
      <c r="DE1594" s="259" t="str">
        <f t="shared" ca="1" si="1494"/>
        <v/>
      </c>
      <c r="DF1594" s="259">
        <f ca="1">IF(AND(CX1594=$DE$2,$DF$2&lt;&gt;0),0,IF(AND(DB1594&lt;&gt;"",OR(DB1593&lt;&gt;"",DB1595&lt;&gt;"")),MAX($DF$2:DF1593)+1,0))</f>
        <v>0</v>
      </c>
    </row>
    <row r="1595" spans="102:110">
      <c r="CX1595" s="259">
        <f t="shared" ca="1" si="1488"/>
        <v>89</v>
      </c>
      <c r="CY1595" s="259" t="str">
        <f t="shared" ca="1" si="1487"/>
        <v>MASTRO</v>
      </c>
      <c r="CZ1595" s="259" t="e">
        <f t="shared" ca="1" si="1490"/>
        <v>#N/A</v>
      </c>
      <c r="DA1595" s="259" t="str">
        <f t="shared" ca="1" si="1495"/>
        <v/>
      </c>
      <c r="DB1595" s="259" t="str">
        <f t="shared" ca="1" si="1491"/>
        <v/>
      </c>
      <c r="DC1595" s="259" t="str">
        <f t="shared" ca="1" si="1492"/>
        <v/>
      </c>
      <c r="DD1595" s="259" t="str">
        <f t="shared" ca="1" si="1493"/>
        <v/>
      </c>
      <c r="DE1595" s="259" t="str">
        <f t="shared" ca="1" si="1494"/>
        <v/>
      </c>
      <c r="DF1595" s="259">
        <f ca="1">IF(AND(CX1595=$DE$2,$DF$2&lt;&gt;0),0,IF(AND(DB1595&lt;&gt;"",OR(DB1594&lt;&gt;"",DB1596&lt;&gt;"")),MAX($DF$2:DF1594)+1,0))</f>
        <v>0</v>
      </c>
    </row>
    <row r="1596" spans="102:110">
      <c r="CX1596" s="259">
        <f t="shared" ca="1" si="1488"/>
        <v>89</v>
      </c>
      <c r="CY1596" s="259" t="str">
        <f t="shared" ca="1" si="1487"/>
        <v>MASTRO</v>
      </c>
      <c r="CZ1596" s="259" t="e">
        <f t="shared" ca="1" si="1490"/>
        <v>#N/A</v>
      </c>
      <c r="DA1596" s="259" t="str">
        <f t="shared" ca="1" si="1495"/>
        <v/>
      </c>
      <c r="DB1596" s="259" t="str">
        <f t="shared" ca="1" si="1491"/>
        <v/>
      </c>
      <c r="DC1596" s="259" t="str">
        <f t="shared" ca="1" si="1492"/>
        <v/>
      </c>
      <c r="DD1596" s="259" t="str">
        <f t="shared" ca="1" si="1493"/>
        <v/>
      </c>
      <c r="DE1596" s="259" t="str">
        <f t="shared" ca="1" si="1494"/>
        <v/>
      </c>
      <c r="DF1596" s="259">
        <f ca="1">IF(AND(CX1596=$DE$2,$DF$2&lt;&gt;0),0,IF(AND(DB1596&lt;&gt;"",OR(DB1595&lt;&gt;"",DB1597&lt;&gt;"")),MAX($DF$2:DF1595)+1,0))</f>
        <v>0</v>
      </c>
    </row>
    <row r="1597" spans="102:110">
      <c r="CX1597" s="259">
        <f t="shared" ca="1" si="1488"/>
        <v>89</v>
      </c>
      <c r="CY1597" s="259" t="str">
        <f t="shared" ca="1" si="1487"/>
        <v>MASTRO</v>
      </c>
      <c r="CZ1597" s="259" t="e">
        <f t="shared" ca="1" si="1490"/>
        <v>#N/A</v>
      </c>
      <c r="DA1597" s="259" t="str">
        <f t="shared" ca="1" si="1495"/>
        <v/>
      </c>
      <c r="DB1597" s="259" t="str">
        <f t="shared" ca="1" si="1491"/>
        <v/>
      </c>
      <c r="DC1597" s="259" t="str">
        <f t="shared" ca="1" si="1492"/>
        <v/>
      </c>
      <c r="DD1597" s="259" t="str">
        <f t="shared" ca="1" si="1493"/>
        <v/>
      </c>
      <c r="DE1597" s="259" t="str">
        <f t="shared" ca="1" si="1494"/>
        <v/>
      </c>
      <c r="DF1597" s="259">
        <f ca="1">IF(AND(CX1597=$DE$2,$DF$2&lt;&gt;0),0,IF(AND(DB1597&lt;&gt;"",OR(DB1596&lt;&gt;"",DB1598&lt;&gt;"")),MAX($DF$2:DF1596)+1,0))</f>
        <v>0</v>
      </c>
    </row>
    <row r="1598" spans="102:110">
      <c r="CX1598" s="259">
        <f t="shared" ca="1" si="1488"/>
        <v>89</v>
      </c>
      <c r="CY1598" s="259" t="str">
        <f t="shared" ca="1" si="1487"/>
        <v>MASTRO</v>
      </c>
      <c r="CZ1598" s="259" t="e">
        <f t="shared" ca="1" si="1490"/>
        <v>#N/A</v>
      </c>
      <c r="DA1598" s="259" t="str">
        <f t="shared" ca="1" si="1495"/>
        <v/>
      </c>
      <c r="DB1598" s="259" t="str">
        <f t="shared" ca="1" si="1491"/>
        <v/>
      </c>
      <c r="DC1598" s="259" t="str">
        <f t="shared" ca="1" si="1492"/>
        <v/>
      </c>
      <c r="DD1598" s="259" t="str">
        <f t="shared" ca="1" si="1493"/>
        <v/>
      </c>
      <c r="DE1598" s="259" t="str">
        <f t="shared" ca="1" si="1494"/>
        <v/>
      </c>
      <c r="DF1598" s="259">
        <f ca="1">IF(AND(CX1598=$DE$2,$DF$2&lt;&gt;0),0,IF(AND(DB1598&lt;&gt;"",OR(DB1597&lt;&gt;"",DB1599&lt;&gt;"")),MAX($DF$2:DF1597)+1,0))</f>
        <v>0</v>
      </c>
    </row>
    <row r="1599" spans="102:110">
      <c r="CX1599" s="259">
        <f t="shared" ca="1" si="1488"/>
        <v>89</v>
      </c>
      <c r="CY1599" s="259" t="str">
        <f t="shared" ca="1" si="1487"/>
        <v>MASTRO</v>
      </c>
      <c r="CZ1599" s="259" t="e">
        <f t="shared" ca="1" si="1490"/>
        <v>#N/A</v>
      </c>
      <c r="DA1599" s="259" t="str">
        <f t="shared" ca="1" si="1495"/>
        <v/>
      </c>
      <c r="DB1599" s="259" t="str">
        <f t="shared" ca="1" si="1491"/>
        <v/>
      </c>
      <c r="DC1599" s="259" t="str">
        <f t="shared" ca="1" si="1492"/>
        <v/>
      </c>
      <c r="DD1599" s="259" t="str">
        <f t="shared" ca="1" si="1493"/>
        <v/>
      </c>
      <c r="DE1599" s="259" t="str">
        <f t="shared" ca="1" si="1494"/>
        <v/>
      </c>
      <c r="DF1599" s="259">
        <f ca="1">IF(AND(CX1599=$DE$2,$DF$2&lt;&gt;0),0,IF(AND(DB1599&lt;&gt;"",OR(DB1598&lt;&gt;"",DB1600&lt;&gt;"")),MAX($DF$2:DF1598)+1,0))</f>
        <v>0</v>
      </c>
    </row>
    <row r="1600" spans="102:110">
      <c r="CX1600" s="259">
        <f t="shared" ca="1" si="1488"/>
        <v>89</v>
      </c>
      <c r="CY1600" s="259" t="str">
        <f t="shared" ca="1" si="1487"/>
        <v>MASTRO</v>
      </c>
      <c r="CZ1600" s="259" t="e">
        <f t="shared" ca="1" si="1490"/>
        <v>#N/A</v>
      </c>
      <c r="DA1600" s="259" t="str">
        <f t="shared" ca="1" si="1495"/>
        <v/>
      </c>
      <c r="DB1600" s="259" t="str">
        <f t="shared" ca="1" si="1491"/>
        <v/>
      </c>
      <c r="DC1600" s="259" t="str">
        <f t="shared" ca="1" si="1492"/>
        <v/>
      </c>
      <c r="DD1600" s="259" t="str">
        <f t="shared" ca="1" si="1493"/>
        <v/>
      </c>
      <c r="DE1600" s="259" t="str">
        <f t="shared" ca="1" si="1494"/>
        <v/>
      </c>
      <c r="DF1600" s="259">
        <f ca="1">IF(AND(CX1600=$DE$2,$DF$2&lt;&gt;0),0,IF(AND(DB1600&lt;&gt;"",OR(DB1599&lt;&gt;"",DB1601&lt;&gt;"")),MAX($DF$2:DF1599)+1,0))</f>
        <v>0</v>
      </c>
    </row>
    <row r="1601" spans="102:110">
      <c r="CX1601" s="259">
        <f t="shared" ca="1" si="1488"/>
        <v>89</v>
      </c>
      <c r="CY1601" s="259" t="str">
        <f t="shared" ca="1" si="1487"/>
        <v>MASTRO</v>
      </c>
      <c r="CZ1601" s="259" t="e">
        <f t="shared" ca="1" si="1490"/>
        <v>#N/A</v>
      </c>
      <c r="DA1601" s="259" t="str">
        <f t="shared" ca="1" si="1495"/>
        <v/>
      </c>
      <c r="DB1601" s="259" t="str">
        <f t="shared" ca="1" si="1491"/>
        <v/>
      </c>
      <c r="DC1601" s="259" t="str">
        <f t="shared" ca="1" si="1492"/>
        <v/>
      </c>
      <c r="DD1601" s="259" t="str">
        <f t="shared" ca="1" si="1493"/>
        <v/>
      </c>
      <c r="DE1601" s="259" t="str">
        <f t="shared" ca="1" si="1494"/>
        <v/>
      </c>
      <c r="DF1601" s="259">
        <f ca="1">IF(AND(CX1601=$DE$2,$DF$2&lt;&gt;0),0,IF(AND(DB1601&lt;&gt;"",OR(DB1600&lt;&gt;"",DB1602&lt;&gt;"")),MAX($DF$2:DF1600)+1,0))</f>
        <v>0</v>
      </c>
    </row>
    <row r="1602" spans="102:110">
      <c r="CX1602" s="259">
        <f t="shared" ca="1" si="1488"/>
        <v>89</v>
      </c>
      <c r="CY1602" s="259" t="str">
        <f t="shared" ca="1" si="1487"/>
        <v>MASTRO</v>
      </c>
      <c r="CZ1602" s="259" t="e">
        <f t="shared" ca="1" si="1490"/>
        <v>#N/A</v>
      </c>
      <c r="DA1602" s="259" t="str">
        <f t="shared" ca="1" si="1495"/>
        <v/>
      </c>
      <c r="DB1602" s="259" t="str">
        <f t="shared" ca="1" si="1491"/>
        <v/>
      </c>
      <c r="DC1602" s="259" t="str">
        <f t="shared" ca="1" si="1492"/>
        <v/>
      </c>
      <c r="DD1602" s="259" t="str">
        <f t="shared" ca="1" si="1493"/>
        <v/>
      </c>
      <c r="DE1602" s="259" t="str">
        <f t="shared" ca="1" si="1494"/>
        <v/>
      </c>
      <c r="DF1602" s="259">
        <f ca="1">IF(AND(CX1602=$DE$2,$DF$2&lt;&gt;0),0,IF(AND(DB1602&lt;&gt;"",OR(DB1601&lt;&gt;"",DB1603&lt;&gt;"")),MAX($DF$2:DF1601)+1,0))</f>
        <v>0</v>
      </c>
    </row>
    <row r="1603" spans="102:110">
      <c r="CX1603" s="259">
        <f t="shared" ca="1" si="1488"/>
        <v>89</v>
      </c>
      <c r="CY1603" s="259" t="str">
        <f t="shared" ca="1" si="1487"/>
        <v>MASTRO</v>
      </c>
      <c r="CZ1603" s="259" t="e">
        <f t="shared" ca="1" si="1490"/>
        <v>#N/A</v>
      </c>
      <c r="DA1603" s="259" t="str">
        <f t="shared" ca="1" si="1495"/>
        <v/>
      </c>
      <c r="DB1603" s="259" t="str">
        <f t="shared" ca="1" si="1491"/>
        <v/>
      </c>
      <c r="DC1603" s="259" t="str">
        <f t="shared" ca="1" si="1492"/>
        <v/>
      </c>
      <c r="DD1603" s="259" t="str">
        <f t="shared" ca="1" si="1493"/>
        <v/>
      </c>
      <c r="DE1603" s="259" t="str">
        <f t="shared" ca="1" si="1494"/>
        <v/>
      </c>
      <c r="DF1603" s="259">
        <f ca="1">IF(AND(CX1603=$DE$2,$DF$2&lt;&gt;0),0,IF(AND(DB1603&lt;&gt;"",OR(DB1602&lt;&gt;"",DB1604&lt;&gt;"")),MAX($DF$2:DF1602)+1,0))</f>
        <v>0</v>
      </c>
    </row>
    <row r="1604" spans="102:110">
      <c r="CX1604" s="259" t="str">
        <f>IFERROR(IF(CX1586+1=1,"",(CX1586+1)),"")</f>
        <v/>
      </c>
      <c r="CY1604" s="259" t="str">
        <f t="shared" ca="1" si="1487"/>
        <v>MASTRO</v>
      </c>
      <c r="DB1604" s="259" t="str">
        <f t="shared" ref="DB1604" ca="1" si="1496">CY1604</f>
        <v>MASTRO</v>
      </c>
      <c r="DF1604" s="259">
        <f ca="1">IF(AND(CX1604=$DE$2,$DF$2&lt;&gt;0),0,IF(AND(DB1604&lt;&gt;"",OR(DB1603&lt;&gt;"",DB1605&lt;&gt;"")),MAX($DF$2:DF1603)+1,0))</f>
        <v>0</v>
      </c>
    </row>
    <row r="1605" spans="102:110">
      <c r="CX1605" s="259">
        <f ca="1">$EA$92</f>
        <v>90</v>
      </c>
      <c r="CY1605" s="259" t="str">
        <f t="shared" ca="1" si="1487"/>
        <v>MASTRO</v>
      </c>
      <c r="DA1605" s="259" t="str">
        <f ca="1">IF(CY1604="MASTRO","Conto n.","")</f>
        <v>Conto n.</v>
      </c>
      <c r="DB1605" s="259" t="str">
        <f ca="1">IF(CY1605=0,"",INDEX(PIANO_DEI_CONTI,MATCH(DC1605,DENOMINAZIONE,0),1))</f>
        <v/>
      </c>
      <c r="DC1605" s="259" t="str">
        <f ca="1">IF(OR(CY1605=0,CY1605="mastro"),"",CY1605)</f>
        <v/>
      </c>
      <c r="DD1605" s="259" t="str">
        <f ca="1">IF(AND($DA$2=TRUE,OR(INDEX(PIANO_DEI_CONTI,MATCH($DC1605,DENOMINAZIONE,0),4)="A",INDEX(PIANO_DEI_CONTI,MATCH($DC1605,DENOMINAZIONE,0),4)="D/A"),SUMIFS(AVERE,DENOMINAZIONE_GIORNALE,"="&amp;$DC1605)&gt;SUMIFS(DARE,DENOMINAZIONE_GIORNALE,"="&amp;$DC1605)),CONCATENATE("s ",FIXED(ABS(SUMIFS(AVERE,DENOMINAZIONE_GIORNALE,"="&amp;$DC1605)-SUMIFS(DARE,DENOMINAZIONE_GIORNALE,"="&amp;$DC1605)),2)),"")</f>
        <v/>
      </c>
      <c r="DE1605" s="259" t="str">
        <f ca="1">IF(AND($DA$2=TRUE,OR(INDEX(PIANO_DEI_CONTI,MATCH($DC1605,DENOMINAZIONE,0),4)="D",INDEX(PIANO_DEI_CONTI,MATCH($DC1605,DENOMINAZIONE,0),4)="D/A"),SUMIFS(DARE,DENOMINAZIONE_GIORNALE,"="&amp;$DC1605)&gt;SUMIFS(AVERE,DENOMINAZIONE_GIORNALE,"="&amp;$DC1605)),CONCATENATE("s ",FIXED(ABS(SUMIFS(DARE,DENOMINAZIONE_GIORNALE,"="&amp;$DC1605)-SUMIFS(AVERE,DENOMINAZIONE_GIORNALE,"="&amp;$DC1605)),2)),"")</f>
        <v/>
      </c>
      <c r="DF1605" s="259">
        <f ca="1">IF(AND(CX1605=$DE$2,$DF$2&lt;&gt;0),0,IF(AND(DB1605&lt;&gt;"",OR(DB1604&lt;&gt;"",DB1606&lt;&gt;"")),MAX($DF$2:DF1604)+1,0))</f>
        <v>0</v>
      </c>
    </row>
    <row r="1606" spans="102:110">
      <c r="CX1606" s="259">
        <f t="shared" ref="CX1606:CX1621" ca="1" si="1497">$EA$92</f>
        <v>90</v>
      </c>
      <c r="CY1606" s="259" t="str">
        <f t="shared" ca="1" si="1487"/>
        <v>MASTRO</v>
      </c>
      <c r="DA1606" s="259" t="str">
        <f ca="1">IF(DB1605="","","Num. riga")</f>
        <v/>
      </c>
      <c r="DB1606" s="259" t="str">
        <f t="shared" ref="DB1606" ca="1" si="1498">IF(DB1605="","","Data")</f>
        <v/>
      </c>
      <c r="DC1606" s="259" t="str">
        <f ca="1">IF(DB1605="","","Operazioni")</f>
        <v/>
      </c>
      <c r="DD1606" s="259" t="str">
        <f ca="1">IF(DB1605="","","Dare        ")</f>
        <v/>
      </c>
      <c r="DE1606" s="259" t="str">
        <f ca="1">IF(DB1605="","","Avere        ")</f>
        <v/>
      </c>
      <c r="DF1606" s="259">
        <f ca="1">IF(AND(CX1606=$DE$2,$DF$2&lt;&gt;0),0,IF(AND(DB1606&lt;&gt;"",OR(DB1605&lt;&gt;"",DB1607&lt;&gt;"")),MAX($DF$2:DF1605)+1,0))</f>
        <v>0</v>
      </c>
    </row>
    <row r="1607" spans="102:110">
      <c r="CX1607" s="259">
        <f t="shared" ca="1" si="1497"/>
        <v>90</v>
      </c>
      <c r="CY1607" s="259" t="str">
        <f t="shared" ca="1" si="1487"/>
        <v>MASTRO</v>
      </c>
      <c r="CZ1607" s="259" t="e">
        <f t="shared" ref="CZ1607:CZ1621" ca="1" si="1499">SUM(MATCH($CY1607,INDIRECT(ADDRESS(SUM(CZ1606)+3,54)&amp;":"&amp;ADDRESS(400,54)),0),CZ1606)</f>
        <v>#N/A</v>
      </c>
      <c r="DA1607" s="259" t="str">
        <f ca="1">IFERROR(INDEX(LIBRO_GIORNALE,CZ1607,1),"")</f>
        <v/>
      </c>
      <c r="DB1607" s="259" t="str">
        <f t="shared" ref="DB1607:DB1621" ca="1" si="1500">IF(RIGHT(TEXT(IFERROR(INDEX(LIBRO_GIORNALE,CZ1607,2),""),"gg/mm/aa"),1)="a",TEXT(IFERROR(INDEX(LIBRO_GIORNALE,CZ1607,2),""),"dd/mm/yy"),TEXT(IFERROR(INDEX(LIBRO_GIORNALE,CZ1607,2),""),"gg/mm/aa"))</f>
        <v/>
      </c>
      <c r="DC1607" s="259" t="str">
        <f t="shared" ref="DC1607:DC1621" ca="1" si="1501">IF(IFERROR(INDEX(LIBRO_GIORNALE,CZ1607,4),"")=0,"manca la descrizione dell'operazione",IFERROR(INDEX(LIBRO_GIORNALE,CZ1607,4),""))</f>
        <v/>
      </c>
      <c r="DD1607" s="259" t="str">
        <f t="shared" ref="DD1607:DD1621" ca="1" si="1502">IFERROR(IF(INDEX(LIBRO_GIORNALE,CZ1607,5)&gt;0,INDEX(LIBRO_GIORNALE,CZ1607,5),""),"")</f>
        <v/>
      </c>
      <c r="DE1607" s="259" t="str">
        <f t="shared" ref="DE1607:DE1621" ca="1" si="1503">IFERROR(IF(INDEX(LIBRO_GIORNALE,CZ1607,6)&gt;0,INDEX(LIBRO_GIORNALE,CZ1607,6),""),"")</f>
        <v/>
      </c>
      <c r="DF1607" s="259">
        <f ca="1">IF(AND(CX1607=$DE$2,$DF$2&lt;&gt;0),0,IF(AND(DB1607&lt;&gt;"",OR(DB1606&lt;&gt;"",DB1608&lt;&gt;"")),MAX($DF$2:DF1606)+1,0))</f>
        <v>0</v>
      </c>
    </row>
    <row r="1608" spans="102:110">
      <c r="CX1608" s="259">
        <f t="shared" ca="1" si="1497"/>
        <v>90</v>
      </c>
      <c r="CY1608" s="259" t="str">
        <f t="shared" ca="1" si="1487"/>
        <v>MASTRO</v>
      </c>
      <c r="CZ1608" s="259" t="e">
        <f t="shared" ca="1" si="1499"/>
        <v>#N/A</v>
      </c>
      <c r="DA1608" s="259" t="str">
        <f t="shared" ref="DA1608:DA1621" ca="1" si="1504">IFERROR(INDEX(LIBRO_GIORNALE,CZ1608,1),"")</f>
        <v/>
      </c>
      <c r="DB1608" s="259" t="str">
        <f t="shared" ca="1" si="1500"/>
        <v/>
      </c>
      <c r="DC1608" s="259" t="str">
        <f t="shared" ca="1" si="1501"/>
        <v/>
      </c>
      <c r="DD1608" s="259" t="str">
        <f t="shared" ca="1" si="1502"/>
        <v/>
      </c>
      <c r="DE1608" s="259" t="str">
        <f t="shared" ca="1" si="1503"/>
        <v/>
      </c>
      <c r="DF1608" s="259">
        <f ca="1">IF(AND(CX1608=$DE$2,$DF$2&lt;&gt;0),0,IF(AND(DB1608&lt;&gt;"",OR(DB1607&lt;&gt;"",DB1609&lt;&gt;"")),MAX($DF$2:DF1607)+1,0))</f>
        <v>0</v>
      </c>
    </row>
    <row r="1609" spans="102:110">
      <c r="CX1609" s="259">
        <f t="shared" ca="1" si="1497"/>
        <v>90</v>
      </c>
      <c r="CY1609" s="259" t="str">
        <f t="shared" ca="1" si="1487"/>
        <v>MASTRO</v>
      </c>
      <c r="CZ1609" s="259" t="e">
        <f t="shared" ca="1" si="1499"/>
        <v>#N/A</v>
      </c>
      <c r="DA1609" s="259" t="str">
        <f t="shared" ca="1" si="1504"/>
        <v/>
      </c>
      <c r="DB1609" s="259" t="str">
        <f t="shared" ca="1" si="1500"/>
        <v/>
      </c>
      <c r="DC1609" s="259" t="str">
        <f t="shared" ca="1" si="1501"/>
        <v/>
      </c>
      <c r="DD1609" s="259" t="str">
        <f t="shared" ca="1" si="1502"/>
        <v/>
      </c>
      <c r="DE1609" s="259" t="str">
        <f t="shared" ca="1" si="1503"/>
        <v/>
      </c>
      <c r="DF1609" s="259">
        <f ca="1">IF(AND(CX1609=$DE$2,$DF$2&lt;&gt;0),0,IF(AND(DB1609&lt;&gt;"",OR(DB1608&lt;&gt;"",DB1610&lt;&gt;"")),MAX($DF$2:DF1608)+1,0))</f>
        <v>0</v>
      </c>
    </row>
    <row r="1610" spans="102:110">
      <c r="CX1610" s="259">
        <f t="shared" ca="1" si="1497"/>
        <v>90</v>
      </c>
      <c r="CY1610" s="259" t="str">
        <f t="shared" ca="1" si="1487"/>
        <v>MASTRO</v>
      </c>
      <c r="CZ1610" s="259" t="e">
        <f t="shared" ca="1" si="1499"/>
        <v>#N/A</v>
      </c>
      <c r="DA1610" s="259" t="str">
        <f t="shared" ca="1" si="1504"/>
        <v/>
      </c>
      <c r="DB1610" s="259" t="str">
        <f t="shared" ca="1" si="1500"/>
        <v/>
      </c>
      <c r="DC1610" s="259" t="str">
        <f t="shared" ca="1" si="1501"/>
        <v/>
      </c>
      <c r="DD1610" s="259" t="str">
        <f t="shared" ca="1" si="1502"/>
        <v/>
      </c>
      <c r="DE1610" s="259" t="str">
        <f t="shared" ca="1" si="1503"/>
        <v/>
      </c>
      <c r="DF1610" s="259">
        <f ca="1">IF(AND(CX1610=$DE$2,$DF$2&lt;&gt;0),0,IF(AND(DB1610&lt;&gt;"",OR(DB1609&lt;&gt;"",DB1611&lt;&gt;"")),MAX($DF$2:DF1609)+1,0))</f>
        <v>0</v>
      </c>
    </row>
    <row r="1611" spans="102:110">
      <c r="CX1611" s="259">
        <f t="shared" ca="1" si="1497"/>
        <v>90</v>
      </c>
      <c r="CY1611" s="259" t="str">
        <f t="shared" ca="1" si="1487"/>
        <v>MASTRO</v>
      </c>
      <c r="CZ1611" s="259" t="e">
        <f t="shared" ca="1" si="1499"/>
        <v>#N/A</v>
      </c>
      <c r="DA1611" s="259" t="str">
        <f t="shared" ca="1" si="1504"/>
        <v/>
      </c>
      <c r="DB1611" s="259" t="str">
        <f t="shared" ca="1" si="1500"/>
        <v/>
      </c>
      <c r="DC1611" s="259" t="str">
        <f t="shared" ca="1" si="1501"/>
        <v/>
      </c>
      <c r="DD1611" s="259" t="str">
        <f t="shared" ca="1" si="1502"/>
        <v/>
      </c>
      <c r="DE1611" s="259" t="str">
        <f t="shared" ca="1" si="1503"/>
        <v/>
      </c>
      <c r="DF1611" s="259">
        <f ca="1">IF(AND(CX1611=$DE$2,$DF$2&lt;&gt;0),0,IF(AND(DB1611&lt;&gt;"",OR(DB1610&lt;&gt;"",DB1612&lt;&gt;"")),MAX($DF$2:DF1610)+1,0))</f>
        <v>0</v>
      </c>
    </row>
    <row r="1612" spans="102:110">
      <c r="CX1612" s="259">
        <f t="shared" ca="1" si="1497"/>
        <v>90</v>
      </c>
      <c r="CY1612" s="259" t="str">
        <f t="shared" ca="1" si="1487"/>
        <v>MASTRO</v>
      </c>
      <c r="CZ1612" s="259" t="e">
        <f t="shared" ca="1" si="1499"/>
        <v>#N/A</v>
      </c>
      <c r="DA1612" s="259" t="str">
        <f t="shared" ca="1" si="1504"/>
        <v/>
      </c>
      <c r="DB1612" s="259" t="str">
        <f t="shared" ca="1" si="1500"/>
        <v/>
      </c>
      <c r="DC1612" s="259" t="str">
        <f t="shared" ca="1" si="1501"/>
        <v/>
      </c>
      <c r="DD1612" s="259" t="str">
        <f t="shared" ca="1" si="1502"/>
        <v/>
      </c>
      <c r="DE1612" s="259" t="str">
        <f t="shared" ca="1" si="1503"/>
        <v/>
      </c>
      <c r="DF1612" s="259">
        <f ca="1">IF(AND(CX1612=$DE$2,$DF$2&lt;&gt;0),0,IF(AND(DB1612&lt;&gt;"",OR(DB1611&lt;&gt;"",DB1613&lt;&gt;"")),MAX($DF$2:DF1611)+1,0))</f>
        <v>0</v>
      </c>
    </row>
    <row r="1613" spans="102:110">
      <c r="CX1613" s="259">
        <f t="shared" ca="1" si="1497"/>
        <v>90</v>
      </c>
      <c r="CY1613" s="259" t="str">
        <f t="shared" ca="1" si="1487"/>
        <v>MASTRO</v>
      </c>
      <c r="CZ1613" s="259" t="e">
        <f t="shared" ca="1" si="1499"/>
        <v>#N/A</v>
      </c>
      <c r="DA1613" s="259" t="str">
        <f t="shared" ca="1" si="1504"/>
        <v/>
      </c>
      <c r="DB1613" s="259" t="str">
        <f t="shared" ca="1" si="1500"/>
        <v/>
      </c>
      <c r="DC1613" s="259" t="str">
        <f t="shared" ca="1" si="1501"/>
        <v/>
      </c>
      <c r="DD1613" s="259" t="str">
        <f t="shared" ca="1" si="1502"/>
        <v/>
      </c>
      <c r="DE1613" s="259" t="str">
        <f t="shared" ca="1" si="1503"/>
        <v/>
      </c>
      <c r="DF1613" s="259">
        <f ca="1">IF(AND(CX1613=$DE$2,$DF$2&lt;&gt;0),0,IF(AND(DB1613&lt;&gt;"",OR(DB1612&lt;&gt;"",DB1614&lt;&gt;"")),MAX($DF$2:DF1612)+1,0))</f>
        <v>0</v>
      </c>
    </row>
    <row r="1614" spans="102:110">
      <c r="CX1614" s="259">
        <f t="shared" ca="1" si="1497"/>
        <v>90</v>
      </c>
      <c r="CY1614" s="259" t="str">
        <f t="shared" ca="1" si="1487"/>
        <v>MASTRO</v>
      </c>
      <c r="CZ1614" s="259" t="e">
        <f t="shared" ca="1" si="1499"/>
        <v>#N/A</v>
      </c>
      <c r="DA1614" s="259" t="str">
        <f t="shared" ca="1" si="1504"/>
        <v/>
      </c>
      <c r="DB1614" s="259" t="str">
        <f t="shared" ca="1" si="1500"/>
        <v/>
      </c>
      <c r="DC1614" s="259" t="str">
        <f t="shared" ca="1" si="1501"/>
        <v/>
      </c>
      <c r="DD1614" s="259" t="str">
        <f t="shared" ca="1" si="1502"/>
        <v/>
      </c>
      <c r="DE1614" s="259" t="str">
        <f t="shared" ca="1" si="1503"/>
        <v/>
      </c>
      <c r="DF1614" s="259">
        <f ca="1">IF(AND(CX1614=$DE$2,$DF$2&lt;&gt;0),0,IF(AND(DB1614&lt;&gt;"",OR(DB1613&lt;&gt;"",DB1615&lt;&gt;"")),MAX($DF$2:DF1613)+1,0))</f>
        <v>0</v>
      </c>
    </row>
    <row r="1615" spans="102:110">
      <c r="CX1615" s="259">
        <f t="shared" ca="1" si="1497"/>
        <v>90</v>
      </c>
      <c r="CY1615" s="259" t="str">
        <f t="shared" ca="1" si="1487"/>
        <v>MASTRO</v>
      </c>
      <c r="CZ1615" s="259" t="e">
        <f t="shared" ca="1" si="1499"/>
        <v>#N/A</v>
      </c>
      <c r="DA1615" s="259" t="str">
        <f t="shared" ca="1" si="1504"/>
        <v/>
      </c>
      <c r="DB1615" s="259" t="str">
        <f t="shared" ca="1" si="1500"/>
        <v/>
      </c>
      <c r="DC1615" s="259" t="str">
        <f t="shared" ca="1" si="1501"/>
        <v/>
      </c>
      <c r="DD1615" s="259" t="str">
        <f t="shared" ca="1" si="1502"/>
        <v/>
      </c>
      <c r="DE1615" s="259" t="str">
        <f t="shared" ca="1" si="1503"/>
        <v/>
      </c>
      <c r="DF1615" s="259">
        <f ca="1">IF(AND(CX1615=$DE$2,$DF$2&lt;&gt;0),0,IF(AND(DB1615&lt;&gt;"",OR(DB1614&lt;&gt;"",DB1616&lt;&gt;"")),MAX($DF$2:DF1614)+1,0))</f>
        <v>0</v>
      </c>
    </row>
    <row r="1616" spans="102:110">
      <c r="CX1616" s="259">
        <f t="shared" ca="1" si="1497"/>
        <v>90</v>
      </c>
      <c r="CY1616" s="259" t="str">
        <f t="shared" ca="1" si="1487"/>
        <v>MASTRO</v>
      </c>
      <c r="CZ1616" s="259" t="e">
        <f t="shared" ca="1" si="1499"/>
        <v>#N/A</v>
      </c>
      <c r="DA1616" s="259" t="str">
        <f t="shared" ca="1" si="1504"/>
        <v/>
      </c>
      <c r="DB1616" s="259" t="str">
        <f t="shared" ca="1" si="1500"/>
        <v/>
      </c>
      <c r="DC1616" s="259" t="str">
        <f t="shared" ca="1" si="1501"/>
        <v/>
      </c>
      <c r="DD1616" s="259" t="str">
        <f t="shared" ca="1" si="1502"/>
        <v/>
      </c>
      <c r="DE1616" s="259" t="str">
        <f t="shared" ca="1" si="1503"/>
        <v/>
      </c>
      <c r="DF1616" s="259">
        <f ca="1">IF(AND(CX1616=$DE$2,$DF$2&lt;&gt;0),0,IF(AND(DB1616&lt;&gt;"",OR(DB1615&lt;&gt;"",DB1617&lt;&gt;"")),MAX($DF$2:DF1615)+1,0))</f>
        <v>0</v>
      </c>
    </row>
    <row r="1617" spans="102:110">
      <c r="CX1617" s="259">
        <f t="shared" ca="1" si="1497"/>
        <v>90</v>
      </c>
      <c r="CY1617" s="259" t="str">
        <f t="shared" ca="1" si="1487"/>
        <v>MASTRO</v>
      </c>
      <c r="CZ1617" s="259" t="e">
        <f t="shared" ca="1" si="1499"/>
        <v>#N/A</v>
      </c>
      <c r="DA1617" s="259" t="str">
        <f t="shared" ca="1" si="1504"/>
        <v/>
      </c>
      <c r="DB1617" s="259" t="str">
        <f t="shared" ca="1" si="1500"/>
        <v/>
      </c>
      <c r="DC1617" s="259" t="str">
        <f t="shared" ca="1" si="1501"/>
        <v/>
      </c>
      <c r="DD1617" s="259" t="str">
        <f t="shared" ca="1" si="1502"/>
        <v/>
      </c>
      <c r="DE1617" s="259" t="str">
        <f t="shared" ca="1" si="1503"/>
        <v/>
      </c>
      <c r="DF1617" s="259">
        <f ca="1">IF(AND(CX1617=$DE$2,$DF$2&lt;&gt;0),0,IF(AND(DB1617&lt;&gt;"",OR(DB1616&lt;&gt;"",DB1618&lt;&gt;"")),MAX($DF$2:DF1616)+1,0))</f>
        <v>0</v>
      </c>
    </row>
    <row r="1618" spans="102:110">
      <c r="CX1618" s="259">
        <f t="shared" ca="1" si="1497"/>
        <v>90</v>
      </c>
      <c r="CY1618" s="259" t="str">
        <f t="shared" ca="1" si="1487"/>
        <v>MASTRO</v>
      </c>
      <c r="CZ1618" s="259" t="e">
        <f t="shared" ca="1" si="1499"/>
        <v>#N/A</v>
      </c>
      <c r="DA1618" s="259" t="str">
        <f t="shared" ca="1" si="1504"/>
        <v/>
      </c>
      <c r="DB1618" s="259" t="str">
        <f t="shared" ca="1" si="1500"/>
        <v/>
      </c>
      <c r="DC1618" s="259" t="str">
        <f t="shared" ca="1" si="1501"/>
        <v/>
      </c>
      <c r="DD1618" s="259" t="str">
        <f t="shared" ca="1" si="1502"/>
        <v/>
      </c>
      <c r="DE1618" s="259" t="str">
        <f t="shared" ca="1" si="1503"/>
        <v/>
      </c>
      <c r="DF1618" s="259">
        <f ca="1">IF(AND(CX1618=$DE$2,$DF$2&lt;&gt;0),0,IF(AND(DB1618&lt;&gt;"",OR(DB1617&lt;&gt;"",DB1619&lt;&gt;"")),MAX($DF$2:DF1617)+1,0))</f>
        <v>0</v>
      </c>
    </row>
    <row r="1619" spans="102:110">
      <c r="CX1619" s="259">
        <f t="shared" ca="1" si="1497"/>
        <v>90</v>
      </c>
      <c r="CY1619" s="259" t="str">
        <f t="shared" ca="1" si="1487"/>
        <v>MASTRO</v>
      </c>
      <c r="CZ1619" s="259" t="e">
        <f t="shared" ca="1" si="1499"/>
        <v>#N/A</v>
      </c>
      <c r="DA1619" s="259" t="str">
        <f t="shared" ca="1" si="1504"/>
        <v/>
      </c>
      <c r="DB1619" s="259" t="str">
        <f t="shared" ca="1" si="1500"/>
        <v/>
      </c>
      <c r="DC1619" s="259" t="str">
        <f t="shared" ca="1" si="1501"/>
        <v/>
      </c>
      <c r="DD1619" s="259" t="str">
        <f t="shared" ca="1" si="1502"/>
        <v/>
      </c>
      <c r="DE1619" s="259" t="str">
        <f t="shared" ca="1" si="1503"/>
        <v/>
      </c>
      <c r="DF1619" s="259">
        <f ca="1">IF(AND(CX1619=$DE$2,$DF$2&lt;&gt;0),0,IF(AND(DB1619&lt;&gt;"",OR(DB1618&lt;&gt;"",DB1620&lt;&gt;"")),MAX($DF$2:DF1618)+1,0))</f>
        <v>0</v>
      </c>
    </row>
    <row r="1620" spans="102:110">
      <c r="CX1620" s="259">
        <f t="shared" ca="1" si="1497"/>
        <v>90</v>
      </c>
      <c r="CY1620" s="259" t="str">
        <f t="shared" ref="CY1620:CY1653" ca="1" si="1505">IF(ISERROR(INDEX($CV$3:$CX$2300,MATCH(CX1620,$CW$3:$CW$2300,0),1)),"MASTRO",INDEX($CV$3:$CX$2300,MATCH(CX1620,$CW$3:$CW$2300,0),1))</f>
        <v>MASTRO</v>
      </c>
      <c r="CZ1620" s="259" t="e">
        <f t="shared" ca="1" si="1499"/>
        <v>#N/A</v>
      </c>
      <c r="DA1620" s="259" t="str">
        <f t="shared" ca="1" si="1504"/>
        <v/>
      </c>
      <c r="DB1620" s="259" t="str">
        <f t="shared" ca="1" si="1500"/>
        <v/>
      </c>
      <c r="DC1620" s="259" t="str">
        <f t="shared" ca="1" si="1501"/>
        <v/>
      </c>
      <c r="DD1620" s="259" t="str">
        <f t="shared" ca="1" si="1502"/>
        <v/>
      </c>
      <c r="DE1620" s="259" t="str">
        <f t="shared" ca="1" si="1503"/>
        <v/>
      </c>
      <c r="DF1620" s="259">
        <f ca="1">IF(AND(CX1620=$DE$2,$DF$2&lt;&gt;0),0,IF(AND(DB1620&lt;&gt;"",OR(DB1619&lt;&gt;"",DB1621&lt;&gt;"")),MAX($DF$2:DF1619)+1,0))</f>
        <v>0</v>
      </c>
    </row>
    <row r="1621" spans="102:110">
      <c r="CX1621" s="259">
        <f t="shared" ca="1" si="1497"/>
        <v>90</v>
      </c>
      <c r="CY1621" s="259" t="str">
        <f t="shared" ca="1" si="1505"/>
        <v>MASTRO</v>
      </c>
      <c r="CZ1621" s="259" t="e">
        <f t="shared" ca="1" si="1499"/>
        <v>#N/A</v>
      </c>
      <c r="DA1621" s="259" t="str">
        <f t="shared" ca="1" si="1504"/>
        <v/>
      </c>
      <c r="DB1621" s="259" t="str">
        <f t="shared" ca="1" si="1500"/>
        <v/>
      </c>
      <c r="DC1621" s="259" t="str">
        <f t="shared" ca="1" si="1501"/>
        <v/>
      </c>
      <c r="DD1621" s="259" t="str">
        <f t="shared" ca="1" si="1502"/>
        <v/>
      </c>
      <c r="DE1621" s="259" t="str">
        <f t="shared" ca="1" si="1503"/>
        <v/>
      </c>
      <c r="DF1621" s="259">
        <f ca="1">IF(AND(CX1621=$DE$2,$DF$2&lt;&gt;0),0,IF(AND(DB1621&lt;&gt;"",OR(DB1620&lt;&gt;"",DB1622&lt;&gt;"")),MAX($DF$2:DF1620)+1,0))</f>
        <v>0</v>
      </c>
    </row>
    <row r="1622" spans="102:110">
      <c r="CX1622" s="259" t="str">
        <f>IFERROR(IF(CX1604+1=1,"",(CX1604+1)),"")</f>
        <v/>
      </c>
      <c r="CY1622" s="259" t="str">
        <f t="shared" ca="1" si="1505"/>
        <v>MASTRO</v>
      </c>
      <c r="DB1622" s="259" t="str">
        <f t="shared" ref="DB1622" ca="1" si="1506">CY1622</f>
        <v>MASTRO</v>
      </c>
      <c r="DF1622" s="259">
        <f ca="1">IF(AND(CX1622=$DE$2,$DF$2&lt;&gt;0),0,IF(AND(DB1622&lt;&gt;"",OR(DB1621&lt;&gt;"",DB1623&lt;&gt;"")),MAX($DF$2:DF1621)+1,0))</f>
        <v>0</v>
      </c>
    </row>
    <row r="1623" spans="102:110">
      <c r="CX1623" s="259">
        <f ca="1">$EA$93</f>
        <v>91</v>
      </c>
      <c r="CY1623" s="259" t="str">
        <f t="shared" ca="1" si="1505"/>
        <v>MASTRO</v>
      </c>
      <c r="DA1623" s="259" t="str">
        <f ca="1">IF(CY1622="MASTRO","Conto n.","")</f>
        <v>Conto n.</v>
      </c>
      <c r="DB1623" s="259" t="str">
        <f ca="1">IF(CY1623=0,"",INDEX(PIANO_DEI_CONTI,MATCH(DC1623,DENOMINAZIONE,0),1))</f>
        <v/>
      </c>
      <c r="DC1623" s="259" t="str">
        <f ca="1">IF(OR(CY1623=0,CY1623="mastro"),"",CY1623)</f>
        <v/>
      </c>
      <c r="DD1623" s="259" t="str">
        <f ca="1">IF(AND($DA$2=TRUE,OR(INDEX(PIANO_DEI_CONTI,MATCH($DC1623,DENOMINAZIONE,0),4)="A",INDEX(PIANO_DEI_CONTI,MATCH($DC1623,DENOMINAZIONE,0),4)="D/A"),SUMIFS(AVERE,DENOMINAZIONE_GIORNALE,"="&amp;$DC1623)&gt;SUMIFS(DARE,DENOMINAZIONE_GIORNALE,"="&amp;$DC1623)),CONCATENATE("s ",FIXED(ABS(SUMIFS(AVERE,DENOMINAZIONE_GIORNALE,"="&amp;$DC1623)-SUMIFS(DARE,DENOMINAZIONE_GIORNALE,"="&amp;$DC1623)),2)),"")</f>
        <v/>
      </c>
      <c r="DE1623" s="259" t="str">
        <f ca="1">IF(AND($DA$2=TRUE,OR(INDEX(PIANO_DEI_CONTI,MATCH($DC1623,DENOMINAZIONE,0),4)="D",INDEX(PIANO_DEI_CONTI,MATCH($DC1623,DENOMINAZIONE,0),4)="D/A"),SUMIFS(DARE,DENOMINAZIONE_GIORNALE,"="&amp;$DC1623)&gt;SUMIFS(AVERE,DENOMINAZIONE_GIORNALE,"="&amp;$DC1623)),CONCATENATE("s ",FIXED(ABS(SUMIFS(DARE,DENOMINAZIONE_GIORNALE,"="&amp;$DC1623)-SUMIFS(AVERE,DENOMINAZIONE_GIORNALE,"="&amp;$DC1623)),2)),"")</f>
        <v/>
      </c>
      <c r="DF1623" s="259">
        <f ca="1">IF(AND(CX1623=$DE$2,$DF$2&lt;&gt;0),0,IF(AND(DB1623&lt;&gt;"",OR(DB1622&lt;&gt;"",DB1624&lt;&gt;"")),MAX($DF$2:DF1622)+1,0))</f>
        <v>0</v>
      </c>
    </row>
    <row r="1624" spans="102:110">
      <c r="CX1624" s="259">
        <f t="shared" ref="CX1624:CX1639" ca="1" si="1507">$EA$93</f>
        <v>91</v>
      </c>
      <c r="CY1624" s="259" t="str">
        <f t="shared" ca="1" si="1505"/>
        <v>MASTRO</v>
      </c>
      <c r="DA1624" s="259" t="str">
        <f ca="1">IF(DB1623="","","Num. riga")</f>
        <v/>
      </c>
      <c r="DB1624" s="259" t="str">
        <f t="shared" ref="DB1624" ca="1" si="1508">IF(DB1623="","","Data")</f>
        <v/>
      </c>
      <c r="DC1624" s="259" t="str">
        <f ca="1">IF(DB1623="","","Operazioni")</f>
        <v/>
      </c>
      <c r="DD1624" s="259" t="str">
        <f ca="1">IF(DB1623="","","Dare        ")</f>
        <v/>
      </c>
      <c r="DE1624" s="259" t="str">
        <f ca="1">IF(DB1623="","","Avere        ")</f>
        <v/>
      </c>
      <c r="DF1624" s="259">
        <f ca="1">IF(AND(CX1624=$DE$2,$DF$2&lt;&gt;0),0,IF(AND(DB1624&lt;&gt;"",OR(DB1623&lt;&gt;"",DB1625&lt;&gt;"")),MAX($DF$2:DF1623)+1,0))</f>
        <v>0</v>
      </c>
    </row>
    <row r="1625" spans="102:110">
      <c r="CX1625" s="259">
        <f t="shared" ca="1" si="1507"/>
        <v>91</v>
      </c>
      <c r="CY1625" s="259" t="str">
        <f t="shared" ca="1" si="1505"/>
        <v>MASTRO</v>
      </c>
      <c r="CZ1625" s="259" t="e">
        <f t="shared" ref="CZ1625:CZ1639" ca="1" si="1509">SUM(MATCH($CY1625,INDIRECT(ADDRESS(SUM(CZ1624)+3,54)&amp;":"&amp;ADDRESS(400,54)),0),CZ1624)</f>
        <v>#N/A</v>
      </c>
      <c r="DA1625" s="259" t="str">
        <f ca="1">IFERROR(INDEX(LIBRO_GIORNALE,CZ1625,1),"")</f>
        <v/>
      </c>
      <c r="DB1625" s="259" t="str">
        <f t="shared" ref="DB1625:DB1639" ca="1" si="1510">IF(RIGHT(TEXT(IFERROR(INDEX(LIBRO_GIORNALE,CZ1625,2),""),"gg/mm/aa"),1)="a",TEXT(IFERROR(INDEX(LIBRO_GIORNALE,CZ1625,2),""),"dd/mm/yy"),TEXT(IFERROR(INDEX(LIBRO_GIORNALE,CZ1625,2),""),"gg/mm/aa"))</f>
        <v/>
      </c>
      <c r="DC1625" s="259" t="str">
        <f t="shared" ref="DC1625:DC1639" ca="1" si="1511">IF(IFERROR(INDEX(LIBRO_GIORNALE,CZ1625,4),"")=0,"manca la descrizione dell'operazione",IFERROR(INDEX(LIBRO_GIORNALE,CZ1625,4),""))</f>
        <v/>
      </c>
      <c r="DD1625" s="259" t="str">
        <f t="shared" ref="DD1625:DD1639" ca="1" si="1512">IFERROR(IF(INDEX(LIBRO_GIORNALE,CZ1625,5)&gt;0,INDEX(LIBRO_GIORNALE,CZ1625,5),""),"")</f>
        <v/>
      </c>
      <c r="DE1625" s="259" t="str">
        <f t="shared" ref="DE1625:DE1639" ca="1" si="1513">IFERROR(IF(INDEX(LIBRO_GIORNALE,CZ1625,6)&gt;0,INDEX(LIBRO_GIORNALE,CZ1625,6),""),"")</f>
        <v/>
      </c>
      <c r="DF1625" s="259">
        <f ca="1">IF(AND(CX1625=$DE$2,$DF$2&lt;&gt;0),0,IF(AND(DB1625&lt;&gt;"",OR(DB1624&lt;&gt;"",DB1626&lt;&gt;"")),MAX($DF$2:DF1624)+1,0))</f>
        <v>0</v>
      </c>
    </row>
    <row r="1626" spans="102:110">
      <c r="CX1626" s="259">
        <f t="shared" ca="1" si="1507"/>
        <v>91</v>
      </c>
      <c r="CY1626" s="259" t="str">
        <f t="shared" ca="1" si="1505"/>
        <v>MASTRO</v>
      </c>
      <c r="CZ1626" s="259" t="e">
        <f t="shared" ca="1" si="1509"/>
        <v>#N/A</v>
      </c>
      <c r="DA1626" s="259" t="str">
        <f t="shared" ref="DA1626:DA1639" ca="1" si="1514">IFERROR(INDEX(LIBRO_GIORNALE,CZ1626,1),"")</f>
        <v/>
      </c>
      <c r="DB1626" s="259" t="str">
        <f t="shared" ca="1" si="1510"/>
        <v/>
      </c>
      <c r="DC1626" s="259" t="str">
        <f t="shared" ca="1" si="1511"/>
        <v/>
      </c>
      <c r="DD1626" s="259" t="str">
        <f t="shared" ca="1" si="1512"/>
        <v/>
      </c>
      <c r="DE1626" s="259" t="str">
        <f t="shared" ca="1" si="1513"/>
        <v/>
      </c>
      <c r="DF1626" s="259">
        <f ca="1">IF(AND(CX1626=$DE$2,$DF$2&lt;&gt;0),0,IF(AND(DB1626&lt;&gt;"",OR(DB1625&lt;&gt;"",DB1627&lt;&gt;"")),MAX($DF$2:DF1625)+1,0))</f>
        <v>0</v>
      </c>
    </row>
    <row r="1627" spans="102:110">
      <c r="CX1627" s="259">
        <f t="shared" ca="1" si="1507"/>
        <v>91</v>
      </c>
      <c r="CY1627" s="259" t="str">
        <f t="shared" ca="1" si="1505"/>
        <v>MASTRO</v>
      </c>
      <c r="CZ1627" s="259" t="e">
        <f t="shared" ca="1" si="1509"/>
        <v>#N/A</v>
      </c>
      <c r="DA1627" s="259" t="str">
        <f t="shared" ca="1" si="1514"/>
        <v/>
      </c>
      <c r="DB1627" s="259" t="str">
        <f t="shared" ca="1" si="1510"/>
        <v/>
      </c>
      <c r="DC1627" s="259" t="str">
        <f t="shared" ca="1" si="1511"/>
        <v/>
      </c>
      <c r="DD1627" s="259" t="str">
        <f t="shared" ca="1" si="1512"/>
        <v/>
      </c>
      <c r="DE1627" s="259" t="str">
        <f t="shared" ca="1" si="1513"/>
        <v/>
      </c>
      <c r="DF1627" s="259">
        <f ca="1">IF(AND(CX1627=$DE$2,$DF$2&lt;&gt;0),0,IF(AND(DB1627&lt;&gt;"",OR(DB1626&lt;&gt;"",DB1628&lt;&gt;"")),MAX($DF$2:DF1626)+1,0))</f>
        <v>0</v>
      </c>
    </row>
    <row r="1628" spans="102:110">
      <c r="CX1628" s="259">
        <f t="shared" ca="1" si="1507"/>
        <v>91</v>
      </c>
      <c r="CY1628" s="259" t="str">
        <f t="shared" ca="1" si="1505"/>
        <v>MASTRO</v>
      </c>
      <c r="CZ1628" s="259" t="e">
        <f t="shared" ca="1" si="1509"/>
        <v>#N/A</v>
      </c>
      <c r="DA1628" s="259" t="str">
        <f t="shared" ca="1" si="1514"/>
        <v/>
      </c>
      <c r="DB1628" s="259" t="str">
        <f t="shared" ca="1" si="1510"/>
        <v/>
      </c>
      <c r="DC1628" s="259" t="str">
        <f t="shared" ca="1" si="1511"/>
        <v/>
      </c>
      <c r="DD1628" s="259" t="str">
        <f t="shared" ca="1" si="1512"/>
        <v/>
      </c>
      <c r="DE1628" s="259" t="str">
        <f t="shared" ca="1" si="1513"/>
        <v/>
      </c>
      <c r="DF1628" s="259">
        <f ca="1">IF(AND(CX1628=$DE$2,$DF$2&lt;&gt;0),0,IF(AND(DB1628&lt;&gt;"",OR(DB1627&lt;&gt;"",DB1629&lt;&gt;"")),MAX($DF$2:DF1627)+1,0))</f>
        <v>0</v>
      </c>
    </row>
    <row r="1629" spans="102:110">
      <c r="CX1629" s="259">
        <f t="shared" ca="1" si="1507"/>
        <v>91</v>
      </c>
      <c r="CY1629" s="259" t="str">
        <f t="shared" ca="1" si="1505"/>
        <v>MASTRO</v>
      </c>
      <c r="CZ1629" s="259" t="e">
        <f t="shared" ca="1" si="1509"/>
        <v>#N/A</v>
      </c>
      <c r="DA1629" s="259" t="str">
        <f t="shared" ca="1" si="1514"/>
        <v/>
      </c>
      <c r="DB1629" s="259" t="str">
        <f t="shared" ca="1" si="1510"/>
        <v/>
      </c>
      <c r="DC1629" s="259" t="str">
        <f t="shared" ca="1" si="1511"/>
        <v/>
      </c>
      <c r="DD1629" s="259" t="str">
        <f t="shared" ca="1" si="1512"/>
        <v/>
      </c>
      <c r="DE1629" s="259" t="str">
        <f t="shared" ca="1" si="1513"/>
        <v/>
      </c>
      <c r="DF1629" s="259">
        <f ca="1">IF(AND(CX1629=$DE$2,$DF$2&lt;&gt;0),0,IF(AND(DB1629&lt;&gt;"",OR(DB1628&lt;&gt;"",DB1630&lt;&gt;"")),MAX($DF$2:DF1628)+1,0))</f>
        <v>0</v>
      </c>
    </row>
    <row r="1630" spans="102:110">
      <c r="CX1630" s="259">
        <f t="shared" ca="1" si="1507"/>
        <v>91</v>
      </c>
      <c r="CY1630" s="259" t="str">
        <f t="shared" ca="1" si="1505"/>
        <v>MASTRO</v>
      </c>
      <c r="CZ1630" s="259" t="e">
        <f t="shared" ca="1" si="1509"/>
        <v>#N/A</v>
      </c>
      <c r="DA1630" s="259" t="str">
        <f t="shared" ca="1" si="1514"/>
        <v/>
      </c>
      <c r="DB1630" s="259" t="str">
        <f t="shared" ca="1" si="1510"/>
        <v/>
      </c>
      <c r="DC1630" s="259" t="str">
        <f t="shared" ca="1" si="1511"/>
        <v/>
      </c>
      <c r="DD1630" s="259" t="str">
        <f t="shared" ca="1" si="1512"/>
        <v/>
      </c>
      <c r="DE1630" s="259" t="str">
        <f t="shared" ca="1" si="1513"/>
        <v/>
      </c>
      <c r="DF1630" s="259">
        <f ca="1">IF(AND(CX1630=$DE$2,$DF$2&lt;&gt;0),0,IF(AND(DB1630&lt;&gt;"",OR(DB1629&lt;&gt;"",DB1631&lt;&gt;"")),MAX($DF$2:DF1629)+1,0))</f>
        <v>0</v>
      </c>
    </row>
    <row r="1631" spans="102:110">
      <c r="CX1631" s="259">
        <f t="shared" ca="1" si="1507"/>
        <v>91</v>
      </c>
      <c r="CY1631" s="259" t="str">
        <f t="shared" ca="1" si="1505"/>
        <v>MASTRO</v>
      </c>
      <c r="CZ1631" s="259" t="e">
        <f t="shared" ca="1" si="1509"/>
        <v>#N/A</v>
      </c>
      <c r="DA1631" s="259" t="str">
        <f t="shared" ca="1" si="1514"/>
        <v/>
      </c>
      <c r="DB1631" s="259" t="str">
        <f t="shared" ca="1" si="1510"/>
        <v/>
      </c>
      <c r="DC1631" s="259" t="str">
        <f t="shared" ca="1" si="1511"/>
        <v/>
      </c>
      <c r="DD1631" s="259" t="str">
        <f t="shared" ca="1" si="1512"/>
        <v/>
      </c>
      <c r="DE1631" s="259" t="str">
        <f t="shared" ca="1" si="1513"/>
        <v/>
      </c>
      <c r="DF1631" s="259">
        <f ca="1">IF(AND(CX1631=$DE$2,$DF$2&lt;&gt;0),0,IF(AND(DB1631&lt;&gt;"",OR(DB1630&lt;&gt;"",DB1632&lt;&gt;"")),MAX($DF$2:DF1630)+1,0))</f>
        <v>0</v>
      </c>
    </row>
    <row r="1632" spans="102:110">
      <c r="CX1632" s="259">
        <f t="shared" ca="1" si="1507"/>
        <v>91</v>
      </c>
      <c r="CY1632" s="259" t="str">
        <f t="shared" ca="1" si="1505"/>
        <v>MASTRO</v>
      </c>
      <c r="CZ1632" s="259" t="e">
        <f t="shared" ca="1" si="1509"/>
        <v>#N/A</v>
      </c>
      <c r="DA1632" s="259" t="str">
        <f t="shared" ca="1" si="1514"/>
        <v/>
      </c>
      <c r="DB1632" s="259" t="str">
        <f t="shared" ca="1" si="1510"/>
        <v/>
      </c>
      <c r="DC1632" s="259" t="str">
        <f t="shared" ca="1" si="1511"/>
        <v/>
      </c>
      <c r="DD1632" s="259" t="str">
        <f t="shared" ca="1" si="1512"/>
        <v/>
      </c>
      <c r="DE1632" s="259" t="str">
        <f t="shared" ca="1" si="1513"/>
        <v/>
      </c>
      <c r="DF1632" s="259">
        <f ca="1">IF(AND(CX1632=$DE$2,$DF$2&lt;&gt;0),0,IF(AND(DB1632&lt;&gt;"",OR(DB1631&lt;&gt;"",DB1633&lt;&gt;"")),MAX($DF$2:DF1631)+1,0))</f>
        <v>0</v>
      </c>
    </row>
    <row r="1633" spans="102:110">
      <c r="CX1633" s="259">
        <f t="shared" ca="1" si="1507"/>
        <v>91</v>
      </c>
      <c r="CY1633" s="259" t="str">
        <f t="shared" ca="1" si="1505"/>
        <v>MASTRO</v>
      </c>
      <c r="CZ1633" s="259" t="e">
        <f t="shared" ca="1" si="1509"/>
        <v>#N/A</v>
      </c>
      <c r="DA1633" s="259" t="str">
        <f t="shared" ca="1" si="1514"/>
        <v/>
      </c>
      <c r="DB1633" s="259" t="str">
        <f t="shared" ca="1" si="1510"/>
        <v/>
      </c>
      <c r="DC1633" s="259" t="str">
        <f t="shared" ca="1" si="1511"/>
        <v/>
      </c>
      <c r="DD1633" s="259" t="str">
        <f t="shared" ca="1" si="1512"/>
        <v/>
      </c>
      <c r="DE1633" s="259" t="str">
        <f t="shared" ca="1" si="1513"/>
        <v/>
      </c>
      <c r="DF1633" s="259">
        <f ca="1">IF(AND(CX1633=$DE$2,$DF$2&lt;&gt;0),0,IF(AND(DB1633&lt;&gt;"",OR(DB1632&lt;&gt;"",DB1634&lt;&gt;"")),MAX($DF$2:DF1632)+1,0))</f>
        <v>0</v>
      </c>
    </row>
    <row r="1634" spans="102:110">
      <c r="CX1634" s="259">
        <f t="shared" ca="1" si="1507"/>
        <v>91</v>
      </c>
      <c r="CY1634" s="259" t="str">
        <f t="shared" ca="1" si="1505"/>
        <v>MASTRO</v>
      </c>
      <c r="CZ1634" s="259" t="e">
        <f t="shared" ca="1" si="1509"/>
        <v>#N/A</v>
      </c>
      <c r="DA1634" s="259" t="str">
        <f t="shared" ca="1" si="1514"/>
        <v/>
      </c>
      <c r="DB1634" s="259" t="str">
        <f t="shared" ca="1" si="1510"/>
        <v/>
      </c>
      <c r="DC1634" s="259" t="str">
        <f t="shared" ca="1" si="1511"/>
        <v/>
      </c>
      <c r="DD1634" s="259" t="str">
        <f t="shared" ca="1" si="1512"/>
        <v/>
      </c>
      <c r="DE1634" s="259" t="str">
        <f t="shared" ca="1" si="1513"/>
        <v/>
      </c>
      <c r="DF1634" s="259">
        <f ca="1">IF(AND(CX1634=$DE$2,$DF$2&lt;&gt;0),0,IF(AND(DB1634&lt;&gt;"",OR(DB1633&lt;&gt;"",DB1635&lt;&gt;"")),MAX($DF$2:DF1633)+1,0))</f>
        <v>0</v>
      </c>
    </row>
    <row r="1635" spans="102:110">
      <c r="CX1635" s="259">
        <f t="shared" ca="1" si="1507"/>
        <v>91</v>
      </c>
      <c r="CY1635" s="259" t="str">
        <f t="shared" ca="1" si="1505"/>
        <v>MASTRO</v>
      </c>
      <c r="CZ1635" s="259" t="e">
        <f t="shared" ca="1" si="1509"/>
        <v>#N/A</v>
      </c>
      <c r="DA1635" s="259" t="str">
        <f t="shared" ca="1" si="1514"/>
        <v/>
      </c>
      <c r="DB1635" s="259" t="str">
        <f t="shared" ca="1" si="1510"/>
        <v/>
      </c>
      <c r="DC1635" s="259" t="str">
        <f t="shared" ca="1" si="1511"/>
        <v/>
      </c>
      <c r="DD1635" s="259" t="str">
        <f t="shared" ca="1" si="1512"/>
        <v/>
      </c>
      <c r="DE1635" s="259" t="str">
        <f t="shared" ca="1" si="1513"/>
        <v/>
      </c>
      <c r="DF1635" s="259">
        <f ca="1">IF(AND(CX1635=$DE$2,$DF$2&lt;&gt;0),0,IF(AND(DB1635&lt;&gt;"",OR(DB1634&lt;&gt;"",DB1636&lt;&gt;"")),MAX($DF$2:DF1634)+1,0))</f>
        <v>0</v>
      </c>
    </row>
    <row r="1636" spans="102:110">
      <c r="CX1636" s="259">
        <f t="shared" ca="1" si="1507"/>
        <v>91</v>
      </c>
      <c r="CY1636" s="259" t="str">
        <f t="shared" ca="1" si="1505"/>
        <v>MASTRO</v>
      </c>
      <c r="CZ1636" s="259" t="e">
        <f t="shared" ca="1" si="1509"/>
        <v>#N/A</v>
      </c>
      <c r="DA1636" s="259" t="str">
        <f t="shared" ca="1" si="1514"/>
        <v/>
      </c>
      <c r="DB1636" s="259" t="str">
        <f t="shared" ca="1" si="1510"/>
        <v/>
      </c>
      <c r="DC1636" s="259" t="str">
        <f t="shared" ca="1" si="1511"/>
        <v/>
      </c>
      <c r="DD1636" s="259" t="str">
        <f t="shared" ca="1" si="1512"/>
        <v/>
      </c>
      <c r="DE1636" s="259" t="str">
        <f t="shared" ca="1" si="1513"/>
        <v/>
      </c>
      <c r="DF1636" s="259">
        <f ca="1">IF(AND(CX1636=$DE$2,$DF$2&lt;&gt;0),0,IF(AND(DB1636&lt;&gt;"",OR(DB1635&lt;&gt;"",DB1637&lt;&gt;"")),MAX($DF$2:DF1635)+1,0))</f>
        <v>0</v>
      </c>
    </row>
    <row r="1637" spans="102:110">
      <c r="CX1637" s="259">
        <f t="shared" ca="1" si="1507"/>
        <v>91</v>
      </c>
      <c r="CY1637" s="259" t="str">
        <f t="shared" ca="1" si="1505"/>
        <v>MASTRO</v>
      </c>
      <c r="CZ1637" s="259" t="e">
        <f t="shared" ca="1" si="1509"/>
        <v>#N/A</v>
      </c>
      <c r="DA1637" s="259" t="str">
        <f t="shared" ca="1" si="1514"/>
        <v/>
      </c>
      <c r="DB1637" s="259" t="str">
        <f t="shared" ca="1" si="1510"/>
        <v/>
      </c>
      <c r="DC1637" s="259" t="str">
        <f t="shared" ca="1" si="1511"/>
        <v/>
      </c>
      <c r="DD1637" s="259" t="str">
        <f t="shared" ca="1" si="1512"/>
        <v/>
      </c>
      <c r="DE1637" s="259" t="str">
        <f t="shared" ca="1" si="1513"/>
        <v/>
      </c>
      <c r="DF1637" s="259">
        <f ca="1">IF(AND(CX1637=$DE$2,$DF$2&lt;&gt;0),0,IF(AND(DB1637&lt;&gt;"",OR(DB1636&lt;&gt;"",DB1638&lt;&gt;"")),MAX($DF$2:DF1636)+1,0))</f>
        <v>0</v>
      </c>
    </row>
    <row r="1638" spans="102:110">
      <c r="CX1638" s="259">
        <f t="shared" ca="1" si="1507"/>
        <v>91</v>
      </c>
      <c r="CY1638" s="259" t="str">
        <f t="shared" ca="1" si="1505"/>
        <v>MASTRO</v>
      </c>
      <c r="CZ1638" s="259" t="e">
        <f t="shared" ca="1" si="1509"/>
        <v>#N/A</v>
      </c>
      <c r="DA1638" s="259" t="str">
        <f t="shared" ca="1" si="1514"/>
        <v/>
      </c>
      <c r="DB1638" s="259" t="str">
        <f t="shared" ca="1" si="1510"/>
        <v/>
      </c>
      <c r="DC1638" s="259" t="str">
        <f t="shared" ca="1" si="1511"/>
        <v/>
      </c>
      <c r="DD1638" s="259" t="str">
        <f t="shared" ca="1" si="1512"/>
        <v/>
      </c>
      <c r="DE1638" s="259" t="str">
        <f t="shared" ca="1" si="1513"/>
        <v/>
      </c>
      <c r="DF1638" s="259">
        <f ca="1">IF(AND(CX1638=$DE$2,$DF$2&lt;&gt;0),0,IF(AND(DB1638&lt;&gt;"",OR(DB1637&lt;&gt;"",DB1639&lt;&gt;"")),MAX($DF$2:DF1637)+1,0))</f>
        <v>0</v>
      </c>
    </row>
    <row r="1639" spans="102:110">
      <c r="CX1639" s="259">
        <f t="shared" ca="1" si="1507"/>
        <v>91</v>
      </c>
      <c r="CY1639" s="259" t="str">
        <f t="shared" ca="1" si="1505"/>
        <v>MASTRO</v>
      </c>
      <c r="CZ1639" s="259" t="e">
        <f t="shared" ca="1" si="1509"/>
        <v>#N/A</v>
      </c>
      <c r="DA1639" s="259" t="str">
        <f t="shared" ca="1" si="1514"/>
        <v/>
      </c>
      <c r="DB1639" s="259" t="str">
        <f t="shared" ca="1" si="1510"/>
        <v/>
      </c>
      <c r="DC1639" s="259" t="str">
        <f t="shared" ca="1" si="1511"/>
        <v/>
      </c>
      <c r="DD1639" s="259" t="str">
        <f t="shared" ca="1" si="1512"/>
        <v/>
      </c>
      <c r="DE1639" s="259" t="str">
        <f t="shared" ca="1" si="1513"/>
        <v/>
      </c>
      <c r="DF1639" s="259">
        <f ca="1">IF(AND(CX1639=$DE$2,$DF$2&lt;&gt;0),0,IF(AND(DB1639&lt;&gt;"",OR(DB1638&lt;&gt;"",DB1640&lt;&gt;"")),MAX($DF$2:DF1638)+1,0))</f>
        <v>0</v>
      </c>
    </row>
    <row r="1640" spans="102:110">
      <c r="CX1640" s="259" t="str">
        <f>IFERROR(IF(CX1622+1=1,"",(CX1622+1)),"")</f>
        <v/>
      </c>
      <c r="CY1640" s="259" t="str">
        <f t="shared" ca="1" si="1505"/>
        <v>MASTRO</v>
      </c>
      <c r="DB1640" s="259" t="str">
        <f t="shared" ref="DB1640" ca="1" si="1515">CY1640</f>
        <v>MASTRO</v>
      </c>
      <c r="DF1640" s="259">
        <f ca="1">IF(AND(CX1640=$DE$2,$DF$2&lt;&gt;0),0,IF(AND(DB1640&lt;&gt;"",OR(DB1639&lt;&gt;"",DB1641&lt;&gt;"")),MAX($DF$2:DF1639)+1,0))</f>
        <v>0</v>
      </c>
    </row>
    <row r="1641" spans="102:110">
      <c r="CX1641" s="259">
        <f ca="1">$EA$94</f>
        <v>92</v>
      </c>
      <c r="CY1641" s="259" t="str">
        <f t="shared" ca="1" si="1505"/>
        <v>MASTRO</v>
      </c>
      <c r="DA1641" s="259" t="str">
        <f ca="1">IF(CY1640="MASTRO","Conto n.","")</f>
        <v>Conto n.</v>
      </c>
      <c r="DB1641" s="259" t="str">
        <f ca="1">IF(CY1641=0,"",INDEX(PIANO_DEI_CONTI,MATCH(DC1641,DENOMINAZIONE,0),1))</f>
        <v/>
      </c>
      <c r="DC1641" s="259" t="str">
        <f ca="1">IF(OR(CY1641=0,CY1641="mastro"),"",CY1641)</f>
        <v/>
      </c>
      <c r="DD1641" s="259" t="str">
        <f ca="1">IF(AND($DA$2=TRUE,OR(INDEX(PIANO_DEI_CONTI,MATCH($DC1641,DENOMINAZIONE,0),4)="A",INDEX(PIANO_DEI_CONTI,MATCH($DC1641,DENOMINAZIONE,0),4)="D/A"),SUMIFS(AVERE,DENOMINAZIONE_GIORNALE,"="&amp;$DC1641)&gt;SUMIFS(DARE,DENOMINAZIONE_GIORNALE,"="&amp;$DC1641)),CONCATENATE("s ",FIXED(ABS(SUMIFS(AVERE,DENOMINAZIONE_GIORNALE,"="&amp;$DC1641)-SUMIFS(DARE,DENOMINAZIONE_GIORNALE,"="&amp;$DC1641)),2)),"")</f>
        <v/>
      </c>
      <c r="DE1641" s="259" t="str">
        <f ca="1">IF(AND($DA$2=TRUE,OR(INDEX(PIANO_DEI_CONTI,MATCH($DC1641,DENOMINAZIONE,0),4)="D",INDEX(PIANO_DEI_CONTI,MATCH($DC1641,DENOMINAZIONE,0),4)="D/A"),SUMIFS(DARE,DENOMINAZIONE_GIORNALE,"="&amp;$DC1641)&gt;SUMIFS(AVERE,DENOMINAZIONE_GIORNALE,"="&amp;$DC1641)),CONCATENATE("s ",FIXED(ABS(SUMIFS(DARE,DENOMINAZIONE_GIORNALE,"="&amp;$DC1641)-SUMIFS(AVERE,DENOMINAZIONE_GIORNALE,"="&amp;$DC1641)),2)),"")</f>
        <v/>
      </c>
      <c r="DF1641" s="259">
        <f ca="1">IF(AND(CX1641=$DE$2,$DF$2&lt;&gt;0),0,IF(AND(DB1641&lt;&gt;"",OR(DB1640&lt;&gt;"",DB1642&lt;&gt;"")),MAX($DF$2:DF1640)+1,0))</f>
        <v>0</v>
      </c>
    </row>
    <row r="1642" spans="102:110">
      <c r="CX1642" s="259">
        <f t="shared" ref="CX1642:CX1657" ca="1" si="1516">$EA$94</f>
        <v>92</v>
      </c>
      <c r="CY1642" s="259" t="str">
        <f t="shared" ca="1" si="1505"/>
        <v>MASTRO</v>
      </c>
      <c r="DA1642" s="259" t="str">
        <f ca="1">IF(DB1641="","","Num. riga")</f>
        <v/>
      </c>
      <c r="DB1642" s="259" t="str">
        <f t="shared" ref="DB1642" ca="1" si="1517">IF(DB1641="","","Data")</f>
        <v/>
      </c>
      <c r="DC1642" s="259" t="str">
        <f ca="1">IF(DB1641="","","Operazioni")</f>
        <v/>
      </c>
      <c r="DD1642" s="259" t="str">
        <f ca="1">IF(DB1641="","","Dare        ")</f>
        <v/>
      </c>
      <c r="DE1642" s="259" t="str">
        <f ca="1">IF(DB1641="","","Avere        ")</f>
        <v/>
      </c>
      <c r="DF1642" s="259">
        <f ca="1">IF(AND(CX1642=$DE$2,$DF$2&lt;&gt;0),0,IF(AND(DB1642&lt;&gt;"",OR(DB1641&lt;&gt;"",DB1643&lt;&gt;"")),MAX($DF$2:DF1641)+1,0))</f>
        <v>0</v>
      </c>
    </row>
    <row r="1643" spans="102:110">
      <c r="CX1643" s="259">
        <f t="shared" ca="1" si="1516"/>
        <v>92</v>
      </c>
      <c r="CY1643" s="259" t="str">
        <f t="shared" ca="1" si="1505"/>
        <v>MASTRO</v>
      </c>
      <c r="CZ1643" s="259" t="e">
        <f t="shared" ref="CZ1643:CZ1657" ca="1" si="1518">SUM(MATCH($CY1643,INDIRECT(ADDRESS(SUM(CZ1642)+3,54)&amp;":"&amp;ADDRESS(400,54)),0),CZ1642)</f>
        <v>#N/A</v>
      </c>
      <c r="DA1643" s="259" t="str">
        <f ca="1">IFERROR(INDEX(LIBRO_GIORNALE,CZ1643,1),"")</f>
        <v/>
      </c>
      <c r="DB1643" s="259" t="str">
        <f t="shared" ref="DB1643:DB1657" ca="1" si="1519">IF(RIGHT(TEXT(IFERROR(INDEX(LIBRO_GIORNALE,CZ1643,2),""),"gg/mm/aa"),1)="a",TEXT(IFERROR(INDEX(LIBRO_GIORNALE,CZ1643,2),""),"dd/mm/yy"),TEXT(IFERROR(INDEX(LIBRO_GIORNALE,CZ1643,2),""),"gg/mm/aa"))</f>
        <v/>
      </c>
      <c r="DC1643" s="259" t="str">
        <f t="shared" ref="DC1643:DC1657" ca="1" si="1520">IF(IFERROR(INDEX(LIBRO_GIORNALE,CZ1643,4),"")=0,"manca la descrizione dell'operazione",IFERROR(INDEX(LIBRO_GIORNALE,CZ1643,4),""))</f>
        <v/>
      </c>
      <c r="DD1643" s="259" t="str">
        <f t="shared" ref="DD1643:DD1657" ca="1" si="1521">IFERROR(IF(INDEX(LIBRO_GIORNALE,CZ1643,5)&gt;0,INDEX(LIBRO_GIORNALE,CZ1643,5),""),"")</f>
        <v/>
      </c>
      <c r="DE1643" s="259" t="str">
        <f t="shared" ref="DE1643:DE1657" ca="1" si="1522">IFERROR(IF(INDEX(LIBRO_GIORNALE,CZ1643,6)&gt;0,INDEX(LIBRO_GIORNALE,CZ1643,6),""),"")</f>
        <v/>
      </c>
      <c r="DF1643" s="259">
        <f ca="1">IF(AND(CX1643=$DE$2,$DF$2&lt;&gt;0),0,IF(AND(DB1643&lt;&gt;"",OR(DB1642&lt;&gt;"",DB1644&lt;&gt;"")),MAX($DF$2:DF1642)+1,0))</f>
        <v>0</v>
      </c>
    </row>
    <row r="1644" spans="102:110">
      <c r="CX1644" s="259">
        <f t="shared" ca="1" si="1516"/>
        <v>92</v>
      </c>
      <c r="CY1644" s="259" t="str">
        <f t="shared" ca="1" si="1505"/>
        <v>MASTRO</v>
      </c>
      <c r="CZ1644" s="259" t="e">
        <f t="shared" ca="1" si="1518"/>
        <v>#N/A</v>
      </c>
      <c r="DA1644" s="259" t="str">
        <f t="shared" ref="DA1644:DA1657" ca="1" si="1523">IFERROR(INDEX(LIBRO_GIORNALE,CZ1644,1),"")</f>
        <v/>
      </c>
      <c r="DB1644" s="259" t="str">
        <f t="shared" ca="1" si="1519"/>
        <v/>
      </c>
      <c r="DC1644" s="259" t="str">
        <f t="shared" ca="1" si="1520"/>
        <v/>
      </c>
      <c r="DD1644" s="259" t="str">
        <f t="shared" ca="1" si="1521"/>
        <v/>
      </c>
      <c r="DE1644" s="259" t="str">
        <f t="shared" ca="1" si="1522"/>
        <v/>
      </c>
      <c r="DF1644" s="259">
        <f ca="1">IF(AND(CX1644=$DE$2,$DF$2&lt;&gt;0),0,IF(AND(DB1644&lt;&gt;"",OR(DB1643&lt;&gt;"",DB1645&lt;&gt;"")),MAX($DF$2:DF1643)+1,0))</f>
        <v>0</v>
      </c>
    </row>
    <row r="1645" spans="102:110">
      <c r="CX1645" s="259">
        <f t="shared" ca="1" si="1516"/>
        <v>92</v>
      </c>
      <c r="CY1645" s="259" t="str">
        <f t="shared" ca="1" si="1505"/>
        <v>MASTRO</v>
      </c>
      <c r="CZ1645" s="259" t="e">
        <f t="shared" ca="1" si="1518"/>
        <v>#N/A</v>
      </c>
      <c r="DA1645" s="259" t="str">
        <f t="shared" ca="1" si="1523"/>
        <v/>
      </c>
      <c r="DB1645" s="259" t="str">
        <f t="shared" ca="1" si="1519"/>
        <v/>
      </c>
      <c r="DC1645" s="259" t="str">
        <f t="shared" ca="1" si="1520"/>
        <v/>
      </c>
      <c r="DD1645" s="259" t="str">
        <f t="shared" ca="1" si="1521"/>
        <v/>
      </c>
      <c r="DE1645" s="259" t="str">
        <f t="shared" ca="1" si="1522"/>
        <v/>
      </c>
      <c r="DF1645" s="259">
        <f ca="1">IF(AND(CX1645=$DE$2,$DF$2&lt;&gt;0),0,IF(AND(DB1645&lt;&gt;"",OR(DB1644&lt;&gt;"",DB1646&lt;&gt;"")),MAX($DF$2:DF1644)+1,0))</f>
        <v>0</v>
      </c>
    </row>
    <row r="1646" spans="102:110">
      <c r="CX1646" s="259">
        <f t="shared" ca="1" si="1516"/>
        <v>92</v>
      </c>
      <c r="CY1646" s="259" t="str">
        <f t="shared" ca="1" si="1505"/>
        <v>MASTRO</v>
      </c>
      <c r="CZ1646" s="259" t="e">
        <f t="shared" ca="1" si="1518"/>
        <v>#N/A</v>
      </c>
      <c r="DA1646" s="259" t="str">
        <f t="shared" ca="1" si="1523"/>
        <v/>
      </c>
      <c r="DB1646" s="259" t="str">
        <f t="shared" ca="1" si="1519"/>
        <v/>
      </c>
      <c r="DC1646" s="259" t="str">
        <f t="shared" ca="1" si="1520"/>
        <v/>
      </c>
      <c r="DD1646" s="259" t="str">
        <f t="shared" ca="1" si="1521"/>
        <v/>
      </c>
      <c r="DE1646" s="259" t="str">
        <f t="shared" ca="1" si="1522"/>
        <v/>
      </c>
      <c r="DF1646" s="259">
        <f ca="1">IF(AND(CX1646=$DE$2,$DF$2&lt;&gt;0),0,IF(AND(DB1646&lt;&gt;"",OR(DB1645&lt;&gt;"",DB1647&lt;&gt;"")),MAX($DF$2:DF1645)+1,0))</f>
        <v>0</v>
      </c>
    </row>
    <row r="1647" spans="102:110">
      <c r="CX1647" s="259">
        <f t="shared" ca="1" si="1516"/>
        <v>92</v>
      </c>
      <c r="CY1647" s="259" t="str">
        <f t="shared" ca="1" si="1505"/>
        <v>MASTRO</v>
      </c>
      <c r="CZ1647" s="259" t="e">
        <f t="shared" ca="1" si="1518"/>
        <v>#N/A</v>
      </c>
      <c r="DA1647" s="259" t="str">
        <f t="shared" ca="1" si="1523"/>
        <v/>
      </c>
      <c r="DB1647" s="259" t="str">
        <f t="shared" ca="1" si="1519"/>
        <v/>
      </c>
      <c r="DC1647" s="259" t="str">
        <f t="shared" ca="1" si="1520"/>
        <v/>
      </c>
      <c r="DD1647" s="259" t="str">
        <f t="shared" ca="1" si="1521"/>
        <v/>
      </c>
      <c r="DE1647" s="259" t="str">
        <f t="shared" ca="1" si="1522"/>
        <v/>
      </c>
      <c r="DF1647" s="259">
        <f ca="1">IF(AND(CX1647=$DE$2,$DF$2&lt;&gt;0),0,IF(AND(DB1647&lt;&gt;"",OR(DB1646&lt;&gt;"",DB1648&lt;&gt;"")),MAX($DF$2:DF1646)+1,0))</f>
        <v>0</v>
      </c>
    </row>
    <row r="1648" spans="102:110">
      <c r="CX1648" s="259">
        <f t="shared" ca="1" si="1516"/>
        <v>92</v>
      </c>
      <c r="CY1648" s="259" t="str">
        <f t="shared" ca="1" si="1505"/>
        <v>MASTRO</v>
      </c>
      <c r="CZ1648" s="259" t="e">
        <f t="shared" ca="1" si="1518"/>
        <v>#N/A</v>
      </c>
      <c r="DA1648" s="259" t="str">
        <f t="shared" ca="1" si="1523"/>
        <v/>
      </c>
      <c r="DB1648" s="259" t="str">
        <f t="shared" ca="1" si="1519"/>
        <v/>
      </c>
      <c r="DC1648" s="259" t="str">
        <f t="shared" ca="1" si="1520"/>
        <v/>
      </c>
      <c r="DD1648" s="259" t="str">
        <f t="shared" ca="1" si="1521"/>
        <v/>
      </c>
      <c r="DE1648" s="259" t="str">
        <f t="shared" ca="1" si="1522"/>
        <v/>
      </c>
      <c r="DF1648" s="259">
        <f ca="1">IF(AND(CX1648=$DE$2,$DF$2&lt;&gt;0),0,IF(AND(DB1648&lt;&gt;"",OR(DB1647&lt;&gt;"",DB1649&lt;&gt;"")),MAX($DF$2:DF1647)+1,0))</f>
        <v>0</v>
      </c>
    </row>
    <row r="1649" spans="102:110">
      <c r="CX1649" s="259">
        <f t="shared" ca="1" si="1516"/>
        <v>92</v>
      </c>
      <c r="CY1649" s="259" t="str">
        <f t="shared" ca="1" si="1505"/>
        <v>MASTRO</v>
      </c>
      <c r="CZ1649" s="259" t="e">
        <f t="shared" ca="1" si="1518"/>
        <v>#N/A</v>
      </c>
      <c r="DA1649" s="259" t="str">
        <f t="shared" ca="1" si="1523"/>
        <v/>
      </c>
      <c r="DB1649" s="259" t="str">
        <f t="shared" ca="1" si="1519"/>
        <v/>
      </c>
      <c r="DC1649" s="259" t="str">
        <f t="shared" ca="1" si="1520"/>
        <v/>
      </c>
      <c r="DD1649" s="259" t="str">
        <f t="shared" ca="1" si="1521"/>
        <v/>
      </c>
      <c r="DE1649" s="259" t="str">
        <f t="shared" ca="1" si="1522"/>
        <v/>
      </c>
      <c r="DF1649" s="259">
        <f ca="1">IF(AND(CX1649=$DE$2,$DF$2&lt;&gt;0),0,IF(AND(DB1649&lt;&gt;"",OR(DB1648&lt;&gt;"",DB1650&lt;&gt;"")),MAX($DF$2:DF1648)+1,0))</f>
        <v>0</v>
      </c>
    </row>
    <row r="1650" spans="102:110">
      <c r="CX1650" s="259">
        <f t="shared" ca="1" si="1516"/>
        <v>92</v>
      </c>
      <c r="CY1650" s="259" t="str">
        <f t="shared" ca="1" si="1505"/>
        <v>MASTRO</v>
      </c>
      <c r="CZ1650" s="259" t="e">
        <f t="shared" ca="1" si="1518"/>
        <v>#N/A</v>
      </c>
      <c r="DA1650" s="259" t="str">
        <f t="shared" ca="1" si="1523"/>
        <v/>
      </c>
      <c r="DB1650" s="259" t="str">
        <f t="shared" ca="1" si="1519"/>
        <v/>
      </c>
      <c r="DC1650" s="259" t="str">
        <f t="shared" ca="1" si="1520"/>
        <v/>
      </c>
      <c r="DD1650" s="259" t="str">
        <f t="shared" ca="1" si="1521"/>
        <v/>
      </c>
      <c r="DE1650" s="259" t="str">
        <f t="shared" ca="1" si="1522"/>
        <v/>
      </c>
      <c r="DF1650" s="259">
        <f ca="1">IF(AND(CX1650=$DE$2,$DF$2&lt;&gt;0),0,IF(AND(DB1650&lt;&gt;"",OR(DB1649&lt;&gt;"",DB1651&lt;&gt;"")),MAX($DF$2:DF1649)+1,0))</f>
        <v>0</v>
      </c>
    </row>
    <row r="1651" spans="102:110">
      <c r="CX1651" s="259">
        <f t="shared" ca="1" si="1516"/>
        <v>92</v>
      </c>
      <c r="CY1651" s="259" t="str">
        <f t="shared" ca="1" si="1505"/>
        <v>MASTRO</v>
      </c>
      <c r="CZ1651" s="259" t="e">
        <f t="shared" ca="1" si="1518"/>
        <v>#N/A</v>
      </c>
      <c r="DA1651" s="259" t="str">
        <f t="shared" ca="1" si="1523"/>
        <v/>
      </c>
      <c r="DB1651" s="259" t="str">
        <f t="shared" ca="1" si="1519"/>
        <v/>
      </c>
      <c r="DC1651" s="259" t="str">
        <f t="shared" ca="1" si="1520"/>
        <v/>
      </c>
      <c r="DD1651" s="259" t="str">
        <f t="shared" ca="1" si="1521"/>
        <v/>
      </c>
      <c r="DE1651" s="259" t="str">
        <f t="shared" ca="1" si="1522"/>
        <v/>
      </c>
      <c r="DF1651" s="259">
        <f ca="1">IF(AND(CX1651=$DE$2,$DF$2&lt;&gt;0),0,IF(AND(DB1651&lt;&gt;"",OR(DB1650&lt;&gt;"",DB1652&lt;&gt;"")),MAX($DF$2:DF1650)+1,0))</f>
        <v>0</v>
      </c>
    </row>
    <row r="1652" spans="102:110">
      <c r="CX1652" s="259">
        <f t="shared" ca="1" si="1516"/>
        <v>92</v>
      </c>
      <c r="CY1652" s="259" t="str">
        <f t="shared" ca="1" si="1505"/>
        <v>MASTRO</v>
      </c>
      <c r="CZ1652" s="259" t="e">
        <f t="shared" ca="1" si="1518"/>
        <v>#N/A</v>
      </c>
      <c r="DA1652" s="259" t="str">
        <f t="shared" ca="1" si="1523"/>
        <v/>
      </c>
      <c r="DB1652" s="259" t="str">
        <f t="shared" ca="1" si="1519"/>
        <v/>
      </c>
      <c r="DC1652" s="259" t="str">
        <f t="shared" ca="1" si="1520"/>
        <v/>
      </c>
      <c r="DD1652" s="259" t="str">
        <f t="shared" ca="1" si="1521"/>
        <v/>
      </c>
      <c r="DE1652" s="259" t="str">
        <f t="shared" ca="1" si="1522"/>
        <v/>
      </c>
      <c r="DF1652" s="259">
        <f ca="1">IF(AND(CX1652=$DE$2,$DF$2&lt;&gt;0),0,IF(AND(DB1652&lt;&gt;"",OR(DB1651&lt;&gt;"",DB1653&lt;&gt;"")),MAX($DF$2:DF1651)+1,0))</f>
        <v>0</v>
      </c>
    </row>
    <row r="1653" spans="102:110">
      <c r="CX1653" s="259">
        <f t="shared" ca="1" si="1516"/>
        <v>92</v>
      </c>
      <c r="CY1653" s="259" t="str">
        <f t="shared" ca="1" si="1505"/>
        <v>MASTRO</v>
      </c>
      <c r="CZ1653" s="259" t="e">
        <f t="shared" ca="1" si="1518"/>
        <v>#N/A</v>
      </c>
      <c r="DA1653" s="259" t="str">
        <f t="shared" ca="1" si="1523"/>
        <v/>
      </c>
      <c r="DB1653" s="259" t="str">
        <f t="shared" ca="1" si="1519"/>
        <v/>
      </c>
      <c r="DC1653" s="259" t="str">
        <f t="shared" ca="1" si="1520"/>
        <v/>
      </c>
      <c r="DD1653" s="259" t="str">
        <f t="shared" ca="1" si="1521"/>
        <v/>
      </c>
      <c r="DE1653" s="259" t="str">
        <f t="shared" ca="1" si="1522"/>
        <v/>
      </c>
      <c r="DF1653" s="259">
        <f ca="1">IF(AND(CX1653=$DE$2,$DF$2&lt;&gt;0),0,IF(AND(DB1653&lt;&gt;"",OR(DB1652&lt;&gt;"",DB1654&lt;&gt;"")),MAX($DF$2:DF1652)+1,0))</f>
        <v>0</v>
      </c>
    </row>
    <row r="1654" spans="102:110">
      <c r="CX1654" s="259">
        <f t="shared" ca="1" si="1516"/>
        <v>92</v>
      </c>
      <c r="CY1654" s="259" t="str">
        <f t="shared" ref="CY1654:CY1687" ca="1" si="1524">IF(ISERROR(INDEX($CV$3:$CX$2300,MATCH(CX1654,$CW$3:$CW$2300,0),1)),"MASTRO",INDEX($CV$3:$CX$2300,MATCH(CX1654,$CW$3:$CW$2300,0),1))</f>
        <v>MASTRO</v>
      </c>
      <c r="CZ1654" s="259" t="e">
        <f t="shared" ca="1" si="1518"/>
        <v>#N/A</v>
      </c>
      <c r="DA1654" s="259" t="str">
        <f t="shared" ca="1" si="1523"/>
        <v/>
      </c>
      <c r="DB1654" s="259" t="str">
        <f t="shared" ca="1" si="1519"/>
        <v/>
      </c>
      <c r="DC1654" s="259" t="str">
        <f t="shared" ca="1" si="1520"/>
        <v/>
      </c>
      <c r="DD1654" s="259" t="str">
        <f t="shared" ca="1" si="1521"/>
        <v/>
      </c>
      <c r="DE1654" s="259" t="str">
        <f t="shared" ca="1" si="1522"/>
        <v/>
      </c>
      <c r="DF1654" s="259">
        <f ca="1">IF(AND(CX1654=$DE$2,$DF$2&lt;&gt;0),0,IF(AND(DB1654&lt;&gt;"",OR(DB1653&lt;&gt;"",DB1655&lt;&gt;"")),MAX($DF$2:DF1653)+1,0))</f>
        <v>0</v>
      </c>
    </row>
    <row r="1655" spans="102:110">
      <c r="CX1655" s="259">
        <f t="shared" ca="1" si="1516"/>
        <v>92</v>
      </c>
      <c r="CY1655" s="259" t="str">
        <f t="shared" ca="1" si="1524"/>
        <v>MASTRO</v>
      </c>
      <c r="CZ1655" s="259" t="e">
        <f t="shared" ca="1" si="1518"/>
        <v>#N/A</v>
      </c>
      <c r="DA1655" s="259" t="str">
        <f t="shared" ca="1" si="1523"/>
        <v/>
      </c>
      <c r="DB1655" s="259" t="str">
        <f t="shared" ca="1" si="1519"/>
        <v/>
      </c>
      <c r="DC1655" s="259" t="str">
        <f t="shared" ca="1" si="1520"/>
        <v/>
      </c>
      <c r="DD1655" s="259" t="str">
        <f t="shared" ca="1" si="1521"/>
        <v/>
      </c>
      <c r="DE1655" s="259" t="str">
        <f t="shared" ca="1" si="1522"/>
        <v/>
      </c>
      <c r="DF1655" s="259">
        <f ca="1">IF(AND(CX1655=$DE$2,$DF$2&lt;&gt;0),0,IF(AND(DB1655&lt;&gt;"",OR(DB1654&lt;&gt;"",DB1656&lt;&gt;"")),MAX($DF$2:DF1654)+1,0))</f>
        <v>0</v>
      </c>
    </row>
    <row r="1656" spans="102:110">
      <c r="CX1656" s="259">
        <f t="shared" ca="1" si="1516"/>
        <v>92</v>
      </c>
      <c r="CY1656" s="259" t="str">
        <f t="shared" ca="1" si="1524"/>
        <v>MASTRO</v>
      </c>
      <c r="CZ1656" s="259" t="e">
        <f t="shared" ca="1" si="1518"/>
        <v>#N/A</v>
      </c>
      <c r="DA1656" s="259" t="str">
        <f t="shared" ca="1" si="1523"/>
        <v/>
      </c>
      <c r="DB1656" s="259" t="str">
        <f t="shared" ca="1" si="1519"/>
        <v/>
      </c>
      <c r="DC1656" s="259" t="str">
        <f t="shared" ca="1" si="1520"/>
        <v/>
      </c>
      <c r="DD1656" s="259" t="str">
        <f t="shared" ca="1" si="1521"/>
        <v/>
      </c>
      <c r="DE1656" s="259" t="str">
        <f t="shared" ca="1" si="1522"/>
        <v/>
      </c>
      <c r="DF1656" s="259">
        <f ca="1">IF(AND(CX1656=$DE$2,$DF$2&lt;&gt;0),0,IF(AND(DB1656&lt;&gt;"",OR(DB1655&lt;&gt;"",DB1657&lt;&gt;"")),MAX($DF$2:DF1655)+1,0))</f>
        <v>0</v>
      </c>
    </row>
    <row r="1657" spans="102:110">
      <c r="CX1657" s="259">
        <f t="shared" ca="1" si="1516"/>
        <v>92</v>
      </c>
      <c r="CY1657" s="259" t="str">
        <f t="shared" ca="1" si="1524"/>
        <v>MASTRO</v>
      </c>
      <c r="CZ1657" s="259" t="e">
        <f t="shared" ca="1" si="1518"/>
        <v>#N/A</v>
      </c>
      <c r="DA1657" s="259" t="str">
        <f t="shared" ca="1" si="1523"/>
        <v/>
      </c>
      <c r="DB1657" s="259" t="str">
        <f t="shared" ca="1" si="1519"/>
        <v/>
      </c>
      <c r="DC1657" s="259" t="str">
        <f t="shared" ca="1" si="1520"/>
        <v/>
      </c>
      <c r="DD1657" s="259" t="str">
        <f t="shared" ca="1" si="1521"/>
        <v/>
      </c>
      <c r="DE1657" s="259" t="str">
        <f t="shared" ca="1" si="1522"/>
        <v/>
      </c>
      <c r="DF1657" s="259">
        <f ca="1">IF(AND(CX1657=$DE$2,$DF$2&lt;&gt;0),0,IF(AND(DB1657&lt;&gt;"",OR(DB1656&lt;&gt;"",DB1658&lt;&gt;"")),MAX($DF$2:DF1656)+1,0))</f>
        <v>0</v>
      </c>
    </row>
    <row r="1658" spans="102:110">
      <c r="CX1658" s="259" t="str">
        <f>IFERROR(IF(CX1640+1=1,"",(CX1640+1)),"")</f>
        <v/>
      </c>
      <c r="CY1658" s="259" t="str">
        <f t="shared" ca="1" si="1524"/>
        <v>MASTRO</v>
      </c>
      <c r="DB1658" s="259" t="str">
        <f t="shared" ref="DB1658" ca="1" si="1525">CY1658</f>
        <v>MASTRO</v>
      </c>
      <c r="DF1658" s="259">
        <f ca="1">IF(AND(CX1658=$DE$2,$DF$2&lt;&gt;0),0,IF(AND(DB1658&lt;&gt;"",OR(DB1657&lt;&gt;"",DB1659&lt;&gt;"")),MAX($DF$2:DF1657)+1,0))</f>
        <v>0</v>
      </c>
    </row>
    <row r="1659" spans="102:110">
      <c r="CX1659" s="259">
        <f ca="1">$EA$95</f>
        <v>93</v>
      </c>
      <c r="CY1659" s="259" t="str">
        <f t="shared" ca="1" si="1524"/>
        <v>MASTRO</v>
      </c>
      <c r="DA1659" s="259" t="str">
        <f ca="1">IF(CY1658="MASTRO","Conto n.","")</f>
        <v>Conto n.</v>
      </c>
      <c r="DB1659" s="259" t="str">
        <f ca="1">IF(CY1659=0,"",INDEX(PIANO_DEI_CONTI,MATCH(DC1659,DENOMINAZIONE,0),1))</f>
        <v/>
      </c>
      <c r="DC1659" s="259" t="str">
        <f ca="1">IF(OR(CY1659=0,CY1659="mastro"),"",CY1659)</f>
        <v/>
      </c>
      <c r="DD1659" s="259" t="str">
        <f ca="1">IF(AND($DA$2=TRUE,OR(INDEX(PIANO_DEI_CONTI,MATCH($DC1659,DENOMINAZIONE,0),4)="A",INDEX(PIANO_DEI_CONTI,MATCH($DC1659,DENOMINAZIONE,0),4)="D/A"),SUMIFS(AVERE,DENOMINAZIONE_GIORNALE,"="&amp;$DC1659)&gt;SUMIFS(DARE,DENOMINAZIONE_GIORNALE,"="&amp;$DC1659)),CONCATENATE("s ",FIXED(ABS(SUMIFS(AVERE,DENOMINAZIONE_GIORNALE,"="&amp;$DC1659)-SUMIFS(DARE,DENOMINAZIONE_GIORNALE,"="&amp;$DC1659)),2)),"")</f>
        <v/>
      </c>
      <c r="DE1659" s="259" t="str">
        <f ca="1">IF(AND($DA$2=TRUE,OR(INDEX(PIANO_DEI_CONTI,MATCH($DC1659,DENOMINAZIONE,0),4)="D",INDEX(PIANO_DEI_CONTI,MATCH($DC1659,DENOMINAZIONE,0),4)="D/A"),SUMIFS(DARE,DENOMINAZIONE_GIORNALE,"="&amp;$DC1659)&gt;SUMIFS(AVERE,DENOMINAZIONE_GIORNALE,"="&amp;$DC1659)),CONCATENATE("s ",FIXED(ABS(SUMIFS(DARE,DENOMINAZIONE_GIORNALE,"="&amp;$DC1659)-SUMIFS(AVERE,DENOMINAZIONE_GIORNALE,"="&amp;$DC1659)),2)),"")</f>
        <v/>
      </c>
      <c r="DF1659" s="259">
        <f ca="1">IF(AND(CX1659=$DE$2,$DF$2&lt;&gt;0),0,IF(AND(DB1659&lt;&gt;"",OR(DB1658&lt;&gt;"",DB1660&lt;&gt;"")),MAX($DF$2:DF1658)+1,0))</f>
        <v>0</v>
      </c>
    </row>
    <row r="1660" spans="102:110">
      <c r="CX1660" s="259">
        <f t="shared" ref="CX1660:CX1675" ca="1" si="1526">$EA$95</f>
        <v>93</v>
      </c>
      <c r="CY1660" s="259" t="str">
        <f t="shared" ca="1" si="1524"/>
        <v>MASTRO</v>
      </c>
      <c r="DA1660" s="259" t="str">
        <f ca="1">IF(DB1659="","","Num. riga")</f>
        <v/>
      </c>
      <c r="DB1660" s="259" t="str">
        <f t="shared" ref="DB1660" ca="1" si="1527">IF(DB1659="","","Data")</f>
        <v/>
      </c>
      <c r="DC1660" s="259" t="str">
        <f ca="1">IF(DB1659="","","Operazioni")</f>
        <v/>
      </c>
      <c r="DD1660" s="259" t="str">
        <f ca="1">IF(DB1659="","","Dare        ")</f>
        <v/>
      </c>
      <c r="DE1660" s="259" t="str">
        <f ca="1">IF(DB1659="","","Avere        ")</f>
        <v/>
      </c>
      <c r="DF1660" s="259">
        <f ca="1">IF(AND(CX1660=$DE$2,$DF$2&lt;&gt;0),0,IF(AND(DB1660&lt;&gt;"",OR(DB1659&lt;&gt;"",DB1661&lt;&gt;"")),MAX($DF$2:DF1659)+1,0))</f>
        <v>0</v>
      </c>
    </row>
    <row r="1661" spans="102:110">
      <c r="CX1661" s="259">
        <f t="shared" ca="1" si="1526"/>
        <v>93</v>
      </c>
      <c r="CY1661" s="259" t="str">
        <f t="shared" ca="1" si="1524"/>
        <v>MASTRO</v>
      </c>
      <c r="CZ1661" s="259" t="e">
        <f t="shared" ref="CZ1661:CZ1675" ca="1" si="1528">SUM(MATCH($CY1661,INDIRECT(ADDRESS(SUM(CZ1660)+3,54)&amp;":"&amp;ADDRESS(400,54)),0),CZ1660)</f>
        <v>#N/A</v>
      </c>
      <c r="DA1661" s="259" t="str">
        <f ca="1">IFERROR(INDEX(LIBRO_GIORNALE,CZ1661,1),"")</f>
        <v/>
      </c>
      <c r="DB1661" s="259" t="str">
        <f t="shared" ref="DB1661:DB1675" ca="1" si="1529">IF(RIGHT(TEXT(IFERROR(INDEX(LIBRO_GIORNALE,CZ1661,2),""),"gg/mm/aa"),1)="a",TEXT(IFERROR(INDEX(LIBRO_GIORNALE,CZ1661,2),""),"dd/mm/yy"),TEXT(IFERROR(INDEX(LIBRO_GIORNALE,CZ1661,2),""),"gg/mm/aa"))</f>
        <v/>
      </c>
      <c r="DC1661" s="259" t="str">
        <f t="shared" ref="DC1661:DC1675" ca="1" si="1530">IF(IFERROR(INDEX(LIBRO_GIORNALE,CZ1661,4),"")=0,"manca la descrizione dell'operazione",IFERROR(INDEX(LIBRO_GIORNALE,CZ1661,4),""))</f>
        <v/>
      </c>
      <c r="DD1661" s="259" t="str">
        <f t="shared" ref="DD1661:DD1675" ca="1" si="1531">IFERROR(IF(INDEX(LIBRO_GIORNALE,CZ1661,5)&gt;0,INDEX(LIBRO_GIORNALE,CZ1661,5),""),"")</f>
        <v/>
      </c>
      <c r="DE1661" s="259" t="str">
        <f t="shared" ref="DE1661:DE1675" ca="1" si="1532">IFERROR(IF(INDEX(LIBRO_GIORNALE,CZ1661,6)&gt;0,INDEX(LIBRO_GIORNALE,CZ1661,6),""),"")</f>
        <v/>
      </c>
      <c r="DF1661" s="259">
        <f ca="1">IF(AND(CX1661=$DE$2,$DF$2&lt;&gt;0),0,IF(AND(DB1661&lt;&gt;"",OR(DB1660&lt;&gt;"",DB1662&lt;&gt;"")),MAX($DF$2:DF1660)+1,0))</f>
        <v>0</v>
      </c>
    </row>
    <row r="1662" spans="102:110">
      <c r="CX1662" s="259">
        <f t="shared" ca="1" si="1526"/>
        <v>93</v>
      </c>
      <c r="CY1662" s="259" t="str">
        <f t="shared" ca="1" si="1524"/>
        <v>MASTRO</v>
      </c>
      <c r="CZ1662" s="259" t="e">
        <f t="shared" ca="1" si="1528"/>
        <v>#N/A</v>
      </c>
      <c r="DA1662" s="259" t="str">
        <f t="shared" ref="DA1662:DA1675" ca="1" si="1533">IFERROR(INDEX(LIBRO_GIORNALE,CZ1662,1),"")</f>
        <v/>
      </c>
      <c r="DB1662" s="259" t="str">
        <f t="shared" ca="1" si="1529"/>
        <v/>
      </c>
      <c r="DC1662" s="259" t="str">
        <f t="shared" ca="1" si="1530"/>
        <v/>
      </c>
      <c r="DD1662" s="259" t="str">
        <f t="shared" ca="1" si="1531"/>
        <v/>
      </c>
      <c r="DE1662" s="259" t="str">
        <f t="shared" ca="1" si="1532"/>
        <v/>
      </c>
      <c r="DF1662" s="259">
        <f ca="1">IF(AND(CX1662=$DE$2,$DF$2&lt;&gt;0),0,IF(AND(DB1662&lt;&gt;"",OR(DB1661&lt;&gt;"",DB1663&lt;&gt;"")),MAX($DF$2:DF1661)+1,0))</f>
        <v>0</v>
      </c>
    </row>
    <row r="1663" spans="102:110">
      <c r="CX1663" s="259">
        <f t="shared" ca="1" si="1526"/>
        <v>93</v>
      </c>
      <c r="CY1663" s="259" t="str">
        <f t="shared" ca="1" si="1524"/>
        <v>MASTRO</v>
      </c>
      <c r="CZ1663" s="259" t="e">
        <f t="shared" ca="1" si="1528"/>
        <v>#N/A</v>
      </c>
      <c r="DA1663" s="259" t="str">
        <f t="shared" ca="1" si="1533"/>
        <v/>
      </c>
      <c r="DB1663" s="259" t="str">
        <f t="shared" ca="1" si="1529"/>
        <v/>
      </c>
      <c r="DC1663" s="259" t="str">
        <f t="shared" ca="1" si="1530"/>
        <v/>
      </c>
      <c r="DD1663" s="259" t="str">
        <f t="shared" ca="1" si="1531"/>
        <v/>
      </c>
      <c r="DE1663" s="259" t="str">
        <f t="shared" ca="1" si="1532"/>
        <v/>
      </c>
      <c r="DF1663" s="259">
        <f ca="1">IF(AND(CX1663=$DE$2,$DF$2&lt;&gt;0),0,IF(AND(DB1663&lt;&gt;"",OR(DB1662&lt;&gt;"",DB1664&lt;&gt;"")),MAX($DF$2:DF1662)+1,0))</f>
        <v>0</v>
      </c>
    </row>
    <row r="1664" spans="102:110">
      <c r="CX1664" s="259">
        <f t="shared" ca="1" si="1526"/>
        <v>93</v>
      </c>
      <c r="CY1664" s="259" t="str">
        <f t="shared" ca="1" si="1524"/>
        <v>MASTRO</v>
      </c>
      <c r="CZ1664" s="259" t="e">
        <f t="shared" ca="1" si="1528"/>
        <v>#N/A</v>
      </c>
      <c r="DA1664" s="259" t="str">
        <f t="shared" ca="1" si="1533"/>
        <v/>
      </c>
      <c r="DB1664" s="259" t="str">
        <f t="shared" ca="1" si="1529"/>
        <v/>
      </c>
      <c r="DC1664" s="259" t="str">
        <f t="shared" ca="1" si="1530"/>
        <v/>
      </c>
      <c r="DD1664" s="259" t="str">
        <f t="shared" ca="1" si="1531"/>
        <v/>
      </c>
      <c r="DE1664" s="259" t="str">
        <f t="shared" ca="1" si="1532"/>
        <v/>
      </c>
      <c r="DF1664" s="259">
        <f ca="1">IF(AND(CX1664=$DE$2,$DF$2&lt;&gt;0),0,IF(AND(DB1664&lt;&gt;"",OR(DB1663&lt;&gt;"",DB1665&lt;&gt;"")),MAX($DF$2:DF1663)+1,0))</f>
        <v>0</v>
      </c>
    </row>
    <row r="1665" spans="102:110">
      <c r="CX1665" s="259">
        <f t="shared" ca="1" si="1526"/>
        <v>93</v>
      </c>
      <c r="CY1665" s="259" t="str">
        <f t="shared" ca="1" si="1524"/>
        <v>MASTRO</v>
      </c>
      <c r="CZ1665" s="259" t="e">
        <f t="shared" ca="1" si="1528"/>
        <v>#N/A</v>
      </c>
      <c r="DA1665" s="259" t="str">
        <f t="shared" ca="1" si="1533"/>
        <v/>
      </c>
      <c r="DB1665" s="259" t="str">
        <f t="shared" ca="1" si="1529"/>
        <v/>
      </c>
      <c r="DC1665" s="259" t="str">
        <f t="shared" ca="1" si="1530"/>
        <v/>
      </c>
      <c r="DD1665" s="259" t="str">
        <f t="shared" ca="1" si="1531"/>
        <v/>
      </c>
      <c r="DE1665" s="259" t="str">
        <f t="shared" ca="1" si="1532"/>
        <v/>
      </c>
      <c r="DF1665" s="259">
        <f ca="1">IF(AND(CX1665=$DE$2,$DF$2&lt;&gt;0),0,IF(AND(DB1665&lt;&gt;"",OR(DB1664&lt;&gt;"",DB1666&lt;&gt;"")),MAX($DF$2:DF1664)+1,0))</f>
        <v>0</v>
      </c>
    </row>
    <row r="1666" spans="102:110">
      <c r="CX1666" s="259">
        <f t="shared" ca="1" si="1526"/>
        <v>93</v>
      </c>
      <c r="CY1666" s="259" t="str">
        <f t="shared" ca="1" si="1524"/>
        <v>MASTRO</v>
      </c>
      <c r="CZ1666" s="259" t="e">
        <f t="shared" ca="1" si="1528"/>
        <v>#N/A</v>
      </c>
      <c r="DA1666" s="259" t="str">
        <f t="shared" ca="1" si="1533"/>
        <v/>
      </c>
      <c r="DB1666" s="259" t="str">
        <f t="shared" ca="1" si="1529"/>
        <v/>
      </c>
      <c r="DC1666" s="259" t="str">
        <f t="shared" ca="1" si="1530"/>
        <v/>
      </c>
      <c r="DD1666" s="259" t="str">
        <f t="shared" ca="1" si="1531"/>
        <v/>
      </c>
      <c r="DE1666" s="259" t="str">
        <f t="shared" ca="1" si="1532"/>
        <v/>
      </c>
      <c r="DF1666" s="259">
        <f ca="1">IF(AND(CX1666=$DE$2,$DF$2&lt;&gt;0),0,IF(AND(DB1666&lt;&gt;"",OR(DB1665&lt;&gt;"",DB1667&lt;&gt;"")),MAX($DF$2:DF1665)+1,0))</f>
        <v>0</v>
      </c>
    </row>
    <row r="1667" spans="102:110">
      <c r="CX1667" s="259">
        <f t="shared" ca="1" si="1526"/>
        <v>93</v>
      </c>
      <c r="CY1667" s="259" t="str">
        <f t="shared" ca="1" si="1524"/>
        <v>MASTRO</v>
      </c>
      <c r="CZ1667" s="259" t="e">
        <f t="shared" ca="1" si="1528"/>
        <v>#N/A</v>
      </c>
      <c r="DA1667" s="259" t="str">
        <f t="shared" ca="1" si="1533"/>
        <v/>
      </c>
      <c r="DB1667" s="259" t="str">
        <f t="shared" ca="1" si="1529"/>
        <v/>
      </c>
      <c r="DC1667" s="259" t="str">
        <f t="shared" ca="1" si="1530"/>
        <v/>
      </c>
      <c r="DD1667" s="259" t="str">
        <f t="shared" ca="1" si="1531"/>
        <v/>
      </c>
      <c r="DE1667" s="259" t="str">
        <f t="shared" ca="1" si="1532"/>
        <v/>
      </c>
      <c r="DF1667" s="259">
        <f ca="1">IF(AND(CX1667=$DE$2,$DF$2&lt;&gt;0),0,IF(AND(DB1667&lt;&gt;"",OR(DB1666&lt;&gt;"",DB1668&lt;&gt;"")),MAX($DF$2:DF1666)+1,0))</f>
        <v>0</v>
      </c>
    </row>
    <row r="1668" spans="102:110">
      <c r="CX1668" s="259">
        <f t="shared" ca="1" si="1526"/>
        <v>93</v>
      </c>
      <c r="CY1668" s="259" t="str">
        <f t="shared" ca="1" si="1524"/>
        <v>MASTRO</v>
      </c>
      <c r="CZ1668" s="259" t="e">
        <f t="shared" ca="1" si="1528"/>
        <v>#N/A</v>
      </c>
      <c r="DA1668" s="259" t="str">
        <f t="shared" ca="1" si="1533"/>
        <v/>
      </c>
      <c r="DB1668" s="259" t="str">
        <f t="shared" ca="1" si="1529"/>
        <v/>
      </c>
      <c r="DC1668" s="259" t="str">
        <f t="shared" ca="1" si="1530"/>
        <v/>
      </c>
      <c r="DD1668" s="259" t="str">
        <f t="shared" ca="1" si="1531"/>
        <v/>
      </c>
      <c r="DE1668" s="259" t="str">
        <f t="shared" ca="1" si="1532"/>
        <v/>
      </c>
      <c r="DF1668" s="259">
        <f ca="1">IF(AND(CX1668=$DE$2,$DF$2&lt;&gt;0),0,IF(AND(DB1668&lt;&gt;"",OR(DB1667&lt;&gt;"",DB1669&lt;&gt;"")),MAX($DF$2:DF1667)+1,0))</f>
        <v>0</v>
      </c>
    </row>
    <row r="1669" spans="102:110">
      <c r="CX1669" s="259">
        <f t="shared" ca="1" si="1526"/>
        <v>93</v>
      </c>
      <c r="CY1669" s="259" t="str">
        <f t="shared" ca="1" si="1524"/>
        <v>MASTRO</v>
      </c>
      <c r="CZ1669" s="259" t="e">
        <f t="shared" ca="1" si="1528"/>
        <v>#N/A</v>
      </c>
      <c r="DA1669" s="259" t="str">
        <f t="shared" ca="1" si="1533"/>
        <v/>
      </c>
      <c r="DB1669" s="259" t="str">
        <f t="shared" ca="1" si="1529"/>
        <v/>
      </c>
      <c r="DC1669" s="259" t="str">
        <f t="shared" ca="1" si="1530"/>
        <v/>
      </c>
      <c r="DD1669" s="259" t="str">
        <f t="shared" ca="1" si="1531"/>
        <v/>
      </c>
      <c r="DE1669" s="259" t="str">
        <f t="shared" ca="1" si="1532"/>
        <v/>
      </c>
      <c r="DF1669" s="259">
        <f ca="1">IF(AND(CX1669=$DE$2,$DF$2&lt;&gt;0),0,IF(AND(DB1669&lt;&gt;"",OR(DB1668&lt;&gt;"",DB1670&lt;&gt;"")),MAX($DF$2:DF1668)+1,0))</f>
        <v>0</v>
      </c>
    </row>
    <row r="1670" spans="102:110">
      <c r="CX1670" s="259">
        <f t="shared" ca="1" si="1526"/>
        <v>93</v>
      </c>
      <c r="CY1670" s="259" t="str">
        <f t="shared" ca="1" si="1524"/>
        <v>MASTRO</v>
      </c>
      <c r="CZ1670" s="259" t="e">
        <f t="shared" ca="1" si="1528"/>
        <v>#N/A</v>
      </c>
      <c r="DA1670" s="259" t="str">
        <f t="shared" ca="1" si="1533"/>
        <v/>
      </c>
      <c r="DB1670" s="259" t="str">
        <f t="shared" ca="1" si="1529"/>
        <v/>
      </c>
      <c r="DC1670" s="259" t="str">
        <f t="shared" ca="1" si="1530"/>
        <v/>
      </c>
      <c r="DD1670" s="259" t="str">
        <f t="shared" ca="1" si="1531"/>
        <v/>
      </c>
      <c r="DE1670" s="259" t="str">
        <f t="shared" ca="1" si="1532"/>
        <v/>
      </c>
      <c r="DF1670" s="259">
        <f ca="1">IF(AND(CX1670=$DE$2,$DF$2&lt;&gt;0),0,IF(AND(DB1670&lt;&gt;"",OR(DB1669&lt;&gt;"",DB1671&lt;&gt;"")),MAX($DF$2:DF1669)+1,0))</f>
        <v>0</v>
      </c>
    </row>
    <row r="1671" spans="102:110">
      <c r="CX1671" s="259">
        <f t="shared" ca="1" si="1526"/>
        <v>93</v>
      </c>
      <c r="CY1671" s="259" t="str">
        <f t="shared" ca="1" si="1524"/>
        <v>MASTRO</v>
      </c>
      <c r="CZ1671" s="259" t="e">
        <f t="shared" ca="1" si="1528"/>
        <v>#N/A</v>
      </c>
      <c r="DA1671" s="259" t="str">
        <f t="shared" ca="1" si="1533"/>
        <v/>
      </c>
      <c r="DB1671" s="259" t="str">
        <f t="shared" ca="1" si="1529"/>
        <v/>
      </c>
      <c r="DC1671" s="259" t="str">
        <f t="shared" ca="1" si="1530"/>
        <v/>
      </c>
      <c r="DD1671" s="259" t="str">
        <f t="shared" ca="1" si="1531"/>
        <v/>
      </c>
      <c r="DE1671" s="259" t="str">
        <f t="shared" ca="1" si="1532"/>
        <v/>
      </c>
      <c r="DF1671" s="259">
        <f ca="1">IF(AND(CX1671=$DE$2,$DF$2&lt;&gt;0),0,IF(AND(DB1671&lt;&gt;"",OR(DB1670&lt;&gt;"",DB1672&lt;&gt;"")),MAX($DF$2:DF1670)+1,0))</f>
        <v>0</v>
      </c>
    </row>
    <row r="1672" spans="102:110">
      <c r="CX1672" s="259">
        <f t="shared" ca="1" si="1526"/>
        <v>93</v>
      </c>
      <c r="CY1672" s="259" t="str">
        <f t="shared" ca="1" si="1524"/>
        <v>MASTRO</v>
      </c>
      <c r="CZ1672" s="259" t="e">
        <f t="shared" ca="1" si="1528"/>
        <v>#N/A</v>
      </c>
      <c r="DA1672" s="259" t="str">
        <f t="shared" ca="1" si="1533"/>
        <v/>
      </c>
      <c r="DB1672" s="259" t="str">
        <f t="shared" ca="1" si="1529"/>
        <v/>
      </c>
      <c r="DC1672" s="259" t="str">
        <f t="shared" ca="1" si="1530"/>
        <v/>
      </c>
      <c r="DD1672" s="259" t="str">
        <f t="shared" ca="1" si="1531"/>
        <v/>
      </c>
      <c r="DE1672" s="259" t="str">
        <f t="shared" ca="1" si="1532"/>
        <v/>
      </c>
      <c r="DF1672" s="259">
        <f ca="1">IF(AND(CX1672=$DE$2,$DF$2&lt;&gt;0),0,IF(AND(DB1672&lt;&gt;"",OR(DB1671&lt;&gt;"",DB1673&lt;&gt;"")),MAX($DF$2:DF1671)+1,0))</f>
        <v>0</v>
      </c>
    </row>
    <row r="1673" spans="102:110">
      <c r="CX1673" s="259">
        <f t="shared" ca="1" si="1526"/>
        <v>93</v>
      </c>
      <c r="CY1673" s="259" t="str">
        <f t="shared" ca="1" si="1524"/>
        <v>MASTRO</v>
      </c>
      <c r="CZ1673" s="259" t="e">
        <f t="shared" ca="1" si="1528"/>
        <v>#N/A</v>
      </c>
      <c r="DA1673" s="259" t="str">
        <f t="shared" ca="1" si="1533"/>
        <v/>
      </c>
      <c r="DB1673" s="259" t="str">
        <f t="shared" ca="1" si="1529"/>
        <v/>
      </c>
      <c r="DC1673" s="259" t="str">
        <f t="shared" ca="1" si="1530"/>
        <v/>
      </c>
      <c r="DD1673" s="259" t="str">
        <f t="shared" ca="1" si="1531"/>
        <v/>
      </c>
      <c r="DE1673" s="259" t="str">
        <f t="shared" ca="1" si="1532"/>
        <v/>
      </c>
      <c r="DF1673" s="259">
        <f ca="1">IF(AND(CX1673=$DE$2,$DF$2&lt;&gt;0),0,IF(AND(DB1673&lt;&gt;"",OR(DB1672&lt;&gt;"",DB1674&lt;&gt;"")),MAX($DF$2:DF1672)+1,0))</f>
        <v>0</v>
      </c>
    </row>
    <row r="1674" spans="102:110">
      <c r="CX1674" s="259">
        <f t="shared" ca="1" si="1526"/>
        <v>93</v>
      </c>
      <c r="CY1674" s="259" t="str">
        <f t="shared" ca="1" si="1524"/>
        <v>MASTRO</v>
      </c>
      <c r="CZ1674" s="259" t="e">
        <f t="shared" ca="1" si="1528"/>
        <v>#N/A</v>
      </c>
      <c r="DA1674" s="259" t="str">
        <f t="shared" ca="1" si="1533"/>
        <v/>
      </c>
      <c r="DB1674" s="259" t="str">
        <f t="shared" ca="1" si="1529"/>
        <v/>
      </c>
      <c r="DC1674" s="259" t="str">
        <f t="shared" ca="1" si="1530"/>
        <v/>
      </c>
      <c r="DD1674" s="259" t="str">
        <f t="shared" ca="1" si="1531"/>
        <v/>
      </c>
      <c r="DE1674" s="259" t="str">
        <f t="shared" ca="1" si="1532"/>
        <v/>
      </c>
      <c r="DF1674" s="259">
        <f ca="1">IF(AND(CX1674=$DE$2,$DF$2&lt;&gt;0),0,IF(AND(DB1674&lt;&gt;"",OR(DB1673&lt;&gt;"",DB1675&lt;&gt;"")),MAX($DF$2:DF1673)+1,0))</f>
        <v>0</v>
      </c>
    </row>
    <row r="1675" spans="102:110">
      <c r="CX1675" s="259">
        <f t="shared" ca="1" si="1526"/>
        <v>93</v>
      </c>
      <c r="CY1675" s="259" t="str">
        <f t="shared" ca="1" si="1524"/>
        <v>MASTRO</v>
      </c>
      <c r="CZ1675" s="259" t="e">
        <f t="shared" ca="1" si="1528"/>
        <v>#N/A</v>
      </c>
      <c r="DA1675" s="259" t="str">
        <f t="shared" ca="1" si="1533"/>
        <v/>
      </c>
      <c r="DB1675" s="259" t="str">
        <f t="shared" ca="1" si="1529"/>
        <v/>
      </c>
      <c r="DC1675" s="259" t="str">
        <f t="shared" ca="1" si="1530"/>
        <v/>
      </c>
      <c r="DD1675" s="259" t="str">
        <f t="shared" ca="1" si="1531"/>
        <v/>
      </c>
      <c r="DE1675" s="259" t="str">
        <f t="shared" ca="1" si="1532"/>
        <v/>
      </c>
      <c r="DF1675" s="259">
        <f ca="1">IF(AND(CX1675=$DE$2,$DF$2&lt;&gt;0),0,IF(AND(DB1675&lt;&gt;"",OR(DB1674&lt;&gt;"",DB1676&lt;&gt;"")),MAX($DF$2:DF1674)+1,0))</f>
        <v>0</v>
      </c>
    </row>
    <row r="1676" spans="102:110">
      <c r="CX1676" s="259" t="str">
        <f>IFERROR(IF(CX1658+1=1,"",(CX1658+1)),"")</f>
        <v/>
      </c>
      <c r="CY1676" s="259" t="str">
        <f t="shared" ca="1" si="1524"/>
        <v>MASTRO</v>
      </c>
      <c r="DB1676" s="259" t="str">
        <f t="shared" ref="DB1676" ca="1" si="1534">CY1676</f>
        <v>MASTRO</v>
      </c>
      <c r="DF1676" s="259">
        <f ca="1">IF(AND(CX1676=$DE$2,$DF$2&lt;&gt;0),0,IF(AND(DB1676&lt;&gt;"",OR(DB1675&lt;&gt;"",DB1677&lt;&gt;"")),MAX($DF$2:DF1675)+1,0))</f>
        <v>0</v>
      </c>
    </row>
    <row r="1677" spans="102:110">
      <c r="CX1677" s="259">
        <f ca="1">$EA$96</f>
        <v>94</v>
      </c>
      <c r="CY1677" s="259" t="str">
        <f t="shared" ca="1" si="1524"/>
        <v>MASTRO</v>
      </c>
      <c r="DA1677" s="259" t="str">
        <f ca="1">IF(CY1676="MASTRO","Conto n.","")</f>
        <v>Conto n.</v>
      </c>
      <c r="DB1677" s="259" t="str">
        <f ca="1">IF(CY1677=0,"",INDEX(PIANO_DEI_CONTI,MATCH(DC1677,DENOMINAZIONE,0),1))</f>
        <v/>
      </c>
      <c r="DC1677" s="259" t="str">
        <f ca="1">IF(OR(CY1677=0,CY1677="mastro"),"",CY1677)</f>
        <v/>
      </c>
      <c r="DD1677" s="259" t="str">
        <f ca="1">IF(AND($DA$2=TRUE,OR(INDEX(PIANO_DEI_CONTI,MATCH($DC1677,DENOMINAZIONE,0),4)="A",INDEX(PIANO_DEI_CONTI,MATCH($DC1677,DENOMINAZIONE,0),4)="D/A"),SUMIFS(AVERE,DENOMINAZIONE_GIORNALE,"="&amp;$DC1677)&gt;SUMIFS(DARE,DENOMINAZIONE_GIORNALE,"="&amp;$DC1677)),CONCATENATE("s ",FIXED(ABS(SUMIFS(AVERE,DENOMINAZIONE_GIORNALE,"="&amp;$DC1677)-SUMIFS(DARE,DENOMINAZIONE_GIORNALE,"="&amp;$DC1677)),2)),"")</f>
        <v/>
      </c>
      <c r="DE1677" s="259" t="str">
        <f ca="1">IF(AND($DA$2=TRUE,OR(INDEX(PIANO_DEI_CONTI,MATCH($DC1677,DENOMINAZIONE,0),4)="D",INDEX(PIANO_DEI_CONTI,MATCH($DC1677,DENOMINAZIONE,0),4)="D/A"),SUMIFS(DARE,DENOMINAZIONE_GIORNALE,"="&amp;$DC1677)&gt;SUMIFS(AVERE,DENOMINAZIONE_GIORNALE,"="&amp;$DC1677)),CONCATENATE("s ",FIXED(ABS(SUMIFS(DARE,DENOMINAZIONE_GIORNALE,"="&amp;$DC1677)-SUMIFS(AVERE,DENOMINAZIONE_GIORNALE,"="&amp;$DC1677)),2)),"")</f>
        <v/>
      </c>
      <c r="DF1677" s="259">
        <f ca="1">IF(AND(CX1677=$DE$2,$DF$2&lt;&gt;0),0,IF(AND(DB1677&lt;&gt;"",OR(DB1676&lt;&gt;"",DB1678&lt;&gt;"")),MAX($DF$2:DF1676)+1,0))</f>
        <v>0</v>
      </c>
    </row>
    <row r="1678" spans="102:110">
      <c r="CX1678" s="259">
        <f t="shared" ref="CX1678:CX1693" ca="1" si="1535">$EA$96</f>
        <v>94</v>
      </c>
      <c r="CY1678" s="259" t="str">
        <f t="shared" ca="1" si="1524"/>
        <v>MASTRO</v>
      </c>
      <c r="DA1678" s="259" t="str">
        <f ca="1">IF(DB1677="","","Num. riga")</f>
        <v/>
      </c>
      <c r="DB1678" s="259" t="str">
        <f t="shared" ref="DB1678" ca="1" si="1536">IF(DB1677="","","Data")</f>
        <v/>
      </c>
      <c r="DC1678" s="259" t="str">
        <f ca="1">IF(DB1677="","","Operazioni")</f>
        <v/>
      </c>
      <c r="DD1678" s="259" t="str">
        <f ca="1">IF(DB1677="","","Dare        ")</f>
        <v/>
      </c>
      <c r="DE1678" s="259" t="str">
        <f ca="1">IF(DB1677="","","Avere        ")</f>
        <v/>
      </c>
      <c r="DF1678" s="259">
        <f ca="1">IF(AND(CX1678=$DE$2,$DF$2&lt;&gt;0),0,IF(AND(DB1678&lt;&gt;"",OR(DB1677&lt;&gt;"",DB1679&lt;&gt;"")),MAX($DF$2:DF1677)+1,0))</f>
        <v>0</v>
      </c>
    </row>
    <row r="1679" spans="102:110">
      <c r="CX1679" s="259">
        <f t="shared" ca="1" si="1535"/>
        <v>94</v>
      </c>
      <c r="CY1679" s="259" t="str">
        <f t="shared" ca="1" si="1524"/>
        <v>MASTRO</v>
      </c>
      <c r="CZ1679" s="259" t="e">
        <f t="shared" ref="CZ1679:CZ1693" ca="1" si="1537">SUM(MATCH($CY1679,INDIRECT(ADDRESS(SUM(CZ1678)+3,54)&amp;":"&amp;ADDRESS(400,54)),0),CZ1678)</f>
        <v>#N/A</v>
      </c>
      <c r="DA1679" s="259" t="str">
        <f ca="1">IFERROR(INDEX(LIBRO_GIORNALE,CZ1679,1),"")</f>
        <v/>
      </c>
      <c r="DB1679" s="259" t="str">
        <f t="shared" ref="DB1679:DB1693" ca="1" si="1538">IF(RIGHT(TEXT(IFERROR(INDEX(LIBRO_GIORNALE,CZ1679,2),""),"gg/mm/aa"),1)="a",TEXT(IFERROR(INDEX(LIBRO_GIORNALE,CZ1679,2),""),"dd/mm/yy"),TEXT(IFERROR(INDEX(LIBRO_GIORNALE,CZ1679,2),""),"gg/mm/aa"))</f>
        <v/>
      </c>
      <c r="DC1679" s="259" t="str">
        <f t="shared" ref="DC1679:DC1693" ca="1" si="1539">IF(IFERROR(INDEX(LIBRO_GIORNALE,CZ1679,4),"")=0,"manca la descrizione dell'operazione",IFERROR(INDEX(LIBRO_GIORNALE,CZ1679,4),""))</f>
        <v/>
      </c>
      <c r="DD1679" s="259" t="str">
        <f t="shared" ref="DD1679:DD1693" ca="1" si="1540">IFERROR(IF(INDEX(LIBRO_GIORNALE,CZ1679,5)&gt;0,INDEX(LIBRO_GIORNALE,CZ1679,5),""),"")</f>
        <v/>
      </c>
      <c r="DE1679" s="259" t="str">
        <f t="shared" ref="DE1679:DE1693" ca="1" si="1541">IFERROR(IF(INDEX(LIBRO_GIORNALE,CZ1679,6)&gt;0,INDEX(LIBRO_GIORNALE,CZ1679,6),""),"")</f>
        <v/>
      </c>
      <c r="DF1679" s="259">
        <f ca="1">IF(AND(CX1679=$DE$2,$DF$2&lt;&gt;0),0,IF(AND(DB1679&lt;&gt;"",OR(DB1678&lt;&gt;"",DB1680&lt;&gt;"")),MAX($DF$2:DF1678)+1,0))</f>
        <v>0</v>
      </c>
    </row>
    <row r="1680" spans="102:110">
      <c r="CX1680" s="259">
        <f t="shared" ca="1" si="1535"/>
        <v>94</v>
      </c>
      <c r="CY1680" s="259" t="str">
        <f t="shared" ca="1" si="1524"/>
        <v>MASTRO</v>
      </c>
      <c r="CZ1680" s="259" t="e">
        <f t="shared" ca="1" si="1537"/>
        <v>#N/A</v>
      </c>
      <c r="DA1680" s="259" t="str">
        <f t="shared" ref="DA1680:DA1693" ca="1" si="1542">IFERROR(INDEX(LIBRO_GIORNALE,CZ1680,1),"")</f>
        <v/>
      </c>
      <c r="DB1680" s="259" t="str">
        <f t="shared" ca="1" si="1538"/>
        <v/>
      </c>
      <c r="DC1680" s="259" t="str">
        <f t="shared" ca="1" si="1539"/>
        <v/>
      </c>
      <c r="DD1680" s="259" t="str">
        <f t="shared" ca="1" si="1540"/>
        <v/>
      </c>
      <c r="DE1680" s="259" t="str">
        <f t="shared" ca="1" si="1541"/>
        <v/>
      </c>
      <c r="DF1680" s="259">
        <f ca="1">IF(AND(CX1680=$DE$2,$DF$2&lt;&gt;0),0,IF(AND(DB1680&lt;&gt;"",OR(DB1679&lt;&gt;"",DB1681&lt;&gt;"")),MAX($DF$2:DF1679)+1,0))</f>
        <v>0</v>
      </c>
    </row>
    <row r="1681" spans="102:110">
      <c r="CX1681" s="259">
        <f t="shared" ca="1" si="1535"/>
        <v>94</v>
      </c>
      <c r="CY1681" s="259" t="str">
        <f t="shared" ca="1" si="1524"/>
        <v>MASTRO</v>
      </c>
      <c r="CZ1681" s="259" t="e">
        <f t="shared" ca="1" si="1537"/>
        <v>#N/A</v>
      </c>
      <c r="DA1681" s="259" t="str">
        <f t="shared" ca="1" si="1542"/>
        <v/>
      </c>
      <c r="DB1681" s="259" t="str">
        <f t="shared" ca="1" si="1538"/>
        <v/>
      </c>
      <c r="DC1681" s="259" t="str">
        <f t="shared" ca="1" si="1539"/>
        <v/>
      </c>
      <c r="DD1681" s="259" t="str">
        <f t="shared" ca="1" si="1540"/>
        <v/>
      </c>
      <c r="DE1681" s="259" t="str">
        <f t="shared" ca="1" si="1541"/>
        <v/>
      </c>
      <c r="DF1681" s="259">
        <f ca="1">IF(AND(CX1681=$DE$2,$DF$2&lt;&gt;0),0,IF(AND(DB1681&lt;&gt;"",OR(DB1680&lt;&gt;"",DB1682&lt;&gt;"")),MAX($DF$2:DF1680)+1,0))</f>
        <v>0</v>
      </c>
    </row>
    <row r="1682" spans="102:110">
      <c r="CX1682" s="259">
        <f t="shared" ca="1" si="1535"/>
        <v>94</v>
      </c>
      <c r="CY1682" s="259" t="str">
        <f t="shared" ca="1" si="1524"/>
        <v>MASTRO</v>
      </c>
      <c r="CZ1682" s="259" t="e">
        <f t="shared" ca="1" si="1537"/>
        <v>#N/A</v>
      </c>
      <c r="DA1682" s="259" t="str">
        <f t="shared" ca="1" si="1542"/>
        <v/>
      </c>
      <c r="DB1682" s="259" t="str">
        <f t="shared" ca="1" si="1538"/>
        <v/>
      </c>
      <c r="DC1682" s="259" t="str">
        <f t="shared" ca="1" si="1539"/>
        <v/>
      </c>
      <c r="DD1682" s="259" t="str">
        <f t="shared" ca="1" si="1540"/>
        <v/>
      </c>
      <c r="DE1682" s="259" t="str">
        <f t="shared" ca="1" si="1541"/>
        <v/>
      </c>
      <c r="DF1682" s="259">
        <f ca="1">IF(AND(CX1682=$DE$2,$DF$2&lt;&gt;0),0,IF(AND(DB1682&lt;&gt;"",OR(DB1681&lt;&gt;"",DB1683&lt;&gt;"")),MAX($DF$2:DF1681)+1,0))</f>
        <v>0</v>
      </c>
    </row>
    <row r="1683" spans="102:110">
      <c r="CX1683" s="259">
        <f t="shared" ca="1" si="1535"/>
        <v>94</v>
      </c>
      <c r="CY1683" s="259" t="str">
        <f t="shared" ca="1" si="1524"/>
        <v>MASTRO</v>
      </c>
      <c r="CZ1683" s="259" t="e">
        <f t="shared" ca="1" si="1537"/>
        <v>#N/A</v>
      </c>
      <c r="DA1683" s="259" t="str">
        <f t="shared" ca="1" si="1542"/>
        <v/>
      </c>
      <c r="DB1683" s="259" t="str">
        <f t="shared" ca="1" si="1538"/>
        <v/>
      </c>
      <c r="DC1683" s="259" t="str">
        <f t="shared" ca="1" si="1539"/>
        <v/>
      </c>
      <c r="DD1683" s="259" t="str">
        <f t="shared" ca="1" si="1540"/>
        <v/>
      </c>
      <c r="DE1683" s="259" t="str">
        <f t="shared" ca="1" si="1541"/>
        <v/>
      </c>
      <c r="DF1683" s="259">
        <f ca="1">IF(AND(CX1683=$DE$2,$DF$2&lt;&gt;0),0,IF(AND(DB1683&lt;&gt;"",OR(DB1682&lt;&gt;"",DB1684&lt;&gt;"")),MAX($DF$2:DF1682)+1,0))</f>
        <v>0</v>
      </c>
    </row>
    <row r="1684" spans="102:110">
      <c r="CX1684" s="259">
        <f t="shared" ca="1" si="1535"/>
        <v>94</v>
      </c>
      <c r="CY1684" s="259" t="str">
        <f t="shared" ca="1" si="1524"/>
        <v>MASTRO</v>
      </c>
      <c r="CZ1684" s="259" t="e">
        <f t="shared" ca="1" si="1537"/>
        <v>#N/A</v>
      </c>
      <c r="DA1684" s="259" t="str">
        <f t="shared" ca="1" si="1542"/>
        <v/>
      </c>
      <c r="DB1684" s="259" t="str">
        <f t="shared" ca="1" si="1538"/>
        <v/>
      </c>
      <c r="DC1684" s="259" t="str">
        <f t="shared" ca="1" si="1539"/>
        <v/>
      </c>
      <c r="DD1684" s="259" t="str">
        <f t="shared" ca="1" si="1540"/>
        <v/>
      </c>
      <c r="DE1684" s="259" t="str">
        <f t="shared" ca="1" si="1541"/>
        <v/>
      </c>
      <c r="DF1684" s="259">
        <f ca="1">IF(AND(CX1684=$DE$2,$DF$2&lt;&gt;0),0,IF(AND(DB1684&lt;&gt;"",OR(DB1683&lt;&gt;"",DB1685&lt;&gt;"")),MAX($DF$2:DF1683)+1,0))</f>
        <v>0</v>
      </c>
    </row>
    <row r="1685" spans="102:110">
      <c r="CX1685" s="259">
        <f t="shared" ca="1" si="1535"/>
        <v>94</v>
      </c>
      <c r="CY1685" s="259" t="str">
        <f t="shared" ca="1" si="1524"/>
        <v>MASTRO</v>
      </c>
      <c r="CZ1685" s="259" t="e">
        <f t="shared" ca="1" si="1537"/>
        <v>#N/A</v>
      </c>
      <c r="DA1685" s="259" t="str">
        <f t="shared" ca="1" si="1542"/>
        <v/>
      </c>
      <c r="DB1685" s="259" t="str">
        <f t="shared" ca="1" si="1538"/>
        <v/>
      </c>
      <c r="DC1685" s="259" t="str">
        <f t="shared" ca="1" si="1539"/>
        <v/>
      </c>
      <c r="DD1685" s="259" t="str">
        <f t="shared" ca="1" si="1540"/>
        <v/>
      </c>
      <c r="DE1685" s="259" t="str">
        <f t="shared" ca="1" si="1541"/>
        <v/>
      </c>
      <c r="DF1685" s="259">
        <f ca="1">IF(AND(CX1685=$DE$2,$DF$2&lt;&gt;0),0,IF(AND(DB1685&lt;&gt;"",OR(DB1684&lt;&gt;"",DB1686&lt;&gt;"")),MAX($DF$2:DF1684)+1,0))</f>
        <v>0</v>
      </c>
    </row>
    <row r="1686" spans="102:110">
      <c r="CX1686" s="259">
        <f t="shared" ca="1" si="1535"/>
        <v>94</v>
      </c>
      <c r="CY1686" s="259" t="str">
        <f t="shared" ca="1" si="1524"/>
        <v>MASTRO</v>
      </c>
      <c r="CZ1686" s="259" t="e">
        <f t="shared" ca="1" si="1537"/>
        <v>#N/A</v>
      </c>
      <c r="DA1686" s="259" t="str">
        <f t="shared" ca="1" si="1542"/>
        <v/>
      </c>
      <c r="DB1686" s="259" t="str">
        <f t="shared" ca="1" si="1538"/>
        <v/>
      </c>
      <c r="DC1686" s="259" t="str">
        <f t="shared" ca="1" si="1539"/>
        <v/>
      </c>
      <c r="DD1686" s="259" t="str">
        <f t="shared" ca="1" si="1540"/>
        <v/>
      </c>
      <c r="DE1686" s="259" t="str">
        <f t="shared" ca="1" si="1541"/>
        <v/>
      </c>
      <c r="DF1686" s="259">
        <f ca="1">IF(AND(CX1686=$DE$2,$DF$2&lt;&gt;0),0,IF(AND(DB1686&lt;&gt;"",OR(DB1685&lt;&gt;"",DB1687&lt;&gt;"")),MAX($DF$2:DF1685)+1,0))</f>
        <v>0</v>
      </c>
    </row>
    <row r="1687" spans="102:110">
      <c r="CX1687" s="259">
        <f t="shared" ca="1" si="1535"/>
        <v>94</v>
      </c>
      <c r="CY1687" s="259" t="str">
        <f t="shared" ca="1" si="1524"/>
        <v>MASTRO</v>
      </c>
      <c r="CZ1687" s="259" t="e">
        <f t="shared" ca="1" si="1537"/>
        <v>#N/A</v>
      </c>
      <c r="DA1687" s="259" t="str">
        <f t="shared" ca="1" si="1542"/>
        <v/>
      </c>
      <c r="DB1687" s="259" t="str">
        <f t="shared" ca="1" si="1538"/>
        <v/>
      </c>
      <c r="DC1687" s="259" t="str">
        <f t="shared" ca="1" si="1539"/>
        <v/>
      </c>
      <c r="DD1687" s="259" t="str">
        <f t="shared" ca="1" si="1540"/>
        <v/>
      </c>
      <c r="DE1687" s="259" t="str">
        <f t="shared" ca="1" si="1541"/>
        <v/>
      </c>
      <c r="DF1687" s="259">
        <f ca="1">IF(AND(CX1687=$DE$2,$DF$2&lt;&gt;0),0,IF(AND(DB1687&lt;&gt;"",OR(DB1686&lt;&gt;"",DB1688&lt;&gt;"")),MAX($DF$2:DF1686)+1,0))</f>
        <v>0</v>
      </c>
    </row>
    <row r="1688" spans="102:110">
      <c r="CX1688" s="259">
        <f t="shared" ca="1" si="1535"/>
        <v>94</v>
      </c>
      <c r="CY1688" s="259" t="str">
        <f t="shared" ref="CY1688:CY1719" ca="1" si="1543">IF(ISERROR(INDEX($CV$3:$CX$2300,MATCH(CX1688,$CW$3:$CW$2300,0),1)),"MASTRO",INDEX($CV$3:$CX$2300,MATCH(CX1688,$CW$3:$CW$2300,0),1))</f>
        <v>MASTRO</v>
      </c>
      <c r="CZ1688" s="259" t="e">
        <f t="shared" ca="1" si="1537"/>
        <v>#N/A</v>
      </c>
      <c r="DA1688" s="259" t="str">
        <f t="shared" ca="1" si="1542"/>
        <v/>
      </c>
      <c r="DB1688" s="259" t="str">
        <f t="shared" ca="1" si="1538"/>
        <v/>
      </c>
      <c r="DC1688" s="259" t="str">
        <f t="shared" ca="1" si="1539"/>
        <v/>
      </c>
      <c r="DD1688" s="259" t="str">
        <f t="shared" ca="1" si="1540"/>
        <v/>
      </c>
      <c r="DE1688" s="259" t="str">
        <f t="shared" ca="1" si="1541"/>
        <v/>
      </c>
      <c r="DF1688" s="259">
        <f ca="1">IF(AND(CX1688=$DE$2,$DF$2&lt;&gt;0),0,IF(AND(DB1688&lt;&gt;"",OR(DB1687&lt;&gt;"",DB1689&lt;&gt;"")),MAX($DF$2:DF1687)+1,0))</f>
        <v>0</v>
      </c>
    </row>
    <row r="1689" spans="102:110">
      <c r="CX1689" s="259">
        <f t="shared" ca="1" si="1535"/>
        <v>94</v>
      </c>
      <c r="CY1689" s="259" t="str">
        <f t="shared" ca="1" si="1543"/>
        <v>MASTRO</v>
      </c>
      <c r="CZ1689" s="259" t="e">
        <f t="shared" ca="1" si="1537"/>
        <v>#N/A</v>
      </c>
      <c r="DA1689" s="259" t="str">
        <f t="shared" ca="1" si="1542"/>
        <v/>
      </c>
      <c r="DB1689" s="259" t="str">
        <f t="shared" ca="1" si="1538"/>
        <v/>
      </c>
      <c r="DC1689" s="259" t="str">
        <f t="shared" ca="1" si="1539"/>
        <v/>
      </c>
      <c r="DD1689" s="259" t="str">
        <f t="shared" ca="1" si="1540"/>
        <v/>
      </c>
      <c r="DE1689" s="259" t="str">
        <f t="shared" ca="1" si="1541"/>
        <v/>
      </c>
      <c r="DF1689" s="259">
        <f ca="1">IF(AND(CX1689=$DE$2,$DF$2&lt;&gt;0),0,IF(AND(DB1689&lt;&gt;"",OR(DB1688&lt;&gt;"",DB1690&lt;&gt;"")),MAX($DF$2:DF1688)+1,0))</f>
        <v>0</v>
      </c>
    </row>
    <row r="1690" spans="102:110">
      <c r="CX1690" s="259">
        <f t="shared" ca="1" si="1535"/>
        <v>94</v>
      </c>
      <c r="CY1690" s="259" t="str">
        <f t="shared" ca="1" si="1543"/>
        <v>MASTRO</v>
      </c>
      <c r="CZ1690" s="259" t="e">
        <f t="shared" ca="1" si="1537"/>
        <v>#N/A</v>
      </c>
      <c r="DA1690" s="259" t="str">
        <f t="shared" ca="1" si="1542"/>
        <v/>
      </c>
      <c r="DB1690" s="259" t="str">
        <f t="shared" ca="1" si="1538"/>
        <v/>
      </c>
      <c r="DC1690" s="259" t="str">
        <f t="shared" ca="1" si="1539"/>
        <v/>
      </c>
      <c r="DD1690" s="259" t="str">
        <f t="shared" ca="1" si="1540"/>
        <v/>
      </c>
      <c r="DE1690" s="259" t="str">
        <f t="shared" ca="1" si="1541"/>
        <v/>
      </c>
      <c r="DF1690" s="259">
        <f ca="1">IF(AND(CX1690=$DE$2,$DF$2&lt;&gt;0),0,IF(AND(DB1690&lt;&gt;"",OR(DB1689&lt;&gt;"",DB1691&lt;&gt;"")),MAX($DF$2:DF1689)+1,0))</f>
        <v>0</v>
      </c>
    </row>
    <row r="1691" spans="102:110">
      <c r="CX1691" s="259">
        <f t="shared" ca="1" si="1535"/>
        <v>94</v>
      </c>
      <c r="CY1691" s="259" t="str">
        <f t="shared" ca="1" si="1543"/>
        <v>MASTRO</v>
      </c>
      <c r="CZ1691" s="259" t="e">
        <f t="shared" ca="1" si="1537"/>
        <v>#N/A</v>
      </c>
      <c r="DA1691" s="259" t="str">
        <f t="shared" ca="1" si="1542"/>
        <v/>
      </c>
      <c r="DB1691" s="259" t="str">
        <f t="shared" ca="1" si="1538"/>
        <v/>
      </c>
      <c r="DC1691" s="259" t="str">
        <f t="shared" ca="1" si="1539"/>
        <v/>
      </c>
      <c r="DD1691" s="259" t="str">
        <f t="shared" ca="1" si="1540"/>
        <v/>
      </c>
      <c r="DE1691" s="259" t="str">
        <f t="shared" ca="1" si="1541"/>
        <v/>
      </c>
      <c r="DF1691" s="259">
        <f ca="1">IF(AND(CX1691=$DE$2,$DF$2&lt;&gt;0),0,IF(AND(DB1691&lt;&gt;"",OR(DB1690&lt;&gt;"",DB1692&lt;&gt;"")),MAX($DF$2:DF1690)+1,0))</f>
        <v>0</v>
      </c>
    </row>
    <row r="1692" spans="102:110">
      <c r="CX1692" s="259">
        <f t="shared" ca="1" si="1535"/>
        <v>94</v>
      </c>
      <c r="CY1692" s="259" t="str">
        <f t="shared" ca="1" si="1543"/>
        <v>MASTRO</v>
      </c>
      <c r="CZ1692" s="259" t="e">
        <f t="shared" ca="1" si="1537"/>
        <v>#N/A</v>
      </c>
      <c r="DA1692" s="259" t="str">
        <f t="shared" ca="1" si="1542"/>
        <v/>
      </c>
      <c r="DB1692" s="259" t="str">
        <f t="shared" ca="1" si="1538"/>
        <v/>
      </c>
      <c r="DC1692" s="259" t="str">
        <f t="shared" ca="1" si="1539"/>
        <v/>
      </c>
      <c r="DD1692" s="259" t="str">
        <f t="shared" ca="1" si="1540"/>
        <v/>
      </c>
      <c r="DE1692" s="259" t="str">
        <f t="shared" ca="1" si="1541"/>
        <v/>
      </c>
      <c r="DF1692" s="259">
        <f ca="1">IF(AND(CX1692=$DE$2,$DF$2&lt;&gt;0),0,IF(AND(DB1692&lt;&gt;"",OR(DB1691&lt;&gt;"",DB1693&lt;&gt;"")),MAX($DF$2:DF1691)+1,0))</f>
        <v>0</v>
      </c>
    </row>
    <row r="1693" spans="102:110">
      <c r="CX1693" s="259">
        <f t="shared" ca="1" si="1535"/>
        <v>94</v>
      </c>
      <c r="CY1693" s="259" t="str">
        <f t="shared" ca="1" si="1543"/>
        <v>MASTRO</v>
      </c>
      <c r="CZ1693" s="259" t="e">
        <f t="shared" ca="1" si="1537"/>
        <v>#N/A</v>
      </c>
      <c r="DA1693" s="259" t="str">
        <f t="shared" ca="1" si="1542"/>
        <v/>
      </c>
      <c r="DB1693" s="259" t="str">
        <f t="shared" ca="1" si="1538"/>
        <v/>
      </c>
      <c r="DC1693" s="259" t="str">
        <f t="shared" ca="1" si="1539"/>
        <v/>
      </c>
      <c r="DD1693" s="259" t="str">
        <f t="shared" ca="1" si="1540"/>
        <v/>
      </c>
      <c r="DE1693" s="259" t="str">
        <f t="shared" ca="1" si="1541"/>
        <v/>
      </c>
      <c r="DF1693" s="259">
        <f ca="1">IF(AND(CX1693=$DE$2,$DF$2&lt;&gt;0),0,IF(AND(DB1693&lt;&gt;"",OR(DB1692&lt;&gt;"",DB1694&lt;&gt;"")),MAX($DF$2:DF1692)+1,0))</f>
        <v>0</v>
      </c>
    </row>
    <row r="1694" spans="102:110">
      <c r="CX1694" s="259" t="str">
        <f>IFERROR(IF(CX1676+1=1,"",(CX1676+1)),"")</f>
        <v/>
      </c>
      <c r="CY1694" s="259" t="str">
        <f t="shared" ca="1" si="1543"/>
        <v>MASTRO</v>
      </c>
      <c r="DB1694" s="259" t="str">
        <f t="shared" ref="DB1694" ca="1" si="1544">CY1694</f>
        <v>MASTRO</v>
      </c>
      <c r="DF1694" s="259">
        <f ca="1">IF(AND(CX1694=$DE$2,$DF$2&lt;&gt;0),0,IF(AND(DB1694&lt;&gt;"",OR(DB1693&lt;&gt;"",DB1695&lt;&gt;"")),MAX($DF$2:DF1693)+1,0))</f>
        <v>0</v>
      </c>
    </row>
    <row r="1695" spans="102:110">
      <c r="CX1695" s="259">
        <f ca="1">$EA$97</f>
        <v>95</v>
      </c>
      <c r="CY1695" s="259" t="str">
        <f t="shared" ca="1" si="1543"/>
        <v>MASTRO</v>
      </c>
      <c r="DA1695" s="259" t="str">
        <f ca="1">IF(CY1694="MASTRO","Conto n.","")</f>
        <v>Conto n.</v>
      </c>
      <c r="DB1695" s="259" t="str">
        <f ca="1">IF(CY1695=0,"",INDEX(PIANO_DEI_CONTI,MATCH(DC1695,DENOMINAZIONE,0),1))</f>
        <v/>
      </c>
      <c r="DC1695" s="259" t="str">
        <f ca="1">IF(OR(CY1695=0,CY1695="mastro"),"",CY1695)</f>
        <v/>
      </c>
      <c r="DD1695" s="259" t="str">
        <f ca="1">IF(AND($DA$2=TRUE,OR(INDEX(PIANO_DEI_CONTI,MATCH($DC1695,DENOMINAZIONE,0),4)="A",INDEX(PIANO_DEI_CONTI,MATCH($DC1695,DENOMINAZIONE,0),4)="D/A"),SUMIFS(AVERE,DENOMINAZIONE_GIORNALE,"="&amp;$DC1695)&gt;SUMIFS(DARE,DENOMINAZIONE_GIORNALE,"="&amp;$DC1695)),CONCATENATE("s ",FIXED(ABS(SUMIFS(AVERE,DENOMINAZIONE_GIORNALE,"="&amp;$DC1695)-SUMIFS(DARE,DENOMINAZIONE_GIORNALE,"="&amp;$DC1695)),2)),"")</f>
        <v/>
      </c>
      <c r="DE1695" s="259" t="str">
        <f ca="1">IF(AND($DA$2=TRUE,OR(INDEX(PIANO_DEI_CONTI,MATCH($DC1695,DENOMINAZIONE,0),4)="D",INDEX(PIANO_DEI_CONTI,MATCH($DC1695,DENOMINAZIONE,0),4)="D/A"),SUMIFS(DARE,DENOMINAZIONE_GIORNALE,"="&amp;$DC1695)&gt;SUMIFS(AVERE,DENOMINAZIONE_GIORNALE,"="&amp;$DC1695)),CONCATENATE("s ",FIXED(ABS(SUMIFS(DARE,DENOMINAZIONE_GIORNALE,"="&amp;$DC1695)-SUMIFS(AVERE,DENOMINAZIONE_GIORNALE,"="&amp;$DC1695)),2)),"")</f>
        <v/>
      </c>
      <c r="DF1695" s="259">
        <f ca="1">IF(AND(CX1695=$DE$2,$DF$2&lt;&gt;0),0,IF(AND(DB1695&lt;&gt;"",OR(DB1694&lt;&gt;"",DB1696&lt;&gt;"")),MAX($DF$2:DF1694)+1,0))</f>
        <v>0</v>
      </c>
    </row>
    <row r="1696" spans="102:110">
      <c r="CX1696" s="259">
        <f t="shared" ref="CX1696:CX1711" ca="1" si="1545">$EA$97</f>
        <v>95</v>
      </c>
      <c r="CY1696" s="259" t="str">
        <f t="shared" ca="1" si="1543"/>
        <v>MASTRO</v>
      </c>
      <c r="DA1696" s="259" t="str">
        <f ca="1">IF(DB1695="","","Num. riga")</f>
        <v/>
      </c>
      <c r="DB1696" s="259" t="str">
        <f t="shared" ref="DB1696" ca="1" si="1546">IF(DB1695="","","Data")</f>
        <v/>
      </c>
      <c r="DC1696" s="259" t="str">
        <f ca="1">IF(DB1695="","","Operazioni")</f>
        <v/>
      </c>
      <c r="DD1696" s="259" t="str">
        <f ca="1">IF(DB1695="","","Dare        ")</f>
        <v/>
      </c>
      <c r="DE1696" s="259" t="str">
        <f ca="1">IF(DB1695="","","Avere        ")</f>
        <v/>
      </c>
      <c r="DF1696" s="259">
        <f ca="1">IF(AND(CX1696=$DE$2,$DF$2&lt;&gt;0),0,IF(AND(DB1696&lt;&gt;"",OR(DB1695&lt;&gt;"",DB1697&lt;&gt;"")),MAX($DF$2:DF1695)+1,0))</f>
        <v>0</v>
      </c>
    </row>
    <row r="1697" spans="102:110">
      <c r="CX1697" s="259">
        <f t="shared" ca="1" si="1545"/>
        <v>95</v>
      </c>
      <c r="CY1697" s="259" t="str">
        <f t="shared" ca="1" si="1543"/>
        <v>MASTRO</v>
      </c>
      <c r="CZ1697" s="259" t="e">
        <f t="shared" ref="CZ1697:CZ1711" ca="1" si="1547">SUM(MATCH($CY1697,INDIRECT(ADDRESS(SUM(CZ1696)+3,54)&amp;":"&amp;ADDRESS(400,54)),0),CZ1696)</f>
        <v>#N/A</v>
      </c>
      <c r="DA1697" s="259" t="str">
        <f ca="1">IFERROR(INDEX(LIBRO_GIORNALE,CZ1697,1),"")</f>
        <v/>
      </c>
      <c r="DB1697" s="259" t="str">
        <f t="shared" ref="DB1697:DB1711" ca="1" si="1548">IF(RIGHT(TEXT(IFERROR(INDEX(LIBRO_GIORNALE,CZ1697,2),""),"gg/mm/aa"),1)="a",TEXT(IFERROR(INDEX(LIBRO_GIORNALE,CZ1697,2),""),"dd/mm/yy"),TEXT(IFERROR(INDEX(LIBRO_GIORNALE,CZ1697,2),""),"gg/mm/aa"))</f>
        <v/>
      </c>
      <c r="DC1697" s="259" t="str">
        <f t="shared" ref="DC1697:DC1711" ca="1" si="1549">IF(IFERROR(INDEX(LIBRO_GIORNALE,CZ1697,4),"")=0,"manca la descrizione dell'operazione",IFERROR(INDEX(LIBRO_GIORNALE,CZ1697,4),""))</f>
        <v/>
      </c>
      <c r="DD1697" s="259" t="str">
        <f t="shared" ref="DD1697:DD1711" ca="1" si="1550">IFERROR(IF(INDEX(LIBRO_GIORNALE,CZ1697,5)&gt;0,INDEX(LIBRO_GIORNALE,CZ1697,5),""),"")</f>
        <v/>
      </c>
      <c r="DE1697" s="259" t="str">
        <f t="shared" ref="DE1697:DE1711" ca="1" si="1551">IFERROR(IF(INDEX(LIBRO_GIORNALE,CZ1697,6)&gt;0,INDEX(LIBRO_GIORNALE,CZ1697,6),""),"")</f>
        <v/>
      </c>
      <c r="DF1697" s="259">
        <f ca="1">IF(AND(CX1697=$DE$2,$DF$2&lt;&gt;0),0,IF(AND(DB1697&lt;&gt;"",OR(DB1696&lt;&gt;"",DB1698&lt;&gt;"")),MAX($DF$2:DF1696)+1,0))</f>
        <v>0</v>
      </c>
    </row>
    <row r="1698" spans="102:110">
      <c r="CX1698" s="259">
        <f t="shared" ca="1" si="1545"/>
        <v>95</v>
      </c>
      <c r="CY1698" s="259" t="str">
        <f t="shared" ca="1" si="1543"/>
        <v>MASTRO</v>
      </c>
      <c r="CZ1698" s="259" t="e">
        <f t="shared" ca="1" si="1547"/>
        <v>#N/A</v>
      </c>
      <c r="DA1698" s="259" t="str">
        <f t="shared" ref="DA1698:DA1711" ca="1" si="1552">IFERROR(INDEX(LIBRO_GIORNALE,CZ1698,1),"")</f>
        <v/>
      </c>
      <c r="DB1698" s="259" t="str">
        <f t="shared" ca="1" si="1548"/>
        <v/>
      </c>
      <c r="DC1698" s="259" t="str">
        <f t="shared" ca="1" si="1549"/>
        <v/>
      </c>
      <c r="DD1698" s="259" t="str">
        <f t="shared" ca="1" si="1550"/>
        <v/>
      </c>
      <c r="DE1698" s="259" t="str">
        <f t="shared" ca="1" si="1551"/>
        <v/>
      </c>
      <c r="DF1698" s="259">
        <f ca="1">IF(AND(CX1698=$DE$2,$DF$2&lt;&gt;0),0,IF(AND(DB1698&lt;&gt;"",OR(DB1697&lt;&gt;"",DB1699&lt;&gt;"")),MAX($DF$2:DF1697)+1,0))</f>
        <v>0</v>
      </c>
    </row>
    <row r="1699" spans="102:110">
      <c r="CX1699" s="259">
        <f t="shared" ca="1" si="1545"/>
        <v>95</v>
      </c>
      <c r="CY1699" s="259" t="str">
        <f t="shared" ca="1" si="1543"/>
        <v>MASTRO</v>
      </c>
      <c r="CZ1699" s="259" t="e">
        <f t="shared" ca="1" si="1547"/>
        <v>#N/A</v>
      </c>
      <c r="DA1699" s="259" t="str">
        <f t="shared" ca="1" si="1552"/>
        <v/>
      </c>
      <c r="DB1699" s="259" t="str">
        <f t="shared" ca="1" si="1548"/>
        <v/>
      </c>
      <c r="DC1699" s="259" t="str">
        <f t="shared" ca="1" si="1549"/>
        <v/>
      </c>
      <c r="DD1699" s="259" t="str">
        <f t="shared" ca="1" si="1550"/>
        <v/>
      </c>
      <c r="DE1699" s="259" t="str">
        <f t="shared" ca="1" si="1551"/>
        <v/>
      </c>
      <c r="DF1699" s="259">
        <f ca="1">IF(AND(CX1699=$DE$2,$DF$2&lt;&gt;0),0,IF(AND(DB1699&lt;&gt;"",OR(DB1698&lt;&gt;"",DB1700&lt;&gt;"")),MAX($DF$2:DF1698)+1,0))</f>
        <v>0</v>
      </c>
    </row>
    <row r="1700" spans="102:110">
      <c r="CX1700" s="259">
        <f t="shared" ca="1" si="1545"/>
        <v>95</v>
      </c>
      <c r="CY1700" s="259" t="str">
        <f t="shared" ca="1" si="1543"/>
        <v>MASTRO</v>
      </c>
      <c r="CZ1700" s="259" t="e">
        <f t="shared" ca="1" si="1547"/>
        <v>#N/A</v>
      </c>
      <c r="DA1700" s="259" t="str">
        <f t="shared" ca="1" si="1552"/>
        <v/>
      </c>
      <c r="DB1700" s="259" t="str">
        <f t="shared" ca="1" si="1548"/>
        <v/>
      </c>
      <c r="DC1700" s="259" t="str">
        <f t="shared" ca="1" si="1549"/>
        <v/>
      </c>
      <c r="DD1700" s="259" t="str">
        <f t="shared" ca="1" si="1550"/>
        <v/>
      </c>
      <c r="DE1700" s="259" t="str">
        <f t="shared" ca="1" si="1551"/>
        <v/>
      </c>
      <c r="DF1700" s="259">
        <f ca="1">IF(AND(CX1700=$DE$2,$DF$2&lt;&gt;0),0,IF(AND(DB1700&lt;&gt;"",OR(DB1699&lt;&gt;"",DB1701&lt;&gt;"")),MAX($DF$2:DF1699)+1,0))</f>
        <v>0</v>
      </c>
    </row>
    <row r="1701" spans="102:110">
      <c r="CX1701" s="259">
        <f t="shared" ca="1" si="1545"/>
        <v>95</v>
      </c>
      <c r="CY1701" s="259" t="str">
        <f t="shared" ca="1" si="1543"/>
        <v>MASTRO</v>
      </c>
      <c r="CZ1701" s="259" t="e">
        <f t="shared" ca="1" si="1547"/>
        <v>#N/A</v>
      </c>
      <c r="DA1701" s="259" t="str">
        <f t="shared" ca="1" si="1552"/>
        <v/>
      </c>
      <c r="DB1701" s="259" t="str">
        <f t="shared" ca="1" si="1548"/>
        <v/>
      </c>
      <c r="DC1701" s="259" t="str">
        <f t="shared" ca="1" si="1549"/>
        <v/>
      </c>
      <c r="DD1701" s="259" t="str">
        <f t="shared" ca="1" si="1550"/>
        <v/>
      </c>
      <c r="DE1701" s="259" t="str">
        <f t="shared" ca="1" si="1551"/>
        <v/>
      </c>
      <c r="DF1701" s="259">
        <f ca="1">IF(AND(CX1701=$DE$2,$DF$2&lt;&gt;0),0,IF(AND(DB1701&lt;&gt;"",OR(DB1700&lt;&gt;"",DB1702&lt;&gt;"")),MAX($DF$2:DF1700)+1,0))</f>
        <v>0</v>
      </c>
    </row>
    <row r="1702" spans="102:110">
      <c r="CX1702" s="259">
        <f t="shared" ca="1" si="1545"/>
        <v>95</v>
      </c>
      <c r="CY1702" s="259" t="str">
        <f t="shared" ca="1" si="1543"/>
        <v>MASTRO</v>
      </c>
      <c r="CZ1702" s="259" t="e">
        <f t="shared" ca="1" si="1547"/>
        <v>#N/A</v>
      </c>
      <c r="DA1702" s="259" t="str">
        <f t="shared" ca="1" si="1552"/>
        <v/>
      </c>
      <c r="DB1702" s="259" t="str">
        <f t="shared" ca="1" si="1548"/>
        <v/>
      </c>
      <c r="DC1702" s="259" t="str">
        <f t="shared" ca="1" si="1549"/>
        <v/>
      </c>
      <c r="DD1702" s="259" t="str">
        <f t="shared" ca="1" si="1550"/>
        <v/>
      </c>
      <c r="DE1702" s="259" t="str">
        <f t="shared" ca="1" si="1551"/>
        <v/>
      </c>
      <c r="DF1702" s="259">
        <f ca="1">IF(AND(CX1702=$DE$2,$DF$2&lt;&gt;0),0,IF(AND(DB1702&lt;&gt;"",OR(DB1701&lt;&gt;"",DB1703&lt;&gt;"")),MAX($DF$2:DF1701)+1,0))</f>
        <v>0</v>
      </c>
    </row>
    <row r="1703" spans="102:110">
      <c r="CX1703" s="259">
        <f t="shared" ca="1" si="1545"/>
        <v>95</v>
      </c>
      <c r="CY1703" s="259" t="str">
        <f t="shared" ca="1" si="1543"/>
        <v>MASTRO</v>
      </c>
      <c r="CZ1703" s="259" t="e">
        <f t="shared" ca="1" si="1547"/>
        <v>#N/A</v>
      </c>
      <c r="DA1703" s="259" t="str">
        <f t="shared" ca="1" si="1552"/>
        <v/>
      </c>
      <c r="DB1703" s="259" t="str">
        <f t="shared" ca="1" si="1548"/>
        <v/>
      </c>
      <c r="DC1703" s="259" t="str">
        <f t="shared" ca="1" si="1549"/>
        <v/>
      </c>
      <c r="DD1703" s="259" t="str">
        <f t="shared" ca="1" si="1550"/>
        <v/>
      </c>
      <c r="DE1703" s="259" t="str">
        <f t="shared" ca="1" si="1551"/>
        <v/>
      </c>
      <c r="DF1703" s="259">
        <f ca="1">IF(AND(CX1703=$DE$2,$DF$2&lt;&gt;0),0,IF(AND(DB1703&lt;&gt;"",OR(DB1702&lt;&gt;"",DB1704&lt;&gt;"")),MAX($DF$2:DF1702)+1,0))</f>
        <v>0</v>
      </c>
    </row>
    <row r="1704" spans="102:110">
      <c r="CX1704" s="259">
        <f t="shared" ca="1" si="1545"/>
        <v>95</v>
      </c>
      <c r="CY1704" s="259" t="str">
        <f t="shared" ca="1" si="1543"/>
        <v>MASTRO</v>
      </c>
      <c r="CZ1704" s="259" t="e">
        <f t="shared" ca="1" si="1547"/>
        <v>#N/A</v>
      </c>
      <c r="DA1704" s="259" t="str">
        <f t="shared" ca="1" si="1552"/>
        <v/>
      </c>
      <c r="DB1704" s="259" t="str">
        <f t="shared" ca="1" si="1548"/>
        <v/>
      </c>
      <c r="DC1704" s="259" t="str">
        <f t="shared" ca="1" si="1549"/>
        <v/>
      </c>
      <c r="DD1704" s="259" t="str">
        <f t="shared" ca="1" si="1550"/>
        <v/>
      </c>
      <c r="DE1704" s="259" t="str">
        <f t="shared" ca="1" si="1551"/>
        <v/>
      </c>
      <c r="DF1704" s="259">
        <f ca="1">IF(AND(CX1704=$DE$2,$DF$2&lt;&gt;0),0,IF(AND(DB1704&lt;&gt;"",OR(DB1703&lt;&gt;"",DB1705&lt;&gt;"")),MAX($DF$2:DF1703)+1,0))</f>
        <v>0</v>
      </c>
    </row>
    <row r="1705" spans="102:110">
      <c r="CX1705" s="259">
        <f t="shared" ca="1" si="1545"/>
        <v>95</v>
      </c>
      <c r="CY1705" s="259" t="str">
        <f t="shared" ca="1" si="1543"/>
        <v>MASTRO</v>
      </c>
      <c r="CZ1705" s="259" t="e">
        <f t="shared" ca="1" si="1547"/>
        <v>#N/A</v>
      </c>
      <c r="DA1705" s="259" t="str">
        <f t="shared" ca="1" si="1552"/>
        <v/>
      </c>
      <c r="DB1705" s="259" t="str">
        <f t="shared" ca="1" si="1548"/>
        <v/>
      </c>
      <c r="DC1705" s="259" t="str">
        <f t="shared" ca="1" si="1549"/>
        <v/>
      </c>
      <c r="DD1705" s="259" t="str">
        <f t="shared" ca="1" si="1550"/>
        <v/>
      </c>
      <c r="DE1705" s="259" t="str">
        <f t="shared" ca="1" si="1551"/>
        <v/>
      </c>
      <c r="DF1705" s="259">
        <f ca="1">IF(AND(CX1705=$DE$2,$DF$2&lt;&gt;0),0,IF(AND(DB1705&lt;&gt;"",OR(DB1704&lt;&gt;"",DB1706&lt;&gt;"")),MAX($DF$2:DF1704)+1,0))</f>
        <v>0</v>
      </c>
    </row>
    <row r="1706" spans="102:110">
      <c r="CX1706" s="259">
        <f t="shared" ca="1" si="1545"/>
        <v>95</v>
      </c>
      <c r="CY1706" s="259" t="str">
        <f t="shared" ca="1" si="1543"/>
        <v>MASTRO</v>
      </c>
      <c r="CZ1706" s="259" t="e">
        <f t="shared" ca="1" si="1547"/>
        <v>#N/A</v>
      </c>
      <c r="DA1706" s="259" t="str">
        <f t="shared" ca="1" si="1552"/>
        <v/>
      </c>
      <c r="DB1706" s="259" t="str">
        <f t="shared" ca="1" si="1548"/>
        <v/>
      </c>
      <c r="DC1706" s="259" t="str">
        <f t="shared" ca="1" si="1549"/>
        <v/>
      </c>
      <c r="DD1706" s="259" t="str">
        <f t="shared" ca="1" si="1550"/>
        <v/>
      </c>
      <c r="DE1706" s="259" t="str">
        <f t="shared" ca="1" si="1551"/>
        <v/>
      </c>
      <c r="DF1706" s="259">
        <f ca="1">IF(AND(CX1706=$DE$2,$DF$2&lt;&gt;0),0,IF(AND(DB1706&lt;&gt;"",OR(DB1705&lt;&gt;"",DB1707&lt;&gt;"")),MAX($DF$2:DF1705)+1,0))</f>
        <v>0</v>
      </c>
    </row>
    <row r="1707" spans="102:110">
      <c r="CX1707" s="259">
        <f t="shared" ca="1" si="1545"/>
        <v>95</v>
      </c>
      <c r="CY1707" s="259" t="str">
        <f t="shared" ca="1" si="1543"/>
        <v>MASTRO</v>
      </c>
      <c r="CZ1707" s="259" t="e">
        <f t="shared" ca="1" si="1547"/>
        <v>#N/A</v>
      </c>
      <c r="DA1707" s="259" t="str">
        <f t="shared" ca="1" si="1552"/>
        <v/>
      </c>
      <c r="DB1707" s="259" t="str">
        <f t="shared" ca="1" si="1548"/>
        <v/>
      </c>
      <c r="DC1707" s="259" t="str">
        <f t="shared" ca="1" si="1549"/>
        <v/>
      </c>
      <c r="DD1707" s="259" t="str">
        <f t="shared" ca="1" si="1550"/>
        <v/>
      </c>
      <c r="DE1707" s="259" t="str">
        <f t="shared" ca="1" si="1551"/>
        <v/>
      </c>
      <c r="DF1707" s="259">
        <f ca="1">IF(AND(CX1707=$DE$2,$DF$2&lt;&gt;0),0,IF(AND(DB1707&lt;&gt;"",OR(DB1706&lt;&gt;"",DB1708&lt;&gt;"")),MAX($DF$2:DF1706)+1,0))</f>
        <v>0</v>
      </c>
    </row>
    <row r="1708" spans="102:110">
      <c r="CX1708" s="259">
        <f t="shared" ca="1" si="1545"/>
        <v>95</v>
      </c>
      <c r="CY1708" s="259" t="str">
        <f t="shared" ca="1" si="1543"/>
        <v>MASTRO</v>
      </c>
      <c r="CZ1708" s="259" t="e">
        <f t="shared" ca="1" si="1547"/>
        <v>#N/A</v>
      </c>
      <c r="DA1708" s="259" t="str">
        <f t="shared" ca="1" si="1552"/>
        <v/>
      </c>
      <c r="DB1708" s="259" t="str">
        <f t="shared" ca="1" si="1548"/>
        <v/>
      </c>
      <c r="DC1708" s="259" t="str">
        <f t="shared" ca="1" si="1549"/>
        <v/>
      </c>
      <c r="DD1708" s="259" t="str">
        <f t="shared" ca="1" si="1550"/>
        <v/>
      </c>
      <c r="DE1708" s="259" t="str">
        <f t="shared" ca="1" si="1551"/>
        <v/>
      </c>
      <c r="DF1708" s="259">
        <f ca="1">IF(AND(CX1708=$DE$2,$DF$2&lt;&gt;0),0,IF(AND(DB1708&lt;&gt;"",OR(DB1707&lt;&gt;"",DB1709&lt;&gt;"")),MAX($DF$2:DF1707)+1,0))</f>
        <v>0</v>
      </c>
    </row>
    <row r="1709" spans="102:110">
      <c r="CX1709" s="259">
        <f t="shared" ca="1" si="1545"/>
        <v>95</v>
      </c>
      <c r="CY1709" s="259" t="str">
        <f t="shared" ca="1" si="1543"/>
        <v>MASTRO</v>
      </c>
      <c r="CZ1709" s="259" t="e">
        <f t="shared" ca="1" si="1547"/>
        <v>#N/A</v>
      </c>
      <c r="DA1709" s="259" t="str">
        <f t="shared" ca="1" si="1552"/>
        <v/>
      </c>
      <c r="DB1709" s="259" t="str">
        <f t="shared" ca="1" si="1548"/>
        <v/>
      </c>
      <c r="DC1709" s="259" t="str">
        <f t="shared" ca="1" si="1549"/>
        <v/>
      </c>
      <c r="DD1709" s="259" t="str">
        <f t="shared" ca="1" si="1550"/>
        <v/>
      </c>
      <c r="DE1709" s="259" t="str">
        <f t="shared" ca="1" si="1551"/>
        <v/>
      </c>
      <c r="DF1709" s="259">
        <f ca="1">IF(AND(CX1709=$DE$2,$DF$2&lt;&gt;0),0,IF(AND(DB1709&lt;&gt;"",OR(DB1708&lt;&gt;"",DB1710&lt;&gt;"")),MAX($DF$2:DF1708)+1,0))</f>
        <v>0</v>
      </c>
    </row>
    <row r="1710" spans="102:110">
      <c r="CX1710" s="259">
        <f t="shared" ca="1" si="1545"/>
        <v>95</v>
      </c>
      <c r="CY1710" s="259" t="str">
        <f t="shared" ca="1" si="1543"/>
        <v>MASTRO</v>
      </c>
      <c r="CZ1710" s="259" t="e">
        <f t="shared" ca="1" si="1547"/>
        <v>#N/A</v>
      </c>
      <c r="DA1710" s="259" t="str">
        <f t="shared" ca="1" si="1552"/>
        <v/>
      </c>
      <c r="DB1710" s="259" t="str">
        <f t="shared" ca="1" si="1548"/>
        <v/>
      </c>
      <c r="DC1710" s="259" t="str">
        <f t="shared" ca="1" si="1549"/>
        <v/>
      </c>
      <c r="DD1710" s="259" t="str">
        <f t="shared" ca="1" si="1550"/>
        <v/>
      </c>
      <c r="DE1710" s="259" t="str">
        <f t="shared" ca="1" si="1551"/>
        <v/>
      </c>
      <c r="DF1710" s="259">
        <f ca="1">IF(AND(CX1710=$DE$2,$DF$2&lt;&gt;0),0,IF(AND(DB1710&lt;&gt;"",OR(DB1709&lt;&gt;"",DB1711&lt;&gt;"")),MAX($DF$2:DF1709)+1,0))</f>
        <v>0</v>
      </c>
    </row>
    <row r="1711" spans="102:110">
      <c r="CX1711" s="259">
        <f t="shared" ca="1" si="1545"/>
        <v>95</v>
      </c>
      <c r="CY1711" s="259" t="str">
        <f t="shared" ca="1" si="1543"/>
        <v>MASTRO</v>
      </c>
      <c r="CZ1711" s="259" t="e">
        <f t="shared" ca="1" si="1547"/>
        <v>#N/A</v>
      </c>
      <c r="DA1711" s="259" t="str">
        <f t="shared" ca="1" si="1552"/>
        <v/>
      </c>
      <c r="DB1711" s="259" t="str">
        <f t="shared" ca="1" si="1548"/>
        <v/>
      </c>
      <c r="DC1711" s="259" t="str">
        <f t="shared" ca="1" si="1549"/>
        <v/>
      </c>
      <c r="DD1711" s="259" t="str">
        <f t="shared" ca="1" si="1550"/>
        <v/>
      </c>
      <c r="DE1711" s="259" t="str">
        <f t="shared" ca="1" si="1551"/>
        <v/>
      </c>
      <c r="DF1711" s="259">
        <f ca="1">IF(AND(CX1711=$DE$2,$DF$2&lt;&gt;0),0,IF(AND(DB1711&lt;&gt;"",OR(DB1710&lt;&gt;"",DB1712&lt;&gt;"")),MAX($DF$2:DF1710)+1,0))</f>
        <v>0</v>
      </c>
    </row>
    <row r="1712" spans="102:110">
      <c r="CX1712" s="259" t="str">
        <f>IFERROR(IF(CX1694+1=1,"",(CX1694+1)),"")</f>
        <v/>
      </c>
      <c r="CY1712" s="259" t="str">
        <f t="shared" ca="1" si="1543"/>
        <v>MASTRO</v>
      </c>
      <c r="DB1712" s="259" t="str">
        <f t="shared" ref="DB1712" ca="1" si="1553">CY1712</f>
        <v>MASTRO</v>
      </c>
      <c r="DF1712" s="259">
        <f ca="1">IF(AND(CX1712=$DE$2,$DF$2&lt;&gt;0),0,IF(AND(DB1712&lt;&gt;"",OR(DB1711&lt;&gt;"",DB1713&lt;&gt;"")),MAX($DF$2:DF1711)+1,0))</f>
        <v>0</v>
      </c>
    </row>
    <row r="1713" spans="102:110">
      <c r="CX1713" s="259">
        <f ca="1">$EA$98</f>
        <v>96</v>
      </c>
      <c r="CY1713" s="259" t="str">
        <f t="shared" ca="1" si="1543"/>
        <v>MASTRO</v>
      </c>
      <c r="DA1713" s="259" t="str">
        <f ca="1">IF(CY1712="MASTRO","Conto n.","")</f>
        <v>Conto n.</v>
      </c>
      <c r="DB1713" s="259" t="str">
        <f ca="1">IF(CY1713=0,"",INDEX(PIANO_DEI_CONTI,MATCH(DC1713,DENOMINAZIONE,0),1))</f>
        <v/>
      </c>
      <c r="DC1713" s="259" t="str">
        <f ca="1">IF(OR(CY1713=0,CY1713="mastro"),"",CY1713)</f>
        <v/>
      </c>
      <c r="DD1713" s="259" t="str">
        <f ca="1">IF(AND($DA$2=TRUE,OR(INDEX(PIANO_DEI_CONTI,MATCH($DC1713,DENOMINAZIONE,0),4)="A",INDEX(PIANO_DEI_CONTI,MATCH($DC1713,DENOMINAZIONE,0),4)="D/A"),SUMIFS(AVERE,DENOMINAZIONE_GIORNALE,"="&amp;$DC1713)&gt;SUMIFS(DARE,DENOMINAZIONE_GIORNALE,"="&amp;$DC1713)),CONCATENATE("s ",FIXED(ABS(SUMIFS(AVERE,DENOMINAZIONE_GIORNALE,"="&amp;$DC1713)-SUMIFS(DARE,DENOMINAZIONE_GIORNALE,"="&amp;$DC1713)),2)),"")</f>
        <v/>
      </c>
      <c r="DE1713" s="259" t="str">
        <f ca="1">IF(AND($DA$2=TRUE,OR(INDEX(PIANO_DEI_CONTI,MATCH($DC1713,DENOMINAZIONE,0),4)="D",INDEX(PIANO_DEI_CONTI,MATCH($DC1713,DENOMINAZIONE,0),4)="D/A"),SUMIFS(DARE,DENOMINAZIONE_GIORNALE,"="&amp;$DC1713)&gt;SUMIFS(AVERE,DENOMINAZIONE_GIORNALE,"="&amp;$DC1713)),CONCATENATE("s ",FIXED(ABS(SUMIFS(DARE,DENOMINAZIONE_GIORNALE,"="&amp;$DC1713)-SUMIFS(AVERE,DENOMINAZIONE_GIORNALE,"="&amp;$DC1713)),2)),"")</f>
        <v/>
      </c>
      <c r="DF1713" s="259">
        <f ca="1">IF(AND(CX1713=$DE$2,$DF$2&lt;&gt;0),0,IF(AND(DB1713&lt;&gt;"",OR(DB1712&lt;&gt;"",DB1714&lt;&gt;"")),MAX($DF$2:DF1712)+1,0))</f>
        <v>0</v>
      </c>
    </row>
    <row r="1714" spans="102:110">
      <c r="CX1714" s="259">
        <f t="shared" ref="CX1714:CX1729" ca="1" si="1554">$EA$98</f>
        <v>96</v>
      </c>
      <c r="CY1714" s="259" t="str">
        <f t="shared" ca="1" si="1543"/>
        <v>MASTRO</v>
      </c>
      <c r="DA1714" s="259" t="str">
        <f ca="1">IF(DB1713="","","Num. riga")</f>
        <v/>
      </c>
      <c r="DB1714" s="259" t="str">
        <f t="shared" ref="DB1714" ca="1" si="1555">IF(DB1713="","","Data")</f>
        <v/>
      </c>
      <c r="DC1714" s="259" t="str">
        <f ca="1">IF(DB1713="","","Operazioni")</f>
        <v/>
      </c>
      <c r="DD1714" s="259" t="str">
        <f ca="1">IF(DB1713="","","Dare        ")</f>
        <v/>
      </c>
      <c r="DE1714" s="259" t="str">
        <f ca="1">IF(DB1713="","","Avere        ")</f>
        <v/>
      </c>
      <c r="DF1714" s="259">
        <f ca="1">IF(AND(CX1714=$DE$2,$DF$2&lt;&gt;0),0,IF(AND(DB1714&lt;&gt;"",OR(DB1713&lt;&gt;"",DB1715&lt;&gt;"")),MAX($DF$2:DF1713)+1,0))</f>
        <v>0</v>
      </c>
    </row>
    <row r="1715" spans="102:110">
      <c r="CX1715" s="259">
        <f t="shared" ca="1" si="1554"/>
        <v>96</v>
      </c>
      <c r="CY1715" s="259" t="str">
        <f t="shared" ca="1" si="1543"/>
        <v>MASTRO</v>
      </c>
      <c r="CZ1715" s="259" t="e">
        <f t="shared" ref="CZ1715:CZ1729" ca="1" si="1556">SUM(MATCH($CY1715,INDIRECT(ADDRESS(SUM(CZ1714)+3,54)&amp;":"&amp;ADDRESS(400,54)),0),CZ1714)</f>
        <v>#N/A</v>
      </c>
      <c r="DA1715" s="259" t="str">
        <f ca="1">IFERROR(INDEX(LIBRO_GIORNALE,CZ1715,1),"")</f>
        <v/>
      </c>
      <c r="DB1715" s="259" t="str">
        <f t="shared" ref="DB1715:DB1729" ca="1" si="1557">IF(RIGHT(TEXT(IFERROR(INDEX(LIBRO_GIORNALE,CZ1715,2),""),"gg/mm/aa"),1)="a",TEXT(IFERROR(INDEX(LIBRO_GIORNALE,CZ1715,2),""),"dd/mm/yy"),TEXT(IFERROR(INDEX(LIBRO_GIORNALE,CZ1715,2),""),"gg/mm/aa"))</f>
        <v/>
      </c>
      <c r="DC1715" s="259" t="str">
        <f t="shared" ref="DC1715:DC1729" ca="1" si="1558">IF(IFERROR(INDEX(LIBRO_GIORNALE,CZ1715,4),"")=0,"manca la descrizione dell'operazione",IFERROR(INDEX(LIBRO_GIORNALE,CZ1715,4),""))</f>
        <v/>
      </c>
      <c r="DD1715" s="259" t="str">
        <f t="shared" ref="DD1715:DD1729" ca="1" si="1559">IFERROR(IF(INDEX(LIBRO_GIORNALE,CZ1715,5)&gt;0,INDEX(LIBRO_GIORNALE,CZ1715,5),""),"")</f>
        <v/>
      </c>
      <c r="DE1715" s="259" t="str">
        <f t="shared" ref="DE1715:DE1729" ca="1" si="1560">IFERROR(IF(INDEX(LIBRO_GIORNALE,CZ1715,6)&gt;0,INDEX(LIBRO_GIORNALE,CZ1715,6),""),"")</f>
        <v/>
      </c>
      <c r="DF1715" s="259">
        <f ca="1">IF(AND(CX1715=$DE$2,$DF$2&lt;&gt;0),0,IF(AND(DB1715&lt;&gt;"",OR(DB1714&lt;&gt;"",DB1716&lt;&gt;"")),MAX($DF$2:DF1714)+1,0))</f>
        <v>0</v>
      </c>
    </row>
    <row r="1716" spans="102:110">
      <c r="CX1716" s="259">
        <f t="shared" ca="1" si="1554"/>
        <v>96</v>
      </c>
      <c r="CY1716" s="259" t="str">
        <f t="shared" ca="1" si="1543"/>
        <v>MASTRO</v>
      </c>
      <c r="CZ1716" s="259" t="e">
        <f t="shared" ca="1" si="1556"/>
        <v>#N/A</v>
      </c>
      <c r="DA1716" s="259" t="str">
        <f t="shared" ref="DA1716:DA1729" ca="1" si="1561">IFERROR(INDEX(LIBRO_GIORNALE,CZ1716,1),"")</f>
        <v/>
      </c>
      <c r="DB1716" s="259" t="str">
        <f t="shared" ca="1" si="1557"/>
        <v/>
      </c>
      <c r="DC1716" s="259" t="str">
        <f t="shared" ca="1" si="1558"/>
        <v/>
      </c>
      <c r="DD1716" s="259" t="str">
        <f t="shared" ca="1" si="1559"/>
        <v/>
      </c>
      <c r="DE1716" s="259" t="str">
        <f t="shared" ca="1" si="1560"/>
        <v/>
      </c>
      <c r="DF1716" s="259">
        <f ca="1">IF(AND(CX1716=$DE$2,$DF$2&lt;&gt;0),0,IF(AND(DB1716&lt;&gt;"",OR(DB1715&lt;&gt;"",DB1717&lt;&gt;"")),MAX($DF$2:DF1715)+1,0))</f>
        <v>0</v>
      </c>
    </row>
    <row r="1717" spans="102:110">
      <c r="CX1717" s="259">
        <f t="shared" ca="1" si="1554"/>
        <v>96</v>
      </c>
      <c r="CY1717" s="259" t="str">
        <f t="shared" ca="1" si="1543"/>
        <v>MASTRO</v>
      </c>
      <c r="CZ1717" s="259" t="e">
        <f t="shared" ca="1" si="1556"/>
        <v>#N/A</v>
      </c>
      <c r="DA1717" s="259" t="str">
        <f t="shared" ca="1" si="1561"/>
        <v/>
      </c>
      <c r="DB1717" s="259" t="str">
        <f t="shared" ca="1" si="1557"/>
        <v/>
      </c>
      <c r="DC1717" s="259" t="str">
        <f t="shared" ca="1" si="1558"/>
        <v/>
      </c>
      <c r="DD1717" s="259" t="str">
        <f t="shared" ca="1" si="1559"/>
        <v/>
      </c>
      <c r="DE1717" s="259" t="str">
        <f t="shared" ca="1" si="1560"/>
        <v/>
      </c>
      <c r="DF1717" s="259">
        <f ca="1">IF(AND(CX1717=$DE$2,$DF$2&lt;&gt;0),0,IF(AND(DB1717&lt;&gt;"",OR(DB1716&lt;&gt;"",DB1718&lt;&gt;"")),MAX($DF$2:DF1716)+1,0))</f>
        <v>0</v>
      </c>
    </row>
    <row r="1718" spans="102:110">
      <c r="CX1718" s="259">
        <f t="shared" ca="1" si="1554"/>
        <v>96</v>
      </c>
      <c r="CY1718" s="259" t="str">
        <f t="shared" ca="1" si="1543"/>
        <v>MASTRO</v>
      </c>
      <c r="CZ1718" s="259" t="e">
        <f t="shared" ca="1" si="1556"/>
        <v>#N/A</v>
      </c>
      <c r="DA1718" s="259" t="str">
        <f t="shared" ca="1" si="1561"/>
        <v/>
      </c>
      <c r="DB1718" s="259" t="str">
        <f t="shared" ca="1" si="1557"/>
        <v/>
      </c>
      <c r="DC1718" s="259" t="str">
        <f t="shared" ca="1" si="1558"/>
        <v/>
      </c>
      <c r="DD1718" s="259" t="str">
        <f t="shared" ca="1" si="1559"/>
        <v/>
      </c>
      <c r="DE1718" s="259" t="str">
        <f t="shared" ca="1" si="1560"/>
        <v/>
      </c>
      <c r="DF1718" s="259">
        <f ca="1">IF(AND(CX1718=$DE$2,$DF$2&lt;&gt;0),0,IF(AND(DB1718&lt;&gt;"",OR(DB1717&lt;&gt;"",DB1719&lt;&gt;"")),MAX($DF$2:DF1717)+1,0))</f>
        <v>0</v>
      </c>
    </row>
    <row r="1719" spans="102:110">
      <c r="CX1719" s="259">
        <f t="shared" ca="1" si="1554"/>
        <v>96</v>
      </c>
      <c r="CY1719" s="259" t="str">
        <f t="shared" ca="1" si="1543"/>
        <v>MASTRO</v>
      </c>
      <c r="CZ1719" s="259" t="e">
        <f t="shared" ca="1" si="1556"/>
        <v>#N/A</v>
      </c>
      <c r="DA1719" s="259" t="str">
        <f t="shared" ca="1" si="1561"/>
        <v/>
      </c>
      <c r="DB1719" s="259" t="str">
        <f t="shared" ca="1" si="1557"/>
        <v/>
      </c>
      <c r="DC1719" s="259" t="str">
        <f t="shared" ca="1" si="1558"/>
        <v/>
      </c>
      <c r="DD1719" s="259" t="str">
        <f t="shared" ca="1" si="1559"/>
        <v/>
      </c>
      <c r="DE1719" s="259" t="str">
        <f t="shared" ca="1" si="1560"/>
        <v/>
      </c>
      <c r="DF1719" s="259">
        <f ca="1">IF(AND(CX1719=$DE$2,$DF$2&lt;&gt;0),0,IF(AND(DB1719&lt;&gt;"",OR(DB1718&lt;&gt;"",DB1720&lt;&gt;"")),MAX($DF$2:DF1718)+1,0))</f>
        <v>0</v>
      </c>
    </row>
    <row r="1720" spans="102:110">
      <c r="CX1720" s="259">
        <f t="shared" ca="1" si="1554"/>
        <v>96</v>
      </c>
      <c r="CY1720" s="259" t="str">
        <f t="shared" ref="CY1720:CY1751" ca="1" si="1562">IF(ISERROR(INDEX($CV$3:$CX$2300,MATCH(CX1720,$CW$3:$CW$2300,0),1)),"MASTRO",INDEX($CV$3:$CX$2300,MATCH(CX1720,$CW$3:$CW$2300,0),1))</f>
        <v>MASTRO</v>
      </c>
      <c r="CZ1720" s="259" t="e">
        <f t="shared" ca="1" si="1556"/>
        <v>#N/A</v>
      </c>
      <c r="DA1720" s="259" t="str">
        <f t="shared" ca="1" si="1561"/>
        <v/>
      </c>
      <c r="DB1720" s="259" t="str">
        <f t="shared" ca="1" si="1557"/>
        <v/>
      </c>
      <c r="DC1720" s="259" t="str">
        <f t="shared" ca="1" si="1558"/>
        <v/>
      </c>
      <c r="DD1720" s="259" t="str">
        <f t="shared" ca="1" si="1559"/>
        <v/>
      </c>
      <c r="DE1720" s="259" t="str">
        <f t="shared" ca="1" si="1560"/>
        <v/>
      </c>
      <c r="DF1720" s="259">
        <f ca="1">IF(AND(CX1720=$DE$2,$DF$2&lt;&gt;0),0,IF(AND(DB1720&lt;&gt;"",OR(DB1719&lt;&gt;"",DB1721&lt;&gt;"")),MAX($DF$2:DF1719)+1,0))</f>
        <v>0</v>
      </c>
    </row>
    <row r="1721" spans="102:110">
      <c r="CX1721" s="259">
        <f t="shared" ca="1" si="1554"/>
        <v>96</v>
      </c>
      <c r="CY1721" s="259" t="str">
        <f t="shared" ca="1" si="1562"/>
        <v>MASTRO</v>
      </c>
      <c r="CZ1721" s="259" t="e">
        <f t="shared" ca="1" si="1556"/>
        <v>#N/A</v>
      </c>
      <c r="DA1721" s="259" t="str">
        <f t="shared" ca="1" si="1561"/>
        <v/>
      </c>
      <c r="DB1721" s="259" t="str">
        <f t="shared" ca="1" si="1557"/>
        <v/>
      </c>
      <c r="DC1721" s="259" t="str">
        <f t="shared" ca="1" si="1558"/>
        <v/>
      </c>
      <c r="DD1721" s="259" t="str">
        <f t="shared" ca="1" si="1559"/>
        <v/>
      </c>
      <c r="DE1721" s="259" t="str">
        <f t="shared" ca="1" si="1560"/>
        <v/>
      </c>
      <c r="DF1721" s="259">
        <f ca="1">IF(AND(CX1721=$DE$2,$DF$2&lt;&gt;0),0,IF(AND(DB1721&lt;&gt;"",OR(DB1720&lt;&gt;"",DB1722&lt;&gt;"")),MAX($DF$2:DF1720)+1,0))</f>
        <v>0</v>
      </c>
    </row>
    <row r="1722" spans="102:110">
      <c r="CX1722" s="259">
        <f t="shared" ca="1" si="1554"/>
        <v>96</v>
      </c>
      <c r="CY1722" s="259" t="str">
        <f t="shared" ca="1" si="1562"/>
        <v>MASTRO</v>
      </c>
      <c r="CZ1722" s="259" t="e">
        <f t="shared" ca="1" si="1556"/>
        <v>#N/A</v>
      </c>
      <c r="DA1722" s="259" t="str">
        <f t="shared" ca="1" si="1561"/>
        <v/>
      </c>
      <c r="DB1722" s="259" t="str">
        <f t="shared" ca="1" si="1557"/>
        <v/>
      </c>
      <c r="DC1722" s="259" t="str">
        <f t="shared" ca="1" si="1558"/>
        <v/>
      </c>
      <c r="DD1722" s="259" t="str">
        <f t="shared" ca="1" si="1559"/>
        <v/>
      </c>
      <c r="DE1722" s="259" t="str">
        <f t="shared" ca="1" si="1560"/>
        <v/>
      </c>
      <c r="DF1722" s="259">
        <f ca="1">IF(AND(CX1722=$DE$2,$DF$2&lt;&gt;0),0,IF(AND(DB1722&lt;&gt;"",OR(DB1721&lt;&gt;"",DB1723&lt;&gt;"")),MAX($DF$2:DF1721)+1,0))</f>
        <v>0</v>
      </c>
    </row>
    <row r="1723" spans="102:110">
      <c r="CX1723" s="259">
        <f t="shared" ca="1" si="1554"/>
        <v>96</v>
      </c>
      <c r="CY1723" s="259" t="str">
        <f t="shared" ca="1" si="1562"/>
        <v>MASTRO</v>
      </c>
      <c r="CZ1723" s="259" t="e">
        <f t="shared" ca="1" si="1556"/>
        <v>#N/A</v>
      </c>
      <c r="DA1723" s="259" t="str">
        <f t="shared" ca="1" si="1561"/>
        <v/>
      </c>
      <c r="DB1723" s="259" t="str">
        <f t="shared" ca="1" si="1557"/>
        <v/>
      </c>
      <c r="DC1723" s="259" t="str">
        <f t="shared" ca="1" si="1558"/>
        <v/>
      </c>
      <c r="DD1723" s="259" t="str">
        <f t="shared" ca="1" si="1559"/>
        <v/>
      </c>
      <c r="DE1723" s="259" t="str">
        <f t="shared" ca="1" si="1560"/>
        <v/>
      </c>
      <c r="DF1723" s="259">
        <f ca="1">IF(AND(CX1723=$DE$2,$DF$2&lt;&gt;0),0,IF(AND(DB1723&lt;&gt;"",OR(DB1722&lt;&gt;"",DB1724&lt;&gt;"")),MAX($DF$2:DF1722)+1,0))</f>
        <v>0</v>
      </c>
    </row>
    <row r="1724" spans="102:110">
      <c r="CX1724" s="259">
        <f t="shared" ca="1" si="1554"/>
        <v>96</v>
      </c>
      <c r="CY1724" s="259" t="str">
        <f t="shared" ca="1" si="1562"/>
        <v>MASTRO</v>
      </c>
      <c r="CZ1724" s="259" t="e">
        <f t="shared" ca="1" si="1556"/>
        <v>#N/A</v>
      </c>
      <c r="DA1724" s="259" t="str">
        <f t="shared" ca="1" si="1561"/>
        <v/>
      </c>
      <c r="DB1724" s="259" t="str">
        <f t="shared" ca="1" si="1557"/>
        <v/>
      </c>
      <c r="DC1724" s="259" t="str">
        <f t="shared" ca="1" si="1558"/>
        <v/>
      </c>
      <c r="DD1724" s="259" t="str">
        <f t="shared" ca="1" si="1559"/>
        <v/>
      </c>
      <c r="DE1724" s="259" t="str">
        <f t="shared" ca="1" si="1560"/>
        <v/>
      </c>
      <c r="DF1724" s="259">
        <f ca="1">IF(AND(CX1724=$DE$2,$DF$2&lt;&gt;0),0,IF(AND(DB1724&lt;&gt;"",OR(DB1723&lt;&gt;"",DB1725&lt;&gt;"")),MAX($DF$2:DF1723)+1,0))</f>
        <v>0</v>
      </c>
    </row>
    <row r="1725" spans="102:110">
      <c r="CX1725" s="259">
        <f t="shared" ca="1" si="1554"/>
        <v>96</v>
      </c>
      <c r="CY1725" s="259" t="str">
        <f t="shared" ca="1" si="1562"/>
        <v>MASTRO</v>
      </c>
      <c r="CZ1725" s="259" t="e">
        <f t="shared" ca="1" si="1556"/>
        <v>#N/A</v>
      </c>
      <c r="DA1725" s="259" t="str">
        <f t="shared" ca="1" si="1561"/>
        <v/>
      </c>
      <c r="DB1725" s="259" t="str">
        <f t="shared" ca="1" si="1557"/>
        <v/>
      </c>
      <c r="DC1725" s="259" t="str">
        <f t="shared" ca="1" si="1558"/>
        <v/>
      </c>
      <c r="DD1725" s="259" t="str">
        <f t="shared" ca="1" si="1559"/>
        <v/>
      </c>
      <c r="DE1725" s="259" t="str">
        <f t="shared" ca="1" si="1560"/>
        <v/>
      </c>
      <c r="DF1725" s="259">
        <f ca="1">IF(AND(CX1725=$DE$2,$DF$2&lt;&gt;0),0,IF(AND(DB1725&lt;&gt;"",OR(DB1724&lt;&gt;"",DB1726&lt;&gt;"")),MAX($DF$2:DF1724)+1,0))</f>
        <v>0</v>
      </c>
    </row>
    <row r="1726" spans="102:110">
      <c r="CX1726" s="259">
        <f t="shared" ca="1" si="1554"/>
        <v>96</v>
      </c>
      <c r="CY1726" s="259" t="str">
        <f t="shared" ca="1" si="1562"/>
        <v>MASTRO</v>
      </c>
      <c r="CZ1726" s="259" t="e">
        <f t="shared" ca="1" si="1556"/>
        <v>#N/A</v>
      </c>
      <c r="DA1726" s="259" t="str">
        <f t="shared" ca="1" si="1561"/>
        <v/>
      </c>
      <c r="DB1726" s="259" t="str">
        <f t="shared" ca="1" si="1557"/>
        <v/>
      </c>
      <c r="DC1726" s="259" t="str">
        <f t="shared" ca="1" si="1558"/>
        <v/>
      </c>
      <c r="DD1726" s="259" t="str">
        <f t="shared" ca="1" si="1559"/>
        <v/>
      </c>
      <c r="DE1726" s="259" t="str">
        <f t="shared" ca="1" si="1560"/>
        <v/>
      </c>
      <c r="DF1726" s="259">
        <f ca="1">IF(AND(CX1726=$DE$2,$DF$2&lt;&gt;0),0,IF(AND(DB1726&lt;&gt;"",OR(DB1725&lt;&gt;"",DB1727&lt;&gt;"")),MAX($DF$2:DF1725)+1,0))</f>
        <v>0</v>
      </c>
    </row>
    <row r="1727" spans="102:110">
      <c r="CX1727" s="259">
        <f t="shared" ca="1" si="1554"/>
        <v>96</v>
      </c>
      <c r="CY1727" s="259" t="str">
        <f t="shared" ca="1" si="1562"/>
        <v>MASTRO</v>
      </c>
      <c r="CZ1727" s="259" t="e">
        <f t="shared" ca="1" si="1556"/>
        <v>#N/A</v>
      </c>
      <c r="DA1727" s="259" t="str">
        <f t="shared" ca="1" si="1561"/>
        <v/>
      </c>
      <c r="DB1727" s="259" t="str">
        <f t="shared" ca="1" si="1557"/>
        <v/>
      </c>
      <c r="DC1727" s="259" t="str">
        <f t="shared" ca="1" si="1558"/>
        <v/>
      </c>
      <c r="DD1727" s="259" t="str">
        <f t="shared" ca="1" si="1559"/>
        <v/>
      </c>
      <c r="DE1727" s="259" t="str">
        <f t="shared" ca="1" si="1560"/>
        <v/>
      </c>
      <c r="DF1727" s="259">
        <f ca="1">IF(AND(CX1727=$DE$2,$DF$2&lt;&gt;0),0,IF(AND(DB1727&lt;&gt;"",OR(DB1726&lt;&gt;"",DB1728&lt;&gt;"")),MAX($DF$2:DF1726)+1,0))</f>
        <v>0</v>
      </c>
    </row>
    <row r="1728" spans="102:110">
      <c r="CX1728" s="259">
        <f t="shared" ca="1" si="1554"/>
        <v>96</v>
      </c>
      <c r="CY1728" s="259" t="str">
        <f t="shared" ca="1" si="1562"/>
        <v>MASTRO</v>
      </c>
      <c r="CZ1728" s="259" t="e">
        <f t="shared" ca="1" si="1556"/>
        <v>#N/A</v>
      </c>
      <c r="DA1728" s="259" t="str">
        <f t="shared" ca="1" si="1561"/>
        <v/>
      </c>
      <c r="DB1728" s="259" t="str">
        <f t="shared" ca="1" si="1557"/>
        <v/>
      </c>
      <c r="DC1728" s="259" t="str">
        <f t="shared" ca="1" si="1558"/>
        <v/>
      </c>
      <c r="DD1728" s="259" t="str">
        <f t="shared" ca="1" si="1559"/>
        <v/>
      </c>
      <c r="DE1728" s="259" t="str">
        <f t="shared" ca="1" si="1560"/>
        <v/>
      </c>
      <c r="DF1728" s="259">
        <f ca="1">IF(AND(CX1728=$DE$2,$DF$2&lt;&gt;0),0,IF(AND(DB1728&lt;&gt;"",OR(DB1727&lt;&gt;"",DB1729&lt;&gt;"")),MAX($DF$2:DF1727)+1,0))</f>
        <v>0</v>
      </c>
    </row>
    <row r="1729" spans="102:110">
      <c r="CX1729" s="259">
        <f t="shared" ca="1" si="1554"/>
        <v>96</v>
      </c>
      <c r="CY1729" s="259" t="str">
        <f t="shared" ca="1" si="1562"/>
        <v>MASTRO</v>
      </c>
      <c r="CZ1729" s="259" t="e">
        <f t="shared" ca="1" si="1556"/>
        <v>#N/A</v>
      </c>
      <c r="DA1729" s="259" t="str">
        <f t="shared" ca="1" si="1561"/>
        <v/>
      </c>
      <c r="DB1729" s="259" t="str">
        <f t="shared" ca="1" si="1557"/>
        <v/>
      </c>
      <c r="DC1729" s="259" t="str">
        <f t="shared" ca="1" si="1558"/>
        <v/>
      </c>
      <c r="DD1729" s="259" t="str">
        <f t="shared" ca="1" si="1559"/>
        <v/>
      </c>
      <c r="DE1729" s="259" t="str">
        <f t="shared" ca="1" si="1560"/>
        <v/>
      </c>
      <c r="DF1729" s="259">
        <f ca="1">IF(AND(CX1729=$DE$2,$DF$2&lt;&gt;0),0,IF(AND(DB1729&lt;&gt;"",OR(DB1728&lt;&gt;"",DB1730&lt;&gt;"")),MAX($DF$2:DF1728)+1,0))</f>
        <v>0</v>
      </c>
    </row>
    <row r="1730" spans="102:110">
      <c r="CX1730" s="259" t="str">
        <f>IFERROR(IF(CX1712+1=1,"",(CX1712+1)),"")</f>
        <v/>
      </c>
      <c r="CY1730" s="259" t="str">
        <f t="shared" ca="1" si="1562"/>
        <v>MASTRO</v>
      </c>
      <c r="DB1730" s="259" t="str">
        <f t="shared" ref="DB1730" ca="1" si="1563">CY1730</f>
        <v>MASTRO</v>
      </c>
      <c r="DF1730" s="259">
        <f ca="1">IF(AND(CX1730=$DE$2,$DF$2&lt;&gt;0),0,IF(AND(DB1730&lt;&gt;"",OR(DB1729&lt;&gt;"",DB1731&lt;&gt;"")),MAX($DF$2:DF1729)+1,0))</f>
        <v>0</v>
      </c>
    </row>
    <row r="1731" spans="102:110">
      <c r="CX1731" s="259">
        <f ca="1">$EA$99</f>
        <v>97</v>
      </c>
      <c r="CY1731" s="259" t="str">
        <f t="shared" ca="1" si="1562"/>
        <v>MASTRO</v>
      </c>
      <c r="DA1731" s="259" t="str">
        <f ca="1">IF(CY1730="MASTRO","Conto n.","")</f>
        <v>Conto n.</v>
      </c>
      <c r="DB1731" s="259" t="str">
        <f ca="1">IF(CY1731=0,"",INDEX(PIANO_DEI_CONTI,MATCH(DC1731,DENOMINAZIONE,0),1))</f>
        <v/>
      </c>
      <c r="DC1731" s="259" t="str">
        <f ca="1">IF(OR(CY1731=0,CY1731="mastro"),"",CY1731)</f>
        <v/>
      </c>
      <c r="DD1731" s="259" t="str">
        <f ca="1">IF(AND($DA$2=TRUE,OR(INDEX(PIANO_DEI_CONTI,MATCH($DC1731,DENOMINAZIONE,0),4)="A",INDEX(PIANO_DEI_CONTI,MATCH($DC1731,DENOMINAZIONE,0),4)="D/A"),SUMIFS(AVERE,DENOMINAZIONE_GIORNALE,"="&amp;$DC1731)&gt;SUMIFS(DARE,DENOMINAZIONE_GIORNALE,"="&amp;$DC1731)),CONCATENATE("s ",FIXED(ABS(SUMIFS(AVERE,DENOMINAZIONE_GIORNALE,"="&amp;$DC1731)-SUMIFS(DARE,DENOMINAZIONE_GIORNALE,"="&amp;$DC1731)),2)),"")</f>
        <v/>
      </c>
      <c r="DE1731" s="259" t="str">
        <f ca="1">IF(AND($DA$2=TRUE,OR(INDEX(PIANO_DEI_CONTI,MATCH($DC1731,DENOMINAZIONE,0),4)="D",INDEX(PIANO_DEI_CONTI,MATCH($DC1731,DENOMINAZIONE,0),4)="D/A"),SUMIFS(DARE,DENOMINAZIONE_GIORNALE,"="&amp;$DC1731)&gt;SUMIFS(AVERE,DENOMINAZIONE_GIORNALE,"="&amp;$DC1731)),CONCATENATE("s ",FIXED(ABS(SUMIFS(DARE,DENOMINAZIONE_GIORNALE,"="&amp;$DC1731)-SUMIFS(AVERE,DENOMINAZIONE_GIORNALE,"="&amp;$DC1731)),2)),"")</f>
        <v/>
      </c>
      <c r="DF1731" s="259">
        <f ca="1">IF(AND(CX1731=$DE$2,$DF$2&lt;&gt;0),0,IF(AND(DB1731&lt;&gt;"",OR(DB1730&lt;&gt;"",DB1732&lt;&gt;"")),MAX($DF$2:DF1730)+1,0))</f>
        <v>0</v>
      </c>
    </row>
    <row r="1732" spans="102:110">
      <c r="CX1732" s="259">
        <f t="shared" ref="CX1732:CX1747" ca="1" si="1564">$EA$99</f>
        <v>97</v>
      </c>
      <c r="CY1732" s="259" t="str">
        <f t="shared" ca="1" si="1562"/>
        <v>MASTRO</v>
      </c>
      <c r="DA1732" s="259" t="str">
        <f ca="1">IF(DB1731="","","Num. riga")</f>
        <v/>
      </c>
      <c r="DB1732" s="259" t="str">
        <f t="shared" ref="DB1732" ca="1" si="1565">IF(DB1731="","","Data")</f>
        <v/>
      </c>
      <c r="DC1732" s="259" t="str">
        <f ca="1">IF(DB1731="","","Operazioni")</f>
        <v/>
      </c>
      <c r="DD1732" s="259" t="str">
        <f ca="1">IF(DB1731="","","Dare        ")</f>
        <v/>
      </c>
      <c r="DE1732" s="259" t="str">
        <f ca="1">IF(DB1731="","","Avere        ")</f>
        <v/>
      </c>
      <c r="DF1732" s="259">
        <f ca="1">IF(AND(CX1732=$DE$2,$DF$2&lt;&gt;0),0,IF(AND(DB1732&lt;&gt;"",OR(DB1731&lt;&gt;"",DB1733&lt;&gt;"")),MAX($DF$2:DF1731)+1,0))</f>
        <v>0</v>
      </c>
    </row>
    <row r="1733" spans="102:110">
      <c r="CX1733" s="259">
        <f t="shared" ca="1" si="1564"/>
        <v>97</v>
      </c>
      <c r="CY1733" s="259" t="str">
        <f t="shared" ca="1" si="1562"/>
        <v>MASTRO</v>
      </c>
      <c r="CZ1733" s="259" t="e">
        <f t="shared" ref="CZ1733:CZ1747" ca="1" si="1566">SUM(MATCH($CY1733,INDIRECT(ADDRESS(SUM(CZ1732)+3,54)&amp;":"&amp;ADDRESS(400,54)),0),CZ1732)</f>
        <v>#N/A</v>
      </c>
      <c r="DA1733" s="259" t="str">
        <f ca="1">IFERROR(INDEX(LIBRO_GIORNALE,CZ1733,1),"")</f>
        <v/>
      </c>
      <c r="DB1733" s="259" t="str">
        <f t="shared" ref="DB1733:DB1747" ca="1" si="1567">IF(RIGHT(TEXT(IFERROR(INDEX(LIBRO_GIORNALE,CZ1733,2),""),"gg/mm/aa"),1)="a",TEXT(IFERROR(INDEX(LIBRO_GIORNALE,CZ1733,2),""),"dd/mm/yy"),TEXT(IFERROR(INDEX(LIBRO_GIORNALE,CZ1733,2),""),"gg/mm/aa"))</f>
        <v/>
      </c>
      <c r="DC1733" s="259" t="str">
        <f t="shared" ref="DC1733:DC1747" ca="1" si="1568">IF(IFERROR(INDEX(LIBRO_GIORNALE,CZ1733,4),"")=0,"manca la descrizione dell'operazione",IFERROR(INDEX(LIBRO_GIORNALE,CZ1733,4),""))</f>
        <v/>
      </c>
      <c r="DD1733" s="259" t="str">
        <f t="shared" ref="DD1733:DD1747" ca="1" si="1569">IFERROR(IF(INDEX(LIBRO_GIORNALE,CZ1733,5)&gt;0,INDEX(LIBRO_GIORNALE,CZ1733,5),""),"")</f>
        <v/>
      </c>
      <c r="DE1733" s="259" t="str">
        <f t="shared" ref="DE1733:DE1747" ca="1" si="1570">IFERROR(IF(INDEX(LIBRO_GIORNALE,CZ1733,6)&gt;0,INDEX(LIBRO_GIORNALE,CZ1733,6),""),"")</f>
        <v/>
      </c>
      <c r="DF1733" s="259">
        <f ca="1">IF(AND(CX1733=$DE$2,$DF$2&lt;&gt;0),0,IF(AND(DB1733&lt;&gt;"",OR(DB1732&lt;&gt;"",DB1734&lt;&gt;"")),MAX($DF$2:DF1732)+1,0))</f>
        <v>0</v>
      </c>
    </row>
    <row r="1734" spans="102:110">
      <c r="CX1734" s="259">
        <f t="shared" ca="1" si="1564"/>
        <v>97</v>
      </c>
      <c r="CY1734" s="259" t="str">
        <f t="shared" ca="1" si="1562"/>
        <v>MASTRO</v>
      </c>
      <c r="CZ1734" s="259" t="e">
        <f t="shared" ca="1" si="1566"/>
        <v>#N/A</v>
      </c>
      <c r="DA1734" s="259" t="str">
        <f t="shared" ref="DA1734:DA1747" ca="1" si="1571">IFERROR(INDEX(LIBRO_GIORNALE,CZ1734,1),"")</f>
        <v/>
      </c>
      <c r="DB1734" s="259" t="str">
        <f t="shared" ca="1" si="1567"/>
        <v/>
      </c>
      <c r="DC1734" s="259" t="str">
        <f t="shared" ca="1" si="1568"/>
        <v/>
      </c>
      <c r="DD1734" s="259" t="str">
        <f t="shared" ca="1" si="1569"/>
        <v/>
      </c>
      <c r="DE1734" s="259" t="str">
        <f t="shared" ca="1" si="1570"/>
        <v/>
      </c>
      <c r="DF1734" s="259">
        <f ca="1">IF(AND(CX1734=$DE$2,$DF$2&lt;&gt;0),0,IF(AND(DB1734&lt;&gt;"",OR(DB1733&lt;&gt;"",DB1735&lt;&gt;"")),MAX($DF$2:DF1733)+1,0))</f>
        <v>0</v>
      </c>
    </row>
    <row r="1735" spans="102:110">
      <c r="CX1735" s="259">
        <f t="shared" ca="1" si="1564"/>
        <v>97</v>
      </c>
      <c r="CY1735" s="259" t="str">
        <f t="shared" ca="1" si="1562"/>
        <v>MASTRO</v>
      </c>
      <c r="CZ1735" s="259" t="e">
        <f t="shared" ca="1" si="1566"/>
        <v>#N/A</v>
      </c>
      <c r="DA1735" s="259" t="str">
        <f t="shared" ca="1" si="1571"/>
        <v/>
      </c>
      <c r="DB1735" s="259" t="str">
        <f t="shared" ca="1" si="1567"/>
        <v/>
      </c>
      <c r="DC1735" s="259" t="str">
        <f t="shared" ca="1" si="1568"/>
        <v/>
      </c>
      <c r="DD1735" s="259" t="str">
        <f t="shared" ca="1" si="1569"/>
        <v/>
      </c>
      <c r="DE1735" s="259" t="str">
        <f t="shared" ca="1" si="1570"/>
        <v/>
      </c>
      <c r="DF1735" s="259">
        <f ca="1">IF(AND(CX1735=$DE$2,$DF$2&lt;&gt;0),0,IF(AND(DB1735&lt;&gt;"",OR(DB1734&lt;&gt;"",DB1736&lt;&gt;"")),MAX($DF$2:DF1734)+1,0))</f>
        <v>0</v>
      </c>
    </row>
    <row r="1736" spans="102:110">
      <c r="CX1736" s="259">
        <f t="shared" ca="1" si="1564"/>
        <v>97</v>
      </c>
      <c r="CY1736" s="259" t="str">
        <f t="shared" ca="1" si="1562"/>
        <v>MASTRO</v>
      </c>
      <c r="CZ1736" s="259" t="e">
        <f t="shared" ca="1" si="1566"/>
        <v>#N/A</v>
      </c>
      <c r="DA1736" s="259" t="str">
        <f t="shared" ca="1" si="1571"/>
        <v/>
      </c>
      <c r="DB1736" s="259" t="str">
        <f t="shared" ca="1" si="1567"/>
        <v/>
      </c>
      <c r="DC1736" s="259" t="str">
        <f t="shared" ca="1" si="1568"/>
        <v/>
      </c>
      <c r="DD1736" s="259" t="str">
        <f t="shared" ca="1" si="1569"/>
        <v/>
      </c>
      <c r="DE1736" s="259" t="str">
        <f t="shared" ca="1" si="1570"/>
        <v/>
      </c>
      <c r="DF1736" s="259">
        <f ca="1">IF(AND(CX1736=$DE$2,$DF$2&lt;&gt;0),0,IF(AND(DB1736&lt;&gt;"",OR(DB1735&lt;&gt;"",DB1737&lt;&gt;"")),MAX($DF$2:DF1735)+1,0))</f>
        <v>0</v>
      </c>
    </row>
    <row r="1737" spans="102:110">
      <c r="CX1737" s="259">
        <f t="shared" ca="1" si="1564"/>
        <v>97</v>
      </c>
      <c r="CY1737" s="259" t="str">
        <f t="shared" ca="1" si="1562"/>
        <v>MASTRO</v>
      </c>
      <c r="CZ1737" s="259" t="e">
        <f t="shared" ca="1" si="1566"/>
        <v>#N/A</v>
      </c>
      <c r="DA1737" s="259" t="str">
        <f t="shared" ca="1" si="1571"/>
        <v/>
      </c>
      <c r="DB1737" s="259" t="str">
        <f t="shared" ca="1" si="1567"/>
        <v/>
      </c>
      <c r="DC1737" s="259" t="str">
        <f t="shared" ca="1" si="1568"/>
        <v/>
      </c>
      <c r="DD1737" s="259" t="str">
        <f t="shared" ca="1" si="1569"/>
        <v/>
      </c>
      <c r="DE1737" s="259" t="str">
        <f t="shared" ca="1" si="1570"/>
        <v/>
      </c>
      <c r="DF1737" s="259">
        <f ca="1">IF(AND(CX1737=$DE$2,$DF$2&lt;&gt;0),0,IF(AND(DB1737&lt;&gt;"",OR(DB1736&lt;&gt;"",DB1738&lt;&gt;"")),MAX($DF$2:DF1736)+1,0))</f>
        <v>0</v>
      </c>
    </row>
    <row r="1738" spans="102:110">
      <c r="CX1738" s="259">
        <f t="shared" ca="1" si="1564"/>
        <v>97</v>
      </c>
      <c r="CY1738" s="259" t="str">
        <f t="shared" ca="1" si="1562"/>
        <v>MASTRO</v>
      </c>
      <c r="CZ1738" s="259" t="e">
        <f t="shared" ca="1" si="1566"/>
        <v>#N/A</v>
      </c>
      <c r="DA1738" s="259" t="str">
        <f t="shared" ca="1" si="1571"/>
        <v/>
      </c>
      <c r="DB1738" s="259" t="str">
        <f t="shared" ca="1" si="1567"/>
        <v/>
      </c>
      <c r="DC1738" s="259" t="str">
        <f t="shared" ca="1" si="1568"/>
        <v/>
      </c>
      <c r="DD1738" s="259" t="str">
        <f t="shared" ca="1" si="1569"/>
        <v/>
      </c>
      <c r="DE1738" s="259" t="str">
        <f t="shared" ca="1" si="1570"/>
        <v/>
      </c>
      <c r="DF1738" s="259">
        <f ca="1">IF(AND(CX1738=$DE$2,$DF$2&lt;&gt;0),0,IF(AND(DB1738&lt;&gt;"",OR(DB1737&lt;&gt;"",DB1739&lt;&gt;"")),MAX($DF$2:DF1737)+1,0))</f>
        <v>0</v>
      </c>
    </row>
    <row r="1739" spans="102:110">
      <c r="CX1739" s="259">
        <f t="shared" ca="1" si="1564"/>
        <v>97</v>
      </c>
      <c r="CY1739" s="259" t="str">
        <f t="shared" ca="1" si="1562"/>
        <v>MASTRO</v>
      </c>
      <c r="CZ1739" s="259" t="e">
        <f t="shared" ca="1" si="1566"/>
        <v>#N/A</v>
      </c>
      <c r="DA1739" s="259" t="str">
        <f t="shared" ca="1" si="1571"/>
        <v/>
      </c>
      <c r="DB1739" s="259" t="str">
        <f t="shared" ca="1" si="1567"/>
        <v/>
      </c>
      <c r="DC1739" s="259" t="str">
        <f t="shared" ca="1" si="1568"/>
        <v/>
      </c>
      <c r="DD1739" s="259" t="str">
        <f t="shared" ca="1" si="1569"/>
        <v/>
      </c>
      <c r="DE1739" s="259" t="str">
        <f t="shared" ca="1" si="1570"/>
        <v/>
      </c>
      <c r="DF1739" s="259">
        <f ca="1">IF(AND(CX1739=$DE$2,$DF$2&lt;&gt;0),0,IF(AND(DB1739&lt;&gt;"",OR(DB1738&lt;&gt;"",DB1740&lt;&gt;"")),MAX($DF$2:DF1738)+1,0))</f>
        <v>0</v>
      </c>
    </row>
    <row r="1740" spans="102:110">
      <c r="CX1740" s="259">
        <f t="shared" ca="1" si="1564"/>
        <v>97</v>
      </c>
      <c r="CY1740" s="259" t="str">
        <f t="shared" ca="1" si="1562"/>
        <v>MASTRO</v>
      </c>
      <c r="CZ1740" s="259" t="e">
        <f t="shared" ca="1" si="1566"/>
        <v>#N/A</v>
      </c>
      <c r="DA1740" s="259" t="str">
        <f t="shared" ca="1" si="1571"/>
        <v/>
      </c>
      <c r="DB1740" s="259" t="str">
        <f t="shared" ca="1" si="1567"/>
        <v/>
      </c>
      <c r="DC1740" s="259" t="str">
        <f t="shared" ca="1" si="1568"/>
        <v/>
      </c>
      <c r="DD1740" s="259" t="str">
        <f t="shared" ca="1" si="1569"/>
        <v/>
      </c>
      <c r="DE1740" s="259" t="str">
        <f t="shared" ca="1" si="1570"/>
        <v/>
      </c>
      <c r="DF1740" s="259">
        <f ca="1">IF(AND(CX1740=$DE$2,$DF$2&lt;&gt;0),0,IF(AND(DB1740&lt;&gt;"",OR(DB1739&lt;&gt;"",DB1741&lt;&gt;"")),MAX($DF$2:DF1739)+1,0))</f>
        <v>0</v>
      </c>
    </row>
    <row r="1741" spans="102:110">
      <c r="CX1741" s="259">
        <f t="shared" ca="1" si="1564"/>
        <v>97</v>
      </c>
      <c r="CY1741" s="259" t="str">
        <f t="shared" ca="1" si="1562"/>
        <v>MASTRO</v>
      </c>
      <c r="CZ1741" s="259" t="e">
        <f t="shared" ca="1" si="1566"/>
        <v>#N/A</v>
      </c>
      <c r="DA1741" s="259" t="str">
        <f t="shared" ca="1" si="1571"/>
        <v/>
      </c>
      <c r="DB1741" s="259" t="str">
        <f t="shared" ca="1" si="1567"/>
        <v/>
      </c>
      <c r="DC1741" s="259" t="str">
        <f t="shared" ca="1" si="1568"/>
        <v/>
      </c>
      <c r="DD1741" s="259" t="str">
        <f t="shared" ca="1" si="1569"/>
        <v/>
      </c>
      <c r="DE1741" s="259" t="str">
        <f t="shared" ca="1" si="1570"/>
        <v/>
      </c>
      <c r="DF1741" s="259">
        <f ca="1">IF(AND(CX1741=$DE$2,$DF$2&lt;&gt;0),0,IF(AND(DB1741&lt;&gt;"",OR(DB1740&lt;&gt;"",DB1742&lt;&gt;"")),MAX($DF$2:DF1740)+1,0))</f>
        <v>0</v>
      </c>
    </row>
    <row r="1742" spans="102:110">
      <c r="CX1742" s="259">
        <f t="shared" ca="1" si="1564"/>
        <v>97</v>
      </c>
      <c r="CY1742" s="259" t="str">
        <f t="shared" ca="1" si="1562"/>
        <v>MASTRO</v>
      </c>
      <c r="CZ1742" s="259" t="e">
        <f t="shared" ca="1" si="1566"/>
        <v>#N/A</v>
      </c>
      <c r="DA1742" s="259" t="str">
        <f t="shared" ca="1" si="1571"/>
        <v/>
      </c>
      <c r="DB1742" s="259" t="str">
        <f t="shared" ca="1" si="1567"/>
        <v/>
      </c>
      <c r="DC1742" s="259" t="str">
        <f t="shared" ca="1" si="1568"/>
        <v/>
      </c>
      <c r="DD1742" s="259" t="str">
        <f t="shared" ca="1" si="1569"/>
        <v/>
      </c>
      <c r="DE1742" s="259" t="str">
        <f t="shared" ca="1" si="1570"/>
        <v/>
      </c>
      <c r="DF1742" s="259">
        <f ca="1">IF(AND(CX1742=$DE$2,$DF$2&lt;&gt;0),0,IF(AND(DB1742&lt;&gt;"",OR(DB1741&lt;&gt;"",DB1743&lt;&gt;"")),MAX($DF$2:DF1741)+1,0))</f>
        <v>0</v>
      </c>
    </row>
    <row r="1743" spans="102:110">
      <c r="CX1743" s="259">
        <f t="shared" ca="1" si="1564"/>
        <v>97</v>
      </c>
      <c r="CY1743" s="259" t="str">
        <f t="shared" ca="1" si="1562"/>
        <v>MASTRO</v>
      </c>
      <c r="CZ1743" s="259" t="e">
        <f t="shared" ca="1" si="1566"/>
        <v>#N/A</v>
      </c>
      <c r="DA1743" s="259" t="str">
        <f t="shared" ca="1" si="1571"/>
        <v/>
      </c>
      <c r="DB1743" s="259" t="str">
        <f t="shared" ca="1" si="1567"/>
        <v/>
      </c>
      <c r="DC1743" s="259" t="str">
        <f t="shared" ca="1" si="1568"/>
        <v/>
      </c>
      <c r="DD1743" s="259" t="str">
        <f t="shared" ca="1" si="1569"/>
        <v/>
      </c>
      <c r="DE1743" s="259" t="str">
        <f t="shared" ca="1" si="1570"/>
        <v/>
      </c>
      <c r="DF1743" s="259">
        <f ca="1">IF(AND(CX1743=$DE$2,$DF$2&lt;&gt;0),0,IF(AND(DB1743&lt;&gt;"",OR(DB1742&lt;&gt;"",DB1744&lt;&gt;"")),MAX($DF$2:DF1742)+1,0))</f>
        <v>0</v>
      </c>
    </row>
    <row r="1744" spans="102:110">
      <c r="CX1744" s="259">
        <f t="shared" ca="1" si="1564"/>
        <v>97</v>
      </c>
      <c r="CY1744" s="259" t="str">
        <f t="shared" ca="1" si="1562"/>
        <v>MASTRO</v>
      </c>
      <c r="CZ1744" s="259" t="e">
        <f t="shared" ca="1" si="1566"/>
        <v>#N/A</v>
      </c>
      <c r="DA1744" s="259" t="str">
        <f t="shared" ca="1" si="1571"/>
        <v/>
      </c>
      <c r="DB1744" s="259" t="str">
        <f t="shared" ca="1" si="1567"/>
        <v/>
      </c>
      <c r="DC1744" s="259" t="str">
        <f t="shared" ca="1" si="1568"/>
        <v/>
      </c>
      <c r="DD1744" s="259" t="str">
        <f t="shared" ca="1" si="1569"/>
        <v/>
      </c>
      <c r="DE1744" s="259" t="str">
        <f t="shared" ca="1" si="1570"/>
        <v/>
      </c>
      <c r="DF1744" s="259">
        <f ca="1">IF(AND(CX1744=$DE$2,$DF$2&lt;&gt;0),0,IF(AND(DB1744&lt;&gt;"",OR(DB1743&lt;&gt;"",DB1745&lt;&gt;"")),MAX($DF$2:DF1743)+1,0))</f>
        <v>0</v>
      </c>
    </row>
    <row r="1745" spans="102:110">
      <c r="CX1745" s="259">
        <f t="shared" ca="1" si="1564"/>
        <v>97</v>
      </c>
      <c r="CY1745" s="259" t="str">
        <f t="shared" ca="1" si="1562"/>
        <v>MASTRO</v>
      </c>
      <c r="CZ1745" s="259" t="e">
        <f t="shared" ca="1" si="1566"/>
        <v>#N/A</v>
      </c>
      <c r="DA1745" s="259" t="str">
        <f t="shared" ca="1" si="1571"/>
        <v/>
      </c>
      <c r="DB1745" s="259" t="str">
        <f t="shared" ca="1" si="1567"/>
        <v/>
      </c>
      <c r="DC1745" s="259" t="str">
        <f t="shared" ca="1" si="1568"/>
        <v/>
      </c>
      <c r="DD1745" s="259" t="str">
        <f t="shared" ca="1" si="1569"/>
        <v/>
      </c>
      <c r="DE1745" s="259" t="str">
        <f t="shared" ca="1" si="1570"/>
        <v/>
      </c>
      <c r="DF1745" s="259">
        <f ca="1">IF(AND(CX1745=$DE$2,$DF$2&lt;&gt;0),0,IF(AND(DB1745&lt;&gt;"",OR(DB1744&lt;&gt;"",DB1746&lt;&gt;"")),MAX($DF$2:DF1744)+1,0))</f>
        <v>0</v>
      </c>
    </row>
    <row r="1746" spans="102:110">
      <c r="CX1746" s="259">
        <f t="shared" ca="1" si="1564"/>
        <v>97</v>
      </c>
      <c r="CY1746" s="259" t="str">
        <f t="shared" ca="1" si="1562"/>
        <v>MASTRO</v>
      </c>
      <c r="CZ1746" s="259" t="e">
        <f t="shared" ca="1" si="1566"/>
        <v>#N/A</v>
      </c>
      <c r="DA1746" s="259" t="str">
        <f t="shared" ca="1" si="1571"/>
        <v/>
      </c>
      <c r="DB1746" s="259" t="str">
        <f t="shared" ca="1" si="1567"/>
        <v/>
      </c>
      <c r="DC1746" s="259" t="str">
        <f t="shared" ca="1" si="1568"/>
        <v/>
      </c>
      <c r="DD1746" s="259" t="str">
        <f t="shared" ca="1" si="1569"/>
        <v/>
      </c>
      <c r="DE1746" s="259" t="str">
        <f t="shared" ca="1" si="1570"/>
        <v/>
      </c>
      <c r="DF1746" s="259">
        <f ca="1">IF(AND(CX1746=$DE$2,$DF$2&lt;&gt;0),0,IF(AND(DB1746&lt;&gt;"",OR(DB1745&lt;&gt;"",DB1747&lt;&gt;"")),MAX($DF$2:DF1745)+1,0))</f>
        <v>0</v>
      </c>
    </row>
    <row r="1747" spans="102:110">
      <c r="CX1747" s="259">
        <f t="shared" ca="1" si="1564"/>
        <v>97</v>
      </c>
      <c r="CY1747" s="259" t="str">
        <f t="shared" ca="1" si="1562"/>
        <v>MASTRO</v>
      </c>
      <c r="CZ1747" s="259" t="e">
        <f t="shared" ca="1" si="1566"/>
        <v>#N/A</v>
      </c>
      <c r="DA1747" s="259" t="str">
        <f t="shared" ca="1" si="1571"/>
        <v/>
      </c>
      <c r="DB1747" s="259" t="str">
        <f t="shared" ca="1" si="1567"/>
        <v/>
      </c>
      <c r="DC1747" s="259" t="str">
        <f t="shared" ca="1" si="1568"/>
        <v/>
      </c>
      <c r="DD1747" s="259" t="str">
        <f t="shared" ca="1" si="1569"/>
        <v/>
      </c>
      <c r="DE1747" s="259" t="str">
        <f t="shared" ca="1" si="1570"/>
        <v/>
      </c>
      <c r="DF1747" s="259">
        <f ca="1">IF(AND(CX1747=$DE$2,$DF$2&lt;&gt;0),0,IF(AND(DB1747&lt;&gt;"",OR(DB1746&lt;&gt;"",DB1748&lt;&gt;"")),MAX($DF$2:DF1746)+1,0))</f>
        <v>0</v>
      </c>
    </row>
    <row r="1748" spans="102:110">
      <c r="CX1748" s="259" t="str">
        <f>IFERROR(IF(CX1730+1=1,"",(CX1730+1)),"")</f>
        <v/>
      </c>
      <c r="CY1748" s="259" t="str">
        <f t="shared" ca="1" si="1562"/>
        <v>MASTRO</v>
      </c>
      <c r="DB1748" s="259" t="str">
        <f t="shared" ref="DB1748" ca="1" si="1572">CY1748</f>
        <v>MASTRO</v>
      </c>
      <c r="DF1748" s="259">
        <f ca="1">IF(AND(CX1748=$DE$2,$DF$2&lt;&gt;0),0,IF(AND(DB1748&lt;&gt;"",OR(DB1747&lt;&gt;"",DB1749&lt;&gt;"")),MAX($DF$2:DF1747)+1,0))</f>
        <v>0</v>
      </c>
    </row>
    <row r="1749" spans="102:110">
      <c r="CX1749" s="259">
        <f ca="1">$EA$100</f>
        <v>98</v>
      </c>
      <c r="CY1749" s="259" t="str">
        <f t="shared" ca="1" si="1562"/>
        <v>MASTRO</v>
      </c>
      <c r="DA1749" s="259" t="str">
        <f ca="1">IF(CY1748="MASTRO","Conto n.","")</f>
        <v>Conto n.</v>
      </c>
      <c r="DB1749" s="259" t="str">
        <f ca="1">IF(CY1749=0,"",INDEX(PIANO_DEI_CONTI,MATCH(DC1749,DENOMINAZIONE,0),1))</f>
        <v/>
      </c>
      <c r="DC1749" s="259" t="str">
        <f ca="1">IF(OR(CY1749=0,CY1749="mastro"),"",CY1749)</f>
        <v/>
      </c>
      <c r="DD1749" s="259" t="str">
        <f ca="1">IF(AND($DA$2=TRUE,OR(INDEX(PIANO_DEI_CONTI,MATCH($DC1749,DENOMINAZIONE,0),4)="A",INDEX(PIANO_DEI_CONTI,MATCH($DC1749,DENOMINAZIONE,0),4)="D/A"),SUMIFS(AVERE,DENOMINAZIONE_GIORNALE,"="&amp;$DC1749)&gt;SUMIFS(DARE,DENOMINAZIONE_GIORNALE,"="&amp;$DC1749)),CONCATENATE("s ",FIXED(ABS(SUMIFS(AVERE,DENOMINAZIONE_GIORNALE,"="&amp;$DC1749)-SUMIFS(DARE,DENOMINAZIONE_GIORNALE,"="&amp;$DC1749)),2)),"")</f>
        <v/>
      </c>
      <c r="DE1749" s="259" t="str">
        <f ca="1">IF(AND($DA$2=TRUE,OR(INDEX(PIANO_DEI_CONTI,MATCH($DC1749,DENOMINAZIONE,0),4)="D",INDEX(PIANO_DEI_CONTI,MATCH($DC1749,DENOMINAZIONE,0),4)="D/A"),SUMIFS(DARE,DENOMINAZIONE_GIORNALE,"="&amp;$DC1749)&gt;SUMIFS(AVERE,DENOMINAZIONE_GIORNALE,"="&amp;$DC1749)),CONCATENATE("s ",FIXED(ABS(SUMIFS(DARE,DENOMINAZIONE_GIORNALE,"="&amp;$DC1749)-SUMIFS(AVERE,DENOMINAZIONE_GIORNALE,"="&amp;$DC1749)),2)),"")</f>
        <v/>
      </c>
      <c r="DF1749" s="259">
        <f ca="1">IF(AND(CX1749=$DE$2,$DF$2&lt;&gt;0),0,IF(AND(DB1749&lt;&gt;"",OR(DB1748&lt;&gt;"",DB1750&lt;&gt;"")),MAX($DF$2:DF1748)+1,0))</f>
        <v>0</v>
      </c>
    </row>
    <row r="1750" spans="102:110">
      <c r="CX1750" s="259">
        <f t="shared" ref="CX1750:CX1765" ca="1" si="1573">$EA$100</f>
        <v>98</v>
      </c>
      <c r="CY1750" s="259" t="str">
        <f t="shared" ca="1" si="1562"/>
        <v>MASTRO</v>
      </c>
      <c r="DA1750" s="259" t="str">
        <f ca="1">IF(DB1749="","","Num. riga")</f>
        <v/>
      </c>
      <c r="DB1750" s="259" t="str">
        <f t="shared" ref="DB1750" ca="1" si="1574">IF(DB1749="","","Data")</f>
        <v/>
      </c>
      <c r="DC1750" s="259" t="str">
        <f ca="1">IF(DB1749="","","Operazioni")</f>
        <v/>
      </c>
      <c r="DD1750" s="259" t="str">
        <f ca="1">IF(DB1749="","","Dare        ")</f>
        <v/>
      </c>
      <c r="DE1750" s="259" t="str">
        <f ca="1">IF(DB1749="","","Avere        ")</f>
        <v/>
      </c>
      <c r="DF1750" s="259">
        <f ca="1">IF(AND(CX1750=$DE$2,$DF$2&lt;&gt;0),0,IF(AND(DB1750&lt;&gt;"",OR(DB1749&lt;&gt;"",DB1751&lt;&gt;"")),MAX($DF$2:DF1749)+1,0))</f>
        <v>0</v>
      </c>
    </row>
    <row r="1751" spans="102:110">
      <c r="CX1751" s="259">
        <f t="shared" ca="1" si="1573"/>
        <v>98</v>
      </c>
      <c r="CY1751" s="259" t="str">
        <f t="shared" ca="1" si="1562"/>
        <v>MASTRO</v>
      </c>
      <c r="CZ1751" s="259" t="e">
        <f t="shared" ref="CZ1751:CZ1765" ca="1" si="1575">SUM(MATCH($CY1751,INDIRECT(ADDRESS(SUM(CZ1750)+3,54)&amp;":"&amp;ADDRESS(400,54)),0),CZ1750)</f>
        <v>#N/A</v>
      </c>
      <c r="DA1751" s="259" t="str">
        <f ca="1">IFERROR(INDEX(LIBRO_GIORNALE,CZ1751,1),"")</f>
        <v/>
      </c>
      <c r="DB1751" s="259" t="str">
        <f t="shared" ref="DB1751:DB1765" ca="1" si="1576">IF(RIGHT(TEXT(IFERROR(INDEX(LIBRO_GIORNALE,CZ1751,2),""),"gg/mm/aa"),1)="a",TEXT(IFERROR(INDEX(LIBRO_GIORNALE,CZ1751,2),""),"dd/mm/yy"),TEXT(IFERROR(INDEX(LIBRO_GIORNALE,CZ1751,2),""),"gg/mm/aa"))</f>
        <v/>
      </c>
      <c r="DC1751" s="259" t="str">
        <f t="shared" ref="DC1751:DC1765" ca="1" si="1577">IF(IFERROR(INDEX(LIBRO_GIORNALE,CZ1751,4),"")=0,"manca la descrizione dell'operazione",IFERROR(INDEX(LIBRO_GIORNALE,CZ1751,4),""))</f>
        <v/>
      </c>
      <c r="DD1751" s="259" t="str">
        <f t="shared" ref="DD1751:DD1765" ca="1" si="1578">IFERROR(IF(INDEX(LIBRO_GIORNALE,CZ1751,5)&gt;0,INDEX(LIBRO_GIORNALE,CZ1751,5),""),"")</f>
        <v/>
      </c>
      <c r="DE1751" s="259" t="str">
        <f t="shared" ref="DE1751:DE1765" ca="1" si="1579">IFERROR(IF(INDEX(LIBRO_GIORNALE,CZ1751,6)&gt;0,INDEX(LIBRO_GIORNALE,CZ1751,6),""),"")</f>
        <v/>
      </c>
      <c r="DF1751" s="259">
        <f ca="1">IF(AND(CX1751=$DE$2,$DF$2&lt;&gt;0),0,IF(AND(DB1751&lt;&gt;"",OR(DB1750&lt;&gt;"",DB1752&lt;&gt;"")),MAX($DF$2:DF1750)+1,0))</f>
        <v>0</v>
      </c>
    </row>
    <row r="1752" spans="102:110">
      <c r="CX1752" s="259">
        <f t="shared" ca="1" si="1573"/>
        <v>98</v>
      </c>
      <c r="CY1752" s="259" t="str">
        <f t="shared" ref="CY1752:CY1783" ca="1" si="1580">IF(ISERROR(INDEX($CV$3:$CX$2300,MATCH(CX1752,$CW$3:$CW$2300,0),1)),"MASTRO",INDEX($CV$3:$CX$2300,MATCH(CX1752,$CW$3:$CW$2300,0),1))</f>
        <v>MASTRO</v>
      </c>
      <c r="CZ1752" s="259" t="e">
        <f t="shared" ca="1" si="1575"/>
        <v>#N/A</v>
      </c>
      <c r="DA1752" s="259" t="str">
        <f t="shared" ref="DA1752:DA1765" ca="1" si="1581">IFERROR(INDEX(LIBRO_GIORNALE,CZ1752,1),"")</f>
        <v/>
      </c>
      <c r="DB1752" s="259" t="str">
        <f t="shared" ca="1" si="1576"/>
        <v/>
      </c>
      <c r="DC1752" s="259" t="str">
        <f t="shared" ca="1" si="1577"/>
        <v/>
      </c>
      <c r="DD1752" s="259" t="str">
        <f t="shared" ca="1" si="1578"/>
        <v/>
      </c>
      <c r="DE1752" s="259" t="str">
        <f t="shared" ca="1" si="1579"/>
        <v/>
      </c>
      <c r="DF1752" s="259">
        <f ca="1">IF(AND(CX1752=$DE$2,$DF$2&lt;&gt;0),0,IF(AND(DB1752&lt;&gt;"",OR(DB1751&lt;&gt;"",DB1753&lt;&gt;"")),MAX($DF$2:DF1751)+1,0))</f>
        <v>0</v>
      </c>
    </row>
    <row r="1753" spans="102:110">
      <c r="CX1753" s="259">
        <f t="shared" ca="1" si="1573"/>
        <v>98</v>
      </c>
      <c r="CY1753" s="259" t="str">
        <f t="shared" ca="1" si="1580"/>
        <v>MASTRO</v>
      </c>
      <c r="CZ1753" s="259" t="e">
        <f t="shared" ca="1" si="1575"/>
        <v>#N/A</v>
      </c>
      <c r="DA1753" s="259" t="str">
        <f t="shared" ca="1" si="1581"/>
        <v/>
      </c>
      <c r="DB1753" s="259" t="str">
        <f t="shared" ca="1" si="1576"/>
        <v/>
      </c>
      <c r="DC1753" s="259" t="str">
        <f t="shared" ca="1" si="1577"/>
        <v/>
      </c>
      <c r="DD1753" s="259" t="str">
        <f t="shared" ca="1" si="1578"/>
        <v/>
      </c>
      <c r="DE1753" s="259" t="str">
        <f t="shared" ca="1" si="1579"/>
        <v/>
      </c>
      <c r="DF1753" s="259">
        <f ca="1">IF(AND(CX1753=$DE$2,$DF$2&lt;&gt;0),0,IF(AND(DB1753&lt;&gt;"",OR(DB1752&lt;&gt;"",DB1754&lt;&gt;"")),MAX($DF$2:DF1752)+1,0))</f>
        <v>0</v>
      </c>
    </row>
    <row r="1754" spans="102:110">
      <c r="CX1754" s="259">
        <f t="shared" ca="1" si="1573"/>
        <v>98</v>
      </c>
      <c r="CY1754" s="259" t="str">
        <f t="shared" ca="1" si="1580"/>
        <v>MASTRO</v>
      </c>
      <c r="CZ1754" s="259" t="e">
        <f t="shared" ca="1" si="1575"/>
        <v>#N/A</v>
      </c>
      <c r="DA1754" s="259" t="str">
        <f t="shared" ca="1" si="1581"/>
        <v/>
      </c>
      <c r="DB1754" s="259" t="str">
        <f t="shared" ca="1" si="1576"/>
        <v/>
      </c>
      <c r="DC1754" s="259" t="str">
        <f t="shared" ca="1" si="1577"/>
        <v/>
      </c>
      <c r="DD1754" s="259" t="str">
        <f t="shared" ca="1" si="1578"/>
        <v/>
      </c>
      <c r="DE1754" s="259" t="str">
        <f t="shared" ca="1" si="1579"/>
        <v/>
      </c>
      <c r="DF1754" s="259">
        <f ca="1">IF(AND(CX1754=$DE$2,$DF$2&lt;&gt;0),0,IF(AND(DB1754&lt;&gt;"",OR(DB1753&lt;&gt;"",DB1755&lt;&gt;"")),MAX($DF$2:DF1753)+1,0))</f>
        <v>0</v>
      </c>
    </row>
    <row r="1755" spans="102:110">
      <c r="CX1755" s="259">
        <f t="shared" ca="1" si="1573"/>
        <v>98</v>
      </c>
      <c r="CY1755" s="259" t="str">
        <f t="shared" ca="1" si="1580"/>
        <v>MASTRO</v>
      </c>
      <c r="CZ1755" s="259" t="e">
        <f t="shared" ca="1" si="1575"/>
        <v>#N/A</v>
      </c>
      <c r="DA1755" s="259" t="str">
        <f t="shared" ca="1" si="1581"/>
        <v/>
      </c>
      <c r="DB1755" s="259" t="str">
        <f t="shared" ca="1" si="1576"/>
        <v/>
      </c>
      <c r="DC1755" s="259" t="str">
        <f t="shared" ca="1" si="1577"/>
        <v/>
      </c>
      <c r="DD1755" s="259" t="str">
        <f t="shared" ca="1" si="1578"/>
        <v/>
      </c>
      <c r="DE1755" s="259" t="str">
        <f t="shared" ca="1" si="1579"/>
        <v/>
      </c>
      <c r="DF1755" s="259">
        <f ca="1">IF(AND(CX1755=$DE$2,$DF$2&lt;&gt;0),0,IF(AND(DB1755&lt;&gt;"",OR(DB1754&lt;&gt;"",DB1756&lt;&gt;"")),MAX($DF$2:DF1754)+1,0))</f>
        <v>0</v>
      </c>
    </row>
    <row r="1756" spans="102:110">
      <c r="CX1756" s="259">
        <f t="shared" ca="1" si="1573"/>
        <v>98</v>
      </c>
      <c r="CY1756" s="259" t="str">
        <f t="shared" ca="1" si="1580"/>
        <v>MASTRO</v>
      </c>
      <c r="CZ1756" s="259" t="e">
        <f t="shared" ca="1" si="1575"/>
        <v>#N/A</v>
      </c>
      <c r="DA1756" s="259" t="str">
        <f t="shared" ca="1" si="1581"/>
        <v/>
      </c>
      <c r="DB1756" s="259" t="str">
        <f t="shared" ca="1" si="1576"/>
        <v/>
      </c>
      <c r="DC1756" s="259" t="str">
        <f t="shared" ca="1" si="1577"/>
        <v/>
      </c>
      <c r="DD1756" s="259" t="str">
        <f t="shared" ca="1" si="1578"/>
        <v/>
      </c>
      <c r="DE1756" s="259" t="str">
        <f t="shared" ca="1" si="1579"/>
        <v/>
      </c>
      <c r="DF1756" s="259">
        <f ca="1">IF(AND(CX1756=$DE$2,$DF$2&lt;&gt;0),0,IF(AND(DB1756&lt;&gt;"",OR(DB1755&lt;&gt;"",DB1757&lt;&gt;"")),MAX($DF$2:DF1755)+1,0))</f>
        <v>0</v>
      </c>
    </row>
    <row r="1757" spans="102:110">
      <c r="CX1757" s="259">
        <f t="shared" ca="1" si="1573"/>
        <v>98</v>
      </c>
      <c r="CY1757" s="259" t="str">
        <f t="shared" ca="1" si="1580"/>
        <v>MASTRO</v>
      </c>
      <c r="CZ1757" s="259" t="e">
        <f t="shared" ca="1" si="1575"/>
        <v>#N/A</v>
      </c>
      <c r="DA1757" s="259" t="str">
        <f t="shared" ca="1" si="1581"/>
        <v/>
      </c>
      <c r="DB1757" s="259" t="str">
        <f t="shared" ca="1" si="1576"/>
        <v/>
      </c>
      <c r="DC1757" s="259" t="str">
        <f t="shared" ca="1" si="1577"/>
        <v/>
      </c>
      <c r="DD1757" s="259" t="str">
        <f t="shared" ca="1" si="1578"/>
        <v/>
      </c>
      <c r="DE1757" s="259" t="str">
        <f t="shared" ca="1" si="1579"/>
        <v/>
      </c>
      <c r="DF1757" s="259">
        <f ca="1">IF(AND(CX1757=$DE$2,$DF$2&lt;&gt;0),0,IF(AND(DB1757&lt;&gt;"",OR(DB1756&lt;&gt;"",DB1758&lt;&gt;"")),MAX($DF$2:DF1756)+1,0))</f>
        <v>0</v>
      </c>
    </row>
    <row r="1758" spans="102:110">
      <c r="CX1758" s="259">
        <f t="shared" ca="1" si="1573"/>
        <v>98</v>
      </c>
      <c r="CY1758" s="259" t="str">
        <f t="shared" ca="1" si="1580"/>
        <v>MASTRO</v>
      </c>
      <c r="CZ1758" s="259" t="e">
        <f t="shared" ca="1" si="1575"/>
        <v>#N/A</v>
      </c>
      <c r="DA1758" s="259" t="str">
        <f t="shared" ca="1" si="1581"/>
        <v/>
      </c>
      <c r="DB1758" s="259" t="str">
        <f t="shared" ca="1" si="1576"/>
        <v/>
      </c>
      <c r="DC1758" s="259" t="str">
        <f t="shared" ca="1" si="1577"/>
        <v/>
      </c>
      <c r="DD1758" s="259" t="str">
        <f t="shared" ca="1" si="1578"/>
        <v/>
      </c>
      <c r="DE1758" s="259" t="str">
        <f t="shared" ca="1" si="1579"/>
        <v/>
      </c>
      <c r="DF1758" s="259">
        <f ca="1">IF(AND(CX1758=$DE$2,$DF$2&lt;&gt;0),0,IF(AND(DB1758&lt;&gt;"",OR(DB1757&lt;&gt;"",DB1759&lt;&gt;"")),MAX($DF$2:DF1757)+1,0))</f>
        <v>0</v>
      </c>
    </row>
    <row r="1759" spans="102:110">
      <c r="CX1759" s="259">
        <f t="shared" ca="1" si="1573"/>
        <v>98</v>
      </c>
      <c r="CY1759" s="259" t="str">
        <f t="shared" ca="1" si="1580"/>
        <v>MASTRO</v>
      </c>
      <c r="CZ1759" s="259" t="e">
        <f t="shared" ca="1" si="1575"/>
        <v>#N/A</v>
      </c>
      <c r="DA1759" s="259" t="str">
        <f t="shared" ca="1" si="1581"/>
        <v/>
      </c>
      <c r="DB1759" s="259" t="str">
        <f t="shared" ca="1" si="1576"/>
        <v/>
      </c>
      <c r="DC1759" s="259" t="str">
        <f t="shared" ca="1" si="1577"/>
        <v/>
      </c>
      <c r="DD1759" s="259" t="str">
        <f t="shared" ca="1" si="1578"/>
        <v/>
      </c>
      <c r="DE1759" s="259" t="str">
        <f t="shared" ca="1" si="1579"/>
        <v/>
      </c>
      <c r="DF1759" s="259">
        <f ca="1">IF(AND(CX1759=$DE$2,$DF$2&lt;&gt;0),0,IF(AND(DB1759&lt;&gt;"",OR(DB1758&lt;&gt;"",DB1760&lt;&gt;"")),MAX($DF$2:DF1758)+1,0))</f>
        <v>0</v>
      </c>
    </row>
    <row r="1760" spans="102:110">
      <c r="CX1760" s="259">
        <f t="shared" ca="1" si="1573"/>
        <v>98</v>
      </c>
      <c r="CY1760" s="259" t="str">
        <f t="shared" ca="1" si="1580"/>
        <v>MASTRO</v>
      </c>
      <c r="CZ1760" s="259" t="e">
        <f t="shared" ca="1" si="1575"/>
        <v>#N/A</v>
      </c>
      <c r="DA1760" s="259" t="str">
        <f t="shared" ca="1" si="1581"/>
        <v/>
      </c>
      <c r="DB1760" s="259" t="str">
        <f t="shared" ca="1" si="1576"/>
        <v/>
      </c>
      <c r="DC1760" s="259" t="str">
        <f t="shared" ca="1" si="1577"/>
        <v/>
      </c>
      <c r="DD1760" s="259" t="str">
        <f t="shared" ca="1" si="1578"/>
        <v/>
      </c>
      <c r="DE1760" s="259" t="str">
        <f t="shared" ca="1" si="1579"/>
        <v/>
      </c>
      <c r="DF1760" s="259">
        <f ca="1">IF(AND(CX1760=$DE$2,$DF$2&lt;&gt;0),0,IF(AND(DB1760&lt;&gt;"",OR(DB1759&lt;&gt;"",DB1761&lt;&gt;"")),MAX($DF$2:DF1759)+1,0))</f>
        <v>0</v>
      </c>
    </row>
    <row r="1761" spans="102:110">
      <c r="CX1761" s="259">
        <f t="shared" ca="1" si="1573"/>
        <v>98</v>
      </c>
      <c r="CY1761" s="259" t="str">
        <f t="shared" ca="1" si="1580"/>
        <v>MASTRO</v>
      </c>
      <c r="CZ1761" s="259" t="e">
        <f t="shared" ca="1" si="1575"/>
        <v>#N/A</v>
      </c>
      <c r="DA1761" s="259" t="str">
        <f t="shared" ca="1" si="1581"/>
        <v/>
      </c>
      <c r="DB1761" s="259" t="str">
        <f t="shared" ca="1" si="1576"/>
        <v/>
      </c>
      <c r="DC1761" s="259" t="str">
        <f t="shared" ca="1" si="1577"/>
        <v/>
      </c>
      <c r="DD1761" s="259" t="str">
        <f t="shared" ca="1" si="1578"/>
        <v/>
      </c>
      <c r="DE1761" s="259" t="str">
        <f t="shared" ca="1" si="1579"/>
        <v/>
      </c>
      <c r="DF1761" s="259">
        <f ca="1">IF(AND(CX1761=$DE$2,$DF$2&lt;&gt;0),0,IF(AND(DB1761&lt;&gt;"",OR(DB1760&lt;&gt;"",DB1762&lt;&gt;"")),MAX($DF$2:DF1760)+1,0))</f>
        <v>0</v>
      </c>
    </row>
    <row r="1762" spans="102:110">
      <c r="CX1762" s="259">
        <f t="shared" ca="1" si="1573"/>
        <v>98</v>
      </c>
      <c r="CY1762" s="259" t="str">
        <f t="shared" ca="1" si="1580"/>
        <v>MASTRO</v>
      </c>
      <c r="CZ1762" s="259" t="e">
        <f t="shared" ca="1" si="1575"/>
        <v>#N/A</v>
      </c>
      <c r="DA1762" s="259" t="str">
        <f t="shared" ca="1" si="1581"/>
        <v/>
      </c>
      <c r="DB1762" s="259" t="str">
        <f t="shared" ca="1" si="1576"/>
        <v/>
      </c>
      <c r="DC1762" s="259" t="str">
        <f t="shared" ca="1" si="1577"/>
        <v/>
      </c>
      <c r="DD1762" s="259" t="str">
        <f t="shared" ca="1" si="1578"/>
        <v/>
      </c>
      <c r="DE1762" s="259" t="str">
        <f t="shared" ca="1" si="1579"/>
        <v/>
      </c>
      <c r="DF1762" s="259">
        <f ca="1">IF(AND(CX1762=$DE$2,$DF$2&lt;&gt;0),0,IF(AND(DB1762&lt;&gt;"",OR(DB1761&lt;&gt;"",DB1763&lt;&gt;"")),MAX($DF$2:DF1761)+1,0))</f>
        <v>0</v>
      </c>
    </row>
    <row r="1763" spans="102:110">
      <c r="CX1763" s="259">
        <f t="shared" ca="1" si="1573"/>
        <v>98</v>
      </c>
      <c r="CY1763" s="259" t="str">
        <f t="shared" ca="1" si="1580"/>
        <v>MASTRO</v>
      </c>
      <c r="CZ1763" s="259" t="e">
        <f t="shared" ca="1" si="1575"/>
        <v>#N/A</v>
      </c>
      <c r="DA1763" s="259" t="str">
        <f t="shared" ca="1" si="1581"/>
        <v/>
      </c>
      <c r="DB1763" s="259" t="str">
        <f t="shared" ca="1" si="1576"/>
        <v/>
      </c>
      <c r="DC1763" s="259" t="str">
        <f t="shared" ca="1" si="1577"/>
        <v/>
      </c>
      <c r="DD1763" s="259" t="str">
        <f t="shared" ca="1" si="1578"/>
        <v/>
      </c>
      <c r="DE1763" s="259" t="str">
        <f t="shared" ca="1" si="1579"/>
        <v/>
      </c>
      <c r="DF1763" s="259">
        <f ca="1">IF(AND(CX1763=$DE$2,$DF$2&lt;&gt;0),0,IF(AND(DB1763&lt;&gt;"",OR(DB1762&lt;&gt;"",DB1764&lt;&gt;"")),MAX($DF$2:DF1762)+1,0))</f>
        <v>0</v>
      </c>
    </row>
    <row r="1764" spans="102:110">
      <c r="CX1764" s="259">
        <f t="shared" ca="1" si="1573"/>
        <v>98</v>
      </c>
      <c r="CY1764" s="259" t="str">
        <f t="shared" ca="1" si="1580"/>
        <v>MASTRO</v>
      </c>
      <c r="CZ1764" s="259" t="e">
        <f t="shared" ca="1" si="1575"/>
        <v>#N/A</v>
      </c>
      <c r="DA1764" s="259" t="str">
        <f t="shared" ca="1" si="1581"/>
        <v/>
      </c>
      <c r="DB1764" s="259" t="str">
        <f t="shared" ca="1" si="1576"/>
        <v/>
      </c>
      <c r="DC1764" s="259" t="str">
        <f t="shared" ca="1" si="1577"/>
        <v/>
      </c>
      <c r="DD1764" s="259" t="str">
        <f t="shared" ca="1" si="1578"/>
        <v/>
      </c>
      <c r="DE1764" s="259" t="str">
        <f t="shared" ca="1" si="1579"/>
        <v/>
      </c>
      <c r="DF1764" s="259">
        <f ca="1">IF(AND(CX1764=$DE$2,$DF$2&lt;&gt;0),0,IF(AND(DB1764&lt;&gt;"",OR(DB1763&lt;&gt;"",DB1765&lt;&gt;"")),MAX($DF$2:DF1763)+1,0))</f>
        <v>0</v>
      </c>
    </row>
    <row r="1765" spans="102:110">
      <c r="CX1765" s="259">
        <f t="shared" ca="1" si="1573"/>
        <v>98</v>
      </c>
      <c r="CY1765" s="259" t="str">
        <f t="shared" ca="1" si="1580"/>
        <v>MASTRO</v>
      </c>
      <c r="CZ1765" s="259" t="e">
        <f t="shared" ca="1" si="1575"/>
        <v>#N/A</v>
      </c>
      <c r="DA1765" s="259" t="str">
        <f t="shared" ca="1" si="1581"/>
        <v/>
      </c>
      <c r="DB1765" s="259" t="str">
        <f t="shared" ca="1" si="1576"/>
        <v/>
      </c>
      <c r="DC1765" s="259" t="str">
        <f t="shared" ca="1" si="1577"/>
        <v/>
      </c>
      <c r="DD1765" s="259" t="str">
        <f t="shared" ca="1" si="1578"/>
        <v/>
      </c>
      <c r="DE1765" s="259" t="str">
        <f t="shared" ca="1" si="1579"/>
        <v/>
      </c>
      <c r="DF1765" s="259">
        <f ca="1">IF(AND(CX1765=$DE$2,$DF$2&lt;&gt;0),0,IF(AND(DB1765&lt;&gt;"",OR(DB1764&lt;&gt;"",DB1766&lt;&gt;"")),MAX($DF$2:DF1764)+1,0))</f>
        <v>0</v>
      </c>
    </row>
    <row r="1766" spans="102:110">
      <c r="CX1766" s="259" t="str">
        <f>IFERROR(IF(CX1748+1=1,"",(CX1748+1)),"")</f>
        <v/>
      </c>
      <c r="CY1766" s="259" t="str">
        <f t="shared" ca="1" si="1580"/>
        <v>MASTRO</v>
      </c>
      <c r="DB1766" s="259" t="str">
        <f t="shared" ref="DB1766" ca="1" si="1582">CY1766</f>
        <v>MASTRO</v>
      </c>
      <c r="DF1766" s="259">
        <f ca="1">IF(AND(CX1766=$DE$2,$DF$2&lt;&gt;0),0,IF(AND(DB1766&lt;&gt;"",OR(DB1765&lt;&gt;"",DB1767&lt;&gt;"")),MAX($DF$2:DF1765)+1,0))</f>
        <v>0</v>
      </c>
    </row>
    <row r="1767" spans="102:110">
      <c r="CX1767" s="259">
        <f ca="1">$EA$101</f>
        <v>99</v>
      </c>
      <c r="CY1767" s="259" t="str">
        <f t="shared" ca="1" si="1580"/>
        <v>MASTRO</v>
      </c>
      <c r="DA1767" s="259" t="str">
        <f ca="1">IF(CY1766="MASTRO","Conto n.","")</f>
        <v>Conto n.</v>
      </c>
      <c r="DB1767" s="259" t="str">
        <f ca="1">IF(CY1767=0,"",INDEX(PIANO_DEI_CONTI,MATCH(DC1767,DENOMINAZIONE,0),1))</f>
        <v/>
      </c>
      <c r="DC1767" s="259" t="str">
        <f ca="1">IF(OR(CY1767=0,CY1767="mastro"),"",CY1767)</f>
        <v/>
      </c>
      <c r="DD1767" s="259" t="str">
        <f ca="1">IF(AND($DA$2=TRUE,OR(INDEX(PIANO_DEI_CONTI,MATCH($DC1767,DENOMINAZIONE,0),4)="A",INDEX(PIANO_DEI_CONTI,MATCH($DC1767,DENOMINAZIONE,0),4)="D/A"),SUMIFS(AVERE,DENOMINAZIONE_GIORNALE,"="&amp;$DC1767)&gt;SUMIFS(DARE,DENOMINAZIONE_GIORNALE,"="&amp;$DC1767)),CONCATENATE("s ",FIXED(ABS(SUMIFS(AVERE,DENOMINAZIONE_GIORNALE,"="&amp;$DC1767)-SUMIFS(DARE,DENOMINAZIONE_GIORNALE,"="&amp;$DC1767)),2)),"")</f>
        <v/>
      </c>
      <c r="DE1767" s="259" t="str">
        <f ca="1">IF(AND($DA$2=TRUE,OR(INDEX(PIANO_DEI_CONTI,MATCH($DC1767,DENOMINAZIONE,0),4)="D",INDEX(PIANO_DEI_CONTI,MATCH($DC1767,DENOMINAZIONE,0),4)="D/A"),SUMIFS(DARE,DENOMINAZIONE_GIORNALE,"="&amp;$DC1767)&gt;SUMIFS(AVERE,DENOMINAZIONE_GIORNALE,"="&amp;$DC1767)),CONCATENATE("s ",FIXED(ABS(SUMIFS(DARE,DENOMINAZIONE_GIORNALE,"="&amp;$DC1767)-SUMIFS(AVERE,DENOMINAZIONE_GIORNALE,"="&amp;$DC1767)),2)),"")</f>
        <v/>
      </c>
      <c r="DF1767" s="259">
        <f ca="1">IF(AND(CX1767=$DE$2,$DF$2&lt;&gt;0),0,IF(AND(DB1767&lt;&gt;"",OR(DB1766&lt;&gt;"",DB1768&lt;&gt;"")),MAX($DF$2:DF1766)+1,0))</f>
        <v>0</v>
      </c>
    </row>
    <row r="1768" spans="102:110">
      <c r="CX1768" s="259">
        <f t="shared" ref="CX1768:CX1783" ca="1" si="1583">$EA$101</f>
        <v>99</v>
      </c>
      <c r="CY1768" s="259" t="str">
        <f t="shared" ca="1" si="1580"/>
        <v>MASTRO</v>
      </c>
      <c r="DA1768" s="259" t="str">
        <f ca="1">IF(DB1767="","","Num. riga")</f>
        <v/>
      </c>
      <c r="DB1768" s="259" t="str">
        <f t="shared" ref="DB1768" ca="1" si="1584">IF(DB1767="","","Data")</f>
        <v/>
      </c>
      <c r="DC1768" s="259" t="str">
        <f ca="1">IF(DB1767="","","Operazioni")</f>
        <v/>
      </c>
      <c r="DD1768" s="259" t="str">
        <f ca="1">IF(DB1767="","","Dare        ")</f>
        <v/>
      </c>
      <c r="DE1768" s="259" t="str">
        <f ca="1">IF(DB1767="","","Avere        ")</f>
        <v/>
      </c>
      <c r="DF1768" s="259">
        <f ca="1">IF(AND(CX1768=$DE$2,$DF$2&lt;&gt;0),0,IF(AND(DB1768&lt;&gt;"",OR(DB1767&lt;&gt;"",DB1769&lt;&gt;"")),MAX($DF$2:DF1767)+1,0))</f>
        <v>0</v>
      </c>
    </row>
    <row r="1769" spans="102:110">
      <c r="CX1769" s="259">
        <f t="shared" ca="1" si="1583"/>
        <v>99</v>
      </c>
      <c r="CY1769" s="259" t="str">
        <f t="shared" ca="1" si="1580"/>
        <v>MASTRO</v>
      </c>
      <c r="CZ1769" s="259" t="e">
        <f t="shared" ref="CZ1769:CZ1783" ca="1" si="1585">SUM(MATCH($CY1769,INDIRECT(ADDRESS(SUM(CZ1768)+3,54)&amp;":"&amp;ADDRESS(400,54)),0),CZ1768)</f>
        <v>#N/A</v>
      </c>
      <c r="DA1769" s="259" t="str">
        <f ca="1">IFERROR(INDEX(LIBRO_GIORNALE,CZ1769,1),"")</f>
        <v/>
      </c>
      <c r="DB1769" s="259" t="str">
        <f t="shared" ref="DB1769:DB1783" ca="1" si="1586">IF(RIGHT(TEXT(IFERROR(INDEX(LIBRO_GIORNALE,CZ1769,2),""),"gg/mm/aa"),1)="a",TEXT(IFERROR(INDEX(LIBRO_GIORNALE,CZ1769,2),""),"dd/mm/yy"),TEXT(IFERROR(INDEX(LIBRO_GIORNALE,CZ1769,2),""),"gg/mm/aa"))</f>
        <v/>
      </c>
      <c r="DC1769" s="259" t="str">
        <f t="shared" ref="DC1769:DC1783" ca="1" si="1587">IF(IFERROR(INDEX(LIBRO_GIORNALE,CZ1769,4),"")=0,"manca la descrizione dell'operazione",IFERROR(INDEX(LIBRO_GIORNALE,CZ1769,4),""))</f>
        <v/>
      </c>
      <c r="DD1769" s="259" t="str">
        <f t="shared" ref="DD1769:DD1783" ca="1" si="1588">IFERROR(IF(INDEX(LIBRO_GIORNALE,CZ1769,5)&gt;0,INDEX(LIBRO_GIORNALE,CZ1769,5),""),"")</f>
        <v/>
      </c>
      <c r="DE1769" s="259" t="str">
        <f t="shared" ref="DE1769:DE1783" ca="1" si="1589">IFERROR(IF(INDEX(LIBRO_GIORNALE,CZ1769,6)&gt;0,INDEX(LIBRO_GIORNALE,CZ1769,6),""),"")</f>
        <v/>
      </c>
      <c r="DF1769" s="259">
        <f ca="1">IF(AND(CX1769=$DE$2,$DF$2&lt;&gt;0),0,IF(AND(DB1769&lt;&gt;"",OR(DB1768&lt;&gt;"",DB1770&lt;&gt;"")),MAX($DF$2:DF1768)+1,0))</f>
        <v>0</v>
      </c>
    </row>
    <row r="1770" spans="102:110">
      <c r="CX1770" s="259">
        <f t="shared" ca="1" si="1583"/>
        <v>99</v>
      </c>
      <c r="CY1770" s="259" t="str">
        <f t="shared" ca="1" si="1580"/>
        <v>MASTRO</v>
      </c>
      <c r="CZ1770" s="259" t="e">
        <f t="shared" ca="1" si="1585"/>
        <v>#N/A</v>
      </c>
      <c r="DA1770" s="259" t="str">
        <f t="shared" ref="DA1770:DA1783" ca="1" si="1590">IFERROR(INDEX(LIBRO_GIORNALE,CZ1770,1),"")</f>
        <v/>
      </c>
      <c r="DB1770" s="259" t="str">
        <f t="shared" ca="1" si="1586"/>
        <v/>
      </c>
      <c r="DC1770" s="259" t="str">
        <f t="shared" ca="1" si="1587"/>
        <v/>
      </c>
      <c r="DD1770" s="259" t="str">
        <f t="shared" ca="1" si="1588"/>
        <v/>
      </c>
      <c r="DE1770" s="259" t="str">
        <f t="shared" ca="1" si="1589"/>
        <v/>
      </c>
      <c r="DF1770" s="259">
        <f ca="1">IF(AND(CX1770=$DE$2,$DF$2&lt;&gt;0),0,IF(AND(DB1770&lt;&gt;"",OR(DB1769&lt;&gt;"",DB1771&lt;&gt;"")),MAX($DF$2:DF1769)+1,0))</f>
        <v>0</v>
      </c>
    </row>
    <row r="1771" spans="102:110">
      <c r="CX1771" s="259">
        <f t="shared" ca="1" si="1583"/>
        <v>99</v>
      </c>
      <c r="CY1771" s="259" t="str">
        <f t="shared" ca="1" si="1580"/>
        <v>MASTRO</v>
      </c>
      <c r="CZ1771" s="259" t="e">
        <f t="shared" ca="1" si="1585"/>
        <v>#N/A</v>
      </c>
      <c r="DA1771" s="259" t="str">
        <f t="shared" ca="1" si="1590"/>
        <v/>
      </c>
      <c r="DB1771" s="259" t="str">
        <f t="shared" ca="1" si="1586"/>
        <v/>
      </c>
      <c r="DC1771" s="259" t="str">
        <f t="shared" ca="1" si="1587"/>
        <v/>
      </c>
      <c r="DD1771" s="259" t="str">
        <f t="shared" ca="1" si="1588"/>
        <v/>
      </c>
      <c r="DE1771" s="259" t="str">
        <f t="shared" ca="1" si="1589"/>
        <v/>
      </c>
      <c r="DF1771" s="259">
        <f ca="1">IF(AND(CX1771=$DE$2,$DF$2&lt;&gt;0),0,IF(AND(DB1771&lt;&gt;"",OR(DB1770&lt;&gt;"",DB1772&lt;&gt;"")),MAX($DF$2:DF1770)+1,0))</f>
        <v>0</v>
      </c>
    </row>
    <row r="1772" spans="102:110">
      <c r="CX1772" s="259">
        <f t="shared" ca="1" si="1583"/>
        <v>99</v>
      </c>
      <c r="CY1772" s="259" t="str">
        <f t="shared" ca="1" si="1580"/>
        <v>MASTRO</v>
      </c>
      <c r="CZ1772" s="259" t="e">
        <f t="shared" ca="1" si="1585"/>
        <v>#N/A</v>
      </c>
      <c r="DA1772" s="259" t="str">
        <f t="shared" ca="1" si="1590"/>
        <v/>
      </c>
      <c r="DB1772" s="259" t="str">
        <f t="shared" ca="1" si="1586"/>
        <v/>
      </c>
      <c r="DC1772" s="259" t="str">
        <f t="shared" ca="1" si="1587"/>
        <v/>
      </c>
      <c r="DD1772" s="259" t="str">
        <f t="shared" ca="1" si="1588"/>
        <v/>
      </c>
      <c r="DE1772" s="259" t="str">
        <f t="shared" ca="1" si="1589"/>
        <v/>
      </c>
      <c r="DF1772" s="259">
        <f ca="1">IF(AND(CX1772=$DE$2,$DF$2&lt;&gt;0),0,IF(AND(DB1772&lt;&gt;"",OR(DB1771&lt;&gt;"",DB1773&lt;&gt;"")),MAX($DF$2:DF1771)+1,0))</f>
        <v>0</v>
      </c>
    </row>
    <row r="1773" spans="102:110">
      <c r="CX1773" s="259">
        <f t="shared" ca="1" si="1583"/>
        <v>99</v>
      </c>
      <c r="CY1773" s="259" t="str">
        <f t="shared" ca="1" si="1580"/>
        <v>MASTRO</v>
      </c>
      <c r="CZ1773" s="259" t="e">
        <f t="shared" ca="1" si="1585"/>
        <v>#N/A</v>
      </c>
      <c r="DA1773" s="259" t="str">
        <f t="shared" ca="1" si="1590"/>
        <v/>
      </c>
      <c r="DB1773" s="259" t="str">
        <f t="shared" ca="1" si="1586"/>
        <v/>
      </c>
      <c r="DC1773" s="259" t="str">
        <f t="shared" ca="1" si="1587"/>
        <v/>
      </c>
      <c r="DD1773" s="259" t="str">
        <f t="shared" ca="1" si="1588"/>
        <v/>
      </c>
      <c r="DE1773" s="259" t="str">
        <f t="shared" ca="1" si="1589"/>
        <v/>
      </c>
      <c r="DF1773" s="259">
        <f ca="1">IF(AND(CX1773=$DE$2,$DF$2&lt;&gt;0),0,IF(AND(DB1773&lt;&gt;"",OR(DB1772&lt;&gt;"",DB1774&lt;&gt;"")),MAX($DF$2:DF1772)+1,0))</f>
        <v>0</v>
      </c>
    </row>
    <row r="1774" spans="102:110">
      <c r="CX1774" s="259">
        <f t="shared" ca="1" si="1583"/>
        <v>99</v>
      </c>
      <c r="CY1774" s="259" t="str">
        <f t="shared" ca="1" si="1580"/>
        <v>MASTRO</v>
      </c>
      <c r="CZ1774" s="259" t="e">
        <f t="shared" ca="1" si="1585"/>
        <v>#N/A</v>
      </c>
      <c r="DA1774" s="259" t="str">
        <f t="shared" ca="1" si="1590"/>
        <v/>
      </c>
      <c r="DB1774" s="259" t="str">
        <f t="shared" ca="1" si="1586"/>
        <v/>
      </c>
      <c r="DC1774" s="259" t="str">
        <f t="shared" ca="1" si="1587"/>
        <v/>
      </c>
      <c r="DD1774" s="259" t="str">
        <f t="shared" ca="1" si="1588"/>
        <v/>
      </c>
      <c r="DE1774" s="259" t="str">
        <f t="shared" ca="1" si="1589"/>
        <v/>
      </c>
      <c r="DF1774" s="259">
        <f ca="1">IF(AND(CX1774=$DE$2,$DF$2&lt;&gt;0),0,IF(AND(DB1774&lt;&gt;"",OR(DB1773&lt;&gt;"",DB1775&lt;&gt;"")),MAX($DF$2:DF1773)+1,0))</f>
        <v>0</v>
      </c>
    </row>
    <row r="1775" spans="102:110">
      <c r="CX1775" s="259">
        <f t="shared" ca="1" si="1583"/>
        <v>99</v>
      </c>
      <c r="CY1775" s="259" t="str">
        <f t="shared" ca="1" si="1580"/>
        <v>MASTRO</v>
      </c>
      <c r="CZ1775" s="259" t="e">
        <f t="shared" ca="1" si="1585"/>
        <v>#N/A</v>
      </c>
      <c r="DA1775" s="259" t="str">
        <f t="shared" ca="1" si="1590"/>
        <v/>
      </c>
      <c r="DB1775" s="259" t="str">
        <f t="shared" ca="1" si="1586"/>
        <v/>
      </c>
      <c r="DC1775" s="259" t="str">
        <f t="shared" ca="1" si="1587"/>
        <v/>
      </c>
      <c r="DD1775" s="259" t="str">
        <f t="shared" ca="1" si="1588"/>
        <v/>
      </c>
      <c r="DE1775" s="259" t="str">
        <f t="shared" ca="1" si="1589"/>
        <v/>
      </c>
      <c r="DF1775" s="259">
        <f ca="1">IF(AND(CX1775=$DE$2,$DF$2&lt;&gt;0),0,IF(AND(DB1775&lt;&gt;"",OR(DB1774&lt;&gt;"",DB1776&lt;&gt;"")),MAX($DF$2:DF1774)+1,0))</f>
        <v>0</v>
      </c>
    </row>
    <row r="1776" spans="102:110">
      <c r="CX1776" s="259">
        <f t="shared" ca="1" si="1583"/>
        <v>99</v>
      </c>
      <c r="CY1776" s="259" t="str">
        <f t="shared" ca="1" si="1580"/>
        <v>MASTRO</v>
      </c>
      <c r="CZ1776" s="259" t="e">
        <f t="shared" ca="1" si="1585"/>
        <v>#N/A</v>
      </c>
      <c r="DA1776" s="259" t="str">
        <f t="shared" ca="1" si="1590"/>
        <v/>
      </c>
      <c r="DB1776" s="259" t="str">
        <f t="shared" ca="1" si="1586"/>
        <v/>
      </c>
      <c r="DC1776" s="259" t="str">
        <f t="shared" ca="1" si="1587"/>
        <v/>
      </c>
      <c r="DD1776" s="259" t="str">
        <f t="shared" ca="1" si="1588"/>
        <v/>
      </c>
      <c r="DE1776" s="259" t="str">
        <f t="shared" ca="1" si="1589"/>
        <v/>
      </c>
      <c r="DF1776" s="259">
        <f ca="1">IF(AND(CX1776=$DE$2,$DF$2&lt;&gt;0),0,IF(AND(DB1776&lt;&gt;"",OR(DB1775&lt;&gt;"",DB1777&lt;&gt;"")),MAX($DF$2:DF1775)+1,0))</f>
        <v>0</v>
      </c>
    </row>
    <row r="1777" spans="102:110">
      <c r="CX1777" s="259">
        <f t="shared" ca="1" si="1583"/>
        <v>99</v>
      </c>
      <c r="CY1777" s="259" t="str">
        <f t="shared" ca="1" si="1580"/>
        <v>MASTRO</v>
      </c>
      <c r="CZ1777" s="259" t="e">
        <f t="shared" ca="1" si="1585"/>
        <v>#N/A</v>
      </c>
      <c r="DA1777" s="259" t="str">
        <f t="shared" ca="1" si="1590"/>
        <v/>
      </c>
      <c r="DB1777" s="259" t="str">
        <f t="shared" ca="1" si="1586"/>
        <v/>
      </c>
      <c r="DC1777" s="259" t="str">
        <f t="shared" ca="1" si="1587"/>
        <v/>
      </c>
      <c r="DD1777" s="259" t="str">
        <f t="shared" ca="1" si="1588"/>
        <v/>
      </c>
      <c r="DE1777" s="259" t="str">
        <f t="shared" ca="1" si="1589"/>
        <v/>
      </c>
      <c r="DF1777" s="259">
        <f ca="1">IF(AND(CX1777=$DE$2,$DF$2&lt;&gt;0),0,IF(AND(DB1777&lt;&gt;"",OR(DB1776&lt;&gt;"",DB1778&lt;&gt;"")),MAX($DF$2:DF1776)+1,0))</f>
        <v>0</v>
      </c>
    </row>
    <row r="1778" spans="102:110">
      <c r="CX1778" s="259">
        <f t="shared" ca="1" si="1583"/>
        <v>99</v>
      </c>
      <c r="CY1778" s="259" t="str">
        <f t="shared" ca="1" si="1580"/>
        <v>MASTRO</v>
      </c>
      <c r="CZ1778" s="259" t="e">
        <f t="shared" ca="1" si="1585"/>
        <v>#N/A</v>
      </c>
      <c r="DA1778" s="259" t="str">
        <f t="shared" ca="1" si="1590"/>
        <v/>
      </c>
      <c r="DB1778" s="259" t="str">
        <f t="shared" ca="1" si="1586"/>
        <v/>
      </c>
      <c r="DC1778" s="259" t="str">
        <f t="shared" ca="1" si="1587"/>
        <v/>
      </c>
      <c r="DD1778" s="259" t="str">
        <f t="shared" ca="1" si="1588"/>
        <v/>
      </c>
      <c r="DE1778" s="259" t="str">
        <f t="shared" ca="1" si="1589"/>
        <v/>
      </c>
      <c r="DF1778" s="259">
        <f ca="1">IF(AND(CX1778=$DE$2,$DF$2&lt;&gt;0),0,IF(AND(DB1778&lt;&gt;"",OR(DB1777&lt;&gt;"",DB1779&lt;&gt;"")),MAX($DF$2:DF1777)+1,0))</f>
        <v>0</v>
      </c>
    </row>
    <row r="1779" spans="102:110">
      <c r="CX1779" s="259">
        <f t="shared" ca="1" si="1583"/>
        <v>99</v>
      </c>
      <c r="CY1779" s="259" t="str">
        <f t="shared" ca="1" si="1580"/>
        <v>MASTRO</v>
      </c>
      <c r="CZ1779" s="259" t="e">
        <f t="shared" ca="1" si="1585"/>
        <v>#N/A</v>
      </c>
      <c r="DA1779" s="259" t="str">
        <f t="shared" ca="1" si="1590"/>
        <v/>
      </c>
      <c r="DB1779" s="259" t="str">
        <f t="shared" ca="1" si="1586"/>
        <v/>
      </c>
      <c r="DC1779" s="259" t="str">
        <f t="shared" ca="1" si="1587"/>
        <v/>
      </c>
      <c r="DD1779" s="259" t="str">
        <f t="shared" ca="1" si="1588"/>
        <v/>
      </c>
      <c r="DE1779" s="259" t="str">
        <f t="shared" ca="1" si="1589"/>
        <v/>
      </c>
      <c r="DF1779" s="259">
        <f ca="1">IF(AND(CX1779=$DE$2,$DF$2&lt;&gt;0),0,IF(AND(DB1779&lt;&gt;"",OR(DB1778&lt;&gt;"",DB1780&lt;&gt;"")),MAX($DF$2:DF1778)+1,0))</f>
        <v>0</v>
      </c>
    </row>
    <row r="1780" spans="102:110">
      <c r="CX1780" s="259">
        <f t="shared" ca="1" si="1583"/>
        <v>99</v>
      </c>
      <c r="CY1780" s="259" t="str">
        <f t="shared" ca="1" si="1580"/>
        <v>MASTRO</v>
      </c>
      <c r="CZ1780" s="259" t="e">
        <f t="shared" ca="1" si="1585"/>
        <v>#N/A</v>
      </c>
      <c r="DA1780" s="259" t="str">
        <f t="shared" ca="1" si="1590"/>
        <v/>
      </c>
      <c r="DB1780" s="259" t="str">
        <f t="shared" ca="1" si="1586"/>
        <v/>
      </c>
      <c r="DC1780" s="259" t="str">
        <f t="shared" ca="1" si="1587"/>
        <v/>
      </c>
      <c r="DD1780" s="259" t="str">
        <f t="shared" ca="1" si="1588"/>
        <v/>
      </c>
      <c r="DE1780" s="259" t="str">
        <f t="shared" ca="1" si="1589"/>
        <v/>
      </c>
      <c r="DF1780" s="259">
        <f ca="1">IF(AND(CX1780=$DE$2,$DF$2&lt;&gt;0),0,IF(AND(DB1780&lt;&gt;"",OR(DB1779&lt;&gt;"",DB1781&lt;&gt;"")),MAX($DF$2:DF1779)+1,0))</f>
        <v>0</v>
      </c>
    </row>
    <row r="1781" spans="102:110">
      <c r="CX1781" s="259">
        <f t="shared" ca="1" si="1583"/>
        <v>99</v>
      </c>
      <c r="CY1781" s="259" t="str">
        <f t="shared" ca="1" si="1580"/>
        <v>MASTRO</v>
      </c>
      <c r="CZ1781" s="259" t="e">
        <f t="shared" ca="1" si="1585"/>
        <v>#N/A</v>
      </c>
      <c r="DA1781" s="259" t="str">
        <f t="shared" ca="1" si="1590"/>
        <v/>
      </c>
      <c r="DB1781" s="259" t="str">
        <f t="shared" ca="1" si="1586"/>
        <v/>
      </c>
      <c r="DC1781" s="259" t="str">
        <f t="shared" ca="1" si="1587"/>
        <v/>
      </c>
      <c r="DD1781" s="259" t="str">
        <f t="shared" ca="1" si="1588"/>
        <v/>
      </c>
      <c r="DE1781" s="259" t="str">
        <f t="shared" ca="1" si="1589"/>
        <v/>
      </c>
      <c r="DF1781" s="259">
        <f ca="1">IF(AND(CX1781=$DE$2,$DF$2&lt;&gt;0),0,IF(AND(DB1781&lt;&gt;"",OR(DB1780&lt;&gt;"",DB1782&lt;&gt;"")),MAX($DF$2:DF1780)+1,0))</f>
        <v>0</v>
      </c>
    </row>
    <row r="1782" spans="102:110">
      <c r="CX1782" s="259">
        <f t="shared" ca="1" si="1583"/>
        <v>99</v>
      </c>
      <c r="CY1782" s="259" t="str">
        <f t="shared" ca="1" si="1580"/>
        <v>MASTRO</v>
      </c>
      <c r="CZ1782" s="259" t="e">
        <f t="shared" ca="1" si="1585"/>
        <v>#N/A</v>
      </c>
      <c r="DA1782" s="259" t="str">
        <f t="shared" ca="1" si="1590"/>
        <v/>
      </c>
      <c r="DB1782" s="259" t="str">
        <f t="shared" ca="1" si="1586"/>
        <v/>
      </c>
      <c r="DC1782" s="259" t="str">
        <f t="shared" ca="1" si="1587"/>
        <v/>
      </c>
      <c r="DD1782" s="259" t="str">
        <f t="shared" ca="1" si="1588"/>
        <v/>
      </c>
      <c r="DE1782" s="259" t="str">
        <f t="shared" ca="1" si="1589"/>
        <v/>
      </c>
      <c r="DF1782" s="259">
        <f ca="1">IF(AND(CX1782=$DE$2,$DF$2&lt;&gt;0),0,IF(AND(DB1782&lt;&gt;"",OR(DB1781&lt;&gt;"",DB1783&lt;&gt;"")),MAX($DF$2:DF1781)+1,0))</f>
        <v>0</v>
      </c>
    </row>
    <row r="1783" spans="102:110">
      <c r="CX1783" s="259">
        <f t="shared" ca="1" si="1583"/>
        <v>99</v>
      </c>
      <c r="CY1783" s="259" t="str">
        <f t="shared" ca="1" si="1580"/>
        <v>MASTRO</v>
      </c>
      <c r="CZ1783" s="259" t="e">
        <f t="shared" ca="1" si="1585"/>
        <v>#N/A</v>
      </c>
      <c r="DA1783" s="259" t="str">
        <f t="shared" ca="1" si="1590"/>
        <v/>
      </c>
      <c r="DB1783" s="259" t="str">
        <f t="shared" ca="1" si="1586"/>
        <v/>
      </c>
      <c r="DC1783" s="259" t="str">
        <f t="shared" ca="1" si="1587"/>
        <v/>
      </c>
      <c r="DD1783" s="259" t="str">
        <f t="shared" ca="1" si="1588"/>
        <v/>
      </c>
      <c r="DE1783" s="259" t="str">
        <f t="shared" ca="1" si="1589"/>
        <v/>
      </c>
      <c r="DF1783" s="259">
        <f ca="1">IF(AND(CX1783=$DE$2,$DF$2&lt;&gt;0),0,IF(AND(DB1783&lt;&gt;"",OR(DB1782&lt;&gt;"",DB1784&lt;&gt;"")),MAX($DF$2:DF1782)+1,0))</f>
        <v>0</v>
      </c>
    </row>
    <row r="1784" spans="102:110">
      <c r="CX1784" s="259" t="str">
        <f>IFERROR(IF(CX1766+1=1,"",(CX1766+1)),"")</f>
        <v/>
      </c>
      <c r="CY1784" s="259" t="s">
        <v>269</v>
      </c>
      <c r="DB1784" s="259" t="str">
        <f t="shared" ref="DB1784" si="1591">CY1784</f>
        <v>MASTRO</v>
      </c>
      <c r="DF1784" s="259">
        <f ca="1">IF(AND(CX1784=$DE$2,$DF$2&lt;&gt;0),0,IF(AND(DB1784&lt;&gt;"",OR(DB1783&lt;&gt;"",DB1785&lt;&gt;"")),MAX($DF$2:DF1783)+1,0))</f>
        <v>0</v>
      </c>
    </row>
    <row r="1785" spans="102:110">
      <c r="CX1785" s="259">
        <f ca="1">$EA$102</f>
        <v>100</v>
      </c>
      <c r="CY1785" s="259" t="str">
        <f t="shared" ref="CY1785:CY1818" ca="1" si="1592">IF(ISERROR(INDEX($CV$3:$CX$2300,MATCH(CX1785,$CW$3:$CW$2300,0),1)),"MASTRO",INDEX($CV$3:$CX$2300,MATCH(CX1785,$CW$3:$CW$2300,0),1))</f>
        <v>MASTRO</v>
      </c>
      <c r="DA1785" s="259" t="str">
        <f>IF(CY1784="MASTRO","Conto n.","")</f>
        <v>Conto n.</v>
      </c>
      <c r="DB1785" s="259" t="str">
        <f ca="1">IF(CY1785=0,"",INDEX(PIANO_DEI_CONTI,MATCH(DC1785,DENOMINAZIONE,0),1))</f>
        <v/>
      </c>
      <c r="DC1785" s="259" t="str">
        <f ca="1">IF(OR(CY1785=0,CY1785="mastro"),"",CY1785)</f>
        <v/>
      </c>
      <c r="DD1785" s="259" t="str">
        <f ca="1">IF(AND($DA$2=TRUE,OR(INDEX(PIANO_DEI_CONTI,MATCH($DC1785,DENOMINAZIONE,0),4)="A",INDEX(PIANO_DEI_CONTI,MATCH($DC1785,DENOMINAZIONE,0),4)="D/A"),SUMIFS(AVERE,DENOMINAZIONE_GIORNALE,"="&amp;$DC1785)&gt;SUMIFS(DARE,DENOMINAZIONE_GIORNALE,"="&amp;$DC1785)),CONCATENATE("s ",FIXED(ABS(SUMIFS(AVERE,DENOMINAZIONE_GIORNALE,"="&amp;$DC1785)-SUMIFS(DARE,DENOMINAZIONE_GIORNALE,"="&amp;$DC1785)),2)),"")</f>
        <v/>
      </c>
      <c r="DE1785" s="259" t="str">
        <f ca="1">IF(AND($DA$2=TRUE,OR(INDEX(PIANO_DEI_CONTI,MATCH($DC1785,DENOMINAZIONE,0),4)="D",INDEX(PIANO_DEI_CONTI,MATCH($DC1785,DENOMINAZIONE,0),4)="D/A"),SUMIFS(DARE,DENOMINAZIONE_GIORNALE,"="&amp;$DC1785)&gt;SUMIFS(AVERE,DENOMINAZIONE_GIORNALE,"="&amp;$DC1785)),CONCATENATE("s ",FIXED(ABS(SUMIFS(DARE,DENOMINAZIONE_GIORNALE,"="&amp;$DC1785)-SUMIFS(AVERE,DENOMINAZIONE_GIORNALE,"="&amp;$DC1785)),2)),"")</f>
        <v/>
      </c>
      <c r="DF1785" s="259">
        <f ca="1">IF(AND(CX1785=$DE$2,$DF$2&lt;&gt;0),0,IF(AND(DB1785&lt;&gt;"",OR(DB1784&lt;&gt;"",DB1786&lt;&gt;"")),MAX($DF$2:DF1784)+1,0))</f>
        <v>0</v>
      </c>
    </row>
    <row r="1786" spans="102:110">
      <c r="CX1786" s="259">
        <f t="shared" ref="CX1786:CX1801" ca="1" si="1593">$EA$102</f>
        <v>100</v>
      </c>
      <c r="CY1786" s="259" t="str">
        <f t="shared" ca="1" si="1592"/>
        <v>MASTRO</v>
      </c>
      <c r="DA1786" s="259" t="str">
        <f ca="1">IF(DB1785="","","Num. riga")</f>
        <v/>
      </c>
      <c r="DB1786" s="259" t="str">
        <f t="shared" ref="DB1786" ca="1" si="1594">IF(DB1785="","","Data")</f>
        <v/>
      </c>
      <c r="DC1786" s="259" t="str">
        <f ca="1">IF(DB1785="","","Operazioni")</f>
        <v/>
      </c>
      <c r="DD1786" s="259" t="str">
        <f ca="1">IF(DB1785="","","Dare        ")</f>
        <v/>
      </c>
      <c r="DE1786" s="259" t="str">
        <f ca="1">IF(DB1785="","","Avere        ")</f>
        <v/>
      </c>
      <c r="DF1786" s="259">
        <f ca="1">IF(AND(CX1786=$DE$2,$DF$2&lt;&gt;0),0,IF(AND(DB1786&lt;&gt;"",OR(DB1785&lt;&gt;"",DB1787&lt;&gt;"")),MAX($DF$2:DF1785)+1,0))</f>
        <v>0</v>
      </c>
    </row>
    <row r="1787" spans="102:110">
      <c r="CX1787" s="259">
        <f t="shared" ca="1" si="1593"/>
        <v>100</v>
      </c>
      <c r="CY1787" s="259" t="str">
        <f t="shared" ca="1" si="1592"/>
        <v>MASTRO</v>
      </c>
      <c r="CZ1787" s="259" t="e">
        <f t="shared" ref="CZ1787:CZ1801" ca="1" si="1595">SUM(MATCH($CY1787,INDIRECT(ADDRESS(SUM(CZ1786)+3,54)&amp;":"&amp;ADDRESS(400,54)),0),CZ1786)</f>
        <v>#N/A</v>
      </c>
      <c r="DA1787" s="259" t="str">
        <f ca="1">IFERROR(INDEX(LIBRO_GIORNALE,CZ1787,1),"")</f>
        <v/>
      </c>
      <c r="DB1787" s="259" t="str">
        <f t="shared" ref="DB1787:DB1801" ca="1" si="1596">IF(RIGHT(TEXT(IFERROR(INDEX(LIBRO_GIORNALE,CZ1787,2),""),"gg/mm/aa"),1)="a",TEXT(IFERROR(INDEX(LIBRO_GIORNALE,CZ1787,2),""),"dd/mm/yy"),TEXT(IFERROR(INDEX(LIBRO_GIORNALE,CZ1787,2),""),"gg/mm/aa"))</f>
        <v/>
      </c>
      <c r="DC1787" s="259" t="str">
        <f t="shared" ref="DC1787:DC1801" ca="1" si="1597">IF(IFERROR(INDEX(LIBRO_GIORNALE,CZ1787,4),"")=0,"manca la descrizione dell'operazione",IFERROR(INDEX(LIBRO_GIORNALE,CZ1787,4),""))</f>
        <v/>
      </c>
      <c r="DD1787" s="259" t="str">
        <f t="shared" ref="DD1787:DD1801" ca="1" si="1598">IFERROR(IF(INDEX(LIBRO_GIORNALE,CZ1787,5)&gt;0,INDEX(LIBRO_GIORNALE,CZ1787,5),""),"")</f>
        <v/>
      </c>
      <c r="DE1787" s="259" t="str">
        <f t="shared" ref="DE1787:DE1801" ca="1" si="1599">IFERROR(IF(INDEX(LIBRO_GIORNALE,CZ1787,6)&gt;0,INDEX(LIBRO_GIORNALE,CZ1787,6),""),"")</f>
        <v/>
      </c>
      <c r="DF1787" s="259">
        <f ca="1">IF(AND(CX1787=$DE$2,$DF$2&lt;&gt;0),0,IF(AND(DB1787&lt;&gt;"",OR(DB1786&lt;&gt;"",DB1788&lt;&gt;"")),MAX($DF$2:DF1786)+1,0))</f>
        <v>0</v>
      </c>
    </row>
    <row r="1788" spans="102:110">
      <c r="CX1788" s="259">
        <f t="shared" ca="1" si="1593"/>
        <v>100</v>
      </c>
      <c r="CY1788" s="259" t="str">
        <f t="shared" ca="1" si="1592"/>
        <v>MASTRO</v>
      </c>
      <c r="CZ1788" s="259" t="e">
        <f t="shared" ca="1" si="1595"/>
        <v>#N/A</v>
      </c>
      <c r="DA1788" s="259" t="str">
        <f t="shared" ref="DA1788:DA1801" ca="1" si="1600">IFERROR(INDEX(LIBRO_GIORNALE,CZ1788,1),"")</f>
        <v/>
      </c>
      <c r="DB1788" s="259" t="str">
        <f t="shared" ca="1" si="1596"/>
        <v/>
      </c>
      <c r="DC1788" s="259" t="str">
        <f t="shared" ca="1" si="1597"/>
        <v/>
      </c>
      <c r="DD1788" s="259" t="str">
        <f t="shared" ca="1" si="1598"/>
        <v/>
      </c>
      <c r="DE1788" s="259" t="str">
        <f t="shared" ca="1" si="1599"/>
        <v/>
      </c>
      <c r="DF1788" s="259">
        <f ca="1">IF(AND(CX1788=$DE$2,$DF$2&lt;&gt;0),0,IF(AND(DB1788&lt;&gt;"",OR(DB1787&lt;&gt;"",DB1789&lt;&gt;"")),MAX($DF$2:DF1787)+1,0))</f>
        <v>0</v>
      </c>
    </row>
    <row r="1789" spans="102:110">
      <c r="CX1789" s="259">
        <f t="shared" ca="1" si="1593"/>
        <v>100</v>
      </c>
      <c r="CY1789" s="259" t="str">
        <f t="shared" ca="1" si="1592"/>
        <v>MASTRO</v>
      </c>
      <c r="CZ1789" s="259" t="e">
        <f t="shared" ca="1" si="1595"/>
        <v>#N/A</v>
      </c>
      <c r="DA1789" s="259" t="str">
        <f t="shared" ca="1" si="1600"/>
        <v/>
      </c>
      <c r="DB1789" s="259" t="str">
        <f t="shared" ca="1" si="1596"/>
        <v/>
      </c>
      <c r="DC1789" s="259" t="str">
        <f t="shared" ca="1" si="1597"/>
        <v/>
      </c>
      <c r="DD1789" s="259" t="str">
        <f t="shared" ca="1" si="1598"/>
        <v/>
      </c>
      <c r="DE1789" s="259" t="str">
        <f t="shared" ca="1" si="1599"/>
        <v/>
      </c>
      <c r="DF1789" s="259">
        <f ca="1">IF(AND(CX1789=$DE$2,$DF$2&lt;&gt;0),0,IF(AND(DB1789&lt;&gt;"",OR(DB1788&lt;&gt;"",DB1790&lt;&gt;"")),MAX($DF$2:DF1788)+1,0))</f>
        <v>0</v>
      </c>
    </row>
    <row r="1790" spans="102:110">
      <c r="CX1790" s="259">
        <f t="shared" ca="1" si="1593"/>
        <v>100</v>
      </c>
      <c r="CY1790" s="259" t="str">
        <f t="shared" ca="1" si="1592"/>
        <v>MASTRO</v>
      </c>
      <c r="CZ1790" s="259" t="e">
        <f t="shared" ca="1" si="1595"/>
        <v>#N/A</v>
      </c>
      <c r="DA1790" s="259" t="str">
        <f t="shared" ca="1" si="1600"/>
        <v/>
      </c>
      <c r="DB1790" s="259" t="str">
        <f t="shared" ca="1" si="1596"/>
        <v/>
      </c>
      <c r="DC1790" s="259" t="str">
        <f t="shared" ca="1" si="1597"/>
        <v/>
      </c>
      <c r="DD1790" s="259" t="str">
        <f t="shared" ca="1" si="1598"/>
        <v/>
      </c>
      <c r="DE1790" s="259" t="str">
        <f t="shared" ca="1" si="1599"/>
        <v/>
      </c>
      <c r="DF1790" s="259">
        <f ca="1">IF(AND(CX1790=$DE$2,$DF$2&lt;&gt;0),0,IF(AND(DB1790&lt;&gt;"",OR(DB1789&lt;&gt;"",DB1791&lt;&gt;"")),MAX($DF$2:DF1789)+1,0))</f>
        <v>0</v>
      </c>
    </row>
    <row r="1791" spans="102:110">
      <c r="CX1791" s="259">
        <f t="shared" ca="1" si="1593"/>
        <v>100</v>
      </c>
      <c r="CY1791" s="259" t="str">
        <f t="shared" ca="1" si="1592"/>
        <v>MASTRO</v>
      </c>
      <c r="CZ1791" s="259" t="e">
        <f t="shared" ca="1" si="1595"/>
        <v>#N/A</v>
      </c>
      <c r="DA1791" s="259" t="str">
        <f t="shared" ca="1" si="1600"/>
        <v/>
      </c>
      <c r="DB1791" s="259" t="str">
        <f t="shared" ca="1" si="1596"/>
        <v/>
      </c>
      <c r="DC1791" s="259" t="str">
        <f t="shared" ca="1" si="1597"/>
        <v/>
      </c>
      <c r="DD1791" s="259" t="str">
        <f t="shared" ca="1" si="1598"/>
        <v/>
      </c>
      <c r="DE1791" s="259" t="str">
        <f t="shared" ca="1" si="1599"/>
        <v/>
      </c>
      <c r="DF1791" s="259">
        <f ca="1">IF(AND(CX1791=$DE$2,$DF$2&lt;&gt;0),0,IF(AND(DB1791&lt;&gt;"",OR(DB1790&lt;&gt;"",DB1792&lt;&gt;"")),MAX($DF$2:DF1790)+1,0))</f>
        <v>0</v>
      </c>
    </row>
    <row r="1792" spans="102:110">
      <c r="CX1792" s="259">
        <f t="shared" ca="1" si="1593"/>
        <v>100</v>
      </c>
      <c r="CY1792" s="259" t="str">
        <f t="shared" ca="1" si="1592"/>
        <v>MASTRO</v>
      </c>
      <c r="CZ1792" s="259" t="e">
        <f t="shared" ca="1" si="1595"/>
        <v>#N/A</v>
      </c>
      <c r="DA1792" s="259" t="str">
        <f t="shared" ca="1" si="1600"/>
        <v/>
      </c>
      <c r="DB1792" s="259" t="str">
        <f t="shared" ca="1" si="1596"/>
        <v/>
      </c>
      <c r="DC1792" s="259" t="str">
        <f t="shared" ca="1" si="1597"/>
        <v/>
      </c>
      <c r="DD1792" s="259" t="str">
        <f t="shared" ca="1" si="1598"/>
        <v/>
      </c>
      <c r="DE1792" s="259" t="str">
        <f t="shared" ca="1" si="1599"/>
        <v/>
      </c>
      <c r="DF1792" s="259">
        <f ca="1">IF(AND(CX1792=$DE$2,$DF$2&lt;&gt;0),0,IF(AND(DB1792&lt;&gt;"",OR(DB1791&lt;&gt;"",DB1793&lt;&gt;"")),MAX($DF$2:DF1791)+1,0))</f>
        <v>0</v>
      </c>
    </row>
    <row r="1793" spans="102:110">
      <c r="CX1793" s="259">
        <f t="shared" ca="1" si="1593"/>
        <v>100</v>
      </c>
      <c r="CY1793" s="259" t="str">
        <f t="shared" ca="1" si="1592"/>
        <v>MASTRO</v>
      </c>
      <c r="CZ1793" s="259" t="e">
        <f t="shared" ca="1" si="1595"/>
        <v>#N/A</v>
      </c>
      <c r="DA1793" s="259" t="str">
        <f t="shared" ca="1" si="1600"/>
        <v/>
      </c>
      <c r="DB1793" s="259" t="str">
        <f t="shared" ca="1" si="1596"/>
        <v/>
      </c>
      <c r="DC1793" s="259" t="str">
        <f t="shared" ca="1" si="1597"/>
        <v/>
      </c>
      <c r="DD1793" s="259" t="str">
        <f t="shared" ca="1" si="1598"/>
        <v/>
      </c>
      <c r="DE1793" s="259" t="str">
        <f t="shared" ca="1" si="1599"/>
        <v/>
      </c>
      <c r="DF1793" s="259">
        <f ca="1">IF(AND(CX1793=$DE$2,$DF$2&lt;&gt;0),0,IF(AND(DB1793&lt;&gt;"",OR(DB1792&lt;&gt;"",DB1794&lt;&gt;"")),MAX($DF$2:DF1792)+1,0))</f>
        <v>0</v>
      </c>
    </row>
    <row r="1794" spans="102:110">
      <c r="CX1794" s="259">
        <f t="shared" ca="1" si="1593"/>
        <v>100</v>
      </c>
      <c r="CY1794" s="259" t="str">
        <f t="shared" ca="1" si="1592"/>
        <v>MASTRO</v>
      </c>
      <c r="CZ1794" s="259" t="e">
        <f t="shared" ca="1" si="1595"/>
        <v>#N/A</v>
      </c>
      <c r="DA1794" s="259" t="str">
        <f t="shared" ca="1" si="1600"/>
        <v/>
      </c>
      <c r="DB1794" s="259" t="str">
        <f t="shared" ca="1" si="1596"/>
        <v/>
      </c>
      <c r="DC1794" s="259" t="str">
        <f t="shared" ca="1" si="1597"/>
        <v/>
      </c>
      <c r="DD1794" s="259" t="str">
        <f t="shared" ca="1" si="1598"/>
        <v/>
      </c>
      <c r="DE1794" s="259" t="str">
        <f t="shared" ca="1" si="1599"/>
        <v/>
      </c>
      <c r="DF1794" s="259">
        <f ca="1">IF(AND(CX1794=$DE$2,$DF$2&lt;&gt;0),0,IF(AND(DB1794&lt;&gt;"",OR(DB1793&lt;&gt;"",DB1795&lt;&gt;"")),MAX($DF$2:DF1793)+1,0))</f>
        <v>0</v>
      </c>
    </row>
    <row r="1795" spans="102:110">
      <c r="CX1795" s="259">
        <f t="shared" ca="1" si="1593"/>
        <v>100</v>
      </c>
      <c r="CY1795" s="259" t="str">
        <f t="shared" ca="1" si="1592"/>
        <v>MASTRO</v>
      </c>
      <c r="CZ1795" s="259" t="e">
        <f t="shared" ca="1" si="1595"/>
        <v>#N/A</v>
      </c>
      <c r="DA1795" s="259" t="str">
        <f t="shared" ca="1" si="1600"/>
        <v/>
      </c>
      <c r="DB1795" s="259" t="str">
        <f t="shared" ca="1" si="1596"/>
        <v/>
      </c>
      <c r="DC1795" s="259" t="str">
        <f t="shared" ca="1" si="1597"/>
        <v/>
      </c>
      <c r="DD1795" s="259" t="str">
        <f t="shared" ca="1" si="1598"/>
        <v/>
      </c>
      <c r="DE1795" s="259" t="str">
        <f t="shared" ca="1" si="1599"/>
        <v/>
      </c>
      <c r="DF1795" s="259">
        <f ca="1">IF(AND(CX1795=$DE$2,$DF$2&lt;&gt;0),0,IF(AND(DB1795&lt;&gt;"",OR(DB1794&lt;&gt;"",DB1796&lt;&gt;"")),MAX($DF$2:DF1794)+1,0))</f>
        <v>0</v>
      </c>
    </row>
    <row r="1796" spans="102:110">
      <c r="CX1796" s="259">
        <f t="shared" ca="1" si="1593"/>
        <v>100</v>
      </c>
      <c r="CY1796" s="259" t="str">
        <f t="shared" ca="1" si="1592"/>
        <v>MASTRO</v>
      </c>
      <c r="CZ1796" s="259" t="e">
        <f t="shared" ca="1" si="1595"/>
        <v>#N/A</v>
      </c>
      <c r="DA1796" s="259" t="str">
        <f t="shared" ca="1" si="1600"/>
        <v/>
      </c>
      <c r="DB1796" s="259" t="str">
        <f t="shared" ca="1" si="1596"/>
        <v/>
      </c>
      <c r="DC1796" s="259" t="str">
        <f t="shared" ca="1" si="1597"/>
        <v/>
      </c>
      <c r="DD1796" s="259" t="str">
        <f t="shared" ca="1" si="1598"/>
        <v/>
      </c>
      <c r="DE1796" s="259" t="str">
        <f t="shared" ca="1" si="1599"/>
        <v/>
      </c>
      <c r="DF1796" s="259">
        <f ca="1">IF(AND(CX1796=$DE$2,$DF$2&lt;&gt;0),0,IF(AND(DB1796&lt;&gt;"",OR(DB1795&lt;&gt;"",DB1797&lt;&gt;"")),MAX($DF$2:DF1795)+1,0))</f>
        <v>0</v>
      </c>
    </row>
    <row r="1797" spans="102:110">
      <c r="CX1797" s="259">
        <f t="shared" ca="1" si="1593"/>
        <v>100</v>
      </c>
      <c r="CY1797" s="259" t="str">
        <f t="shared" ca="1" si="1592"/>
        <v>MASTRO</v>
      </c>
      <c r="CZ1797" s="259" t="e">
        <f t="shared" ca="1" si="1595"/>
        <v>#N/A</v>
      </c>
      <c r="DA1797" s="259" t="str">
        <f t="shared" ca="1" si="1600"/>
        <v/>
      </c>
      <c r="DB1797" s="259" t="str">
        <f t="shared" ca="1" si="1596"/>
        <v/>
      </c>
      <c r="DC1797" s="259" t="str">
        <f t="shared" ca="1" si="1597"/>
        <v/>
      </c>
      <c r="DD1797" s="259" t="str">
        <f t="shared" ca="1" si="1598"/>
        <v/>
      </c>
      <c r="DE1797" s="259" t="str">
        <f t="shared" ca="1" si="1599"/>
        <v/>
      </c>
      <c r="DF1797" s="259">
        <f ca="1">IF(AND(CX1797=$DE$2,$DF$2&lt;&gt;0),0,IF(AND(DB1797&lt;&gt;"",OR(DB1796&lt;&gt;"",DB1798&lt;&gt;"")),MAX($DF$2:DF1796)+1,0))</f>
        <v>0</v>
      </c>
    </row>
    <row r="1798" spans="102:110">
      <c r="CX1798" s="259">
        <f t="shared" ca="1" si="1593"/>
        <v>100</v>
      </c>
      <c r="CY1798" s="259" t="str">
        <f t="shared" ca="1" si="1592"/>
        <v>MASTRO</v>
      </c>
      <c r="CZ1798" s="259" t="e">
        <f t="shared" ca="1" si="1595"/>
        <v>#N/A</v>
      </c>
      <c r="DA1798" s="259" t="str">
        <f t="shared" ca="1" si="1600"/>
        <v/>
      </c>
      <c r="DB1798" s="259" t="str">
        <f t="shared" ca="1" si="1596"/>
        <v/>
      </c>
      <c r="DC1798" s="259" t="str">
        <f t="shared" ca="1" si="1597"/>
        <v/>
      </c>
      <c r="DD1798" s="259" t="str">
        <f t="shared" ca="1" si="1598"/>
        <v/>
      </c>
      <c r="DE1798" s="259" t="str">
        <f t="shared" ca="1" si="1599"/>
        <v/>
      </c>
      <c r="DF1798" s="259">
        <f ca="1">IF(AND(CX1798=$DE$2,$DF$2&lt;&gt;0),0,IF(AND(DB1798&lt;&gt;"",OR(DB1797&lt;&gt;"",DB1799&lt;&gt;"")),MAX($DF$2:DF1797)+1,0))</f>
        <v>0</v>
      </c>
    </row>
    <row r="1799" spans="102:110">
      <c r="CX1799" s="259">
        <f t="shared" ca="1" si="1593"/>
        <v>100</v>
      </c>
      <c r="CY1799" s="259" t="str">
        <f t="shared" ca="1" si="1592"/>
        <v>MASTRO</v>
      </c>
      <c r="CZ1799" s="259" t="e">
        <f t="shared" ca="1" si="1595"/>
        <v>#N/A</v>
      </c>
      <c r="DA1799" s="259" t="str">
        <f t="shared" ca="1" si="1600"/>
        <v/>
      </c>
      <c r="DB1799" s="259" t="str">
        <f t="shared" ca="1" si="1596"/>
        <v/>
      </c>
      <c r="DC1799" s="259" t="str">
        <f t="shared" ca="1" si="1597"/>
        <v/>
      </c>
      <c r="DD1799" s="259" t="str">
        <f t="shared" ca="1" si="1598"/>
        <v/>
      </c>
      <c r="DE1799" s="259" t="str">
        <f t="shared" ca="1" si="1599"/>
        <v/>
      </c>
      <c r="DF1799" s="259">
        <f ca="1">IF(AND(CX1799=$DE$2,$DF$2&lt;&gt;0),0,IF(AND(DB1799&lt;&gt;"",OR(DB1798&lt;&gt;"",DB1800&lt;&gt;"")),MAX($DF$2:DF1798)+1,0))</f>
        <v>0</v>
      </c>
    </row>
    <row r="1800" spans="102:110">
      <c r="CX1800" s="259">
        <f t="shared" ca="1" si="1593"/>
        <v>100</v>
      </c>
      <c r="CY1800" s="259" t="str">
        <f t="shared" ca="1" si="1592"/>
        <v>MASTRO</v>
      </c>
      <c r="CZ1800" s="259" t="e">
        <f t="shared" ca="1" si="1595"/>
        <v>#N/A</v>
      </c>
      <c r="DA1800" s="259" t="str">
        <f t="shared" ca="1" si="1600"/>
        <v/>
      </c>
      <c r="DB1800" s="259" t="str">
        <f t="shared" ca="1" si="1596"/>
        <v/>
      </c>
      <c r="DC1800" s="259" t="str">
        <f t="shared" ca="1" si="1597"/>
        <v/>
      </c>
      <c r="DD1800" s="259" t="str">
        <f t="shared" ca="1" si="1598"/>
        <v/>
      </c>
      <c r="DE1800" s="259" t="str">
        <f t="shared" ca="1" si="1599"/>
        <v/>
      </c>
      <c r="DF1800" s="259">
        <f ca="1">IF(AND(CX1800=$DE$2,$DF$2&lt;&gt;0),0,IF(AND(DB1800&lt;&gt;"",OR(DB1799&lt;&gt;"",DB1801&lt;&gt;"")),MAX($DF$2:DF1799)+1,0))</f>
        <v>0</v>
      </c>
    </row>
    <row r="1801" spans="102:110">
      <c r="CX1801" s="259">
        <f t="shared" ca="1" si="1593"/>
        <v>100</v>
      </c>
      <c r="CY1801" s="259" t="str">
        <f t="shared" ca="1" si="1592"/>
        <v>MASTRO</v>
      </c>
      <c r="CZ1801" s="259" t="e">
        <f t="shared" ca="1" si="1595"/>
        <v>#N/A</v>
      </c>
      <c r="DA1801" s="259" t="str">
        <f t="shared" ca="1" si="1600"/>
        <v/>
      </c>
      <c r="DB1801" s="259" t="str">
        <f t="shared" ca="1" si="1596"/>
        <v/>
      </c>
      <c r="DC1801" s="259" t="str">
        <f t="shared" ca="1" si="1597"/>
        <v/>
      </c>
      <c r="DD1801" s="259" t="str">
        <f t="shared" ca="1" si="1598"/>
        <v/>
      </c>
      <c r="DE1801" s="259" t="str">
        <f t="shared" ca="1" si="1599"/>
        <v/>
      </c>
      <c r="DF1801" s="259">
        <f ca="1">IF(AND(CX1801=$DE$2,$DF$2&lt;&gt;0),0,IF(AND(DB1801&lt;&gt;"",OR(DB1800&lt;&gt;"",DB1802&lt;&gt;"")),MAX($DF$2:DF1800)+1,0))</f>
        <v>0</v>
      </c>
    </row>
    <row r="1802" spans="102:110">
      <c r="CX1802" s="259" t="str">
        <f>IFERROR(IF(CX1784+1=1,"",(CX1784+1)),"")</f>
        <v/>
      </c>
      <c r="CY1802" s="259" t="str">
        <f t="shared" ca="1" si="1592"/>
        <v>MASTRO</v>
      </c>
      <c r="DB1802" s="259" t="str">
        <f t="shared" ref="DB1802" ca="1" si="1601">CY1802</f>
        <v>MASTRO</v>
      </c>
      <c r="DF1802" s="259">
        <f ca="1">IF(AND(CX1802=$DE$2,$DF$2&lt;&gt;0),0,IF(AND(DB1802&lt;&gt;"",OR(DB1801&lt;&gt;"",DB1803&lt;&gt;"")),MAX($DF$2:DF1801)+1,0))</f>
        <v>0</v>
      </c>
    </row>
    <row r="1803" spans="102:110">
      <c r="CX1803" s="259">
        <f ca="1">$EA$103</f>
        <v>101</v>
      </c>
      <c r="CY1803" s="259" t="str">
        <f t="shared" ca="1" si="1592"/>
        <v>MASTRO</v>
      </c>
      <c r="DA1803" s="259" t="str">
        <f ca="1">IF(CY1802="MASTRO","Conto n.","")</f>
        <v>Conto n.</v>
      </c>
      <c r="DB1803" s="259" t="str">
        <f ca="1">IF(CY1803=0,"",INDEX(PIANO_DEI_CONTI,MATCH(DC1803,DENOMINAZIONE,0),1))</f>
        <v/>
      </c>
      <c r="DC1803" s="259" t="str">
        <f ca="1">IF(OR(CY1803=0,CY1803="mastro"),"",CY1803)</f>
        <v/>
      </c>
      <c r="DD1803" s="259" t="str">
        <f ca="1">IF(AND($DA$2=TRUE,OR(INDEX(PIANO_DEI_CONTI,MATCH($DC1803,DENOMINAZIONE,0),4)="A",INDEX(PIANO_DEI_CONTI,MATCH($DC1803,DENOMINAZIONE,0),4)="D/A"),SUMIFS(AVERE,DENOMINAZIONE_GIORNALE,"="&amp;$DC1803)&gt;SUMIFS(DARE,DENOMINAZIONE_GIORNALE,"="&amp;$DC1803)),CONCATENATE("s ",FIXED(ABS(SUMIFS(AVERE,DENOMINAZIONE_GIORNALE,"="&amp;$DC1803)-SUMIFS(DARE,DENOMINAZIONE_GIORNALE,"="&amp;$DC1803)),2)),"")</f>
        <v/>
      </c>
      <c r="DE1803" s="259" t="str">
        <f ca="1">IF(AND($DA$2=TRUE,OR(INDEX(PIANO_DEI_CONTI,MATCH($DC1803,DENOMINAZIONE,0),4)="D",INDEX(PIANO_DEI_CONTI,MATCH($DC1803,DENOMINAZIONE,0),4)="D/A"),SUMIFS(DARE,DENOMINAZIONE_GIORNALE,"="&amp;$DC1803)&gt;SUMIFS(AVERE,DENOMINAZIONE_GIORNALE,"="&amp;$DC1803)),CONCATENATE("s ",FIXED(ABS(SUMIFS(DARE,DENOMINAZIONE_GIORNALE,"="&amp;$DC1803)-SUMIFS(AVERE,DENOMINAZIONE_GIORNALE,"="&amp;$DC1803)),2)),"")</f>
        <v/>
      </c>
      <c r="DF1803" s="259">
        <f ca="1">IF(AND(CX1803=$DE$2,$DF$2&lt;&gt;0),0,IF(AND(DB1803&lt;&gt;"",OR(DB1802&lt;&gt;"",DB1804&lt;&gt;"")),MAX($DF$2:DF1802)+1,0))</f>
        <v>0</v>
      </c>
    </row>
    <row r="1804" spans="102:110">
      <c r="CX1804" s="259">
        <f t="shared" ref="CX1804:CX1819" ca="1" si="1602">$EA$103</f>
        <v>101</v>
      </c>
      <c r="CY1804" s="259" t="str">
        <f t="shared" ca="1" si="1592"/>
        <v>MASTRO</v>
      </c>
      <c r="DA1804" s="259" t="str">
        <f ca="1">IF(DB1803="","","Num. riga")</f>
        <v/>
      </c>
      <c r="DB1804" s="259" t="str">
        <f t="shared" ref="DB1804" ca="1" si="1603">IF(DB1803="","","Data")</f>
        <v/>
      </c>
      <c r="DC1804" s="259" t="str">
        <f ca="1">IF(DB1803="","","Operazioni")</f>
        <v/>
      </c>
      <c r="DD1804" s="259" t="str">
        <f ca="1">IF(DB1803="","","Dare        ")</f>
        <v/>
      </c>
      <c r="DE1804" s="259" t="str">
        <f ca="1">IF(DB1803="","","Avere        ")</f>
        <v/>
      </c>
      <c r="DF1804" s="259">
        <f ca="1">IF(AND(CX1804=$DE$2,$DF$2&lt;&gt;0),0,IF(AND(DB1804&lt;&gt;"",OR(DB1803&lt;&gt;"",DB1805&lt;&gt;"")),MAX($DF$2:DF1803)+1,0))</f>
        <v>0</v>
      </c>
    </row>
    <row r="1805" spans="102:110">
      <c r="CX1805" s="259">
        <f t="shared" ca="1" si="1602"/>
        <v>101</v>
      </c>
      <c r="CY1805" s="259" t="str">
        <f t="shared" ca="1" si="1592"/>
        <v>MASTRO</v>
      </c>
      <c r="CZ1805" s="259" t="e">
        <f t="shared" ref="CZ1805:CZ1819" ca="1" si="1604">SUM(MATCH($CY1805,INDIRECT(ADDRESS(SUM(CZ1804)+3,54)&amp;":"&amp;ADDRESS(400,54)),0),CZ1804)</f>
        <v>#N/A</v>
      </c>
      <c r="DA1805" s="259" t="str">
        <f ca="1">IFERROR(INDEX(LIBRO_GIORNALE,CZ1805,1),"")</f>
        <v/>
      </c>
      <c r="DB1805" s="259" t="str">
        <f t="shared" ref="DB1805:DB1819" ca="1" si="1605">IF(RIGHT(TEXT(IFERROR(INDEX(LIBRO_GIORNALE,CZ1805,2),""),"gg/mm/aa"),1)="a",TEXT(IFERROR(INDEX(LIBRO_GIORNALE,CZ1805,2),""),"dd/mm/yy"),TEXT(IFERROR(INDEX(LIBRO_GIORNALE,CZ1805,2),""),"gg/mm/aa"))</f>
        <v/>
      </c>
      <c r="DC1805" s="259" t="str">
        <f t="shared" ref="DC1805:DC1819" ca="1" si="1606">IF(IFERROR(INDEX(LIBRO_GIORNALE,CZ1805,4),"")=0,"manca la descrizione dell'operazione",IFERROR(INDEX(LIBRO_GIORNALE,CZ1805,4),""))</f>
        <v/>
      </c>
      <c r="DD1805" s="259" t="str">
        <f t="shared" ref="DD1805:DD1819" ca="1" si="1607">IFERROR(IF(INDEX(LIBRO_GIORNALE,CZ1805,5)&gt;0,INDEX(LIBRO_GIORNALE,CZ1805,5),""),"")</f>
        <v/>
      </c>
      <c r="DE1805" s="259" t="str">
        <f t="shared" ref="DE1805:DE1819" ca="1" si="1608">IFERROR(IF(INDEX(LIBRO_GIORNALE,CZ1805,6)&gt;0,INDEX(LIBRO_GIORNALE,CZ1805,6),""),"")</f>
        <v/>
      </c>
      <c r="DF1805" s="259">
        <f ca="1">IF(AND(CX1805=$DE$2,$DF$2&lt;&gt;0),0,IF(AND(DB1805&lt;&gt;"",OR(DB1804&lt;&gt;"",DB1806&lt;&gt;"")),MAX($DF$2:DF1804)+1,0))</f>
        <v>0</v>
      </c>
    </row>
    <row r="1806" spans="102:110">
      <c r="CX1806" s="259">
        <f t="shared" ca="1" si="1602"/>
        <v>101</v>
      </c>
      <c r="CY1806" s="259" t="str">
        <f t="shared" ca="1" si="1592"/>
        <v>MASTRO</v>
      </c>
      <c r="CZ1806" s="259" t="e">
        <f t="shared" ca="1" si="1604"/>
        <v>#N/A</v>
      </c>
      <c r="DA1806" s="259" t="str">
        <f t="shared" ref="DA1806:DA1819" ca="1" si="1609">IFERROR(INDEX(LIBRO_GIORNALE,CZ1806,1),"")</f>
        <v/>
      </c>
      <c r="DB1806" s="259" t="str">
        <f t="shared" ca="1" si="1605"/>
        <v/>
      </c>
      <c r="DC1806" s="259" t="str">
        <f t="shared" ca="1" si="1606"/>
        <v/>
      </c>
      <c r="DD1806" s="259" t="str">
        <f t="shared" ca="1" si="1607"/>
        <v/>
      </c>
      <c r="DE1806" s="259" t="str">
        <f t="shared" ca="1" si="1608"/>
        <v/>
      </c>
      <c r="DF1806" s="259">
        <f ca="1">IF(AND(CX1806=$DE$2,$DF$2&lt;&gt;0),0,IF(AND(DB1806&lt;&gt;"",OR(DB1805&lt;&gt;"",DB1807&lt;&gt;"")),MAX($DF$2:DF1805)+1,0))</f>
        <v>0</v>
      </c>
    </row>
    <row r="1807" spans="102:110">
      <c r="CX1807" s="259">
        <f t="shared" ca="1" si="1602"/>
        <v>101</v>
      </c>
      <c r="CY1807" s="259" t="str">
        <f t="shared" ca="1" si="1592"/>
        <v>MASTRO</v>
      </c>
      <c r="CZ1807" s="259" t="e">
        <f t="shared" ca="1" si="1604"/>
        <v>#N/A</v>
      </c>
      <c r="DA1807" s="259" t="str">
        <f t="shared" ca="1" si="1609"/>
        <v/>
      </c>
      <c r="DB1807" s="259" t="str">
        <f t="shared" ca="1" si="1605"/>
        <v/>
      </c>
      <c r="DC1807" s="259" t="str">
        <f t="shared" ca="1" si="1606"/>
        <v/>
      </c>
      <c r="DD1807" s="259" t="str">
        <f t="shared" ca="1" si="1607"/>
        <v/>
      </c>
      <c r="DE1807" s="259" t="str">
        <f t="shared" ca="1" si="1608"/>
        <v/>
      </c>
      <c r="DF1807" s="259">
        <f ca="1">IF(AND(CX1807=$DE$2,$DF$2&lt;&gt;0),0,IF(AND(DB1807&lt;&gt;"",OR(DB1806&lt;&gt;"",DB1808&lt;&gt;"")),MAX($DF$2:DF1806)+1,0))</f>
        <v>0</v>
      </c>
    </row>
    <row r="1808" spans="102:110">
      <c r="CX1808" s="259">
        <f t="shared" ca="1" si="1602"/>
        <v>101</v>
      </c>
      <c r="CY1808" s="259" t="str">
        <f t="shared" ca="1" si="1592"/>
        <v>MASTRO</v>
      </c>
      <c r="CZ1808" s="259" t="e">
        <f t="shared" ca="1" si="1604"/>
        <v>#N/A</v>
      </c>
      <c r="DA1808" s="259" t="str">
        <f t="shared" ca="1" si="1609"/>
        <v/>
      </c>
      <c r="DB1808" s="259" t="str">
        <f t="shared" ca="1" si="1605"/>
        <v/>
      </c>
      <c r="DC1808" s="259" t="str">
        <f t="shared" ca="1" si="1606"/>
        <v/>
      </c>
      <c r="DD1808" s="259" t="str">
        <f t="shared" ca="1" si="1607"/>
        <v/>
      </c>
      <c r="DE1808" s="259" t="str">
        <f t="shared" ca="1" si="1608"/>
        <v/>
      </c>
      <c r="DF1808" s="259">
        <f ca="1">IF(AND(CX1808=$DE$2,$DF$2&lt;&gt;0),0,IF(AND(DB1808&lt;&gt;"",OR(DB1807&lt;&gt;"",DB1809&lt;&gt;"")),MAX($DF$2:DF1807)+1,0))</f>
        <v>0</v>
      </c>
    </row>
    <row r="1809" spans="102:110">
      <c r="CX1809" s="259">
        <f t="shared" ca="1" si="1602"/>
        <v>101</v>
      </c>
      <c r="CY1809" s="259" t="str">
        <f t="shared" ca="1" si="1592"/>
        <v>MASTRO</v>
      </c>
      <c r="CZ1809" s="259" t="e">
        <f t="shared" ca="1" si="1604"/>
        <v>#N/A</v>
      </c>
      <c r="DA1809" s="259" t="str">
        <f t="shared" ca="1" si="1609"/>
        <v/>
      </c>
      <c r="DB1809" s="259" t="str">
        <f t="shared" ca="1" si="1605"/>
        <v/>
      </c>
      <c r="DC1809" s="259" t="str">
        <f t="shared" ca="1" si="1606"/>
        <v/>
      </c>
      <c r="DD1809" s="259" t="str">
        <f t="shared" ca="1" si="1607"/>
        <v/>
      </c>
      <c r="DE1809" s="259" t="str">
        <f t="shared" ca="1" si="1608"/>
        <v/>
      </c>
      <c r="DF1809" s="259">
        <f ca="1">IF(AND(CX1809=$DE$2,$DF$2&lt;&gt;0),0,IF(AND(DB1809&lt;&gt;"",OR(DB1808&lt;&gt;"",DB1810&lt;&gt;"")),MAX($DF$2:DF1808)+1,0))</f>
        <v>0</v>
      </c>
    </row>
    <row r="1810" spans="102:110">
      <c r="CX1810" s="259">
        <f t="shared" ca="1" si="1602"/>
        <v>101</v>
      </c>
      <c r="CY1810" s="259" t="str">
        <f t="shared" ca="1" si="1592"/>
        <v>MASTRO</v>
      </c>
      <c r="CZ1810" s="259" t="e">
        <f t="shared" ca="1" si="1604"/>
        <v>#N/A</v>
      </c>
      <c r="DA1810" s="259" t="str">
        <f t="shared" ca="1" si="1609"/>
        <v/>
      </c>
      <c r="DB1810" s="259" t="str">
        <f t="shared" ca="1" si="1605"/>
        <v/>
      </c>
      <c r="DC1810" s="259" t="str">
        <f t="shared" ca="1" si="1606"/>
        <v/>
      </c>
      <c r="DD1810" s="259" t="str">
        <f t="shared" ca="1" si="1607"/>
        <v/>
      </c>
      <c r="DE1810" s="259" t="str">
        <f t="shared" ca="1" si="1608"/>
        <v/>
      </c>
      <c r="DF1810" s="259">
        <f ca="1">IF(AND(CX1810=$DE$2,$DF$2&lt;&gt;0),0,IF(AND(DB1810&lt;&gt;"",OR(DB1809&lt;&gt;"",DB1811&lt;&gt;"")),MAX($DF$2:DF1809)+1,0))</f>
        <v>0</v>
      </c>
    </row>
    <row r="1811" spans="102:110">
      <c r="CX1811" s="259">
        <f t="shared" ca="1" si="1602"/>
        <v>101</v>
      </c>
      <c r="CY1811" s="259" t="str">
        <f t="shared" ca="1" si="1592"/>
        <v>MASTRO</v>
      </c>
      <c r="CZ1811" s="259" t="e">
        <f t="shared" ca="1" si="1604"/>
        <v>#N/A</v>
      </c>
      <c r="DA1811" s="259" t="str">
        <f t="shared" ca="1" si="1609"/>
        <v/>
      </c>
      <c r="DB1811" s="259" t="str">
        <f t="shared" ca="1" si="1605"/>
        <v/>
      </c>
      <c r="DC1811" s="259" t="str">
        <f t="shared" ca="1" si="1606"/>
        <v/>
      </c>
      <c r="DD1811" s="259" t="str">
        <f t="shared" ca="1" si="1607"/>
        <v/>
      </c>
      <c r="DE1811" s="259" t="str">
        <f t="shared" ca="1" si="1608"/>
        <v/>
      </c>
      <c r="DF1811" s="259">
        <f ca="1">IF(AND(CX1811=$DE$2,$DF$2&lt;&gt;0),0,IF(AND(DB1811&lt;&gt;"",OR(DB1810&lt;&gt;"",DB1812&lt;&gt;"")),MAX($DF$2:DF1810)+1,0))</f>
        <v>0</v>
      </c>
    </row>
    <row r="1812" spans="102:110">
      <c r="CX1812" s="259">
        <f t="shared" ca="1" si="1602"/>
        <v>101</v>
      </c>
      <c r="CY1812" s="259" t="str">
        <f t="shared" ca="1" si="1592"/>
        <v>MASTRO</v>
      </c>
      <c r="CZ1812" s="259" t="e">
        <f t="shared" ca="1" si="1604"/>
        <v>#N/A</v>
      </c>
      <c r="DA1812" s="259" t="str">
        <f t="shared" ca="1" si="1609"/>
        <v/>
      </c>
      <c r="DB1812" s="259" t="str">
        <f t="shared" ca="1" si="1605"/>
        <v/>
      </c>
      <c r="DC1812" s="259" t="str">
        <f t="shared" ca="1" si="1606"/>
        <v/>
      </c>
      <c r="DD1812" s="259" t="str">
        <f t="shared" ca="1" si="1607"/>
        <v/>
      </c>
      <c r="DE1812" s="259" t="str">
        <f t="shared" ca="1" si="1608"/>
        <v/>
      </c>
      <c r="DF1812" s="259">
        <f ca="1">IF(AND(CX1812=$DE$2,$DF$2&lt;&gt;0),0,IF(AND(DB1812&lt;&gt;"",OR(DB1811&lt;&gt;"",DB1813&lt;&gt;"")),MAX($DF$2:DF1811)+1,0))</f>
        <v>0</v>
      </c>
    </row>
    <row r="1813" spans="102:110">
      <c r="CX1813" s="259">
        <f t="shared" ca="1" si="1602"/>
        <v>101</v>
      </c>
      <c r="CY1813" s="259" t="str">
        <f t="shared" ca="1" si="1592"/>
        <v>MASTRO</v>
      </c>
      <c r="CZ1813" s="259" t="e">
        <f t="shared" ca="1" si="1604"/>
        <v>#N/A</v>
      </c>
      <c r="DA1813" s="259" t="str">
        <f t="shared" ca="1" si="1609"/>
        <v/>
      </c>
      <c r="DB1813" s="259" t="str">
        <f t="shared" ca="1" si="1605"/>
        <v/>
      </c>
      <c r="DC1813" s="259" t="str">
        <f t="shared" ca="1" si="1606"/>
        <v/>
      </c>
      <c r="DD1813" s="259" t="str">
        <f t="shared" ca="1" si="1607"/>
        <v/>
      </c>
      <c r="DE1813" s="259" t="str">
        <f t="shared" ca="1" si="1608"/>
        <v/>
      </c>
      <c r="DF1813" s="259">
        <f ca="1">IF(AND(CX1813=$DE$2,$DF$2&lt;&gt;0),0,IF(AND(DB1813&lt;&gt;"",OR(DB1812&lt;&gt;"",DB1814&lt;&gt;"")),MAX($DF$2:DF1812)+1,0))</f>
        <v>0</v>
      </c>
    </row>
    <row r="1814" spans="102:110">
      <c r="CX1814" s="259">
        <f t="shared" ca="1" si="1602"/>
        <v>101</v>
      </c>
      <c r="CY1814" s="259" t="str">
        <f t="shared" ca="1" si="1592"/>
        <v>MASTRO</v>
      </c>
      <c r="CZ1814" s="259" t="e">
        <f t="shared" ca="1" si="1604"/>
        <v>#N/A</v>
      </c>
      <c r="DA1814" s="259" t="str">
        <f t="shared" ca="1" si="1609"/>
        <v/>
      </c>
      <c r="DB1814" s="259" t="str">
        <f t="shared" ca="1" si="1605"/>
        <v/>
      </c>
      <c r="DC1814" s="259" t="str">
        <f t="shared" ca="1" si="1606"/>
        <v/>
      </c>
      <c r="DD1814" s="259" t="str">
        <f t="shared" ca="1" si="1607"/>
        <v/>
      </c>
      <c r="DE1814" s="259" t="str">
        <f t="shared" ca="1" si="1608"/>
        <v/>
      </c>
      <c r="DF1814" s="259">
        <f ca="1">IF(AND(CX1814=$DE$2,$DF$2&lt;&gt;0),0,IF(AND(DB1814&lt;&gt;"",OR(DB1813&lt;&gt;"",DB1815&lt;&gt;"")),MAX($DF$2:DF1813)+1,0))</f>
        <v>0</v>
      </c>
    </row>
    <row r="1815" spans="102:110">
      <c r="CX1815" s="259">
        <f t="shared" ca="1" si="1602"/>
        <v>101</v>
      </c>
      <c r="CY1815" s="259" t="str">
        <f t="shared" ca="1" si="1592"/>
        <v>MASTRO</v>
      </c>
      <c r="CZ1815" s="259" t="e">
        <f t="shared" ca="1" si="1604"/>
        <v>#N/A</v>
      </c>
      <c r="DA1815" s="259" t="str">
        <f t="shared" ca="1" si="1609"/>
        <v/>
      </c>
      <c r="DB1815" s="259" t="str">
        <f t="shared" ca="1" si="1605"/>
        <v/>
      </c>
      <c r="DC1815" s="259" t="str">
        <f t="shared" ca="1" si="1606"/>
        <v/>
      </c>
      <c r="DD1815" s="259" t="str">
        <f t="shared" ca="1" si="1607"/>
        <v/>
      </c>
      <c r="DE1815" s="259" t="str">
        <f t="shared" ca="1" si="1608"/>
        <v/>
      </c>
      <c r="DF1815" s="259">
        <f ca="1">IF(AND(CX1815=$DE$2,$DF$2&lt;&gt;0),0,IF(AND(DB1815&lt;&gt;"",OR(DB1814&lt;&gt;"",DB1816&lt;&gt;"")),MAX($DF$2:DF1814)+1,0))</f>
        <v>0</v>
      </c>
    </row>
    <row r="1816" spans="102:110">
      <c r="CX1816" s="259">
        <f t="shared" ca="1" si="1602"/>
        <v>101</v>
      </c>
      <c r="CY1816" s="259" t="str">
        <f t="shared" ca="1" si="1592"/>
        <v>MASTRO</v>
      </c>
      <c r="CZ1816" s="259" t="e">
        <f t="shared" ca="1" si="1604"/>
        <v>#N/A</v>
      </c>
      <c r="DA1816" s="259" t="str">
        <f t="shared" ca="1" si="1609"/>
        <v/>
      </c>
      <c r="DB1816" s="259" t="str">
        <f t="shared" ca="1" si="1605"/>
        <v/>
      </c>
      <c r="DC1816" s="259" t="str">
        <f t="shared" ca="1" si="1606"/>
        <v/>
      </c>
      <c r="DD1816" s="259" t="str">
        <f t="shared" ca="1" si="1607"/>
        <v/>
      </c>
      <c r="DE1816" s="259" t="str">
        <f t="shared" ca="1" si="1608"/>
        <v/>
      </c>
      <c r="DF1816" s="259">
        <f ca="1">IF(AND(CX1816=$DE$2,$DF$2&lt;&gt;0),0,IF(AND(DB1816&lt;&gt;"",OR(DB1815&lt;&gt;"",DB1817&lt;&gt;"")),MAX($DF$2:DF1815)+1,0))</f>
        <v>0</v>
      </c>
    </row>
    <row r="1817" spans="102:110">
      <c r="CX1817" s="259">
        <f t="shared" ca="1" si="1602"/>
        <v>101</v>
      </c>
      <c r="CY1817" s="259" t="str">
        <f t="shared" ca="1" si="1592"/>
        <v>MASTRO</v>
      </c>
      <c r="CZ1817" s="259" t="e">
        <f t="shared" ca="1" si="1604"/>
        <v>#N/A</v>
      </c>
      <c r="DA1817" s="259" t="str">
        <f t="shared" ca="1" si="1609"/>
        <v/>
      </c>
      <c r="DB1817" s="259" t="str">
        <f t="shared" ca="1" si="1605"/>
        <v/>
      </c>
      <c r="DC1817" s="259" t="str">
        <f t="shared" ca="1" si="1606"/>
        <v/>
      </c>
      <c r="DD1817" s="259" t="str">
        <f t="shared" ca="1" si="1607"/>
        <v/>
      </c>
      <c r="DE1817" s="259" t="str">
        <f t="shared" ca="1" si="1608"/>
        <v/>
      </c>
      <c r="DF1817" s="259">
        <f ca="1">IF(AND(CX1817=$DE$2,$DF$2&lt;&gt;0),0,IF(AND(DB1817&lt;&gt;"",OR(DB1816&lt;&gt;"",DB1818&lt;&gt;"")),MAX($DF$2:DF1816)+1,0))</f>
        <v>0</v>
      </c>
    </row>
    <row r="1818" spans="102:110">
      <c r="CX1818" s="259">
        <f t="shared" ca="1" si="1602"/>
        <v>101</v>
      </c>
      <c r="CY1818" s="259" t="str">
        <f t="shared" ca="1" si="1592"/>
        <v>MASTRO</v>
      </c>
      <c r="CZ1818" s="259" t="e">
        <f t="shared" ca="1" si="1604"/>
        <v>#N/A</v>
      </c>
      <c r="DA1818" s="259" t="str">
        <f t="shared" ca="1" si="1609"/>
        <v/>
      </c>
      <c r="DB1818" s="259" t="str">
        <f t="shared" ca="1" si="1605"/>
        <v/>
      </c>
      <c r="DC1818" s="259" t="str">
        <f t="shared" ca="1" si="1606"/>
        <v/>
      </c>
      <c r="DD1818" s="259" t="str">
        <f t="shared" ca="1" si="1607"/>
        <v/>
      </c>
      <c r="DE1818" s="259" t="str">
        <f t="shared" ca="1" si="1608"/>
        <v/>
      </c>
      <c r="DF1818" s="259">
        <f ca="1">IF(AND(CX1818=$DE$2,$DF$2&lt;&gt;0),0,IF(AND(DB1818&lt;&gt;"",OR(DB1817&lt;&gt;"",DB1819&lt;&gt;"")),MAX($DF$2:DF1817)+1,0))</f>
        <v>0</v>
      </c>
    </row>
    <row r="1819" spans="102:110">
      <c r="CX1819" s="259">
        <f t="shared" ca="1" si="1602"/>
        <v>101</v>
      </c>
      <c r="CY1819" s="259" t="str">
        <f t="shared" ref="CY1819:CY1852" ca="1" si="1610">IF(ISERROR(INDEX($CV$3:$CX$2300,MATCH(CX1819,$CW$3:$CW$2300,0),1)),"MASTRO",INDEX($CV$3:$CX$2300,MATCH(CX1819,$CW$3:$CW$2300,0),1))</f>
        <v>MASTRO</v>
      </c>
      <c r="CZ1819" s="259" t="e">
        <f t="shared" ca="1" si="1604"/>
        <v>#N/A</v>
      </c>
      <c r="DA1819" s="259" t="str">
        <f t="shared" ca="1" si="1609"/>
        <v/>
      </c>
      <c r="DB1819" s="259" t="str">
        <f t="shared" ca="1" si="1605"/>
        <v/>
      </c>
      <c r="DC1819" s="259" t="str">
        <f t="shared" ca="1" si="1606"/>
        <v/>
      </c>
      <c r="DD1819" s="259" t="str">
        <f t="shared" ca="1" si="1607"/>
        <v/>
      </c>
      <c r="DE1819" s="259" t="str">
        <f t="shared" ca="1" si="1608"/>
        <v/>
      </c>
      <c r="DF1819" s="259">
        <f ca="1">IF(AND(CX1819=$DE$2,$DF$2&lt;&gt;0),0,IF(AND(DB1819&lt;&gt;"",OR(DB1818&lt;&gt;"",DB1820&lt;&gt;"")),MAX($DF$2:DF1818)+1,0))</f>
        <v>0</v>
      </c>
    </row>
    <row r="1820" spans="102:110">
      <c r="CX1820" s="259" t="str">
        <f>IFERROR(IF(CX1802+1=1,"",(CX1802+1)),"")</f>
        <v/>
      </c>
      <c r="CY1820" s="259" t="str">
        <f t="shared" ca="1" si="1610"/>
        <v>MASTRO</v>
      </c>
      <c r="DB1820" s="259" t="str">
        <f t="shared" ref="DB1820" ca="1" si="1611">CY1820</f>
        <v>MASTRO</v>
      </c>
      <c r="DF1820" s="259">
        <f ca="1">IF(AND(CX1820=$DE$2,$DF$2&lt;&gt;0),0,IF(AND(DB1820&lt;&gt;"",OR(DB1819&lt;&gt;"",DB1821&lt;&gt;"")),MAX($DF$2:DF1819)+1,0))</f>
        <v>0</v>
      </c>
    </row>
    <row r="1821" spans="102:110">
      <c r="CX1821" s="259">
        <f ca="1">$EA$104</f>
        <v>102</v>
      </c>
      <c r="CY1821" s="259" t="str">
        <f t="shared" ca="1" si="1610"/>
        <v>MASTRO</v>
      </c>
      <c r="DA1821" s="259" t="str">
        <f ca="1">IF(CY1820="MASTRO","Conto n.","")</f>
        <v>Conto n.</v>
      </c>
      <c r="DB1821" s="259" t="str">
        <f ca="1">IF(CY1821=0,"",INDEX(PIANO_DEI_CONTI,MATCH(DC1821,DENOMINAZIONE,0),1))</f>
        <v/>
      </c>
      <c r="DC1821" s="259" t="str">
        <f ca="1">IF(OR(CY1821=0,CY1821="mastro"),"",CY1821)</f>
        <v/>
      </c>
      <c r="DD1821" s="259" t="str">
        <f ca="1">IF(AND($DA$2=TRUE,OR(INDEX(PIANO_DEI_CONTI,MATCH($DC1821,DENOMINAZIONE,0),4)="A",INDEX(PIANO_DEI_CONTI,MATCH($DC1821,DENOMINAZIONE,0),4)="D/A"),SUMIFS(AVERE,DENOMINAZIONE_GIORNALE,"="&amp;$DC1821)&gt;SUMIFS(DARE,DENOMINAZIONE_GIORNALE,"="&amp;$DC1821)),CONCATENATE("s ",FIXED(ABS(SUMIFS(AVERE,DENOMINAZIONE_GIORNALE,"="&amp;$DC1821)-SUMIFS(DARE,DENOMINAZIONE_GIORNALE,"="&amp;$DC1821)),2)),"")</f>
        <v/>
      </c>
      <c r="DE1821" s="259" t="str">
        <f ca="1">IF(AND($DA$2=TRUE,OR(INDEX(PIANO_DEI_CONTI,MATCH($DC1821,DENOMINAZIONE,0),4)="D",INDEX(PIANO_DEI_CONTI,MATCH($DC1821,DENOMINAZIONE,0),4)="D/A"),SUMIFS(DARE,DENOMINAZIONE_GIORNALE,"="&amp;$DC1821)&gt;SUMIFS(AVERE,DENOMINAZIONE_GIORNALE,"="&amp;$DC1821)),CONCATENATE("s ",FIXED(ABS(SUMIFS(DARE,DENOMINAZIONE_GIORNALE,"="&amp;$DC1821)-SUMIFS(AVERE,DENOMINAZIONE_GIORNALE,"="&amp;$DC1821)),2)),"")</f>
        <v/>
      </c>
      <c r="DF1821" s="259">
        <f ca="1">IF(AND(CX1821=$DE$2,$DF$2&lt;&gt;0),0,IF(AND(DB1821&lt;&gt;"",OR(DB1820&lt;&gt;"",DB1822&lt;&gt;"")),MAX($DF$2:DF1820)+1,0))</f>
        <v>0</v>
      </c>
    </row>
    <row r="1822" spans="102:110">
      <c r="CX1822" s="259">
        <f t="shared" ref="CX1822:CX1837" ca="1" si="1612">$EA$104</f>
        <v>102</v>
      </c>
      <c r="CY1822" s="259" t="str">
        <f t="shared" ca="1" si="1610"/>
        <v>MASTRO</v>
      </c>
      <c r="DA1822" s="259" t="str">
        <f ca="1">IF(DB1821="","","Num. riga")</f>
        <v/>
      </c>
      <c r="DB1822" s="259" t="str">
        <f t="shared" ref="DB1822" ca="1" si="1613">IF(DB1821="","","Data")</f>
        <v/>
      </c>
      <c r="DC1822" s="259" t="str">
        <f ca="1">IF(DB1821="","","Operazioni")</f>
        <v/>
      </c>
      <c r="DD1822" s="259" t="str">
        <f ca="1">IF(DB1821="","","Dare        ")</f>
        <v/>
      </c>
      <c r="DE1822" s="259" t="str">
        <f ca="1">IF(DB1821="","","Avere        ")</f>
        <v/>
      </c>
      <c r="DF1822" s="259">
        <f ca="1">IF(AND(CX1822=$DE$2,$DF$2&lt;&gt;0),0,IF(AND(DB1822&lt;&gt;"",OR(DB1821&lt;&gt;"",DB1823&lt;&gt;"")),MAX($DF$2:DF1821)+1,0))</f>
        <v>0</v>
      </c>
    </row>
    <row r="1823" spans="102:110">
      <c r="CX1823" s="259">
        <f t="shared" ca="1" si="1612"/>
        <v>102</v>
      </c>
      <c r="CY1823" s="259" t="str">
        <f t="shared" ca="1" si="1610"/>
        <v>MASTRO</v>
      </c>
      <c r="CZ1823" s="259" t="e">
        <f t="shared" ref="CZ1823:CZ1837" ca="1" si="1614">SUM(MATCH($CY1823,INDIRECT(ADDRESS(SUM(CZ1822)+3,54)&amp;":"&amp;ADDRESS(400,54)),0),CZ1822)</f>
        <v>#N/A</v>
      </c>
      <c r="DA1823" s="259" t="str">
        <f ca="1">IFERROR(INDEX(LIBRO_GIORNALE,CZ1823,1),"")</f>
        <v/>
      </c>
      <c r="DB1823" s="259" t="str">
        <f t="shared" ref="DB1823:DB1837" ca="1" si="1615">IF(RIGHT(TEXT(IFERROR(INDEX(LIBRO_GIORNALE,CZ1823,2),""),"gg/mm/aa"),1)="a",TEXT(IFERROR(INDEX(LIBRO_GIORNALE,CZ1823,2),""),"dd/mm/yy"),TEXT(IFERROR(INDEX(LIBRO_GIORNALE,CZ1823,2),""),"gg/mm/aa"))</f>
        <v/>
      </c>
      <c r="DC1823" s="259" t="str">
        <f t="shared" ref="DC1823:DC1837" ca="1" si="1616">IF(IFERROR(INDEX(LIBRO_GIORNALE,CZ1823,4),"")=0,"manca la descrizione dell'operazione",IFERROR(INDEX(LIBRO_GIORNALE,CZ1823,4),""))</f>
        <v/>
      </c>
      <c r="DD1823" s="259" t="str">
        <f t="shared" ref="DD1823:DD1837" ca="1" si="1617">IFERROR(IF(INDEX(LIBRO_GIORNALE,CZ1823,5)&gt;0,INDEX(LIBRO_GIORNALE,CZ1823,5),""),"")</f>
        <v/>
      </c>
      <c r="DE1823" s="259" t="str">
        <f t="shared" ref="DE1823:DE1837" ca="1" si="1618">IFERROR(IF(INDEX(LIBRO_GIORNALE,CZ1823,6)&gt;0,INDEX(LIBRO_GIORNALE,CZ1823,6),""),"")</f>
        <v/>
      </c>
      <c r="DF1823" s="259">
        <f ca="1">IF(AND(CX1823=$DE$2,$DF$2&lt;&gt;0),0,IF(AND(DB1823&lt;&gt;"",OR(DB1822&lt;&gt;"",DB1824&lt;&gt;"")),MAX($DF$2:DF1822)+1,0))</f>
        <v>0</v>
      </c>
    </row>
    <row r="1824" spans="102:110">
      <c r="CX1824" s="259">
        <f t="shared" ca="1" si="1612"/>
        <v>102</v>
      </c>
      <c r="CY1824" s="259" t="str">
        <f t="shared" ca="1" si="1610"/>
        <v>MASTRO</v>
      </c>
      <c r="CZ1824" s="259" t="e">
        <f t="shared" ca="1" si="1614"/>
        <v>#N/A</v>
      </c>
      <c r="DA1824" s="259" t="str">
        <f t="shared" ref="DA1824:DA1837" ca="1" si="1619">IFERROR(INDEX(LIBRO_GIORNALE,CZ1824,1),"")</f>
        <v/>
      </c>
      <c r="DB1824" s="259" t="str">
        <f t="shared" ca="1" si="1615"/>
        <v/>
      </c>
      <c r="DC1824" s="259" t="str">
        <f t="shared" ca="1" si="1616"/>
        <v/>
      </c>
      <c r="DD1824" s="259" t="str">
        <f t="shared" ca="1" si="1617"/>
        <v/>
      </c>
      <c r="DE1824" s="259" t="str">
        <f t="shared" ca="1" si="1618"/>
        <v/>
      </c>
      <c r="DF1824" s="259">
        <f ca="1">IF(AND(CX1824=$DE$2,$DF$2&lt;&gt;0),0,IF(AND(DB1824&lt;&gt;"",OR(DB1823&lt;&gt;"",DB1825&lt;&gt;"")),MAX($DF$2:DF1823)+1,0))</f>
        <v>0</v>
      </c>
    </row>
    <row r="1825" spans="102:110">
      <c r="CX1825" s="259">
        <f t="shared" ca="1" si="1612"/>
        <v>102</v>
      </c>
      <c r="CY1825" s="259" t="str">
        <f t="shared" ca="1" si="1610"/>
        <v>MASTRO</v>
      </c>
      <c r="CZ1825" s="259" t="e">
        <f t="shared" ca="1" si="1614"/>
        <v>#N/A</v>
      </c>
      <c r="DA1825" s="259" t="str">
        <f t="shared" ca="1" si="1619"/>
        <v/>
      </c>
      <c r="DB1825" s="259" t="str">
        <f t="shared" ca="1" si="1615"/>
        <v/>
      </c>
      <c r="DC1825" s="259" t="str">
        <f t="shared" ca="1" si="1616"/>
        <v/>
      </c>
      <c r="DD1825" s="259" t="str">
        <f t="shared" ca="1" si="1617"/>
        <v/>
      </c>
      <c r="DE1825" s="259" t="str">
        <f t="shared" ca="1" si="1618"/>
        <v/>
      </c>
      <c r="DF1825" s="259">
        <f ca="1">IF(AND(CX1825=$DE$2,$DF$2&lt;&gt;0),0,IF(AND(DB1825&lt;&gt;"",OR(DB1824&lt;&gt;"",DB1826&lt;&gt;"")),MAX($DF$2:DF1824)+1,0))</f>
        <v>0</v>
      </c>
    </row>
    <row r="1826" spans="102:110">
      <c r="CX1826" s="259">
        <f t="shared" ca="1" si="1612"/>
        <v>102</v>
      </c>
      <c r="CY1826" s="259" t="str">
        <f t="shared" ca="1" si="1610"/>
        <v>MASTRO</v>
      </c>
      <c r="CZ1826" s="259" t="e">
        <f t="shared" ca="1" si="1614"/>
        <v>#N/A</v>
      </c>
      <c r="DA1826" s="259" t="str">
        <f t="shared" ca="1" si="1619"/>
        <v/>
      </c>
      <c r="DB1826" s="259" t="str">
        <f t="shared" ca="1" si="1615"/>
        <v/>
      </c>
      <c r="DC1826" s="259" t="str">
        <f t="shared" ca="1" si="1616"/>
        <v/>
      </c>
      <c r="DD1826" s="259" t="str">
        <f t="shared" ca="1" si="1617"/>
        <v/>
      </c>
      <c r="DE1826" s="259" t="str">
        <f t="shared" ca="1" si="1618"/>
        <v/>
      </c>
      <c r="DF1826" s="259">
        <f ca="1">IF(AND(CX1826=$DE$2,$DF$2&lt;&gt;0),0,IF(AND(DB1826&lt;&gt;"",OR(DB1825&lt;&gt;"",DB1827&lt;&gt;"")),MAX($DF$2:DF1825)+1,0))</f>
        <v>0</v>
      </c>
    </row>
    <row r="1827" spans="102:110">
      <c r="CX1827" s="259">
        <f t="shared" ca="1" si="1612"/>
        <v>102</v>
      </c>
      <c r="CY1827" s="259" t="str">
        <f t="shared" ca="1" si="1610"/>
        <v>MASTRO</v>
      </c>
      <c r="CZ1827" s="259" t="e">
        <f t="shared" ca="1" si="1614"/>
        <v>#N/A</v>
      </c>
      <c r="DA1827" s="259" t="str">
        <f t="shared" ca="1" si="1619"/>
        <v/>
      </c>
      <c r="DB1827" s="259" t="str">
        <f t="shared" ca="1" si="1615"/>
        <v/>
      </c>
      <c r="DC1827" s="259" t="str">
        <f t="shared" ca="1" si="1616"/>
        <v/>
      </c>
      <c r="DD1827" s="259" t="str">
        <f t="shared" ca="1" si="1617"/>
        <v/>
      </c>
      <c r="DE1827" s="259" t="str">
        <f t="shared" ca="1" si="1618"/>
        <v/>
      </c>
      <c r="DF1827" s="259">
        <f ca="1">IF(AND(CX1827=$DE$2,$DF$2&lt;&gt;0),0,IF(AND(DB1827&lt;&gt;"",OR(DB1826&lt;&gt;"",DB1828&lt;&gt;"")),MAX($DF$2:DF1826)+1,0))</f>
        <v>0</v>
      </c>
    </row>
    <row r="1828" spans="102:110">
      <c r="CX1828" s="259">
        <f t="shared" ca="1" si="1612"/>
        <v>102</v>
      </c>
      <c r="CY1828" s="259" t="str">
        <f t="shared" ca="1" si="1610"/>
        <v>MASTRO</v>
      </c>
      <c r="CZ1828" s="259" t="e">
        <f t="shared" ca="1" si="1614"/>
        <v>#N/A</v>
      </c>
      <c r="DA1828" s="259" t="str">
        <f t="shared" ca="1" si="1619"/>
        <v/>
      </c>
      <c r="DB1828" s="259" t="str">
        <f t="shared" ca="1" si="1615"/>
        <v/>
      </c>
      <c r="DC1828" s="259" t="str">
        <f t="shared" ca="1" si="1616"/>
        <v/>
      </c>
      <c r="DD1828" s="259" t="str">
        <f t="shared" ca="1" si="1617"/>
        <v/>
      </c>
      <c r="DE1828" s="259" t="str">
        <f t="shared" ca="1" si="1618"/>
        <v/>
      </c>
      <c r="DF1828" s="259">
        <f ca="1">IF(AND(CX1828=$DE$2,$DF$2&lt;&gt;0),0,IF(AND(DB1828&lt;&gt;"",OR(DB1827&lt;&gt;"",DB1829&lt;&gt;"")),MAX($DF$2:DF1827)+1,0))</f>
        <v>0</v>
      </c>
    </row>
    <row r="1829" spans="102:110">
      <c r="CX1829" s="259">
        <f t="shared" ca="1" si="1612"/>
        <v>102</v>
      </c>
      <c r="CY1829" s="259" t="str">
        <f t="shared" ca="1" si="1610"/>
        <v>MASTRO</v>
      </c>
      <c r="CZ1829" s="259" t="e">
        <f t="shared" ca="1" si="1614"/>
        <v>#N/A</v>
      </c>
      <c r="DA1829" s="259" t="str">
        <f t="shared" ca="1" si="1619"/>
        <v/>
      </c>
      <c r="DB1829" s="259" t="str">
        <f t="shared" ca="1" si="1615"/>
        <v/>
      </c>
      <c r="DC1829" s="259" t="str">
        <f t="shared" ca="1" si="1616"/>
        <v/>
      </c>
      <c r="DD1829" s="259" t="str">
        <f t="shared" ca="1" si="1617"/>
        <v/>
      </c>
      <c r="DE1829" s="259" t="str">
        <f t="shared" ca="1" si="1618"/>
        <v/>
      </c>
      <c r="DF1829" s="259">
        <f ca="1">IF(AND(CX1829=$DE$2,$DF$2&lt;&gt;0),0,IF(AND(DB1829&lt;&gt;"",OR(DB1828&lt;&gt;"",DB1830&lt;&gt;"")),MAX($DF$2:DF1828)+1,0))</f>
        <v>0</v>
      </c>
    </row>
    <row r="1830" spans="102:110">
      <c r="CX1830" s="259">
        <f t="shared" ca="1" si="1612"/>
        <v>102</v>
      </c>
      <c r="CY1830" s="259" t="str">
        <f t="shared" ca="1" si="1610"/>
        <v>MASTRO</v>
      </c>
      <c r="CZ1830" s="259" t="e">
        <f t="shared" ca="1" si="1614"/>
        <v>#N/A</v>
      </c>
      <c r="DA1830" s="259" t="str">
        <f t="shared" ca="1" si="1619"/>
        <v/>
      </c>
      <c r="DB1830" s="259" t="str">
        <f t="shared" ca="1" si="1615"/>
        <v/>
      </c>
      <c r="DC1830" s="259" t="str">
        <f t="shared" ca="1" si="1616"/>
        <v/>
      </c>
      <c r="DD1830" s="259" t="str">
        <f t="shared" ca="1" si="1617"/>
        <v/>
      </c>
      <c r="DE1830" s="259" t="str">
        <f t="shared" ca="1" si="1618"/>
        <v/>
      </c>
      <c r="DF1830" s="259">
        <f ca="1">IF(AND(CX1830=$DE$2,$DF$2&lt;&gt;0),0,IF(AND(DB1830&lt;&gt;"",OR(DB1829&lt;&gt;"",DB1831&lt;&gt;"")),MAX($DF$2:DF1829)+1,0))</f>
        <v>0</v>
      </c>
    </row>
    <row r="1831" spans="102:110">
      <c r="CX1831" s="259">
        <f t="shared" ca="1" si="1612"/>
        <v>102</v>
      </c>
      <c r="CY1831" s="259" t="str">
        <f t="shared" ca="1" si="1610"/>
        <v>MASTRO</v>
      </c>
      <c r="CZ1831" s="259" t="e">
        <f t="shared" ca="1" si="1614"/>
        <v>#N/A</v>
      </c>
      <c r="DA1831" s="259" t="str">
        <f t="shared" ca="1" si="1619"/>
        <v/>
      </c>
      <c r="DB1831" s="259" t="str">
        <f t="shared" ca="1" si="1615"/>
        <v/>
      </c>
      <c r="DC1831" s="259" t="str">
        <f t="shared" ca="1" si="1616"/>
        <v/>
      </c>
      <c r="DD1831" s="259" t="str">
        <f t="shared" ca="1" si="1617"/>
        <v/>
      </c>
      <c r="DE1831" s="259" t="str">
        <f t="shared" ca="1" si="1618"/>
        <v/>
      </c>
      <c r="DF1831" s="259">
        <f ca="1">IF(AND(CX1831=$DE$2,$DF$2&lt;&gt;0),0,IF(AND(DB1831&lt;&gt;"",OR(DB1830&lt;&gt;"",DB1832&lt;&gt;"")),MAX($DF$2:DF1830)+1,0))</f>
        <v>0</v>
      </c>
    </row>
    <row r="1832" spans="102:110">
      <c r="CX1832" s="259">
        <f t="shared" ca="1" si="1612"/>
        <v>102</v>
      </c>
      <c r="CY1832" s="259" t="str">
        <f t="shared" ca="1" si="1610"/>
        <v>MASTRO</v>
      </c>
      <c r="CZ1832" s="259" t="e">
        <f t="shared" ca="1" si="1614"/>
        <v>#N/A</v>
      </c>
      <c r="DA1832" s="259" t="str">
        <f t="shared" ca="1" si="1619"/>
        <v/>
      </c>
      <c r="DB1832" s="259" t="str">
        <f t="shared" ca="1" si="1615"/>
        <v/>
      </c>
      <c r="DC1832" s="259" t="str">
        <f t="shared" ca="1" si="1616"/>
        <v/>
      </c>
      <c r="DD1832" s="259" t="str">
        <f t="shared" ca="1" si="1617"/>
        <v/>
      </c>
      <c r="DE1832" s="259" t="str">
        <f t="shared" ca="1" si="1618"/>
        <v/>
      </c>
      <c r="DF1832" s="259">
        <f ca="1">IF(AND(CX1832=$DE$2,$DF$2&lt;&gt;0),0,IF(AND(DB1832&lt;&gt;"",OR(DB1831&lt;&gt;"",DB1833&lt;&gt;"")),MAX($DF$2:DF1831)+1,0))</f>
        <v>0</v>
      </c>
    </row>
    <row r="1833" spans="102:110">
      <c r="CX1833" s="259">
        <f t="shared" ca="1" si="1612"/>
        <v>102</v>
      </c>
      <c r="CY1833" s="259" t="str">
        <f t="shared" ca="1" si="1610"/>
        <v>MASTRO</v>
      </c>
      <c r="CZ1833" s="259" t="e">
        <f t="shared" ca="1" si="1614"/>
        <v>#N/A</v>
      </c>
      <c r="DA1833" s="259" t="str">
        <f t="shared" ca="1" si="1619"/>
        <v/>
      </c>
      <c r="DB1833" s="259" t="str">
        <f t="shared" ca="1" si="1615"/>
        <v/>
      </c>
      <c r="DC1833" s="259" t="str">
        <f t="shared" ca="1" si="1616"/>
        <v/>
      </c>
      <c r="DD1833" s="259" t="str">
        <f t="shared" ca="1" si="1617"/>
        <v/>
      </c>
      <c r="DE1833" s="259" t="str">
        <f t="shared" ca="1" si="1618"/>
        <v/>
      </c>
      <c r="DF1833" s="259">
        <f ca="1">IF(AND(CX1833=$DE$2,$DF$2&lt;&gt;0),0,IF(AND(DB1833&lt;&gt;"",OR(DB1832&lt;&gt;"",DB1834&lt;&gt;"")),MAX($DF$2:DF1832)+1,0))</f>
        <v>0</v>
      </c>
    </row>
    <row r="1834" spans="102:110">
      <c r="CX1834" s="259">
        <f t="shared" ca="1" si="1612"/>
        <v>102</v>
      </c>
      <c r="CY1834" s="259" t="str">
        <f t="shared" ca="1" si="1610"/>
        <v>MASTRO</v>
      </c>
      <c r="CZ1834" s="259" t="e">
        <f t="shared" ca="1" si="1614"/>
        <v>#N/A</v>
      </c>
      <c r="DA1834" s="259" t="str">
        <f t="shared" ca="1" si="1619"/>
        <v/>
      </c>
      <c r="DB1834" s="259" t="str">
        <f t="shared" ca="1" si="1615"/>
        <v/>
      </c>
      <c r="DC1834" s="259" t="str">
        <f t="shared" ca="1" si="1616"/>
        <v/>
      </c>
      <c r="DD1834" s="259" t="str">
        <f t="shared" ca="1" si="1617"/>
        <v/>
      </c>
      <c r="DE1834" s="259" t="str">
        <f t="shared" ca="1" si="1618"/>
        <v/>
      </c>
      <c r="DF1834" s="259">
        <f ca="1">IF(AND(CX1834=$DE$2,$DF$2&lt;&gt;0),0,IF(AND(DB1834&lt;&gt;"",OR(DB1833&lt;&gt;"",DB1835&lt;&gt;"")),MAX($DF$2:DF1833)+1,0))</f>
        <v>0</v>
      </c>
    </row>
    <row r="1835" spans="102:110">
      <c r="CX1835" s="259">
        <f t="shared" ca="1" si="1612"/>
        <v>102</v>
      </c>
      <c r="CY1835" s="259" t="str">
        <f t="shared" ca="1" si="1610"/>
        <v>MASTRO</v>
      </c>
      <c r="CZ1835" s="259" t="e">
        <f t="shared" ca="1" si="1614"/>
        <v>#N/A</v>
      </c>
      <c r="DA1835" s="259" t="str">
        <f t="shared" ca="1" si="1619"/>
        <v/>
      </c>
      <c r="DB1835" s="259" t="str">
        <f t="shared" ca="1" si="1615"/>
        <v/>
      </c>
      <c r="DC1835" s="259" t="str">
        <f t="shared" ca="1" si="1616"/>
        <v/>
      </c>
      <c r="DD1835" s="259" t="str">
        <f t="shared" ca="1" si="1617"/>
        <v/>
      </c>
      <c r="DE1835" s="259" t="str">
        <f t="shared" ca="1" si="1618"/>
        <v/>
      </c>
      <c r="DF1835" s="259">
        <f ca="1">IF(AND(CX1835=$DE$2,$DF$2&lt;&gt;0),0,IF(AND(DB1835&lt;&gt;"",OR(DB1834&lt;&gt;"",DB1836&lt;&gt;"")),MAX($DF$2:DF1834)+1,0))</f>
        <v>0</v>
      </c>
    </row>
    <row r="1836" spans="102:110">
      <c r="CX1836" s="259">
        <f t="shared" ca="1" si="1612"/>
        <v>102</v>
      </c>
      <c r="CY1836" s="259" t="str">
        <f t="shared" ca="1" si="1610"/>
        <v>MASTRO</v>
      </c>
      <c r="CZ1836" s="259" t="e">
        <f t="shared" ca="1" si="1614"/>
        <v>#N/A</v>
      </c>
      <c r="DA1836" s="259" t="str">
        <f t="shared" ca="1" si="1619"/>
        <v/>
      </c>
      <c r="DB1836" s="259" t="str">
        <f t="shared" ca="1" si="1615"/>
        <v/>
      </c>
      <c r="DC1836" s="259" t="str">
        <f t="shared" ca="1" si="1616"/>
        <v/>
      </c>
      <c r="DD1836" s="259" t="str">
        <f t="shared" ca="1" si="1617"/>
        <v/>
      </c>
      <c r="DE1836" s="259" t="str">
        <f t="shared" ca="1" si="1618"/>
        <v/>
      </c>
      <c r="DF1836" s="259">
        <f ca="1">IF(AND(CX1836=$DE$2,$DF$2&lt;&gt;0),0,IF(AND(DB1836&lt;&gt;"",OR(DB1835&lt;&gt;"",DB1837&lt;&gt;"")),MAX($DF$2:DF1835)+1,0))</f>
        <v>0</v>
      </c>
    </row>
    <row r="1837" spans="102:110">
      <c r="CX1837" s="259">
        <f t="shared" ca="1" si="1612"/>
        <v>102</v>
      </c>
      <c r="CY1837" s="259" t="str">
        <f t="shared" ca="1" si="1610"/>
        <v>MASTRO</v>
      </c>
      <c r="CZ1837" s="259" t="e">
        <f t="shared" ca="1" si="1614"/>
        <v>#N/A</v>
      </c>
      <c r="DA1837" s="259" t="str">
        <f t="shared" ca="1" si="1619"/>
        <v/>
      </c>
      <c r="DB1837" s="259" t="str">
        <f t="shared" ca="1" si="1615"/>
        <v/>
      </c>
      <c r="DC1837" s="259" t="str">
        <f t="shared" ca="1" si="1616"/>
        <v/>
      </c>
      <c r="DD1837" s="259" t="str">
        <f t="shared" ca="1" si="1617"/>
        <v/>
      </c>
      <c r="DE1837" s="259" t="str">
        <f t="shared" ca="1" si="1618"/>
        <v/>
      </c>
      <c r="DF1837" s="259">
        <f ca="1">IF(AND(CX1837=$DE$2,$DF$2&lt;&gt;0),0,IF(AND(DB1837&lt;&gt;"",OR(DB1836&lt;&gt;"",DB1838&lt;&gt;"")),MAX($DF$2:DF1836)+1,0))</f>
        <v>0</v>
      </c>
    </row>
    <row r="1838" spans="102:110">
      <c r="CX1838" s="259" t="str">
        <f>IFERROR(IF(CX1820+1=1,"",(CX1820+1)),"")</f>
        <v/>
      </c>
      <c r="CY1838" s="259" t="str">
        <f t="shared" ca="1" si="1610"/>
        <v>MASTRO</v>
      </c>
      <c r="DB1838" s="259" t="str">
        <f t="shared" ref="DB1838" ca="1" si="1620">CY1838</f>
        <v>MASTRO</v>
      </c>
      <c r="DF1838" s="259">
        <f ca="1">IF(AND(CX1838=$DE$2,$DF$2&lt;&gt;0),0,IF(AND(DB1838&lt;&gt;"",OR(DB1837&lt;&gt;"",DB1839&lt;&gt;"")),MAX($DF$2:DF1837)+1,0))</f>
        <v>0</v>
      </c>
    </row>
    <row r="1839" spans="102:110">
      <c r="CX1839" s="259">
        <f ca="1">$EA$105</f>
        <v>103</v>
      </c>
      <c r="CY1839" s="259" t="str">
        <f t="shared" ca="1" si="1610"/>
        <v>MASTRO</v>
      </c>
      <c r="DA1839" s="259" t="str">
        <f ca="1">IF(CY1838="MASTRO","Conto n.","")</f>
        <v>Conto n.</v>
      </c>
      <c r="DB1839" s="259" t="str">
        <f ca="1">IF(CY1839=0,"",INDEX(PIANO_DEI_CONTI,MATCH(DC1839,DENOMINAZIONE,0),1))</f>
        <v/>
      </c>
      <c r="DC1839" s="259" t="str">
        <f ca="1">IF(OR(CY1839=0,CY1839="mastro"),"",CY1839)</f>
        <v/>
      </c>
      <c r="DD1839" s="259" t="str">
        <f ca="1">IF(AND($DA$2=TRUE,OR(INDEX(PIANO_DEI_CONTI,MATCH($DC1839,DENOMINAZIONE,0),4)="A",INDEX(PIANO_DEI_CONTI,MATCH($DC1839,DENOMINAZIONE,0),4)="D/A"),SUMIFS(AVERE,DENOMINAZIONE_GIORNALE,"="&amp;$DC1839)&gt;SUMIFS(DARE,DENOMINAZIONE_GIORNALE,"="&amp;$DC1839)),CONCATENATE("s ",FIXED(ABS(SUMIFS(AVERE,DENOMINAZIONE_GIORNALE,"="&amp;$DC1839)-SUMIFS(DARE,DENOMINAZIONE_GIORNALE,"="&amp;$DC1839)),2)),"")</f>
        <v/>
      </c>
      <c r="DE1839" s="259" t="str">
        <f ca="1">IF(AND($DA$2=TRUE,OR(INDEX(PIANO_DEI_CONTI,MATCH($DC1839,DENOMINAZIONE,0),4)="D",INDEX(PIANO_DEI_CONTI,MATCH($DC1839,DENOMINAZIONE,0),4)="D/A"),SUMIFS(DARE,DENOMINAZIONE_GIORNALE,"="&amp;$DC1839)&gt;SUMIFS(AVERE,DENOMINAZIONE_GIORNALE,"="&amp;$DC1839)),CONCATENATE("s ",FIXED(ABS(SUMIFS(DARE,DENOMINAZIONE_GIORNALE,"="&amp;$DC1839)-SUMIFS(AVERE,DENOMINAZIONE_GIORNALE,"="&amp;$DC1839)),2)),"")</f>
        <v/>
      </c>
      <c r="DF1839" s="259">
        <f ca="1">IF(AND(CX1839=$DE$2,$DF$2&lt;&gt;0),0,IF(AND(DB1839&lt;&gt;"",OR(DB1838&lt;&gt;"",DB1840&lt;&gt;"")),MAX($DF$2:DF1838)+1,0))</f>
        <v>0</v>
      </c>
    </row>
    <row r="1840" spans="102:110">
      <c r="CX1840" s="259">
        <f t="shared" ref="CX1840:CX1855" ca="1" si="1621">$EA$105</f>
        <v>103</v>
      </c>
      <c r="CY1840" s="259" t="str">
        <f t="shared" ca="1" si="1610"/>
        <v>MASTRO</v>
      </c>
      <c r="DA1840" s="259" t="str">
        <f ca="1">IF(DB1839="","","Num. riga")</f>
        <v/>
      </c>
      <c r="DB1840" s="259" t="str">
        <f t="shared" ref="DB1840" ca="1" si="1622">IF(DB1839="","","Data")</f>
        <v/>
      </c>
      <c r="DC1840" s="259" t="str">
        <f ca="1">IF(DB1839="","","Operazioni")</f>
        <v/>
      </c>
      <c r="DD1840" s="259" t="str">
        <f ca="1">IF(DB1839="","","Dare        ")</f>
        <v/>
      </c>
      <c r="DE1840" s="259" t="str">
        <f ca="1">IF(DB1839="","","Avere        ")</f>
        <v/>
      </c>
      <c r="DF1840" s="259">
        <f ca="1">IF(AND(CX1840=$DE$2,$DF$2&lt;&gt;0),0,IF(AND(DB1840&lt;&gt;"",OR(DB1839&lt;&gt;"",DB1841&lt;&gt;"")),MAX($DF$2:DF1839)+1,0))</f>
        <v>0</v>
      </c>
    </row>
    <row r="1841" spans="102:110">
      <c r="CX1841" s="259">
        <f t="shared" ca="1" si="1621"/>
        <v>103</v>
      </c>
      <c r="CY1841" s="259" t="str">
        <f t="shared" ca="1" si="1610"/>
        <v>MASTRO</v>
      </c>
      <c r="CZ1841" s="259" t="e">
        <f t="shared" ref="CZ1841:CZ1855" ca="1" si="1623">SUM(MATCH($CY1841,INDIRECT(ADDRESS(SUM(CZ1840)+3,54)&amp;":"&amp;ADDRESS(400,54)),0),CZ1840)</f>
        <v>#N/A</v>
      </c>
      <c r="DA1841" s="259" t="str">
        <f ca="1">IFERROR(INDEX(LIBRO_GIORNALE,CZ1841,1),"")</f>
        <v/>
      </c>
      <c r="DB1841" s="259" t="str">
        <f t="shared" ref="DB1841:DB1855" ca="1" si="1624">IF(RIGHT(TEXT(IFERROR(INDEX(LIBRO_GIORNALE,CZ1841,2),""),"gg/mm/aa"),1)="a",TEXT(IFERROR(INDEX(LIBRO_GIORNALE,CZ1841,2),""),"dd/mm/yy"),TEXT(IFERROR(INDEX(LIBRO_GIORNALE,CZ1841,2),""),"gg/mm/aa"))</f>
        <v/>
      </c>
      <c r="DC1841" s="259" t="str">
        <f t="shared" ref="DC1841:DC1855" ca="1" si="1625">IF(IFERROR(INDEX(LIBRO_GIORNALE,CZ1841,4),"")=0,"manca la descrizione dell'operazione",IFERROR(INDEX(LIBRO_GIORNALE,CZ1841,4),""))</f>
        <v/>
      </c>
      <c r="DD1841" s="259" t="str">
        <f t="shared" ref="DD1841:DD1855" ca="1" si="1626">IFERROR(IF(INDEX(LIBRO_GIORNALE,CZ1841,5)&gt;0,INDEX(LIBRO_GIORNALE,CZ1841,5),""),"")</f>
        <v/>
      </c>
      <c r="DE1841" s="259" t="str">
        <f t="shared" ref="DE1841:DE1855" ca="1" si="1627">IFERROR(IF(INDEX(LIBRO_GIORNALE,CZ1841,6)&gt;0,INDEX(LIBRO_GIORNALE,CZ1841,6),""),"")</f>
        <v/>
      </c>
      <c r="DF1841" s="259">
        <f ca="1">IF(AND(CX1841=$DE$2,$DF$2&lt;&gt;0),0,IF(AND(DB1841&lt;&gt;"",OR(DB1840&lt;&gt;"",DB1842&lt;&gt;"")),MAX($DF$2:DF1840)+1,0))</f>
        <v>0</v>
      </c>
    </row>
    <row r="1842" spans="102:110">
      <c r="CX1842" s="259">
        <f t="shared" ca="1" si="1621"/>
        <v>103</v>
      </c>
      <c r="CY1842" s="259" t="str">
        <f t="shared" ca="1" si="1610"/>
        <v>MASTRO</v>
      </c>
      <c r="CZ1842" s="259" t="e">
        <f t="shared" ca="1" si="1623"/>
        <v>#N/A</v>
      </c>
      <c r="DA1842" s="259" t="str">
        <f t="shared" ref="DA1842:DA1855" ca="1" si="1628">IFERROR(INDEX(LIBRO_GIORNALE,CZ1842,1),"")</f>
        <v/>
      </c>
      <c r="DB1842" s="259" t="str">
        <f t="shared" ca="1" si="1624"/>
        <v/>
      </c>
      <c r="DC1842" s="259" t="str">
        <f t="shared" ca="1" si="1625"/>
        <v/>
      </c>
      <c r="DD1842" s="259" t="str">
        <f t="shared" ca="1" si="1626"/>
        <v/>
      </c>
      <c r="DE1842" s="259" t="str">
        <f t="shared" ca="1" si="1627"/>
        <v/>
      </c>
      <c r="DF1842" s="259">
        <f ca="1">IF(AND(CX1842=$DE$2,$DF$2&lt;&gt;0),0,IF(AND(DB1842&lt;&gt;"",OR(DB1841&lt;&gt;"",DB1843&lt;&gt;"")),MAX($DF$2:DF1841)+1,0))</f>
        <v>0</v>
      </c>
    </row>
    <row r="1843" spans="102:110">
      <c r="CX1843" s="259">
        <f t="shared" ca="1" si="1621"/>
        <v>103</v>
      </c>
      <c r="CY1843" s="259" t="str">
        <f t="shared" ca="1" si="1610"/>
        <v>MASTRO</v>
      </c>
      <c r="CZ1843" s="259" t="e">
        <f t="shared" ca="1" si="1623"/>
        <v>#N/A</v>
      </c>
      <c r="DA1843" s="259" t="str">
        <f t="shared" ca="1" si="1628"/>
        <v/>
      </c>
      <c r="DB1843" s="259" t="str">
        <f t="shared" ca="1" si="1624"/>
        <v/>
      </c>
      <c r="DC1843" s="259" t="str">
        <f t="shared" ca="1" si="1625"/>
        <v/>
      </c>
      <c r="DD1843" s="259" t="str">
        <f t="shared" ca="1" si="1626"/>
        <v/>
      </c>
      <c r="DE1843" s="259" t="str">
        <f t="shared" ca="1" si="1627"/>
        <v/>
      </c>
      <c r="DF1843" s="259">
        <f ca="1">IF(AND(CX1843=$DE$2,$DF$2&lt;&gt;0),0,IF(AND(DB1843&lt;&gt;"",OR(DB1842&lt;&gt;"",DB1844&lt;&gt;"")),MAX($DF$2:DF1842)+1,0))</f>
        <v>0</v>
      </c>
    </row>
    <row r="1844" spans="102:110">
      <c r="CX1844" s="259">
        <f t="shared" ca="1" si="1621"/>
        <v>103</v>
      </c>
      <c r="CY1844" s="259" t="str">
        <f t="shared" ca="1" si="1610"/>
        <v>MASTRO</v>
      </c>
      <c r="CZ1844" s="259" t="e">
        <f t="shared" ca="1" si="1623"/>
        <v>#N/A</v>
      </c>
      <c r="DA1844" s="259" t="str">
        <f t="shared" ca="1" si="1628"/>
        <v/>
      </c>
      <c r="DB1844" s="259" t="str">
        <f t="shared" ca="1" si="1624"/>
        <v/>
      </c>
      <c r="DC1844" s="259" t="str">
        <f t="shared" ca="1" si="1625"/>
        <v/>
      </c>
      <c r="DD1844" s="259" t="str">
        <f t="shared" ca="1" si="1626"/>
        <v/>
      </c>
      <c r="DE1844" s="259" t="str">
        <f t="shared" ca="1" si="1627"/>
        <v/>
      </c>
      <c r="DF1844" s="259">
        <f ca="1">IF(AND(CX1844=$DE$2,$DF$2&lt;&gt;0),0,IF(AND(DB1844&lt;&gt;"",OR(DB1843&lt;&gt;"",DB1845&lt;&gt;"")),MAX($DF$2:DF1843)+1,0))</f>
        <v>0</v>
      </c>
    </row>
    <row r="1845" spans="102:110">
      <c r="CX1845" s="259">
        <f t="shared" ca="1" si="1621"/>
        <v>103</v>
      </c>
      <c r="CY1845" s="259" t="str">
        <f t="shared" ca="1" si="1610"/>
        <v>MASTRO</v>
      </c>
      <c r="CZ1845" s="259" t="e">
        <f t="shared" ca="1" si="1623"/>
        <v>#N/A</v>
      </c>
      <c r="DA1845" s="259" t="str">
        <f t="shared" ca="1" si="1628"/>
        <v/>
      </c>
      <c r="DB1845" s="259" t="str">
        <f t="shared" ca="1" si="1624"/>
        <v/>
      </c>
      <c r="DC1845" s="259" t="str">
        <f t="shared" ca="1" si="1625"/>
        <v/>
      </c>
      <c r="DD1845" s="259" t="str">
        <f t="shared" ca="1" si="1626"/>
        <v/>
      </c>
      <c r="DE1845" s="259" t="str">
        <f t="shared" ca="1" si="1627"/>
        <v/>
      </c>
      <c r="DF1845" s="259">
        <f ca="1">IF(AND(CX1845=$DE$2,$DF$2&lt;&gt;0),0,IF(AND(DB1845&lt;&gt;"",OR(DB1844&lt;&gt;"",DB1846&lt;&gt;"")),MAX($DF$2:DF1844)+1,0))</f>
        <v>0</v>
      </c>
    </row>
    <row r="1846" spans="102:110">
      <c r="CX1846" s="259">
        <f t="shared" ca="1" si="1621"/>
        <v>103</v>
      </c>
      <c r="CY1846" s="259" t="str">
        <f t="shared" ca="1" si="1610"/>
        <v>MASTRO</v>
      </c>
      <c r="CZ1846" s="259" t="e">
        <f t="shared" ca="1" si="1623"/>
        <v>#N/A</v>
      </c>
      <c r="DA1846" s="259" t="str">
        <f t="shared" ca="1" si="1628"/>
        <v/>
      </c>
      <c r="DB1846" s="259" t="str">
        <f t="shared" ca="1" si="1624"/>
        <v/>
      </c>
      <c r="DC1846" s="259" t="str">
        <f t="shared" ca="1" si="1625"/>
        <v/>
      </c>
      <c r="DD1846" s="259" t="str">
        <f t="shared" ca="1" si="1626"/>
        <v/>
      </c>
      <c r="DE1846" s="259" t="str">
        <f t="shared" ca="1" si="1627"/>
        <v/>
      </c>
      <c r="DF1846" s="259">
        <f ca="1">IF(AND(CX1846=$DE$2,$DF$2&lt;&gt;0),0,IF(AND(DB1846&lt;&gt;"",OR(DB1845&lt;&gt;"",DB1847&lt;&gt;"")),MAX($DF$2:DF1845)+1,0))</f>
        <v>0</v>
      </c>
    </row>
    <row r="1847" spans="102:110">
      <c r="CX1847" s="259">
        <f t="shared" ca="1" si="1621"/>
        <v>103</v>
      </c>
      <c r="CY1847" s="259" t="str">
        <f t="shared" ca="1" si="1610"/>
        <v>MASTRO</v>
      </c>
      <c r="CZ1847" s="259" t="e">
        <f t="shared" ca="1" si="1623"/>
        <v>#N/A</v>
      </c>
      <c r="DA1847" s="259" t="str">
        <f t="shared" ca="1" si="1628"/>
        <v/>
      </c>
      <c r="DB1847" s="259" t="str">
        <f t="shared" ca="1" si="1624"/>
        <v/>
      </c>
      <c r="DC1847" s="259" t="str">
        <f t="shared" ca="1" si="1625"/>
        <v/>
      </c>
      <c r="DD1847" s="259" t="str">
        <f t="shared" ca="1" si="1626"/>
        <v/>
      </c>
      <c r="DE1847" s="259" t="str">
        <f t="shared" ca="1" si="1627"/>
        <v/>
      </c>
      <c r="DF1847" s="259">
        <f ca="1">IF(AND(CX1847=$DE$2,$DF$2&lt;&gt;0),0,IF(AND(DB1847&lt;&gt;"",OR(DB1846&lt;&gt;"",DB1848&lt;&gt;"")),MAX($DF$2:DF1846)+1,0))</f>
        <v>0</v>
      </c>
    </row>
    <row r="1848" spans="102:110">
      <c r="CX1848" s="259">
        <f t="shared" ca="1" si="1621"/>
        <v>103</v>
      </c>
      <c r="CY1848" s="259" t="str">
        <f t="shared" ca="1" si="1610"/>
        <v>MASTRO</v>
      </c>
      <c r="CZ1848" s="259" t="e">
        <f t="shared" ca="1" si="1623"/>
        <v>#N/A</v>
      </c>
      <c r="DA1848" s="259" t="str">
        <f t="shared" ca="1" si="1628"/>
        <v/>
      </c>
      <c r="DB1848" s="259" t="str">
        <f t="shared" ca="1" si="1624"/>
        <v/>
      </c>
      <c r="DC1848" s="259" t="str">
        <f t="shared" ca="1" si="1625"/>
        <v/>
      </c>
      <c r="DD1848" s="259" t="str">
        <f t="shared" ca="1" si="1626"/>
        <v/>
      </c>
      <c r="DE1848" s="259" t="str">
        <f t="shared" ca="1" si="1627"/>
        <v/>
      </c>
      <c r="DF1848" s="259">
        <f ca="1">IF(AND(CX1848=$DE$2,$DF$2&lt;&gt;0),0,IF(AND(DB1848&lt;&gt;"",OR(DB1847&lt;&gt;"",DB1849&lt;&gt;"")),MAX($DF$2:DF1847)+1,0))</f>
        <v>0</v>
      </c>
    </row>
    <row r="1849" spans="102:110">
      <c r="CX1849" s="259">
        <f t="shared" ca="1" si="1621"/>
        <v>103</v>
      </c>
      <c r="CY1849" s="259" t="str">
        <f t="shared" ca="1" si="1610"/>
        <v>MASTRO</v>
      </c>
      <c r="CZ1849" s="259" t="e">
        <f t="shared" ca="1" si="1623"/>
        <v>#N/A</v>
      </c>
      <c r="DA1849" s="259" t="str">
        <f t="shared" ca="1" si="1628"/>
        <v/>
      </c>
      <c r="DB1849" s="259" t="str">
        <f t="shared" ca="1" si="1624"/>
        <v/>
      </c>
      <c r="DC1849" s="259" t="str">
        <f t="shared" ca="1" si="1625"/>
        <v/>
      </c>
      <c r="DD1849" s="259" t="str">
        <f t="shared" ca="1" si="1626"/>
        <v/>
      </c>
      <c r="DE1849" s="259" t="str">
        <f t="shared" ca="1" si="1627"/>
        <v/>
      </c>
      <c r="DF1849" s="259">
        <f ca="1">IF(AND(CX1849=$DE$2,$DF$2&lt;&gt;0),0,IF(AND(DB1849&lt;&gt;"",OR(DB1848&lt;&gt;"",DB1850&lt;&gt;"")),MAX($DF$2:DF1848)+1,0))</f>
        <v>0</v>
      </c>
    </row>
    <row r="1850" spans="102:110">
      <c r="CX1850" s="259">
        <f t="shared" ca="1" si="1621"/>
        <v>103</v>
      </c>
      <c r="CY1850" s="259" t="str">
        <f t="shared" ca="1" si="1610"/>
        <v>MASTRO</v>
      </c>
      <c r="CZ1850" s="259" t="e">
        <f t="shared" ca="1" si="1623"/>
        <v>#N/A</v>
      </c>
      <c r="DA1850" s="259" t="str">
        <f t="shared" ca="1" si="1628"/>
        <v/>
      </c>
      <c r="DB1850" s="259" t="str">
        <f t="shared" ca="1" si="1624"/>
        <v/>
      </c>
      <c r="DC1850" s="259" t="str">
        <f t="shared" ca="1" si="1625"/>
        <v/>
      </c>
      <c r="DD1850" s="259" t="str">
        <f t="shared" ca="1" si="1626"/>
        <v/>
      </c>
      <c r="DE1850" s="259" t="str">
        <f t="shared" ca="1" si="1627"/>
        <v/>
      </c>
      <c r="DF1850" s="259">
        <f ca="1">IF(AND(CX1850=$DE$2,$DF$2&lt;&gt;0),0,IF(AND(DB1850&lt;&gt;"",OR(DB1849&lt;&gt;"",DB1851&lt;&gt;"")),MAX($DF$2:DF1849)+1,0))</f>
        <v>0</v>
      </c>
    </row>
    <row r="1851" spans="102:110">
      <c r="CX1851" s="259">
        <f t="shared" ca="1" si="1621"/>
        <v>103</v>
      </c>
      <c r="CY1851" s="259" t="str">
        <f t="shared" ca="1" si="1610"/>
        <v>MASTRO</v>
      </c>
      <c r="CZ1851" s="259" t="e">
        <f t="shared" ca="1" si="1623"/>
        <v>#N/A</v>
      </c>
      <c r="DA1851" s="259" t="str">
        <f t="shared" ca="1" si="1628"/>
        <v/>
      </c>
      <c r="DB1851" s="259" t="str">
        <f t="shared" ca="1" si="1624"/>
        <v/>
      </c>
      <c r="DC1851" s="259" t="str">
        <f t="shared" ca="1" si="1625"/>
        <v/>
      </c>
      <c r="DD1851" s="259" t="str">
        <f t="shared" ca="1" si="1626"/>
        <v/>
      </c>
      <c r="DE1851" s="259" t="str">
        <f t="shared" ca="1" si="1627"/>
        <v/>
      </c>
      <c r="DF1851" s="259">
        <f ca="1">IF(AND(CX1851=$DE$2,$DF$2&lt;&gt;0),0,IF(AND(DB1851&lt;&gt;"",OR(DB1850&lt;&gt;"",DB1852&lt;&gt;"")),MAX($DF$2:DF1850)+1,0))</f>
        <v>0</v>
      </c>
    </row>
    <row r="1852" spans="102:110">
      <c r="CX1852" s="259">
        <f t="shared" ca="1" si="1621"/>
        <v>103</v>
      </c>
      <c r="CY1852" s="259" t="str">
        <f t="shared" ca="1" si="1610"/>
        <v>MASTRO</v>
      </c>
      <c r="CZ1852" s="259" t="e">
        <f t="shared" ca="1" si="1623"/>
        <v>#N/A</v>
      </c>
      <c r="DA1852" s="259" t="str">
        <f t="shared" ca="1" si="1628"/>
        <v/>
      </c>
      <c r="DB1852" s="259" t="str">
        <f t="shared" ca="1" si="1624"/>
        <v/>
      </c>
      <c r="DC1852" s="259" t="str">
        <f t="shared" ca="1" si="1625"/>
        <v/>
      </c>
      <c r="DD1852" s="259" t="str">
        <f t="shared" ca="1" si="1626"/>
        <v/>
      </c>
      <c r="DE1852" s="259" t="str">
        <f t="shared" ca="1" si="1627"/>
        <v/>
      </c>
      <c r="DF1852" s="259">
        <f ca="1">IF(AND(CX1852=$DE$2,$DF$2&lt;&gt;0),0,IF(AND(DB1852&lt;&gt;"",OR(DB1851&lt;&gt;"",DB1853&lt;&gt;"")),MAX($DF$2:DF1851)+1,0))</f>
        <v>0</v>
      </c>
    </row>
    <row r="1853" spans="102:110">
      <c r="CX1853" s="259">
        <f t="shared" ca="1" si="1621"/>
        <v>103</v>
      </c>
      <c r="CY1853" s="259" t="str">
        <f t="shared" ref="CY1853:CY1884" ca="1" si="1629">IF(ISERROR(INDEX($CV$3:$CX$2300,MATCH(CX1853,$CW$3:$CW$2300,0),1)),"MASTRO",INDEX($CV$3:$CX$2300,MATCH(CX1853,$CW$3:$CW$2300,0),1))</f>
        <v>MASTRO</v>
      </c>
      <c r="CZ1853" s="259" t="e">
        <f t="shared" ca="1" si="1623"/>
        <v>#N/A</v>
      </c>
      <c r="DA1853" s="259" t="str">
        <f t="shared" ca="1" si="1628"/>
        <v/>
      </c>
      <c r="DB1853" s="259" t="str">
        <f t="shared" ca="1" si="1624"/>
        <v/>
      </c>
      <c r="DC1853" s="259" t="str">
        <f t="shared" ca="1" si="1625"/>
        <v/>
      </c>
      <c r="DD1853" s="259" t="str">
        <f t="shared" ca="1" si="1626"/>
        <v/>
      </c>
      <c r="DE1853" s="259" t="str">
        <f t="shared" ca="1" si="1627"/>
        <v/>
      </c>
      <c r="DF1853" s="259">
        <f ca="1">IF(AND(CX1853=$DE$2,$DF$2&lt;&gt;0),0,IF(AND(DB1853&lt;&gt;"",OR(DB1852&lt;&gt;"",DB1854&lt;&gt;"")),MAX($DF$2:DF1852)+1,0))</f>
        <v>0</v>
      </c>
    </row>
    <row r="1854" spans="102:110">
      <c r="CX1854" s="259">
        <f t="shared" ca="1" si="1621"/>
        <v>103</v>
      </c>
      <c r="CY1854" s="259" t="str">
        <f t="shared" ca="1" si="1629"/>
        <v>MASTRO</v>
      </c>
      <c r="CZ1854" s="259" t="e">
        <f t="shared" ca="1" si="1623"/>
        <v>#N/A</v>
      </c>
      <c r="DA1854" s="259" t="str">
        <f t="shared" ca="1" si="1628"/>
        <v/>
      </c>
      <c r="DB1854" s="259" t="str">
        <f t="shared" ca="1" si="1624"/>
        <v/>
      </c>
      <c r="DC1854" s="259" t="str">
        <f t="shared" ca="1" si="1625"/>
        <v/>
      </c>
      <c r="DD1854" s="259" t="str">
        <f t="shared" ca="1" si="1626"/>
        <v/>
      </c>
      <c r="DE1854" s="259" t="str">
        <f t="shared" ca="1" si="1627"/>
        <v/>
      </c>
      <c r="DF1854" s="259">
        <f ca="1">IF(AND(CX1854=$DE$2,$DF$2&lt;&gt;0),0,IF(AND(DB1854&lt;&gt;"",OR(DB1853&lt;&gt;"",DB1855&lt;&gt;"")),MAX($DF$2:DF1853)+1,0))</f>
        <v>0</v>
      </c>
    </row>
    <row r="1855" spans="102:110">
      <c r="CX1855" s="259">
        <f t="shared" ca="1" si="1621"/>
        <v>103</v>
      </c>
      <c r="CY1855" s="259" t="str">
        <f t="shared" ca="1" si="1629"/>
        <v>MASTRO</v>
      </c>
      <c r="CZ1855" s="259" t="e">
        <f t="shared" ca="1" si="1623"/>
        <v>#N/A</v>
      </c>
      <c r="DA1855" s="259" t="str">
        <f t="shared" ca="1" si="1628"/>
        <v/>
      </c>
      <c r="DB1855" s="259" t="str">
        <f t="shared" ca="1" si="1624"/>
        <v/>
      </c>
      <c r="DC1855" s="259" t="str">
        <f t="shared" ca="1" si="1625"/>
        <v/>
      </c>
      <c r="DD1855" s="259" t="str">
        <f t="shared" ca="1" si="1626"/>
        <v/>
      </c>
      <c r="DE1855" s="259" t="str">
        <f t="shared" ca="1" si="1627"/>
        <v/>
      </c>
      <c r="DF1855" s="259">
        <f ca="1">IF(AND(CX1855=$DE$2,$DF$2&lt;&gt;0),0,IF(AND(DB1855&lt;&gt;"",OR(DB1854&lt;&gt;"",DB1856&lt;&gt;"")),MAX($DF$2:DF1854)+1,0))</f>
        <v>0</v>
      </c>
    </row>
    <row r="1856" spans="102:110">
      <c r="CX1856" s="259" t="str">
        <f>IFERROR(IF(CX1838+1=1,"",(CX1838+1)),"")</f>
        <v/>
      </c>
      <c r="CY1856" s="259" t="str">
        <f t="shared" ca="1" si="1629"/>
        <v>MASTRO</v>
      </c>
      <c r="DB1856" s="259" t="str">
        <f t="shared" ref="DB1856" ca="1" si="1630">CY1856</f>
        <v>MASTRO</v>
      </c>
      <c r="DF1856" s="259">
        <f ca="1">IF(AND(CX1856=$DE$2,$DF$2&lt;&gt;0),0,IF(AND(DB1856&lt;&gt;"",OR(DB1855&lt;&gt;"",DB1857&lt;&gt;"")),MAX($DF$2:DF1855)+1,0))</f>
        <v>0</v>
      </c>
    </row>
    <row r="1857" spans="102:110">
      <c r="CX1857" s="259">
        <f ca="1">$EA$106</f>
        <v>104</v>
      </c>
      <c r="CY1857" s="259" t="str">
        <f t="shared" ca="1" si="1629"/>
        <v>MASTRO</v>
      </c>
      <c r="DA1857" s="259" t="str">
        <f ca="1">IF(CY1856="MASTRO","Conto n.","")</f>
        <v>Conto n.</v>
      </c>
      <c r="DB1857" s="259" t="str">
        <f ca="1">IF(CY1857=0,"",INDEX(PIANO_DEI_CONTI,MATCH(DC1857,DENOMINAZIONE,0),1))</f>
        <v/>
      </c>
      <c r="DC1857" s="259" t="str">
        <f ca="1">IF(OR(CY1857=0,CY1857="mastro"),"",CY1857)</f>
        <v/>
      </c>
      <c r="DD1857" s="259" t="str">
        <f ca="1">IF(AND($DA$2=TRUE,OR(INDEX(PIANO_DEI_CONTI,MATCH($DC1857,DENOMINAZIONE,0),4)="A",INDEX(PIANO_DEI_CONTI,MATCH($DC1857,DENOMINAZIONE,0),4)="D/A"),SUMIFS(AVERE,DENOMINAZIONE_GIORNALE,"="&amp;$DC1857)&gt;SUMIFS(DARE,DENOMINAZIONE_GIORNALE,"="&amp;$DC1857)),CONCATENATE("s ",FIXED(ABS(SUMIFS(AVERE,DENOMINAZIONE_GIORNALE,"="&amp;$DC1857)-SUMIFS(DARE,DENOMINAZIONE_GIORNALE,"="&amp;$DC1857)),2)),"")</f>
        <v/>
      </c>
      <c r="DE1857" s="259" t="str">
        <f ca="1">IF(AND($DA$2=TRUE,OR(INDEX(PIANO_DEI_CONTI,MATCH($DC1857,DENOMINAZIONE,0),4)="D",INDEX(PIANO_DEI_CONTI,MATCH($DC1857,DENOMINAZIONE,0),4)="D/A"),SUMIFS(DARE,DENOMINAZIONE_GIORNALE,"="&amp;$DC1857)&gt;SUMIFS(AVERE,DENOMINAZIONE_GIORNALE,"="&amp;$DC1857)),CONCATENATE("s ",FIXED(ABS(SUMIFS(DARE,DENOMINAZIONE_GIORNALE,"="&amp;$DC1857)-SUMIFS(AVERE,DENOMINAZIONE_GIORNALE,"="&amp;$DC1857)),2)),"")</f>
        <v/>
      </c>
      <c r="DF1857" s="259">
        <f ca="1">IF(AND(CX1857=$DE$2,$DF$2&lt;&gt;0),0,IF(AND(DB1857&lt;&gt;"",OR(DB1856&lt;&gt;"",DB1858&lt;&gt;"")),MAX($DF$2:DF1856)+1,0))</f>
        <v>0</v>
      </c>
    </row>
    <row r="1858" spans="102:110">
      <c r="CX1858" s="259">
        <f t="shared" ref="CX1858:CX1873" ca="1" si="1631">$EA$106</f>
        <v>104</v>
      </c>
      <c r="CY1858" s="259" t="str">
        <f t="shared" ca="1" si="1629"/>
        <v>MASTRO</v>
      </c>
      <c r="DA1858" s="259" t="str">
        <f ca="1">IF(DB1857="","","Num. riga")</f>
        <v/>
      </c>
      <c r="DB1858" s="259" t="str">
        <f t="shared" ref="DB1858" ca="1" si="1632">IF(DB1857="","","Data")</f>
        <v/>
      </c>
      <c r="DC1858" s="259" t="str">
        <f ca="1">IF(DB1857="","","Operazioni")</f>
        <v/>
      </c>
      <c r="DD1858" s="259" t="str">
        <f ca="1">IF(DB1857="","","Dare        ")</f>
        <v/>
      </c>
      <c r="DE1858" s="259" t="str">
        <f ca="1">IF(DB1857="","","Avere        ")</f>
        <v/>
      </c>
      <c r="DF1858" s="259">
        <f ca="1">IF(AND(CX1858=$DE$2,$DF$2&lt;&gt;0),0,IF(AND(DB1858&lt;&gt;"",OR(DB1857&lt;&gt;"",DB1859&lt;&gt;"")),MAX($DF$2:DF1857)+1,0))</f>
        <v>0</v>
      </c>
    </row>
    <row r="1859" spans="102:110">
      <c r="CX1859" s="259">
        <f t="shared" ca="1" si="1631"/>
        <v>104</v>
      </c>
      <c r="CY1859" s="259" t="str">
        <f t="shared" ca="1" si="1629"/>
        <v>MASTRO</v>
      </c>
      <c r="CZ1859" s="259" t="e">
        <f t="shared" ref="CZ1859:CZ1873" ca="1" si="1633">SUM(MATCH($CY1859,INDIRECT(ADDRESS(SUM(CZ1858)+3,54)&amp;":"&amp;ADDRESS(400,54)),0),CZ1858)</f>
        <v>#N/A</v>
      </c>
      <c r="DA1859" s="259" t="str">
        <f ca="1">IFERROR(INDEX(LIBRO_GIORNALE,CZ1859,1),"")</f>
        <v/>
      </c>
      <c r="DB1859" s="259" t="str">
        <f t="shared" ref="DB1859:DB1873" ca="1" si="1634">IF(RIGHT(TEXT(IFERROR(INDEX(LIBRO_GIORNALE,CZ1859,2),""),"gg/mm/aa"),1)="a",TEXT(IFERROR(INDEX(LIBRO_GIORNALE,CZ1859,2),""),"dd/mm/yy"),TEXT(IFERROR(INDEX(LIBRO_GIORNALE,CZ1859,2),""),"gg/mm/aa"))</f>
        <v/>
      </c>
      <c r="DC1859" s="259" t="str">
        <f t="shared" ref="DC1859:DC1873" ca="1" si="1635">IF(IFERROR(INDEX(LIBRO_GIORNALE,CZ1859,4),"")=0,"manca la descrizione dell'operazione",IFERROR(INDEX(LIBRO_GIORNALE,CZ1859,4),""))</f>
        <v/>
      </c>
      <c r="DD1859" s="259" t="str">
        <f t="shared" ref="DD1859:DD1873" ca="1" si="1636">IFERROR(IF(INDEX(LIBRO_GIORNALE,CZ1859,5)&gt;0,INDEX(LIBRO_GIORNALE,CZ1859,5),""),"")</f>
        <v/>
      </c>
      <c r="DE1859" s="259" t="str">
        <f t="shared" ref="DE1859:DE1873" ca="1" si="1637">IFERROR(IF(INDEX(LIBRO_GIORNALE,CZ1859,6)&gt;0,INDEX(LIBRO_GIORNALE,CZ1859,6),""),"")</f>
        <v/>
      </c>
      <c r="DF1859" s="259">
        <f ca="1">IF(AND(CX1859=$DE$2,$DF$2&lt;&gt;0),0,IF(AND(DB1859&lt;&gt;"",OR(DB1858&lt;&gt;"",DB1860&lt;&gt;"")),MAX($DF$2:DF1858)+1,0))</f>
        <v>0</v>
      </c>
    </row>
    <row r="1860" spans="102:110">
      <c r="CX1860" s="259">
        <f t="shared" ca="1" si="1631"/>
        <v>104</v>
      </c>
      <c r="CY1860" s="259" t="str">
        <f t="shared" ca="1" si="1629"/>
        <v>MASTRO</v>
      </c>
      <c r="CZ1860" s="259" t="e">
        <f t="shared" ca="1" si="1633"/>
        <v>#N/A</v>
      </c>
      <c r="DA1860" s="259" t="str">
        <f t="shared" ref="DA1860:DA1873" ca="1" si="1638">IFERROR(INDEX(LIBRO_GIORNALE,CZ1860,1),"")</f>
        <v/>
      </c>
      <c r="DB1860" s="259" t="str">
        <f t="shared" ca="1" si="1634"/>
        <v/>
      </c>
      <c r="DC1860" s="259" t="str">
        <f t="shared" ca="1" si="1635"/>
        <v/>
      </c>
      <c r="DD1860" s="259" t="str">
        <f t="shared" ca="1" si="1636"/>
        <v/>
      </c>
      <c r="DE1860" s="259" t="str">
        <f t="shared" ca="1" si="1637"/>
        <v/>
      </c>
      <c r="DF1860" s="259">
        <f ca="1">IF(AND(CX1860=$DE$2,$DF$2&lt;&gt;0),0,IF(AND(DB1860&lt;&gt;"",OR(DB1859&lt;&gt;"",DB1861&lt;&gt;"")),MAX($DF$2:DF1859)+1,0))</f>
        <v>0</v>
      </c>
    </row>
    <row r="1861" spans="102:110">
      <c r="CX1861" s="259">
        <f t="shared" ca="1" si="1631"/>
        <v>104</v>
      </c>
      <c r="CY1861" s="259" t="str">
        <f t="shared" ca="1" si="1629"/>
        <v>MASTRO</v>
      </c>
      <c r="CZ1861" s="259" t="e">
        <f t="shared" ca="1" si="1633"/>
        <v>#N/A</v>
      </c>
      <c r="DA1861" s="259" t="str">
        <f t="shared" ca="1" si="1638"/>
        <v/>
      </c>
      <c r="DB1861" s="259" t="str">
        <f t="shared" ca="1" si="1634"/>
        <v/>
      </c>
      <c r="DC1861" s="259" t="str">
        <f t="shared" ca="1" si="1635"/>
        <v/>
      </c>
      <c r="DD1861" s="259" t="str">
        <f t="shared" ca="1" si="1636"/>
        <v/>
      </c>
      <c r="DE1861" s="259" t="str">
        <f t="shared" ca="1" si="1637"/>
        <v/>
      </c>
      <c r="DF1861" s="259">
        <f ca="1">IF(AND(CX1861=$DE$2,$DF$2&lt;&gt;0),0,IF(AND(DB1861&lt;&gt;"",OR(DB1860&lt;&gt;"",DB1862&lt;&gt;"")),MAX($DF$2:DF1860)+1,0))</f>
        <v>0</v>
      </c>
    </row>
    <row r="1862" spans="102:110">
      <c r="CX1862" s="259">
        <f t="shared" ca="1" si="1631"/>
        <v>104</v>
      </c>
      <c r="CY1862" s="259" t="str">
        <f t="shared" ca="1" si="1629"/>
        <v>MASTRO</v>
      </c>
      <c r="CZ1862" s="259" t="e">
        <f t="shared" ca="1" si="1633"/>
        <v>#N/A</v>
      </c>
      <c r="DA1862" s="259" t="str">
        <f t="shared" ca="1" si="1638"/>
        <v/>
      </c>
      <c r="DB1862" s="259" t="str">
        <f t="shared" ca="1" si="1634"/>
        <v/>
      </c>
      <c r="DC1862" s="259" t="str">
        <f t="shared" ca="1" si="1635"/>
        <v/>
      </c>
      <c r="DD1862" s="259" t="str">
        <f t="shared" ca="1" si="1636"/>
        <v/>
      </c>
      <c r="DE1862" s="259" t="str">
        <f t="shared" ca="1" si="1637"/>
        <v/>
      </c>
      <c r="DF1862" s="259">
        <f ca="1">IF(AND(CX1862=$DE$2,$DF$2&lt;&gt;0),0,IF(AND(DB1862&lt;&gt;"",OR(DB1861&lt;&gt;"",DB1863&lt;&gt;"")),MAX($DF$2:DF1861)+1,0))</f>
        <v>0</v>
      </c>
    </row>
    <row r="1863" spans="102:110">
      <c r="CX1863" s="259">
        <f t="shared" ca="1" si="1631"/>
        <v>104</v>
      </c>
      <c r="CY1863" s="259" t="str">
        <f t="shared" ca="1" si="1629"/>
        <v>MASTRO</v>
      </c>
      <c r="CZ1863" s="259" t="e">
        <f t="shared" ca="1" si="1633"/>
        <v>#N/A</v>
      </c>
      <c r="DA1863" s="259" t="str">
        <f t="shared" ca="1" si="1638"/>
        <v/>
      </c>
      <c r="DB1863" s="259" t="str">
        <f t="shared" ca="1" si="1634"/>
        <v/>
      </c>
      <c r="DC1863" s="259" t="str">
        <f t="shared" ca="1" si="1635"/>
        <v/>
      </c>
      <c r="DD1863" s="259" t="str">
        <f t="shared" ca="1" si="1636"/>
        <v/>
      </c>
      <c r="DE1863" s="259" t="str">
        <f t="shared" ca="1" si="1637"/>
        <v/>
      </c>
      <c r="DF1863" s="259">
        <f ca="1">IF(AND(CX1863=$DE$2,$DF$2&lt;&gt;0),0,IF(AND(DB1863&lt;&gt;"",OR(DB1862&lt;&gt;"",DB1864&lt;&gt;"")),MAX($DF$2:DF1862)+1,0))</f>
        <v>0</v>
      </c>
    </row>
    <row r="1864" spans="102:110">
      <c r="CX1864" s="259">
        <f t="shared" ca="1" si="1631"/>
        <v>104</v>
      </c>
      <c r="CY1864" s="259" t="str">
        <f t="shared" ca="1" si="1629"/>
        <v>MASTRO</v>
      </c>
      <c r="CZ1864" s="259" t="e">
        <f t="shared" ca="1" si="1633"/>
        <v>#N/A</v>
      </c>
      <c r="DA1864" s="259" t="str">
        <f t="shared" ca="1" si="1638"/>
        <v/>
      </c>
      <c r="DB1864" s="259" t="str">
        <f t="shared" ca="1" si="1634"/>
        <v/>
      </c>
      <c r="DC1864" s="259" t="str">
        <f t="shared" ca="1" si="1635"/>
        <v/>
      </c>
      <c r="DD1864" s="259" t="str">
        <f t="shared" ca="1" si="1636"/>
        <v/>
      </c>
      <c r="DE1864" s="259" t="str">
        <f t="shared" ca="1" si="1637"/>
        <v/>
      </c>
      <c r="DF1864" s="259">
        <f ca="1">IF(AND(CX1864=$DE$2,$DF$2&lt;&gt;0),0,IF(AND(DB1864&lt;&gt;"",OR(DB1863&lt;&gt;"",DB1865&lt;&gt;"")),MAX($DF$2:DF1863)+1,0))</f>
        <v>0</v>
      </c>
    </row>
    <row r="1865" spans="102:110">
      <c r="CX1865" s="259">
        <f t="shared" ca="1" si="1631"/>
        <v>104</v>
      </c>
      <c r="CY1865" s="259" t="str">
        <f t="shared" ca="1" si="1629"/>
        <v>MASTRO</v>
      </c>
      <c r="CZ1865" s="259" t="e">
        <f t="shared" ca="1" si="1633"/>
        <v>#N/A</v>
      </c>
      <c r="DA1865" s="259" t="str">
        <f t="shared" ca="1" si="1638"/>
        <v/>
      </c>
      <c r="DB1865" s="259" t="str">
        <f t="shared" ca="1" si="1634"/>
        <v/>
      </c>
      <c r="DC1865" s="259" t="str">
        <f t="shared" ca="1" si="1635"/>
        <v/>
      </c>
      <c r="DD1865" s="259" t="str">
        <f t="shared" ca="1" si="1636"/>
        <v/>
      </c>
      <c r="DE1865" s="259" t="str">
        <f t="shared" ca="1" si="1637"/>
        <v/>
      </c>
      <c r="DF1865" s="259">
        <f ca="1">IF(AND(CX1865=$DE$2,$DF$2&lt;&gt;0),0,IF(AND(DB1865&lt;&gt;"",OR(DB1864&lt;&gt;"",DB1866&lt;&gt;"")),MAX($DF$2:DF1864)+1,0))</f>
        <v>0</v>
      </c>
    </row>
    <row r="1866" spans="102:110">
      <c r="CX1866" s="259">
        <f t="shared" ca="1" si="1631"/>
        <v>104</v>
      </c>
      <c r="CY1866" s="259" t="str">
        <f t="shared" ca="1" si="1629"/>
        <v>MASTRO</v>
      </c>
      <c r="CZ1866" s="259" t="e">
        <f t="shared" ca="1" si="1633"/>
        <v>#N/A</v>
      </c>
      <c r="DA1866" s="259" t="str">
        <f t="shared" ca="1" si="1638"/>
        <v/>
      </c>
      <c r="DB1866" s="259" t="str">
        <f t="shared" ca="1" si="1634"/>
        <v/>
      </c>
      <c r="DC1866" s="259" t="str">
        <f t="shared" ca="1" si="1635"/>
        <v/>
      </c>
      <c r="DD1866" s="259" t="str">
        <f t="shared" ca="1" si="1636"/>
        <v/>
      </c>
      <c r="DE1866" s="259" t="str">
        <f t="shared" ca="1" si="1637"/>
        <v/>
      </c>
      <c r="DF1866" s="259">
        <f ca="1">IF(AND(CX1866=$DE$2,$DF$2&lt;&gt;0),0,IF(AND(DB1866&lt;&gt;"",OR(DB1865&lt;&gt;"",DB1867&lt;&gt;"")),MAX($DF$2:DF1865)+1,0))</f>
        <v>0</v>
      </c>
    </row>
    <row r="1867" spans="102:110">
      <c r="CX1867" s="259">
        <f t="shared" ca="1" si="1631"/>
        <v>104</v>
      </c>
      <c r="CY1867" s="259" t="str">
        <f t="shared" ca="1" si="1629"/>
        <v>MASTRO</v>
      </c>
      <c r="CZ1867" s="259" t="e">
        <f t="shared" ca="1" si="1633"/>
        <v>#N/A</v>
      </c>
      <c r="DA1867" s="259" t="str">
        <f t="shared" ca="1" si="1638"/>
        <v/>
      </c>
      <c r="DB1867" s="259" t="str">
        <f t="shared" ca="1" si="1634"/>
        <v/>
      </c>
      <c r="DC1867" s="259" t="str">
        <f t="shared" ca="1" si="1635"/>
        <v/>
      </c>
      <c r="DD1867" s="259" t="str">
        <f t="shared" ca="1" si="1636"/>
        <v/>
      </c>
      <c r="DE1867" s="259" t="str">
        <f t="shared" ca="1" si="1637"/>
        <v/>
      </c>
      <c r="DF1867" s="259">
        <f ca="1">IF(AND(CX1867=$DE$2,$DF$2&lt;&gt;0),0,IF(AND(DB1867&lt;&gt;"",OR(DB1866&lt;&gt;"",DB1868&lt;&gt;"")),MAX($DF$2:DF1866)+1,0))</f>
        <v>0</v>
      </c>
    </row>
    <row r="1868" spans="102:110">
      <c r="CX1868" s="259">
        <f t="shared" ca="1" si="1631"/>
        <v>104</v>
      </c>
      <c r="CY1868" s="259" t="str">
        <f t="shared" ca="1" si="1629"/>
        <v>MASTRO</v>
      </c>
      <c r="CZ1868" s="259" t="e">
        <f t="shared" ca="1" si="1633"/>
        <v>#N/A</v>
      </c>
      <c r="DA1868" s="259" t="str">
        <f t="shared" ca="1" si="1638"/>
        <v/>
      </c>
      <c r="DB1868" s="259" t="str">
        <f t="shared" ca="1" si="1634"/>
        <v/>
      </c>
      <c r="DC1868" s="259" t="str">
        <f t="shared" ca="1" si="1635"/>
        <v/>
      </c>
      <c r="DD1868" s="259" t="str">
        <f t="shared" ca="1" si="1636"/>
        <v/>
      </c>
      <c r="DE1868" s="259" t="str">
        <f t="shared" ca="1" si="1637"/>
        <v/>
      </c>
      <c r="DF1868" s="259">
        <f ca="1">IF(AND(CX1868=$DE$2,$DF$2&lt;&gt;0),0,IF(AND(DB1868&lt;&gt;"",OR(DB1867&lt;&gt;"",DB1869&lt;&gt;"")),MAX($DF$2:DF1867)+1,0))</f>
        <v>0</v>
      </c>
    </row>
    <row r="1869" spans="102:110">
      <c r="CX1869" s="259">
        <f t="shared" ca="1" si="1631"/>
        <v>104</v>
      </c>
      <c r="CY1869" s="259" t="str">
        <f t="shared" ca="1" si="1629"/>
        <v>MASTRO</v>
      </c>
      <c r="CZ1869" s="259" t="e">
        <f t="shared" ca="1" si="1633"/>
        <v>#N/A</v>
      </c>
      <c r="DA1869" s="259" t="str">
        <f t="shared" ca="1" si="1638"/>
        <v/>
      </c>
      <c r="DB1869" s="259" t="str">
        <f t="shared" ca="1" si="1634"/>
        <v/>
      </c>
      <c r="DC1869" s="259" t="str">
        <f t="shared" ca="1" si="1635"/>
        <v/>
      </c>
      <c r="DD1869" s="259" t="str">
        <f t="shared" ca="1" si="1636"/>
        <v/>
      </c>
      <c r="DE1869" s="259" t="str">
        <f t="shared" ca="1" si="1637"/>
        <v/>
      </c>
      <c r="DF1869" s="259">
        <f ca="1">IF(AND(CX1869=$DE$2,$DF$2&lt;&gt;0),0,IF(AND(DB1869&lt;&gt;"",OR(DB1868&lt;&gt;"",DB1870&lt;&gt;"")),MAX($DF$2:DF1868)+1,0))</f>
        <v>0</v>
      </c>
    </row>
    <row r="1870" spans="102:110">
      <c r="CX1870" s="259">
        <f t="shared" ca="1" si="1631"/>
        <v>104</v>
      </c>
      <c r="CY1870" s="259" t="str">
        <f t="shared" ca="1" si="1629"/>
        <v>MASTRO</v>
      </c>
      <c r="CZ1870" s="259" t="e">
        <f t="shared" ca="1" si="1633"/>
        <v>#N/A</v>
      </c>
      <c r="DA1870" s="259" t="str">
        <f t="shared" ca="1" si="1638"/>
        <v/>
      </c>
      <c r="DB1870" s="259" t="str">
        <f t="shared" ca="1" si="1634"/>
        <v/>
      </c>
      <c r="DC1870" s="259" t="str">
        <f t="shared" ca="1" si="1635"/>
        <v/>
      </c>
      <c r="DD1870" s="259" t="str">
        <f t="shared" ca="1" si="1636"/>
        <v/>
      </c>
      <c r="DE1870" s="259" t="str">
        <f t="shared" ca="1" si="1637"/>
        <v/>
      </c>
      <c r="DF1870" s="259">
        <f ca="1">IF(AND(CX1870=$DE$2,$DF$2&lt;&gt;0),0,IF(AND(DB1870&lt;&gt;"",OR(DB1869&lt;&gt;"",DB1871&lt;&gt;"")),MAX($DF$2:DF1869)+1,0))</f>
        <v>0</v>
      </c>
    </row>
    <row r="1871" spans="102:110">
      <c r="CX1871" s="259">
        <f t="shared" ca="1" si="1631"/>
        <v>104</v>
      </c>
      <c r="CY1871" s="259" t="str">
        <f t="shared" ca="1" si="1629"/>
        <v>MASTRO</v>
      </c>
      <c r="CZ1871" s="259" t="e">
        <f t="shared" ca="1" si="1633"/>
        <v>#N/A</v>
      </c>
      <c r="DA1871" s="259" t="str">
        <f t="shared" ca="1" si="1638"/>
        <v/>
      </c>
      <c r="DB1871" s="259" t="str">
        <f t="shared" ca="1" si="1634"/>
        <v/>
      </c>
      <c r="DC1871" s="259" t="str">
        <f t="shared" ca="1" si="1635"/>
        <v/>
      </c>
      <c r="DD1871" s="259" t="str">
        <f t="shared" ca="1" si="1636"/>
        <v/>
      </c>
      <c r="DE1871" s="259" t="str">
        <f t="shared" ca="1" si="1637"/>
        <v/>
      </c>
      <c r="DF1871" s="259">
        <f ca="1">IF(AND(CX1871=$DE$2,$DF$2&lt;&gt;0),0,IF(AND(DB1871&lt;&gt;"",OR(DB1870&lt;&gt;"",DB1872&lt;&gt;"")),MAX($DF$2:DF1870)+1,0))</f>
        <v>0</v>
      </c>
    </row>
    <row r="1872" spans="102:110">
      <c r="CX1872" s="259">
        <f t="shared" ca="1" si="1631"/>
        <v>104</v>
      </c>
      <c r="CY1872" s="259" t="str">
        <f t="shared" ca="1" si="1629"/>
        <v>MASTRO</v>
      </c>
      <c r="CZ1872" s="259" t="e">
        <f t="shared" ca="1" si="1633"/>
        <v>#N/A</v>
      </c>
      <c r="DA1872" s="259" t="str">
        <f t="shared" ca="1" si="1638"/>
        <v/>
      </c>
      <c r="DB1872" s="259" t="str">
        <f t="shared" ca="1" si="1634"/>
        <v/>
      </c>
      <c r="DC1872" s="259" t="str">
        <f t="shared" ca="1" si="1635"/>
        <v/>
      </c>
      <c r="DD1872" s="259" t="str">
        <f t="shared" ca="1" si="1636"/>
        <v/>
      </c>
      <c r="DE1872" s="259" t="str">
        <f t="shared" ca="1" si="1637"/>
        <v/>
      </c>
      <c r="DF1872" s="259">
        <f ca="1">IF(AND(CX1872=$DE$2,$DF$2&lt;&gt;0),0,IF(AND(DB1872&lt;&gt;"",OR(DB1871&lt;&gt;"",DB1873&lt;&gt;"")),MAX($DF$2:DF1871)+1,0))</f>
        <v>0</v>
      </c>
    </row>
    <row r="1873" spans="102:110">
      <c r="CX1873" s="259">
        <f t="shared" ca="1" si="1631"/>
        <v>104</v>
      </c>
      <c r="CY1873" s="259" t="str">
        <f t="shared" ca="1" si="1629"/>
        <v>MASTRO</v>
      </c>
      <c r="CZ1873" s="259" t="e">
        <f t="shared" ca="1" si="1633"/>
        <v>#N/A</v>
      </c>
      <c r="DA1873" s="259" t="str">
        <f t="shared" ca="1" si="1638"/>
        <v/>
      </c>
      <c r="DB1873" s="259" t="str">
        <f t="shared" ca="1" si="1634"/>
        <v/>
      </c>
      <c r="DC1873" s="259" t="str">
        <f t="shared" ca="1" si="1635"/>
        <v/>
      </c>
      <c r="DD1873" s="259" t="str">
        <f t="shared" ca="1" si="1636"/>
        <v/>
      </c>
      <c r="DE1873" s="259" t="str">
        <f t="shared" ca="1" si="1637"/>
        <v/>
      </c>
      <c r="DF1873" s="259">
        <f ca="1">IF(AND(CX1873=$DE$2,$DF$2&lt;&gt;0),0,IF(AND(DB1873&lt;&gt;"",OR(DB1872&lt;&gt;"",DB1874&lt;&gt;"")),MAX($DF$2:DF1872)+1,0))</f>
        <v>0</v>
      </c>
    </row>
    <row r="1874" spans="102:110">
      <c r="CX1874" s="259" t="str">
        <f>IFERROR(IF(CX1856+1=1,"",(CX1856+1)),"")</f>
        <v/>
      </c>
      <c r="CY1874" s="259" t="str">
        <f t="shared" ca="1" si="1629"/>
        <v>MASTRO</v>
      </c>
      <c r="DB1874" s="259" t="str">
        <f t="shared" ref="DB1874" ca="1" si="1639">CY1874</f>
        <v>MASTRO</v>
      </c>
      <c r="DF1874" s="259">
        <f ca="1">IF(AND(CX1874=$DE$2,$DF$2&lt;&gt;0),0,IF(AND(DB1874&lt;&gt;"",OR(DB1873&lt;&gt;"",DB1875&lt;&gt;"")),MAX($DF$2:DF1873)+1,0))</f>
        <v>0</v>
      </c>
    </row>
    <row r="1875" spans="102:110">
      <c r="CX1875" s="259">
        <f ca="1">$EA$107</f>
        <v>105</v>
      </c>
      <c r="CY1875" s="259" t="str">
        <f t="shared" ca="1" si="1629"/>
        <v>MASTRO</v>
      </c>
      <c r="DA1875" s="259" t="str">
        <f ca="1">IF(CY1874="MASTRO","Conto n.","")</f>
        <v>Conto n.</v>
      </c>
      <c r="DB1875" s="259" t="str">
        <f ca="1">IF(CY1875=0,"",INDEX(PIANO_DEI_CONTI,MATCH(DC1875,DENOMINAZIONE,0),1))</f>
        <v/>
      </c>
      <c r="DC1875" s="259" t="str">
        <f ca="1">IF(OR(CY1875=0,CY1875="mastro"),"",CY1875)</f>
        <v/>
      </c>
      <c r="DD1875" s="259" t="str">
        <f ca="1">IF(AND($DA$2=TRUE,OR(INDEX(PIANO_DEI_CONTI,MATCH($DC1875,DENOMINAZIONE,0),4)="A",INDEX(PIANO_DEI_CONTI,MATCH($DC1875,DENOMINAZIONE,0),4)="D/A"),SUMIFS(AVERE,DENOMINAZIONE_GIORNALE,"="&amp;$DC1875)&gt;SUMIFS(DARE,DENOMINAZIONE_GIORNALE,"="&amp;$DC1875)),CONCATENATE("s ",FIXED(ABS(SUMIFS(AVERE,DENOMINAZIONE_GIORNALE,"="&amp;$DC1875)-SUMIFS(DARE,DENOMINAZIONE_GIORNALE,"="&amp;$DC1875)),2)),"")</f>
        <v/>
      </c>
      <c r="DE1875" s="259" t="str">
        <f ca="1">IF(AND($DA$2=TRUE,OR(INDEX(PIANO_DEI_CONTI,MATCH($DC1875,DENOMINAZIONE,0),4)="D",INDEX(PIANO_DEI_CONTI,MATCH($DC1875,DENOMINAZIONE,0),4)="D/A"),SUMIFS(DARE,DENOMINAZIONE_GIORNALE,"="&amp;$DC1875)&gt;SUMIFS(AVERE,DENOMINAZIONE_GIORNALE,"="&amp;$DC1875)),CONCATENATE("s ",FIXED(ABS(SUMIFS(DARE,DENOMINAZIONE_GIORNALE,"="&amp;$DC1875)-SUMIFS(AVERE,DENOMINAZIONE_GIORNALE,"="&amp;$DC1875)),2)),"")</f>
        <v/>
      </c>
      <c r="DF1875" s="259">
        <f ca="1">IF(AND(CX1875=$DE$2,$DF$2&lt;&gt;0),0,IF(AND(DB1875&lt;&gt;"",OR(DB1874&lt;&gt;"",DB1876&lt;&gt;"")),MAX($DF$2:DF1874)+1,0))</f>
        <v>0</v>
      </c>
    </row>
    <row r="1876" spans="102:110">
      <c r="CX1876" s="259">
        <f t="shared" ref="CX1876:CX1891" ca="1" si="1640">$EA$107</f>
        <v>105</v>
      </c>
      <c r="CY1876" s="259" t="str">
        <f t="shared" ca="1" si="1629"/>
        <v>MASTRO</v>
      </c>
      <c r="DA1876" s="259" t="str">
        <f ca="1">IF(DB1875="","","Num. riga")</f>
        <v/>
      </c>
      <c r="DB1876" s="259" t="str">
        <f t="shared" ref="DB1876" ca="1" si="1641">IF(DB1875="","","Data")</f>
        <v/>
      </c>
      <c r="DC1876" s="259" t="str">
        <f ca="1">IF(DB1875="","","Operazioni")</f>
        <v/>
      </c>
      <c r="DD1876" s="259" t="str">
        <f ca="1">IF(DB1875="","","Dare        ")</f>
        <v/>
      </c>
      <c r="DE1876" s="259" t="str">
        <f ca="1">IF(DB1875="","","Avere        ")</f>
        <v/>
      </c>
      <c r="DF1876" s="259">
        <f ca="1">IF(AND(CX1876=$DE$2,$DF$2&lt;&gt;0),0,IF(AND(DB1876&lt;&gt;"",OR(DB1875&lt;&gt;"",DB1877&lt;&gt;"")),MAX($DF$2:DF1875)+1,0))</f>
        <v>0</v>
      </c>
    </row>
    <row r="1877" spans="102:110">
      <c r="CX1877" s="259">
        <f t="shared" ca="1" si="1640"/>
        <v>105</v>
      </c>
      <c r="CY1877" s="259" t="str">
        <f t="shared" ca="1" si="1629"/>
        <v>MASTRO</v>
      </c>
      <c r="CZ1877" s="259" t="e">
        <f t="shared" ref="CZ1877:CZ1891" ca="1" si="1642">SUM(MATCH($CY1877,INDIRECT(ADDRESS(SUM(CZ1876)+3,54)&amp;":"&amp;ADDRESS(400,54)),0),CZ1876)</f>
        <v>#N/A</v>
      </c>
      <c r="DA1877" s="259" t="str">
        <f ca="1">IFERROR(INDEX(LIBRO_GIORNALE,CZ1877,1),"")</f>
        <v/>
      </c>
      <c r="DB1877" s="259" t="str">
        <f t="shared" ref="DB1877:DB1891" ca="1" si="1643">IF(RIGHT(TEXT(IFERROR(INDEX(LIBRO_GIORNALE,CZ1877,2),""),"gg/mm/aa"),1)="a",TEXT(IFERROR(INDEX(LIBRO_GIORNALE,CZ1877,2),""),"dd/mm/yy"),TEXT(IFERROR(INDEX(LIBRO_GIORNALE,CZ1877,2),""),"gg/mm/aa"))</f>
        <v/>
      </c>
      <c r="DC1877" s="259" t="str">
        <f t="shared" ref="DC1877:DC1891" ca="1" si="1644">IF(IFERROR(INDEX(LIBRO_GIORNALE,CZ1877,4),"")=0,"manca la descrizione dell'operazione",IFERROR(INDEX(LIBRO_GIORNALE,CZ1877,4),""))</f>
        <v/>
      </c>
      <c r="DD1877" s="259" t="str">
        <f t="shared" ref="DD1877:DD1891" ca="1" si="1645">IFERROR(IF(INDEX(LIBRO_GIORNALE,CZ1877,5)&gt;0,INDEX(LIBRO_GIORNALE,CZ1877,5),""),"")</f>
        <v/>
      </c>
      <c r="DE1877" s="259" t="str">
        <f t="shared" ref="DE1877:DE1891" ca="1" si="1646">IFERROR(IF(INDEX(LIBRO_GIORNALE,CZ1877,6)&gt;0,INDEX(LIBRO_GIORNALE,CZ1877,6),""),"")</f>
        <v/>
      </c>
      <c r="DF1877" s="259">
        <f ca="1">IF(AND(CX1877=$DE$2,$DF$2&lt;&gt;0),0,IF(AND(DB1877&lt;&gt;"",OR(DB1876&lt;&gt;"",DB1878&lt;&gt;"")),MAX($DF$2:DF1876)+1,0))</f>
        <v>0</v>
      </c>
    </row>
    <row r="1878" spans="102:110">
      <c r="CX1878" s="259">
        <f t="shared" ca="1" si="1640"/>
        <v>105</v>
      </c>
      <c r="CY1878" s="259" t="str">
        <f t="shared" ca="1" si="1629"/>
        <v>MASTRO</v>
      </c>
      <c r="CZ1878" s="259" t="e">
        <f t="shared" ca="1" si="1642"/>
        <v>#N/A</v>
      </c>
      <c r="DA1878" s="259" t="str">
        <f t="shared" ref="DA1878:DA1891" ca="1" si="1647">IFERROR(INDEX(LIBRO_GIORNALE,CZ1878,1),"")</f>
        <v/>
      </c>
      <c r="DB1878" s="259" t="str">
        <f t="shared" ca="1" si="1643"/>
        <v/>
      </c>
      <c r="DC1878" s="259" t="str">
        <f t="shared" ca="1" si="1644"/>
        <v/>
      </c>
      <c r="DD1878" s="259" t="str">
        <f t="shared" ca="1" si="1645"/>
        <v/>
      </c>
      <c r="DE1878" s="259" t="str">
        <f t="shared" ca="1" si="1646"/>
        <v/>
      </c>
      <c r="DF1878" s="259">
        <f ca="1">IF(AND(CX1878=$DE$2,$DF$2&lt;&gt;0),0,IF(AND(DB1878&lt;&gt;"",OR(DB1877&lt;&gt;"",DB1879&lt;&gt;"")),MAX($DF$2:DF1877)+1,0))</f>
        <v>0</v>
      </c>
    </row>
    <row r="1879" spans="102:110">
      <c r="CX1879" s="259">
        <f t="shared" ca="1" si="1640"/>
        <v>105</v>
      </c>
      <c r="CY1879" s="259" t="str">
        <f t="shared" ca="1" si="1629"/>
        <v>MASTRO</v>
      </c>
      <c r="CZ1879" s="259" t="e">
        <f t="shared" ca="1" si="1642"/>
        <v>#N/A</v>
      </c>
      <c r="DA1879" s="259" t="str">
        <f t="shared" ca="1" si="1647"/>
        <v/>
      </c>
      <c r="DB1879" s="259" t="str">
        <f t="shared" ca="1" si="1643"/>
        <v/>
      </c>
      <c r="DC1879" s="259" t="str">
        <f t="shared" ca="1" si="1644"/>
        <v/>
      </c>
      <c r="DD1879" s="259" t="str">
        <f t="shared" ca="1" si="1645"/>
        <v/>
      </c>
      <c r="DE1879" s="259" t="str">
        <f t="shared" ca="1" si="1646"/>
        <v/>
      </c>
      <c r="DF1879" s="259">
        <f ca="1">IF(AND(CX1879=$DE$2,$DF$2&lt;&gt;0),0,IF(AND(DB1879&lt;&gt;"",OR(DB1878&lt;&gt;"",DB1880&lt;&gt;"")),MAX($DF$2:DF1878)+1,0))</f>
        <v>0</v>
      </c>
    </row>
    <row r="1880" spans="102:110">
      <c r="CX1880" s="259">
        <f t="shared" ca="1" si="1640"/>
        <v>105</v>
      </c>
      <c r="CY1880" s="259" t="str">
        <f t="shared" ca="1" si="1629"/>
        <v>MASTRO</v>
      </c>
      <c r="CZ1880" s="259" t="e">
        <f t="shared" ca="1" si="1642"/>
        <v>#N/A</v>
      </c>
      <c r="DA1880" s="259" t="str">
        <f t="shared" ca="1" si="1647"/>
        <v/>
      </c>
      <c r="DB1880" s="259" t="str">
        <f t="shared" ca="1" si="1643"/>
        <v/>
      </c>
      <c r="DC1880" s="259" t="str">
        <f t="shared" ca="1" si="1644"/>
        <v/>
      </c>
      <c r="DD1880" s="259" t="str">
        <f t="shared" ca="1" si="1645"/>
        <v/>
      </c>
      <c r="DE1880" s="259" t="str">
        <f t="shared" ca="1" si="1646"/>
        <v/>
      </c>
      <c r="DF1880" s="259">
        <f ca="1">IF(AND(CX1880=$DE$2,$DF$2&lt;&gt;0),0,IF(AND(DB1880&lt;&gt;"",OR(DB1879&lt;&gt;"",DB1881&lt;&gt;"")),MAX($DF$2:DF1879)+1,0))</f>
        <v>0</v>
      </c>
    </row>
    <row r="1881" spans="102:110">
      <c r="CX1881" s="259">
        <f t="shared" ca="1" si="1640"/>
        <v>105</v>
      </c>
      <c r="CY1881" s="259" t="str">
        <f t="shared" ca="1" si="1629"/>
        <v>MASTRO</v>
      </c>
      <c r="CZ1881" s="259" t="e">
        <f t="shared" ca="1" si="1642"/>
        <v>#N/A</v>
      </c>
      <c r="DA1881" s="259" t="str">
        <f t="shared" ca="1" si="1647"/>
        <v/>
      </c>
      <c r="DB1881" s="259" t="str">
        <f t="shared" ca="1" si="1643"/>
        <v/>
      </c>
      <c r="DC1881" s="259" t="str">
        <f t="shared" ca="1" si="1644"/>
        <v/>
      </c>
      <c r="DD1881" s="259" t="str">
        <f t="shared" ca="1" si="1645"/>
        <v/>
      </c>
      <c r="DE1881" s="259" t="str">
        <f t="shared" ca="1" si="1646"/>
        <v/>
      </c>
      <c r="DF1881" s="259">
        <f ca="1">IF(AND(CX1881=$DE$2,$DF$2&lt;&gt;0),0,IF(AND(DB1881&lt;&gt;"",OR(DB1880&lt;&gt;"",DB1882&lt;&gt;"")),MAX($DF$2:DF1880)+1,0))</f>
        <v>0</v>
      </c>
    </row>
    <row r="1882" spans="102:110">
      <c r="CX1882" s="259">
        <f t="shared" ca="1" si="1640"/>
        <v>105</v>
      </c>
      <c r="CY1882" s="259" t="str">
        <f t="shared" ca="1" si="1629"/>
        <v>MASTRO</v>
      </c>
      <c r="CZ1882" s="259" t="e">
        <f t="shared" ca="1" si="1642"/>
        <v>#N/A</v>
      </c>
      <c r="DA1882" s="259" t="str">
        <f t="shared" ca="1" si="1647"/>
        <v/>
      </c>
      <c r="DB1882" s="259" t="str">
        <f t="shared" ca="1" si="1643"/>
        <v/>
      </c>
      <c r="DC1882" s="259" t="str">
        <f t="shared" ca="1" si="1644"/>
        <v/>
      </c>
      <c r="DD1882" s="259" t="str">
        <f t="shared" ca="1" si="1645"/>
        <v/>
      </c>
      <c r="DE1882" s="259" t="str">
        <f t="shared" ca="1" si="1646"/>
        <v/>
      </c>
      <c r="DF1882" s="259">
        <f ca="1">IF(AND(CX1882=$DE$2,$DF$2&lt;&gt;0),0,IF(AND(DB1882&lt;&gt;"",OR(DB1881&lt;&gt;"",DB1883&lt;&gt;"")),MAX($DF$2:DF1881)+1,0))</f>
        <v>0</v>
      </c>
    </row>
    <row r="1883" spans="102:110">
      <c r="CX1883" s="259">
        <f t="shared" ca="1" si="1640"/>
        <v>105</v>
      </c>
      <c r="CY1883" s="259" t="str">
        <f t="shared" ca="1" si="1629"/>
        <v>MASTRO</v>
      </c>
      <c r="CZ1883" s="259" t="e">
        <f t="shared" ca="1" si="1642"/>
        <v>#N/A</v>
      </c>
      <c r="DA1883" s="259" t="str">
        <f t="shared" ca="1" si="1647"/>
        <v/>
      </c>
      <c r="DB1883" s="259" t="str">
        <f t="shared" ca="1" si="1643"/>
        <v/>
      </c>
      <c r="DC1883" s="259" t="str">
        <f t="shared" ca="1" si="1644"/>
        <v/>
      </c>
      <c r="DD1883" s="259" t="str">
        <f t="shared" ca="1" si="1645"/>
        <v/>
      </c>
      <c r="DE1883" s="259" t="str">
        <f t="shared" ca="1" si="1646"/>
        <v/>
      </c>
      <c r="DF1883" s="259">
        <f ca="1">IF(AND(CX1883=$DE$2,$DF$2&lt;&gt;0),0,IF(AND(DB1883&lt;&gt;"",OR(DB1882&lt;&gt;"",DB1884&lt;&gt;"")),MAX($DF$2:DF1882)+1,0))</f>
        <v>0</v>
      </c>
    </row>
    <row r="1884" spans="102:110">
      <c r="CX1884" s="259">
        <f t="shared" ca="1" si="1640"/>
        <v>105</v>
      </c>
      <c r="CY1884" s="259" t="str">
        <f t="shared" ca="1" si="1629"/>
        <v>MASTRO</v>
      </c>
      <c r="CZ1884" s="259" t="e">
        <f t="shared" ca="1" si="1642"/>
        <v>#N/A</v>
      </c>
      <c r="DA1884" s="259" t="str">
        <f t="shared" ca="1" si="1647"/>
        <v/>
      </c>
      <c r="DB1884" s="259" t="str">
        <f t="shared" ca="1" si="1643"/>
        <v/>
      </c>
      <c r="DC1884" s="259" t="str">
        <f t="shared" ca="1" si="1644"/>
        <v/>
      </c>
      <c r="DD1884" s="259" t="str">
        <f t="shared" ca="1" si="1645"/>
        <v/>
      </c>
      <c r="DE1884" s="259" t="str">
        <f t="shared" ca="1" si="1646"/>
        <v/>
      </c>
      <c r="DF1884" s="259">
        <f ca="1">IF(AND(CX1884=$DE$2,$DF$2&lt;&gt;0),0,IF(AND(DB1884&lt;&gt;"",OR(DB1883&lt;&gt;"",DB1885&lt;&gt;"")),MAX($DF$2:DF1883)+1,0))</f>
        <v>0</v>
      </c>
    </row>
    <row r="1885" spans="102:110">
      <c r="CX1885" s="259">
        <f t="shared" ca="1" si="1640"/>
        <v>105</v>
      </c>
      <c r="CY1885" s="259" t="str">
        <f t="shared" ref="CY1885:CY1916" ca="1" si="1648">IF(ISERROR(INDEX($CV$3:$CX$2300,MATCH(CX1885,$CW$3:$CW$2300,0),1)),"MASTRO",INDEX($CV$3:$CX$2300,MATCH(CX1885,$CW$3:$CW$2300,0),1))</f>
        <v>MASTRO</v>
      </c>
      <c r="CZ1885" s="259" t="e">
        <f t="shared" ca="1" si="1642"/>
        <v>#N/A</v>
      </c>
      <c r="DA1885" s="259" t="str">
        <f t="shared" ca="1" si="1647"/>
        <v/>
      </c>
      <c r="DB1885" s="259" t="str">
        <f t="shared" ca="1" si="1643"/>
        <v/>
      </c>
      <c r="DC1885" s="259" t="str">
        <f t="shared" ca="1" si="1644"/>
        <v/>
      </c>
      <c r="DD1885" s="259" t="str">
        <f t="shared" ca="1" si="1645"/>
        <v/>
      </c>
      <c r="DE1885" s="259" t="str">
        <f t="shared" ca="1" si="1646"/>
        <v/>
      </c>
      <c r="DF1885" s="259">
        <f ca="1">IF(AND(CX1885=$DE$2,$DF$2&lt;&gt;0),0,IF(AND(DB1885&lt;&gt;"",OR(DB1884&lt;&gt;"",DB1886&lt;&gt;"")),MAX($DF$2:DF1884)+1,0))</f>
        <v>0</v>
      </c>
    </row>
    <row r="1886" spans="102:110">
      <c r="CX1886" s="259">
        <f t="shared" ca="1" si="1640"/>
        <v>105</v>
      </c>
      <c r="CY1886" s="259" t="str">
        <f t="shared" ca="1" si="1648"/>
        <v>MASTRO</v>
      </c>
      <c r="CZ1886" s="259" t="e">
        <f t="shared" ca="1" si="1642"/>
        <v>#N/A</v>
      </c>
      <c r="DA1886" s="259" t="str">
        <f t="shared" ca="1" si="1647"/>
        <v/>
      </c>
      <c r="DB1886" s="259" t="str">
        <f t="shared" ca="1" si="1643"/>
        <v/>
      </c>
      <c r="DC1886" s="259" t="str">
        <f t="shared" ca="1" si="1644"/>
        <v/>
      </c>
      <c r="DD1886" s="259" t="str">
        <f t="shared" ca="1" si="1645"/>
        <v/>
      </c>
      <c r="DE1886" s="259" t="str">
        <f t="shared" ca="1" si="1646"/>
        <v/>
      </c>
      <c r="DF1886" s="259">
        <f ca="1">IF(AND(CX1886=$DE$2,$DF$2&lt;&gt;0),0,IF(AND(DB1886&lt;&gt;"",OR(DB1885&lt;&gt;"",DB1887&lt;&gt;"")),MAX($DF$2:DF1885)+1,0))</f>
        <v>0</v>
      </c>
    </row>
    <row r="1887" spans="102:110">
      <c r="CX1887" s="259">
        <f t="shared" ca="1" si="1640"/>
        <v>105</v>
      </c>
      <c r="CY1887" s="259" t="str">
        <f t="shared" ca="1" si="1648"/>
        <v>MASTRO</v>
      </c>
      <c r="CZ1887" s="259" t="e">
        <f t="shared" ca="1" si="1642"/>
        <v>#N/A</v>
      </c>
      <c r="DA1887" s="259" t="str">
        <f t="shared" ca="1" si="1647"/>
        <v/>
      </c>
      <c r="DB1887" s="259" t="str">
        <f t="shared" ca="1" si="1643"/>
        <v/>
      </c>
      <c r="DC1887" s="259" t="str">
        <f t="shared" ca="1" si="1644"/>
        <v/>
      </c>
      <c r="DD1887" s="259" t="str">
        <f t="shared" ca="1" si="1645"/>
        <v/>
      </c>
      <c r="DE1887" s="259" t="str">
        <f t="shared" ca="1" si="1646"/>
        <v/>
      </c>
      <c r="DF1887" s="259">
        <f ca="1">IF(AND(CX1887=$DE$2,$DF$2&lt;&gt;0),0,IF(AND(DB1887&lt;&gt;"",OR(DB1886&lt;&gt;"",DB1888&lt;&gt;"")),MAX($DF$2:DF1886)+1,0))</f>
        <v>0</v>
      </c>
    </row>
    <row r="1888" spans="102:110">
      <c r="CX1888" s="259">
        <f t="shared" ca="1" si="1640"/>
        <v>105</v>
      </c>
      <c r="CY1888" s="259" t="str">
        <f t="shared" ca="1" si="1648"/>
        <v>MASTRO</v>
      </c>
      <c r="CZ1888" s="259" t="e">
        <f t="shared" ca="1" si="1642"/>
        <v>#N/A</v>
      </c>
      <c r="DA1888" s="259" t="str">
        <f t="shared" ca="1" si="1647"/>
        <v/>
      </c>
      <c r="DB1888" s="259" t="str">
        <f t="shared" ca="1" si="1643"/>
        <v/>
      </c>
      <c r="DC1888" s="259" t="str">
        <f t="shared" ca="1" si="1644"/>
        <v/>
      </c>
      <c r="DD1888" s="259" t="str">
        <f t="shared" ca="1" si="1645"/>
        <v/>
      </c>
      <c r="DE1888" s="259" t="str">
        <f t="shared" ca="1" si="1646"/>
        <v/>
      </c>
      <c r="DF1888" s="259">
        <f ca="1">IF(AND(CX1888=$DE$2,$DF$2&lt;&gt;0),0,IF(AND(DB1888&lt;&gt;"",OR(DB1887&lt;&gt;"",DB1889&lt;&gt;"")),MAX($DF$2:DF1887)+1,0))</f>
        <v>0</v>
      </c>
    </row>
    <row r="1889" spans="102:110">
      <c r="CX1889" s="259">
        <f t="shared" ca="1" si="1640"/>
        <v>105</v>
      </c>
      <c r="CY1889" s="259" t="str">
        <f t="shared" ca="1" si="1648"/>
        <v>MASTRO</v>
      </c>
      <c r="CZ1889" s="259" t="e">
        <f t="shared" ca="1" si="1642"/>
        <v>#N/A</v>
      </c>
      <c r="DA1889" s="259" t="str">
        <f t="shared" ca="1" si="1647"/>
        <v/>
      </c>
      <c r="DB1889" s="259" t="str">
        <f t="shared" ca="1" si="1643"/>
        <v/>
      </c>
      <c r="DC1889" s="259" t="str">
        <f t="shared" ca="1" si="1644"/>
        <v/>
      </c>
      <c r="DD1889" s="259" t="str">
        <f t="shared" ca="1" si="1645"/>
        <v/>
      </c>
      <c r="DE1889" s="259" t="str">
        <f t="shared" ca="1" si="1646"/>
        <v/>
      </c>
      <c r="DF1889" s="259">
        <f ca="1">IF(AND(CX1889=$DE$2,$DF$2&lt;&gt;0),0,IF(AND(DB1889&lt;&gt;"",OR(DB1888&lt;&gt;"",DB1890&lt;&gt;"")),MAX($DF$2:DF1888)+1,0))</f>
        <v>0</v>
      </c>
    </row>
    <row r="1890" spans="102:110">
      <c r="CX1890" s="259">
        <f t="shared" ca="1" si="1640"/>
        <v>105</v>
      </c>
      <c r="CY1890" s="259" t="str">
        <f t="shared" ca="1" si="1648"/>
        <v>MASTRO</v>
      </c>
      <c r="CZ1890" s="259" t="e">
        <f t="shared" ca="1" si="1642"/>
        <v>#N/A</v>
      </c>
      <c r="DA1890" s="259" t="str">
        <f t="shared" ca="1" si="1647"/>
        <v/>
      </c>
      <c r="DB1890" s="259" t="str">
        <f t="shared" ca="1" si="1643"/>
        <v/>
      </c>
      <c r="DC1890" s="259" t="str">
        <f t="shared" ca="1" si="1644"/>
        <v/>
      </c>
      <c r="DD1890" s="259" t="str">
        <f t="shared" ca="1" si="1645"/>
        <v/>
      </c>
      <c r="DE1890" s="259" t="str">
        <f t="shared" ca="1" si="1646"/>
        <v/>
      </c>
      <c r="DF1890" s="259">
        <f ca="1">IF(AND(CX1890=$DE$2,$DF$2&lt;&gt;0),0,IF(AND(DB1890&lt;&gt;"",OR(DB1889&lt;&gt;"",DB1891&lt;&gt;"")),MAX($DF$2:DF1889)+1,0))</f>
        <v>0</v>
      </c>
    </row>
    <row r="1891" spans="102:110">
      <c r="CX1891" s="259">
        <f t="shared" ca="1" si="1640"/>
        <v>105</v>
      </c>
      <c r="CY1891" s="259" t="str">
        <f t="shared" ca="1" si="1648"/>
        <v>MASTRO</v>
      </c>
      <c r="CZ1891" s="259" t="e">
        <f t="shared" ca="1" si="1642"/>
        <v>#N/A</v>
      </c>
      <c r="DA1891" s="259" t="str">
        <f t="shared" ca="1" si="1647"/>
        <v/>
      </c>
      <c r="DB1891" s="259" t="str">
        <f t="shared" ca="1" si="1643"/>
        <v/>
      </c>
      <c r="DC1891" s="259" t="str">
        <f t="shared" ca="1" si="1644"/>
        <v/>
      </c>
      <c r="DD1891" s="259" t="str">
        <f t="shared" ca="1" si="1645"/>
        <v/>
      </c>
      <c r="DE1891" s="259" t="str">
        <f t="shared" ca="1" si="1646"/>
        <v/>
      </c>
      <c r="DF1891" s="259">
        <f ca="1">IF(AND(CX1891=$DE$2,$DF$2&lt;&gt;0),0,IF(AND(DB1891&lt;&gt;"",OR(DB1890&lt;&gt;"",DB1892&lt;&gt;"")),MAX($DF$2:DF1890)+1,0))</f>
        <v>0</v>
      </c>
    </row>
    <row r="1892" spans="102:110">
      <c r="CX1892" s="259" t="str">
        <f>IFERROR(IF(CX1874+1=1,"",(CX1874+1)),"")</f>
        <v/>
      </c>
      <c r="CY1892" s="259" t="str">
        <f t="shared" ca="1" si="1648"/>
        <v>MASTRO</v>
      </c>
      <c r="DB1892" s="259" t="str">
        <f t="shared" ref="DB1892" ca="1" si="1649">CY1892</f>
        <v>MASTRO</v>
      </c>
      <c r="DF1892" s="259">
        <f ca="1">IF(AND(CX1892=$DE$2,$DF$2&lt;&gt;0),0,IF(AND(DB1892&lt;&gt;"",OR(DB1891&lt;&gt;"",DB1893&lt;&gt;"")),MAX($DF$2:DF1891)+1,0))</f>
        <v>0</v>
      </c>
    </row>
    <row r="1893" spans="102:110">
      <c r="CX1893" s="259">
        <f ca="1">$EA$108</f>
        <v>106</v>
      </c>
      <c r="CY1893" s="259" t="str">
        <f t="shared" ca="1" si="1648"/>
        <v>MASTRO</v>
      </c>
      <c r="DA1893" s="259" t="str">
        <f ca="1">IF(CY1892="MASTRO","Conto n.","")</f>
        <v>Conto n.</v>
      </c>
      <c r="DB1893" s="259" t="str">
        <f ca="1">IF(CY1893=0,"",INDEX(PIANO_DEI_CONTI,MATCH(DC1893,DENOMINAZIONE,0),1))</f>
        <v/>
      </c>
      <c r="DC1893" s="259" t="str">
        <f ca="1">IF(OR(CY1893=0,CY1893="mastro"),"",CY1893)</f>
        <v/>
      </c>
      <c r="DD1893" s="259" t="str">
        <f ca="1">IF(AND($DA$2=TRUE,OR(INDEX(PIANO_DEI_CONTI,MATCH($DC1893,DENOMINAZIONE,0),4)="A",INDEX(PIANO_DEI_CONTI,MATCH($DC1893,DENOMINAZIONE,0),4)="D/A"),SUMIFS(AVERE,DENOMINAZIONE_GIORNALE,"="&amp;$DC1893)&gt;SUMIFS(DARE,DENOMINAZIONE_GIORNALE,"="&amp;$DC1893)),CONCATENATE("s ",FIXED(ABS(SUMIFS(AVERE,DENOMINAZIONE_GIORNALE,"="&amp;$DC1893)-SUMIFS(DARE,DENOMINAZIONE_GIORNALE,"="&amp;$DC1893)),2)),"")</f>
        <v/>
      </c>
      <c r="DE1893" s="259" t="str">
        <f ca="1">IF(AND($DA$2=TRUE,OR(INDEX(PIANO_DEI_CONTI,MATCH($DC1893,DENOMINAZIONE,0),4)="D",INDEX(PIANO_DEI_CONTI,MATCH($DC1893,DENOMINAZIONE,0),4)="D/A"),SUMIFS(DARE,DENOMINAZIONE_GIORNALE,"="&amp;$DC1893)&gt;SUMIFS(AVERE,DENOMINAZIONE_GIORNALE,"="&amp;$DC1893)),CONCATENATE("s ",FIXED(ABS(SUMIFS(DARE,DENOMINAZIONE_GIORNALE,"="&amp;$DC1893)-SUMIFS(AVERE,DENOMINAZIONE_GIORNALE,"="&amp;$DC1893)),2)),"")</f>
        <v/>
      </c>
      <c r="DF1893" s="259">
        <f ca="1">IF(AND(CX1893=$DE$2,$DF$2&lt;&gt;0),0,IF(AND(DB1893&lt;&gt;"",OR(DB1892&lt;&gt;"",DB1894&lt;&gt;"")),MAX($DF$2:DF1892)+1,0))</f>
        <v>0</v>
      </c>
    </row>
    <row r="1894" spans="102:110">
      <c r="CX1894" s="259">
        <f t="shared" ref="CX1894:CX1909" ca="1" si="1650">$EA$108</f>
        <v>106</v>
      </c>
      <c r="CY1894" s="259" t="str">
        <f t="shared" ca="1" si="1648"/>
        <v>MASTRO</v>
      </c>
      <c r="DA1894" s="259" t="str">
        <f ca="1">IF(DB1893="","","Num. riga")</f>
        <v/>
      </c>
      <c r="DB1894" s="259" t="str">
        <f t="shared" ref="DB1894" ca="1" si="1651">IF(DB1893="","","Data")</f>
        <v/>
      </c>
      <c r="DC1894" s="259" t="str">
        <f ca="1">IF(DB1893="","","Operazioni")</f>
        <v/>
      </c>
      <c r="DD1894" s="259" t="str">
        <f ca="1">IF(DB1893="","","Dare        ")</f>
        <v/>
      </c>
      <c r="DE1894" s="259" t="str">
        <f ca="1">IF(DB1893="","","Avere        ")</f>
        <v/>
      </c>
      <c r="DF1894" s="259">
        <f ca="1">IF(AND(CX1894=$DE$2,$DF$2&lt;&gt;0),0,IF(AND(DB1894&lt;&gt;"",OR(DB1893&lt;&gt;"",DB1895&lt;&gt;"")),MAX($DF$2:DF1893)+1,0))</f>
        <v>0</v>
      </c>
    </row>
    <row r="1895" spans="102:110">
      <c r="CX1895" s="259">
        <f t="shared" ca="1" si="1650"/>
        <v>106</v>
      </c>
      <c r="CY1895" s="259" t="str">
        <f t="shared" ca="1" si="1648"/>
        <v>MASTRO</v>
      </c>
      <c r="CZ1895" s="259" t="e">
        <f t="shared" ref="CZ1895:CZ1909" ca="1" si="1652">SUM(MATCH($CY1895,INDIRECT(ADDRESS(SUM(CZ1894)+3,54)&amp;":"&amp;ADDRESS(400,54)),0),CZ1894)</f>
        <v>#N/A</v>
      </c>
      <c r="DA1895" s="259" t="str">
        <f ca="1">IFERROR(INDEX(LIBRO_GIORNALE,CZ1895,1),"")</f>
        <v/>
      </c>
      <c r="DB1895" s="259" t="str">
        <f t="shared" ref="DB1895:DB1909" ca="1" si="1653">IF(RIGHT(TEXT(IFERROR(INDEX(LIBRO_GIORNALE,CZ1895,2),""),"gg/mm/aa"),1)="a",TEXT(IFERROR(INDEX(LIBRO_GIORNALE,CZ1895,2),""),"dd/mm/yy"),TEXT(IFERROR(INDEX(LIBRO_GIORNALE,CZ1895,2),""),"gg/mm/aa"))</f>
        <v/>
      </c>
      <c r="DC1895" s="259" t="str">
        <f t="shared" ref="DC1895:DC1909" ca="1" si="1654">IF(IFERROR(INDEX(LIBRO_GIORNALE,CZ1895,4),"")=0,"manca la descrizione dell'operazione",IFERROR(INDEX(LIBRO_GIORNALE,CZ1895,4),""))</f>
        <v/>
      </c>
      <c r="DD1895" s="259" t="str">
        <f t="shared" ref="DD1895:DD1909" ca="1" si="1655">IFERROR(IF(INDEX(LIBRO_GIORNALE,CZ1895,5)&gt;0,INDEX(LIBRO_GIORNALE,CZ1895,5),""),"")</f>
        <v/>
      </c>
      <c r="DE1895" s="259" t="str">
        <f t="shared" ref="DE1895:DE1909" ca="1" si="1656">IFERROR(IF(INDEX(LIBRO_GIORNALE,CZ1895,6)&gt;0,INDEX(LIBRO_GIORNALE,CZ1895,6),""),"")</f>
        <v/>
      </c>
      <c r="DF1895" s="259">
        <f ca="1">IF(AND(CX1895=$DE$2,$DF$2&lt;&gt;0),0,IF(AND(DB1895&lt;&gt;"",OR(DB1894&lt;&gt;"",DB1896&lt;&gt;"")),MAX($DF$2:DF1894)+1,0))</f>
        <v>0</v>
      </c>
    </row>
    <row r="1896" spans="102:110">
      <c r="CX1896" s="259">
        <f t="shared" ca="1" si="1650"/>
        <v>106</v>
      </c>
      <c r="CY1896" s="259" t="str">
        <f t="shared" ca="1" si="1648"/>
        <v>MASTRO</v>
      </c>
      <c r="CZ1896" s="259" t="e">
        <f t="shared" ca="1" si="1652"/>
        <v>#N/A</v>
      </c>
      <c r="DA1896" s="259" t="str">
        <f t="shared" ref="DA1896:DA1909" ca="1" si="1657">IFERROR(INDEX(LIBRO_GIORNALE,CZ1896,1),"")</f>
        <v/>
      </c>
      <c r="DB1896" s="259" t="str">
        <f t="shared" ca="1" si="1653"/>
        <v/>
      </c>
      <c r="DC1896" s="259" t="str">
        <f t="shared" ca="1" si="1654"/>
        <v/>
      </c>
      <c r="DD1896" s="259" t="str">
        <f t="shared" ca="1" si="1655"/>
        <v/>
      </c>
      <c r="DE1896" s="259" t="str">
        <f t="shared" ca="1" si="1656"/>
        <v/>
      </c>
      <c r="DF1896" s="259">
        <f ca="1">IF(AND(CX1896=$DE$2,$DF$2&lt;&gt;0),0,IF(AND(DB1896&lt;&gt;"",OR(DB1895&lt;&gt;"",DB1897&lt;&gt;"")),MAX($DF$2:DF1895)+1,0))</f>
        <v>0</v>
      </c>
    </row>
    <row r="1897" spans="102:110">
      <c r="CX1897" s="259">
        <f t="shared" ca="1" si="1650"/>
        <v>106</v>
      </c>
      <c r="CY1897" s="259" t="str">
        <f t="shared" ca="1" si="1648"/>
        <v>MASTRO</v>
      </c>
      <c r="CZ1897" s="259" t="e">
        <f t="shared" ca="1" si="1652"/>
        <v>#N/A</v>
      </c>
      <c r="DA1897" s="259" t="str">
        <f t="shared" ca="1" si="1657"/>
        <v/>
      </c>
      <c r="DB1897" s="259" t="str">
        <f t="shared" ca="1" si="1653"/>
        <v/>
      </c>
      <c r="DC1897" s="259" t="str">
        <f t="shared" ca="1" si="1654"/>
        <v/>
      </c>
      <c r="DD1897" s="259" t="str">
        <f t="shared" ca="1" si="1655"/>
        <v/>
      </c>
      <c r="DE1897" s="259" t="str">
        <f t="shared" ca="1" si="1656"/>
        <v/>
      </c>
      <c r="DF1897" s="259">
        <f ca="1">IF(AND(CX1897=$DE$2,$DF$2&lt;&gt;0),0,IF(AND(DB1897&lt;&gt;"",OR(DB1896&lt;&gt;"",DB1898&lt;&gt;"")),MAX($DF$2:DF1896)+1,0))</f>
        <v>0</v>
      </c>
    </row>
    <row r="1898" spans="102:110">
      <c r="CX1898" s="259">
        <f t="shared" ca="1" si="1650"/>
        <v>106</v>
      </c>
      <c r="CY1898" s="259" t="str">
        <f t="shared" ca="1" si="1648"/>
        <v>MASTRO</v>
      </c>
      <c r="CZ1898" s="259" t="e">
        <f t="shared" ca="1" si="1652"/>
        <v>#N/A</v>
      </c>
      <c r="DA1898" s="259" t="str">
        <f t="shared" ca="1" si="1657"/>
        <v/>
      </c>
      <c r="DB1898" s="259" t="str">
        <f t="shared" ca="1" si="1653"/>
        <v/>
      </c>
      <c r="DC1898" s="259" t="str">
        <f t="shared" ca="1" si="1654"/>
        <v/>
      </c>
      <c r="DD1898" s="259" t="str">
        <f t="shared" ca="1" si="1655"/>
        <v/>
      </c>
      <c r="DE1898" s="259" t="str">
        <f t="shared" ca="1" si="1656"/>
        <v/>
      </c>
      <c r="DF1898" s="259">
        <f ca="1">IF(AND(CX1898=$DE$2,$DF$2&lt;&gt;0),0,IF(AND(DB1898&lt;&gt;"",OR(DB1897&lt;&gt;"",DB1899&lt;&gt;"")),MAX($DF$2:DF1897)+1,0))</f>
        <v>0</v>
      </c>
    </row>
    <row r="1899" spans="102:110">
      <c r="CX1899" s="259">
        <f t="shared" ca="1" si="1650"/>
        <v>106</v>
      </c>
      <c r="CY1899" s="259" t="str">
        <f t="shared" ca="1" si="1648"/>
        <v>MASTRO</v>
      </c>
      <c r="CZ1899" s="259" t="e">
        <f t="shared" ca="1" si="1652"/>
        <v>#N/A</v>
      </c>
      <c r="DA1899" s="259" t="str">
        <f t="shared" ca="1" si="1657"/>
        <v/>
      </c>
      <c r="DB1899" s="259" t="str">
        <f t="shared" ca="1" si="1653"/>
        <v/>
      </c>
      <c r="DC1899" s="259" t="str">
        <f t="shared" ca="1" si="1654"/>
        <v/>
      </c>
      <c r="DD1899" s="259" t="str">
        <f t="shared" ca="1" si="1655"/>
        <v/>
      </c>
      <c r="DE1899" s="259" t="str">
        <f t="shared" ca="1" si="1656"/>
        <v/>
      </c>
      <c r="DF1899" s="259">
        <f ca="1">IF(AND(CX1899=$DE$2,$DF$2&lt;&gt;0),0,IF(AND(DB1899&lt;&gt;"",OR(DB1898&lt;&gt;"",DB1900&lt;&gt;"")),MAX($DF$2:DF1898)+1,0))</f>
        <v>0</v>
      </c>
    </row>
    <row r="1900" spans="102:110">
      <c r="CX1900" s="259">
        <f t="shared" ca="1" si="1650"/>
        <v>106</v>
      </c>
      <c r="CY1900" s="259" t="str">
        <f t="shared" ca="1" si="1648"/>
        <v>MASTRO</v>
      </c>
      <c r="CZ1900" s="259" t="e">
        <f t="shared" ca="1" si="1652"/>
        <v>#N/A</v>
      </c>
      <c r="DA1900" s="259" t="str">
        <f t="shared" ca="1" si="1657"/>
        <v/>
      </c>
      <c r="DB1900" s="259" t="str">
        <f t="shared" ca="1" si="1653"/>
        <v/>
      </c>
      <c r="DC1900" s="259" t="str">
        <f t="shared" ca="1" si="1654"/>
        <v/>
      </c>
      <c r="DD1900" s="259" t="str">
        <f t="shared" ca="1" si="1655"/>
        <v/>
      </c>
      <c r="DE1900" s="259" t="str">
        <f t="shared" ca="1" si="1656"/>
        <v/>
      </c>
      <c r="DF1900" s="259">
        <f ca="1">IF(AND(CX1900=$DE$2,$DF$2&lt;&gt;0),0,IF(AND(DB1900&lt;&gt;"",OR(DB1899&lt;&gt;"",DB1901&lt;&gt;"")),MAX($DF$2:DF1899)+1,0))</f>
        <v>0</v>
      </c>
    </row>
    <row r="1901" spans="102:110">
      <c r="CX1901" s="259">
        <f t="shared" ca="1" si="1650"/>
        <v>106</v>
      </c>
      <c r="CY1901" s="259" t="str">
        <f t="shared" ca="1" si="1648"/>
        <v>MASTRO</v>
      </c>
      <c r="CZ1901" s="259" t="e">
        <f t="shared" ca="1" si="1652"/>
        <v>#N/A</v>
      </c>
      <c r="DA1901" s="259" t="str">
        <f t="shared" ca="1" si="1657"/>
        <v/>
      </c>
      <c r="DB1901" s="259" t="str">
        <f t="shared" ca="1" si="1653"/>
        <v/>
      </c>
      <c r="DC1901" s="259" t="str">
        <f t="shared" ca="1" si="1654"/>
        <v/>
      </c>
      <c r="DD1901" s="259" t="str">
        <f t="shared" ca="1" si="1655"/>
        <v/>
      </c>
      <c r="DE1901" s="259" t="str">
        <f t="shared" ca="1" si="1656"/>
        <v/>
      </c>
      <c r="DF1901" s="259">
        <f ca="1">IF(AND(CX1901=$DE$2,$DF$2&lt;&gt;0),0,IF(AND(DB1901&lt;&gt;"",OR(DB1900&lt;&gt;"",DB1902&lt;&gt;"")),MAX($DF$2:DF1900)+1,0))</f>
        <v>0</v>
      </c>
    </row>
    <row r="1902" spans="102:110">
      <c r="CX1902" s="259">
        <f t="shared" ca="1" si="1650"/>
        <v>106</v>
      </c>
      <c r="CY1902" s="259" t="str">
        <f t="shared" ca="1" si="1648"/>
        <v>MASTRO</v>
      </c>
      <c r="CZ1902" s="259" t="e">
        <f t="shared" ca="1" si="1652"/>
        <v>#N/A</v>
      </c>
      <c r="DA1902" s="259" t="str">
        <f t="shared" ca="1" si="1657"/>
        <v/>
      </c>
      <c r="DB1902" s="259" t="str">
        <f t="shared" ca="1" si="1653"/>
        <v/>
      </c>
      <c r="DC1902" s="259" t="str">
        <f t="shared" ca="1" si="1654"/>
        <v/>
      </c>
      <c r="DD1902" s="259" t="str">
        <f t="shared" ca="1" si="1655"/>
        <v/>
      </c>
      <c r="DE1902" s="259" t="str">
        <f t="shared" ca="1" si="1656"/>
        <v/>
      </c>
      <c r="DF1902" s="259">
        <f ca="1">IF(AND(CX1902=$DE$2,$DF$2&lt;&gt;0),0,IF(AND(DB1902&lt;&gt;"",OR(DB1901&lt;&gt;"",DB1903&lt;&gt;"")),MAX($DF$2:DF1901)+1,0))</f>
        <v>0</v>
      </c>
    </row>
    <row r="1903" spans="102:110">
      <c r="CX1903" s="259">
        <f t="shared" ca="1" si="1650"/>
        <v>106</v>
      </c>
      <c r="CY1903" s="259" t="str">
        <f t="shared" ca="1" si="1648"/>
        <v>MASTRO</v>
      </c>
      <c r="CZ1903" s="259" t="e">
        <f t="shared" ca="1" si="1652"/>
        <v>#N/A</v>
      </c>
      <c r="DA1903" s="259" t="str">
        <f t="shared" ca="1" si="1657"/>
        <v/>
      </c>
      <c r="DB1903" s="259" t="str">
        <f t="shared" ca="1" si="1653"/>
        <v/>
      </c>
      <c r="DC1903" s="259" t="str">
        <f t="shared" ca="1" si="1654"/>
        <v/>
      </c>
      <c r="DD1903" s="259" t="str">
        <f t="shared" ca="1" si="1655"/>
        <v/>
      </c>
      <c r="DE1903" s="259" t="str">
        <f t="shared" ca="1" si="1656"/>
        <v/>
      </c>
      <c r="DF1903" s="259">
        <f ca="1">IF(AND(CX1903=$DE$2,$DF$2&lt;&gt;0),0,IF(AND(DB1903&lt;&gt;"",OR(DB1902&lt;&gt;"",DB1904&lt;&gt;"")),MAX($DF$2:DF1902)+1,0))</f>
        <v>0</v>
      </c>
    </row>
    <row r="1904" spans="102:110">
      <c r="CX1904" s="259">
        <f t="shared" ca="1" si="1650"/>
        <v>106</v>
      </c>
      <c r="CY1904" s="259" t="str">
        <f t="shared" ca="1" si="1648"/>
        <v>MASTRO</v>
      </c>
      <c r="CZ1904" s="259" t="e">
        <f t="shared" ca="1" si="1652"/>
        <v>#N/A</v>
      </c>
      <c r="DA1904" s="259" t="str">
        <f t="shared" ca="1" si="1657"/>
        <v/>
      </c>
      <c r="DB1904" s="259" t="str">
        <f t="shared" ca="1" si="1653"/>
        <v/>
      </c>
      <c r="DC1904" s="259" t="str">
        <f t="shared" ca="1" si="1654"/>
        <v/>
      </c>
      <c r="DD1904" s="259" t="str">
        <f t="shared" ca="1" si="1655"/>
        <v/>
      </c>
      <c r="DE1904" s="259" t="str">
        <f t="shared" ca="1" si="1656"/>
        <v/>
      </c>
      <c r="DF1904" s="259">
        <f ca="1">IF(AND(CX1904=$DE$2,$DF$2&lt;&gt;0),0,IF(AND(DB1904&lt;&gt;"",OR(DB1903&lt;&gt;"",DB1905&lt;&gt;"")),MAX($DF$2:DF1903)+1,0))</f>
        <v>0</v>
      </c>
    </row>
    <row r="1905" spans="102:110">
      <c r="CX1905" s="259">
        <f t="shared" ca="1" si="1650"/>
        <v>106</v>
      </c>
      <c r="CY1905" s="259" t="str">
        <f t="shared" ca="1" si="1648"/>
        <v>MASTRO</v>
      </c>
      <c r="CZ1905" s="259" t="e">
        <f t="shared" ca="1" si="1652"/>
        <v>#N/A</v>
      </c>
      <c r="DA1905" s="259" t="str">
        <f t="shared" ca="1" si="1657"/>
        <v/>
      </c>
      <c r="DB1905" s="259" t="str">
        <f t="shared" ca="1" si="1653"/>
        <v/>
      </c>
      <c r="DC1905" s="259" t="str">
        <f t="shared" ca="1" si="1654"/>
        <v/>
      </c>
      <c r="DD1905" s="259" t="str">
        <f t="shared" ca="1" si="1655"/>
        <v/>
      </c>
      <c r="DE1905" s="259" t="str">
        <f t="shared" ca="1" si="1656"/>
        <v/>
      </c>
      <c r="DF1905" s="259">
        <f ca="1">IF(AND(CX1905=$DE$2,$DF$2&lt;&gt;0),0,IF(AND(DB1905&lt;&gt;"",OR(DB1904&lt;&gt;"",DB1906&lt;&gt;"")),MAX($DF$2:DF1904)+1,0))</f>
        <v>0</v>
      </c>
    </row>
    <row r="1906" spans="102:110">
      <c r="CX1906" s="259">
        <f t="shared" ca="1" si="1650"/>
        <v>106</v>
      </c>
      <c r="CY1906" s="259" t="str">
        <f t="shared" ca="1" si="1648"/>
        <v>MASTRO</v>
      </c>
      <c r="CZ1906" s="259" t="e">
        <f t="shared" ca="1" si="1652"/>
        <v>#N/A</v>
      </c>
      <c r="DA1906" s="259" t="str">
        <f t="shared" ca="1" si="1657"/>
        <v/>
      </c>
      <c r="DB1906" s="259" t="str">
        <f t="shared" ca="1" si="1653"/>
        <v/>
      </c>
      <c r="DC1906" s="259" t="str">
        <f t="shared" ca="1" si="1654"/>
        <v/>
      </c>
      <c r="DD1906" s="259" t="str">
        <f t="shared" ca="1" si="1655"/>
        <v/>
      </c>
      <c r="DE1906" s="259" t="str">
        <f t="shared" ca="1" si="1656"/>
        <v/>
      </c>
      <c r="DF1906" s="259">
        <f ca="1">IF(AND(CX1906=$DE$2,$DF$2&lt;&gt;0),0,IF(AND(DB1906&lt;&gt;"",OR(DB1905&lt;&gt;"",DB1907&lt;&gt;"")),MAX($DF$2:DF1905)+1,0))</f>
        <v>0</v>
      </c>
    </row>
    <row r="1907" spans="102:110">
      <c r="CX1907" s="259">
        <f t="shared" ca="1" si="1650"/>
        <v>106</v>
      </c>
      <c r="CY1907" s="259" t="str">
        <f t="shared" ca="1" si="1648"/>
        <v>MASTRO</v>
      </c>
      <c r="CZ1907" s="259" t="e">
        <f t="shared" ca="1" si="1652"/>
        <v>#N/A</v>
      </c>
      <c r="DA1907" s="259" t="str">
        <f t="shared" ca="1" si="1657"/>
        <v/>
      </c>
      <c r="DB1907" s="259" t="str">
        <f t="shared" ca="1" si="1653"/>
        <v/>
      </c>
      <c r="DC1907" s="259" t="str">
        <f t="shared" ca="1" si="1654"/>
        <v/>
      </c>
      <c r="DD1907" s="259" t="str">
        <f t="shared" ca="1" si="1655"/>
        <v/>
      </c>
      <c r="DE1907" s="259" t="str">
        <f t="shared" ca="1" si="1656"/>
        <v/>
      </c>
      <c r="DF1907" s="259">
        <f ca="1">IF(AND(CX1907=$DE$2,$DF$2&lt;&gt;0),0,IF(AND(DB1907&lt;&gt;"",OR(DB1906&lt;&gt;"",DB1908&lt;&gt;"")),MAX($DF$2:DF1906)+1,0))</f>
        <v>0</v>
      </c>
    </row>
    <row r="1908" spans="102:110">
      <c r="CX1908" s="259">
        <f t="shared" ca="1" si="1650"/>
        <v>106</v>
      </c>
      <c r="CY1908" s="259" t="str">
        <f t="shared" ca="1" si="1648"/>
        <v>MASTRO</v>
      </c>
      <c r="CZ1908" s="259" t="e">
        <f t="shared" ca="1" si="1652"/>
        <v>#N/A</v>
      </c>
      <c r="DA1908" s="259" t="str">
        <f t="shared" ca="1" si="1657"/>
        <v/>
      </c>
      <c r="DB1908" s="259" t="str">
        <f t="shared" ca="1" si="1653"/>
        <v/>
      </c>
      <c r="DC1908" s="259" t="str">
        <f t="shared" ca="1" si="1654"/>
        <v/>
      </c>
      <c r="DD1908" s="259" t="str">
        <f t="shared" ca="1" si="1655"/>
        <v/>
      </c>
      <c r="DE1908" s="259" t="str">
        <f t="shared" ca="1" si="1656"/>
        <v/>
      </c>
      <c r="DF1908" s="259">
        <f ca="1">IF(AND(CX1908=$DE$2,$DF$2&lt;&gt;0),0,IF(AND(DB1908&lt;&gt;"",OR(DB1907&lt;&gt;"",DB1909&lt;&gt;"")),MAX($DF$2:DF1907)+1,0))</f>
        <v>0</v>
      </c>
    </row>
    <row r="1909" spans="102:110">
      <c r="CX1909" s="259">
        <f t="shared" ca="1" si="1650"/>
        <v>106</v>
      </c>
      <c r="CY1909" s="259" t="str">
        <f t="shared" ca="1" si="1648"/>
        <v>MASTRO</v>
      </c>
      <c r="CZ1909" s="259" t="e">
        <f t="shared" ca="1" si="1652"/>
        <v>#N/A</v>
      </c>
      <c r="DA1909" s="259" t="str">
        <f t="shared" ca="1" si="1657"/>
        <v/>
      </c>
      <c r="DB1909" s="259" t="str">
        <f t="shared" ca="1" si="1653"/>
        <v/>
      </c>
      <c r="DC1909" s="259" t="str">
        <f t="shared" ca="1" si="1654"/>
        <v/>
      </c>
      <c r="DD1909" s="259" t="str">
        <f t="shared" ca="1" si="1655"/>
        <v/>
      </c>
      <c r="DE1909" s="259" t="str">
        <f t="shared" ca="1" si="1656"/>
        <v/>
      </c>
      <c r="DF1909" s="259">
        <f ca="1">IF(AND(CX1909=$DE$2,$DF$2&lt;&gt;0),0,IF(AND(DB1909&lt;&gt;"",OR(DB1908&lt;&gt;"",DB1910&lt;&gt;"")),MAX($DF$2:DF1908)+1,0))</f>
        <v>0</v>
      </c>
    </row>
    <row r="1910" spans="102:110">
      <c r="CX1910" s="259" t="str">
        <f>IFERROR(IF(CX1892+1=1,"",(CX1892+1)),"")</f>
        <v/>
      </c>
      <c r="CY1910" s="259" t="str">
        <f t="shared" ca="1" si="1648"/>
        <v>MASTRO</v>
      </c>
      <c r="DB1910" s="259" t="str">
        <f t="shared" ref="DB1910" ca="1" si="1658">CY1910</f>
        <v>MASTRO</v>
      </c>
      <c r="DF1910" s="259">
        <f ca="1">IF(AND(CX1910=$DE$2,$DF$2&lt;&gt;0),0,IF(AND(DB1910&lt;&gt;"",OR(DB1909&lt;&gt;"",DB1911&lt;&gt;"")),MAX($DF$2:DF1909)+1,0))</f>
        <v>0</v>
      </c>
    </row>
    <row r="1911" spans="102:110">
      <c r="CX1911" s="259">
        <f ca="1">$EA$109</f>
        <v>107</v>
      </c>
      <c r="CY1911" s="259" t="str">
        <f t="shared" ca="1" si="1648"/>
        <v>MASTRO</v>
      </c>
      <c r="DA1911" s="259" t="str">
        <f ca="1">IF(CY1910="MASTRO","Conto n.","")</f>
        <v>Conto n.</v>
      </c>
      <c r="DB1911" s="259" t="str">
        <f ca="1">IF(CY1911=0,"",INDEX(PIANO_DEI_CONTI,MATCH(DC1911,DENOMINAZIONE,0),1))</f>
        <v/>
      </c>
      <c r="DC1911" s="259" t="str">
        <f ca="1">IF(OR(CY1911=0,CY1911="mastro"),"",CY1911)</f>
        <v/>
      </c>
      <c r="DD1911" s="259" t="str">
        <f ca="1">IF(AND($DA$2=TRUE,OR(INDEX(PIANO_DEI_CONTI,MATCH($DC1911,DENOMINAZIONE,0),4)="A",INDEX(PIANO_DEI_CONTI,MATCH($DC1911,DENOMINAZIONE,0),4)="D/A"),SUMIFS(AVERE,DENOMINAZIONE_GIORNALE,"="&amp;$DC1911)&gt;SUMIFS(DARE,DENOMINAZIONE_GIORNALE,"="&amp;$DC1911)),CONCATENATE("s ",FIXED(ABS(SUMIFS(AVERE,DENOMINAZIONE_GIORNALE,"="&amp;$DC1911)-SUMIFS(DARE,DENOMINAZIONE_GIORNALE,"="&amp;$DC1911)),2)),"")</f>
        <v/>
      </c>
      <c r="DE1911" s="259" t="str">
        <f ca="1">IF(AND($DA$2=TRUE,OR(INDEX(PIANO_DEI_CONTI,MATCH($DC1911,DENOMINAZIONE,0),4)="D",INDEX(PIANO_DEI_CONTI,MATCH($DC1911,DENOMINAZIONE,0),4)="D/A"),SUMIFS(DARE,DENOMINAZIONE_GIORNALE,"="&amp;$DC1911)&gt;SUMIFS(AVERE,DENOMINAZIONE_GIORNALE,"="&amp;$DC1911)),CONCATENATE("s ",FIXED(ABS(SUMIFS(DARE,DENOMINAZIONE_GIORNALE,"="&amp;$DC1911)-SUMIFS(AVERE,DENOMINAZIONE_GIORNALE,"="&amp;$DC1911)),2)),"")</f>
        <v/>
      </c>
      <c r="DF1911" s="259">
        <f ca="1">IF(AND(CX1911=$DE$2,$DF$2&lt;&gt;0),0,IF(AND(DB1911&lt;&gt;"",OR(DB1910&lt;&gt;"",DB1912&lt;&gt;"")),MAX($DF$2:DF1910)+1,0))</f>
        <v>0</v>
      </c>
    </row>
    <row r="1912" spans="102:110">
      <c r="CX1912" s="259">
        <f t="shared" ref="CX1912:CX1927" ca="1" si="1659">$EA$109</f>
        <v>107</v>
      </c>
      <c r="CY1912" s="259" t="str">
        <f t="shared" ca="1" si="1648"/>
        <v>MASTRO</v>
      </c>
      <c r="DA1912" s="259" t="str">
        <f ca="1">IF(DB1911="","","Num. riga")</f>
        <v/>
      </c>
      <c r="DB1912" s="259" t="str">
        <f t="shared" ref="DB1912" ca="1" si="1660">IF(DB1911="","","Data")</f>
        <v/>
      </c>
      <c r="DC1912" s="259" t="str">
        <f ca="1">IF(DB1911="","","Operazioni")</f>
        <v/>
      </c>
      <c r="DD1912" s="259" t="str">
        <f ca="1">IF(DB1911="","","Dare        ")</f>
        <v/>
      </c>
      <c r="DE1912" s="259" t="str">
        <f ca="1">IF(DB1911="","","Avere        ")</f>
        <v/>
      </c>
      <c r="DF1912" s="259">
        <f ca="1">IF(AND(CX1912=$DE$2,$DF$2&lt;&gt;0),0,IF(AND(DB1912&lt;&gt;"",OR(DB1911&lt;&gt;"",DB1913&lt;&gt;"")),MAX($DF$2:DF1911)+1,0))</f>
        <v>0</v>
      </c>
    </row>
    <row r="1913" spans="102:110">
      <c r="CX1913" s="259">
        <f t="shared" ca="1" si="1659"/>
        <v>107</v>
      </c>
      <c r="CY1913" s="259" t="str">
        <f t="shared" ca="1" si="1648"/>
        <v>MASTRO</v>
      </c>
      <c r="CZ1913" s="259" t="e">
        <f t="shared" ref="CZ1913:CZ1927" ca="1" si="1661">SUM(MATCH($CY1913,INDIRECT(ADDRESS(SUM(CZ1912)+3,54)&amp;":"&amp;ADDRESS(400,54)),0),CZ1912)</f>
        <v>#N/A</v>
      </c>
      <c r="DA1913" s="259" t="str">
        <f ca="1">IFERROR(INDEX(LIBRO_GIORNALE,CZ1913,1),"")</f>
        <v/>
      </c>
      <c r="DB1913" s="259" t="str">
        <f t="shared" ref="DB1913:DB1927" ca="1" si="1662">IF(RIGHT(TEXT(IFERROR(INDEX(LIBRO_GIORNALE,CZ1913,2),""),"gg/mm/aa"),1)="a",TEXT(IFERROR(INDEX(LIBRO_GIORNALE,CZ1913,2),""),"dd/mm/yy"),TEXT(IFERROR(INDEX(LIBRO_GIORNALE,CZ1913,2),""),"gg/mm/aa"))</f>
        <v/>
      </c>
      <c r="DC1913" s="259" t="str">
        <f t="shared" ref="DC1913:DC1927" ca="1" si="1663">IF(IFERROR(INDEX(LIBRO_GIORNALE,CZ1913,4),"")=0,"manca la descrizione dell'operazione",IFERROR(INDEX(LIBRO_GIORNALE,CZ1913,4),""))</f>
        <v/>
      </c>
      <c r="DD1913" s="259" t="str">
        <f t="shared" ref="DD1913:DD1927" ca="1" si="1664">IFERROR(IF(INDEX(LIBRO_GIORNALE,CZ1913,5)&gt;0,INDEX(LIBRO_GIORNALE,CZ1913,5),""),"")</f>
        <v/>
      </c>
      <c r="DE1913" s="259" t="str">
        <f t="shared" ref="DE1913:DE1927" ca="1" si="1665">IFERROR(IF(INDEX(LIBRO_GIORNALE,CZ1913,6)&gt;0,INDEX(LIBRO_GIORNALE,CZ1913,6),""),"")</f>
        <v/>
      </c>
      <c r="DF1913" s="259">
        <f ca="1">IF(AND(CX1913=$DE$2,$DF$2&lt;&gt;0),0,IF(AND(DB1913&lt;&gt;"",OR(DB1912&lt;&gt;"",DB1914&lt;&gt;"")),MAX($DF$2:DF1912)+1,0))</f>
        <v>0</v>
      </c>
    </row>
    <row r="1914" spans="102:110">
      <c r="CX1914" s="259">
        <f t="shared" ca="1" si="1659"/>
        <v>107</v>
      </c>
      <c r="CY1914" s="259" t="str">
        <f t="shared" ca="1" si="1648"/>
        <v>MASTRO</v>
      </c>
      <c r="CZ1914" s="259" t="e">
        <f t="shared" ca="1" si="1661"/>
        <v>#N/A</v>
      </c>
      <c r="DA1914" s="259" t="str">
        <f t="shared" ref="DA1914:DA1927" ca="1" si="1666">IFERROR(INDEX(LIBRO_GIORNALE,CZ1914,1),"")</f>
        <v/>
      </c>
      <c r="DB1914" s="259" t="str">
        <f t="shared" ca="1" si="1662"/>
        <v/>
      </c>
      <c r="DC1914" s="259" t="str">
        <f t="shared" ca="1" si="1663"/>
        <v/>
      </c>
      <c r="DD1914" s="259" t="str">
        <f t="shared" ca="1" si="1664"/>
        <v/>
      </c>
      <c r="DE1914" s="259" t="str">
        <f t="shared" ca="1" si="1665"/>
        <v/>
      </c>
      <c r="DF1914" s="259">
        <f ca="1">IF(AND(CX1914=$DE$2,$DF$2&lt;&gt;0),0,IF(AND(DB1914&lt;&gt;"",OR(DB1913&lt;&gt;"",DB1915&lt;&gt;"")),MAX($DF$2:DF1913)+1,0))</f>
        <v>0</v>
      </c>
    </row>
    <row r="1915" spans="102:110">
      <c r="CX1915" s="259">
        <f t="shared" ca="1" si="1659"/>
        <v>107</v>
      </c>
      <c r="CY1915" s="259" t="str">
        <f t="shared" ca="1" si="1648"/>
        <v>MASTRO</v>
      </c>
      <c r="CZ1915" s="259" t="e">
        <f t="shared" ca="1" si="1661"/>
        <v>#N/A</v>
      </c>
      <c r="DA1915" s="259" t="str">
        <f t="shared" ca="1" si="1666"/>
        <v/>
      </c>
      <c r="DB1915" s="259" t="str">
        <f t="shared" ca="1" si="1662"/>
        <v/>
      </c>
      <c r="DC1915" s="259" t="str">
        <f t="shared" ca="1" si="1663"/>
        <v/>
      </c>
      <c r="DD1915" s="259" t="str">
        <f t="shared" ca="1" si="1664"/>
        <v/>
      </c>
      <c r="DE1915" s="259" t="str">
        <f t="shared" ca="1" si="1665"/>
        <v/>
      </c>
      <c r="DF1915" s="259">
        <f ca="1">IF(AND(CX1915=$DE$2,$DF$2&lt;&gt;0),0,IF(AND(DB1915&lt;&gt;"",OR(DB1914&lt;&gt;"",DB1916&lt;&gt;"")),MAX($DF$2:DF1914)+1,0))</f>
        <v>0</v>
      </c>
    </row>
    <row r="1916" spans="102:110">
      <c r="CX1916" s="259">
        <f t="shared" ca="1" si="1659"/>
        <v>107</v>
      </c>
      <c r="CY1916" s="259" t="str">
        <f t="shared" ca="1" si="1648"/>
        <v>MASTRO</v>
      </c>
      <c r="CZ1916" s="259" t="e">
        <f t="shared" ca="1" si="1661"/>
        <v>#N/A</v>
      </c>
      <c r="DA1916" s="259" t="str">
        <f t="shared" ca="1" si="1666"/>
        <v/>
      </c>
      <c r="DB1916" s="259" t="str">
        <f t="shared" ca="1" si="1662"/>
        <v/>
      </c>
      <c r="DC1916" s="259" t="str">
        <f t="shared" ca="1" si="1663"/>
        <v/>
      </c>
      <c r="DD1916" s="259" t="str">
        <f t="shared" ca="1" si="1664"/>
        <v/>
      </c>
      <c r="DE1916" s="259" t="str">
        <f t="shared" ca="1" si="1665"/>
        <v/>
      </c>
      <c r="DF1916" s="259">
        <f ca="1">IF(AND(CX1916=$DE$2,$DF$2&lt;&gt;0),0,IF(AND(DB1916&lt;&gt;"",OR(DB1915&lt;&gt;"",DB1917&lt;&gt;"")),MAX($DF$2:DF1915)+1,0))</f>
        <v>0</v>
      </c>
    </row>
    <row r="1917" spans="102:110">
      <c r="CX1917" s="259">
        <f t="shared" ca="1" si="1659"/>
        <v>107</v>
      </c>
      <c r="CY1917" s="259" t="str">
        <f t="shared" ref="CY1917:CY1949" ca="1" si="1667">IF(ISERROR(INDEX($CV$3:$CX$2300,MATCH(CX1917,$CW$3:$CW$2300,0),1)),"MASTRO",INDEX($CV$3:$CX$2300,MATCH(CX1917,$CW$3:$CW$2300,0),1))</f>
        <v>MASTRO</v>
      </c>
      <c r="CZ1917" s="259" t="e">
        <f t="shared" ca="1" si="1661"/>
        <v>#N/A</v>
      </c>
      <c r="DA1917" s="259" t="str">
        <f t="shared" ca="1" si="1666"/>
        <v/>
      </c>
      <c r="DB1917" s="259" t="str">
        <f t="shared" ca="1" si="1662"/>
        <v/>
      </c>
      <c r="DC1917" s="259" t="str">
        <f t="shared" ca="1" si="1663"/>
        <v/>
      </c>
      <c r="DD1917" s="259" t="str">
        <f t="shared" ca="1" si="1664"/>
        <v/>
      </c>
      <c r="DE1917" s="259" t="str">
        <f t="shared" ca="1" si="1665"/>
        <v/>
      </c>
      <c r="DF1917" s="259">
        <f ca="1">IF(AND(CX1917=$DE$2,$DF$2&lt;&gt;0),0,IF(AND(DB1917&lt;&gt;"",OR(DB1916&lt;&gt;"",DB1918&lt;&gt;"")),MAX($DF$2:DF1916)+1,0))</f>
        <v>0</v>
      </c>
    </row>
    <row r="1918" spans="102:110">
      <c r="CX1918" s="259">
        <f t="shared" ca="1" si="1659"/>
        <v>107</v>
      </c>
      <c r="CY1918" s="259" t="str">
        <f t="shared" ca="1" si="1667"/>
        <v>MASTRO</v>
      </c>
      <c r="CZ1918" s="259" t="e">
        <f t="shared" ca="1" si="1661"/>
        <v>#N/A</v>
      </c>
      <c r="DA1918" s="259" t="str">
        <f t="shared" ca="1" si="1666"/>
        <v/>
      </c>
      <c r="DB1918" s="259" t="str">
        <f t="shared" ca="1" si="1662"/>
        <v/>
      </c>
      <c r="DC1918" s="259" t="str">
        <f t="shared" ca="1" si="1663"/>
        <v/>
      </c>
      <c r="DD1918" s="259" t="str">
        <f t="shared" ca="1" si="1664"/>
        <v/>
      </c>
      <c r="DE1918" s="259" t="str">
        <f t="shared" ca="1" si="1665"/>
        <v/>
      </c>
      <c r="DF1918" s="259">
        <f ca="1">IF(AND(CX1918=$DE$2,$DF$2&lt;&gt;0),0,IF(AND(DB1918&lt;&gt;"",OR(DB1917&lt;&gt;"",DB1919&lt;&gt;"")),MAX($DF$2:DF1917)+1,0))</f>
        <v>0</v>
      </c>
    </row>
    <row r="1919" spans="102:110">
      <c r="CX1919" s="259">
        <f t="shared" ca="1" si="1659"/>
        <v>107</v>
      </c>
      <c r="CY1919" s="259" t="str">
        <f t="shared" ca="1" si="1667"/>
        <v>MASTRO</v>
      </c>
      <c r="CZ1919" s="259" t="e">
        <f t="shared" ca="1" si="1661"/>
        <v>#N/A</v>
      </c>
      <c r="DA1919" s="259" t="str">
        <f t="shared" ca="1" si="1666"/>
        <v/>
      </c>
      <c r="DB1919" s="259" t="str">
        <f t="shared" ca="1" si="1662"/>
        <v/>
      </c>
      <c r="DC1919" s="259" t="str">
        <f t="shared" ca="1" si="1663"/>
        <v/>
      </c>
      <c r="DD1919" s="259" t="str">
        <f t="shared" ca="1" si="1664"/>
        <v/>
      </c>
      <c r="DE1919" s="259" t="str">
        <f t="shared" ca="1" si="1665"/>
        <v/>
      </c>
      <c r="DF1919" s="259">
        <f ca="1">IF(AND(CX1919=$DE$2,$DF$2&lt;&gt;0),0,IF(AND(DB1919&lt;&gt;"",OR(DB1918&lt;&gt;"",DB1920&lt;&gt;"")),MAX($DF$2:DF1918)+1,0))</f>
        <v>0</v>
      </c>
    </row>
    <row r="1920" spans="102:110">
      <c r="CX1920" s="259">
        <f t="shared" ca="1" si="1659"/>
        <v>107</v>
      </c>
      <c r="CY1920" s="259" t="str">
        <f t="shared" ca="1" si="1667"/>
        <v>MASTRO</v>
      </c>
      <c r="CZ1920" s="259" t="e">
        <f t="shared" ca="1" si="1661"/>
        <v>#N/A</v>
      </c>
      <c r="DA1920" s="259" t="str">
        <f t="shared" ca="1" si="1666"/>
        <v/>
      </c>
      <c r="DB1920" s="259" t="str">
        <f t="shared" ca="1" si="1662"/>
        <v/>
      </c>
      <c r="DC1920" s="259" t="str">
        <f t="shared" ca="1" si="1663"/>
        <v/>
      </c>
      <c r="DD1920" s="259" t="str">
        <f t="shared" ca="1" si="1664"/>
        <v/>
      </c>
      <c r="DE1920" s="259" t="str">
        <f t="shared" ca="1" si="1665"/>
        <v/>
      </c>
      <c r="DF1920" s="259">
        <f ca="1">IF(AND(CX1920=$DE$2,$DF$2&lt;&gt;0),0,IF(AND(DB1920&lt;&gt;"",OR(DB1919&lt;&gt;"",DB1921&lt;&gt;"")),MAX($DF$2:DF1919)+1,0))</f>
        <v>0</v>
      </c>
    </row>
    <row r="1921" spans="102:110">
      <c r="CX1921" s="259">
        <f t="shared" ca="1" si="1659"/>
        <v>107</v>
      </c>
      <c r="CY1921" s="259" t="str">
        <f t="shared" ca="1" si="1667"/>
        <v>MASTRO</v>
      </c>
      <c r="CZ1921" s="259" t="e">
        <f t="shared" ca="1" si="1661"/>
        <v>#N/A</v>
      </c>
      <c r="DA1921" s="259" t="str">
        <f t="shared" ca="1" si="1666"/>
        <v/>
      </c>
      <c r="DB1921" s="259" t="str">
        <f t="shared" ca="1" si="1662"/>
        <v/>
      </c>
      <c r="DC1921" s="259" t="str">
        <f t="shared" ca="1" si="1663"/>
        <v/>
      </c>
      <c r="DD1921" s="259" t="str">
        <f t="shared" ca="1" si="1664"/>
        <v/>
      </c>
      <c r="DE1921" s="259" t="str">
        <f t="shared" ca="1" si="1665"/>
        <v/>
      </c>
      <c r="DF1921" s="259">
        <f ca="1">IF(AND(CX1921=$DE$2,$DF$2&lt;&gt;0),0,IF(AND(DB1921&lt;&gt;"",OR(DB1920&lt;&gt;"",DB1922&lt;&gt;"")),MAX($DF$2:DF1920)+1,0))</f>
        <v>0</v>
      </c>
    </row>
    <row r="1922" spans="102:110">
      <c r="CX1922" s="259">
        <f t="shared" ca="1" si="1659"/>
        <v>107</v>
      </c>
      <c r="CY1922" s="259" t="str">
        <f t="shared" ca="1" si="1667"/>
        <v>MASTRO</v>
      </c>
      <c r="CZ1922" s="259" t="e">
        <f t="shared" ca="1" si="1661"/>
        <v>#N/A</v>
      </c>
      <c r="DA1922" s="259" t="str">
        <f t="shared" ca="1" si="1666"/>
        <v/>
      </c>
      <c r="DB1922" s="259" t="str">
        <f t="shared" ca="1" si="1662"/>
        <v/>
      </c>
      <c r="DC1922" s="259" t="str">
        <f t="shared" ca="1" si="1663"/>
        <v/>
      </c>
      <c r="DD1922" s="259" t="str">
        <f t="shared" ca="1" si="1664"/>
        <v/>
      </c>
      <c r="DE1922" s="259" t="str">
        <f t="shared" ca="1" si="1665"/>
        <v/>
      </c>
      <c r="DF1922" s="259">
        <f ca="1">IF(AND(CX1922=$DE$2,$DF$2&lt;&gt;0),0,IF(AND(DB1922&lt;&gt;"",OR(DB1921&lt;&gt;"",DB1923&lt;&gt;"")),MAX($DF$2:DF1921)+1,0))</f>
        <v>0</v>
      </c>
    </row>
    <row r="1923" spans="102:110">
      <c r="CX1923" s="259">
        <f t="shared" ca="1" si="1659"/>
        <v>107</v>
      </c>
      <c r="CY1923" s="259" t="str">
        <f t="shared" ca="1" si="1667"/>
        <v>MASTRO</v>
      </c>
      <c r="CZ1923" s="259" t="e">
        <f t="shared" ca="1" si="1661"/>
        <v>#N/A</v>
      </c>
      <c r="DA1923" s="259" t="str">
        <f t="shared" ca="1" si="1666"/>
        <v/>
      </c>
      <c r="DB1923" s="259" t="str">
        <f t="shared" ca="1" si="1662"/>
        <v/>
      </c>
      <c r="DC1923" s="259" t="str">
        <f t="shared" ca="1" si="1663"/>
        <v/>
      </c>
      <c r="DD1923" s="259" t="str">
        <f t="shared" ca="1" si="1664"/>
        <v/>
      </c>
      <c r="DE1923" s="259" t="str">
        <f t="shared" ca="1" si="1665"/>
        <v/>
      </c>
      <c r="DF1923" s="259">
        <f ca="1">IF(AND(CX1923=$DE$2,$DF$2&lt;&gt;0),0,IF(AND(DB1923&lt;&gt;"",OR(DB1922&lt;&gt;"",DB1924&lt;&gt;"")),MAX($DF$2:DF1922)+1,0))</f>
        <v>0</v>
      </c>
    </row>
    <row r="1924" spans="102:110">
      <c r="CX1924" s="259">
        <f t="shared" ca="1" si="1659"/>
        <v>107</v>
      </c>
      <c r="CY1924" s="259" t="str">
        <f t="shared" ca="1" si="1667"/>
        <v>MASTRO</v>
      </c>
      <c r="CZ1924" s="259" t="e">
        <f t="shared" ca="1" si="1661"/>
        <v>#N/A</v>
      </c>
      <c r="DA1924" s="259" t="str">
        <f t="shared" ca="1" si="1666"/>
        <v/>
      </c>
      <c r="DB1924" s="259" t="str">
        <f t="shared" ca="1" si="1662"/>
        <v/>
      </c>
      <c r="DC1924" s="259" t="str">
        <f t="shared" ca="1" si="1663"/>
        <v/>
      </c>
      <c r="DD1924" s="259" t="str">
        <f t="shared" ca="1" si="1664"/>
        <v/>
      </c>
      <c r="DE1924" s="259" t="str">
        <f t="shared" ca="1" si="1665"/>
        <v/>
      </c>
      <c r="DF1924" s="259">
        <f ca="1">IF(AND(CX1924=$DE$2,$DF$2&lt;&gt;0),0,IF(AND(DB1924&lt;&gt;"",OR(DB1923&lt;&gt;"",DB1925&lt;&gt;"")),MAX($DF$2:DF1923)+1,0))</f>
        <v>0</v>
      </c>
    </row>
    <row r="1925" spans="102:110">
      <c r="CX1925" s="259">
        <f t="shared" ca="1" si="1659"/>
        <v>107</v>
      </c>
      <c r="CY1925" s="259" t="str">
        <f t="shared" ca="1" si="1667"/>
        <v>MASTRO</v>
      </c>
      <c r="CZ1925" s="259" t="e">
        <f t="shared" ca="1" si="1661"/>
        <v>#N/A</v>
      </c>
      <c r="DA1925" s="259" t="str">
        <f t="shared" ca="1" si="1666"/>
        <v/>
      </c>
      <c r="DB1925" s="259" t="str">
        <f t="shared" ca="1" si="1662"/>
        <v/>
      </c>
      <c r="DC1925" s="259" t="str">
        <f t="shared" ca="1" si="1663"/>
        <v/>
      </c>
      <c r="DD1925" s="259" t="str">
        <f t="shared" ca="1" si="1664"/>
        <v/>
      </c>
      <c r="DE1925" s="259" t="str">
        <f t="shared" ca="1" si="1665"/>
        <v/>
      </c>
      <c r="DF1925" s="259">
        <f ca="1">IF(AND(CX1925=$DE$2,$DF$2&lt;&gt;0),0,IF(AND(DB1925&lt;&gt;"",OR(DB1924&lt;&gt;"",DB1926&lt;&gt;"")),MAX($DF$2:DF1924)+1,0))</f>
        <v>0</v>
      </c>
    </row>
    <row r="1926" spans="102:110">
      <c r="CX1926" s="259">
        <f t="shared" ca="1" si="1659"/>
        <v>107</v>
      </c>
      <c r="CY1926" s="259" t="str">
        <f t="shared" ca="1" si="1667"/>
        <v>MASTRO</v>
      </c>
      <c r="CZ1926" s="259" t="e">
        <f t="shared" ca="1" si="1661"/>
        <v>#N/A</v>
      </c>
      <c r="DA1926" s="259" t="str">
        <f t="shared" ca="1" si="1666"/>
        <v/>
      </c>
      <c r="DB1926" s="259" t="str">
        <f t="shared" ca="1" si="1662"/>
        <v/>
      </c>
      <c r="DC1926" s="259" t="str">
        <f t="shared" ca="1" si="1663"/>
        <v/>
      </c>
      <c r="DD1926" s="259" t="str">
        <f t="shared" ca="1" si="1664"/>
        <v/>
      </c>
      <c r="DE1926" s="259" t="str">
        <f t="shared" ca="1" si="1665"/>
        <v/>
      </c>
      <c r="DF1926" s="259">
        <f ca="1">IF(AND(CX1926=$DE$2,$DF$2&lt;&gt;0),0,IF(AND(DB1926&lt;&gt;"",OR(DB1925&lt;&gt;"",DB1927&lt;&gt;"")),MAX($DF$2:DF1925)+1,0))</f>
        <v>0</v>
      </c>
    </row>
    <row r="1927" spans="102:110">
      <c r="CX1927" s="259">
        <f t="shared" ca="1" si="1659"/>
        <v>107</v>
      </c>
      <c r="CY1927" s="259" t="str">
        <f t="shared" ca="1" si="1667"/>
        <v>MASTRO</v>
      </c>
      <c r="CZ1927" s="259" t="e">
        <f t="shared" ca="1" si="1661"/>
        <v>#N/A</v>
      </c>
      <c r="DA1927" s="259" t="str">
        <f t="shared" ca="1" si="1666"/>
        <v/>
      </c>
      <c r="DB1927" s="259" t="str">
        <f t="shared" ca="1" si="1662"/>
        <v/>
      </c>
      <c r="DC1927" s="259" t="str">
        <f t="shared" ca="1" si="1663"/>
        <v/>
      </c>
      <c r="DD1927" s="259" t="str">
        <f t="shared" ca="1" si="1664"/>
        <v/>
      </c>
      <c r="DE1927" s="259" t="str">
        <f t="shared" ca="1" si="1665"/>
        <v/>
      </c>
      <c r="DF1927" s="259">
        <f ca="1">IF(AND(CX1927=$DE$2,$DF$2&lt;&gt;0),0,IF(AND(DB1927&lt;&gt;"",OR(DB1926&lt;&gt;"",DB1928&lt;&gt;"")),MAX($DF$2:DF1926)+1,0))</f>
        <v>0</v>
      </c>
    </row>
    <row r="1928" spans="102:110">
      <c r="CX1928" s="259" t="str">
        <f>IFERROR(IF(CX1910+1=1,"",(CX1910+1)),"")</f>
        <v/>
      </c>
      <c r="CY1928" s="259" t="str">
        <f t="shared" ca="1" si="1667"/>
        <v>MASTRO</v>
      </c>
      <c r="DB1928" s="259" t="str">
        <f t="shared" ref="DB1928" ca="1" si="1668">CY1928</f>
        <v>MASTRO</v>
      </c>
      <c r="DF1928" s="259">
        <f ca="1">IF(AND(CX1928=$DE$2,$DF$2&lt;&gt;0),0,IF(AND(DB1928&lt;&gt;"",OR(DB1927&lt;&gt;"",DB1929&lt;&gt;"")),MAX($DF$2:DF1927)+1,0))</f>
        <v>0</v>
      </c>
    </row>
    <row r="1929" spans="102:110">
      <c r="CX1929" s="259">
        <f ca="1">$EA$110</f>
        <v>108</v>
      </c>
      <c r="CY1929" s="259" t="str">
        <f t="shared" ca="1" si="1667"/>
        <v>MASTRO</v>
      </c>
      <c r="DA1929" s="259" t="str">
        <f ca="1">IF(CY1928="MASTRO","Conto n.","")</f>
        <v>Conto n.</v>
      </c>
      <c r="DB1929" s="259" t="str">
        <f ca="1">IF(CY1929=0,"",INDEX(PIANO_DEI_CONTI,MATCH(DC1929,DENOMINAZIONE,0),1))</f>
        <v/>
      </c>
      <c r="DC1929" s="259" t="str">
        <f ca="1">IF(OR(CY1929=0,CY1929="mastro"),"",CY1929)</f>
        <v/>
      </c>
      <c r="DD1929" s="259" t="str">
        <f ca="1">IF(AND($DA$2=TRUE,OR(INDEX(PIANO_DEI_CONTI,MATCH($DC1929,DENOMINAZIONE,0),4)="A",INDEX(PIANO_DEI_CONTI,MATCH($DC1929,DENOMINAZIONE,0),4)="D/A"),SUMIFS(AVERE,DENOMINAZIONE_GIORNALE,"="&amp;$DC1929)&gt;SUMIFS(DARE,DENOMINAZIONE_GIORNALE,"="&amp;$DC1929)),CONCATENATE("s ",FIXED(ABS(SUMIFS(AVERE,DENOMINAZIONE_GIORNALE,"="&amp;$DC1929)-SUMIFS(DARE,DENOMINAZIONE_GIORNALE,"="&amp;$DC1929)),2)),"")</f>
        <v/>
      </c>
      <c r="DE1929" s="259" t="str">
        <f ca="1">IF(AND($DA$2=TRUE,OR(INDEX(PIANO_DEI_CONTI,MATCH($DC1929,DENOMINAZIONE,0),4)="D",INDEX(PIANO_DEI_CONTI,MATCH($DC1929,DENOMINAZIONE,0),4)="D/A"),SUMIFS(DARE,DENOMINAZIONE_GIORNALE,"="&amp;$DC1929)&gt;SUMIFS(AVERE,DENOMINAZIONE_GIORNALE,"="&amp;$DC1929)),CONCATENATE("s ",FIXED(ABS(SUMIFS(DARE,DENOMINAZIONE_GIORNALE,"="&amp;$DC1929)-SUMIFS(AVERE,DENOMINAZIONE_GIORNALE,"="&amp;$DC1929)),2)),"")</f>
        <v/>
      </c>
      <c r="DF1929" s="259">
        <f ca="1">IF(AND(CX1929=$DE$2,$DF$2&lt;&gt;0),0,IF(AND(DB1929&lt;&gt;"",OR(DB1928&lt;&gt;"",DB1930&lt;&gt;"")),MAX($DF$2:DF1928)+1,0))</f>
        <v>0</v>
      </c>
    </row>
    <row r="1930" spans="102:110">
      <c r="CX1930" s="259">
        <f t="shared" ref="CX1930:CX1945" ca="1" si="1669">$EA$110</f>
        <v>108</v>
      </c>
      <c r="CY1930" s="259" t="str">
        <f t="shared" ca="1" si="1667"/>
        <v>MASTRO</v>
      </c>
      <c r="DA1930" s="259" t="str">
        <f ca="1">IF(DB1929="","","Num. riga")</f>
        <v/>
      </c>
      <c r="DB1930" s="259" t="str">
        <f t="shared" ref="DB1930" ca="1" si="1670">IF(DB1929="","","Data")</f>
        <v/>
      </c>
      <c r="DC1930" s="259" t="str">
        <f ca="1">IF(DB1929="","","Operazioni")</f>
        <v/>
      </c>
      <c r="DD1930" s="259" t="str">
        <f ca="1">IF(DB1929="","","Dare        ")</f>
        <v/>
      </c>
      <c r="DE1930" s="259" t="str">
        <f ca="1">IF(DB1929="","","Avere        ")</f>
        <v/>
      </c>
      <c r="DF1930" s="259">
        <f ca="1">IF(AND(CX1930=$DE$2,$DF$2&lt;&gt;0),0,IF(AND(DB1930&lt;&gt;"",OR(DB1929&lt;&gt;"",DB1931&lt;&gt;"")),MAX($DF$2:DF1929)+1,0))</f>
        <v>0</v>
      </c>
    </row>
    <row r="1931" spans="102:110">
      <c r="CX1931" s="259">
        <f t="shared" ca="1" si="1669"/>
        <v>108</v>
      </c>
      <c r="CY1931" s="259" t="str">
        <f t="shared" ca="1" si="1667"/>
        <v>MASTRO</v>
      </c>
      <c r="CZ1931" s="259" t="e">
        <f t="shared" ref="CZ1931:CZ1945" ca="1" si="1671">SUM(MATCH($CY1931,INDIRECT(ADDRESS(SUM(CZ1930)+3,54)&amp;":"&amp;ADDRESS(400,54)),0),CZ1930)</f>
        <v>#N/A</v>
      </c>
      <c r="DA1931" s="259" t="str">
        <f ca="1">IFERROR(INDEX(LIBRO_GIORNALE,CZ1931,1),"")</f>
        <v/>
      </c>
      <c r="DB1931" s="259" t="str">
        <f t="shared" ref="DB1931:DB1945" ca="1" si="1672">IF(RIGHT(TEXT(IFERROR(INDEX(LIBRO_GIORNALE,CZ1931,2),""),"gg/mm/aa"),1)="a",TEXT(IFERROR(INDEX(LIBRO_GIORNALE,CZ1931,2),""),"dd/mm/yy"),TEXT(IFERROR(INDEX(LIBRO_GIORNALE,CZ1931,2),""),"gg/mm/aa"))</f>
        <v/>
      </c>
      <c r="DC1931" s="259" t="str">
        <f t="shared" ref="DC1931:DC1945" ca="1" si="1673">IF(IFERROR(INDEX(LIBRO_GIORNALE,CZ1931,4),"")=0,"manca la descrizione dell'operazione",IFERROR(INDEX(LIBRO_GIORNALE,CZ1931,4),""))</f>
        <v/>
      </c>
      <c r="DD1931" s="259" t="str">
        <f t="shared" ref="DD1931:DD1945" ca="1" si="1674">IFERROR(IF(INDEX(LIBRO_GIORNALE,CZ1931,5)&gt;0,INDEX(LIBRO_GIORNALE,CZ1931,5),""),"")</f>
        <v/>
      </c>
      <c r="DE1931" s="259" t="str">
        <f t="shared" ref="DE1931:DE1945" ca="1" si="1675">IFERROR(IF(INDEX(LIBRO_GIORNALE,CZ1931,6)&gt;0,INDEX(LIBRO_GIORNALE,CZ1931,6),""),"")</f>
        <v/>
      </c>
      <c r="DF1931" s="259">
        <f ca="1">IF(AND(CX1931=$DE$2,$DF$2&lt;&gt;0),0,IF(AND(DB1931&lt;&gt;"",OR(DB1930&lt;&gt;"",DB1932&lt;&gt;"")),MAX($DF$2:DF1930)+1,0))</f>
        <v>0</v>
      </c>
    </row>
    <row r="1932" spans="102:110">
      <c r="CX1932" s="259">
        <f t="shared" ca="1" si="1669"/>
        <v>108</v>
      </c>
      <c r="CY1932" s="259" t="str">
        <f t="shared" ca="1" si="1667"/>
        <v>MASTRO</v>
      </c>
      <c r="CZ1932" s="259" t="e">
        <f t="shared" ca="1" si="1671"/>
        <v>#N/A</v>
      </c>
      <c r="DA1932" s="259" t="str">
        <f t="shared" ref="DA1932:DA1945" ca="1" si="1676">IFERROR(INDEX(LIBRO_GIORNALE,CZ1932,1),"")</f>
        <v/>
      </c>
      <c r="DB1932" s="259" t="str">
        <f t="shared" ca="1" si="1672"/>
        <v/>
      </c>
      <c r="DC1932" s="259" t="str">
        <f t="shared" ca="1" si="1673"/>
        <v/>
      </c>
      <c r="DD1932" s="259" t="str">
        <f t="shared" ca="1" si="1674"/>
        <v/>
      </c>
      <c r="DE1932" s="259" t="str">
        <f t="shared" ca="1" si="1675"/>
        <v/>
      </c>
      <c r="DF1932" s="259">
        <f ca="1">IF(AND(CX1932=$DE$2,$DF$2&lt;&gt;0),0,IF(AND(DB1932&lt;&gt;"",OR(DB1931&lt;&gt;"",DB1933&lt;&gt;"")),MAX($DF$2:DF1931)+1,0))</f>
        <v>0</v>
      </c>
    </row>
    <row r="1933" spans="102:110">
      <c r="CX1933" s="259">
        <f t="shared" ca="1" si="1669"/>
        <v>108</v>
      </c>
      <c r="CY1933" s="259" t="str">
        <f t="shared" ca="1" si="1667"/>
        <v>MASTRO</v>
      </c>
      <c r="CZ1933" s="259" t="e">
        <f t="shared" ca="1" si="1671"/>
        <v>#N/A</v>
      </c>
      <c r="DA1933" s="259" t="str">
        <f t="shared" ca="1" si="1676"/>
        <v/>
      </c>
      <c r="DB1933" s="259" t="str">
        <f t="shared" ca="1" si="1672"/>
        <v/>
      </c>
      <c r="DC1933" s="259" t="str">
        <f t="shared" ca="1" si="1673"/>
        <v/>
      </c>
      <c r="DD1933" s="259" t="str">
        <f t="shared" ca="1" si="1674"/>
        <v/>
      </c>
      <c r="DE1933" s="259" t="str">
        <f t="shared" ca="1" si="1675"/>
        <v/>
      </c>
      <c r="DF1933" s="259">
        <f ca="1">IF(AND(CX1933=$DE$2,$DF$2&lt;&gt;0),0,IF(AND(DB1933&lt;&gt;"",OR(DB1932&lt;&gt;"",DB1934&lt;&gt;"")),MAX($DF$2:DF1932)+1,0))</f>
        <v>0</v>
      </c>
    </row>
    <row r="1934" spans="102:110">
      <c r="CX1934" s="259">
        <f t="shared" ca="1" si="1669"/>
        <v>108</v>
      </c>
      <c r="CY1934" s="259" t="str">
        <f t="shared" ca="1" si="1667"/>
        <v>MASTRO</v>
      </c>
      <c r="CZ1934" s="259" t="e">
        <f t="shared" ca="1" si="1671"/>
        <v>#N/A</v>
      </c>
      <c r="DA1934" s="259" t="str">
        <f t="shared" ca="1" si="1676"/>
        <v/>
      </c>
      <c r="DB1934" s="259" t="str">
        <f t="shared" ca="1" si="1672"/>
        <v/>
      </c>
      <c r="DC1934" s="259" t="str">
        <f t="shared" ca="1" si="1673"/>
        <v/>
      </c>
      <c r="DD1934" s="259" t="str">
        <f t="shared" ca="1" si="1674"/>
        <v/>
      </c>
      <c r="DE1934" s="259" t="str">
        <f t="shared" ca="1" si="1675"/>
        <v/>
      </c>
      <c r="DF1934" s="259">
        <f ca="1">IF(AND(CX1934=$DE$2,$DF$2&lt;&gt;0),0,IF(AND(DB1934&lt;&gt;"",OR(DB1933&lt;&gt;"",DB1935&lt;&gt;"")),MAX($DF$2:DF1933)+1,0))</f>
        <v>0</v>
      </c>
    </row>
    <row r="1935" spans="102:110">
      <c r="CX1935" s="259">
        <f t="shared" ca="1" si="1669"/>
        <v>108</v>
      </c>
      <c r="CY1935" s="259" t="str">
        <f t="shared" ca="1" si="1667"/>
        <v>MASTRO</v>
      </c>
      <c r="CZ1935" s="259" t="e">
        <f t="shared" ca="1" si="1671"/>
        <v>#N/A</v>
      </c>
      <c r="DA1935" s="259" t="str">
        <f t="shared" ca="1" si="1676"/>
        <v/>
      </c>
      <c r="DB1935" s="259" t="str">
        <f t="shared" ca="1" si="1672"/>
        <v/>
      </c>
      <c r="DC1935" s="259" t="str">
        <f t="shared" ca="1" si="1673"/>
        <v/>
      </c>
      <c r="DD1935" s="259" t="str">
        <f t="shared" ca="1" si="1674"/>
        <v/>
      </c>
      <c r="DE1935" s="259" t="str">
        <f t="shared" ca="1" si="1675"/>
        <v/>
      </c>
      <c r="DF1935" s="259">
        <f ca="1">IF(AND(CX1935=$DE$2,$DF$2&lt;&gt;0),0,IF(AND(DB1935&lt;&gt;"",OR(DB1934&lt;&gt;"",DB1936&lt;&gt;"")),MAX($DF$2:DF1934)+1,0))</f>
        <v>0</v>
      </c>
    </row>
    <row r="1936" spans="102:110">
      <c r="CX1936" s="259">
        <f t="shared" ca="1" si="1669"/>
        <v>108</v>
      </c>
      <c r="CY1936" s="259" t="str">
        <f t="shared" ca="1" si="1667"/>
        <v>MASTRO</v>
      </c>
      <c r="CZ1936" s="259" t="e">
        <f t="shared" ca="1" si="1671"/>
        <v>#N/A</v>
      </c>
      <c r="DA1936" s="259" t="str">
        <f t="shared" ca="1" si="1676"/>
        <v/>
      </c>
      <c r="DB1936" s="259" t="str">
        <f t="shared" ca="1" si="1672"/>
        <v/>
      </c>
      <c r="DC1936" s="259" t="str">
        <f t="shared" ca="1" si="1673"/>
        <v/>
      </c>
      <c r="DD1936" s="259" t="str">
        <f t="shared" ca="1" si="1674"/>
        <v/>
      </c>
      <c r="DE1936" s="259" t="str">
        <f t="shared" ca="1" si="1675"/>
        <v/>
      </c>
      <c r="DF1936" s="259">
        <f ca="1">IF(AND(CX1936=$DE$2,$DF$2&lt;&gt;0),0,IF(AND(DB1936&lt;&gt;"",OR(DB1935&lt;&gt;"",DB1937&lt;&gt;"")),MAX($DF$2:DF1935)+1,0))</f>
        <v>0</v>
      </c>
    </row>
    <row r="1937" spans="102:110">
      <c r="CX1937" s="259">
        <f t="shared" ca="1" si="1669"/>
        <v>108</v>
      </c>
      <c r="CY1937" s="259" t="str">
        <f t="shared" ca="1" si="1667"/>
        <v>MASTRO</v>
      </c>
      <c r="CZ1937" s="259" t="e">
        <f t="shared" ca="1" si="1671"/>
        <v>#N/A</v>
      </c>
      <c r="DA1937" s="259" t="str">
        <f t="shared" ca="1" si="1676"/>
        <v/>
      </c>
      <c r="DB1937" s="259" t="str">
        <f t="shared" ca="1" si="1672"/>
        <v/>
      </c>
      <c r="DC1937" s="259" t="str">
        <f t="shared" ca="1" si="1673"/>
        <v/>
      </c>
      <c r="DD1937" s="259" t="str">
        <f t="shared" ca="1" si="1674"/>
        <v/>
      </c>
      <c r="DE1937" s="259" t="str">
        <f t="shared" ca="1" si="1675"/>
        <v/>
      </c>
      <c r="DF1937" s="259">
        <f ca="1">IF(AND(CX1937=$DE$2,$DF$2&lt;&gt;0),0,IF(AND(DB1937&lt;&gt;"",OR(DB1936&lt;&gt;"",DB1938&lt;&gt;"")),MAX($DF$2:DF1936)+1,0))</f>
        <v>0</v>
      </c>
    </row>
    <row r="1938" spans="102:110">
      <c r="CX1938" s="259">
        <f t="shared" ca="1" si="1669"/>
        <v>108</v>
      </c>
      <c r="CY1938" s="259" t="str">
        <f t="shared" ca="1" si="1667"/>
        <v>MASTRO</v>
      </c>
      <c r="CZ1938" s="259" t="e">
        <f t="shared" ca="1" si="1671"/>
        <v>#N/A</v>
      </c>
      <c r="DA1938" s="259" t="str">
        <f t="shared" ca="1" si="1676"/>
        <v/>
      </c>
      <c r="DB1938" s="259" t="str">
        <f t="shared" ca="1" si="1672"/>
        <v/>
      </c>
      <c r="DC1938" s="259" t="str">
        <f t="shared" ca="1" si="1673"/>
        <v/>
      </c>
      <c r="DD1938" s="259" t="str">
        <f t="shared" ca="1" si="1674"/>
        <v/>
      </c>
      <c r="DE1938" s="259" t="str">
        <f t="shared" ca="1" si="1675"/>
        <v/>
      </c>
      <c r="DF1938" s="259">
        <f ca="1">IF(AND(CX1938=$DE$2,$DF$2&lt;&gt;0),0,IF(AND(DB1938&lt;&gt;"",OR(DB1937&lt;&gt;"",DB1939&lt;&gt;"")),MAX($DF$2:DF1937)+1,0))</f>
        <v>0</v>
      </c>
    </row>
    <row r="1939" spans="102:110">
      <c r="CX1939" s="259">
        <f t="shared" ca="1" si="1669"/>
        <v>108</v>
      </c>
      <c r="CY1939" s="259" t="str">
        <f t="shared" ca="1" si="1667"/>
        <v>MASTRO</v>
      </c>
      <c r="CZ1939" s="259" t="e">
        <f t="shared" ca="1" si="1671"/>
        <v>#N/A</v>
      </c>
      <c r="DA1939" s="259" t="str">
        <f t="shared" ca="1" si="1676"/>
        <v/>
      </c>
      <c r="DB1939" s="259" t="str">
        <f t="shared" ca="1" si="1672"/>
        <v/>
      </c>
      <c r="DC1939" s="259" t="str">
        <f t="shared" ca="1" si="1673"/>
        <v/>
      </c>
      <c r="DD1939" s="259" t="str">
        <f t="shared" ca="1" si="1674"/>
        <v/>
      </c>
      <c r="DE1939" s="259" t="str">
        <f t="shared" ca="1" si="1675"/>
        <v/>
      </c>
      <c r="DF1939" s="259">
        <f ca="1">IF(AND(CX1939=$DE$2,$DF$2&lt;&gt;0),0,IF(AND(DB1939&lt;&gt;"",OR(DB1938&lt;&gt;"",DB1940&lt;&gt;"")),MAX($DF$2:DF1938)+1,0))</f>
        <v>0</v>
      </c>
    </row>
    <row r="1940" spans="102:110">
      <c r="CX1940" s="259">
        <f t="shared" ca="1" si="1669"/>
        <v>108</v>
      </c>
      <c r="CY1940" s="259" t="str">
        <f t="shared" ca="1" si="1667"/>
        <v>MASTRO</v>
      </c>
      <c r="CZ1940" s="259" t="e">
        <f t="shared" ca="1" si="1671"/>
        <v>#N/A</v>
      </c>
      <c r="DA1940" s="259" t="str">
        <f t="shared" ca="1" si="1676"/>
        <v/>
      </c>
      <c r="DB1940" s="259" t="str">
        <f t="shared" ca="1" si="1672"/>
        <v/>
      </c>
      <c r="DC1940" s="259" t="str">
        <f t="shared" ca="1" si="1673"/>
        <v/>
      </c>
      <c r="DD1940" s="259" t="str">
        <f t="shared" ca="1" si="1674"/>
        <v/>
      </c>
      <c r="DE1940" s="259" t="str">
        <f t="shared" ca="1" si="1675"/>
        <v/>
      </c>
      <c r="DF1940" s="259">
        <f ca="1">IF(AND(CX1940=$DE$2,$DF$2&lt;&gt;0),0,IF(AND(DB1940&lt;&gt;"",OR(DB1939&lt;&gt;"",DB1941&lt;&gt;"")),MAX($DF$2:DF1939)+1,0))</f>
        <v>0</v>
      </c>
    </row>
    <row r="1941" spans="102:110">
      <c r="CX1941" s="259">
        <f t="shared" ca="1" si="1669"/>
        <v>108</v>
      </c>
      <c r="CY1941" s="259" t="str">
        <f t="shared" ca="1" si="1667"/>
        <v>MASTRO</v>
      </c>
      <c r="CZ1941" s="259" t="e">
        <f t="shared" ca="1" si="1671"/>
        <v>#N/A</v>
      </c>
      <c r="DA1941" s="259" t="str">
        <f t="shared" ca="1" si="1676"/>
        <v/>
      </c>
      <c r="DB1941" s="259" t="str">
        <f t="shared" ca="1" si="1672"/>
        <v/>
      </c>
      <c r="DC1941" s="259" t="str">
        <f t="shared" ca="1" si="1673"/>
        <v/>
      </c>
      <c r="DD1941" s="259" t="str">
        <f t="shared" ca="1" si="1674"/>
        <v/>
      </c>
      <c r="DE1941" s="259" t="str">
        <f t="shared" ca="1" si="1675"/>
        <v/>
      </c>
      <c r="DF1941" s="259">
        <f ca="1">IF(AND(CX1941=$DE$2,$DF$2&lt;&gt;0),0,IF(AND(DB1941&lt;&gt;"",OR(DB1940&lt;&gt;"",DB1942&lt;&gt;"")),MAX($DF$2:DF1940)+1,0))</f>
        <v>0</v>
      </c>
    </row>
    <row r="1942" spans="102:110">
      <c r="CX1942" s="259">
        <f t="shared" ca="1" si="1669"/>
        <v>108</v>
      </c>
      <c r="CY1942" s="259" t="str">
        <f t="shared" ca="1" si="1667"/>
        <v>MASTRO</v>
      </c>
      <c r="CZ1942" s="259" t="e">
        <f t="shared" ca="1" si="1671"/>
        <v>#N/A</v>
      </c>
      <c r="DA1942" s="259" t="str">
        <f t="shared" ca="1" si="1676"/>
        <v/>
      </c>
      <c r="DB1942" s="259" t="str">
        <f t="shared" ca="1" si="1672"/>
        <v/>
      </c>
      <c r="DC1942" s="259" t="str">
        <f t="shared" ca="1" si="1673"/>
        <v/>
      </c>
      <c r="DD1942" s="259" t="str">
        <f t="shared" ca="1" si="1674"/>
        <v/>
      </c>
      <c r="DE1942" s="259" t="str">
        <f t="shared" ca="1" si="1675"/>
        <v/>
      </c>
      <c r="DF1942" s="259">
        <f ca="1">IF(AND(CX1942=$DE$2,$DF$2&lt;&gt;0),0,IF(AND(DB1942&lt;&gt;"",OR(DB1941&lt;&gt;"",DB1943&lt;&gt;"")),MAX($DF$2:DF1941)+1,0))</f>
        <v>0</v>
      </c>
    </row>
    <row r="1943" spans="102:110">
      <c r="CX1943" s="259">
        <f t="shared" ca="1" si="1669"/>
        <v>108</v>
      </c>
      <c r="CY1943" s="259" t="str">
        <f t="shared" ca="1" si="1667"/>
        <v>MASTRO</v>
      </c>
      <c r="CZ1943" s="259" t="e">
        <f t="shared" ca="1" si="1671"/>
        <v>#N/A</v>
      </c>
      <c r="DA1943" s="259" t="str">
        <f t="shared" ca="1" si="1676"/>
        <v/>
      </c>
      <c r="DB1943" s="259" t="str">
        <f t="shared" ca="1" si="1672"/>
        <v/>
      </c>
      <c r="DC1943" s="259" t="str">
        <f t="shared" ca="1" si="1673"/>
        <v/>
      </c>
      <c r="DD1943" s="259" t="str">
        <f t="shared" ca="1" si="1674"/>
        <v/>
      </c>
      <c r="DE1943" s="259" t="str">
        <f t="shared" ca="1" si="1675"/>
        <v/>
      </c>
      <c r="DF1943" s="259">
        <f ca="1">IF(AND(CX1943=$DE$2,$DF$2&lt;&gt;0),0,IF(AND(DB1943&lt;&gt;"",OR(DB1942&lt;&gt;"",DB1944&lt;&gt;"")),MAX($DF$2:DF1942)+1,0))</f>
        <v>0</v>
      </c>
    </row>
    <row r="1944" spans="102:110">
      <c r="CX1944" s="259">
        <f t="shared" ca="1" si="1669"/>
        <v>108</v>
      </c>
      <c r="CY1944" s="259" t="str">
        <f t="shared" ca="1" si="1667"/>
        <v>MASTRO</v>
      </c>
      <c r="CZ1944" s="259" t="e">
        <f t="shared" ca="1" si="1671"/>
        <v>#N/A</v>
      </c>
      <c r="DA1944" s="259" t="str">
        <f t="shared" ca="1" si="1676"/>
        <v/>
      </c>
      <c r="DB1944" s="259" t="str">
        <f t="shared" ca="1" si="1672"/>
        <v/>
      </c>
      <c r="DC1944" s="259" t="str">
        <f t="shared" ca="1" si="1673"/>
        <v/>
      </c>
      <c r="DD1944" s="259" t="str">
        <f t="shared" ca="1" si="1674"/>
        <v/>
      </c>
      <c r="DE1944" s="259" t="str">
        <f t="shared" ca="1" si="1675"/>
        <v/>
      </c>
      <c r="DF1944" s="259">
        <f ca="1">IF(AND(CX1944=$DE$2,$DF$2&lt;&gt;0),0,IF(AND(DB1944&lt;&gt;"",OR(DB1943&lt;&gt;"",DB1945&lt;&gt;"")),MAX($DF$2:DF1943)+1,0))</f>
        <v>0</v>
      </c>
    </row>
    <row r="1945" spans="102:110">
      <c r="CX1945" s="259">
        <f t="shared" ca="1" si="1669"/>
        <v>108</v>
      </c>
      <c r="CY1945" s="259" t="str">
        <f t="shared" ca="1" si="1667"/>
        <v>MASTRO</v>
      </c>
      <c r="CZ1945" s="259" t="e">
        <f t="shared" ca="1" si="1671"/>
        <v>#N/A</v>
      </c>
      <c r="DA1945" s="259" t="str">
        <f t="shared" ca="1" si="1676"/>
        <v/>
      </c>
      <c r="DB1945" s="259" t="str">
        <f t="shared" ca="1" si="1672"/>
        <v/>
      </c>
      <c r="DC1945" s="259" t="str">
        <f t="shared" ca="1" si="1673"/>
        <v/>
      </c>
      <c r="DD1945" s="259" t="str">
        <f t="shared" ca="1" si="1674"/>
        <v/>
      </c>
      <c r="DE1945" s="259" t="str">
        <f t="shared" ca="1" si="1675"/>
        <v/>
      </c>
      <c r="DF1945" s="259">
        <f ca="1">IF(AND(CX1945=$DE$2,$DF$2&lt;&gt;0),0,IF(AND(DB1945&lt;&gt;"",OR(DB1944&lt;&gt;"",DB1946&lt;&gt;"")),MAX($DF$2:DF1944)+1,0))</f>
        <v>0</v>
      </c>
    </row>
    <row r="1946" spans="102:110">
      <c r="CX1946" s="259" t="str">
        <f>IFERROR(IF(CX1928+1=1,"",(CX1928+1)),"")</f>
        <v/>
      </c>
      <c r="CY1946" s="259" t="str">
        <f t="shared" ca="1" si="1667"/>
        <v>MASTRO</v>
      </c>
      <c r="DB1946" s="259" t="str">
        <f t="shared" ref="DB1946" ca="1" si="1677">CY1946</f>
        <v>MASTRO</v>
      </c>
      <c r="DF1946" s="259">
        <f ca="1">IF(AND(CX1946=$DE$2,$DF$2&lt;&gt;0),0,IF(AND(DB1946&lt;&gt;"",OR(DB1945&lt;&gt;"",DB1947&lt;&gt;"")),MAX($DF$2:DF1945)+1,0))</f>
        <v>0</v>
      </c>
    </row>
    <row r="1947" spans="102:110">
      <c r="CX1947" s="259">
        <f ca="1">$EA$111</f>
        <v>109</v>
      </c>
      <c r="CY1947" s="259" t="str">
        <f t="shared" ca="1" si="1667"/>
        <v>MASTRO</v>
      </c>
      <c r="DA1947" s="259" t="str">
        <f ca="1">IF(CY1946="MASTRO","Conto n.","")</f>
        <v>Conto n.</v>
      </c>
      <c r="DB1947" s="259" t="str">
        <f ca="1">IF(CY1947=0,"",INDEX(PIANO_DEI_CONTI,MATCH(DC1947,DENOMINAZIONE,0),1))</f>
        <v/>
      </c>
      <c r="DC1947" s="259" t="str">
        <f ca="1">IF(OR(CY1947=0,CY1947="mastro"),"",CY1947)</f>
        <v/>
      </c>
      <c r="DD1947" s="259" t="str">
        <f ca="1">IF(AND($DA$2=TRUE,OR(INDEX(PIANO_DEI_CONTI,MATCH($DC1947,DENOMINAZIONE,0),4)="A",INDEX(PIANO_DEI_CONTI,MATCH($DC1947,DENOMINAZIONE,0),4)="D/A"),SUMIFS(AVERE,DENOMINAZIONE_GIORNALE,"="&amp;$DC1947)&gt;SUMIFS(DARE,DENOMINAZIONE_GIORNALE,"="&amp;$DC1947)),CONCATENATE("s ",FIXED(ABS(SUMIFS(AVERE,DENOMINAZIONE_GIORNALE,"="&amp;$DC1947)-SUMIFS(DARE,DENOMINAZIONE_GIORNALE,"="&amp;$DC1947)),2)),"")</f>
        <v/>
      </c>
      <c r="DE1947" s="259" t="str">
        <f ca="1">IF(AND($DA$2=TRUE,OR(INDEX(PIANO_DEI_CONTI,MATCH($DC1947,DENOMINAZIONE,0),4)="D",INDEX(PIANO_DEI_CONTI,MATCH($DC1947,DENOMINAZIONE,0),4)="D/A"),SUMIFS(DARE,DENOMINAZIONE_GIORNALE,"="&amp;$DC1947)&gt;SUMIFS(AVERE,DENOMINAZIONE_GIORNALE,"="&amp;$DC1947)),CONCATENATE("s ",FIXED(ABS(SUMIFS(DARE,DENOMINAZIONE_GIORNALE,"="&amp;$DC1947)-SUMIFS(AVERE,DENOMINAZIONE_GIORNALE,"="&amp;$DC1947)),2)),"")</f>
        <v/>
      </c>
      <c r="DF1947" s="259">
        <f ca="1">IF(AND(CX1947=$DE$2,$DF$2&lt;&gt;0),0,IF(AND(DB1947&lt;&gt;"",OR(DB1946&lt;&gt;"",DB1948&lt;&gt;"")),MAX($DF$2:DF1946)+1,0))</f>
        <v>0</v>
      </c>
    </row>
    <row r="1948" spans="102:110">
      <c r="CX1948" s="259">
        <f t="shared" ref="CX1948:CX1963" ca="1" si="1678">$EA$111</f>
        <v>109</v>
      </c>
      <c r="CY1948" s="259" t="str">
        <f t="shared" ca="1" si="1667"/>
        <v>MASTRO</v>
      </c>
      <c r="DA1948" s="259" t="str">
        <f ca="1">IF(DB1947="","","Num. riga")</f>
        <v/>
      </c>
      <c r="DB1948" s="259" t="str">
        <f t="shared" ref="DB1948" ca="1" si="1679">IF(DB1947="","","Data")</f>
        <v/>
      </c>
      <c r="DC1948" s="259" t="str">
        <f ca="1">IF(DB1947="","","Operazioni")</f>
        <v/>
      </c>
      <c r="DD1948" s="259" t="str">
        <f ca="1">IF(DB1947="","","Dare        ")</f>
        <v/>
      </c>
      <c r="DE1948" s="259" t="str">
        <f ca="1">IF(DB1947="","","Avere        ")</f>
        <v/>
      </c>
      <c r="DF1948" s="259">
        <f ca="1">IF(AND(CX1948=$DE$2,$DF$2&lt;&gt;0),0,IF(AND(DB1948&lt;&gt;"",OR(DB1947&lt;&gt;"",DB1949&lt;&gt;"")),MAX($DF$2:DF1947)+1,0))</f>
        <v>0</v>
      </c>
    </row>
    <row r="1949" spans="102:110">
      <c r="CX1949" s="259">
        <f t="shared" ca="1" si="1678"/>
        <v>109</v>
      </c>
      <c r="CY1949" s="259" t="str">
        <f t="shared" ca="1" si="1667"/>
        <v>MASTRO</v>
      </c>
      <c r="CZ1949" s="259" t="e">
        <f t="shared" ref="CZ1949:CZ1963" ca="1" si="1680">SUM(MATCH($CY1949,INDIRECT(ADDRESS(SUM(CZ1948)+3,54)&amp;":"&amp;ADDRESS(400,54)),0),CZ1948)</f>
        <v>#N/A</v>
      </c>
      <c r="DA1949" s="259" t="str">
        <f ca="1">IFERROR(INDEX(LIBRO_GIORNALE,CZ1949,1),"")</f>
        <v/>
      </c>
      <c r="DB1949" s="259" t="str">
        <f t="shared" ref="DB1949:DB1963" ca="1" si="1681">IF(RIGHT(TEXT(IFERROR(INDEX(LIBRO_GIORNALE,CZ1949,2),""),"gg/mm/aa"),1)="a",TEXT(IFERROR(INDEX(LIBRO_GIORNALE,CZ1949,2),""),"dd/mm/yy"),TEXT(IFERROR(INDEX(LIBRO_GIORNALE,CZ1949,2),""),"gg/mm/aa"))</f>
        <v/>
      </c>
      <c r="DC1949" s="259" t="str">
        <f t="shared" ref="DC1949:DC1963" ca="1" si="1682">IF(IFERROR(INDEX(LIBRO_GIORNALE,CZ1949,4),"")=0,"manca la descrizione dell'operazione",IFERROR(INDEX(LIBRO_GIORNALE,CZ1949,4),""))</f>
        <v/>
      </c>
      <c r="DD1949" s="259" t="str">
        <f t="shared" ref="DD1949:DD1963" ca="1" si="1683">IFERROR(IF(INDEX(LIBRO_GIORNALE,CZ1949,5)&gt;0,INDEX(LIBRO_GIORNALE,CZ1949,5),""),"")</f>
        <v/>
      </c>
      <c r="DE1949" s="259" t="str">
        <f t="shared" ref="DE1949:DE1963" ca="1" si="1684">IFERROR(IF(INDEX(LIBRO_GIORNALE,CZ1949,6)&gt;0,INDEX(LIBRO_GIORNALE,CZ1949,6),""),"")</f>
        <v/>
      </c>
      <c r="DF1949" s="259">
        <f ca="1">IF(AND(CX1949=$DE$2,$DF$2&lt;&gt;0),0,IF(AND(DB1949&lt;&gt;"",OR(DB1948&lt;&gt;"",DB1950&lt;&gt;"")),MAX($DF$2:DF1948)+1,0))</f>
        <v>0</v>
      </c>
    </row>
    <row r="1950" spans="102:110">
      <c r="CX1950" s="259">
        <f t="shared" ca="1" si="1678"/>
        <v>109</v>
      </c>
      <c r="CY1950" s="259" t="str">
        <f t="shared" ref="CY1950:CY1981" ca="1" si="1685">IF(ISERROR(INDEX($CV$3:$CX$2300,MATCH(CX1950,$CW$3:$CW$2300,0),1)),"MASTRO",INDEX($CV$3:$CX$2300,MATCH(CX1950,$CW$3:$CW$2300,0),1))</f>
        <v>MASTRO</v>
      </c>
      <c r="CZ1950" s="259" t="e">
        <f t="shared" ca="1" si="1680"/>
        <v>#N/A</v>
      </c>
      <c r="DA1950" s="259" t="str">
        <f t="shared" ref="DA1950:DA1963" ca="1" si="1686">IFERROR(INDEX(LIBRO_GIORNALE,CZ1950,1),"")</f>
        <v/>
      </c>
      <c r="DB1950" s="259" t="str">
        <f t="shared" ca="1" si="1681"/>
        <v/>
      </c>
      <c r="DC1950" s="259" t="str">
        <f t="shared" ca="1" si="1682"/>
        <v/>
      </c>
      <c r="DD1950" s="259" t="str">
        <f t="shared" ca="1" si="1683"/>
        <v/>
      </c>
      <c r="DE1950" s="259" t="str">
        <f t="shared" ca="1" si="1684"/>
        <v/>
      </c>
      <c r="DF1950" s="259">
        <f ca="1">IF(AND(CX1950=$DE$2,$DF$2&lt;&gt;0),0,IF(AND(DB1950&lt;&gt;"",OR(DB1949&lt;&gt;"",DB1951&lt;&gt;"")),MAX($DF$2:DF1949)+1,0))</f>
        <v>0</v>
      </c>
    </row>
    <row r="1951" spans="102:110">
      <c r="CX1951" s="259">
        <f t="shared" ca="1" si="1678"/>
        <v>109</v>
      </c>
      <c r="CY1951" s="259" t="str">
        <f t="shared" ca="1" si="1685"/>
        <v>MASTRO</v>
      </c>
      <c r="CZ1951" s="259" t="e">
        <f t="shared" ca="1" si="1680"/>
        <v>#N/A</v>
      </c>
      <c r="DA1951" s="259" t="str">
        <f t="shared" ca="1" si="1686"/>
        <v/>
      </c>
      <c r="DB1951" s="259" t="str">
        <f t="shared" ca="1" si="1681"/>
        <v/>
      </c>
      <c r="DC1951" s="259" t="str">
        <f t="shared" ca="1" si="1682"/>
        <v/>
      </c>
      <c r="DD1951" s="259" t="str">
        <f t="shared" ca="1" si="1683"/>
        <v/>
      </c>
      <c r="DE1951" s="259" t="str">
        <f t="shared" ca="1" si="1684"/>
        <v/>
      </c>
      <c r="DF1951" s="259">
        <f ca="1">IF(AND(CX1951=$DE$2,$DF$2&lt;&gt;0),0,IF(AND(DB1951&lt;&gt;"",OR(DB1950&lt;&gt;"",DB1952&lt;&gt;"")),MAX($DF$2:DF1950)+1,0))</f>
        <v>0</v>
      </c>
    </row>
    <row r="1952" spans="102:110">
      <c r="CX1952" s="259">
        <f t="shared" ca="1" si="1678"/>
        <v>109</v>
      </c>
      <c r="CY1952" s="259" t="str">
        <f t="shared" ca="1" si="1685"/>
        <v>MASTRO</v>
      </c>
      <c r="CZ1952" s="259" t="e">
        <f t="shared" ca="1" si="1680"/>
        <v>#N/A</v>
      </c>
      <c r="DA1952" s="259" t="str">
        <f t="shared" ca="1" si="1686"/>
        <v/>
      </c>
      <c r="DB1952" s="259" t="str">
        <f t="shared" ca="1" si="1681"/>
        <v/>
      </c>
      <c r="DC1952" s="259" t="str">
        <f t="shared" ca="1" si="1682"/>
        <v/>
      </c>
      <c r="DD1952" s="259" t="str">
        <f t="shared" ca="1" si="1683"/>
        <v/>
      </c>
      <c r="DE1952" s="259" t="str">
        <f t="shared" ca="1" si="1684"/>
        <v/>
      </c>
      <c r="DF1952" s="259">
        <f ca="1">IF(AND(CX1952=$DE$2,$DF$2&lt;&gt;0),0,IF(AND(DB1952&lt;&gt;"",OR(DB1951&lt;&gt;"",DB1953&lt;&gt;"")),MAX($DF$2:DF1951)+1,0))</f>
        <v>0</v>
      </c>
    </row>
    <row r="1953" spans="102:110">
      <c r="CX1953" s="259">
        <f t="shared" ca="1" si="1678"/>
        <v>109</v>
      </c>
      <c r="CY1953" s="259" t="str">
        <f t="shared" ca="1" si="1685"/>
        <v>MASTRO</v>
      </c>
      <c r="CZ1953" s="259" t="e">
        <f t="shared" ca="1" si="1680"/>
        <v>#N/A</v>
      </c>
      <c r="DA1953" s="259" t="str">
        <f t="shared" ca="1" si="1686"/>
        <v/>
      </c>
      <c r="DB1953" s="259" t="str">
        <f t="shared" ca="1" si="1681"/>
        <v/>
      </c>
      <c r="DC1953" s="259" t="str">
        <f t="shared" ca="1" si="1682"/>
        <v/>
      </c>
      <c r="DD1953" s="259" t="str">
        <f t="shared" ca="1" si="1683"/>
        <v/>
      </c>
      <c r="DE1953" s="259" t="str">
        <f t="shared" ca="1" si="1684"/>
        <v/>
      </c>
      <c r="DF1953" s="259">
        <f ca="1">IF(AND(CX1953=$DE$2,$DF$2&lt;&gt;0),0,IF(AND(DB1953&lt;&gt;"",OR(DB1952&lt;&gt;"",DB1954&lt;&gt;"")),MAX($DF$2:DF1952)+1,0))</f>
        <v>0</v>
      </c>
    </row>
    <row r="1954" spans="102:110">
      <c r="CX1954" s="259">
        <f t="shared" ca="1" si="1678"/>
        <v>109</v>
      </c>
      <c r="CY1954" s="259" t="str">
        <f t="shared" ca="1" si="1685"/>
        <v>MASTRO</v>
      </c>
      <c r="CZ1954" s="259" t="e">
        <f t="shared" ca="1" si="1680"/>
        <v>#N/A</v>
      </c>
      <c r="DA1954" s="259" t="str">
        <f t="shared" ca="1" si="1686"/>
        <v/>
      </c>
      <c r="DB1954" s="259" t="str">
        <f t="shared" ca="1" si="1681"/>
        <v/>
      </c>
      <c r="DC1954" s="259" t="str">
        <f t="shared" ca="1" si="1682"/>
        <v/>
      </c>
      <c r="DD1954" s="259" t="str">
        <f t="shared" ca="1" si="1683"/>
        <v/>
      </c>
      <c r="DE1954" s="259" t="str">
        <f t="shared" ca="1" si="1684"/>
        <v/>
      </c>
      <c r="DF1954" s="259">
        <f ca="1">IF(AND(CX1954=$DE$2,$DF$2&lt;&gt;0),0,IF(AND(DB1954&lt;&gt;"",OR(DB1953&lt;&gt;"",DB1955&lt;&gt;"")),MAX($DF$2:DF1953)+1,0))</f>
        <v>0</v>
      </c>
    </row>
    <row r="1955" spans="102:110">
      <c r="CX1955" s="259">
        <f t="shared" ca="1" si="1678"/>
        <v>109</v>
      </c>
      <c r="CY1955" s="259" t="str">
        <f t="shared" ca="1" si="1685"/>
        <v>MASTRO</v>
      </c>
      <c r="CZ1955" s="259" t="e">
        <f t="shared" ca="1" si="1680"/>
        <v>#N/A</v>
      </c>
      <c r="DA1955" s="259" t="str">
        <f t="shared" ca="1" si="1686"/>
        <v/>
      </c>
      <c r="DB1955" s="259" t="str">
        <f t="shared" ca="1" si="1681"/>
        <v/>
      </c>
      <c r="DC1955" s="259" t="str">
        <f t="shared" ca="1" si="1682"/>
        <v/>
      </c>
      <c r="DD1955" s="259" t="str">
        <f t="shared" ca="1" si="1683"/>
        <v/>
      </c>
      <c r="DE1955" s="259" t="str">
        <f t="shared" ca="1" si="1684"/>
        <v/>
      </c>
      <c r="DF1955" s="259">
        <f ca="1">IF(AND(CX1955=$DE$2,$DF$2&lt;&gt;0),0,IF(AND(DB1955&lt;&gt;"",OR(DB1954&lt;&gt;"",DB1956&lt;&gt;"")),MAX($DF$2:DF1954)+1,0))</f>
        <v>0</v>
      </c>
    </row>
    <row r="1956" spans="102:110">
      <c r="CX1956" s="259">
        <f t="shared" ca="1" si="1678"/>
        <v>109</v>
      </c>
      <c r="CY1956" s="259" t="str">
        <f t="shared" ca="1" si="1685"/>
        <v>MASTRO</v>
      </c>
      <c r="CZ1956" s="259" t="e">
        <f t="shared" ca="1" si="1680"/>
        <v>#N/A</v>
      </c>
      <c r="DA1956" s="259" t="str">
        <f t="shared" ca="1" si="1686"/>
        <v/>
      </c>
      <c r="DB1956" s="259" t="str">
        <f t="shared" ca="1" si="1681"/>
        <v/>
      </c>
      <c r="DC1956" s="259" t="str">
        <f t="shared" ca="1" si="1682"/>
        <v/>
      </c>
      <c r="DD1956" s="259" t="str">
        <f t="shared" ca="1" si="1683"/>
        <v/>
      </c>
      <c r="DE1956" s="259" t="str">
        <f t="shared" ca="1" si="1684"/>
        <v/>
      </c>
      <c r="DF1956" s="259">
        <f ca="1">IF(AND(CX1956=$DE$2,$DF$2&lt;&gt;0),0,IF(AND(DB1956&lt;&gt;"",OR(DB1955&lt;&gt;"",DB1957&lt;&gt;"")),MAX($DF$2:DF1955)+1,0))</f>
        <v>0</v>
      </c>
    </row>
    <row r="1957" spans="102:110">
      <c r="CX1957" s="259">
        <f t="shared" ca="1" si="1678"/>
        <v>109</v>
      </c>
      <c r="CY1957" s="259" t="str">
        <f t="shared" ca="1" si="1685"/>
        <v>MASTRO</v>
      </c>
      <c r="CZ1957" s="259" t="e">
        <f t="shared" ca="1" si="1680"/>
        <v>#N/A</v>
      </c>
      <c r="DA1957" s="259" t="str">
        <f t="shared" ca="1" si="1686"/>
        <v/>
      </c>
      <c r="DB1957" s="259" t="str">
        <f t="shared" ca="1" si="1681"/>
        <v/>
      </c>
      <c r="DC1957" s="259" t="str">
        <f t="shared" ca="1" si="1682"/>
        <v/>
      </c>
      <c r="DD1957" s="259" t="str">
        <f t="shared" ca="1" si="1683"/>
        <v/>
      </c>
      <c r="DE1957" s="259" t="str">
        <f t="shared" ca="1" si="1684"/>
        <v/>
      </c>
      <c r="DF1957" s="259">
        <f ca="1">IF(AND(CX1957=$DE$2,$DF$2&lt;&gt;0),0,IF(AND(DB1957&lt;&gt;"",OR(DB1956&lt;&gt;"",DB1958&lt;&gt;"")),MAX($DF$2:DF1956)+1,0))</f>
        <v>0</v>
      </c>
    </row>
    <row r="1958" spans="102:110">
      <c r="CX1958" s="259">
        <f t="shared" ca="1" si="1678"/>
        <v>109</v>
      </c>
      <c r="CY1958" s="259" t="str">
        <f t="shared" ca="1" si="1685"/>
        <v>MASTRO</v>
      </c>
      <c r="CZ1958" s="259" t="e">
        <f t="shared" ca="1" si="1680"/>
        <v>#N/A</v>
      </c>
      <c r="DA1958" s="259" t="str">
        <f t="shared" ca="1" si="1686"/>
        <v/>
      </c>
      <c r="DB1958" s="259" t="str">
        <f t="shared" ca="1" si="1681"/>
        <v/>
      </c>
      <c r="DC1958" s="259" t="str">
        <f t="shared" ca="1" si="1682"/>
        <v/>
      </c>
      <c r="DD1958" s="259" t="str">
        <f t="shared" ca="1" si="1683"/>
        <v/>
      </c>
      <c r="DE1958" s="259" t="str">
        <f t="shared" ca="1" si="1684"/>
        <v/>
      </c>
      <c r="DF1958" s="259">
        <f ca="1">IF(AND(CX1958=$DE$2,$DF$2&lt;&gt;0),0,IF(AND(DB1958&lt;&gt;"",OR(DB1957&lt;&gt;"",DB1959&lt;&gt;"")),MAX($DF$2:DF1957)+1,0))</f>
        <v>0</v>
      </c>
    </row>
    <row r="1959" spans="102:110">
      <c r="CX1959" s="259">
        <f t="shared" ca="1" si="1678"/>
        <v>109</v>
      </c>
      <c r="CY1959" s="259" t="str">
        <f t="shared" ca="1" si="1685"/>
        <v>MASTRO</v>
      </c>
      <c r="CZ1959" s="259" t="e">
        <f t="shared" ca="1" si="1680"/>
        <v>#N/A</v>
      </c>
      <c r="DA1959" s="259" t="str">
        <f t="shared" ca="1" si="1686"/>
        <v/>
      </c>
      <c r="DB1959" s="259" t="str">
        <f t="shared" ca="1" si="1681"/>
        <v/>
      </c>
      <c r="DC1959" s="259" t="str">
        <f t="shared" ca="1" si="1682"/>
        <v/>
      </c>
      <c r="DD1959" s="259" t="str">
        <f t="shared" ca="1" si="1683"/>
        <v/>
      </c>
      <c r="DE1959" s="259" t="str">
        <f t="shared" ca="1" si="1684"/>
        <v/>
      </c>
      <c r="DF1959" s="259">
        <f ca="1">IF(AND(CX1959=$DE$2,$DF$2&lt;&gt;0),0,IF(AND(DB1959&lt;&gt;"",OR(DB1958&lt;&gt;"",DB1960&lt;&gt;"")),MAX($DF$2:DF1958)+1,0))</f>
        <v>0</v>
      </c>
    </row>
    <row r="1960" spans="102:110">
      <c r="CX1960" s="259">
        <f t="shared" ca="1" si="1678"/>
        <v>109</v>
      </c>
      <c r="CY1960" s="259" t="str">
        <f t="shared" ca="1" si="1685"/>
        <v>MASTRO</v>
      </c>
      <c r="CZ1960" s="259" t="e">
        <f t="shared" ca="1" si="1680"/>
        <v>#N/A</v>
      </c>
      <c r="DA1960" s="259" t="str">
        <f t="shared" ca="1" si="1686"/>
        <v/>
      </c>
      <c r="DB1960" s="259" t="str">
        <f t="shared" ca="1" si="1681"/>
        <v/>
      </c>
      <c r="DC1960" s="259" t="str">
        <f t="shared" ca="1" si="1682"/>
        <v/>
      </c>
      <c r="DD1960" s="259" t="str">
        <f t="shared" ca="1" si="1683"/>
        <v/>
      </c>
      <c r="DE1960" s="259" t="str">
        <f t="shared" ca="1" si="1684"/>
        <v/>
      </c>
      <c r="DF1960" s="259">
        <f ca="1">IF(AND(CX1960=$DE$2,$DF$2&lt;&gt;0),0,IF(AND(DB1960&lt;&gt;"",OR(DB1959&lt;&gt;"",DB1961&lt;&gt;"")),MAX($DF$2:DF1959)+1,0))</f>
        <v>0</v>
      </c>
    </row>
    <row r="1961" spans="102:110">
      <c r="CX1961" s="259">
        <f t="shared" ca="1" si="1678"/>
        <v>109</v>
      </c>
      <c r="CY1961" s="259" t="str">
        <f t="shared" ca="1" si="1685"/>
        <v>MASTRO</v>
      </c>
      <c r="CZ1961" s="259" t="e">
        <f t="shared" ca="1" si="1680"/>
        <v>#N/A</v>
      </c>
      <c r="DA1961" s="259" t="str">
        <f t="shared" ca="1" si="1686"/>
        <v/>
      </c>
      <c r="DB1961" s="259" t="str">
        <f t="shared" ca="1" si="1681"/>
        <v/>
      </c>
      <c r="DC1961" s="259" t="str">
        <f t="shared" ca="1" si="1682"/>
        <v/>
      </c>
      <c r="DD1961" s="259" t="str">
        <f t="shared" ca="1" si="1683"/>
        <v/>
      </c>
      <c r="DE1961" s="259" t="str">
        <f t="shared" ca="1" si="1684"/>
        <v/>
      </c>
      <c r="DF1961" s="259">
        <f ca="1">IF(AND(CX1961=$DE$2,$DF$2&lt;&gt;0),0,IF(AND(DB1961&lt;&gt;"",OR(DB1960&lt;&gt;"",DB1962&lt;&gt;"")),MAX($DF$2:DF1960)+1,0))</f>
        <v>0</v>
      </c>
    </row>
    <row r="1962" spans="102:110">
      <c r="CX1962" s="259">
        <f t="shared" ca="1" si="1678"/>
        <v>109</v>
      </c>
      <c r="CY1962" s="259" t="str">
        <f t="shared" ca="1" si="1685"/>
        <v>MASTRO</v>
      </c>
      <c r="CZ1962" s="259" t="e">
        <f t="shared" ca="1" si="1680"/>
        <v>#N/A</v>
      </c>
      <c r="DA1962" s="259" t="str">
        <f t="shared" ca="1" si="1686"/>
        <v/>
      </c>
      <c r="DB1962" s="259" t="str">
        <f t="shared" ca="1" si="1681"/>
        <v/>
      </c>
      <c r="DC1962" s="259" t="str">
        <f t="shared" ca="1" si="1682"/>
        <v/>
      </c>
      <c r="DD1962" s="259" t="str">
        <f t="shared" ca="1" si="1683"/>
        <v/>
      </c>
      <c r="DE1962" s="259" t="str">
        <f t="shared" ca="1" si="1684"/>
        <v/>
      </c>
      <c r="DF1962" s="259">
        <f ca="1">IF(AND(CX1962=$DE$2,$DF$2&lt;&gt;0),0,IF(AND(DB1962&lt;&gt;"",OR(DB1961&lt;&gt;"",DB1963&lt;&gt;"")),MAX($DF$2:DF1961)+1,0))</f>
        <v>0</v>
      </c>
    </row>
    <row r="1963" spans="102:110">
      <c r="CX1963" s="259">
        <f t="shared" ca="1" si="1678"/>
        <v>109</v>
      </c>
      <c r="CY1963" s="259" t="str">
        <f t="shared" ca="1" si="1685"/>
        <v>MASTRO</v>
      </c>
      <c r="CZ1963" s="259" t="e">
        <f t="shared" ca="1" si="1680"/>
        <v>#N/A</v>
      </c>
      <c r="DA1963" s="259" t="str">
        <f t="shared" ca="1" si="1686"/>
        <v/>
      </c>
      <c r="DB1963" s="259" t="str">
        <f t="shared" ca="1" si="1681"/>
        <v/>
      </c>
      <c r="DC1963" s="259" t="str">
        <f t="shared" ca="1" si="1682"/>
        <v/>
      </c>
      <c r="DD1963" s="259" t="str">
        <f t="shared" ca="1" si="1683"/>
        <v/>
      </c>
      <c r="DE1963" s="259" t="str">
        <f t="shared" ca="1" si="1684"/>
        <v/>
      </c>
      <c r="DF1963" s="259">
        <f ca="1">IF(AND(CX1963=$DE$2,$DF$2&lt;&gt;0),0,IF(AND(DB1963&lt;&gt;"",OR(DB1962&lt;&gt;"",DB1964&lt;&gt;"")),MAX($DF$2:DF1962)+1,0))</f>
        <v>0</v>
      </c>
    </row>
    <row r="1964" spans="102:110">
      <c r="CX1964" s="259" t="str">
        <f>IFERROR(IF(CX1946+1=1,"",(CX1946+1)),"")</f>
        <v/>
      </c>
      <c r="CY1964" s="259" t="str">
        <f t="shared" ca="1" si="1685"/>
        <v>MASTRO</v>
      </c>
      <c r="DB1964" s="259" t="str">
        <f t="shared" ref="DB1964" ca="1" si="1687">CY1964</f>
        <v>MASTRO</v>
      </c>
      <c r="DF1964" s="259">
        <f ca="1">IF(AND(CX1964=$DE$2,$DF$2&lt;&gt;0),0,IF(AND(DB1964&lt;&gt;"",OR(DB1963&lt;&gt;"",DB1965&lt;&gt;"")),MAX($DF$2:DF1963)+1,0))</f>
        <v>0</v>
      </c>
    </row>
    <row r="1965" spans="102:110">
      <c r="CX1965" s="259">
        <f ca="1">$EA$112</f>
        <v>110</v>
      </c>
      <c r="CY1965" s="259" t="str">
        <f t="shared" ca="1" si="1685"/>
        <v>MASTRO</v>
      </c>
      <c r="DA1965" s="259" t="str">
        <f ca="1">IF(CY1964="MASTRO","Conto n.","")</f>
        <v>Conto n.</v>
      </c>
      <c r="DB1965" s="259" t="str">
        <f ca="1">IF(CY1965=0,"",INDEX(PIANO_DEI_CONTI,MATCH(DC1965,DENOMINAZIONE,0),1))</f>
        <v/>
      </c>
      <c r="DC1965" s="259" t="str">
        <f ca="1">IF(OR(CY1965=0,CY1965="mastro"),"",CY1965)</f>
        <v/>
      </c>
      <c r="DD1965" s="259" t="str">
        <f ca="1">IF(AND($DA$2=TRUE,OR(INDEX(PIANO_DEI_CONTI,MATCH($DC1965,DENOMINAZIONE,0),4)="A",INDEX(PIANO_DEI_CONTI,MATCH($DC1965,DENOMINAZIONE,0),4)="D/A"),SUMIFS(AVERE,DENOMINAZIONE_GIORNALE,"="&amp;$DC1965)&gt;SUMIFS(DARE,DENOMINAZIONE_GIORNALE,"="&amp;$DC1965)),CONCATENATE("s ",FIXED(ABS(SUMIFS(AVERE,DENOMINAZIONE_GIORNALE,"="&amp;$DC1965)-SUMIFS(DARE,DENOMINAZIONE_GIORNALE,"="&amp;$DC1965)),2)),"")</f>
        <v/>
      </c>
      <c r="DE1965" s="259" t="str">
        <f ca="1">IF(AND($DA$2=TRUE,OR(INDEX(PIANO_DEI_CONTI,MATCH($DC1965,DENOMINAZIONE,0),4)="D",INDEX(PIANO_DEI_CONTI,MATCH($DC1965,DENOMINAZIONE,0),4)="D/A"),SUMIFS(DARE,DENOMINAZIONE_GIORNALE,"="&amp;$DC1965)&gt;SUMIFS(AVERE,DENOMINAZIONE_GIORNALE,"="&amp;$DC1965)),CONCATENATE("s ",FIXED(ABS(SUMIFS(DARE,DENOMINAZIONE_GIORNALE,"="&amp;$DC1965)-SUMIFS(AVERE,DENOMINAZIONE_GIORNALE,"="&amp;$DC1965)),2)),"")</f>
        <v/>
      </c>
      <c r="DF1965" s="259">
        <f ca="1">IF(AND(CX1965=$DE$2,$DF$2&lt;&gt;0),0,IF(AND(DB1965&lt;&gt;"",OR(DB1964&lt;&gt;"",DB1966&lt;&gt;"")),MAX($DF$2:DF1964)+1,0))</f>
        <v>0</v>
      </c>
    </row>
    <row r="1966" spans="102:110">
      <c r="CX1966" s="259">
        <f t="shared" ref="CX1966:CX1981" ca="1" si="1688">$EA$112</f>
        <v>110</v>
      </c>
      <c r="CY1966" s="259" t="str">
        <f t="shared" ca="1" si="1685"/>
        <v>MASTRO</v>
      </c>
      <c r="DA1966" s="259" t="str">
        <f ca="1">IF(DB1965="","","Num. riga")</f>
        <v/>
      </c>
      <c r="DB1966" s="259" t="str">
        <f t="shared" ref="DB1966" ca="1" si="1689">IF(DB1965="","","Data")</f>
        <v/>
      </c>
      <c r="DC1966" s="259" t="str">
        <f ca="1">IF(DB1965="","","Operazioni")</f>
        <v/>
      </c>
      <c r="DD1966" s="259" t="str">
        <f ca="1">IF(DB1965="","","Dare        ")</f>
        <v/>
      </c>
      <c r="DE1966" s="259" t="str">
        <f ca="1">IF(DB1965="","","Avere        ")</f>
        <v/>
      </c>
      <c r="DF1966" s="259">
        <f ca="1">IF(AND(CX1966=$DE$2,$DF$2&lt;&gt;0),0,IF(AND(DB1966&lt;&gt;"",OR(DB1965&lt;&gt;"",DB1967&lt;&gt;"")),MAX($DF$2:DF1965)+1,0))</f>
        <v>0</v>
      </c>
    </row>
    <row r="1967" spans="102:110">
      <c r="CX1967" s="259">
        <f t="shared" ca="1" si="1688"/>
        <v>110</v>
      </c>
      <c r="CY1967" s="259" t="str">
        <f t="shared" ca="1" si="1685"/>
        <v>MASTRO</v>
      </c>
      <c r="CZ1967" s="259" t="e">
        <f t="shared" ref="CZ1967:CZ1981" ca="1" si="1690">SUM(MATCH($CY1967,INDIRECT(ADDRESS(SUM(CZ1966)+3,54)&amp;":"&amp;ADDRESS(400,54)),0),CZ1966)</f>
        <v>#N/A</v>
      </c>
      <c r="DA1967" s="259" t="str">
        <f ca="1">IFERROR(INDEX(LIBRO_GIORNALE,CZ1967,1),"")</f>
        <v/>
      </c>
      <c r="DB1967" s="259" t="str">
        <f t="shared" ref="DB1967:DB1981" ca="1" si="1691">IF(RIGHT(TEXT(IFERROR(INDEX(LIBRO_GIORNALE,CZ1967,2),""),"gg/mm/aa"),1)="a",TEXT(IFERROR(INDEX(LIBRO_GIORNALE,CZ1967,2),""),"dd/mm/yy"),TEXT(IFERROR(INDEX(LIBRO_GIORNALE,CZ1967,2),""),"gg/mm/aa"))</f>
        <v/>
      </c>
      <c r="DC1967" s="259" t="str">
        <f t="shared" ref="DC1967:DC1981" ca="1" si="1692">IF(IFERROR(INDEX(LIBRO_GIORNALE,CZ1967,4),"")=0,"manca la descrizione dell'operazione",IFERROR(INDEX(LIBRO_GIORNALE,CZ1967,4),""))</f>
        <v/>
      </c>
      <c r="DD1967" s="259" t="str">
        <f t="shared" ref="DD1967:DD1981" ca="1" si="1693">IFERROR(IF(INDEX(LIBRO_GIORNALE,CZ1967,5)&gt;0,INDEX(LIBRO_GIORNALE,CZ1967,5),""),"")</f>
        <v/>
      </c>
      <c r="DE1967" s="259" t="str">
        <f t="shared" ref="DE1967:DE1981" ca="1" si="1694">IFERROR(IF(INDEX(LIBRO_GIORNALE,CZ1967,6)&gt;0,INDEX(LIBRO_GIORNALE,CZ1967,6),""),"")</f>
        <v/>
      </c>
      <c r="DF1967" s="259">
        <f ca="1">IF(AND(CX1967=$DE$2,$DF$2&lt;&gt;0),0,IF(AND(DB1967&lt;&gt;"",OR(DB1966&lt;&gt;"",DB1968&lt;&gt;"")),MAX($DF$2:DF1966)+1,0))</f>
        <v>0</v>
      </c>
    </row>
    <row r="1968" spans="102:110">
      <c r="CX1968" s="259">
        <f t="shared" ca="1" si="1688"/>
        <v>110</v>
      </c>
      <c r="CY1968" s="259" t="str">
        <f t="shared" ca="1" si="1685"/>
        <v>MASTRO</v>
      </c>
      <c r="CZ1968" s="259" t="e">
        <f t="shared" ca="1" si="1690"/>
        <v>#N/A</v>
      </c>
      <c r="DA1968" s="259" t="str">
        <f t="shared" ref="DA1968:DA1981" ca="1" si="1695">IFERROR(INDEX(LIBRO_GIORNALE,CZ1968,1),"")</f>
        <v/>
      </c>
      <c r="DB1968" s="259" t="str">
        <f t="shared" ca="1" si="1691"/>
        <v/>
      </c>
      <c r="DC1968" s="259" t="str">
        <f t="shared" ca="1" si="1692"/>
        <v/>
      </c>
      <c r="DD1968" s="259" t="str">
        <f t="shared" ca="1" si="1693"/>
        <v/>
      </c>
      <c r="DE1968" s="259" t="str">
        <f t="shared" ca="1" si="1694"/>
        <v/>
      </c>
      <c r="DF1968" s="259">
        <f ca="1">IF(AND(CX1968=$DE$2,$DF$2&lt;&gt;0),0,IF(AND(DB1968&lt;&gt;"",OR(DB1967&lt;&gt;"",DB1969&lt;&gt;"")),MAX($DF$2:DF1967)+1,0))</f>
        <v>0</v>
      </c>
    </row>
    <row r="1969" spans="102:110">
      <c r="CX1969" s="259">
        <f t="shared" ca="1" si="1688"/>
        <v>110</v>
      </c>
      <c r="CY1969" s="259" t="str">
        <f t="shared" ca="1" si="1685"/>
        <v>MASTRO</v>
      </c>
      <c r="CZ1969" s="259" t="e">
        <f t="shared" ca="1" si="1690"/>
        <v>#N/A</v>
      </c>
      <c r="DA1969" s="259" t="str">
        <f t="shared" ca="1" si="1695"/>
        <v/>
      </c>
      <c r="DB1969" s="259" t="str">
        <f t="shared" ca="1" si="1691"/>
        <v/>
      </c>
      <c r="DC1969" s="259" t="str">
        <f t="shared" ca="1" si="1692"/>
        <v/>
      </c>
      <c r="DD1969" s="259" t="str">
        <f t="shared" ca="1" si="1693"/>
        <v/>
      </c>
      <c r="DE1969" s="259" t="str">
        <f t="shared" ca="1" si="1694"/>
        <v/>
      </c>
      <c r="DF1969" s="259">
        <f ca="1">IF(AND(CX1969=$DE$2,$DF$2&lt;&gt;0),0,IF(AND(DB1969&lt;&gt;"",OR(DB1968&lt;&gt;"",DB1970&lt;&gt;"")),MAX($DF$2:DF1968)+1,0))</f>
        <v>0</v>
      </c>
    </row>
    <row r="1970" spans="102:110">
      <c r="CX1970" s="259">
        <f t="shared" ca="1" si="1688"/>
        <v>110</v>
      </c>
      <c r="CY1970" s="259" t="str">
        <f t="shared" ca="1" si="1685"/>
        <v>MASTRO</v>
      </c>
      <c r="CZ1970" s="259" t="e">
        <f t="shared" ca="1" si="1690"/>
        <v>#N/A</v>
      </c>
      <c r="DA1970" s="259" t="str">
        <f t="shared" ca="1" si="1695"/>
        <v/>
      </c>
      <c r="DB1970" s="259" t="str">
        <f t="shared" ca="1" si="1691"/>
        <v/>
      </c>
      <c r="DC1970" s="259" t="str">
        <f t="shared" ca="1" si="1692"/>
        <v/>
      </c>
      <c r="DD1970" s="259" t="str">
        <f t="shared" ca="1" si="1693"/>
        <v/>
      </c>
      <c r="DE1970" s="259" t="str">
        <f t="shared" ca="1" si="1694"/>
        <v/>
      </c>
      <c r="DF1970" s="259">
        <f ca="1">IF(AND(CX1970=$DE$2,$DF$2&lt;&gt;0),0,IF(AND(DB1970&lt;&gt;"",OR(DB1969&lt;&gt;"",DB1971&lt;&gt;"")),MAX($DF$2:DF1969)+1,0))</f>
        <v>0</v>
      </c>
    </row>
    <row r="1971" spans="102:110">
      <c r="CX1971" s="259">
        <f t="shared" ca="1" si="1688"/>
        <v>110</v>
      </c>
      <c r="CY1971" s="259" t="str">
        <f t="shared" ca="1" si="1685"/>
        <v>MASTRO</v>
      </c>
      <c r="CZ1971" s="259" t="e">
        <f t="shared" ca="1" si="1690"/>
        <v>#N/A</v>
      </c>
      <c r="DA1971" s="259" t="str">
        <f t="shared" ca="1" si="1695"/>
        <v/>
      </c>
      <c r="DB1971" s="259" t="str">
        <f t="shared" ca="1" si="1691"/>
        <v/>
      </c>
      <c r="DC1971" s="259" t="str">
        <f t="shared" ca="1" si="1692"/>
        <v/>
      </c>
      <c r="DD1971" s="259" t="str">
        <f t="shared" ca="1" si="1693"/>
        <v/>
      </c>
      <c r="DE1971" s="259" t="str">
        <f t="shared" ca="1" si="1694"/>
        <v/>
      </c>
      <c r="DF1971" s="259">
        <f ca="1">IF(AND(CX1971=$DE$2,$DF$2&lt;&gt;0),0,IF(AND(DB1971&lt;&gt;"",OR(DB1970&lt;&gt;"",DB1972&lt;&gt;"")),MAX($DF$2:DF1970)+1,0))</f>
        <v>0</v>
      </c>
    </row>
    <row r="1972" spans="102:110">
      <c r="CX1972" s="259">
        <f t="shared" ca="1" si="1688"/>
        <v>110</v>
      </c>
      <c r="CY1972" s="259" t="str">
        <f t="shared" ca="1" si="1685"/>
        <v>MASTRO</v>
      </c>
      <c r="CZ1972" s="259" t="e">
        <f t="shared" ca="1" si="1690"/>
        <v>#N/A</v>
      </c>
      <c r="DA1972" s="259" t="str">
        <f t="shared" ca="1" si="1695"/>
        <v/>
      </c>
      <c r="DB1972" s="259" t="str">
        <f t="shared" ca="1" si="1691"/>
        <v/>
      </c>
      <c r="DC1972" s="259" t="str">
        <f t="shared" ca="1" si="1692"/>
        <v/>
      </c>
      <c r="DD1972" s="259" t="str">
        <f t="shared" ca="1" si="1693"/>
        <v/>
      </c>
      <c r="DE1972" s="259" t="str">
        <f t="shared" ca="1" si="1694"/>
        <v/>
      </c>
      <c r="DF1972" s="259">
        <f ca="1">IF(AND(CX1972=$DE$2,$DF$2&lt;&gt;0),0,IF(AND(DB1972&lt;&gt;"",OR(DB1971&lt;&gt;"",DB1973&lt;&gt;"")),MAX($DF$2:DF1971)+1,0))</f>
        <v>0</v>
      </c>
    </row>
    <row r="1973" spans="102:110">
      <c r="CX1973" s="259">
        <f t="shared" ca="1" si="1688"/>
        <v>110</v>
      </c>
      <c r="CY1973" s="259" t="str">
        <f t="shared" ca="1" si="1685"/>
        <v>MASTRO</v>
      </c>
      <c r="CZ1973" s="259" t="e">
        <f t="shared" ca="1" si="1690"/>
        <v>#N/A</v>
      </c>
      <c r="DA1973" s="259" t="str">
        <f t="shared" ca="1" si="1695"/>
        <v/>
      </c>
      <c r="DB1973" s="259" t="str">
        <f t="shared" ca="1" si="1691"/>
        <v/>
      </c>
      <c r="DC1973" s="259" t="str">
        <f t="shared" ca="1" si="1692"/>
        <v/>
      </c>
      <c r="DD1973" s="259" t="str">
        <f t="shared" ca="1" si="1693"/>
        <v/>
      </c>
      <c r="DE1973" s="259" t="str">
        <f t="shared" ca="1" si="1694"/>
        <v/>
      </c>
      <c r="DF1973" s="259">
        <f ca="1">IF(AND(CX1973=$DE$2,$DF$2&lt;&gt;0),0,IF(AND(DB1973&lt;&gt;"",OR(DB1972&lt;&gt;"",DB1974&lt;&gt;"")),MAX($DF$2:DF1972)+1,0))</f>
        <v>0</v>
      </c>
    </row>
    <row r="1974" spans="102:110">
      <c r="CX1974" s="259">
        <f t="shared" ca="1" si="1688"/>
        <v>110</v>
      </c>
      <c r="CY1974" s="259" t="str">
        <f t="shared" ca="1" si="1685"/>
        <v>MASTRO</v>
      </c>
      <c r="CZ1974" s="259" t="e">
        <f t="shared" ca="1" si="1690"/>
        <v>#N/A</v>
      </c>
      <c r="DA1974" s="259" t="str">
        <f t="shared" ca="1" si="1695"/>
        <v/>
      </c>
      <c r="DB1974" s="259" t="str">
        <f t="shared" ca="1" si="1691"/>
        <v/>
      </c>
      <c r="DC1974" s="259" t="str">
        <f t="shared" ca="1" si="1692"/>
        <v/>
      </c>
      <c r="DD1974" s="259" t="str">
        <f t="shared" ca="1" si="1693"/>
        <v/>
      </c>
      <c r="DE1974" s="259" t="str">
        <f t="shared" ca="1" si="1694"/>
        <v/>
      </c>
      <c r="DF1974" s="259">
        <f ca="1">IF(AND(CX1974=$DE$2,$DF$2&lt;&gt;0),0,IF(AND(DB1974&lt;&gt;"",OR(DB1973&lt;&gt;"",DB1975&lt;&gt;"")),MAX($DF$2:DF1973)+1,0))</f>
        <v>0</v>
      </c>
    </row>
    <row r="1975" spans="102:110">
      <c r="CX1975" s="259">
        <f t="shared" ca="1" si="1688"/>
        <v>110</v>
      </c>
      <c r="CY1975" s="259" t="str">
        <f t="shared" ca="1" si="1685"/>
        <v>MASTRO</v>
      </c>
      <c r="CZ1975" s="259" t="e">
        <f t="shared" ca="1" si="1690"/>
        <v>#N/A</v>
      </c>
      <c r="DA1975" s="259" t="str">
        <f t="shared" ca="1" si="1695"/>
        <v/>
      </c>
      <c r="DB1975" s="259" t="str">
        <f t="shared" ca="1" si="1691"/>
        <v/>
      </c>
      <c r="DC1975" s="259" t="str">
        <f t="shared" ca="1" si="1692"/>
        <v/>
      </c>
      <c r="DD1975" s="259" t="str">
        <f t="shared" ca="1" si="1693"/>
        <v/>
      </c>
      <c r="DE1975" s="259" t="str">
        <f t="shared" ca="1" si="1694"/>
        <v/>
      </c>
      <c r="DF1975" s="259">
        <f ca="1">IF(AND(CX1975=$DE$2,$DF$2&lt;&gt;0),0,IF(AND(DB1975&lt;&gt;"",OR(DB1974&lt;&gt;"",DB1976&lt;&gt;"")),MAX($DF$2:DF1974)+1,0))</f>
        <v>0</v>
      </c>
    </row>
    <row r="1976" spans="102:110">
      <c r="CX1976" s="259">
        <f t="shared" ca="1" si="1688"/>
        <v>110</v>
      </c>
      <c r="CY1976" s="259" t="str">
        <f t="shared" ca="1" si="1685"/>
        <v>MASTRO</v>
      </c>
      <c r="CZ1976" s="259" t="e">
        <f t="shared" ca="1" si="1690"/>
        <v>#N/A</v>
      </c>
      <c r="DA1976" s="259" t="str">
        <f t="shared" ca="1" si="1695"/>
        <v/>
      </c>
      <c r="DB1976" s="259" t="str">
        <f t="shared" ca="1" si="1691"/>
        <v/>
      </c>
      <c r="DC1976" s="259" t="str">
        <f t="shared" ca="1" si="1692"/>
        <v/>
      </c>
      <c r="DD1976" s="259" t="str">
        <f t="shared" ca="1" si="1693"/>
        <v/>
      </c>
      <c r="DE1976" s="259" t="str">
        <f t="shared" ca="1" si="1694"/>
        <v/>
      </c>
      <c r="DF1976" s="259">
        <f ca="1">IF(AND(CX1976=$DE$2,$DF$2&lt;&gt;0),0,IF(AND(DB1976&lt;&gt;"",OR(DB1975&lt;&gt;"",DB1977&lt;&gt;"")),MAX($DF$2:DF1975)+1,0))</f>
        <v>0</v>
      </c>
    </row>
    <row r="1977" spans="102:110">
      <c r="CX1977" s="259">
        <f t="shared" ca="1" si="1688"/>
        <v>110</v>
      </c>
      <c r="CY1977" s="259" t="str">
        <f t="shared" ca="1" si="1685"/>
        <v>MASTRO</v>
      </c>
      <c r="CZ1977" s="259" t="e">
        <f t="shared" ca="1" si="1690"/>
        <v>#N/A</v>
      </c>
      <c r="DA1977" s="259" t="str">
        <f t="shared" ca="1" si="1695"/>
        <v/>
      </c>
      <c r="DB1977" s="259" t="str">
        <f t="shared" ca="1" si="1691"/>
        <v/>
      </c>
      <c r="DC1977" s="259" t="str">
        <f t="shared" ca="1" si="1692"/>
        <v/>
      </c>
      <c r="DD1977" s="259" t="str">
        <f t="shared" ca="1" si="1693"/>
        <v/>
      </c>
      <c r="DE1977" s="259" t="str">
        <f t="shared" ca="1" si="1694"/>
        <v/>
      </c>
      <c r="DF1977" s="259">
        <f ca="1">IF(AND(CX1977=$DE$2,$DF$2&lt;&gt;0),0,IF(AND(DB1977&lt;&gt;"",OR(DB1976&lt;&gt;"",DB1978&lt;&gt;"")),MAX($DF$2:DF1976)+1,0))</f>
        <v>0</v>
      </c>
    </row>
    <row r="1978" spans="102:110">
      <c r="CX1978" s="259">
        <f t="shared" ca="1" si="1688"/>
        <v>110</v>
      </c>
      <c r="CY1978" s="259" t="str">
        <f t="shared" ca="1" si="1685"/>
        <v>MASTRO</v>
      </c>
      <c r="CZ1978" s="259" t="e">
        <f t="shared" ca="1" si="1690"/>
        <v>#N/A</v>
      </c>
      <c r="DA1978" s="259" t="str">
        <f t="shared" ca="1" si="1695"/>
        <v/>
      </c>
      <c r="DB1978" s="259" t="str">
        <f t="shared" ca="1" si="1691"/>
        <v/>
      </c>
      <c r="DC1978" s="259" t="str">
        <f t="shared" ca="1" si="1692"/>
        <v/>
      </c>
      <c r="DD1978" s="259" t="str">
        <f t="shared" ca="1" si="1693"/>
        <v/>
      </c>
      <c r="DE1978" s="259" t="str">
        <f t="shared" ca="1" si="1694"/>
        <v/>
      </c>
      <c r="DF1978" s="259">
        <f ca="1">IF(AND(CX1978=$DE$2,$DF$2&lt;&gt;0),0,IF(AND(DB1978&lt;&gt;"",OR(DB1977&lt;&gt;"",DB1979&lt;&gt;"")),MAX($DF$2:DF1977)+1,0))</f>
        <v>0</v>
      </c>
    </row>
    <row r="1979" spans="102:110">
      <c r="CX1979" s="259">
        <f t="shared" ca="1" si="1688"/>
        <v>110</v>
      </c>
      <c r="CY1979" s="259" t="str">
        <f t="shared" ca="1" si="1685"/>
        <v>MASTRO</v>
      </c>
      <c r="CZ1979" s="259" t="e">
        <f t="shared" ca="1" si="1690"/>
        <v>#N/A</v>
      </c>
      <c r="DA1979" s="259" t="str">
        <f t="shared" ca="1" si="1695"/>
        <v/>
      </c>
      <c r="DB1979" s="259" t="str">
        <f t="shared" ca="1" si="1691"/>
        <v/>
      </c>
      <c r="DC1979" s="259" t="str">
        <f t="shared" ca="1" si="1692"/>
        <v/>
      </c>
      <c r="DD1979" s="259" t="str">
        <f t="shared" ca="1" si="1693"/>
        <v/>
      </c>
      <c r="DE1979" s="259" t="str">
        <f t="shared" ca="1" si="1694"/>
        <v/>
      </c>
      <c r="DF1979" s="259">
        <f ca="1">IF(AND(CX1979=$DE$2,$DF$2&lt;&gt;0),0,IF(AND(DB1979&lt;&gt;"",OR(DB1978&lt;&gt;"",DB1980&lt;&gt;"")),MAX($DF$2:DF1978)+1,0))</f>
        <v>0</v>
      </c>
    </row>
    <row r="1980" spans="102:110">
      <c r="CX1980" s="259">
        <f t="shared" ca="1" si="1688"/>
        <v>110</v>
      </c>
      <c r="CY1980" s="259" t="str">
        <f t="shared" ca="1" si="1685"/>
        <v>MASTRO</v>
      </c>
      <c r="CZ1980" s="259" t="e">
        <f t="shared" ca="1" si="1690"/>
        <v>#N/A</v>
      </c>
      <c r="DA1980" s="259" t="str">
        <f t="shared" ca="1" si="1695"/>
        <v/>
      </c>
      <c r="DB1980" s="259" t="str">
        <f t="shared" ca="1" si="1691"/>
        <v/>
      </c>
      <c r="DC1980" s="259" t="str">
        <f t="shared" ca="1" si="1692"/>
        <v/>
      </c>
      <c r="DD1980" s="259" t="str">
        <f t="shared" ca="1" si="1693"/>
        <v/>
      </c>
      <c r="DE1980" s="259" t="str">
        <f t="shared" ca="1" si="1694"/>
        <v/>
      </c>
      <c r="DF1980" s="259">
        <f ca="1">IF(AND(CX1980=$DE$2,$DF$2&lt;&gt;0),0,IF(AND(DB1980&lt;&gt;"",OR(DB1979&lt;&gt;"",DB1981&lt;&gt;"")),MAX($DF$2:DF1979)+1,0))</f>
        <v>0</v>
      </c>
    </row>
    <row r="1981" spans="102:110">
      <c r="CX1981" s="259">
        <f t="shared" ca="1" si="1688"/>
        <v>110</v>
      </c>
      <c r="CY1981" s="259" t="str">
        <f t="shared" ca="1" si="1685"/>
        <v>MASTRO</v>
      </c>
      <c r="CZ1981" s="259" t="e">
        <f t="shared" ca="1" si="1690"/>
        <v>#N/A</v>
      </c>
      <c r="DA1981" s="259" t="str">
        <f t="shared" ca="1" si="1695"/>
        <v/>
      </c>
      <c r="DB1981" s="259" t="str">
        <f t="shared" ca="1" si="1691"/>
        <v/>
      </c>
      <c r="DC1981" s="259" t="str">
        <f t="shared" ca="1" si="1692"/>
        <v/>
      </c>
      <c r="DD1981" s="259" t="str">
        <f t="shared" ca="1" si="1693"/>
        <v/>
      </c>
      <c r="DE1981" s="259" t="str">
        <f t="shared" ca="1" si="1694"/>
        <v/>
      </c>
      <c r="DF1981" s="259">
        <f ca="1">IF(AND(CX1981=$DE$2,$DF$2&lt;&gt;0),0,IF(AND(DB1981&lt;&gt;"",OR(DB1980&lt;&gt;"",DB1982&lt;&gt;"")),MAX($DF$2:DF1980)+1,0))</f>
        <v>0</v>
      </c>
    </row>
    <row r="1982" spans="102:110">
      <c r="CX1982" s="259" t="str">
        <f>IFERROR(IF(CX1964+1=1,"",(CX1964+1)),"")</f>
        <v/>
      </c>
      <c r="CY1982" s="259" t="s">
        <v>269</v>
      </c>
      <c r="DB1982" s="259" t="str">
        <f t="shared" ref="DB1982" si="1696">CY1982</f>
        <v>MASTRO</v>
      </c>
      <c r="DF1982" s="259">
        <f ca="1">IF(AND(CX1982=$DE$2,$DF$2&lt;&gt;0),0,IF(AND(DB1982&lt;&gt;"",OR(DB1981&lt;&gt;"",DB1983&lt;&gt;"")),MAX($DF$2:DF1981)+1,0))</f>
        <v>0</v>
      </c>
    </row>
    <row r="1983" spans="102:110">
      <c r="CX1983" s="259">
        <f ca="1">$EA$113</f>
        <v>111</v>
      </c>
      <c r="CY1983" s="259" t="str">
        <f t="shared" ref="CY1983:CY2015" ca="1" si="1697">IF(ISERROR(INDEX($CV$3:$CX$2300,MATCH(CX1983,$CW$3:$CW$2300,0),1)),"MASTRO",INDEX($CV$3:$CX$2300,MATCH(CX1983,$CW$3:$CW$2300,0),1))</f>
        <v>MASTRO</v>
      </c>
      <c r="DA1983" s="259" t="str">
        <f>IF(CY1982="MASTRO","Conto n.","")</f>
        <v>Conto n.</v>
      </c>
      <c r="DB1983" s="259" t="str">
        <f ca="1">IF(CY1983=0,"",INDEX(PIANO_DEI_CONTI,MATCH(DC1983,DENOMINAZIONE,0),1))</f>
        <v/>
      </c>
      <c r="DC1983" s="259" t="str">
        <f ca="1">IF(OR(CY1983=0,CY1983="mastro"),"",CY1983)</f>
        <v/>
      </c>
      <c r="DD1983" s="259" t="str">
        <f ca="1">IF(AND($DA$2=TRUE,OR(INDEX(PIANO_DEI_CONTI,MATCH($DC1983,DENOMINAZIONE,0),4)="A",INDEX(PIANO_DEI_CONTI,MATCH($DC1983,DENOMINAZIONE,0),4)="D/A"),SUMIFS(AVERE,DENOMINAZIONE_GIORNALE,"="&amp;$DC1983)&gt;SUMIFS(DARE,DENOMINAZIONE_GIORNALE,"="&amp;$DC1983)),CONCATENATE("s ",FIXED(ABS(SUMIFS(AVERE,DENOMINAZIONE_GIORNALE,"="&amp;$DC1983)-SUMIFS(DARE,DENOMINAZIONE_GIORNALE,"="&amp;$DC1983)),2)),"")</f>
        <v/>
      </c>
      <c r="DE1983" s="259" t="str">
        <f ca="1">IF(AND($DA$2=TRUE,OR(INDEX(PIANO_DEI_CONTI,MATCH($DC1983,DENOMINAZIONE,0),4)="D",INDEX(PIANO_DEI_CONTI,MATCH($DC1983,DENOMINAZIONE,0),4)="D/A"),SUMIFS(DARE,DENOMINAZIONE_GIORNALE,"="&amp;$DC1983)&gt;SUMIFS(AVERE,DENOMINAZIONE_GIORNALE,"="&amp;$DC1983)),CONCATENATE("s ",FIXED(ABS(SUMIFS(DARE,DENOMINAZIONE_GIORNALE,"="&amp;$DC1983)-SUMIFS(AVERE,DENOMINAZIONE_GIORNALE,"="&amp;$DC1983)),2)),"")</f>
        <v/>
      </c>
      <c r="DF1983" s="259">
        <f ca="1">IF(AND(CX1983=$DE$2,$DF$2&lt;&gt;0),0,IF(AND(DB1983&lt;&gt;"",OR(DB1982&lt;&gt;"",DB1984&lt;&gt;"")),MAX($DF$2:DF1982)+1,0))</f>
        <v>0</v>
      </c>
    </row>
    <row r="1984" spans="102:110">
      <c r="CX1984" s="259">
        <f t="shared" ref="CX1984:CX1999" ca="1" si="1698">$EA$113</f>
        <v>111</v>
      </c>
      <c r="CY1984" s="259" t="str">
        <f t="shared" ca="1" si="1697"/>
        <v>MASTRO</v>
      </c>
      <c r="DA1984" s="259" t="str">
        <f ca="1">IF(DB1983="","","Num. riga")</f>
        <v/>
      </c>
      <c r="DB1984" s="259" t="str">
        <f t="shared" ref="DB1984" ca="1" si="1699">IF(DB1983="","","Data")</f>
        <v/>
      </c>
      <c r="DC1984" s="259" t="str">
        <f ca="1">IF(DB1983="","","Operazioni")</f>
        <v/>
      </c>
      <c r="DD1984" s="259" t="str">
        <f ca="1">IF(DB1983="","","Dare        ")</f>
        <v/>
      </c>
      <c r="DE1984" s="259" t="str">
        <f ca="1">IF(DB1983="","","Avere        ")</f>
        <v/>
      </c>
      <c r="DF1984" s="259">
        <f ca="1">IF(AND(CX1984=$DE$2,$DF$2&lt;&gt;0),0,IF(AND(DB1984&lt;&gt;"",OR(DB1983&lt;&gt;"",DB1985&lt;&gt;"")),MAX($DF$2:DF1983)+1,0))</f>
        <v>0</v>
      </c>
    </row>
    <row r="1985" spans="102:110">
      <c r="CX1985" s="259">
        <f t="shared" ca="1" si="1698"/>
        <v>111</v>
      </c>
      <c r="CY1985" s="259" t="str">
        <f t="shared" ca="1" si="1697"/>
        <v>MASTRO</v>
      </c>
      <c r="CZ1985" s="259" t="e">
        <f t="shared" ref="CZ1985:CZ1999" ca="1" si="1700">SUM(MATCH($CY1985,INDIRECT(ADDRESS(SUM(CZ1984)+3,54)&amp;":"&amp;ADDRESS(400,54)),0),CZ1984)</f>
        <v>#N/A</v>
      </c>
      <c r="DA1985" s="259" t="str">
        <f ca="1">IFERROR(INDEX(LIBRO_GIORNALE,CZ1985,1),"")</f>
        <v/>
      </c>
      <c r="DB1985" s="259" t="str">
        <f t="shared" ref="DB1985:DB1999" ca="1" si="1701">IF(RIGHT(TEXT(IFERROR(INDEX(LIBRO_GIORNALE,CZ1985,2),""),"gg/mm/aa"),1)="a",TEXT(IFERROR(INDEX(LIBRO_GIORNALE,CZ1985,2),""),"dd/mm/yy"),TEXT(IFERROR(INDEX(LIBRO_GIORNALE,CZ1985,2),""),"gg/mm/aa"))</f>
        <v/>
      </c>
      <c r="DC1985" s="259" t="str">
        <f t="shared" ref="DC1985:DC1999" ca="1" si="1702">IF(IFERROR(INDEX(LIBRO_GIORNALE,CZ1985,4),"")=0,"manca la descrizione dell'operazione",IFERROR(INDEX(LIBRO_GIORNALE,CZ1985,4),""))</f>
        <v/>
      </c>
      <c r="DD1985" s="259" t="str">
        <f t="shared" ref="DD1985:DD1999" ca="1" si="1703">IFERROR(IF(INDEX(LIBRO_GIORNALE,CZ1985,5)&gt;0,INDEX(LIBRO_GIORNALE,CZ1985,5),""),"")</f>
        <v/>
      </c>
      <c r="DE1985" s="259" t="str">
        <f t="shared" ref="DE1985:DE1999" ca="1" si="1704">IFERROR(IF(INDEX(LIBRO_GIORNALE,CZ1985,6)&gt;0,INDEX(LIBRO_GIORNALE,CZ1985,6),""),"")</f>
        <v/>
      </c>
      <c r="DF1985" s="259">
        <f ca="1">IF(AND(CX1985=$DE$2,$DF$2&lt;&gt;0),0,IF(AND(DB1985&lt;&gt;"",OR(DB1984&lt;&gt;"",DB1986&lt;&gt;"")),MAX($DF$2:DF1984)+1,0))</f>
        <v>0</v>
      </c>
    </row>
    <row r="1986" spans="102:110">
      <c r="CX1986" s="259">
        <f t="shared" ca="1" si="1698"/>
        <v>111</v>
      </c>
      <c r="CY1986" s="259" t="str">
        <f t="shared" ca="1" si="1697"/>
        <v>MASTRO</v>
      </c>
      <c r="CZ1986" s="259" t="e">
        <f t="shared" ca="1" si="1700"/>
        <v>#N/A</v>
      </c>
      <c r="DA1986" s="259" t="str">
        <f t="shared" ref="DA1986:DA1999" ca="1" si="1705">IFERROR(INDEX(LIBRO_GIORNALE,CZ1986,1),"")</f>
        <v/>
      </c>
      <c r="DB1986" s="259" t="str">
        <f t="shared" ca="1" si="1701"/>
        <v/>
      </c>
      <c r="DC1986" s="259" t="str">
        <f t="shared" ca="1" si="1702"/>
        <v/>
      </c>
      <c r="DD1986" s="259" t="str">
        <f t="shared" ca="1" si="1703"/>
        <v/>
      </c>
      <c r="DE1986" s="259" t="str">
        <f t="shared" ca="1" si="1704"/>
        <v/>
      </c>
      <c r="DF1986" s="259">
        <f ca="1">IF(AND(CX1986=$DE$2,$DF$2&lt;&gt;0),0,IF(AND(DB1986&lt;&gt;"",OR(DB1985&lt;&gt;"",DB1987&lt;&gt;"")),MAX($DF$2:DF1985)+1,0))</f>
        <v>0</v>
      </c>
    </row>
    <row r="1987" spans="102:110">
      <c r="CX1987" s="259">
        <f t="shared" ca="1" si="1698"/>
        <v>111</v>
      </c>
      <c r="CY1987" s="259" t="str">
        <f t="shared" ca="1" si="1697"/>
        <v>MASTRO</v>
      </c>
      <c r="CZ1987" s="259" t="e">
        <f t="shared" ca="1" si="1700"/>
        <v>#N/A</v>
      </c>
      <c r="DA1987" s="259" t="str">
        <f t="shared" ca="1" si="1705"/>
        <v/>
      </c>
      <c r="DB1987" s="259" t="str">
        <f t="shared" ca="1" si="1701"/>
        <v/>
      </c>
      <c r="DC1987" s="259" t="str">
        <f t="shared" ca="1" si="1702"/>
        <v/>
      </c>
      <c r="DD1987" s="259" t="str">
        <f t="shared" ca="1" si="1703"/>
        <v/>
      </c>
      <c r="DE1987" s="259" t="str">
        <f t="shared" ca="1" si="1704"/>
        <v/>
      </c>
      <c r="DF1987" s="259">
        <f ca="1">IF(AND(CX1987=$DE$2,$DF$2&lt;&gt;0),0,IF(AND(DB1987&lt;&gt;"",OR(DB1986&lt;&gt;"",DB1988&lt;&gt;"")),MAX($DF$2:DF1986)+1,0))</f>
        <v>0</v>
      </c>
    </row>
    <row r="1988" spans="102:110">
      <c r="CX1988" s="259">
        <f t="shared" ca="1" si="1698"/>
        <v>111</v>
      </c>
      <c r="CY1988" s="259" t="str">
        <f t="shared" ca="1" si="1697"/>
        <v>MASTRO</v>
      </c>
      <c r="CZ1988" s="259" t="e">
        <f t="shared" ca="1" si="1700"/>
        <v>#N/A</v>
      </c>
      <c r="DA1988" s="259" t="str">
        <f t="shared" ca="1" si="1705"/>
        <v/>
      </c>
      <c r="DB1988" s="259" t="str">
        <f t="shared" ca="1" si="1701"/>
        <v/>
      </c>
      <c r="DC1988" s="259" t="str">
        <f t="shared" ca="1" si="1702"/>
        <v/>
      </c>
      <c r="DD1988" s="259" t="str">
        <f t="shared" ca="1" si="1703"/>
        <v/>
      </c>
      <c r="DE1988" s="259" t="str">
        <f t="shared" ca="1" si="1704"/>
        <v/>
      </c>
      <c r="DF1988" s="259">
        <f ca="1">IF(AND(CX1988=$DE$2,$DF$2&lt;&gt;0),0,IF(AND(DB1988&lt;&gt;"",OR(DB1987&lt;&gt;"",DB1989&lt;&gt;"")),MAX($DF$2:DF1987)+1,0))</f>
        <v>0</v>
      </c>
    </row>
    <row r="1989" spans="102:110">
      <c r="CX1989" s="259">
        <f t="shared" ca="1" si="1698"/>
        <v>111</v>
      </c>
      <c r="CY1989" s="259" t="str">
        <f t="shared" ca="1" si="1697"/>
        <v>MASTRO</v>
      </c>
      <c r="CZ1989" s="259" t="e">
        <f t="shared" ca="1" si="1700"/>
        <v>#N/A</v>
      </c>
      <c r="DA1989" s="259" t="str">
        <f t="shared" ca="1" si="1705"/>
        <v/>
      </c>
      <c r="DB1989" s="259" t="str">
        <f t="shared" ca="1" si="1701"/>
        <v/>
      </c>
      <c r="DC1989" s="259" t="str">
        <f t="shared" ca="1" si="1702"/>
        <v/>
      </c>
      <c r="DD1989" s="259" t="str">
        <f t="shared" ca="1" si="1703"/>
        <v/>
      </c>
      <c r="DE1989" s="259" t="str">
        <f t="shared" ca="1" si="1704"/>
        <v/>
      </c>
      <c r="DF1989" s="259">
        <f ca="1">IF(AND(CX1989=$DE$2,$DF$2&lt;&gt;0),0,IF(AND(DB1989&lt;&gt;"",OR(DB1988&lt;&gt;"",DB1990&lt;&gt;"")),MAX($DF$2:DF1988)+1,0))</f>
        <v>0</v>
      </c>
    </row>
    <row r="1990" spans="102:110">
      <c r="CX1990" s="259">
        <f t="shared" ca="1" si="1698"/>
        <v>111</v>
      </c>
      <c r="CY1990" s="259" t="str">
        <f t="shared" ca="1" si="1697"/>
        <v>MASTRO</v>
      </c>
      <c r="CZ1990" s="259" t="e">
        <f t="shared" ca="1" si="1700"/>
        <v>#N/A</v>
      </c>
      <c r="DA1990" s="259" t="str">
        <f t="shared" ca="1" si="1705"/>
        <v/>
      </c>
      <c r="DB1990" s="259" t="str">
        <f t="shared" ca="1" si="1701"/>
        <v/>
      </c>
      <c r="DC1990" s="259" t="str">
        <f t="shared" ca="1" si="1702"/>
        <v/>
      </c>
      <c r="DD1990" s="259" t="str">
        <f t="shared" ca="1" si="1703"/>
        <v/>
      </c>
      <c r="DE1990" s="259" t="str">
        <f t="shared" ca="1" si="1704"/>
        <v/>
      </c>
      <c r="DF1990" s="259">
        <f ca="1">IF(AND(CX1990=$DE$2,$DF$2&lt;&gt;0),0,IF(AND(DB1990&lt;&gt;"",OR(DB1989&lt;&gt;"",DB1991&lt;&gt;"")),MAX($DF$2:DF1989)+1,0))</f>
        <v>0</v>
      </c>
    </row>
    <row r="1991" spans="102:110">
      <c r="CX1991" s="259">
        <f t="shared" ca="1" si="1698"/>
        <v>111</v>
      </c>
      <c r="CY1991" s="259" t="str">
        <f t="shared" ca="1" si="1697"/>
        <v>MASTRO</v>
      </c>
      <c r="CZ1991" s="259" t="e">
        <f t="shared" ca="1" si="1700"/>
        <v>#N/A</v>
      </c>
      <c r="DA1991" s="259" t="str">
        <f t="shared" ca="1" si="1705"/>
        <v/>
      </c>
      <c r="DB1991" s="259" t="str">
        <f t="shared" ca="1" si="1701"/>
        <v/>
      </c>
      <c r="DC1991" s="259" t="str">
        <f t="shared" ca="1" si="1702"/>
        <v/>
      </c>
      <c r="DD1991" s="259" t="str">
        <f t="shared" ca="1" si="1703"/>
        <v/>
      </c>
      <c r="DE1991" s="259" t="str">
        <f t="shared" ca="1" si="1704"/>
        <v/>
      </c>
      <c r="DF1991" s="259">
        <f ca="1">IF(AND(CX1991=$DE$2,$DF$2&lt;&gt;0),0,IF(AND(DB1991&lt;&gt;"",OR(DB1990&lt;&gt;"",DB1992&lt;&gt;"")),MAX($DF$2:DF1990)+1,0))</f>
        <v>0</v>
      </c>
    </row>
    <row r="1992" spans="102:110">
      <c r="CX1992" s="259">
        <f t="shared" ca="1" si="1698"/>
        <v>111</v>
      </c>
      <c r="CY1992" s="259" t="str">
        <f t="shared" ca="1" si="1697"/>
        <v>MASTRO</v>
      </c>
      <c r="CZ1992" s="259" t="e">
        <f t="shared" ca="1" si="1700"/>
        <v>#N/A</v>
      </c>
      <c r="DA1992" s="259" t="str">
        <f t="shared" ca="1" si="1705"/>
        <v/>
      </c>
      <c r="DB1992" s="259" t="str">
        <f t="shared" ca="1" si="1701"/>
        <v/>
      </c>
      <c r="DC1992" s="259" t="str">
        <f t="shared" ca="1" si="1702"/>
        <v/>
      </c>
      <c r="DD1992" s="259" t="str">
        <f t="shared" ca="1" si="1703"/>
        <v/>
      </c>
      <c r="DE1992" s="259" t="str">
        <f t="shared" ca="1" si="1704"/>
        <v/>
      </c>
      <c r="DF1992" s="259">
        <f ca="1">IF(AND(CX1992=$DE$2,$DF$2&lt;&gt;0),0,IF(AND(DB1992&lt;&gt;"",OR(DB1991&lt;&gt;"",DB1993&lt;&gt;"")),MAX($DF$2:DF1991)+1,0))</f>
        <v>0</v>
      </c>
    </row>
    <row r="1993" spans="102:110">
      <c r="CX1993" s="259">
        <f t="shared" ca="1" si="1698"/>
        <v>111</v>
      </c>
      <c r="CY1993" s="259" t="str">
        <f t="shared" ca="1" si="1697"/>
        <v>MASTRO</v>
      </c>
      <c r="CZ1993" s="259" t="e">
        <f t="shared" ca="1" si="1700"/>
        <v>#N/A</v>
      </c>
      <c r="DA1993" s="259" t="str">
        <f t="shared" ca="1" si="1705"/>
        <v/>
      </c>
      <c r="DB1993" s="259" t="str">
        <f t="shared" ca="1" si="1701"/>
        <v/>
      </c>
      <c r="DC1993" s="259" t="str">
        <f t="shared" ca="1" si="1702"/>
        <v/>
      </c>
      <c r="DD1993" s="259" t="str">
        <f t="shared" ca="1" si="1703"/>
        <v/>
      </c>
      <c r="DE1993" s="259" t="str">
        <f t="shared" ca="1" si="1704"/>
        <v/>
      </c>
      <c r="DF1993" s="259">
        <f ca="1">IF(AND(CX1993=$DE$2,$DF$2&lt;&gt;0),0,IF(AND(DB1993&lt;&gt;"",OR(DB1992&lt;&gt;"",DB1994&lt;&gt;"")),MAX($DF$2:DF1992)+1,0))</f>
        <v>0</v>
      </c>
    </row>
    <row r="1994" spans="102:110">
      <c r="CX1994" s="259">
        <f t="shared" ca="1" si="1698"/>
        <v>111</v>
      </c>
      <c r="CY1994" s="259" t="str">
        <f t="shared" ca="1" si="1697"/>
        <v>MASTRO</v>
      </c>
      <c r="CZ1994" s="259" t="e">
        <f t="shared" ca="1" si="1700"/>
        <v>#N/A</v>
      </c>
      <c r="DA1994" s="259" t="str">
        <f t="shared" ca="1" si="1705"/>
        <v/>
      </c>
      <c r="DB1994" s="259" t="str">
        <f t="shared" ca="1" si="1701"/>
        <v/>
      </c>
      <c r="DC1994" s="259" t="str">
        <f t="shared" ca="1" si="1702"/>
        <v/>
      </c>
      <c r="DD1994" s="259" t="str">
        <f t="shared" ca="1" si="1703"/>
        <v/>
      </c>
      <c r="DE1994" s="259" t="str">
        <f t="shared" ca="1" si="1704"/>
        <v/>
      </c>
      <c r="DF1994" s="259">
        <f ca="1">IF(AND(CX1994=$DE$2,$DF$2&lt;&gt;0),0,IF(AND(DB1994&lt;&gt;"",OR(DB1993&lt;&gt;"",DB1995&lt;&gt;"")),MAX($DF$2:DF1993)+1,0))</f>
        <v>0</v>
      </c>
    </row>
    <row r="1995" spans="102:110">
      <c r="CX1995" s="259">
        <f t="shared" ca="1" si="1698"/>
        <v>111</v>
      </c>
      <c r="CY1995" s="259" t="str">
        <f t="shared" ca="1" si="1697"/>
        <v>MASTRO</v>
      </c>
      <c r="CZ1995" s="259" t="e">
        <f t="shared" ca="1" si="1700"/>
        <v>#N/A</v>
      </c>
      <c r="DA1995" s="259" t="str">
        <f t="shared" ca="1" si="1705"/>
        <v/>
      </c>
      <c r="DB1995" s="259" t="str">
        <f t="shared" ca="1" si="1701"/>
        <v/>
      </c>
      <c r="DC1995" s="259" t="str">
        <f t="shared" ca="1" si="1702"/>
        <v/>
      </c>
      <c r="DD1995" s="259" t="str">
        <f t="shared" ca="1" si="1703"/>
        <v/>
      </c>
      <c r="DE1995" s="259" t="str">
        <f t="shared" ca="1" si="1704"/>
        <v/>
      </c>
      <c r="DF1995" s="259">
        <f ca="1">IF(AND(CX1995=$DE$2,$DF$2&lt;&gt;0),0,IF(AND(DB1995&lt;&gt;"",OR(DB1994&lt;&gt;"",DB1996&lt;&gt;"")),MAX($DF$2:DF1994)+1,0))</f>
        <v>0</v>
      </c>
    </row>
    <row r="1996" spans="102:110">
      <c r="CX1996" s="259">
        <f t="shared" ca="1" si="1698"/>
        <v>111</v>
      </c>
      <c r="CY1996" s="259" t="str">
        <f t="shared" ca="1" si="1697"/>
        <v>MASTRO</v>
      </c>
      <c r="CZ1996" s="259" t="e">
        <f t="shared" ca="1" si="1700"/>
        <v>#N/A</v>
      </c>
      <c r="DA1996" s="259" t="str">
        <f t="shared" ca="1" si="1705"/>
        <v/>
      </c>
      <c r="DB1996" s="259" t="str">
        <f t="shared" ca="1" si="1701"/>
        <v/>
      </c>
      <c r="DC1996" s="259" t="str">
        <f t="shared" ca="1" si="1702"/>
        <v/>
      </c>
      <c r="DD1996" s="259" t="str">
        <f t="shared" ca="1" si="1703"/>
        <v/>
      </c>
      <c r="DE1996" s="259" t="str">
        <f t="shared" ca="1" si="1704"/>
        <v/>
      </c>
      <c r="DF1996" s="259">
        <f ca="1">IF(AND(CX1996=$DE$2,$DF$2&lt;&gt;0),0,IF(AND(DB1996&lt;&gt;"",OR(DB1995&lt;&gt;"",DB1997&lt;&gt;"")),MAX($DF$2:DF1995)+1,0))</f>
        <v>0</v>
      </c>
    </row>
    <row r="1997" spans="102:110">
      <c r="CX1997" s="259">
        <f t="shared" ca="1" si="1698"/>
        <v>111</v>
      </c>
      <c r="CY1997" s="259" t="str">
        <f t="shared" ca="1" si="1697"/>
        <v>MASTRO</v>
      </c>
      <c r="CZ1997" s="259" t="e">
        <f t="shared" ca="1" si="1700"/>
        <v>#N/A</v>
      </c>
      <c r="DA1997" s="259" t="str">
        <f t="shared" ca="1" si="1705"/>
        <v/>
      </c>
      <c r="DB1997" s="259" t="str">
        <f t="shared" ca="1" si="1701"/>
        <v/>
      </c>
      <c r="DC1997" s="259" t="str">
        <f t="shared" ca="1" si="1702"/>
        <v/>
      </c>
      <c r="DD1997" s="259" t="str">
        <f t="shared" ca="1" si="1703"/>
        <v/>
      </c>
      <c r="DE1997" s="259" t="str">
        <f t="shared" ca="1" si="1704"/>
        <v/>
      </c>
      <c r="DF1997" s="259">
        <f ca="1">IF(AND(CX1997=$DE$2,$DF$2&lt;&gt;0),0,IF(AND(DB1997&lt;&gt;"",OR(DB1996&lt;&gt;"",DB1998&lt;&gt;"")),MAX($DF$2:DF1996)+1,0))</f>
        <v>0</v>
      </c>
    </row>
    <row r="1998" spans="102:110">
      <c r="CX1998" s="259">
        <f t="shared" ca="1" si="1698"/>
        <v>111</v>
      </c>
      <c r="CY1998" s="259" t="str">
        <f t="shared" ca="1" si="1697"/>
        <v>MASTRO</v>
      </c>
      <c r="CZ1998" s="259" t="e">
        <f t="shared" ca="1" si="1700"/>
        <v>#N/A</v>
      </c>
      <c r="DA1998" s="259" t="str">
        <f t="shared" ca="1" si="1705"/>
        <v/>
      </c>
      <c r="DB1998" s="259" t="str">
        <f t="shared" ca="1" si="1701"/>
        <v/>
      </c>
      <c r="DC1998" s="259" t="str">
        <f t="shared" ca="1" si="1702"/>
        <v/>
      </c>
      <c r="DD1998" s="259" t="str">
        <f t="shared" ca="1" si="1703"/>
        <v/>
      </c>
      <c r="DE1998" s="259" t="str">
        <f t="shared" ca="1" si="1704"/>
        <v/>
      </c>
      <c r="DF1998" s="259">
        <f ca="1">IF(AND(CX1998=$DE$2,$DF$2&lt;&gt;0),0,IF(AND(DB1998&lt;&gt;"",OR(DB1997&lt;&gt;"",DB1999&lt;&gt;"")),MAX($DF$2:DF1997)+1,0))</f>
        <v>0</v>
      </c>
    </row>
    <row r="1999" spans="102:110">
      <c r="CX1999" s="259">
        <f t="shared" ca="1" si="1698"/>
        <v>111</v>
      </c>
      <c r="CY1999" s="259" t="str">
        <f t="shared" ca="1" si="1697"/>
        <v>MASTRO</v>
      </c>
      <c r="CZ1999" s="259" t="e">
        <f t="shared" ca="1" si="1700"/>
        <v>#N/A</v>
      </c>
      <c r="DA1999" s="259" t="str">
        <f t="shared" ca="1" si="1705"/>
        <v/>
      </c>
      <c r="DB1999" s="259" t="str">
        <f t="shared" ca="1" si="1701"/>
        <v/>
      </c>
      <c r="DC1999" s="259" t="str">
        <f t="shared" ca="1" si="1702"/>
        <v/>
      </c>
      <c r="DD1999" s="259" t="str">
        <f t="shared" ca="1" si="1703"/>
        <v/>
      </c>
      <c r="DE1999" s="259" t="str">
        <f t="shared" ca="1" si="1704"/>
        <v/>
      </c>
      <c r="DF1999" s="259">
        <f ca="1">IF(AND(CX1999=$DE$2,$DF$2&lt;&gt;0),0,IF(AND(DB1999&lt;&gt;"",OR(DB1998&lt;&gt;"",DB2000&lt;&gt;"")),MAX($DF$2:DF1998)+1,0))</f>
        <v>0</v>
      </c>
    </row>
    <row r="2000" spans="102:110">
      <c r="CX2000" s="259" t="str">
        <f>IFERROR(IF(CX1982+1=1,"",(CX1982+1)),"")</f>
        <v/>
      </c>
      <c r="CY2000" s="259" t="str">
        <f t="shared" ca="1" si="1697"/>
        <v>MASTRO</v>
      </c>
      <c r="DB2000" s="259" t="str">
        <f t="shared" ref="DB2000" ca="1" si="1706">CY2000</f>
        <v>MASTRO</v>
      </c>
      <c r="DF2000" s="259">
        <f ca="1">IF(AND(CX2000=$DE$2,$DF$2&lt;&gt;0),0,IF(AND(DB2000&lt;&gt;"",OR(DB1999&lt;&gt;"",DB2001&lt;&gt;"")),MAX($DF$2:DF1999)+1,0))</f>
        <v>0</v>
      </c>
    </row>
    <row r="2001" spans="102:110">
      <c r="CX2001" s="259">
        <f ca="1">$EA$114</f>
        <v>112</v>
      </c>
      <c r="CY2001" s="259" t="str">
        <f t="shared" ca="1" si="1697"/>
        <v>MASTRO</v>
      </c>
      <c r="DA2001" s="259" t="str">
        <f ca="1">IF(CY2000="MASTRO","Conto n.","")</f>
        <v>Conto n.</v>
      </c>
      <c r="DB2001" s="259" t="str">
        <f ca="1">IF(CY2001=0,"",INDEX(PIANO_DEI_CONTI,MATCH(DC2001,DENOMINAZIONE,0),1))</f>
        <v/>
      </c>
      <c r="DC2001" s="259" t="str">
        <f ca="1">IF(OR(CY2001=0,CY2001="mastro"),"",CY2001)</f>
        <v/>
      </c>
      <c r="DD2001" s="259" t="str">
        <f ca="1">IF(AND($DA$2=TRUE,OR(INDEX(PIANO_DEI_CONTI,MATCH($DC2001,DENOMINAZIONE,0),4)="A",INDEX(PIANO_DEI_CONTI,MATCH($DC2001,DENOMINAZIONE,0),4)="D/A"),SUMIFS(AVERE,DENOMINAZIONE_GIORNALE,"="&amp;$DC2001)&gt;SUMIFS(DARE,DENOMINAZIONE_GIORNALE,"="&amp;$DC2001)),CONCATENATE("s ",FIXED(ABS(SUMIFS(AVERE,DENOMINAZIONE_GIORNALE,"="&amp;$DC2001)-SUMIFS(DARE,DENOMINAZIONE_GIORNALE,"="&amp;$DC2001)),2)),"")</f>
        <v/>
      </c>
      <c r="DE2001" s="259" t="str">
        <f ca="1">IF(AND($DA$2=TRUE,OR(INDEX(PIANO_DEI_CONTI,MATCH($DC2001,DENOMINAZIONE,0),4)="D",INDEX(PIANO_DEI_CONTI,MATCH($DC2001,DENOMINAZIONE,0),4)="D/A"),SUMIFS(DARE,DENOMINAZIONE_GIORNALE,"="&amp;$DC2001)&gt;SUMIFS(AVERE,DENOMINAZIONE_GIORNALE,"="&amp;$DC2001)),CONCATENATE("s ",FIXED(ABS(SUMIFS(DARE,DENOMINAZIONE_GIORNALE,"="&amp;$DC2001)-SUMIFS(AVERE,DENOMINAZIONE_GIORNALE,"="&amp;$DC2001)),2)),"")</f>
        <v/>
      </c>
      <c r="DF2001" s="259">
        <f ca="1">IF(AND(CX2001=$DE$2,$DF$2&lt;&gt;0),0,IF(AND(DB2001&lt;&gt;"",OR(DB2000&lt;&gt;"",DB2002&lt;&gt;"")),MAX($DF$2:DF2000)+1,0))</f>
        <v>0</v>
      </c>
    </row>
    <row r="2002" spans="102:110">
      <c r="CX2002" s="259">
        <f t="shared" ref="CX2002:CX2017" ca="1" si="1707">$EA$114</f>
        <v>112</v>
      </c>
      <c r="CY2002" s="259" t="str">
        <f t="shared" ca="1" si="1697"/>
        <v>MASTRO</v>
      </c>
      <c r="DA2002" s="259" t="str">
        <f ca="1">IF(DB2001="","","Num. riga")</f>
        <v/>
      </c>
      <c r="DB2002" s="259" t="str">
        <f t="shared" ref="DB2002" ca="1" si="1708">IF(DB2001="","","Data")</f>
        <v/>
      </c>
      <c r="DC2002" s="259" t="str">
        <f ca="1">IF(DB2001="","","Operazioni")</f>
        <v/>
      </c>
      <c r="DD2002" s="259" t="str">
        <f ca="1">IF(DB2001="","","Dare        ")</f>
        <v/>
      </c>
      <c r="DE2002" s="259" t="str">
        <f ca="1">IF(DB2001="","","Avere        ")</f>
        <v/>
      </c>
      <c r="DF2002" s="259">
        <f ca="1">IF(AND(CX2002=$DE$2,$DF$2&lt;&gt;0),0,IF(AND(DB2002&lt;&gt;"",OR(DB2001&lt;&gt;"",DB2003&lt;&gt;"")),MAX($DF$2:DF2001)+1,0))</f>
        <v>0</v>
      </c>
    </row>
    <row r="2003" spans="102:110">
      <c r="CX2003" s="259">
        <f t="shared" ca="1" si="1707"/>
        <v>112</v>
      </c>
      <c r="CY2003" s="259" t="str">
        <f t="shared" ca="1" si="1697"/>
        <v>MASTRO</v>
      </c>
      <c r="CZ2003" s="259" t="e">
        <f t="shared" ref="CZ2003:CZ2017" ca="1" si="1709">SUM(MATCH($CY2003,INDIRECT(ADDRESS(SUM(CZ2002)+3,54)&amp;":"&amp;ADDRESS(400,54)),0),CZ2002)</f>
        <v>#N/A</v>
      </c>
      <c r="DA2003" s="259" t="str">
        <f ca="1">IFERROR(INDEX(LIBRO_GIORNALE,CZ2003,1),"")</f>
        <v/>
      </c>
      <c r="DB2003" s="259" t="str">
        <f t="shared" ref="DB2003:DB2017" ca="1" si="1710">IF(RIGHT(TEXT(IFERROR(INDEX(LIBRO_GIORNALE,CZ2003,2),""),"gg/mm/aa"),1)="a",TEXT(IFERROR(INDEX(LIBRO_GIORNALE,CZ2003,2),""),"dd/mm/yy"),TEXT(IFERROR(INDEX(LIBRO_GIORNALE,CZ2003,2),""),"gg/mm/aa"))</f>
        <v/>
      </c>
      <c r="DC2003" s="259" t="str">
        <f t="shared" ref="DC2003:DC2017" ca="1" si="1711">IF(IFERROR(INDEX(LIBRO_GIORNALE,CZ2003,4),"")=0,"manca la descrizione dell'operazione",IFERROR(INDEX(LIBRO_GIORNALE,CZ2003,4),""))</f>
        <v/>
      </c>
      <c r="DD2003" s="259" t="str">
        <f t="shared" ref="DD2003:DD2017" ca="1" si="1712">IFERROR(IF(INDEX(LIBRO_GIORNALE,CZ2003,5)&gt;0,INDEX(LIBRO_GIORNALE,CZ2003,5),""),"")</f>
        <v/>
      </c>
      <c r="DE2003" s="259" t="str">
        <f t="shared" ref="DE2003:DE2017" ca="1" si="1713">IFERROR(IF(INDEX(LIBRO_GIORNALE,CZ2003,6)&gt;0,INDEX(LIBRO_GIORNALE,CZ2003,6),""),"")</f>
        <v/>
      </c>
      <c r="DF2003" s="259">
        <f ca="1">IF(AND(CX2003=$DE$2,$DF$2&lt;&gt;0),0,IF(AND(DB2003&lt;&gt;"",OR(DB2002&lt;&gt;"",DB2004&lt;&gt;"")),MAX($DF$2:DF2002)+1,0))</f>
        <v>0</v>
      </c>
    </row>
    <row r="2004" spans="102:110">
      <c r="CX2004" s="259">
        <f t="shared" ca="1" si="1707"/>
        <v>112</v>
      </c>
      <c r="CY2004" s="259" t="str">
        <f t="shared" ca="1" si="1697"/>
        <v>MASTRO</v>
      </c>
      <c r="CZ2004" s="259" t="e">
        <f t="shared" ca="1" si="1709"/>
        <v>#N/A</v>
      </c>
      <c r="DA2004" s="259" t="str">
        <f t="shared" ref="DA2004:DA2017" ca="1" si="1714">IFERROR(INDEX(LIBRO_GIORNALE,CZ2004,1),"")</f>
        <v/>
      </c>
      <c r="DB2004" s="259" t="str">
        <f t="shared" ca="1" si="1710"/>
        <v/>
      </c>
      <c r="DC2004" s="259" t="str">
        <f t="shared" ca="1" si="1711"/>
        <v/>
      </c>
      <c r="DD2004" s="259" t="str">
        <f t="shared" ca="1" si="1712"/>
        <v/>
      </c>
      <c r="DE2004" s="259" t="str">
        <f t="shared" ca="1" si="1713"/>
        <v/>
      </c>
      <c r="DF2004" s="259">
        <f ca="1">IF(AND(CX2004=$DE$2,$DF$2&lt;&gt;0),0,IF(AND(DB2004&lt;&gt;"",OR(DB2003&lt;&gt;"",DB2005&lt;&gt;"")),MAX($DF$2:DF2003)+1,0))</f>
        <v>0</v>
      </c>
    </row>
    <row r="2005" spans="102:110">
      <c r="CX2005" s="259">
        <f t="shared" ca="1" si="1707"/>
        <v>112</v>
      </c>
      <c r="CY2005" s="259" t="str">
        <f t="shared" ca="1" si="1697"/>
        <v>MASTRO</v>
      </c>
      <c r="CZ2005" s="259" t="e">
        <f t="shared" ca="1" si="1709"/>
        <v>#N/A</v>
      </c>
      <c r="DA2005" s="259" t="str">
        <f t="shared" ca="1" si="1714"/>
        <v/>
      </c>
      <c r="DB2005" s="259" t="str">
        <f t="shared" ca="1" si="1710"/>
        <v/>
      </c>
      <c r="DC2005" s="259" t="str">
        <f t="shared" ca="1" si="1711"/>
        <v/>
      </c>
      <c r="DD2005" s="259" t="str">
        <f t="shared" ca="1" si="1712"/>
        <v/>
      </c>
      <c r="DE2005" s="259" t="str">
        <f t="shared" ca="1" si="1713"/>
        <v/>
      </c>
      <c r="DF2005" s="259">
        <f ca="1">IF(AND(CX2005=$DE$2,$DF$2&lt;&gt;0),0,IF(AND(DB2005&lt;&gt;"",OR(DB2004&lt;&gt;"",DB2006&lt;&gt;"")),MAX($DF$2:DF2004)+1,0))</f>
        <v>0</v>
      </c>
    </row>
    <row r="2006" spans="102:110">
      <c r="CX2006" s="259">
        <f t="shared" ca="1" si="1707"/>
        <v>112</v>
      </c>
      <c r="CY2006" s="259" t="str">
        <f t="shared" ca="1" si="1697"/>
        <v>MASTRO</v>
      </c>
      <c r="CZ2006" s="259" t="e">
        <f t="shared" ca="1" si="1709"/>
        <v>#N/A</v>
      </c>
      <c r="DA2006" s="259" t="str">
        <f t="shared" ca="1" si="1714"/>
        <v/>
      </c>
      <c r="DB2006" s="259" t="str">
        <f t="shared" ca="1" si="1710"/>
        <v/>
      </c>
      <c r="DC2006" s="259" t="str">
        <f t="shared" ca="1" si="1711"/>
        <v/>
      </c>
      <c r="DD2006" s="259" t="str">
        <f t="shared" ca="1" si="1712"/>
        <v/>
      </c>
      <c r="DE2006" s="259" t="str">
        <f t="shared" ca="1" si="1713"/>
        <v/>
      </c>
      <c r="DF2006" s="259">
        <f ca="1">IF(AND(CX2006=$DE$2,$DF$2&lt;&gt;0),0,IF(AND(DB2006&lt;&gt;"",OR(DB2005&lt;&gt;"",DB2007&lt;&gt;"")),MAX($DF$2:DF2005)+1,0))</f>
        <v>0</v>
      </c>
    </row>
    <row r="2007" spans="102:110">
      <c r="CX2007" s="259">
        <f t="shared" ca="1" si="1707"/>
        <v>112</v>
      </c>
      <c r="CY2007" s="259" t="str">
        <f t="shared" ca="1" si="1697"/>
        <v>MASTRO</v>
      </c>
      <c r="CZ2007" s="259" t="e">
        <f t="shared" ca="1" si="1709"/>
        <v>#N/A</v>
      </c>
      <c r="DA2007" s="259" t="str">
        <f t="shared" ca="1" si="1714"/>
        <v/>
      </c>
      <c r="DB2007" s="259" t="str">
        <f t="shared" ca="1" si="1710"/>
        <v/>
      </c>
      <c r="DC2007" s="259" t="str">
        <f t="shared" ca="1" si="1711"/>
        <v/>
      </c>
      <c r="DD2007" s="259" t="str">
        <f t="shared" ca="1" si="1712"/>
        <v/>
      </c>
      <c r="DE2007" s="259" t="str">
        <f t="shared" ca="1" si="1713"/>
        <v/>
      </c>
      <c r="DF2007" s="259">
        <f ca="1">IF(AND(CX2007=$DE$2,$DF$2&lt;&gt;0),0,IF(AND(DB2007&lt;&gt;"",OR(DB2006&lt;&gt;"",DB2008&lt;&gt;"")),MAX($DF$2:DF2006)+1,0))</f>
        <v>0</v>
      </c>
    </row>
    <row r="2008" spans="102:110">
      <c r="CX2008" s="259">
        <f t="shared" ca="1" si="1707"/>
        <v>112</v>
      </c>
      <c r="CY2008" s="259" t="str">
        <f t="shared" ca="1" si="1697"/>
        <v>MASTRO</v>
      </c>
      <c r="CZ2008" s="259" t="e">
        <f t="shared" ca="1" si="1709"/>
        <v>#N/A</v>
      </c>
      <c r="DA2008" s="259" t="str">
        <f t="shared" ca="1" si="1714"/>
        <v/>
      </c>
      <c r="DB2008" s="259" t="str">
        <f t="shared" ca="1" si="1710"/>
        <v/>
      </c>
      <c r="DC2008" s="259" t="str">
        <f t="shared" ca="1" si="1711"/>
        <v/>
      </c>
      <c r="DD2008" s="259" t="str">
        <f t="shared" ca="1" si="1712"/>
        <v/>
      </c>
      <c r="DE2008" s="259" t="str">
        <f t="shared" ca="1" si="1713"/>
        <v/>
      </c>
      <c r="DF2008" s="259">
        <f ca="1">IF(AND(CX2008=$DE$2,$DF$2&lt;&gt;0),0,IF(AND(DB2008&lt;&gt;"",OR(DB2007&lt;&gt;"",DB2009&lt;&gt;"")),MAX($DF$2:DF2007)+1,0))</f>
        <v>0</v>
      </c>
    </row>
    <row r="2009" spans="102:110">
      <c r="CX2009" s="259">
        <f t="shared" ca="1" si="1707"/>
        <v>112</v>
      </c>
      <c r="CY2009" s="259" t="str">
        <f t="shared" ca="1" si="1697"/>
        <v>MASTRO</v>
      </c>
      <c r="CZ2009" s="259" t="e">
        <f t="shared" ca="1" si="1709"/>
        <v>#N/A</v>
      </c>
      <c r="DA2009" s="259" t="str">
        <f t="shared" ca="1" si="1714"/>
        <v/>
      </c>
      <c r="DB2009" s="259" t="str">
        <f t="shared" ca="1" si="1710"/>
        <v/>
      </c>
      <c r="DC2009" s="259" t="str">
        <f t="shared" ca="1" si="1711"/>
        <v/>
      </c>
      <c r="DD2009" s="259" t="str">
        <f t="shared" ca="1" si="1712"/>
        <v/>
      </c>
      <c r="DE2009" s="259" t="str">
        <f t="shared" ca="1" si="1713"/>
        <v/>
      </c>
      <c r="DF2009" s="259">
        <f ca="1">IF(AND(CX2009=$DE$2,$DF$2&lt;&gt;0),0,IF(AND(DB2009&lt;&gt;"",OR(DB2008&lt;&gt;"",DB2010&lt;&gt;"")),MAX($DF$2:DF2008)+1,0))</f>
        <v>0</v>
      </c>
    </row>
    <row r="2010" spans="102:110">
      <c r="CX2010" s="259">
        <f t="shared" ca="1" si="1707"/>
        <v>112</v>
      </c>
      <c r="CY2010" s="259" t="str">
        <f t="shared" ca="1" si="1697"/>
        <v>MASTRO</v>
      </c>
      <c r="CZ2010" s="259" t="e">
        <f t="shared" ca="1" si="1709"/>
        <v>#N/A</v>
      </c>
      <c r="DA2010" s="259" t="str">
        <f t="shared" ca="1" si="1714"/>
        <v/>
      </c>
      <c r="DB2010" s="259" t="str">
        <f t="shared" ca="1" si="1710"/>
        <v/>
      </c>
      <c r="DC2010" s="259" t="str">
        <f t="shared" ca="1" si="1711"/>
        <v/>
      </c>
      <c r="DD2010" s="259" t="str">
        <f t="shared" ca="1" si="1712"/>
        <v/>
      </c>
      <c r="DE2010" s="259" t="str">
        <f t="shared" ca="1" si="1713"/>
        <v/>
      </c>
      <c r="DF2010" s="259">
        <f ca="1">IF(AND(CX2010=$DE$2,$DF$2&lt;&gt;0),0,IF(AND(DB2010&lt;&gt;"",OR(DB2009&lt;&gt;"",DB2011&lt;&gt;"")),MAX($DF$2:DF2009)+1,0))</f>
        <v>0</v>
      </c>
    </row>
    <row r="2011" spans="102:110">
      <c r="CX2011" s="259">
        <f t="shared" ca="1" si="1707"/>
        <v>112</v>
      </c>
      <c r="CY2011" s="259" t="str">
        <f t="shared" ca="1" si="1697"/>
        <v>MASTRO</v>
      </c>
      <c r="CZ2011" s="259" t="e">
        <f t="shared" ca="1" si="1709"/>
        <v>#N/A</v>
      </c>
      <c r="DA2011" s="259" t="str">
        <f t="shared" ca="1" si="1714"/>
        <v/>
      </c>
      <c r="DB2011" s="259" t="str">
        <f t="shared" ca="1" si="1710"/>
        <v/>
      </c>
      <c r="DC2011" s="259" t="str">
        <f t="shared" ca="1" si="1711"/>
        <v/>
      </c>
      <c r="DD2011" s="259" t="str">
        <f t="shared" ca="1" si="1712"/>
        <v/>
      </c>
      <c r="DE2011" s="259" t="str">
        <f t="shared" ca="1" si="1713"/>
        <v/>
      </c>
      <c r="DF2011" s="259">
        <f ca="1">IF(AND(CX2011=$DE$2,$DF$2&lt;&gt;0),0,IF(AND(DB2011&lt;&gt;"",OR(DB2010&lt;&gt;"",DB2012&lt;&gt;"")),MAX($DF$2:DF2010)+1,0))</f>
        <v>0</v>
      </c>
    </row>
    <row r="2012" spans="102:110">
      <c r="CX2012" s="259">
        <f t="shared" ca="1" si="1707"/>
        <v>112</v>
      </c>
      <c r="CY2012" s="259" t="str">
        <f t="shared" ca="1" si="1697"/>
        <v>MASTRO</v>
      </c>
      <c r="CZ2012" s="259" t="e">
        <f t="shared" ca="1" si="1709"/>
        <v>#N/A</v>
      </c>
      <c r="DA2012" s="259" t="str">
        <f t="shared" ca="1" si="1714"/>
        <v/>
      </c>
      <c r="DB2012" s="259" t="str">
        <f t="shared" ca="1" si="1710"/>
        <v/>
      </c>
      <c r="DC2012" s="259" t="str">
        <f t="shared" ca="1" si="1711"/>
        <v/>
      </c>
      <c r="DD2012" s="259" t="str">
        <f t="shared" ca="1" si="1712"/>
        <v/>
      </c>
      <c r="DE2012" s="259" t="str">
        <f t="shared" ca="1" si="1713"/>
        <v/>
      </c>
      <c r="DF2012" s="259">
        <f ca="1">IF(AND(CX2012=$DE$2,$DF$2&lt;&gt;0),0,IF(AND(DB2012&lt;&gt;"",OR(DB2011&lt;&gt;"",DB2013&lt;&gt;"")),MAX($DF$2:DF2011)+1,0))</f>
        <v>0</v>
      </c>
    </row>
    <row r="2013" spans="102:110">
      <c r="CX2013" s="259">
        <f t="shared" ca="1" si="1707"/>
        <v>112</v>
      </c>
      <c r="CY2013" s="259" t="str">
        <f t="shared" ca="1" si="1697"/>
        <v>MASTRO</v>
      </c>
      <c r="CZ2013" s="259" t="e">
        <f t="shared" ca="1" si="1709"/>
        <v>#N/A</v>
      </c>
      <c r="DA2013" s="259" t="str">
        <f t="shared" ca="1" si="1714"/>
        <v/>
      </c>
      <c r="DB2013" s="259" t="str">
        <f t="shared" ca="1" si="1710"/>
        <v/>
      </c>
      <c r="DC2013" s="259" t="str">
        <f t="shared" ca="1" si="1711"/>
        <v/>
      </c>
      <c r="DD2013" s="259" t="str">
        <f t="shared" ca="1" si="1712"/>
        <v/>
      </c>
      <c r="DE2013" s="259" t="str">
        <f t="shared" ca="1" si="1713"/>
        <v/>
      </c>
      <c r="DF2013" s="259">
        <f ca="1">IF(AND(CX2013=$DE$2,$DF$2&lt;&gt;0),0,IF(AND(DB2013&lt;&gt;"",OR(DB2012&lt;&gt;"",DB2014&lt;&gt;"")),MAX($DF$2:DF2012)+1,0))</f>
        <v>0</v>
      </c>
    </row>
    <row r="2014" spans="102:110">
      <c r="CX2014" s="259">
        <f t="shared" ca="1" si="1707"/>
        <v>112</v>
      </c>
      <c r="CY2014" s="259" t="str">
        <f t="shared" ca="1" si="1697"/>
        <v>MASTRO</v>
      </c>
      <c r="CZ2014" s="259" t="e">
        <f t="shared" ca="1" si="1709"/>
        <v>#N/A</v>
      </c>
      <c r="DA2014" s="259" t="str">
        <f t="shared" ca="1" si="1714"/>
        <v/>
      </c>
      <c r="DB2014" s="259" t="str">
        <f t="shared" ca="1" si="1710"/>
        <v/>
      </c>
      <c r="DC2014" s="259" t="str">
        <f t="shared" ca="1" si="1711"/>
        <v/>
      </c>
      <c r="DD2014" s="259" t="str">
        <f t="shared" ca="1" si="1712"/>
        <v/>
      </c>
      <c r="DE2014" s="259" t="str">
        <f t="shared" ca="1" si="1713"/>
        <v/>
      </c>
      <c r="DF2014" s="259">
        <f ca="1">IF(AND(CX2014=$DE$2,$DF$2&lt;&gt;0),0,IF(AND(DB2014&lt;&gt;"",OR(DB2013&lt;&gt;"",DB2015&lt;&gt;"")),MAX($DF$2:DF2013)+1,0))</f>
        <v>0</v>
      </c>
    </row>
    <row r="2015" spans="102:110">
      <c r="CX2015" s="259">
        <f t="shared" ca="1" si="1707"/>
        <v>112</v>
      </c>
      <c r="CY2015" s="259" t="str">
        <f t="shared" ca="1" si="1697"/>
        <v>MASTRO</v>
      </c>
      <c r="CZ2015" s="259" t="e">
        <f t="shared" ca="1" si="1709"/>
        <v>#N/A</v>
      </c>
      <c r="DA2015" s="259" t="str">
        <f t="shared" ca="1" si="1714"/>
        <v/>
      </c>
      <c r="DB2015" s="259" t="str">
        <f t="shared" ca="1" si="1710"/>
        <v/>
      </c>
      <c r="DC2015" s="259" t="str">
        <f t="shared" ca="1" si="1711"/>
        <v/>
      </c>
      <c r="DD2015" s="259" t="str">
        <f t="shared" ca="1" si="1712"/>
        <v/>
      </c>
      <c r="DE2015" s="259" t="str">
        <f t="shared" ca="1" si="1713"/>
        <v/>
      </c>
      <c r="DF2015" s="259">
        <f ca="1">IF(AND(CX2015=$DE$2,$DF$2&lt;&gt;0),0,IF(AND(DB2015&lt;&gt;"",OR(DB2014&lt;&gt;"",DB2016&lt;&gt;"")),MAX($DF$2:DF2014)+1,0))</f>
        <v>0</v>
      </c>
    </row>
    <row r="2016" spans="102:110">
      <c r="CX2016" s="259">
        <f t="shared" ca="1" si="1707"/>
        <v>112</v>
      </c>
      <c r="CY2016" s="259" t="str">
        <f t="shared" ref="CY2016:CY2049" ca="1" si="1715">IF(ISERROR(INDEX($CV$3:$CX$2300,MATCH(CX2016,$CW$3:$CW$2300,0),1)),"MASTRO",INDEX($CV$3:$CX$2300,MATCH(CX2016,$CW$3:$CW$2300,0),1))</f>
        <v>MASTRO</v>
      </c>
      <c r="CZ2016" s="259" t="e">
        <f t="shared" ca="1" si="1709"/>
        <v>#N/A</v>
      </c>
      <c r="DA2016" s="259" t="str">
        <f t="shared" ca="1" si="1714"/>
        <v/>
      </c>
      <c r="DB2016" s="259" t="str">
        <f t="shared" ca="1" si="1710"/>
        <v/>
      </c>
      <c r="DC2016" s="259" t="str">
        <f t="shared" ca="1" si="1711"/>
        <v/>
      </c>
      <c r="DD2016" s="259" t="str">
        <f t="shared" ca="1" si="1712"/>
        <v/>
      </c>
      <c r="DE2016" s="259" t="str">
        <f t="shared" ca="1" si="1713"/>
        <v/>
      </c>
      <c r="DF2016" s="259">
        <f ca="1">IF(AND(CX2016=$DE$2,$DF$2&lt;&gt;0),0,IF(AND(DB2016&lt;&gt;"",OR(DB2015&lt;&gt;"",DB2017&lt;&gt;"")),MAX($DF$2:DF2015)+1,0))</f>
        <v>0</v>
      </c>
    </row>
    <row r="2017" spans="102:110">
      <c r="CX2017" s="259">
        <f t="shared" ca="1" si="1707"/>
        <v>112</v>
      </c>
      <c r="CY2017" s="259" t="str">
        <f t="shared" ca="1" si="1715"/>
        <v>MASTRO</v>
      </c>
      <c r="CZ2017" s="259" t="e">
        <f t="shared" ca="1" si="1709"/>
        <v>#N/A</v>
      </c>
      <c r="DA2017" s="259" t="str">
        <f t="shared" ca="1" si="1714"/>
        <v/>
      </c>
      <c r="DB2017" s="259" t="str">
        <f t="shared" ca="1" si="1710"/>
        <v/>
      </c>
      <c r="DC2017" s="259" t="str">
        <f t="shared" ca="1" si="1711"/>
        <v/>
      </c>
      <c r="DD2017" s="259" t="str">
        <f t="shared" ca="1" si="1712"/>
        <v/>
      </c>
      <c r="DE2017" s="259" t="str">
        <f t="shared" ca="1" si="1713"/>
        <v/>
      </c>
      <c r="DF2017" s="259">
        <f ca="1">IF(AND(CX2017=$DE$2,$DF$2&lt;&gt;0),0,IF(AND(DB2017&lt;&gt;"",OR(DB2016&lt;&gt;"",DB2018&lt;&gt;"")),MAX($DF$2:DF2016)+1,0))</f>
        <v>0</v>
      </c>
    </row>
    <row r="2018" spans="102:110">
      <c r="CX2018" s="259" t="str">
        <f>IFERROR(IF(CX2000+1=1,"",(CX2000+1)),"")</f>
        <v/>
      </c>
      <c r="CY2018" s="259" t="str">
        <f t="shared" ca="1" si="1715"/>
        <v>MASTRO</v>
      </c>
      <c r="DB2018" s="259" t="str">
        <f t="shared" ref="DB2018" ca="1" si="1716">CY2018</f>
        <v>MASTRO</v>
      </c>
      <c r="DF2018" s="259">
        <f ca="1">IF(AND(CX2018=$DE$2,$DF$2&lt;&gt;0),0,IF(AND(DB2018&lt;&gt;"",OR(DB2017&lt;&gt;"",DB2019&lt;&gt;"")),MAX($DF$2:DF2017)+1,0))</f>
        <v>0</v>
      </c>
    </row>
    <row r="2019" spans="102:110">
      <c r="CX2019" s="259">
        <f ca="1">$EA$115</f>
        <v>113</v>
      </c>
      <c r="CY2019" s="259" t="str">
        <f t="shared" ca="1" si="1715"/>
        <v>MASTRO</v>
      </c>
      <c r="DA2019" s="259" t="str">
        <f ca="1">IF(CY2018="MASTRO","Conto n.","")</f>
        <v>Conto n.</v>
      </c>
      <c r="DB2019" s="259" t="str">
        <f ca="1">IF(CY2019=0,"",INDEX(PIANO_DEI_CONTI,MATCH(DC2019,DENOMINAZIONE,0),1))</f>
        <v/>
      </c>
      <c r="DC2019" s="259" t="str">
        <f ca="1">IF(OR(CY2019=0,CY2019="mastro"),"",CY2019)</f>
        <v/>
      </c>
      <c r="DD2019" s="259" t="str">
        <f ca="1">IF(AND($DA$2=TRUE,OR(INDEX(PIANO_DEI_CONTI,MATCH($DC2019,DENOMINAZIONE,0),4)="A",INDEX(PIANO_DEI_CONTI,MATCH($DC2019,DENOMINAZIONE,0),4)="D/A"),SUMIFS(AVERE,DENOMINAZIONE_GIORNALE,"="&amp;$DC2019)&gt;SUMIFS(DARE,DENOMINAZIONE_GIORNALE,"="&amp;$DC2019)),CONCATENATE("s ",FIXED(ABS(SUMIFS(AVERE,DENOMINAZIONE_GIORNALE,"="&amp;$DC2019)-SUMIFS(DARE,DENOMINAZIONE_GIORNALE,"="&amp;$DC2019)),2)),"")</f>
        <v/>
      </c>
      <c r="DE2019" s="259" t="str">
        <f ca="1">IF(AND($DA$2=TRUE,OR(INDEX(PIANO_DEI_CONTI,MATCH($DC2019,DENOMINAZIONE,0),4)="D",INDEX(PIANO_DEI_CONTI,MATCH($DC2019,DENOMINAZIONE,0),4)="D/A"),SUMIFS(DARE,DENOMINAZIONE_GIORNALE,"="&amp;$DC2019)&gt;SUMIFS(AVERE,DENOMINAZIONE_GIORNALE,"="&amp;$DC2019)),CONCATENATE("s ",FIXED(ABS(SUMIFS(DARE,DENOMINAZIONE_GIORNALE,"="&amp;$DC2019)-SUMIFS(AVERE,DENOMINAZIONE_GIORNALE,"="&amp;$DC2019)),2)),"")</f>
        <v/>
      </c>
      <c r="DF2019" s="259">
        <f ca="1">IF(AND(CX2019=$DE$2,$DF$2&lt;&gt;0),0,IF(AND(DB2019&lt;&gt;"",OR(DB2018&lt;&gt;"",DB2020&lt;&gt;"")),MAX($DF$2:DF2018)+1,0))</f>
        <v>0</v>
      </c>
    </row>
    <row r="2020" spans="102:110">
      <c r="CX2020" s="259">
        <f t="shared" ref="CX2020:CX2035" ca="1" si="1717">$EA$115</f>
        <v>113</v>
      </c>
      <c r="CY2020" s="259" t="str">
        <f t="shared" ca="1" si="1715"/>
        <v>MASTRO</v>
      </c>
      <c r="DA2020" s="259" t="str">
        <f ca="1">IF(DB2019="","","Num. riga")</f>
        <v/>
      </c>
      <c r="DB2020" s="259" t="str">
        <f t="shared" ref="DB2020" ca="1" si="1718">IF(DB2019="","","Data")</f>
        <v/>
      </c>
      <c r="DC2020" s="259" t="str">
        <f ca="1">IF(DB2019="","","Operazioni")</f>
        <v/>
      </c>
      <c r="DD2020" s="259" t="str">
        <f ca="1">IF(DB2019="","","Dare        ")</f>
        <v/>
      </c>
      <c r="DE2020" s="259" t="str">
        <f ca="1">IF(DB2019="","","Avere        ")</f>
        <v/>
      </c>
      <c r="DF2020" s="259">
        <f ca="1">IF(AND(CX2020=$DE$2,$DF$2&lt;&gt;0),0,IF(AND(DB2020&lt;&gt;"",OR(DB2019&lt;&gt;"",DB2021&lt;&gt;"")),MAX($DF$2:DF2019)+1,0))</f>
        <v>0</v>
      </c>
    </row>
    <row r="2021" spans="102:110">
      <c r="CX2021" s="259">
        <f t="shared" ca="1" si="1717"/>
        <v>113</v>
      </c>
      <c r="CY2021" s="259" t="str">
        <f t="shared" ca="1" si="1715"/>
        <v>MASTRO</v>
      </c>
      <c r="CZ2021" s="259" t="e">
        <f t="shared" ref="CZ2021:CZ2035" ca="1" si="1719">SUM(MATCH($CY2021,INDIRECT(ADDRESS(SUM(CZ2020)+3,54)&amp;":"&amp;ADDRESS(400,54)),0),CZ2020)</f>
        <v>#N/A</v>
      </c>
      <c r="DA2021" s="259" t="str">
        <f ca="1">IFERROR(INDEX(LIBRO_GIORNALE,CZ2021,1),"")</f>
        <v/>
      </c>
      <c r="DB2021" s="259" t="str">
        <f t="shared" ref="DB2021:DB2035" ca="1" si="1720">IF(RIGHT(TEXT(IFERROR(INDEX(LIBRO_GIORNALE,CZ2021,2),""),"gg/mm/aa"),1)="a",TEXT(IFERROR(INDEX(LIBRO_GIORNALE,CZ2021,2),""),"dd/mm/yy"),TEXT(IFERROR(INDEX(LIBRO_GIORNALE,CZ2021,2),""),"gg/mm/aa"))</f>
        <v/>
      </c>
      <c r="DC2021" s="259" t="str">
        <f t="shared" ref="DC2021:DC2035" ca="1" si="1721">IF(IFERROR(INDEX(LIBRO_GIORNALE,CZ2021,4),"")=0,"manca la descrizione dell'operazione",IFERROR(INDEX(LIBRO_GIORNALE,CZ2021,4),""))</f>
        <v/>
      </c>
      <c r="DD2021" s="259" t="str">
        <f t="shared" ref="DD2021:DD2035" ca="1" si="1722">IFERROR(IF(INDEX(LIBRO_GIORNALE,CZ2021,5)&gt;0,INDEX(LIBRO_GIORNALE,CZ2021,5),""),"")</f>
        <v/>
      </c>
      <c r="DE2021" s="259" t="str">
        <f t="shared" ref="DE2021:DE2035" ca="1" si="1723">IFERROR(IF(INDEX(LIBRO_GIORNALE,CZ2021,6)&gt;0,INDEX(LIBRO_GIORNALE,CZ2021,6),""),"")</f>
        <v/>
      </c>
      <c r="DF2021" s="259">
        <f ca="1">IF(AND(CX2021=$DE$2,$DF$2&lt;&gt;0),0,IF(AND(DB2021&lt;&gt;"",OR(DB2020&lt;&gt;"",DB2022&lt;&gt;"")),MAX($DF$2:DF2020)+1,0))</f>
        <v>0</v>
      </c>
    </row>
    <row r="2022" spans="102:110">
      <c r="CX2022" s="259">
        <f t="shared" ca="1" si="1717"/>
        <v>113</v>
      </c>
      <c r="CY2022" s="259" t="str">
        <f t="shared" ca="1" si="1715"/>
        <v>MASTRO</v>
      </c>
      <c r="CZ2022" s="259" t="e">
        <f t="shared" ca="1" si="1719"/>
        <v>#N/A</v>
      </c>
      <c r="DA2022" s="259" t="str">
        <f t="shared" ref="DA2022:DA2035" ca="1" si="1724">IFERROR(INDEX(LIBRO_GIORNALE,CZ2022,1),"")</f>
        <v/>
      </c>
      <c r="DB2022" s="259" t="str">
        <f t="shared" ca="1" si="1720"/>
        <v/>
      </c>
      <c r="DC2022" s="259" t="str">
        <f t="shared" ca="1" si="1721"/>
        <v/>
      </c>
      <c r="DD2022" s="259" t="str">
        <f t="shared" ca="1" si="1722"/>
        <v/>
      </c>
      <c r="DE2022" s="259" t="str">
        <f t="shared" ca="1" si="1723"/>
        <v/>
      </c>
      <c r="DF2022" s="259">
        <f ca="1">IF(AND(CX2022=$DE$2,$DF$2&lt;&gt;0),0,IF(AND(DB2022&lt;&gt;"",OR(DB2021&lt;&gt;"",DB2023&lt;&gt;"")),MAX($DF$2:DF2021)+1,0))</f>
        <v>0</v>
      </c>
    </row>
    <row r="2023" spans="102:110">
      <c r="CX2023" s="259">
        <f t="shared" ca="1" si="1717"/>
        <v>113</v>
      </c>
      <c r="CY2023" s="259" t="str">
        <f t="shared" ca="1" si="1715"/>
        <v>MASTRO</v>
      </c>
      <c r="CZ2023" s="259" t="e">
        <f t="shared" ca="1" si="1719"/>
        <v>#N/A</v>
      </c>
      <c r="DA2023" s="259" t="str">
        <f t="shared" ca="1" si="1724"/>
        <v/>
      </c>
      <c r="DB2023" s="259" t="str">
        <f t="shared" ca="1" si="1720"/>
        <v/>
      </c>
      <c r="DC2023" s="259" t="str">
        <f t="shared" ca="1" si="1721"/>
        <v/>
      </c>
      <c r="DD2023" s="259" t="str">
        <f t="shared" ca="1" si="1722"/>
        <v/>
      </c>
      <c r="DE2023" s="259" t="str">
        <f t="shared" ca="1" si="1723"/>
        <v/>
      </c>
      <c r="DF2023" s="259">
        <f ca="1">IF(AND(CX2023=$DE$2,$DF$2&lt;&gt;0),0,IF(AND(DB2023&lt;&gt;"",OR(DB2022&lt;&gt;"",DB2024&lt;&gt;"")),MAX($DF$2:DF2022)+1,0))</f>
        <v>0</v>
      </c>
    </row>
    <row r="2024" spans="102:110">
      <c r="CX2024" s="259">
        <f t="shared" ca="1" si="1717"/>
        <v>113</v>
      </c>
      <c r="CY2024" s="259" t="str">
        <f t="shared" ca="1" si="1715"/>
        <v>MASTRO</v>
      </c>
      <c r="CZ2024" s="259" t="e">
        <f t="shared" ca="1" si="1719"/>
        <v>#N/A</v>
      </c>
      <c r="DA2024" s="259" t="str">
        <f t="shared" ca="1" si="1724"/>
        <v/>
      </c>
      <c r="DB2024" s="259" t="str">
        <f t="shared" ca="1" si="1720"/>
        <v/>
      </c>
      <c r="DC2024" s="259" t="str">
        <f t="shared" ca="1" si="1721"/>
        <v/>
      </c>
      <c r="DD2024" s="259" t="str">
        <f t="shared" ca="1" si="1722"/>
        <v/>
      </c>
      <c r="DE2024" s="259" t="str">
        <f t="shared" ca="1" si="1723"/>
        <v/>
      </c>
      <c r="DF2024" s="259">
        <f ca="1">IF(AND(CX2024=$DE$2,$DF$2&lt;&gt;0),0,IF(AND(DB2024&lt;&gt;"",OR(DB2023&lt;&gt;"",DB2025&lt;&gt;"")),MAX($DF$2:DF2023)+1,0))</f>
        <v>0</v>
      </c>
    </row>
    <row r="2025" spans="102:110">
      <c r="CX2025" s="259">
        <f t="shared" ca="1" si="1717"/>
        <v>113</v>
      </c>
      <c r="CY2025" s="259" t="str">
        <f t="shared" ca="1" si="1715"/>
        <v>MASTRO</v>
      </c>
      <c r="CZ2025" s="259" t="e">
        <f t="shared" ca="1" si="1719"/>
        <v>#N/A</v>
      </c>
      <c r="DA2025" s="259" t="str">
        <f t="shared" ca="1" si="1724"/>
        <v/>
      </c>
      <c r="DB2025" s="259" t="str">
        <f t="shared" ca="1" si="1720"/>
        <v/>
      </c>
      <c r="DC2025" s="259" t="str">
        <f t="shared" ca="1" si="1721"/>
        <v/>
      </c>
      <c r="DD2025" s="259" t="str">
        <f t="shared" ca="1" si="1722"/>
        <v/>
      </c>
      <c r="DE2025" s="259" t="str">
        <f t="shared" ca="1" si="1723"/>
        <v/>
      </c>
      <c r="DF2025" s="259">
        <f ca="1">IF(AND(CX2025=$DE$2,$DF$2&lt;&gt;0),0,IF(AND(DB2025&lt;&gt;"",OR(DB2024&lt;&gt;"",DB2026&lt;&gt;"")),MAX($DF$2:DF2024)+1,0))</f>
        <v>0</v>
      </c>
    </row>
    <row r="2026" spans="102:110">
      <c r="CX2026" s="259">
        <f t="shared" ca="1" si="1717"/>
        <v>113</v>
      </c>
      <c r="CY2026" s="259" t="str">
        <f t="shared" ca="1" si="1715"/>
        <v>MASTRO</v>
      </c>
      <c r="CZ2026" s="259" t="e">
        <f t="shared" ca="1" si="1719"/>
        <v>#N/A</v>
      </c>
      <c r="DA2026" s="259" t="str">
        <f t="shared" ca="1" si="1724"/>
        <v/>
      </c>
      <c r="DB2026" s="259" t="str">
        <f t="shared" ca="1" si="1720"/>
        <v/>
      </c>
      <c r="DC2026" s="259" t="str">
        <f t="shared" ca="1" si="1721"/>
        <v/>
      </c>
      <c r="DD2026" s="259" t="str">
        <f t="shared" ca="1" si="1722"/>
        <v/>
      </c>
      <c r="DE2026" s="259" t="str">
        <f t="shared" ca="1" si="1723"/>
        <v/>
      </c>
      <c r="DF2026" s="259">
        <f ca="1">IF(AND(CX2026=$DE$2,$DF$2&lt;&gt;0),0,IF(AND(DB2026&lt;&gt;"",OR(DB2025&lt;&gt;"",DB2027&lt;&gt;"")),MAX($DF$2:DF2025)+1,0))</f>
        <v>0</v>
      </c>
    </row>
    <row r="2027" spans="102:110">
      <c r="CX2027" s="259">
        <f t="shared" ca="1" si="1717"/>
        <v>113</v>
      </c>
      <c r="CY2027" s="259" t="str">
        <f t="shared" ca="1" si="1715"/>
        <v>MASTRO</v>
      </c>
      <c r="CZ2027" s="259" t="e">
        <f t="shared" ca="1" si="1719"/>
        <v>#N/A</v>
      </c>
      <c r="DA2027" s="259" t="str">
        <f t="shared" ca="1" si="1724"/>
        <v/>
      </c>
      <c r="DB2027" s="259" t="str">
        <f t="shared" ca="1" si="1720"/>
        <v/>
      </c>
      <c r="DC2027" s="259" t="str">
        <f t="shared" ca="1" si="1721"/>
        <v/>
      </c>
      <c r="DD2027" s="259" t="str">
        <f t="shared" ca="1" si="1722"/>
        <v/>
      </c>
      <c r="DE2027" s="259" t="str">
        <f t="shared" ca="1" si="1723"/>
        <v/>
      </c>
      <c r="DF2027" s="259">
        <f ca="1">IF(AND(CX2027=$DE$2,$DF$2&lt;&gt;0),0,IF(AND(DB2027&lt;&gt;"",OR(DB2026&lt;&gt;"",DB2028&lt;&gt;"")),MAX($DF$2:DF2026)+1,0))</f>
        <v>0</v>
      </c>
    </row>
    <row r="2028" spans="102:110">
      <c r="CX2028" s="259">
        <f t="shared" ca="1" si="1717"/>
        <v>113</v>
      </c>
      <c r="CY2028" s="259" t="str">
        <f t="shared" ca="1" si="1715"/>
        <v>MASTRO</v>
      </c>
      <c r="CZ2028" s="259" t="e">
        <f t="shared" ca="1" si="1719"/>
        <v>#N/A</v>
      </c>
      <c r="DA2028" s="259" t="str">
        <f t="shared" ca="1" si="1724"/>
        <v/>
      </c>
      <c r="DB2028" s="259" t="str">
        <f t="shared" ca="1" si="1720"/>
        <v/>
      </c>
      <c r="DC2028" s="259" t="str">
        <f t="shared" ca="1" si="1721"/>
        <v/>
      </c>
      <c r="DD2028" s="259" t="str">
        <f t="shared" ca="1" si="1722"/>
        <v/>
      </c>
      <c r="DE2028" s="259" t="str">
        <f t="shared" ca="1" si="1723"/>
        <v/>
      </c>
      <c r="DF2028" s="259">
        <f ca="1">IF(AND(CX2028=$DE$2,$DF$2&lt;&gt;0),0,IF(AND(DB2028&lt;&gt;"",OR(DB2027&lt;&gt;"",DB2029&lt;&gt;"")),MAX($DF$2:DF2027)+1,0))</f>
        <v>0</v>
      </c>
    </row>
    <row r="2029" spans="102:110">
      <c r="CX2029" s="259">
        <f t="shared" ca="1" si="1717"/>
        <v>113</v>
      </c>
      <c r="CY2029" s="259" t="str">
        <f t="shared" ca="1" si="1715"/>
        <v>MASTRO</v>
      </c>
      <c r="CZ2029" s="259" t="e">
        <f t="shared" ca="1" si="1719"/>
        <v>#N/A</v>
      </c>
      <c r="DA2029" s="259" t="str">
        <f t="shared" ca="1" si="1724"/>
        <v/>
      </c>
      <c r="DB2029" s="259" t="str">
        <f t="shared" ca="1" si="1720"/>
        <v/>
      </c>
      <c r="DC2029" s="259" t="str">
        <f t="shared" ca="1" si="1721"/>
        <v/>
      </c>
      <c r="DD2029" s="259" t="str">
        <f t="shared" ca="1" si="1722"/>
        <v/>
      </c>
      <c r="DE2029" s="259" t="str">
        <f t="shared" ca="1" si="1723"/>
        <v/>
      </c>
      <c r="DF2029" s="259">
        <f ca="1">IF(AND(CX2029=$DE$2,$DF$2&lt;&gt;0),0,IF(AND(DB2029&lt;&gt;"",OR(DB2028&lt;&gt;"",DB2030&lt;&gt;"")),MAX($DF$2:DF2028)+1,0))</f>
        <v>0</v>
      </c>
    </row>
    <row r="2030" spans="102:110">
      <c r="CX2030" s="259">
        <f t="shared" ca="1" si="1717"/>
        <v>113</v>
      </c>
      <c r="CY2030" s="259" t="str">
        <f t="shared" ca="1" si="1715"/>
        <v>MASTRO</v>
      </c>
      <c r="CZ2030" s="259" t="e">
        <f t="shared" ca="1" si="1719"/>
        <v>#N/A</v>
      </c>
      <c r="DA2030" s="259" t="str">
        <f t="shared" ca="1" si="1724"/>
        <v/>
      </c>
      <c r="DB2030" s="259" t="str">
        <f t="shared" ca="1" si="1720"/>
        <v/>
      </c>
      <c r="DC2030" s="259" t="str">
        <f t="shared" ca="1" si="1721"/>
        <v/>
      </c>
      <c r="DD2030" s="259" t="str">
        <f t="shared" ca="1" si="1722"/>
        <v/>
      </c>
      <c r="DE2030" s="259" t="str">
        <f t="shared" ca="1" si="1723"/>
        <v/>
      </c>
      <c r="DF2030" s="259">
        <f ca="1">IF(AND(CX2030=$DE$2,$DF$2&lt;&gt;0),0,IF(AND(DB2030&lt;&gt;"",OR(DB2029&lt;&gt;"",DB2031&lt;&gt;"")),MAX($DF$2:DF2029)+1,0))</f>
        <v>0</v>
      </c>
    </row>
    <row r="2031" spans="102:110">
      <c r="CX2031" s="259">
        <f t="shared" ca="1" si="1717"/>
        <v>113</v>
      </c>
      <c r="CY2031" s="259" t="str">
        <f t="shared" ca="1" si="1715"/>
        <v>MASTRO</v>
      </c>
      <c r="CZ2031" s="259" t="e">
        <f t="shared" ca="1" si="1719"/>
        <v>#N/A</v>
      </c>
      <c r="DA2031" s="259" t="str">
        <f t="shared" ca="1" si="1724"/>
        <v/>
      </c>
      <c r="DB2031" s="259" t="str">
        <f t="shared" ca="1" si="1720"/>
        <v/>
      </c>
      <c r="DC2031" s="259" t="str">
        <f t="shared" ca="1" si="1721"/>
        <v/>
      </c>
      <c r="DD2031" s="259" t="str">
        <f t="shared" ca="1" si="1722"/>
        <v/>
      </c>
      <c r="DE2031" s="259" t="str">
        <f t="shared" ca="1" si="1723"/>
        <v/>
      </c>
      <c r="DF2031" s="259">
        <f ca="1">IF(AND(CX2031=$DE$2,$DF$2&lt;&gt;0),0,IF(AND(DB2031&lt;&gt;"",OR(DB2030&lt;&gt;"",DB2032&lt;&gt;"")),MAX($DF$2:DF2030)+1,0))</f>
        <v>0</v>
      </c>
    </row>
    <row r="2032" spans="102:110">
      <c r="CX2032" s="259">
        <f t="shared" ca="1" si="1717"/>
        <v>113</v>
      </c>
      <c r="CY2032" s="259" t="str">
        <f t="shared" ca="1" si="1715"/>
        <v>MASTRO</v>
      </c>
      <c r="CZ2032" s="259" t="e">
        <f t="shared" ca="1" si="1719"/>
        <v>#N/A</v>
      </c>
      <c r="DA2032" s="259" t="str">
        <f t="shared" ca="1" si="1724"/>
        <v/>
      </c>
      <c r="DB2032" s="259" t="str">
        <f t="shared" ca="1" si="1720"/>
        <v/>
      </c>
      <c r="DC2032" s="259" t="str">
        <f t="shared" ca="1" si="1721"/>
        <v/>
      </c>
      <c r="DD2032" s="259" t="str">
        <f t="shared" ca="1" si="1722"/>
        <v/>
      </c>
      <c r="DE2032" s="259" t="str">
        <f t="shared" ca="1" si="1723"/>
        <v/>
      </c>
      <c r="DF2032" s="259">
        <f ca="1">IF(AND(CX2032=$DE$2,$DF$2&lt;&gt;0),0,IF(AND(DB2032&lt;&gt;"",OR(DB2031&lt;&gt;"",DB2033&lt;&gt;"")),MAX($DF$2:DF2031)+1,0))</f>
        <v>0</v>
      </c>
    </row>
    <row r="2033" spans="102:110">
      <c r="CX2033" s="259">
        <f t="shared" ca="1" si="1717"/>
        <v>113</v>
      </c>
      <c r="CY2033" s="259" t="str">
        <f t="shared" ca="1" si="1715"/>
        <v>MASTRO</v>
      </c>
      <c r="CZ2033" s="259" t="e">
        <f t="shared" ca="1" si="1719"/>
        <v>#N/A</v>
      </c>
      <c r="DA2033" s="259" t="str">
        <f t="shared" ca="1" si="1724"/>
        <v/>
      </c>
      <c r="DB2033" s="259" t="str">
        <f t="shared" ca="1" si="1720"/>
        <v/>
      </c>
      <c r="DC2033" s="259" t="str">
        <f t="shared" ca="1" si="1721"/>
        <v/>
      </c>
      <c r="DD2033" s="259" t="str">
        <f t="shared" ca="1" si="1722"/>
        <v/>
      </c>
      <c r="DE2033" s="259" t="str">
        <f t="shared" ca="1" si="1723"/>
        <v/>
      </c>
      <c r="DF2033" s="259">
        <f ca="1">IF(AND(CX2033=$DE$2,$DF$2&lt;&gt;0),0,IF(AND(DB2033&lt;&gt;"",OR(DB2032&lt;&gt;"",DB2034&lt;&gt;"")),MAX($DF$2:DF2032)+1,0))</f>
        <v>0</v>
      </c>
    </row>
    <row r="2034" spans="102:110">
      <c r="CX2034" s="259">
        <f t="shared" ca="1" si="1717"/>
        <v>113</v>
      </c>
      <c r="CY2034" s="259" t="str">
        <f t="shared" ca="1" si="1715"/>
        <v>MASTRO</v>
      </c>
      <c r="CZ2034" s="259" t="e">
        <f t="shared" ca="1" si="1719"/>
        <v>#N/A</v>
      </c>
      <c r="DA2034" s="259" t="str">
        <f t="shared" ca="1" si="1724"/>
        <v/>
      </c>
      <c r="DB2034" s="259" t="str">
        <f t="shared" ca="1" si="1720"/>
        <v/>
      </c>
      <c r="DC2034" s="259" t="str">
        <f t="shared" ca="1" si="1721"/>
        <v/>
      </c>
      <c r="DD2034" s="259" t="str">
        <f t="shared" ca="1" si="1722"/>
        <v/>
      </c>
      <c r="DE2034" s="259" t="str">
        <f t="shared" ca="1" si="1723"/>
        <v/>
      </c>
      <c r="DF2034" s="259">
        <f ca="1">IF(AND(CX2034=$DE$2,$DF$2&lt;&gt;0),0,IF(AND(DB2034&lt;&gt;"",OR(DB2033&lt;&gt;"",DB2035&lt;&gt;"")),MAX($DF$2:DF2033)+1,0))</f>
        <v>0</v>
      </c>
    </row>
    <row r="2035" spans="102:110">
      <c r="CX2035" s="259">
        <f t="shared" ca="1" si="1717"/>
        <v>113</v>
      </c>
      <c r="CY2035" s="259" t="str">
        <f t="shared" ca="1" si="1715"/>
        <v>MASTRO</v>
      </c>
      <c r="CZ2035" s="259" t="e">
        <f t="shared" ca="1" si="1719"/>
        <v>#N/A</v>
      </c>
      <c r="DA2035" s="259" t="str">
        <f t="shared" ca="1" si="1724"/>
        <v/>
      </c>
      <c r="DB2035" s="259" t="str">
        <f t="shared" ca="1" si="1720"/>
        <v/>
      </c>
      <c r="DC2035" s="259" t="str">
        <f t="shared" ca="1" si="1721"/>
        <v/>
      </c>
      <c r="DD2035" s="259" t="str">
        <f t="shared" ca="1" si="1722"/>
        <v/>
      </c>
      <c r="DE2035" s="259" t="str">
        <f t="shared" ca="1" si="1723"/>
        <v/>
      </c>
      <c r="DF2035" s="259">
        <f ca="1">IF(AND(CX2035=$DE$2,$DF$2&lt;&gt;0),0,IF(AND(DB2035&lt;&gt;"",OR(DB2034&lt;&gt;"",DB2036&lt;&gt;"")),MAX($DF$2:DF2034)+1,0))</f>
        <v>0</v>
      </c>
    </row>
    <row r="2036" spans="102:110">
      <c r="CX2036" s="259" t="str">
        <f>IFERROR(IF(CX2018+1=1,"",(CX2018+1)),"")</f>
        <v/>
      </c>
      <c r="CY2036" s="259" t="str">
        <f t="shared" ca="1" si="1715"/>
        <v>MASTRO</v>
      </c>
      <c r="DB2036" s="259" t="str">
        <f t="shared" ref="DB2036" ca="1" si="1725">CY2036</f>
        <v>MASTRO</v>
      </c>
      <c r="DF2036" s="259">
        <f ca="1">IF(AND(CX2036=$DE$2,$DF$2&lt;&gt;0),0,IF(AND(DB2036&lt;&gt;"",OR(DB2035&lt;&gt;"",DB2037&lt;&gt;"")),MAX($DF$2:DF2035)+1,0))</f>
        <v>0</v>
      </c>
    </row>
    <row r="2037" spans="102:110">
      <c r="CX2037" s="259">
        <f ca="1">$EA$116</f>
        <v>114</v>
      </c>
      <c r="CY2037" s="259" t="str">
        <f t="shared" ca="1" si="1715"/>
        <v>MASTRO</v>
      </c>
      <c r="DA2037" s="259" t="str">
        <f ca="1">IF(CY2036="MASTRO","Conto n.","")</f>
        <v>Conto n.</v>
      </c>
      <c r="DB2037" s="259" t="str">
        <f ca="1">IF(CY2037=0,"",INDEX(PIANO_DEI_CONTI,MATCH(DC2037,DENOMINAZIONE,0),1))</f>
        <v/>
      </c>
      <c r="DC2037" s="259" t="str">
        <f ca="1">IF(OR(CY2037=0,CY2037="mastro"),"",CY2037)</f>
        <v/>
      </c>
      <c r="DD2037" s="259" t="str">
        <f ca="1">IF(AND($DA$2=TRUE,OR(INDEX(PIANO_DEI_CONTI,MATCH($DC2037,DENOMINAZIONE,0),4)="A",INDEX(PIANO_DEI_CONTI,MATCH($DC2037,DENOMINAZIONE,0),4)="D/A"),SUMIFS(AVERE,DENOMINAZIONE_GIORNALE,"="&amp;$DC2037)&gt;SUMIFS(DARE,DENOMINAZIONE_GIORNALE,"="&amp;$DC2037)),CONCATENATE("s ",FIXED(ABS(SUMIFS(AVERE,DENOMINAZIONE_GIORNALE,"="&amp;$DC2037)-SUMIFS(DARE,DENOMINAZIONE_GIORNALE,"="&amp;$DC2037)),2)),"")</f>
        <v/>
      </c>
      <c r="DE2037" s="259" t="str">
        <f ca="1">IF(AND($DA$2=TRUE,OR(INDEX(PIANO_DEI_CONTI,MATCH($DC2037,DENOMINAZIONE,0),4)="D",INDEX(PIANO_DEI_CONTI,MATCH($DC2037,DENOMINAZIONE,0),4)="D/A"),SUMIFS(DARE,DENOMINAZIONE_GIORNALE,"="&amp;$DC2037)&gt;SUMIFS(AVERE,DENOMINAZIONE_GIORNALE,"="&amp;$DC2037)),CONCATENATE("s ",FIXED(ABS(SUMIFS(DARE,DENOMINAZIONE_GIORNALE,"="&amp;$DC2037)-SUMIFS(AVERE,DENOMINAZIONE_GIORNALE,"="&amp;$DC2037)),2)),"")</f>
        <v/>
      </c>
      <c r="DF2037" s="259">
        <f ca="1">IF(AND(CX2037=$DE$2,$DF$2&lt;&gt;0),0,IF(AND(DB2037&lt;&gt;"",OR(DB2036&lt;&gt;"",DB2038&lt;&gt;"")),MAX($DF$2:DF2036)+1,0))</f>
        <v>0</v>
      </c>
    </row>
    <row r="2038" spans="102:110">
      <c r="CX2038" s="259">
        <f t="shared" ref="CX2038:CX2053" ca="1" si="1726">$EA$116</f>
        <v>114</v>
      </c>
      <c r="CY2038" s="259" t="str">
        <f t="shared" ca="1" si="1715"/>
        <v>MASTRO</v>
      </c>
      <c r="DA2038" s="259" t="str">
        <f ca="1">IF(DB2037="","","Num. riga")</f>
        <v/>
      </c>
      <c r="DB2038" s="259" t="str">
        <f t="shared" ref="DB2038" ca="1" si="1727">IF(DB2037="","","Data")</f>
        <v/>
      </c>
      <c r="DC2038" s="259" t="str">
        <f ca="1">IF(DB2037="","","Operazioni")</f>
        <v/>
      </c>
      <c r="DD2038" s="259" t="str">
        <f ca="1">IF(DB2037="","","Dare        ")</f>
        <v/>
      </c>
      <c r="DE2038" s="259" t="str">
        <f ca="1">IF(DB2037="","","Avere        ")</f>
        <v/>
      </c>
      <c r="DF2038" s="259">
        <f ca="1">IF(AND(CX2038=$DE$2,$DF$2&lt;&gt;0),0,IF(AND(DB2038&lt;&gt;"",OR(DB2037&lt;&gt;"",DB2039&lt;&gt;"")),MAX($DF$2:DF2037)+1,0))</f>
        <v>0</v>
      </c>
    </row>
    <row r="2039" spans="102:110">
      <c r="CX2039" s="259">
        <f t="shared" ca="1" si="1726"/>
        <v>114</v>
      </c>
      <c r="CY2039" s="259" t="str">
        <f t="shared" ca="1" si="1715"/>
        <v>MASTRO</v>
      </c>
      <c r="CZ2039" s="259" t="e">
        <f t="shared" ref="CZ2039:CZ2053" ca="1" si="1728">SUM(MATCH($CY2039,INDIRECT(ADDRESS(SUM(CZ2038)+3,54)&amp;":"&amp;ADDRESS(400,54)),0),CZ2038)</f>
        <v>#N/A</v>
      </c>
      <c r="DA2039" s="259" t="str">
        <f ca="1">IFERROR(INDEX(LIBRO_GIORNALE,CZ2039,1),"")</f>
        <v/>
      </c>
      <c r="DB2039" s="259" t="str">
        <f t="shared" ref="DB2039:DB2053" ca="1" si="1729">IF(RIGHT(TEXT(IFERROR(INDEX(LIBRO_GIORNALE,CZ2039,2),""),"gg/mm/aa"),1)="a",TEXT(IFERROR(INDEX(LIBRO_GIORNALE,CZ2039,2),""),"dd/mm/yy"),TEXT(IFERROR(INDEX(LIBRO_GIORNALE,CZ2039,2),""),"gg/mm/aa"))</f>
        <v/>
      </c>
      <c r="DC2039" s="259" t="str">
        <f t="shared" ref="DC2039:DC2053" ca="1" si="1730">IF(IFERROR(INDEX(LIBRO_GIORNALE,CZ2039,4),"")=0,"manca la descrizione dell'operazione",IFERROR(INDEX(LIBRO_GIORNALE,CZ2039,4),""))</f>
        <v/>
      </c>
      <c r="DD2039" s="259" t="str">
        <f t="shared" ref="DD2039:DD2053" ca="1" si="1731">IFERROR(IF(INDEX(LIBRO_GIORNALE,CZ2039,5)&gt;0,INDEX(LIBRO_GIORNALE,CZ2039,5),""),"")</f>
        <v/>
      </c>
      <c r="DE2039" s="259" t="str">
        <f t="shared" ref="DE2039:DE2053" ca="1" si="1732">IFERROR(IF(INDEX(LIBRO_GIORNALE,CZ2039,6)&gt;0,INDEX(LIBRO_GIORNALE,CZ2039,6),""),"")</f>
        <v/>
      </c>
      <c r="DF2039" s="259">
        <f ca="1">IF(AND(CX2039=$DE$2,$DF$2&lt;&gt;0),0,IF(AND(DB2039&lt;&gt;"",OR(DB2038&lt;&gt;"",DB2040&lt;&gt;"")),MAX($DF$2:DF2038)+1,0))</f>
        <v>0</v>
      </c>
    </row>
    <row r="2040" spans="102:110">
      <c r="CX2040" s="259">
        <f t="shared" ca="1" si="1726"/>
        <v>114</v>
      </c>
      <c r="CY2040" s="259" t="str">
        <f t="shared" ca="1" si="1715"/>
        <v>MASTRO</v>
      </c>
      <c r="CZ2040" s="259" t="e">
        <f t="shared" ca="1" si="1728"/>
        <v>#N/A</v>
      </c>
      <c r="DA2040" s="259" t="str">
        <f t="shared" ref="DA2040:DA2053" ca="1" si="1733">IFERROR(INDEX(LIBRO_GIORNALE,CZ2040,1),"")</f>
        <v/>
      </c>
      <c r="DB2040" s="259" t="str">
        <f t="shared" ca="1" si="1729"/>
        <v/>
      </c>
      <c r="DC2040" s="259" t="str">
        <f t="shared" ca="1" si="1730"/>
        <v/>
      </c>
      <c r="DD2040" s="259" t="str">
        <f t="shared" ca="1" si="1731"/>
        <v/>
      </c>
      <c r="DE2040" s="259" t="str">
        <f t="shared" ca="1" si="1732"/>
        <v/>
      </c>
      <c r="DF2040" s="259">
        <f ca="1">IF(AND(CX2040=$DE$2,$DF$2&lt;&gt;0),0,IF(AND(DB2040&lt;&gt;"",OR(DB2039&lt;&gt;"",DB2041&lt;&gt;"")),MAX($DF$2:DF2039)+1,0))</f>
        <v>0</v>
      </c>
    </row>
    <row r="2041" spans="102:110">
      <c r="CX2041" s="259">
        <f t="shared" ca="1" si="1726"/>
        <v>114</v>
      </c>
      <c r="CY2041" s="259" t="str">
        <f t="shared" ca="1" si="1715"/>
        <v>MASTRO</v>
      </c>
      <c r="CZ2041" s="259" t="e">
        <f t="shared" ca="1" si="1728"/>
        <v>#N/A</v>
      </c>
      <c r="DA2041" s="259" t="str">
        <f t="shared" ca="1" si="1733"/>
        <v/>
      </c>
      <c r="DB2041" s="259" t="str">
        <f t="shared" ca="1" si="1729"/>
        <v/>
      </c>
      <c r="DC2041" s="259" t="str">
        <f t="shared" ca="1" si="1730"/>
        <v/>
      </c>
      <c r="DD2041" s="259" t="str">
        <f t="shared" ca="1" si="1731"/>
        <v/>
      </c>
      <c r="DE2041" s="259" t="str">
        <f t="shared" ca="1" si="1732"/>
        <v/>
      </c>
      <c r="DF2041" s="259">
        <f ca="1">IF(AND(CX2041=$DE$2,$DF$2&lt;&gt;0),0,IF(AND(DB2041&lt;&gt;"",OR(DB2040&lt;&gt;"",DB2042&lt;&gt;"")),MAX($DF$2:DF2040)+1,0))</f>
        <v>0</v>
      </c>
    </row>
    <row r="2042" spans="102:110">
      <c r="CX2042" s="259">
        <f t="shared" ca="1" si="1726"/>
        <v>114</v>
      </c>
      <c r="CY2042" s="259" t="str">
        <f t="shared" ca="1" si="1715"/>
        <v>MASTRO</v>
      </c>
      <c r="CZ2042" s="259" t="e">
        <f t="shared" ca="1" si="1728"/>
        <v>#N/A</v>
      </c>
      <c r="DA2042" s="259" t="str">
        <f t="shared" ca="1" si="1733"/>
        <v/>
      </c>
      <c r="DB2042" s="259" t="str">
        <f t="shared" ca="1" si="1729"/>
        <v/>
      </c>
      <c r="DC2042" s="259" t="str">
        <f t="shared" ca="1" si="1730"/>
        <v/>
      </c>
      <c r="DD2042" s="259" t="str">
        <f t="shared" ca="1" si="1731"/>
        <v/>
      </c>
      <c r="DE2042" s="259" t="str">
        <f t="shared" ca="1" si="1732"/>
        <v/>
      </c>
      <c r="DF2042" s="259">
        <f ca="1">IF(AND(CX2042=$DE$2,$DF$2&lt;&gt;0),0,IF(AND(DB2042&lt;&gt;"",OR(DB2041&lt;&gt;"",DB2043&lt;&gt;"")),MAX($DF$2:DF2041)+1,0))</f>
        <v>0</v>
      </c>
    </row>
    <row r="2043" spans="102:110">
      <c r="CX2043" s="259">
        <f t="shared" ca="1" si="1726"/>
        <v>114</v>
      </c>
      <c r="CY2043" s="259" t="str">
        <f t="shared" ca="1" si="1715"/>
        <v>MASTRO</v>
      </c>
      <c r="CZ2043" s="259" t="e">
        <f t="shared" ca="1" si="1728"/>
        <v>#N/A</v>
      </c>
      <c r="DA2043" s="259" t="str">
        <f t="shared" ca="1" si="1733"/>
        <v/>
      </c>
      <c r="DB2043" s="259" t="str">
        <f t="shared" ca="1" si="1729"/>
        <v/>
      </c>
      <c r="DC2043" s="259" t="str">
        <f t="shared" ca="1" si="1730"/>
        <v/>
      </c>
      <c r="DD2043" s="259" t="str">
        <f t="shared" ca="1" si="1731"/>
        <v/>
      </c>
      <c r="DE2043" s="259" t="str">
        <f t="shared" ca="1" si="1732"/>
        <v/>
      </c>
      <c r="DF2043" s="259">
        <f ca="1">IF(AND(CX2043=$DE$2,$DF$2&lt;&gt;0),0,IF(AND(DB2043&lt;&gt;"",OR(DB2042&lt;&gt;"",DB2044&lt;&gt;"")),MAX($DF$2:DF2042)+1,0))</f>
        <v>0</v>
      </c>
    </row>
    <row r="2044" spans="102:110">
      <c r="CX2044" s="259">
        <f t="shared" ca="1" si="1726"/>
        <v>114</v>
      </c>
      <c r="CY2044" s="259" t="str">
        <f t="shared" ca="1" si="1715"/>
        <v>MASTRO</v>
      </c>
      <c r="CZ2044" s="259" t="e">
        <f t="shared" ca="1" si="1728"/>
        <v>#N/A</v>
      </c>
      <c r="DA2044" s="259" t="str">
        <f t="shared" ca="1" si="1733"/>
        <v/>
      </c>
      <c r="DB2044" s="259" t="str">
        <f t="shared" ca="1" si="1729"/>
        <v/>
      </c>
      <c r="DC2044" s="259" t="str">
        <f t="shared" ca="1" si="1730"/>
        <v/>
      </c>
      <c r="DD2044" s="259" t="str">
        <f t="shared" ca="1" si="1731"/>
        <v/>
      </c>
      <c r="DE2044" s="259" t="str">
        <f t="shared" ca="1" si="1732"/>
        <v/>
      </c>
      <c r="DF2044" s="259">
        <f ca="1">IF(AND(CX2044=$DE$2,$DF$2&lt;&gt;0),0,IF(AND(DB2044&lt;&gt;"",OR(DB2043&lt;&gt;"",DB2045&lt;&gt;"")),MAX($DF$2:DF2043)+1,0))</f>
        <v>0</v>
      </c>
    </row>
    <row r="2045" spans="102:110">
      <c r="CX2045" s="259">
        <f t="shared" ca="1" si="1726"/>
        <v>114</v>
      </c>
      <c r="CY2045" s="259" t="str">
        <f t="shared" ca="1" si="1715"/>
        <v>MASTRO</v>
      </c>
      <c r="CZ2045" s="259" t="e">
        <f t="shared" ca="1" si="1728"/>
        <v>#N/A</v>
      </c>
      <c r="DA2045" s="259" t="str">
        <f t="shared" ca="1" si="1733"/>
        <v/>
      </c>
      <c r="DB2045" s="259" t="str">
        <f t="shared" ca="1" si="1729"/>
        <v/>
      </c>
      <c r="DC2045" s="259" t="str">
        <f t="shared" ca="1" si="1730"/>
        <v/>
      </c>
      <c r="DD2045" s="259" t="str">
        <f t="shared" ca="1" si="1731"/>
        <v/>
      </c>
      <c r="DE2045" s="259" t="str">
        <f t="shared" ca="1" si="1732"/>
        <v/>
      </c>
      <c r="DF2045" s="259">
        <f ca="1">IF(AND(CX2045=$DE$2,$DF$2&lt;&gt;0),0,IF(AND(DB2045&lt;&gt;"",OR(DB2044&lt;&gt;"",DB2046&lt;&gt;"")),MAX($DF$2:DF2044)+1,0))</f>
        <v>0</v>
      </c>
    </row>
    <row r="2046" spans="102:110">
      <c r="CX2046" s="259">
        <f t="shared" ca="1" si="1726"/>
        <v>114</v>
      </c>
      <c r="CY2046" s="259" t="str">
        <f t="shared" ca="1" si="1715"/>
        <v>MASTRO</v>
      </c>
      <c r="CZ2046" s="259" t="e">
        <f t="shared" ca="1" si="1728"/>
        <v>#N/A</v>
      </c>
      <c r="DA2046" s="259" t="str">
        <f t="shared" ca="1" si="1733"/>
        <v/>
      </c>
      <c r="DB2046" s="259" t="str">
        <f t="shared" ca="1" si="1729"/>
        <v/>
      </c>
      <c r="DC2046" s="259" t="str">
        <f t="shared" ca="1" si="1730"/>
        <v/>
      </c>
      <c r="DD2046" s="259" t="str">
        <f t="shared" ca="1" si="1731"/>
        <v/>
      </c>
      <c r="DE2046" s="259" t="str">
        <f t="shared" ca="1" si="1732"/>
        <v/>
      </c>
      <c r="DF2046" s="259">
        <f ca="1">IF(AND(CX2046=$DE$2,$DF$2&lt;&gt;0),0,IF(AND(DB2046&lt;&gt;"",OR(DB2045&lt;&gt;"",DB2047&lt;&gt;"")),MAX($DF$2:DF2045)+1,0))</f>
        <v>0</v>
      </c>
    </row>
    <row r="2047" spans="102:110">
      <c r="CX2047" s="259">
        <f t="shared" ca="1" si="1726"/>
        <v>114</v>
      </c>
      <c r="CY2047" s="259" t="str">
        <f t="shared" ca="1" si="1715"/>
        <v>MASTRO</v>
      </c>
      <c r="CZ2047" s="259" t="e">
        <f t="shared" ca="1" si="1728"/>
        <v>#N/A</v>
      </c>
      <c r="DA2047" s="259" t="str">
        <f t="shared" ca="1" si="1733"/>
        <v/>
      </c>
      <c r="DB2047" s="259" t="str">
        <f t="shared" ca="1" si="1729"/>
        <v/>
      </c>
      <c r="DC2047" s="259" t="str">
        <f t="shared" ca="1" si="1730"/>
        <v/>
      </c>
      <c r="DD2047" s="259" t="str">
        <f t="shared" ca="1" si="1731"/>
        <v/>
      </c>
      <c r="DE2047" s="259" t="str">
        <f t="shared" ca="1" si="1732"/>
        <v/>
      </c>
      <c r="DF2047" s="259">
        <f ca="1">IF(AND(CX2047=$DE$2,$DF$2&lt;&gt;0),0,IF(AND(DB2047&lt;&gt;"",OR(DB2046&lt;&gt;"",DB2048&lt;&gt;"")),MAX($DF$2:DF2046)+1,0))</f>
        <v>0</v>
      </c>
    </row>
    <row r="2048" spans="102:110">
      <c r="CX2048" s="259">
        <f t="shared" ca="1" si="1726"/>
        <v>114</v>
      </c>
      <c r="CY2048" s="259" t="str">
        <f t="shared" ca="1" si="1715"/>
        <v>MASTRO</v>
      </c>
      <c r="CZ2048" s="259" t="e">
        <f t="shared" ca="1" si="1728"/>
        <v>#N/A</v>
      </c>
      <c r="DA2048" s="259" t="str">
        <f t="shared" ca="1" si="1733"/>
        <v/>
      </c>
      <c r="DB2048" s="259" t="str">
        <f t="shared" ca="1" si="1729"/>
        <v/>
      </c>
      <c r="DC2048" s="259" t="str">
        <f t="shared" ca="1" si="1730"/>
        <v/>
      </c>
      <c r="DD2048" s="259" t="str">
        <f t="shared" ca="1" si="1731"/>
        <v/>
      </c>
      <c r="DE2048" s="259" t="str">
        <f t="shared" ca="1" si="1732"/>
        <v/>
      </c>
      <c r="DF2048" s="259">
        <f ca="1">IF(AND(CX2048=$DE$2,$DF$2&lt;&gt;0),0,IF(AND(DB2048&lt;&gt;"",OR(DB2047&lt;&gt;"",DB2049&lt;&gt;"")),MAX($DF$2:DF2047)+1,0))</f>
        <v>0</v>
      </c>
    </row>
    <row r="2049" spans="102:110">
      <c r="CX2049" s="259">
        <f t="shared" ca="1" si="1726"/>
        <v>114</v>
      </c>
      <c r="CY2049" s="259" t="str">
        <f t="shared" ca="1" si="1715"/>
        <v>MASTRO</v>
      </c>
      <c r="CZ2049" s="259" t="e">
        <f t="shared" ca="1" si="1728"/>
        <v>#N/A</v>
      </c>
      <c r="DA2049" s="259" t="str">
        <f t="shared" ca="1" si="1733"/>
        <v/>
      </c>
      <c r="DB2049" s="259" t="str">
        <f t="shared" ca="1" si="1729"/>
        <v/>
      </c>
      <c r="DC2049" s="259" t="str">
        <f t="shared" ca="1" si="1730"/>
        <v/>
      </c>
      <c r="DD2049" s="259" t="str">
        <f t="shared" ca="1" si="1731"/>
        <v/>
      </c>
      <c r="DE2049" s="259" t="str">
        <f t="shared" ca="1" si="1732"/>
        <v/>
      </c>
      <c r="DF2049" s="259">
        <f ca="1">IF(AND(CX2049=$DE$2,$DF$2&lt;&gt;0),0,IF(AND(DB2049&lt;&gt;"",OR(DB2048&lt;&gt;"",DB2050&lt;&gt;"")),MAX($DF$2:DF2048)+1,0))</f>
        <v>0</v>
      </c>
    </row>
    <row r="2050" spans="102:110">
      <c r="CX2050" s="259">
        <f t="shared" ca="1" si="1726"/>
        <v>114</v>
      </c>
      <c r="CY2050" s="259" t="str">
        <f t="shared" ref="CY2050:CY2081" ca="1" si="1734">IF(ISERROR(INDEX($CV$3:$CX$2300,MATCH(CX2050,$CW$3:$CW$2300,0),1)),"MASTRO",INDEX($CV$3:$CX$2300,MATCH(CX2050,$CW$3:$CW$2300,0),1))</f>
        <v>MASTRO</v>
      </c>
      <c r="CZ2050" s="259" t="e">
        <f t="shared" ca="1" si="1728"/>
        <v>#N/A</v>
      </c>
      <c r="DA2050" s="259" t="str">
        <f t="shared" ca="1" si="1733"/>
        <v/>
      </c>
      <c r="DB2050" s="259" t="str">
        <f t="shared" ca="1" si="1729"/>
        <v/>
      </c>
      <c r="DC2050" s="259" t="str">
        <f t="shared" ca="1" si="1730"/>
        <v/>
      </c>
      <c r="DD2050" s="259" t="str">
        <f t="shared" ca="1" si="1731"/>
        <v/>
      </c>
      <c r="DE2050" s="259" t="str">
        <f t="shared" ca="1" si="1732"/>
        <v/>
      </c>
      <c r="DF2050" s="259">
        <f ca="1">IF(AND(CX2050=$DE$2,$DF$2&lt;&gt;0),0,IF(AND(DB2050&lt;&gt;"",OR(DB2049&lt;&gt;"",DB2051&lt;&gt;"")),MAX($DF$2:DF2049)+1,0))</f>
        <v>0</v>
      </c>
    </row>
    <row r="2051" spans="102:110">
      <c r="CX2051" s="259">
        <f t="shared" ca="1" si="1726"/>
        <v>114</v>
      </c>
      <c r="CY2051" s="259" t="str">
        <f t="shared" ca="1" si="1734"/>
        <v>MASTRO</v>
      </c>
      <c r="CZ2051" s="259" t="e">
        <f t="shared" ca="1" si="1728"/>
        <v>#N/A</v>
      </c>
      <c r="DA2051" s="259" t="str">
        <f t="shared" ca="1" si="1733"/>
        <v/>
      </c>
      <c r="DB2051" s="259" t="str">
        <f t="shared" ca="1" si="1729"/>
        <v/>
      </c>
      <c r="DC2051" s="259" t="str">
        <f t="shared" ca="1" si="1730"/>
        <v/>
      </c>
      <c r="DD2051" s="259" t="str">
        <f t="shared" ca="1" si="1731"/>
        <v/>
      </c>
      <c r="DE2051" s="259" t="str">
        <f t="shared" ca="1" si="1732"/>
        <v/>
      </c>
      <c r="DF2051" s="259">
        <f ca="1">IF(AND(CX2051=$DE$2,$DF$2&lt;&gt;0),0,IF(AND(DB2051&lt;&gt;"",OR(DB2050&lt;&gt;"",DB2052&lt;&gt;"")),MAX($DF$2:DF2050)+1,0))</f>
        <v>0</v>
      </c>
    </row>
    <row r="2052" spans="102:110">
      <c r="CX2052" s="259">
        <f t="shared" ca="1" si="1726"/>
        <v>114</v>
      </c>
      <c r="CY2052" s="259" t="str">
        <f t="shared" ca="1" si="1734"/>
        <v>MASTRO</v>
      </c>
      <c r="CZ2052" s="259" t="e">
        <f t="shared" ca="1" si="1728"/>
        <v>#N/A</v>
      </c>
      <c r="DA2052" s="259" t="str">
        <f t="shared" ca="1" si="1733"/>
        <v/>
      </c>
      <c r="DB2052" s="259" t="str">
        <f t="shared" ca="1" si="1729"/>
        <v/>
      </c>
      <c r="DC2052" s="259" t="str">
        <f t="shared" ca="1" si="1730"/>
        <v/>
      </c>
      <c r="DD2052" s="259" t="str">
        <f t="shared" ca="1" si="1731"/>
        <v/>
      </c>
      <c r="DE2052" s="259" t="str">
        <f t="shared" ca="1" si="1732"/>
        <v/>
      </c>
      <c r="DF2052" s="259">
        <f ca="1">IF(AND(CX2052=$DE$2,$DF$2&lt;&gt;0),0,IF(AND(DB2052&lt;&gt;"",OR(DB2051&lt;&gt;"",DB2053&lt;&gt;"")),MAX($DF$2:DF2051)+1,0))</f>
        <v>0</v>
      </c>
    </row>
    <row r="2053" spans="102:110">
      <c r="CX2053" s="259">
        <f t="shared" ca="1" si="1726"/>
        <v>114</v>
      </c>
      <c r="CY2053" s="259" t="str">
        <f t="shared" ca="1" si="1734"/>
        <v>MASTRO</v>
      </c>
      <c r="CZ2053" s="259" t="e">
        <f t="shared" ca="1" si="1728"/>
        <v>#N/A</v>
      </c>
      <c r="DA2053" s="259" t="str">
        <f t="shared" ca="1" si="1733"/>
        <v/>
      </c>
      <c r="DB2053" s="259" t="str">
        <f t="shared" ca="1" si="1729"/>
        <v/>
      </c>
      <c r="DC2053" s="259" t="str">
        <f t="shared" ca="1" si="1730"/>
        <v/>
      </c>
      <c r="DD2053" s="259" t="str">
        <f t="shared" ca="1" si="1731"/>
        <v/>
      </c>
      <c r="DE2053" s="259" t="str">
        <f t="shared" ca="1" si="1732"/>
        <v/>
      </c>
      <c r="DF2053" s="259">
        <f ca="1">IF(AND(CX2053=$DE$2,$DF$2&lt;&gt;0),0,IF(AND(DB2053&lt;&gt;"",OR(DB2052&lt;&gt;"",DB2054&lt;&gt;"")),MAX($DF$2:DF2052)+1,0))</f>
        <v>0</v>
      </c>
    </row>
    <row r="2054" spans="102:110">
      <c r="CX2054" s="259" t="str">
        <f>IFERROR(IF(CX2036+1=1,"",(CX2036+1)),"")</f>
        <v/>
      </c>
      <c r="CY2054" s="259" t="str">
        <f t="shared" ca="1" si="1734"/>
        <v>MASTRO</v>
      </c>
      <c r="DB2054" s="259" t="str">
        <f t="shared" ref="DB2054" ca="1" si="1735">CY2054</f>
        <v>MASTRO</v>
      </c>
      <c r="DF2054" s="259">
        <f ca="1">IF(AND(CX2054=$DE$2,$DF$2&lt;&gt;0),0,IF(AND(DB2054&lt;&gt;"",OR(DB2053&lt;&gt;"",DB2055&lt;&gt;"")),MAX($DF$2:DF2053)+1,0))</f>
        <v>0</v>
      </c>
    </row>
    <row r="2055" spans="102:110">
      <c r="CX2055" s="259">
        <f ca="1">$EA$117</f>
        <v>115</v>
      </c>
      <c r="CY2055" s="259" t="str">
        <f t="shared" ca="1" si="1734"/>
        <v>MASTRO</v>
      </c>
      <c r="DA2055" s="259" t="str">
        <f ca="1">IF(CY2054="MASTRO","Conto n.","")</f>
        <v>Conto n.</v>
      </c>
      <c r="DB2055" s="259" t="str">
        <f ca="1">IF(CY2055=0,"",INDEX(PIANO_DEI_CONTI,MATCH(DC2055,DENOMINAZIONE,0),1))</f>
        <v/>
      </c>
      <c r="DC2055" s="259" t="str">
        <f ca="1">IF(OR(CY2055=0,CY2055="mastro"),"",CY2055)</f>
        <v/>
      </c>
      <c r="DD2055" s="259" t="str">
        <f ca="1">IF(AND($DA$2=TRUE,OR(INDEX(PIANO_DEI_CONTI,MATCH($DC2055,DENOMINAZIONE,0),4)="A",INDEX(PIANO_DEI_CONTI,MATCH($DC2055,DENOMINAZIONE,0),4)="D/A"),SUMIFS(AVERE,DENOMINAZIONE_GIORNALE,"="&amp;$DC2055)&gt;SUMIFS(DARE,DENOMINAZIONE_GIORNALE,"="&amp;$DC2055)),CONCATENATE("s ",FIXED(ABS(SUMIFS(AVERE,DENOMINAZIONE_GIORNALE,"="&amp;$DC2055)-SUMIFS(DARE,DENOMINAZIONE_GIORNALE,"="&amp;$DC2055)),2)),"")</f>
        <v/>
      </c>
      <c r="DE2055" s="259" t="str">
        <f ca="1">IF(AND($DA$2=TRUE,OR(INDEX(PIANO_DEI_CONTI,MATCH($DC2055,DENOMINAZIONE,0),4)="D",INDEX(PIANO_DEI_CONTI,MATCH($DC2055,DENOMINAZIONE,0),4)="D/A"),SUMIFS(DARE,DENOMINAZIONE_GIORNALE,"="&amp;$DC2055)&gt;SUMIFS(AVERE,DENOMINAZIONE_GIORNALE,"="&amp;$DC2055)),CONCATENATE("s ",FIXED(ABS(SUMIFS(DARE,DENOMINAZIONE_GIORNALE,"="&amp;$DC2055)-SUMIFS(AVERE,DENOMINAZIONE_GIORNALE,"="&amp;$DC2055)),2)),"")</f>
        <v/>
      </c>
      <c r="DF2055" s="259">
        <f ca="1">IF(AND(CX2055=$DE$2,$DF$2&lt;&gt;0),0,IF(AND(DB2055&lt;&gt;"",OR(DB2054&lt;&gt;"",DB2056&lt;&gt;"")),MAX($DF$2:DF2054)+1,0))</f>
        <v>0</v>
      </c>
    </row>
    <row r="2056" spans="102:110">
      <c r="CX2056" s="259">
        <f t="shared" ref="CX2056:CX2071" ca="1" si="1736">$EA$117</f>
        <v>115</v>
      </c>
      <c r="CY2056" s="259" t="str">
        <f t="shared" ca="1" si="1734"/>
        <v>MASTRO</v>
      </c>
      <c r="DA2056" s="259" t="str">
        <f ca="1">IF(DB2055="","","Num. riga")</f>
        <v/>
      </c>
      <c r="DB2056" s="259" t="str">
        <f t="shared" ref="DB2056" ca="1" si="1737">IF(DB2055="","","Data")</f>
        <v/>
      </c>
      <c r="DC2056" s="259" t="str">
        <f ca="1">IF(DB2055="","","Operazioni")</f>
        <v/>
      </c>
      <c r="DD2056" s="259" t="str">
        <f ca="1">IF(DB2055="","","Dare        ")</f>
        <v/>
      </c>
      <c r="DE2056" s="259" t="str">
        <f ca="1">IF(DB2055="","","Avere        ")</f>
        <v/>
      </c>
      <c r="DF2056" s="259">
        <f ca="1">IF(AND(CX2056=$DE$2,$DF$2&lt;&gt;0),0,IF(AND(DB2056&lt;&gt;"",OR(DB2055&lt;&gt;"",DB2057&lt;&gt;"")),MAX($DF$2:DF2055)+1,0))</f>
        <v>0</v>
      </c>
    </row>
    <row r="2057" spans="102:110">
      <c r="CX2057" s="259">
        <f t="shared" ca="1" si="1736"/>
        <v>115</v>
      </c>
      <c r="CY2057" s="259" t="str">
        <f t="shared" ca="1" si="1734"/>
        <v>MASTRO</v>
      </c>
      <c r="CZ2057" s="259" t="e">
        <f t="shared" ref="CZ2057:CZ2071" ca="1" si="1738">SUM(MATCH($CY2057,INDIRECT(ADDRESS(SUM(CZ2056)+3,54)&amp;":"&amp;ADDRESS(400,54)),0),CZ2056)</f>
        <v>#N/A</v>
      </c>
      <c r="DA2057" s="259" t="str">
        <f ca="1">IFERROR(INDEX(LIBRO_GIORNALE,CZ2057,1),"")</f>
        <v/>
      </c>
      <c r="DB2057" s="259" t="str">
        <f t="shared" ref="DB2057:DB2071" ca="1" si="1739">IF(RIGHT(TEXT(IFERROR(INDEX(LIBRO_GIORNALE,CZ2057,2),""),"gg/mm/aa"),1)="a",TEXT(IFERROR(INDEX(LIBRO_GIORNALE,CZ2057,2),""),"dd/mm/yy"),TEXT(IFERROR(INDEX(LIBRO_GIORNALE,CZ2057,2),""),"gg/mm/aa"))</f>
        <v/>
      </c>
      <c r="DC2057" s="259" t="str">
        <f t="shared" ref="DC2057:DC2071" ca="1" si="1740">IF(IFERROR(INDEX(LIBRO_GIORNALE,CZ2057,4),"")=0,"manca la descrizione dell'operazione",IFERROR(INDEX(LIBRO_GIORNALE,CZ2057,4),""))</f>
        <v/>
      </c>
      <c r="DD2057" s="259" t="str">
        <f t="shared" ref="DD2057:DD2071" ca="1" si="1741">IFERROR(IF(INDEX(LIBRO_GIORNALE,CZ2057,5)&gt;0,INDEX(LIBRO_GIORNALE,CZ2057,5),""),"")</f>
        <v/>
      </c>
      <c r="DE2057" s="259" t="str">
        <f t="shared" ref="DE2057:DE2071" ca="1" si="1742">IFERROR(IF(INDEX(LIBRO_GIORNALE,CZ2057,6)&gt;0,INDEX(LIBRO_GIORNALE,CZ2057,6),""),"")</f>
        <v/>
      </c>
      <c r="DF2057" s="259">
        <f ca="1">IF(AND(CX2057=$DE$2,$DF$2&lt;&gt;0),0,IF(AND(DB2057&lt;&gt;"",OR(DB2056&lt;&gt;"",DB2058&lt;&gt;"")),MAX($DF$2:DF2056)+1,0))</f>
        <v>0</v>
      </c>
    </row>
    <row r="2058" spans="102:110">
      <c r="CX2058" s="259">
        <f t="shared" ca="1" si="1736"/>
        <v>115</v>
      </c>
      <c r="CY2058" s="259" t="str">
        <f t="shared" ca="1" si="1734"/>
        <v>MASTRO</v>
      </c>
      <c r="CZ2058" s="259" t="e">
        <f t="shared" ca="1" si="1738"/>
        <v>#N/A</v>
      </c>
      <c r="DA2058" s="259" t="str">
        <f t="shared" ref="DA2058:DA2071" ca="1" si="1743">IFERROR(INDEX(LIBRO_GIORNALE,CZ2058,1),"")</f>
        <v/>
      </c>
      <c r="DB2058" s="259" t="str">
        <f t="shared" ca="1" si="1739"/>
        <v/>
      </c>
      <c r="DC2058" s="259" t="str">
        <f t="shared" ca="1" si="1740"/>
        <v/>
      </c>
      <c r="DD2058" s="259" t="str">
        <f t="shared" ca="1" si="1741"/>
        <v/>
      </c>
      <c r="DE2058" s="259" t="str">
        <f t="shared" ca="1" si="1742"/>
        <v/>
      </c>
      <c r="DF2058" s="259">
        <f ca="1">IF(AND(CX2058=$DE$2,$DF$2&lt;&gt;0),0,IF(AND(DB2058&lt;&gt;"",OR(DB2057&lt;&gt;"",DB2059&lt;&gt;"")),MAX($DF$2:DF2057)+1,0))</f>
        <v>0</v>
      </c>
    </row>
    <row r="2059" spans="102:110">
      <c r="CX2059" s="259">
        <f t="shared" ca="1" si="1736"/>
        <v>115</v>
      </c>
      <c r="CY2059" s="259" t="str">
        <f t="shared" ca="1" si="1734"/>
        <v>MASTRO</v>
      </c>
      <c r="CZ2059" s="259" t="e">
        <f t="shared" ca="1" si="1738"/>
        <v>#N/A</v>
      </c>
      <c r="DA2059" s="259" t="str">
        <f t="shared" ca="1" si="1743"/>
        <v/>
      </c>
      <c r="DB2059" s="259" t="str">
        <f t="shared" ca="1" si="1739"/>
        <v/>
      </c>
      <c r="DC2059" s="259" t="str">
        <f t="shared" ca="1" si="1740"/>
        <v/>
      </c>
      <c r="DD2059" s="259" t="str">
        <f t="shared" ca="1" si="1741"/>
        <v/>
      </c>
      <c r="DE2059" s="259" t="str">
        <f t="shared" ca="1" si="1742"/>
        <v/>
      </c>
      <c r="DF2059" s="259">
        <f ca="1">IF(AND(CX2059=$DE$2,$DF$2&lt;&gt;0),0,IF(AND(DB2059&lt;&gt;"",OR(DB2058&lt;&gt;"",DB2060&lt;&gt;"")),MAX($DF$2:DF2058)+1,0))</f>
        <v>0</v>
      </c>
    </row>
    <row r="2060" spans="102:110">
      <c r="CX2060" s="259">
        <f t="shared" ca="1" si="1736"/>
        <v>115</v>
      </c>
      <c r="CY2060" s="259" t="str">
        <f t="shared" ca="1" si="1734"/>
        <v>MASTRO</v>
      </c>
      <c r="CZ2060" s="259" t="e">
        <f t="shared" ca="1" si="1738"/>
        <v>#N/A</v>
      </c>
      <c r="DA2060" s="259" t="str">
        <f t="shared" ca="1" si="1743"/>
        <v/>
      </c>
      <c r="DB2060" s="259" t="str">
        <f t="shared" ca="1" si="1739"/>
        <v/>
      </c>
      <c r="DC2060" s="259" t="str">
        <f t="shared" ca="1" si="1740"/>
        <v/>
      </c>
      <c r="DD2060" s="259" t="str">
        <f t="shared" ca="1" si="1741"/>
        <v/>
      </c>
      <c r="DE2060" s="259" t="str">
        <f t="shared" ca="1" si="1742"/>
        <v/>
      </c>
      <c r="DF2060" s="259">
        <f ca="1">IF(AND(CX2060=$DE$2,$DF$2&lt;&gt;0),0,IF(AND(DB2060&lt;&gt;"",OR(DB2059&lt;&gt;"",DB2061&lt;&gt;"")),MAX($DF$2:DF2059)+1,0))</f>
        <v>0</v>
      </c>
    </row>
    <row r="2061" spans="102:110">
      <c r="CX2061" s="259">
        <f t="shared" ca="1" si="1736"/>
        <v>115</v>
      </c>
      <c r="CY2061" s="259" t="str">
        <f t="shared" ca="1" si="1734"/>
        <v>MASTRO</v>
      </c>
      <c r="CZ2061" s="259" t="e">
        <f t="shared" ca="1" si="1738"/>
        <v>#N/A</v>
      </c>
      <c r="DA2061" s="259" t="str">
        <f t="shared" ca="1" si="1743"/>
        <v/>
      </c>
      <c r="DB2061" s="259" t="str">
        <f t="shared" ca="1" si="1739"/>
        <v/>
      </c>
      <c r="DC2061" s="259" t="str">
        <f t="shared" ca="1" si="1740"/>
        <v/>
      </c>
      <c r="DD2061" s="259" t="str">
        <f t="shared" ca="1" si="1741"/>
        <v/>
      </c>
      <c r="DE2061" s="259" t="str">
        <f t="shared" ca="1" si="1742"/>
        <v/>
      </c>
      <c r="DF2061" s="259">
        <f ca="1">IF(AND(CX2061=$DE$2,$DF$2&lt;&gt;0),0,IF(AND(DB2061&lt;&gt;"",OR(DB2060&lt;&gt;"",DB2062&lt;&gt;"")),MAX($DF$2:DF2060)+1,0))</f>
        <v>0</v>
      </c>
    </row>
    <row r="2062" spans="102:110">
      <c r="CX2062" s="259">
        <f t="shared" ca="1" si="1736"/>
        <v>115</v>
      </c>
      <c r="CY2062" s="259" t="str">
        <f t="shared" ca="1" si="1734"/>
        <v>MASTRO</v>
      </c>
      <c r="CZ2062" s="259" t="e">
        <f t="shared" ca="1" si="1738"/>
        <v>#N/A</v>
      </c>
      <c r="DA2062" s="259" t="str">
        <f t="shared" ca="1" si="1743"/>
        <v/>
      </c>
      <c r="DB2062" s="259" t="str">
        <f t="shared" ca="1" si="1739"/>
        <v/>
      </c>
      <c r="DC2062" s="259" t="str">
        <f t="shared" ca="1" si="1740"/>
        <v/>
      </c>
      <c r="DD2062" s="259" t="str">
        <f t="shared" ca="1" si="1741"/>
        <v/>
      </c>
      <c r="DE2062" s="259" t="str">
        <f t="shared" ca="1" si="1742"/>
        <v/>
      </c>
      <c r="DF2062" s="259">
        <f ca="1">IF(AND(CX2062=$DE$2,$DF$2&lt;&gt;0),0,IF(AND(DB2062&lt;&gt;"",OR(DB2061&lt;&gt;"",DB2063&lt;&gt;"")),MAX($DF$2:DF2061)+1,0))</f>
        <v>0</v>
      </c>
    </row>
    <row r="2063" spans="102:110">
      <c r="CX2063" s="259">
        <f t="shared" ca="1" si="1736"/>
        <v>115</v>
      </c>
      <c r="CY2063" s="259" t="str">
        <f t="shared" ca="1" si="1734"/>
        <v>MASTRO</v>
      </c>
      <c r="CZ2063" s="259" t="e">
        <f t="shared" ca="1" si="1738"/>
        <v>#N/A</v>
      </c>
      <c r="DA2063" s="259" t="str">
        <f t="shared" ca="1" si="1743"/>
        <v/>
      </c>
      <c r="DB2063" s="259" t="str">
        <f t="shared" ca="1" si="1739"/>
        <v/>
      </c>
      <c r="DC2063" s="259" t="str">
        <f t="shared" ca="1" si="1740"/>
        <v/>
      </c>
      <c r="DD2063" s="259" t="str">
        <f t="shared" ca="1" si="1741"/>
        <v/>
      </c>
      <c r="DE2063" s="259" t="str">
        <f t="shared" ca="1" si="1742"/>
        <v/>
      </c>
      <c r="DF2063" s="259">
        <f ca="1">IF(AND(CX2063=$DE$2,$DF$2&lt;&gt;0),0,IF(AND(DB2063&lt;&gt;"",OR(DB2062&lt;&gt;"",DB2064&lt;&gt;"")),MAX($DF$2:DF2062)+1,0))</f>
        <v>0</v>
      </c>
    </row>
    <row r="2064" spans="102:110">
      <c r="CX2064" s="259">
        <f t="shared" ca="1" si="1736"/>
        <v>115</v>
      </c>
      <c r="CY2064" s="259" t="str">
        <f t="shared" ca="1" si="1734"/>
        <v>MASTRO</v>
      </c>
      <c r="CZ2064" s="259" t="e">
        <f t="shared" ca="1" si="1738"/>
        <v>#N/A</v>
      </c>
      <c r="DA2064" s="259" t="str">
        <f t="shared" ca="1" si="1743"/>
        <v/>
      </c>
      <c r="DB2064" s="259" t="str">
        <f t="shared" ca="1" si="1739"/>
        <v/>
      </c>
      <c r="DC2064" s="259" t="str">
        <f t="shared" ca="1" si="1740"/>
        <v/>
      </c>
      <c r="DD2064" s="259" t="str">
        <f t="shared" ca="1" si="1741"/>
        <v/>
      </c>
      <c r="DE2064" s="259" t="str">
        <f t="shared" ca="1" si="1742"/>
        <v/>
      </c>
      <c r="DF2064" s="259">
        <f ca="1">IF(AND(CX2064=$DE$2,$DF$2&lt;&gt;0),0,IF(AND(DB2064&lt;&gt;"",OR(DB2063&lt;&gt;"",DB2065&lt;&gt;"")),MAX($DF$2:DF2063)+1,0))</f>
        <v>0</v>
      </c>
    </row>
    <row r="2065" spans="102:110">
      <c r="CX2065" s="259">
        <f t="shared" ca="1" si="1736"/>
        <v>115</v>
      </c>
      <c r="CY2065" s="259" t="str">
        <f t="shared" ca="1" si="1734"/>
        <v>MASTRO</v>
      </c>
      <c r="CZ2065" s="259" t="e">
        <f t="shared" ca="1" si="1738"/>
        <v>#N/A</v>
      </c>
      <c r="DA2065" s="259" t="str">
        <f t="shared" ca="1" si="1743"/>
        <v/>
      </c>
      <c r="DB2065" s="259" t="str">
        <f t="shared" ca="1" si="1739"/>
        <v/>
      </c>
      <c r="DC2065" s="259" t="str">
        <f t="shared" ca="1" si="1740"/>
        <v/>
      </c>
      <c r="DD2065" s="259" t="str">
        <f t="shared" ca="1" si="1741"/>
        <v/>
      </c>
      <c r="DE2065" s="259" t="str">
        <f t="shared" ca="1" si="1742"/>
        <v/>
      </c>
      <c r="DF2065" s="259">
        <f ca="1">IF(AND(CX2065=$DE$2,$DF$2&lt;&gt;0),0,IF(AND(DB2065&lt;&gt;"",OR(DB2064&lt;&gt;"",DB2066&lt;&gt;"")),MAX($DF$2:DF2064)+1,0))</f>
        <v>0</v>
      </c>
    </row>
    <row r="2066" spans="102:110">
      <c r="CX2066" s="259">
        <f t="shared" ca="1" si="1736"/>
        <v>115</v>
      </c>
      <c r="CY2066" s="259" t="str">
        <f t="shared" ca="1" si="1734"/>
        <v>MASTRO</v>
      </c>
      <c r="CZ2066" s="259" t="e">
        <f t="shared" ca="1" si="1738"/>
        <v>#N/A</v>
      </c>
      <c r="DA2066" s="259" t="str">
        <f t="shared" ca="1" si="1743"/>
        <v/>
      </c>
      <c r="DB2066" s="259" t="str">
        <f t="shared" ca="1" si="1739"/>
        <v/>
      </c>
      <c r="DC2066" s="259" t="str">
        <f t="shared" ca="1" si="1740"/>
        <v/>
      </c>
      <c r="DD2066" s="259" t="str">
        <f t="shared" ca="1" si="1741"/>
        <v/>
      </c>
      <c r="DE2066" s="259" t="str">
        <f t="shared" ca="1" si="1742"/>
        <v/>
      </c>
      <c r="DF2066" s="259">
        <f ca="1">IF(AND(CX2066=$DE$2,$DF$2&lt;&gt;0),0,IF(AND(DB2066&lt;&gt;"",OR(DB2065&lt;&gt;"",DB2067&lt;&gt;"")),MAX($DF$2:DF2065)+1,0))</f>
        <v>0</v>
      </c>
    </row>
    <row r="2067" spans="102:110">
      <c r="CX2067" s="259">
        <f t="shared" ca="1" si="1736"/>
        <v>115</v>
      </c>
      <c r="CY2067" s="259" t="str">
        <f t="shared" ca="1" si="1734"/>
        <v>MASTRO</v>
      </c>
      <c r="CZ2067" s="259" t="e">
        <f t="shared" ca="1" si="1738"/>
        <v>#N/A</v>
      </c>
      <c r="DA2067" s="259" t="str">
        <f t="shared" ca="1" si="1743"/>
        <v/>
      </c>
      <c r="DB2067" s="259" t="str">
        <f t="shared" ca="1" si="1739"/>
        <v/>
      </c>
      <c r="DC2067" s="259" t="str">
        <f t="shared" ca="1" si="1740"/>
        <v/>
      </c>
      <c r="DD2067" s="259" t="str">
        <f t="shared" ca="1" si="1741"/>
        <v/>
      </c>
      <c r="DE2067" s="259" t="str">
        <f t="shared" ca="1" si="1742"/>
        <v/>
      </c>
      <c r="DF2067" s="259">
        <f ca="1">IF(AND(CX2067=$DE$2,$DF$2&lt;&gt;0),0,IF(AND(DB2067&lt;&gt;"",OR(DB2066&lt;&gt;"",DB2068&lt;&gt;"")),MAX($DF$2:DF2066)+1,0))</f>
        <v>0</v>
      </c>
    </row>
    <row r="2068" spans="102:110">
      <c r="CX2068" s="259">
        <f t="shared" ca="1" si="1736"/>
        <v>115</v>
      </c>
      <c r="CY2068" s="259" t="str">
        <f t="shared" ca="1" si="1734"/>
        <v>MASTRO</v>
      </c>
      <c r="CZ2068" s="259" t="e">
        <f t="shared" ca="1" si="1738"/>
        <v>#N/A</v>
      </c>
      <c r="DA2068" s="259" t="str">
        <f t="shared" ca="1" si="1743"/>
        <v/>
      </c>
      <c r="DB2068" s="259" t="str">
        <f t="shared" ca="1" si="1739"/>
        <v/>
      </c>
      <c r="DC2068" s="259" t="str">
        <f t="shared" ca="1" si="1740"/>
        <v/>
      </c>
      <c r="DD2068" s="259" t="str">
        <f t="shared" ca="1" si="1741"/>
        <v/>
      </c>
      <c r="DE2068" s="259" t="str">
        <f t="shared" ca="1" si="1742"/>
        <v/>
      </c>
      <c r="DF2068" s="259">
        <f ca="1">IF(AND(CX2068=$DE$2,$DF$2&lt;&gt;0),0,IF(AND(DB2068&lt;&gt;"",OR(DB2067&lt;&gt;"",DB2069&lt;&gt;"")),MAX($DF$2:DF2067)+1,0))</f>
        <v>0</v>
      </c>
    </row>
    <row r="2069" spans="102:110">
      <c r="CX2069" s="259">
        <f t="shared" ca="1" si="1736"/>
        <v>115</v>
      </c>
      <c r="CY2069" s="259" t="str">
        <f t="shared" ca="1" si="1734"/>
        <v>MASTRO</v>
      </c>
      <c r="CZ2069" s="259" t="e">
        <f t="shared" ca="1" si="1738"/>
        <v>#N/A</v>
      </c>
      <c r="DA2069" s="259" t="str">
        <f t="shared" ca="1" si="1743"/>
        <v/>
      </c>
      <c r="DB2069" s="259" t="str">
        <f t="shared" ca="1" si="1739"/>
        <v/>
      </c>
      <c r="DC2069" s="259" t="str">
        <f t="shared" ca="1" si="1740"/>
        <v/>
      </c>
      <c r="DD2069" s="259" t="str">
        <f t="shared" ca="1" si="1741"/>
        <v/>
      </c>
      <c r="DE2069" s="259" t="str">
        <f t="shared" ca="1" si="1742"/>
        <v/>
      </c>
      <c r="DF2069" s="259">
        <f ca="1">IF(AND(CX2069=$DE$2,$DF$2&lt;&gt;0),0,IF(AND(DB2069&lt;&gt;"",OR(DB2068&lt;&gt;"",DB2070&lt;&gt;"")),MAX($DF$2:DF2068)+1,0))</f>
        <v>0</v>
      </c>
    </row>
    <row r="2070" spans="102:110">
      <c r="CX2070" s="259">
        <f t="shared" ca="1" si="1736"/>
        <v>115</v>
      </c>
      <c r="CY2070" s="259" t="str">
        <f t="shared" ca="1" si="1734"/>
        <v>MASTRO</v>
      </c>
      <c r="CZ2070" s="259" t="e">
        <f t="shared" ca="1" si="1738"/>
        <v>#N/A</v>
      </c>
      <c r="DA2070" s="259" t="str">
        <f t="shared" ca="1" si="1743"/>
        <v/>
      </c>
      <c r="DB2070" s="259" t="str">
        <f t="shared" ca="1" si="1739"/>
        <v/>
      </c>
      <c r="DC2070" s="259" t="str">
        <f t="shared" ca="1" si="1740"/>
        <v/>
      </c>
      <c r="DD2070" s="259" t="str">
        <f t="shared" ca="1" si="1741"/>
        <v/>
      </c>
      <c r="DE2070" s="259" t="str">
        <f t="shared" ca="1" si="1742"/>
        <v/>
      </c>
      <c r="DF2070" s="259">
        <f ca="1">IF(AND(CX2070=$DE$2,$DF$2&lt;&gt;0),0,IF(AND(DB2070&lt;&gt;"",OR(DB2069&lt;&gt;"",DB2071&lt;&gt;"")),MAX($DF$2:DF2069)+1,0))</f>
        <v>0</v>
      </c>
    </row>
    <row r="2071" spans="102:110">
      <c r="CX2071" s="259">
        <f t="shared" ca="1" si="1736"/>
        <v>115</v>
      </c>
      <c r="CY2071" s="259" t="str">
        <f t="shared" ca="1" si="1734"/>
        <v>MASTRO</v>
      </c>
      <c r="CZ2071" s="259" t="e">
        <f t="shared" ca="1" si="1738"/>
        <v>#N/A</v>
      </c>
      <c r="DA2071" s="259" t="str">
        <f t="shared" ca="1" si="1743"/>
        <v/>
      </c>
      <c r="DB2071" s="259" t="str">
        <f t="shared" ca="1" si="1739"/>
        <v/>
      </c>
      <c r="DC2071" s="259" t="str">
        <f t="shared" ca="1" si="1740"/>
        <v/>
      </c>
      <c r="DD2071" s="259" t="str">
        <f t="shared" ca="1" si="1741"/>
        <v/>
      </c>
      <c r="DE2071" s="259" t="str">
        <f t="shared" ca="1" si="1742"/>
        <v/>
      </c>
      <c r="DF2071" s="259">
        <f ca="1">IF(AND(CX2071=$DE$2,$DF$2&lt;&gt;0),0,IF(AND(DB2071&lt;&gt;"",OR(DB2070&lt;&gt;"",DB2072&lt;&gt;"")),MAX($DF$2:DF2070)+1,0))</f>
        <v>0</v>
      </c>
    </row>
    <row r="2072" spans="102:110">
      <c r="CX2072" s="259" t="str">
        <f>IFERROR(IF(CX2054+1=1,"",(CX2054+1)),"")</f>
        <v/>
      </c>
      <c r="CY2072" s="259" t="str">
        <f t="shared" ca="1" si="1734"/>
        <v>MASTRO</v>
      </c>
      <c r="DB2072" s="259" t="str">
        <f t="shared" ref="DB2072" ca="1" si="1744">CY2072</f>
        <v>MASTRO</v>
      </c>
      <c r="DF2072" s="259">
        <f ca="1">IF(AND(CX2072=$DE$2,$DF$2&lt;&gt;0),0,IF(AND(DB2072&lt;&gt;"",OR(DB2071&lt;&gt;"",DB2073&lt;&gt;"")),MAX($DF$2:DF2071)+1,0))</f>
        <v>0</v>
      </c>
    </row>
    <row r="2073" spans="102:110">
      <c r="CX2073" s="259">
        <f ca="1">$EA$118</f>
        <v>116</v>
      </c>
      <c r="CY2073" s="259" t="str">
        <f t="shared" ca="1" si="1734"/>
        <v>MASTRO</v>
      </c>
      <c r="DA2073" s="259" t="str">
        <f ca="1">IF(CY2072="MASTRO","Conto n.","")</f>
        <v>Conto n.</v>
      </c>
      <c r="DB2073" s="259" t="str">
        <f ca="1">IF(CY2073=0,"",INDEX(PIANO_DEI_CONTI,MATCH(DC2073,DENOMINAZIONE,0),1))</f>
        <v/>
      </c>
      <c r="DC2073" s="259" t="str">
        <f ca="1">IF(OR(CY2073=0,CY2073="mastro"),"",CY2073)</f>
        <v/>
      </c>
      <c r="DD2073" s="259" t="str">
        <f ca="1">IF(AND($DA$2=TRUE,OR(INDEX(PIANO_DEI_CONTI,MATCH($DC2073,DENOMINAZIONE,0),4)="A",INDEX(PIANO_DEI_CONTI,MATCH($DC2073,DENOMINAZIONE,0),4)="D/A"),SUMIFS(AVERE,DENOMINAZIONE_GIORNALE,"="&amp;$DC2073)&gt;SUMIFS(DARE,DENOMINAZIONE_GIORNALE,"="&amp;$DC2073)),CONCATENATE("s ",FIXED(ABS(SUMIFS(AVERE,DENOMINAZIONE_GIORNALE,"="&amp;$DC2073)-SUMIFS(DARE,DENOMINAZIONE_GIORNALE,"="&amp;$DC2073)),2)),"")</f>
        <v/>
      </c>
      <c r="DE2073" s="259" t="str">
        <f ca="1">IF(AND($DA$2=TRUE,OR(INDEX(PIANO_DEI_CONTI,MATCH($DC2073,DENOMINAZIONE,0),4)="D",INDEX(PIANO_DEI_CONTI,MATCH($DC2073,DENOMINAZIONE,0),4)="D/A"),SUMIFS(DARE,DENOMINAZIONE_GIORNALE,"="&amp;$DC2073)&gt;SUMIFS(AVERE,DENOMINAZIONE_GIORNALE,"="&amp;$DC2073)),CONCATENATE("s ",FIXED(ABS(SUMIFS(DARE,DENOMINAZIONE_GIORNALE,"="&amp;$DC2073)-SUMIFS(AVERE,DENOMINAZIONE_GIORNALE,"="&amp;$DC2073)),2)),"")</f>
        <v/>
      </c>
      <c r="DF2073" s="259">
        <f ca="1">IF(AND(CX2073=$DE$2,$DF$2&lt;&gt;0),0,IF(AND(DB2073&lt;&gt;"",OR(DB2072&lt;&gt;"",DB2074&lt;&gt;"")),MAX($DF$2:DF2072)+1,0))</f>
        <v>0</v>
      </c>
    </row>
    <row r="2074" spans="102:110">
      <c r="CX2074" s="259">
        <f t="shared" ref="CX2074:CX2089" ca="1" si="1745">$EA$118</f>
        <v>116</v>
      </c>
      <c r="CY2074" s="259" t="str">
        <f t="shared" ca="1" si="1734"/>
        <v>MASTRO</v>
      </c>
      <c r="DA2074" s="259" t="str">
        <f ca="1">IF(DB2073="","","Num. riga")</f>
        <v/>
      </c>
      <c r="DB2074" s="259" t="str">
        <f t="shared" ref="DB2074" ca="1" si="1746">IF(DB2073="","","Data")</f>
        <v/>
      </c>
      <c r="DC2074" s="259" t="str">
        <f ca="1">IF(DB2073="","","Operazioni")</f>
        <v/>
      </c>
      <c r="DD2074" s="259" t="str">
        <f ca="1">IF(DB2073="","","Dare        ")</f>
        <v/>
      </c>
      <c r="DE2074" s="259" t="str">
        <f ca="1">IF(DB2073="","","Avere        ")</f>
        <v/>
      </c>
      <c r="DF2074" s="259">
        <f ca="1">IF(AND(CX2074=$DE$2,$DF$2&lt;&gt;0),0,IF(AND(DB2074&lt;&gt;"",OR(DB2073&lt;&gt;"",DB2075&lt;&gt;"")),MAX($DF$2:DF2073)+1,0))</f>
        <v>0</v>
      </c>
    </row>
    <row r="2075" spans="102:110">
      <c r="CX2075" s="259">
        <f t="shared" ca="1" si="1745"/>
        <v>116</v>
      </c>
      <c r="CY2075" s="259" t="str">
        <f t="shared" ca="1" si="1734"/>
        <v>MASTRO</v>
      </c>
      <c r="CZ2075" s="259" t="e">
        <f t="shared" ref="CZ2075:CZ2089" ca="1" si="1747">SUM(MATCH($CY2075,INDIRECT(ADDRESS(SUM(CZ2074)+3,54)&amp;":"&amp;ADDRESS(400,54)),0),CZ2074)</f>
        <v>#N/A</v>
      </c>
      <c r="DA2075" s="259" t="str">
        <f ca="1">IFERROR(INDEX(LIBRO_GIORNALE,CZ2075,1),"")</f>
        <v/>
      </c>
      <c r="DB2075" s="259" t="str">
        <f t="shared" ref="DB2075:DB2089" ca="1" si="1748">IF(RIGHT(TEXT(IFERROR(INDEX(LIBRO_GIORNALE,CZ2075,2),""),"gg/mm/aa"),1)="a",TEXT(IFERROR(INDEX(LIBRO_GIORNALE,CZ2075,2),""),"dd/mm/yy"),TEXT(IFERROR(INDEX(LIBRO_GIORNALE,CZ2075,2),""),"gg/mm/aa"))</f>
        <v/>
      </c>
      <c r="DC2075" s="259" t="str">
        <f t="shared" ref="DC2075:DC2089" ca="1" si="1749">IF(IFERROR(INDEX(LIBRO_GIORNALE,CZ2075,4),"")=0,"manca la descrizione dell'operazione",IFERROR(INDEX(LIBRO_GIORNALE,CZ2075,4),""))</f>
        <v/>
      </c>
      <c r="DD2075" s="259" t="str">
        <f t="shared" ref="DD2075:DD2089" ca="1" si="1750">IFERROR(IF(INDEX(LIBRO_GIORNALE,CZ2075,5)&gt;0,INDEX(LIBRO_GIORNALE,CZ2075,5),""),"")</f>
        <v/>
      </c>
      <c r="DE2075" s="259" t="str">
        <f t="shared" ref="DE2075:DE2089" ca="1" si="1751">IFERROR(IF(INDEX(LIBRO_GIORNALE,CZ2075,6)&gt;0,INDEX(LIBRO_GIORNALE,CZ2075,6),""),"")</f>
        <v/>
      </c>
      <c r="DF2075" s="259">
        <f ca="1">IF(AND(CX2075=$DE$2,$DF$2&lt;&gt;0),0,IF(AND(DB2075&lt;&gt;"",OR(DB2074&lt;&gt;"",DB2076&lt;&gt;"")),MAX($DF$2:DF2074)+1,0))</f>
        <v>0</v>
      </c>
    </row>
    <row r="2076" spans="102:110">
      <c r="CX2076" s="259">
        <f t="shared" ca="1" si="1745"/>
        <v>116</v>
      </c>
      <c r="CY2076" s="259" t="str">
        <f t="shared" ca="1" si="1734"/>
        <v>MASTRO</v>
      </c>
      <c r="CZ2076" s="259" t="e">
        <f t="shared" ca="1" si="1747"/>
        <v>#N/A</v>
      </c>
      <c r="DA2076" s="259" t="str">
        <f t="shared" ref="DA2076:DA2089" ca="1" si="1752">IFERROR(INDEX(LIBRO_GIORNALE,CZ2076,1),"")</f>
        <v/>
      </c>
      <c r="DB2076" s="259" t="str">
        <f t="shared" ca="1" si="1748"/>
        <v/>
      </c>
      <c r="DC2076" s="259" t="str">
        <f t="shared" ca="1" si="1749"/>
        <v/>
      </c>
      <c r="DD2076" s="259" t="str">
        <f t="shared" ca="1" si="1750"/>
        <v/>
      </c>
      <c r="DE2076" s="259" t="str">
        <f t="shared" ca="1" si="1751"/>
        <v/>
      </c>
      <c r="DF2076" s="259">
        <f ca="1">IF(AND(CX2076=$DE$2,$DF$2&lt;&gt;0),0,IF(AND(DB2076&lt;&gt;"",OR(DB2075&lt;&gt;"",DB2077&lt;&gt;"")),MAX($DF$2:DF2075)+1,0))</f>
        <v>0</v>
      </c>
    </row>
    <row r="2077" spans="102:110">
      <c r="CX2077" s="259">
        <f t="shared" ca="1" si="1745"/>
        <v>116</v>
      </c>
      <c r="CY2077" s="259" t="str">
        <f t="shared" ca="1" si="1734"/>
        <v>MASTRO</v>
      </c>
      <c r="CZ2077" s="259" t="e">
        <f t="shared" ca="1" si="1747"/>
        <v>#N/A</v>
      </c>
      <c r="DA2077" s="259" t="str">
        <f t="shared" ca="1" si="1752"/>
        <v/>
      </c>
      <c r="DB2077" s="259" t="str">
        <f t="shared" ca="1" si="1748"/>
        <v/>
      </c>
      <c r="DC2077" s="259" t="str">
        <f t="shared" ca="1" si="1749"/>
        <v/>
      </c>
      <c r="DD2077" s="259" t="str">
        <f t="shared" ca="1" si="1750"/>
        <v/>
      </c>
      <c r="DE2077" s="259" t="str">
        <f t="shared" ca="1" si="1751"/>
        <v/>
      </c>
      <c r="DF2077" s="259">
        <f ca="1">IF(AND(CX2077=$DE$2,$DF$2&lt;&gt;0),0,IF(AND(DB2077&lt;&gt;"",OR(DB2076&lt;&gt;"",DB2078&lt;&gt;"")),MAX($DF$2:DF2076)+1,0))</f>
        <v>0</v>
      </c>
    </row>
    <row r="2078" spans="102:110">
      <c r="CX2078" s="259">
        <f t="shared" ca="1" si="1745"/>
        <v>116</v>
      </c>
      <c r="CY2078" s="259" t="str">
        <f t="shared" ca="1" si="1734"/>
        <v>MASTRO</v>
      </c>
      <c r="CZ2078" s="259" t="e">
        <f t="shared" ca="1" si="1747"/>
        <v>#N/A</v>
      </c>
      <c r="DA2078" s="259" t="str">
        <f t="shared" ca="1" si="1752"/>
        <v/>
      </c>
      <c r="DB2078" s="259" t="str">
        <f t="shared" ca="1" si="1748"/>
        <v/>
      </c>
      <c r="DC2078" s="259" t="str">
        <f t="shared" ca="1" si="1749"/>
        <v/>
      </c>
      <c r="DD2078" s="259" t="str">
        <f t="shared" ca="1" si="1750"/>
        <v/>
      </c>
      <c r="DE2078" s="259" t="str">
        <f t="shared" ca="1" si="1751"/>
        <v/>
      </c>
      <c r="DF2078" s="259">
        <f ca="1">IF(AND(CX2078=$DE$2,$DF$2&lt;&gt;0),0,IF(AND(DB2078&lt;&gt;"",OR(DB2077&lt;&gt;"",DB2079&lt;&gt;"")),MAX($DF$2:DF2077)+1,0))</f>
        <v>0</v>
      </c>
    </row>
    <row r="2079" spans="102:110">
      <c r="CX2079" s="259">
        <f t="shared" ca="1" si="1745"/>
        <v>116</v>
      </c>
      <c r="CY2079" s="259" t="str">
        <f t="shared" ca="1" si="1734"/>
        <v>MASTRO</v>
      </c>
      <c r="CZ2079" s="259" t="e">
        <f t="shared" ca="1" si="1747"/>
        <v>#N/A</v>
      </c>
      <c r="DA2079" s="259" t="str">
        <f t="shared" ca="1" si="1752"/>
        <v/>
      </c>
      <c r="DB2079" s="259" t="str">
        <f t="shared" ca="1" si="1748"/>
        <v/>
      </c>
      <c r="DC2079" s="259" t="str">
        <f t="shared" ca="1" si="1749"/>
        <v/>
      </c>
      <c r="DD2079" s="259" t="str">
        <f t="shared" ca="1" si="1750"/>
        <v/>
      </c>
      <c r="DE2079" s="259" t="str">
        <f t="shared" ca="1" si="1751"/>
        <v/>
      </c>
      <c r="DF2079" s="259">
        <f ca="1">IF(AND(CX2079=$DE$2,$DF$2&lt;&gt;0),0,IF(AND(DB2079&lt;&gt;"",OR(DB2078&lt;&gt;"",DB2080&lt;&gt;"")),MAX($DF$2:DF2078)+1,0))</f>
        <v>0</v>
      </c>
    </row>
    <row r="2080" spans="102:110">
      <c r="CX2080" s="259">
        <f t="shared" ca="1" si="1745"/>
        <v>116</v>
      </c>
      <c r="CY2080" s="259" t="str">
        <f t="shared" ca="1" si="1734"/>
        <v>MASTRO</v>
      </c>
      <c r="CZ2080" s="259" t="e">
        <f t="shared" ca="1" si="1747"/>
        <v>#N/A</v>
      </c>
      <c r="DA2080" s="259" t="str">
        <f t="shared" ca="1" si="1752"/>
        <v/>
      </c>
      <c r="DB2080" s="259" t="str">
        <f t="shared" ca="1" si="1748"/>
        <v/>
      </c>
      <c r="DC2080" s="259" t="str">
        <f t="shared" ca="1" si="1749"/>
        <v/>
      </c>
      <c r="DD2080" s="259" t="str">
        <f t="shared" ca="1" si="1750"/>
        <v/>
      </c>
      <c r="DE2080" s="259" t="str">
        <f t="shared" ca="1" si="1751"/>
        <v/>
      </c>
      <c r="DF2080" s="259">
        <f ca="1">IF(AND(CX2080=$DE$2,$DF$2&lt;&gt;0),0,IF(AND(DB2080&lt;&gt;"",OR(DB2079&lt;&gt;"",DB2081&lt;&gt;"")),MAX($DF$2:DF2079)+1,0))</f>
        <v>0</v>
      </c>
    </row>
    <row r="2081" spans="102:110">
      <c r="CX2081" s="259">
        <f t="shared" ca="1" si="1745"/>
        <v>116</v>
      </c>
      <c r="CY2081" s="259" t="str">
        <f t="shared" ca="1" si="1734"/>
        <v>MASTRO</v>
      </c>
      <c r="CZ2081" s="259" t="e">
        <f t="shared" ca="1" si="1747"/>
        <v>#N/A</v>
      </c>
      <c r="DA2081" s="259" t="str">
        <f t="shared" ca="1" si="1752"/>
        <v/>
      </c>
      <c r="DB2081" s="259" t="str">
        <f t="shared" ca="1" si="1748"/>
        <v/>
      </c>
      <c r="DC2081" s="259" t="str">
        <f t="shared" ca="1" si="1749"/>
        <v/>
      </c>
      <c r="DD2081" s="259" t="str">
        <f t="shared" ca="1" si="1750"/>
        <v/>
      </c>
      <c r="DE2081" s="259" t="str">
        <f t="shared" ca="1" si="1751"/>
        <v/>
      </c>
      <c r="DF2081" s="259">
        <f ca="1">IF(AND(CX2081=$DE$2,$DF$2&lt;&gt;0),0,IF(AND(DB2081&lt;&gt;"",OR(DB2080&lt;&gt;"",DB2082&lt;&gt;"")),MAX($DF$2:DF2080)+1,0))</f>
        <v>0</v>
      </c>
    </row>
    <row r="2082" spans="102:110">
      <c r="CX2082" s="259">
        <f t="shared" ca="1" si="1745"/>
        <v>116</v>
      </c>
      <c r="CY2082" s="259" t="str">
        <f t="shared" ref="CY2082:CY2114" ca="1" si="1753">IF(ISERROR(INDEX($CV$3:$CX$2300,MATCH(CX2082,$CW$3:$CW$2300,0),1)),"MASTRO",INDEX($CV$3:$CX$2300,MATCH(CX2082,$CW$3:$CW$2300,0),1))</f>
        <v>MASTRO</v>
      </c>
      <c r="CZ2082" s="259" t="e">
        <f t="shared" ca="1" si="1747"/>
        <v>#N/A</v>
      </c>
      <c r="DA2082" s="259" t="str">
        <f t="shared" ca="1" si="1752"/>
        <v/>
      </c>
      <c r="DB2082" s="259" t="str">
        <f t="shared" ca="1" si="1748"/>
        <v/>
      </c>
      <c r="DC2082" s="259" t="str">
        <f t="shared" ca="1" si="1749"/>
        <v/>
      </c>
      <c r="DD2082" s="259" t="str">
        <f t="shared" ca="1" si="1750"/>
        <v/>
      </c>
      <c r="DE2082" s="259" t="str">
        <f t="shared" ca="1" si="1751"/>
        <v/>
      </c>
      <c r="DF2082" s="259">
        <f ca="1">IF(AND(CX2082=$DE$2,$DF$2&lt;&gt;0),0,IF(AND(DB2082&lt;&gt;"",OR(DB2081&lt;&gt;"",DB2083&lt;&gt;"")),MAX($DF$2:DF2081)+1,0))</f>
        <v>0</v>
      </c>
    </row>
    <row r="2083" spans="102:110">
      <c r="CX2083" s="259">
        <f t="shared" ca="1" si="1745"/>
        <v>116</v>
      </c>
      <c r="CY2083" s="259" t="str">
        <f t="shared" ca="1" si="1753"/>
        <v>MASTRO</v>
      </c>
      <c r="CZ2083" s="259" t="e">
        <f t="shared" ca="1" si="1747"/>
        <v>#N/A</v>
      </c>
      <c r="DA2083" s="259" t="str">
        <f t="shared" ca="1" si="1752"/>
        <v/>
      </c>
      <c r="DB2083" s="259" t="str">
        <f t="shared" ca="1" si="1748"/>
        <v/>
      </c>
      <c r="DC2083" s="259" t="str">
        <f t="shared" ca="1" si="1749"/>
        <v/>
      </c>
      <c r="DD2083" s="259" t="str">
        <f t="shared" ca="1" si="1750"/>
        <v/>
      </c>
      <c r="DE2083" s="259" t="str">
        <f t="shared" ca="1" si="1751"/>
        <v/>
      </c>
      <c r="DF2083" s="259">
        <f ca="1">IF(AND(CX2083=$DE$2,$DF$2&lt;&gt;0),0,IF(AND(DB2083&lt;&gt;"",OR(DB2082&lt;&gt;"",DB2084&lt;&gt;"")),MAX($DF$2:DF2082)+1,0))</f>
        <v>0</v>
      </c>
    </row>
    <row r="2084" spans="102:110">
      <c r="CX2084" s="259">
        <f t="shared" ca="1" si="1745"/>
        <v>116</v>
      </c>
      <c r="CY2084" s="259" t="str">
        <f t="shared" ca="1" si="1753"/>
        <v>MASTRO</v>
      </c>
      <c r="CZ2084" s="259" t="e">
        <f t="shared" ca="1" si="1747"/>
        <v>#N/A</v>
      </c>
      <c r="DA2084" s="259" t="str">
        <f t="shared" ca="1" si="1752"/>
        <v/>
      </c>
      <c r="DB2084" s="259" t="str">
        <f t="shared" ca="1" si="1748"/>
        <v/>
      </c>
      <c r="DC2084" s="259" t="str">
        <f t="shared" ca="1" si="1749"/>
        <v/>
      </c>
      <c r="DD2084" s="259" t="str">
        <f t="shared" ca="1" si="1750"/>
        <v/>
      </c>
      <c r="DE2084" s="259" t="str">
        <f t="shared" ca="1" si="1751"/>
        <v/>
      </c>
      <c r="DF2084" s="259">
        <f ca="1">IF(AND(CX2084=$DE$2,$DF$2&lt;&gt;0),0,IF(AND(DB2084&lt;&gt;"",OR(DB2083&lt;&gt;"",DB2085&lt;&gt;"")),MAX($DF$2:DF2083)+1,0))</f>
        <v>0</v>
      </c>
    </row>
    <row r="2085" spans="102:110">
      <c r="CX2085" s="259">
        <f t="shared" ca="1" si="1745"/>
        <v>116</v>
      </c>
      <c r="CY2085" s="259" t="str">
        <f t="shared" ca="1" si="1753"/>
        <v>MASTRO</v>
      </c>
      <c r="CZ2085" s="259" t="e">
        <f t="shared" ca="1" si="1747"/>
        <v>#N/A</v>
      </c>
      <c r="DA2085" s="259" t="str">
        <f t="shared" ca="1" si="1752"/>
        <v/>
      </c>
      <c r="DB2085" s="259" t="str">
        <f t="shared" ca="1" si="1748"/>
        <v/>
      </c>
      <c r="DC2085" s="259" t="str">
        <f t="shared" ca="1" si="1749"/>
        <v/>
      </c>
      <c r="DD2085" s="259" t="str">
        <f t="shared" ca="1" si="1750"/>
        <v/>
      </c>
      <c r="DE2085" s="259" t="str">
        <f t="shared" ca="1" si="1751"/>
        <v/>
      </c>
      <c r="DF2085" s="259">
        <f ca="1">IF(AND(CX2085=$DE$2,$DF$2&lt;&gt;0),0,IF(AND(DB2085&lt;&gt;"",OR(DB2084&lt;&gt;"",DB2086&lt;&gt;"")),MAX($DF$2:DF2084)+1,0))</f>
        <v>0</v>
      </c>
    </row>
    <row r="2086" spans="102:110">
      <c r="CX2086" s="259">
        <f t="shared" ca="1" si="1745"/>
        <v>116</v>
      </c>
      <c r="CY2086" s="259" t="str">
        <f t="shared" ca="1" si="1753"/>
        <v>MASTRO</v>
      </c>
      <c r="CZ2086" s="259" t="e">
        <f t="shared" ca="1" si="1747"/>
        <v>#N/A</v>
      </c>
      <c r="DA2086" s="259" t="str">
        <f t="shared" ca="1" si="1752"/>
        <v/>
      </c>
      <c r="DB2086" s="259" t="str">
        <f t="shared" ca="1" si="1748"/>
        <v/>
      </c>
      <c r="DC2086" s="259" t="str">
        <f t="shared" ca="1" si="1749"/>
        <v/>
      </c>
      <c r="DD2086" s="259" t="str">
        <f t="shared" ca="1" si="1750"/>
        <v/>
      </c>
      <c r="DE2086" s="259" t="str">
        <f t="shared" ca="1" si="1751"/>
        <v/>
      </c>
      <c r="DF2086" s="259">
        <f ca="1">IF(AND(CX2086=$DE$2,$DF$2&lt;&gt;0),0,IF(AND(DB2086&lt;&gt;"",OR(DB2085&lt;&gt;"",DB2087&lt;&gt;"")),MAX($DF$2:DF2085)+1,0))</f>
        <v>0</v>
      </c>
    </row>
    <row r="2087" spans="102:110">
      <c r="CX2087" s="259">
        <f t="shared" ca="1" si="1745"/>
        <v>116</v>
      </c>
      <c r="CY2087" s="259" t="str">
        <f t="shared" ca="1" si="1753"/>
        <v>MASTRO</v>
      </c>
      <c r="CZ2087" s="259" t="e">
        <f t="shared" ca="1" si="1747"/>
        <v>#N/A</v>
      </c>
      <c r="DA2087" s="259" t="str">
        <f t="shared" ca="1" si="1752"/>
        <v/>
      </c>
      <c r="DB2087" s="259" t="str">
        <f t="shared" ca="1" si="1748"/>
        <v/>
      </c>
      <c r="DC2087" s="259" t="str">
        <f t="shared" ca="1" si="1749"/>
        <v/>
      </c>
      <c r="DD2087" s="259" t="str">
        <f t="shared" ca="1" si="1750"/>
        <v/>
      </c>
      <c r="DE2087" s="259" t="str">
        <f t="shared" ca="1" si="1751"/>
        <v/>
      </c>
      <c r="DF2087" s="259">
        <f ca="1">IF(AND(CX2087=$DE$2,$DF$2&lt;&gt;0),0,IF(AND(DB2087&lt;&gt;"",OR(DB2086&lt;&gt;"",DB2088&lt;&gt;"")),MAX($DF$2:DF2086)+1,0))</f>
        <v>0</v>
      </c>
    </row>
    <row r="2088" spans="102:110">
      <c r="CX2088" s="259">
        <f t="shared" ca="1" si="1745"/>
        <v>116</v>
      </c>
      <c r="CY2088" s="259" t="str">
        <f t="shared" ca="1" si="1753"/>
        <v>MASTRO</v>
      </c>
      <c r="CZ2088" s="259" t="e">
        <f t="shared" ca="1" si="1747"/>
        <v>#N/A</v>
      </c>
      <c r="DA2088" s="259" t="str">
        <f t="shared" ca="1" si="1752"/>
        <v/>
      </c>
      <c r="DB2088" s="259" t="str">
        <f t="shared" ca="1" si="1748"/>
        <v/>
      </c>
      <c r="DC2088" s="259" t="str">
        <f t="shared" ca="1" si="1749"/>
        <v/>
      </c>
      <c r="DD2088" s="259" t="str">
        <f t="shared" ca="1" si="1750"/>
        <v/>
      </c>
      <c r="DE2088" s="259" t="str">
        <f t="shared" ca="1" si="1751"/>
        <v/>
      </c>
      <c r="DF2088" s="259">
        <f ca="1">IF(AND(CX2088=$DE$2,$DF$2&lt;&gt;0),0,IF(AND(DB2088&lt;&gt;"",OR(DB2087&lt;&gt;"",DB2089&lt;&gt;"")),MAX($DF$2:DF2087)+1,0))</f>
        <v>0</v>
      </c>
    </row>
    <row r="2089" spans="102:110">
      <c r="CX2089" s="259">
        <f t="shared" ca="1" si="1745"/>
        <v>116</v>
      </c>
      <c r="CY2089" s="259" t="str">
        <f t="shared" ca="1" si="1753"/>
        <v>MASTRO</v>
      </c>
      <c r="CZ2089" s="259" t="e">
        <f t="shared" ca="1" si="1747"/>
        <v>#N/A</v>
      </c>
      <c r="DA2089" s="259" t="str">
        <f t="shared" ca="1" si="1752"/>
        <v/>
      </c>
      <c r="DB2089" s="259" t="str">
        <f t="shared" ca="1" si="1748"/>
        <v/>
      </c>
      <c r="DC2089" s="259" t="str">
        <f t="shared" ca="1" si="1749"/>
        <v/>
      </c>
      <c r="DD2089" s="259" t="str">
        <f t="shared" ca="1" si="1750"/>
        <v/>
      </c>
      <c r="DE2089" s="259" t="str">
        <f t="shared" ca="1" si="1751"/>
        <v/>
      </c>
      <c r="DF2089" s="259">
        <f ca="1">IF(AND(CX2089=$DE$2,$DF$2&lt;&gt;0),0,IF(AND(DB2089&lt;&gt;"",OR(DB2088&lt;&gt;"",DB2090&lt;&gt;"")),MAX($DF$2:DF2088)+1,0))</f>
        <v>0</v>
      </c>
    </row>
    <row r="2090" spans="102:110">
      <c r="CX2090" s="259" t="str">
        <f>IFERROR(IF(CX2072+1=1,"",(CX2072+1)),"")</f>
        <v/>
      </c>
      <c r="CY2090" s="259" t="str">
        <f t="shared" ca="1" si="1753"/>
        <v>MASTRO</v>
      </c>
      <c r="DB2090" s="259" t="str">
        <f t="shared" ref="DB2090" ca="1" si="1754">CY2090</f>
        <v>MASTRO</v>
      </c>
      <c r="DF2090" s="259">
        <f ca="1">IF(AND(CX2090=$DE$2,$DF$2&lt;&gt;0),0,IF(AND(DB2090&lt;&gt;"",OR(DB2089&lt;&gt;"",DB2091&lt;&gt;"")),MAX($DF$2:DF2089)+1,0))</f>
        <v>0</v>
      </c>
    </row>
    <row r="2091" spans="102:110">
      <c r="CX2091" s="259">
        <f ca="1">$EA$119</f>
        <v>117</v>
      </c>
      <c r="CY2091" s="259" t="str">
        <f t="shared" ca="1" si="1753"/>
        <v>MASTRO</v>
      </c>
      <c r="DA2091" s="259" t="str">
        <f ca="1">IF(CY2090="MASTRO","Conto n.","")</f>
        <v>Conto n.</v>
      </c>
      <c r="DB2091" s="259" t="str">
        <f ca="1">IF(CY2091=0,"",INDEX(PIANO_DEI_CONTI,MATCH(DC2091,DENOMINAZIONE,0),1))</f>
        <v/>
      </c>
      <c r="DC2091" s="259" t="str">
        <f ca="1">IF(OR(CY2091=0,CY2091="mastro"),"",CY2091)</f>
        <v/>
      </c>
      <c r="DD2091" s="259" t="str">
        <f ca="1">IF(AND($DA$2=TRUE,OR(INDEX(PIANO_DEI_CONTI,MATCH($DC2091,DENOMINAZIONE,0),4)="A",INDEX(PIANO_DEI_CONTI,MATCH($DC2091,DENOMINAZIONE,0),4)="D/A"),SUMIFS(AVERE,DENOMINAZIONE_GIORNALE,"="&amp;$DC2091)&gt;SUMIFS(DARE,DENOMINAZIONE_GIORNALE,"="&amp;$DC2091)),CONCATENATE("s ",FIXED(ABS(SUMIFS(AVERE,DENOMINAZIONE_GIORNALE,"="&amp;$DC2091)-SUMIFS(DARE,DENOMINAZIONE_GIORNALE,"="&amp;$DC2091)),2)),"")</f>
        <v/>
      </c>
      <c r="DE2091" s="259" t="str">
        <f ca="1">IF(AND($DA$2=TRUE,OR(INDEX(PIANO_DEI_CONTI,MATCH($DC2091,DENOMINAZIONE,0),4)="D",INDEX(PIANO_DEI_CONTI,MATCH($DC2091,DENOMINAZIONE,0),4)="D/A"),SUMIFS(DARE,DENOMINAZIONE_GIORNALE,"="&amp;$DC2091)&gt;SUMIFS(AVERE,DENOMINAZIONE_GIORNALE,"="&amp;$DC2091)),CONCATENATE("s ",FIXED(ABS(SUMIFS(DARE,DENOMINAZIONE_GIORNALE,"="&amp;$DC2091)-SUMIFS(AVERE,DENOMINAZIONE_GIORNALE,"="&amp;$DC2091)),2)),"")</f>
        <v/>
      </c>
      <c r="DF2091" s="259">
        <f ca="1">IF(AND(CX2091=$DE$2,$DF$2&lt;&gt;0),0,IF(AND(DB2091&lt;&gt;"",OR(DB2090&lt;&gt;"",DB2092&lt;&gt;"")),MAX($DF$2:DF2090)+1,0))</f>
        <v>0</v>
      </c>
    </row>
    <row r="2092" spans="102:110">
      <c r="CX2092" s="259">
        <f t="shared" ref="CX2092:CX2107" ca="1" si="1755">$EA$119</f>
        <v>117</v>
      </c>
      <c r="CY2092" s="259" t="str">
        <f t="shared" ca="1" si="1753"/>
        <v>MASTRO</v>
      </c>
      <c r="DA2092" s="259" t="str">
        <f ca="1">IF(DB2091="","","Num. riga")</f>
        <v/>
      </c>
      <c r="DB2092" s="259" t="str">
        <f t="shared" ref="DB2092" ca="1" si="1756">IF(DB2091="","","Data")</f>
        <v/>
      </c>
      <c r="DC2092" s="259" t="str">
        <f ca="1">IF(DB2091="","","Operazioni")</f>
        <v/>
      </c>
      <c r="DD2092" s="259" t="str">
        <f ca="1">IF(DB2091="","","Dare        ")</f>
        <v/>
      </c>
      <c r="DE2092" s="259" t="str">
        <f ca="1">IF(DB2091="","","Avere        ")</f>
        <v/>
      </c>
      <c r="DF2092" s="259">
        <f ca="1">IF(AND(CX2092=$DE$2,$DF$2&lt;&gt;0),0,IF(AND(DB2092&lt;&gt;"",OR(DB2091&lt;&gt;"",DB2093&lt;&gt;"")),MAX($DF$2:DF2091)+1,0))</f>
        <v>0</v>
      </c>
    </row>
    <row r="2093" spans="102:110">
      <c r="CX2093" s="259">
        <f t="shared" ca="1" si="1755"/>
        <v>117</v>
      </c>
      <c r="CY2093" s="259" t="str">
        <f t="shared" ca="1" si="1753"/>
        <v>MASTRO</v>
      </c>
      <c r="CZ2093" s="259" t="e">
        <f t="shared" ref="CZ2093:CZ2107" ca="1" si="1757">SUM(MATCH($CY2093,INDIRECT(ADDRESS(SUM(CZ2092)+3,54)&amp;":"&amp;ADDRESS(400,54)),0),CZ2092)</f>
        <v>#N/A</v>
      </c>
      <c r="DA2093" s="259" t="str">
        <f ca="1">IFERROR(INDEX(LIBRO_GIORNALE,CZ2093,1),"")</f>
        <v/>
      </c>
      <c r="DB2093" s="259" t="str">
        <f t="shared" ref="DB2093:DB2107" ca="1" si="1758">IF(RIGHT(TEXT(IFERROR(INDEX(LIBRO_GIORNALE,CZ2093,2),""),"gg/mm/aa"),1)="a",TEXT(IFERROR(INDEX(LIBRO_GIORNALE,CZ2093,2),""),"dd/mm/yy"),TEXT(IFERROR(INDEX(LIBRO_GIORNALE,CZ2093,2),""),"gg/mm/aa"))</f>
        <v/>
      </c>
      <c r="DC2093" s="259" t="str">
        <f t="shared" ref="DC2093:DC2107" ca="1" si="1759">IF(IFERROR(INDEX(LIBRO_GIORNALE,CZ2093,4),"")=0,"manca la descrizione dell'operazione",IFERROR(INDEX(LIBRO_GIORNALE,CZ2093,4),""))</f>
        <v/>
      </c>
      <c r="DD2093" s="259" t="str">
        <f t="shared" ref="DD2093:DD2107" ca="1" si="1760">IFERROR(IF(INDEX(LIBRO_GIORNALE,CZ2093,5)&gt;0,INDEX(LIBRO_GIORNALE,CZ2093,5),""),"")</f>
        <v/>
      </c>
      <c r="DE2093" s="259" t="str">
        <f t="shared" ref="DE2093:DE2107" ca="1" si="1761">IFERROR(IF(INDEX(LIBRO_GIORNALE,CZ2093,6)&gt;0,INDEX(LIBRO_GIORNALE,CZ2093,6),""),"")</f>
        <v/>
      </c>
      <c r="DF2093" s="259">
        <f ca="1">IF(AND(CX2093=$DE$2,$DF$2&lt;&gt;0),0,IF(AND(DB2093&lt;&gt;"",OR(DB2092&lt;&gt;"",DB2094&lt;&gt;"")),MAX($DF$2:DF2092)+1,0))</f>
        <v>0</v>
      </c>
    </row>
    <row r="2094" spans="102:110">
      <c r="CX2094" s="259">
        <f t="shared" ca="1" si="1755"/>
        <v>117</v>
      </c>
      <c r="CY2094" s="259" t="str">
        <f t="shared" ca="1" si="1753"/>
        <v>MASTRO</v>
      </c>
      <c r="CZ2094" s="259" t="e">
        <f t="shared" ca="1" si="1757"/>
        <v>#N/A</v>
      </c>
      <c r="DA2094" s="259" t="str">
        <f t="shared" ref="DA2094:DA2107" ca="1" si="1762">IFERROR(INDEX(LIBRO_GIORNALE,CZ2094,1),"")</f>
        <v/>
      </c>
      <c r="DB2094" s="259" t="str">
        <f t="shared" ca="1" si="1758"/>
        <v/>
      </c>
      <c r="DC2094" s="259" t="str">
        <f t="shared" ca="1" si="1759"/>
        <v/>
      </c>
      <c r="DD2094" s="259" t="str">
        <f t="shared" ca="1" si="1760"/>
        <v/>
      </c>
      <c r="DE2094" s="259" t="str">
        <f t="shared" ca="1" si="1761"/>
        <v/>
      </c>
      <c r="DF2094" s="259">
        <f ca="1">IF(AND(CX2094=$DE$2,$DF$2&lt;&gt;0),0,IF(AND(DB2094&lt;&gt;"",OR(DB2093&lt;&gt;"",DB2095&lt;&gt;"")),MAX($DF$2:DF2093)+1,0))</f>
        <v>0</v>
      </c>
    </row>
    <row r="2095" spans="102:110">
      <c r="CX2095" s="259">
        <f t="shared" ca="1" si="1755"/>
        <v>117</v>
      </c>
      <c r="CY2095" s="259" t="str">
        <f t="shared" ca="1" si="1753"/>
        <v>MASTRO</v>
      </c>
      <c r="CZ2095" s="259" t="e">
        <f t="shared" ca="1" si="1757"/>
        <v>#N/A</v>
      </c>
      <c r="DA2095" s="259" t="str">
        <f t="shared" ca="1" si="1762"/>
        <v/>
      </c>
      <c r="DB2095" s="259" t="str">
        <f t="shared" ca="1" si="1758"/>
        <v/>
      </c>
      <c r="DC2095" s="259" t="str">
        <f t="shared" ca="1" si="1759"/>
        <v/>
      </c>
      <c r="DD2095" s="259" t="str">
        <f t="shared" ca="1" si="1760"/>
        <v/>
      </c>
      <c r="DE2095" s="259" t="str">
        <f t="shared" ca="1" si="1761"/>
        <v/>
      </c>
      <c r="DF2095" s="259">
        <f ca="1">IF(AND(CX2095=$DE$2,$DF$2&lt;&gt;0),0,IF(AND(DB2095&lt;&gt;"",OR(DB2094&lt;&gt;"",DB2096&lt;&gt;"")),MAX($DF$2:DF2094)+1,0))</f>
        <v>0</v>
      </c>
    </row>
    <row r="2096" spans="102:110">
      <c r="CX2096" s="259">
        <f t="shared" ca="1" si="1755"/>
        <v>117</v>
      </c>
      <c r="CY2096" s="259" t="str">
        <f t="shared" ca="1" si="1753"/>
        <v>MASTRO</v>
      </c>
      <c r="CZ2096" s="259" t="e">
        <f t="shared" ca="1" si="1757"/>
        <v>#N/A</v>
      </c>
      <c r="DA2096" s="259" t="str">
        <f t="shared" ca="1" si="1762"/>
        <v/>
      </c>
      <c r="DB2096" s="259" t="str">
        <f t="shared" ca="1" si="1758"/>
        <v/>
      </c>
      <c r="DC2096" s="259" t="str">
        <f t="shared" ca="1" si="1759"/>
        <v/>
      </c>
      <c r="DD2096" s="259" t="str">
        <f t="shared" ca="1" si="1760"/>
        <v/>
      </c>
      <c r="DE2096" s="259" t="str">
        <f t="shared" ca="1" si="1761"/>
        <v/>
      </c>
      <c r="DF2096" s="259">
        <f ca="1">IF(AND(CX2096=$DE$2,$DF$2&lt;&gt;0),0,IF(AND(DB2096&lt;&gt;"",OR(DB2095&lt;&gt;"",DB2097&lt;&gt;"")),MAX($DF$2:DF2095)+1,0))</f>
        <v>0</v>
      </c>
    </row>
    <row r="2097" spans="102:110">
      <c r="CX2097" s="259">
        <f t="shared" ca="1" si="1755"/>
        <v>117</v>
      </c>
      <c r="CY2097" s="259" t="str">
        <f t="shared" ca="1" si="1753"/>
        <v>MASTRO</v>
      </c>
      <c r="CZ2097" s="259" t="e">
        <f t="shared" ca="1" si="1757"/>
        <v>#N/A</v>
      </c>
      <c r="DA2097" s="259" t="str">
        <f t="shared" ca="1" si="1762"/>
        <v/>
      </c>
      <c r="DB2097" s="259" t="str">
        <f t="shared" ca="1" si="1758"/>
        <v/>
      </c>
      <c r="DC2097" s="259" t="str">
        <f t="shared" ca="1" si="1759"/>
        <v/>
      </c>
      <c r="DD2097" s="259" t="str">
        <f t="shared" ca="1" si="1760"/>
        <v/>
      </c>
      <c r="DE2097" s="259" t="str">
        <f t="shared" ca="1" si="1761"/>
        <v/>
      </c>
      <c r="DF2097" s="259">
        <f ca="1">IF(AND(CX2097=$DE$2,$DF$2&lt;&gt;0),0,IF(AND(DB2097&lt;&gt;"",OR(DB2096&lt;&gt;"",DB2098&lt;&gt;"")),MAX($DF$2:DF2096)+1,0))</f>
        <v>0</v>
      </c>
    </row>
    <row r="2098" spans="102:110">
      <c r="CX2098" s="259">
        <f t="shared" ca="1" si="1755"/>
        <v>117</v>
      </c>
      <c r="CY2098" s="259" t="str">
        <f t="shared" ca="1" si="1753"/>
        <v>MASTRO</v>
      </c>
      <c r="CZ2098" s="259" t="e">
        <f t="shared" ca="1" si="1757"/>
        <v>#N/A</v>
      </c>
      <c r="DA2098" s="259" t="str">
        <f t="shared" ca="1" si="1762"/>
        <v/>
      </c>
      <c r="DB2098" s="259" t="str">
        <f t="shared" ca="1" si="1758"/>
        <v/>
      </c>
      <c r="DC2098" s="259" t="str">
        <f t="shared" ca="1" si="1759"/>
        <v/>
      </c>
      <c r="DD2098" s="259" t="str">
        <f t="shared" ca="1" si="1760"/>
        <v/>
      </c>
      <c r="DE2098" s="259" t="str">
        <f t="shared" ca="1" si="1761"/>
        <v/>
      </c>
      <c r="DF2098" s="259">
        <f ca="1">IF(AND(CX2098=$DE$2,$DF$2&lt;&gt;0),0,IF(AND(DB2098&lt;&gt;"",OR(DB2097&lt;&gt;"",DB2099&lt;&gt;"")),MAX($DF$2:DF2097)+1,0))</f>
        <v>0</v>
      </c>
    </row>
    <row r="2099" spans="102:110">
      <c r="CX2099" s="259">
        <f t="shared" ca="1" si="1755"/>
        <v>117</v>
      </c>
      <c r="CY2099" s="259" t="str">
        <f t="shared" ca="1" si="1753"/>
        <v>MASTRO</v>
      </c>
      <c r="CZ2099" s="259" t="e">
        <f t="shared" ca="1" si="1757"/>
        <v>#N/A</v>
      </c>
      <c r="DA2099" s="259" t="str">
        <f t="shared" ca="1" si="1762"/>
        <v/>
      </c>
      <c r="DB2099" s="259" t="str">
        <f t="shared" ca="1" si="1758"/>
        <v/>
      </c>
      <c r="DC2099" s="259" t="str">
        <f t="shared" ca="1" si="1759"/>
        <v/>
      </c>
      <c r="DD2099" s="259" t="str">
        <f t="shared" ca="1" si="1760"/>
        <v/>
      </c>
      <c r="DE2099" s="259" t="str">
        <f t="shared" ca="1" si="1761"/>
        <v/>
      </c>
      <c r="DF2099" s="259">
        <f ca="1">IF(AND(CX2099=$DE$2,$DF$2&lt;&gt;0),0,IF(AND(DB2099&lt;&gt;"",OR(DB2098&lt;&gt;"",DB2100&lt;&gt;"")),MAX($DF$2:DF2098)+1,0))</f>
        <v>0</v>
      </c>
    </row>
    <row r="2100" spans="102:110">
      <c r="CX2100" s="259">
        <f t="shared" ca="1" si="1755"/>
        <v>117</v>
      </c>
      <c r="CY2100" s="259" t="str">
        <f t="shared" ca="1" si="1753"/>
        <v>MASTRO</v>
      </c>
      <c r="CZ2100" s="259" t="e">
        <f t="shared" ca="1" si="1757"/>
        <v>#N/A</v>
      </c>
      <c r="DA2100" s="259" t="str">
        <f t="shared" ca="1" si="1762"/>
        <v/>
      </c>
      <c r="DB2100" s="259" t="str">
        <f t="shared" ca="1" si="1758"/>
        <v/>
      </c>
      <c r="DC2100" s="259" t="str">
        <f t="shared" ca="1" si="1759"/>
        <v/>
      </c>
      <c r="DD2100" s="259" t="str">
        <f t="shared" ca="1" si="1760"/>
        <v/>
      </c>
      <c r="DE2100" s="259" t="str">
        <f t="shared" ca="1" si="1761"/>
        <v/>
      </c>
      <c r="DF2100" s="259">
        <f ca="1">IF(AND(CX2100=$DE$2,$DF$2&lt;&gt;0),0,IF(AND(DB2100&lt;&gt;"",OR(DB2099&lt;&gt;"",DB2101&lt;&gt;"")),MAX($DF$2:DF2099)+1,0))</f>
        <v>0</v>
      </c>
    </row>
    <row r="2101" spans="102:110">
      <c r="CX2101" s="259">
        <f t="shared" ca="1" si="1755"/>
        <v>117</v>
      </c>
      <c r="CY2101" s="259" t="str">
        <f t="shared" ca="1" si="1753"/>
        <v>MASTRO</v>
      </c>
      <c r="CZ2101" s="259" t="e">
        <f t="shared" ca="1" si="1757"/>
        <v>#N/A</v>
      </c>
      <c r="DA2101" s="259" t="str">
        <f t="shared" ca="1" si="1762"/>
        <v/>
      </c>
      <c r="DB2101" s="259" t="str">
        <f t="shared" ca="1" si="1758"/>
        <v/>
      </c>
      <c r="DC2101" s="259" t="str">
        <f t="shared" ca="1" si="1759"/>
        <v/>
      </c>
      <c r="DD2101" s="259" t="str">
        <f t="shared" ca="1" si="1760"/>
        <v/>
      </c>
      <c r="DE2101" s="259" t="str">
        <f t="shared" ca="1" si="1761"/>
        <v/>
      </c>
      <c r="DF2101" s="259">
        <f ca="1">IF(AND(CX2101=$DE$2,$DF$2&lt;&gt;0),0,IF(AND(DB2101&lt;&gt;"",OR(DB2100&lt;&gt;"",DB2102&lt;&gt;"")),MAX($DF$2:DF2100)+1,0))</f>
        <v>0</v>
      </c>
    </row>
    <row r="2102" spans="102:110">
      <c r="CX2102" s="259">
        <f t="shared" ca="1" si="1755"/>
        <v>117</v>
      </c>
      <c r="CY2102" s="259" t="str">
        <f t="shared" ca="1" si="1753"/>
        <v>MASTRO</v>
      </c>
      <c r="CZ2102" s="259" t="e">
        <f t="shared" ca="1" si="1757"/>
        <v>#N/A</v>
      </c>
      <c r="DA2102" s="259" t="str">
        <f t="shared" ca="1" si="1762"/>
        <v/>
      </c>
      <c r="DB2102" s="259" t="str">
        <f t="shared" ca="1" si="1758"/>
        <v/>
      </c>
      <c r="DC2102" s="259" t="str">
        <f t="shared" ca="1" si="1759"/>
        <v/>
      </c>
      <c r="DD2102" s="259" t="str">
        <f t="shared" ca="1" si="1760"/>
        <v/>
      </c>
      <c r="DE2102" s="259" t="str">
        <f t="shared" ca="1" si="1761"/>
        <v/>
      </c>
      <c r="DF2102" s="259">
        <f ca="1">IF(AND(CX2102=$DE$2,$DF$2&lt;&gt;0),0,IF(AND(DB2102&lt;&gt;"",OR(DB2101&lt;&gt;"",DB2103&lt;&gt;"")),MAX($DF$2:DF2101)+1,0))</f>
        <v>0</v>
      </c>
    </row>
    <row r="2103" spans="102:110">
      <c r="CX2103" s="259">
        <f t="shared" ca="1" si="1755"/>
        <v>117</v>
      </c>
      <c r="CY2103" s="259" t="str">
        <f t="shared" ca="1" si="1753"/>
        <v>MASTRO</v>
      </c>
      <c r="CZ2103" s="259" t="e">
        <f t="shared" ca="1" si="1757"/>
        <v>#N/A</v>
      </c>
      <c r="DA2103" s="259" t="str">
        <f t="shared" ca="1" si="1762"/>
        <v/>
      </c>
      <c r="DB2103" s="259" t="str">
        <f t="shared" ca="1" si="1758"/>
        <v/>
      </c>
      <c r="DC2103" s="259" t="str">
        <f t="shared" ca="1" si="1759"/>
        <v/>
      </c>
      <c r="DD2103" s="259" t="str">
        <f t="shared" ca="1" si="1760"/>
        <v/>
      </c>
      <c r="DE2103" s="259" t="str">
        <f t="shared" ca="1" si="1761"/>
        <v/>
      </c>
      <c r="DF2103" s="259">
        <f ca="1">IF(AND(CX2103=$DE$2,$DF$2&lt;&gt;0),0,IF(AND(DB2103&lt;&gt;"",OR(DB2102&lt;&gt;"",DB2104&lt;&gt;"")),MAX($DF$2:DF2102)+1,0))</f>
        <v>0</v>
      </c>
    </row>
    <row r="2104" spans="102:110">
      <c r="CX2104" s="259">
        <f t="shared" ca="1" si="1755"/>
        <v>117</v>
      </c>
      <c r="CY2104" s="259" t="str">
        <f t="shared" ca="1" si="1753"/>
        <v>MASTRO</v>
      </c>
      <c r="CZ2104" s="259" t="e">
        <f t="shared" ca="1" si="1757"/>
        <v>#N/A</v>
      </c>
      <c r="DA2104" s="259" t="str">
        <f t="shared" ca="1" si="1762"/>
        <v/>
      </c>
      <c r="DB2104" s="259" t="str">
        <f t="shared" ca="1" si="1758"/>
        <v/>
      </c>
      <c r="DC2104" s="259" t="str">
        <f t="shared" ca="1" si="1759"/>
        <v/>
      </c>
      <c r="DD2104" s="259" t="str">
        <f t="shared" ca="1" si="1760"/>
        <v/>
      </c>
      <c r="DE2104" s="259" t="str">
        <f t="shared" ca="1" si="1761"/>
        <v/>
      </c>
      <c r="DF2104" s="259">
        <f ca="1">IF(AND(CX2104=$DE$2,$DF$2&lt;&gt;0),0,IF(AND(DB2104&lt;&gt;"",OR(DB2103&lt;&gt;"",DB2105&lt;&gt;"")),MAX($DF$2:DF2103)+1,0))</f>
        <v>0</v>
      </c>
    </row>
    <row r="2105" spans="102:110">
      <c r="CX2105" s="259">
        <f t="shared" ca="1" si="1755"/>
        <v>117</v>
      </c>
      <c r="CY2105" s="259" t="str">
        <f t="shared" ca="1" si="1753"/>
        <v>MASTRO</v>
      </c>
      <c r="CZ2105" s="259" t="e">
        <f t="shared" ca="1" si="1757"/>
        <v>#N/A</v>
      </c>
      <c r="DA2105" s="259" t="str">
        <f t="shared" ca="1" si="1762"/>
        <v/>
      </c>
      <c r="DB2105" s="259" t="str">
        <f t="shared" ca="1" si="1758"/>
        <v/>
      </c>
      <c r="DC2105" s="259" t="str">
        <f t="shared" ca="1" si="1759"/>
        <v/>
      </c>
      <c r="DD2105" s="259" t="str">
        <f t="shared" ca="1" si="1760"/>
        <v/>
      </c>
      <c r="DE2105" s="259" t="str">
        <f t="shared" ca="1" si="1761"/>
        <v/>
      </c>
      <c r="DF2105" s="259">
        <f ca="1">IF(AND(CX2105=$DE$2,$DF$2&lt;&gt;0),0,IF(AND(DB2105&lt;&gt;"",OR(DB2104&lt;&gt;"",DB2106&lt;&gt;"")),MAX($DF$2:DF2104)+1,0))</f>
        <v>0</v>
      </c>
    </row>
    <row r="2106" spans="102:110">
      <c r="CX2106" s="259">
        <f t="shared" ca="1" si="1755"/>
        <v>117</v>
      </c>
      <c r="CY2106" s="259" t="str">
        <f t="shared" ca="1" si="1753"/>
        <v>MASTRO</v>
      </c>
      <c r="CZ2106" s="259" t="e">
        <f t="shared" ca="1" si="1757"/>
        <v>#N/A</v>
      </c>
      <c r="DA2106" s="259" t="str">
        <f t="shared" ca="1" si="1762"/>
        <v/>
      </c>
      <c r="DB2106" s="259" t="str">
        <f t="shared" ca="1" si="1758"/>
        <v/>
      </c>
      <c r="DC2106" s="259" t="str">
        <f t="shared" ca="1" si="1759"/>
        <v/>
      </c>
      <c r="DD2106" s="259" t="str">
        <f t="shared" ca="1" si="1760"/>
        <v/>
      </c>
      <c r="DE2106" s="259" t="str">
        <f t="shared" ca="1" si="1761"/>
        <v/>
      </c>
      <c r="DF2106" s="259">
        <f ca="1">IF(AND(CX2106=$DE$2,$DF$2&lt;&gt;0),0,IF(AND(DB2106&lt;&gt;"",OR(DB2105&lt;&gt;"",DB2107&lt;&gt;"")),MAX($DF$2:DF2105)+1,0))</f>
        <v>0</v>
      </c>
    </row>
    <row r="2107" spans="102:110">
      <c r="CX2107" s="259">
        <f t="shared" ca="1" si="1755"/>
        <v>117</v>
      </c>
      <c r="CY2107" s="259" t="str">
        <f t="shared" ca="1" si="1753"/>
        <v>MASTRO</v>
      </c>
      <c r="CZ2107" s="259" t="e">
        <f t="shared" ca="1" si="1757"/>
        <v>#N/A</v>
      </c>
      <c r="DA2107" s="259" t="str">
        <f t="shared" ca="1" si="1762"/>
        <v/>
      </c>
      <c r="DB2107" s="259" t="str">
        <f t="shared" ca="1" si="1758"/>
        <v/>
      </c>
      <c r="DC2107" s="259" t="str">
        <f t="shared" ca="1" si="1759"/>
        <v/>
      </c>
      <c r="DD2107" s="259" t="str">
        <f t="shared" ca="1" si="1760"/>
        <v/>
      </c>
      <c r="DE2107" s="259" t="str">
        <f t="shared" ca="1" si="1761"/>
        <v/>
      </c>
      <c r="DF2107" s="259">
        <f ca="1">IF(AND(CX2107=$DE$2,$DF$2&lt;&gt;0),0,IF(AND(DB2107&lt;&gt;"",OR(DB2106&lt;&gt;"",DB2108&lt;&gt;"")),MAX($DF$2:DF2106)+1,0))</f>
        <v>0</v>
      </c>
    </row>
    <row r="2108" spans="102:110">
      <c r="CX2108" s="259" t="str">
        <f>IFERROR(IF(CX2090+1=1,"",(CX2090+1)),"")</f>
        <v/>
      </c>
      <c r="CY2108" s="259" t="str">
        <f t="shared" ca="1" si="1753"/>
        <v>MASTRO</v>
      </c>
      <c r="DB2108" s="259" t="str">
        <f t="shared" ref="DB2108" ca="1" si="1763">CY2108</f>
        <v>MASTRO</v>
      </c>
      <c r="DF2108" s="259">
        <f ca="1">IF(AND(CX2108=$DE$2,$DF$2&lt;&gt;0),0,IF(AND(DB2108&lt;&gt;"",OR(DB2107&lt;&gt;"",DB2109&lt;&gt;"")),MAX($DF$2:DF2107)+1,0))</f>
        <v>0</v>
      </c>
    </row>
    <row r="2109" spans="102:110">
      <c r="CX2109" s="259">
        <f ca="1">$EA$120</f>
        <v>118</v>
      </c>
      <c r="CY2109" s="259" t="str">
        <f t="shared" ca="1" si="1753"/>
        <v>MASTRO</v>
      </c>
      <c r="DA2109" s="259" t="str">
        <f ca="1">IF(CY2108="MASTRO","Conto n.","")</f>
        <v>Conto n.</v>
      </c>
      <c r="DB2109" s="259" t="str">
        <f ca="1">IF(CY2109=0,"",INDEX(PIANO_DEI_CONTI,MATCH(DC2109,DENOMINAZIONE,0),1))</f>
        <v/>
      </c>
      <c r="DC2109" s="259" t="str">
        <f ca="1">IF(OR(CY2109=0,CY2109="mastro"),"",CY2109)</f>
        <v/>
      </c>
      <c r="DD2109" s="259" t="str">
        <f ca="1">IF(AND($DA$2=TRUE,OR(INDEX(PIANO_DEI_CONTI,MATCH($DC2109,DENOMINAZIONE,0),4)="A",INDEX(PIANO_DEI_CONTI,MATCH($DC2109,DENOMINAZIONE,0),4)="D/A"),SUMIFS(AVERE,DENOMINAZIONE_GIORNALE,"="&amp;$DC2109)&gt;SUMIFS(DARE,DENOMINAZIONE_GIORNALE,"="&amp;$DC2109)),CONCATENATE("s ",FIXED(ABS(SUMIFS(AVERE,DENOMINAZIONE_GIORNALE,"="&amp;$DC2109)-SUMIFS(DARE,DENOMINAZIONE_GIORNALE,"="&amp;$DC2109)),2)),"")</f>
        <v/>
      </c>
      <c r="DE2109" s="259" t="str">
        <f ca="1">IF(AND($DA$2=TRUE,OR(INDEX(PIANO_DEI_CONTI,MATCH($DC2109,DENOMINAZIONE,0),4)="D",INDEX(PIANO_DEI_CONTI,MATCH($DC2109,DENOMINAZIONE,0),4)="D/A"),SUMIFS(DARE,DENOMINAZIONE_GIORNALE,"="&amp;$DC2109)&gt;SUMIFS(AVERE,DENOMINAZIONE_GIORNALE,"="&amp;$DC2109)),CONCATENATE("s ",FIXED(ABS(SUMIFS(DARE,DENOMINAZIONE_GIORNALE,"="&amp;$DC2109)-SUMIFS(AVERE,DENOMINAZIONE_GIORNALE,"="&amp;$DC2109)),2)),"")</f>
        <v/>
      </c>
      <c r="DF2109" s="259">
        <f ca="1">IF(AND(CX2109=$DE$2,$DF$2&lt;&gt;0),0,IF(AND(DB2109&lt;&gt;"",OR(DB2108&lt;&gt;"",DB2110&lt;&gt;"")),MAX($DF$2:DF2108)+1,0))</f>
        <v>0</v>
      </c>
    </row>
    <row r="2110" spans="102:110">
      <c r="CX2110" s="259">
        <f t="shared" ref="CX2110:CX2125" ca="1" si="1764">$EA$120</f>
        <v>118</v>
      </c>
      <c r="CY2110" s="259" t="str">
        <f t="shared" ca="1" si="1753"/>
        <v>MASTRO</v>
      </c>
      <c r="DA2110" s="259" t="str">
        <f ca="1">IF(DB2109="","","Num. riga")</f>
        <v/>
      </c>
      <c r="DB2110" s="259" t="str">
        <f t="shared" ref="DB2110" ca="1" si="1765">IF(DB2109="","","Data")</f>
        <v/>
      </c>
      <c r="DC2110" s="259" t="str">
        <f ca="1">IF(DB2109="","","Operazioni")</f>
        <v/>
      </c>
      <c r="DD2110" s="259" t="str">
        <f ca="1">IF(DB2109="","","Dare        ")</f>
        <v/>
      </c>
      <c r="DE2110" s="259" t="str">
        <f ca="1">IF(DB2109="","","Avere        ")</f>
        <v/>
      </c>
      <c r="DF2110" s="259">
        <f ca="1">IF(AND(CX2110=$DE$2,$DF$2&lt;&gt;0),0,IF(AND(DB2110&lt;&gt;"",OR(DB2109&lt;&gt;"",DB2111&lt;&gt;"")),MAX($DF$2:DF2109)+1,0))</f>
        <v>0</v>
      </c>
    </row>
    <row r="2111" spans="102:110">
      <c r="CX2111" s="259">
        <f t="shared" ca="1" si="1764"/>
        <v>118</v>
      </c>
      <c r="CY2111" s="259" t="str">
        <f t="shared" ca="1" si="1753"/>
        <v>MASTRO</v>
      </c>
      <c r="CZ2111" s="259" t="e">
        <f t="shared" ref="CZ2111:CZ2125" ca="1" si="1766">SUM(MATCH($CY2111,INDIRECT(ADDRESS(SUM(CZ2110)+3,54)&amp;":"&amp;ADDRESS(400,54)),0),CZ2110)</f>
        <v>#N/A</v>
      </c>
      <c r="DA2111" s="259" t="str">
        <f ca="1">IFERROR(INDEX(LIBRO_GIORNALE,CZ2111,1),"")</f>
        <v/>
      </c>
      <c r="DB2111" s="259" t="str">
        <f t="shared" ref="DB2111:DB2125" ca="1" si="1767">IF(RIGHT(TEXT(IFERROR(INDEX(LIBRO_GIORNALE,CZ2111,2),""),"gg/mm/aa"),1)="a",TEXT(IFERROR(INDEX(LIBRO_GIORNALE,CZ2111,2),""),"dd/mm/yy"),TEXT(IFERROR(INDEX(LIBRO_GIORNALE,CZ2111,2),""),"gg/mm/aa"))</f>
        <v/>
      </c>
      <c r="DC2111" s="259" t="str">
        <f t="shared" ref="DC2111:DC2125" ca="1" si="1768">IF(IFERROR(INDEX(LIBRO_GIORNALE,CZ2111,4),"")=0,"manca la descrizione dell'operazione",IFERROR(INDEX(LIBRO_GIORNALE,CZ2111,4),""))</f>
        <v/>
      </c>
      <c r="DD2111" s="259" t="str">
        <f t="shared" ref="DD2111:DD2125" ca="1" si="1769">IFERROR(IF(INDEX(LIBRO_GIORNALE,CZ2111,5)&gt;0,INDEX(LIBRO_GIORNALE,CZ2111,5),""),"")</f>
        <v/>
      </c>
      <c r="DE2111" s="259" t="str">
        <f t="shared" ref="DE2111:DE2125" ca="1" si="1770">IFERROR(IF(INDEX(LIBRO_GIORNALE,CZ2111,6)&gt;0,INDEX(LIBRO_GIORNALE,CZ2111,6),""),"")</f>
        <v/>
      </c>
      <c r="DF2111" s="259">
        <f ca="1">IF(AND(CX2111=$DE$2,$DF$2&lt;&gt;0),0,IF(AND(DB2111&lt;&gt;"",OR(DB2110&lt;&gt;"",DB2112&lt;&gt;"")),MAX($DF$2:DF2110)+1,0))</f>
        <v>0</v>
      </c>
    </row>
    <row r="2112" spans="102:110">
      <c r="CX2112" s="259">
        <f t="shared" ca="1" si="1764"/>
        <v>118</v>
      </c>
      <c r="CY2112" s="259" t="str">
        <f t="shared" ca="1" si="1753"/>
        <v>MASTRO</v>
      </c>
      <c r="CZ2112" s="259" t="e">
        <f t="shared" ca="1" si="1766"/>
        <v>#N/A</v>
      </c>
      <c r="DA2112" s="259" t="str">
        <f t="shared" ref="DA2112:DA2125" ca="1" si="1771">IFERROR(INDEX(LIBRO_GIORNALE,CZ2112,1),"")</f>
        <v/>
      </c>
      <c r="DB2112" s="259" t="str">
        <f t="shared" ca="1" si="1767"/>
        <v/>
      </c>
      <c r="DC2112" s="259" t="str">
        <f t="shared" ca="1" si="1768"/>
        <v/>
      </c>
      <c r="DD2112" s="259" t="str">
        <f t="shared" ca="1" si="1769"/>
        <v/>
      </c>
      <c r="DE2112" s="259" t="str">
        <f t="shared" ca="1" si="1770"/>
        <v/>
      </c>
      <c r="DF2112" s="259">
        <f ca="1">IF(AND(CX2112=$DE$2,$DF$2&lt;&gt;0),0,IF(AND(DB2112&lt;&gt;"",OR(DB2111&lt;&gt;"",DB2113&lt;&gt;"")),MAX($DF$2:DF2111)+1,0))</f>
        <v>0</v>
      </c>
    </row>
    <row r="2113" spans="102:110">
      <c r="CX2113" s="259">
        <f t="shared" ca="1" si="1764"/>
        <v>118</v>
      </c>
      <c r="CY2113" s="259" t="str">
        <f t="shared" ca="1" si="1753"/>
        <v>MASTRO</v>
      </c>
      <c r="CZ2113" s="259" t="e">
        <f t="shared" ca="1" si="1766"/>
        <v>#N/A</v>
      </c>
      <c r="DA2113" s="259" t="str">
        <f t="shared" ca="1" si="1771"/>
        <v/>
      </c>
      <c r="DB2113" s="259" t="str">
        <f t="shared" ca="1" si="1767"/>
        <v/>
      </c>
      <c r="DC2113" s="259" t="str">
        <f t="shared" ca="1" si="1768"/>
        <v/>
      </c>
      <c r="DD2113" s="259" t="str">
        <f t="shared" ca="1" si="1769"/>
        <v/>
      </c>
      <c r="DE2113" s="259" t="str">
        <f t="shared" ca="1" si="1770"/>
        <v/>
      </c>
      <c r="DF2113" s="259">
        <f ca="1">IF(AND(CX2113=$DE$2,$DF$2&lt;&gt;0),0,IF(AND(DB2113&lt;&gt;"",OR(DB2112&lt;&gt;"",DB2114&lt;&gt;"")),MAX($DF$2:DF2112)+1,0))</f>
        <v>0</v>
      </c>
    </row>
    <row r="2114" spans="102:110">
      <c r="CX2114" s="259">
        <f t="shared" ca="1" si="1764"/>
        <v>118</v>
      </c>
      <c r="CY2114" s="259" t="str">
        <f t="shared" ca="1" si="1753"/>
        <v>MASTRO</v>
      </c>
      <c r="CZ2114" s="259" t="e">
        <f t="shared" ca="1" si="1766"/>
        <v>#N/A</v>
      </c>
      <c r="DA2114" s="259" t="str">
        <f t="shared" ca="1" si="1771"/>
        <v/>
      </c>
      <c r="DB2114" s="259" t="str">
        <f t="shared" ca="1" si="1767"/>
        <v/>
      </c>
      <c r="DC2114" s="259" t="str">
        <f t="shared" ca="1" si="1768"/>
        <v/>
      </c>
      <c r="DD2114" s="259" t="str">
        <f t="shared" ca="1" si="1769"/>
        <v/>
      </c>
      <c r="DE2114" s="259" t="str">
        <f t="shared" ca="1" si="1770"/>
        <v/>
      </c>
      <c r="DF2114" s="259">
        <f ca="1">IF(AND(CX2114=$DE$2,$DF$2&lt;&gt;0),0,IF(AND(DB2114&lt;&gt;"",OR(DB2113&lt;&gt;"",DB2115&lt;&gt;"")),MAX($DF$2:DF2113)+1,0))</f>
        <v>0</v>
      </c>
    </row>
    <row r="2115" spans="102:110">
      <c r="CX2115" s="259">
        <f t="shared" ca="1" si="1764"/>
        <v>118</v>
      </c>
      <c r="CY2115" s="259" t="str">
        <f t="shared" ref="CY2115:CY2147" ca="1" si="1772">IF(ISERROR(INDEX($CV$3:$CX$2300,MATCH(CX2115,$CW$3:$CW$2300,0),1)),"MASTRO",INDEX($CV$3:$CX$2300,MATCH(CX2115,$CW$3:$CW$2300,0),1))</f>
        <v>MASTRO</v>
      </c>
      <c r="CZ2115" s="259" t="e">
        <f t="shared" ca="1" si="1766"/>
        <v>#N/A</v>
      </c>
      <c r="DA2115" s="259" t="str">
        <f t="shared" ca="1" si="1771"/>
        <v/>
      </c>
      <c r="DB2115" s="259" t="str">
        <f t="shared" ca="1" si="1767"/>
        <v/>
      </c>
      <c r="DC2115" s="259" t="str">
        <f t="shared" ca="1" si="1768"/>
        <v/>
      </c>
      <c r="DD2115" s="259" t="str">
        <f t="shared" ca="1" si="1769"/>
        <v/>
      </c>
      <c r="DE2115" s="259" t="str">
        <f t="shared" ca="1" si="1770"/>
        <v/>
      </c>
      <c r="DF2115" s="259">
        <f ca="1">IF(AND(CX2115=$DE$2,$DF$2&lt;&gt;0),0,IF(AND(DB2115&lt;&gt;"",OR(DB2114&lt;&gt;"",DB2116&lt;&gt;"")),MAX($DF$2:DF2114)+1,0))</f>
        <v>0</v>
      </c>
    </row>
    <row r="2116" spans="102:110">
      <c r="CX2116" s="259">
        <f t="shared" ca="1" si="1764"/>
        <v>118</v>
      </c>
      <c r="CY2116" s="259" t="str">
        <f t="shared" ca="1" si="1772"/>
        <v>MASTRO</v>
      </c>
      <c r="CZ2116" s="259" t="e">
        <f t="shared" ca="1" si="1766"/>
        <v>#N/A</v>
      </c>
      <c r="DA2116" s="259" t="str">
        <f t="shared" ca="1" si="1771"/>
        <v/>
      </c>
      <c r="DB2116" s="259" t="str">
        <f t="shared" ca="1" si="1767"/>
        <v/>
      </c>
      <c r="DC2116" s="259" t="str">
        <f t="shared" ca="1" si="1768"/>
        <v/>
      </c>
      <c r="DD2116" s="259" t="str">
        <f t="shared" ca="1" si="1769"/>
        <v/>
      </c>
      <c r="DE2116" s="259" t="str">
        <f t="shared" ca="1" si="1770"/>
        <v/>
      </c>
      <c r="DF2116" s="259">
        <f ca="1">IF(AND(CX2116=$DE$2,$DF$2&lt;&gt;0),0,IF(AND(DB2116&lt;&gt;"",OR(DB2115&lt;&gt;"",DB2117&lt;&gt;"")),MAX($DF$2:DF2115)+1,0))</f>
        <v>0</v>
      </c>
    </row>
    <row r="2117" spans="102:110">
      <c r="CX2117" s="259">
        <f t="shared" ca="1" si="1764"/>
        <v>118</v>
      </c>
      <c r="CY2117" s="259" t="str">
        <f t="shared" ca="1" si="1772"/>
        <v>MASTRO</v>
      </c>
      <c r="CZ2117" s="259" t="e">
        <f t="shared" ca="1" si="1766"/>
        <v>#N/A</v>
      </c>
      <c r="DA2117" s="259" t="str">
        <f t="shared" ca="1" si="1771"/>
        <v/>
      </c>
      <c r="DB2117" s="259" t="str">
        <f t="shared" ca="1" si="1767"/>
        <v/>
      </c>
      <c r="DC2117" s="259" t="str">
        <f t="shared" ca="1" si="1768"/>
        <v/>
      </c>
      <c r="DD2117" s="259" t="str">
        <f t="shared" ca="1" si="1769"/>
        <v/>
      </c>
      <c r="DE2117" s="259" t="str">
        <f t="shared" ca="1" si="1770"/>
        <v/>
      </c>
      <c r="DF2117" s="259">
        <f ca="1">IF(AND(CX2117=$DE$2,$DF$2&lt;&gt;0),0,IF(AND(DB2117&lt;&gt;"",OR(DB2116&lt;&gt;"",DB2118&lt;&gt;"")),MAX($DF$2:DF2116)+1,0))</f>
        <v>0</v>
      </c>
    </row>
    <row r="2118" spans="102:110">
      <c r="CX2118" s="259">
        <f t="shared" ca="1" si="1764"/>
        <v>118</v>
      </c>
      <c r="CY2118" s="259" t="str">
        <f t="shared" ca="1" si="1772"/>
        <v>MASTRO</v>
      </c>
      <c r="CZ2118" s="259" t="e">
        <f t="shared" ca="1" si="1766"/>
        <v>#N/A</v>
      </c>
      <c r="DA2118" s="259" t="str">
        <f t="shared" ca="1" si="1771"/>
        <v/>
      </c>
      <c r="DB2118" s="259" t="str">
        <f t="shared" ca="1" si="1767"/>
        <v/>
      </c>
      <c r="DC2118" s="259" t="str">
        <f t="shared" ca="1" si="1768"/>
        <v/>
      </c>
      <c r="DD2118" s="259" t="str">
        <f t="shared" ca="1" si="1769"/>
        <v/>
      </c>
      <c r="DE2118" s="259" t="str">
        <f t="shared" ca="1" si="1770"/>
        <v/>
      </c>
      <c r="DF2118" s="259">
        <f ca="1">IF(AND(CX2118=$DE$2,$DF$2&lt;&gt;0),0,IF(AND(DB2118&lt;&gt;"",OR(DB2117&lt;&gt;"",DB2119&lt;&gt;"")),MAX($DF$2:DF2117)+1,0))</f>
        <v>0</v>
      </c>
    </row>
    <row r="2119" spans="102:110">
      <c r="CX2119" s="259">
        <f t="shared" ca="1" si="1764"/>
        <v>118</v>
      </c>
      <c r="CY2119" s="259" t="str">
        <f t="shared" ca="1" si="1772"/>
        <v>MASTRO</v>
      </c>
      <c r="CZ2119" s="259" t="e">
        <f t="shared" ca="1" si="1766"/>
        <v>#N/A</v>
      </c>
      <c r="DA2119" s="259" t="str">
        <f t="shared" ca="1" si="1771"/>
        <v/>
      </c>
      <c r="DB2119" s="259" t="str">
        <f t="shared" ca="1" si="1767"/>
        <v/>
      </c>
      <c r="DC2119" s="259" t="str">
        <f t="shared" ca="1" si="1768"/>
        <v/>
      </c>
      <c r="DD2119" s="259" t="str">
        <f t="shared" ca="1" si="1769"/>
        <v/>
      </c>
      <c r="DE2119" s="259" t="str">
        <f t="shared" ca="1" si="1770"/>
        <v/>
      </c>
      <c r="DF2119" s="259">
        <f ca="1">IF(AND(CX2119=$DE$2,$DF$2&lt;&gt;0),0,IF(AND(DB2119&lt;&gt;"",OR(DB2118&lt;&gt;"",DB2120&lt;&gt;"")),MAX($DF$2:DF2118)+1,0))</f>
        <v>0</v>
      </c>
    </row>
    <row r="2120" spans="102:110">
      <c r="CX2120" s="259">
        <f t="shared" ca="1" si="1764"/>
        <v>118</v>
      </c>
      <c r="CY2120" s="259" t="str">
        <f t="shared" ca="1" si="1772"/>
        <v>MASTRO</v>
      </c>
      <c r="CZ2120" s="259" t="e">
        <f t="shared" ca="1" si="1766"/>
        <v>#N/A</v>
      </c>
      <c r="DA2120" s="259" t="str">
        <f t="shared" ca="1" si="1771"/>
        <v/>
      </c>
      <c r="DB2120" s="259" t="str">
        <f t="shared" ca="1" si="1767"/>
        <v/>
      </c>
      <c r="DC2120" s="259" t="str">
        <f t="shared" ca="1" si="1768"/>
        <v/>
      </c>
      <c r="DD2120" s="259" t="str">
        <f t="shared" ca="1" si="1769"/>
        <v/>
      </c>
      <c r="DE2120" s="259" t="str">
        <f t="shared" ca="1" si="1770"/>
        <v/>
      </c>
      <c r="DF2120" s="259">
        <f ca="1">IF(AND(CX2120=$DE$2,$DF$2&lt;&gt;0),0,IF(AND(DB2120&lt;&gt;"",OR(DB2119&lt;&gt;"",DB2121&lt;&gt;"")),MAX($DF$2:DF2119)+1,0))</f>
        <v>0</v>
      </c>
    </row>
    <row r="2121" spans="102:110">
      <c r="CX2121" s="259">
        <f t="shared" ca="1" si="1764"/>
        <v>118</v>
      </c>
      <c r="CY2121" s="259" t="str">
        <f t="shared" ca="1" si="1772"/>
        <v>MASTRO</v>
      </c>
      <c r="CZ2121" s="259" t="e">
        <f t="shared" ca="1" si="1766"/>
        <v>#N/A</v>
      </c>
      <c r="DA2121" s="259" t="str">
        <f t="shared" ca="1" si="1771"/>
        <v/>
      </c>
      <c r="DB2121" s="259" t="str">
        <f t="shared" ca="1" si="1767"/>
        <v/>
      </c>
      <c r="DC2121" s="259" t="str">
        <f t="shared" ca="1" si="1768"/>
        <v/>
      </c>
      <c r="DD2121" s="259" t="str">
        <f t="shared" ca="1" si="1769"/>
        <v/>
      </c>
      <c r="DE2121" s="259" t="str">
        <f t="shared" ca="1" si="1770"/>
        <v/>
      </c>
      <c r="DF2121" s="259">
        <f ca="1">IF(AND(CX2121=$DE$2,$DF$2&lt;&gt;0),0,IF(AND(DB2121&lt;&gt;"",OR(DB2120&lt;&gt;"",DB2122&lt;&gt;"")),MAX($DF$2:DF2120)+1,0))</f>
        <v>0</v>
      </c>
    </row>
    <row r="2122" spans="102:110">
      <c r="CX2122" s="259">
        <f t="shared" ca="1" si="1764"/>
        <v>118</v>
      </c>
      <c r="CY2122" s="259" t="str">
        <f t="shared" ca="1" si="1772"/>
        <v>MASTRO</v>
      </c>
      <c r="CZ2122" s="259" t="e">
        <f t="shared" ca="1" si="1766"/>
        <v>#N/A</v>
      </c>
      <c r="DA2122" s="259" t="str">
        <f t="shared" ca="1" si="1771"/>
        <v/>
      </c>
      <c r="DB2122" s="259" t="str">
        <f t="shared" ca="1" si="1767"/>
        <v/>
      </c>
      <c r="DC2122" s="259" t="str">
        <f t="shared" ca="1" si="1768"/>
        <v/>
      </c>
      <c r="DD2122" s="259" t="str">
        <f t="shared" ca="1" si="1769"/>
        <v/>
      </c>
      <c r="DE2122" s="259" t="str">
        <f t="shared" ca="1" si="1770"/>
        <v/>
      </c>
      <c r="DF2122" s="259">
        <f ca="1">IF(AND(CX2122=$DE$2,$DF$2&lt;&gt;0),0,IF(AND(DB2122&lt;&gt;"",OR(DB2121&lt;&gt;"",DB2123&lt;&gt;"")),MAX($DF$2:DF2121)+1,0))</f>
        <v>0</v>
      </c>
    </row>
    <row r="2123" spans="102:110">
      <c r="CX2123" s="259">
        <f t="shared" ca="1" si="1764"/>
        <v>118</v>
      </c>
      <c r="CY2123" s="259" t="str">
        <f t="shared" ca="1" si="1772"/>
        <v>MASTRO</v>
      </c>
      <c r="CZ2123" s="259" t="e">
        <f t="shared" ca="1" si="1766"/>
        <v>#N/A</v>
      </c>
      <c r="DA2123" s="259" t="str">
        <f t="shared" ca="1" si="1771"/>
        <v/>
      </c>
      <c r="DB2123" s="259" t="str">
        <f t="shared" ca="1" si="1767"/>
        <v/>
      </c>
      <c r="DC2123" s="259" t="str">
        <f t="shared" ca="1" si="1768"/>
        <v/>
      </c>
      <c r="DD2123" s="259" t="str">
        <f t="shared" ca="1" si="1769"/>
        <v/>
      </c>
      <c r="DE2123" s="259" t="str">
        <f t="shared" ca="1" si="1770"/>
        <v/>
      </c>
      <c r="DF2123" s="259">
        <f ca="1">IF(AND(CX2123=$DE$2,$DF$2&lt;&gt;0),0,IF(AND(DB2123&lt;&gt;"",OR(DB2122&lt;&gt;"",DB2124&lt;&gt;"")),MAX($DF$2:DF2122)+1,0))</f>
        <v>0</v>
      </c>
    </row>
    <row r="2124" spans="102:110">
      <c r="CX2124" s="259">
        <f t="shared" ca="1" si="1764"/>
        <v>118</v>
      </c>
      <c r="CY2124" s="259" t="str">
        <f t="shared" ca="1" si="1772"/>
        <v>MASTRO</v>
      </c>
      <c r="CZ2124" s="259" t="e">
        <f t="shared" ca="1" si="1766"/>
        <v>#N/A</v>
      </c>
      <c r="DA2124" s="259" t="str">
        <f t="shared" ca="1" si="1771"/>
        <v/>
      </c>
      <c r="DB2124" s="259" t="str">
        <f t="shared" ca="1" si="1767"/>
        <v/>
      </c>
      <c r="DC2124" s="259" t="str">
        <f t="shared" ca="1" si="1768"/>
        <v/>
      </c>
      <c r="DD2124" s="259" t="str">
        <f t="shared" ca="1" si="1769"/>
        <v/>
      </c>
      <c r="DE2124" s="259" t="str">
        <f t="shared" ca="1" si="1770"/>
        <v/>
      </c>
      <c r="DF2124" s="259">
        <f ca="1">IF(AND(CX2124=$DE$2,$DF$2&lt;&gt;0),0,IF(AND(DB2124&lt;&gt;"",OR(DB2123&lt;&gt;"",DB2125&lt;&gt;"")),MAX($DF$2:DF2123)+1,0))</f>
        <v>0</v>
      </c>
    </row>
    <row r="2125" spans="102:110">
      <c r="CX2125" s="259">
        <f t="shared" ca="1" si="1764"/>
        <v>118</v>
      </c>
      <c r="CY2125" s="259" t="str">
        <f t="shared" ca="1" si="1772"/>
        <v>MASTRO</v>
      </c>
      <c r="CZ2125" s="259" t="e">
        <f t="shared" ca="1" si="1766"/>
        <v>#N/A</v>
      </c>
      <c r="DA2125" s="259" t="str">
        <f t="shared" ca="1" si="1771"/>
        <v/>
      </c>
      <c r="DB2125" s="259" t="str">
        <f t="shared" ca="1" si="1767"/>
        <v/>
      </c>
      <c r="DC2125" s="259" t="str">
        <f t="shared" ca="1" si="1768"/>
        <v/>
      </c>
      <c r="DD2125" s="259" t="str">
        <f t="shared" ca="1" si="1769"/>
        <v/>
      </c>
      <c r="DE2125" s="259" t="str">
        <f t="shared" ca="1" si="1770"/>
        <v/>
      </c>
      <c r="DF2125" s="259">
        <f ca="1">IF(AND(CX2125=$DE$2,$DF$2&lt;&gt;0),0,IF(AND(DB2125&lt;&gt;"",OR(DB2124&lt;&gt;"",DB2126&lt;&gt;"")),MAX($DF$2:DF2124)+1,0))</f>
        <v>0</v>
      </c>
    </row>
    <row r="2126" spans="102:110">
      <c r="CX2126" s="259" t="str">
        <f>IFERROR(IF(CX2108+1=1,"",(CX2108+1)),"")</f>
        <v/>
      </c>
      <c r="CY2126" s="259" t="str">
        <f t="shared" ca="1" si="1772"/>
        <v>MASTRO</v>
      </c>
      <c r="DB2126" s="259" t="str">
        <f t="shared" ref="DB2126" ca="1" si="1773">CY2126</f>
        <v>MASTRO</v>
      </c>
      <c r="DF2126" s="259">
        <f ca="1">IF(AND(CX2126=$DE$2,$DF$2&lt;&gt;0),0,IF(AND(DB2126&lt;&gt;"",OR(DB2125&lt;&gt;"",DB2127&lt;&gt;"")),MAX($DF$2:DF2125)+1,0))</f>
        <v>0</v>
      </c>
    </row>
    <row r="2127" spans="102:110">
      <c r="CX2127" s="259">
        <f ca="1">$EA$121</f>
        <v>119</v>
      </c>
      <c r="CY2127" s="259" t="str">
        <f t="shared" ca="1" si="1772"/>
        <v>MASTRO</v>
      </c>
      <c r="DA2127" s="259" t="str">
        <f ca="1">IF(CY2126="MASTRO","Conto n.","")</f>
        <v>Conto n.</v>
      </c>
      <c r="DB2127" s="259" t="str">
        <f ca="1">IF(CY2127=0,"",INDEX(PIANO_DEI_CONTI,MATCH(DC2127,DENOMINAZIONE,0),1))</f>
        <v/>
      </c>
      <c r="DC2127" s="259" t="str">
        <f ca="1">IF(OR(CY2127=0,CY2127="mastro"),"",CY2127)</f>
        <v/>
      </c>
      <c r="DD2127" s="259" t="str">
        <f ca="1">IF(AND($DA$2=TRUE,OR(INDEX(PIANO_DEI_CONTI,MATCH($DC2127,DENOMINAZIONE,0),4)="A",INDEX(PIANO_DEI_CONTI,MATCH($DC2127,DENOMINAZIONE,0),4)="D/A"),SUMIFS(AVERE,DENOMINAZIONE_GIORNALE,"="&amp;$DC2127)&gt;SUMIFS(DARE,DENOMINAZIONE_GIORNALE,"="&amp;$DC2127)),CONCATENATE("s ",FIXED(ABS(SUMIFS(AVERE,DENOMINAZIONE_GIORNALE,"="&amp;$DC2127)-SUMIFS(DARE,DENOMINAZIONE_GIORNALE,"="&amp;$DC2127)),2)),"")</f>
        <v/>
      </c>
      <c r="DE2127" s="259" t="str">
        <f ca="1">IF(AND($DA$2=TRUE,OR(INDEX(PIANO_DEI_CONTI,MATCH($DC2127,DENOMINAZIONE,0),4)="D",INDEX(PIANO_DEI_CONTI,MATCH($DC2127,DENOMINAZIONE,0),4)="D/A"),SUMIFS(DARE,DENOMINAZIONE_GIORNALE,"="&amp;$DC2127)&gt;SUMIFS(AVERE,DENOMINAZIONE_GIORNALE,"="&amp;$DC2127)),CONCATENATE("s ",FIXED(ABS(SUMIFS(DARE,DENOMINAZIONE_GIORNALE,"="&amp;$DC2127)-SUMIFS(AVERE,DENOMINAZIONE_GIORNALE,"="&amp;$DC2127)),2)),"")</f>
        <v/>
      </c>
      <c r="DF2127" s="259">
        <f ca="1">IF(AND(CX2127=$DE$2,$DF$2&lt;&gt;0),0,IF(AND(DB2127&lt;&gt;"",OR(DB2126&lt;&gt;"",DB2128&lt;&gt;"")),MAX($DF$2:DF2126)+1,0))</f>
        <v>0</v>
      </c>
    </row>
    <row r="2128" spans="102:110">
      <c r="CX2128" s="259">
        <f t="shared" ref="CX2128:CX2143" ca="1" si="1774">$EA$121</f>
        <v>119</v>
      </c>
      <c r="CY2128" s="259" t="str">
        <f t="shared" ca="1" si="1772"/>
        <v>MASTRO</v>
      </c>
      <c r="DA2128" s="259" t="str">
        <f ca="1">IF(DB2127="","","Num. riga")</f>
        <v/>
      </c>
      <c r="DB2128" s="259" t="str">
        <f t="shared" ref="DB2128" ca="1" si="1775">IF(DB2127="","","Data")</f>
        <v/>
      </c>
      <c r="DC2128" s="259" t="str">
        <f ca="1">IF(DB2127="","","Operazioni")</f>
        <v/>
      </c>
      <c r="DD2128" s="259" t="str">
        <f ca="1">IF(DB2127="","","Dare        ")</f>
        <v/>
      </c>
      <c r="DE2128" s="259" t="str">
        <f ca="1">IF(DB2127="","","Avere        ")</f>
        <v/>
      </c>
      <c r="DF2128" s="259">
        <f ca="1">IF(AND(CX2128=$DE$2,$DF$2&lt;&gt;0),0,IF(AND(DB2128&lt;&gt;"",OR(DB2127&lt;&gt;"",DB2129&lt;&gt;"")),MAX($DF$2:DF2127)+1,0))</f>
        <v>0</v>
      </c>
    </row>
    <row r="2129" spans="102:110">
      <c r="CX2129" s="259">
        <f t="shared" ca="1" si="1774"/>
        <v>119</v>
      </c>
      <c r="CY2129" s="259" t="str">
        <f t="shared" ca="1" si="1772"/>
        <v>MASTRO</v>
      </c>
      <c r="CZ2129" s="259" t="e">
        <f t="shared" ref="CZ2129:CZ2143" ca="1" si="1776">SUM(MATCH($CY2129,INDIRECT(ADDRESS(SUM(CZ2128)+3,54)&amp;":"&amp;ADDRESS(400,54)),0),CZ2128)</f>
        <v>#N/A</v>
      </c>
      <c r="DA2129" s="259" t="str">
        <f ca="1">IFERROR(INDEX(LIBRO_GIORNALE,CZ2129,1),"")</f>
        <v/>
      </c>
      <c r="DB2129" s="259" t="str">
        <f t="shared" ref="DB2129:DB2143" ca="1" si="1777">IF(RIGHT(TEXT(IFERROR(INDEX(LIBRO_GIORNALE,CZ2129,2),""),"gg/mm/aa"),1)="a",TEXT(IFERROR(INDEX(LIBRO_GIORNALE,CZ2129,2),""),"dd/mm/yy"),TEXT(IFERROR(INDEX(LIBRO_GIORNALE,CZ2129,2),""),"gg/mm/aa"))</f>
        <v/>
      </c>
      <c r="DC2129" s="259" t="str">
        <f t="shared" ref="DC2129:DC2143" ca="1" si="1778">IF(IFERROR(INDEX(LIBRO_GIORNALE,CZ2129,4),"")=0,"manca la descrizione dell'operazione",IFERROR(INDEX(LIBRO_GIORNALE,CZ2129,4),""))</f>
        <v/>
      </c>
      <c r="DD2129" s="259" t="str">
        <f t="shared" ref="DD2129:DD2143" ca="1" si="1779">IFERROR(IF(INDEX(LIBRO_GIORNALE,CZ2129,5)&gt;0,INDEX(LIBRO_GIORNALE,CZ2129,5),""),"")</f>
        <v/>
      </c>
      <c r="DE2129" s="259" t="str">
        <f t="shared" ref="DE2129:DE2143" ca="1" si="1780">IFERROR(IF(INDEX(LIBRO_GIORNALE,CZ2129,6)&gt;0,INDEX(LIBRO_GIORNALE,CZ2129,6),""),"")</f>
        <v/>
      </c>
      <c r="DF2129" s="259">
        <f ca="1">IF(AND(CX2129=$DE$2,$DF$2&lt;&gt;0),0,IF(AND(DB2129&lt;&gt;"",OR(DB2128&lt;&gt;"",DB2130&lt;&gt;"")),MAX($DF$2:DF2128)+1,0))</f>
        <v>0</v>
      </c>
    </row>
    <row r="2130" spans="102:110">
      <c r="CX2130" s="259">
        <f t="shared" ca="1" si="1774"/>
        <v>119</v>
      </c>
      <c r="CY2130" s="259" t="str">
        <f t="shared" ca="1" si="1772"/>
        <v>MASTRO</v>
      </c>
      <c r="CZ2130" s="259" t="e">
        <f t="shared" ca="1" si="1776"/>
        <v>#N/A</v>
      </c>
      <c r="DA2130" s="259" t="str">
        <f t="shared" ref="DA2130:DA2143" ca="1" si="1781">IFERROR(INDEX(LIBRO_GIORNALE,CZ2130,1),"")</f>
        <v/>
      </c>
      <c r="DB2130" s="259" t="str">
        <f t="shared" ca="1" si="1777"/>
        <v/>
      </c>
      <c r="DC2130" s="259" t="str">
        <f t="shared" ca="1" si="1778"/>
        <v/>
      </c>
      <c r="DD2130" s="259" t="str">
        <f t="shared" ca="1" si="1779"/>
        <v/>
      </c>
      <c r="DE2130" s="259" t="str">
        <f t="shared" ca="1" si="1780"/>
        <v/>
      </c>
      <c r="DF2130" s="259">
        <f ca="1">IF(AND(CX2130=$DE$2,$DF$2&lt;&gt;0),0,IF(AND(DB2130&lt;&gt;"",OR(DB2129&lt;&gt;"",DB2131&lt;&gt;"")),MAX($DF$2:DF2129)+1,0))</f>
        <v>0</v>
      </c>
    </row>
    <row r="2131" spans="102:110">
      <c r="CX2131" s="259">
        <f t="shared" ca="1" si="1774"/>
        <v>119</v>
      </c>
      <c r="CY2131" s="259" t="str">
        <f t="shared" ca="1" si="1772"/>
        <v>MASTRO</v>
      </c>
      <c r="CZ2131" s="259" t="e">
        <f t="shared" ca="1" si="1776"/>
        <v>#N/A</v>
      </c>
      <c r="DA2131" s="259" t="str">
        <f t="shared" ca="1" si="1781"/>
        <v/>
      </c>
      <c r="DB2131" s="259" t="str">
        <f t="shared" ca="1" si="1777"/>
        <v/>
      </c>
      <c r="DC2131" s="259" t="str">
        <f t="shared" ca="1" si="1778"/>
        <v/>
      </c>
      <c r="DD2131" s="259" t="str">
        <f t="shared" ca="1" si="1779"/>
        <v/>
      </c>
      <c r="DE2131" s="259" t="str">
        <f t="shared" ca="1" si="1780"/>
        <v/>
      </c>
      <c r="DF2131" s="259">
        <f ca="1">IF(AND(CX2131=$DE$2,$DF$2&lt;&gt;0),0,IF(AND(DB2131&lt;&gt;"",OR(DB2130&lt;&gt;"",DB2132&lt;&gt;"")),MAX($DF$2:DF2130)+1,0))</f>
        <v>0</v>
      </c>
    </row>
    <row r="2132" spans="102:110">
      <c r="CX2132" s="259">
        <f t="shared" ca="1" si="1774"/>
        <v>119</v>
      </c>
      <c r="CY2132" s="259" t="str">
        <f t="shared" ca="1" si="1772"/>
        <v>MASTRO</v>
      </c>
      <c r="CZ2132" s="259" t="e">
        <f t="shared" ca="1" si="1776"/>
        <v>#N/A</v>
      </c>
      <c r="DA2132" s="259" t="str">
        <f t="shared" ca="1" si="1781"/>
        <v/>
      </c>
      <c r="DB2132" s="259" t="str">
        <f t="shared" ca="1" si="1777"/>
        <v/>
      </c>
      <c r="DC2132" s="259" t="str">
        <f t="shared" ca="1" si="1778"/>
        <v/>
      </c>
      <c r="DD2132" s="259" t="str">
        <f t="shared" ca="1" si="1779"/>
        <v/>
      </c>
      <c r="DE2132" s="259" t="str">
        <f t="shared" ca="1" si="1780"/>
        <v/>
      </c>
      <c r="DF2132" s="259">
        <f ca="1">IF(AND(CX2132=$DE$2,$DF$2&lt;&gt;0),0,IF(AND(DB2132&lt;&gt;"",OR(DB2131&lt;&gt;"",DB2133&lt;&gt;"")),MAX($DF$2:DF2131)+1,0))</f>
        <v>0</v>
      </c>
    </row>
    <row r="2133" spans="102:110">
      <c r="CX2133" s="259">
        <f t="shared" ca="1" si="1774"/>
        <v>119</v>
      </c>
      <c r="CY2133" s="259" t="str">
        <f t="shared" ca="1" si="1772"/>
        <v>MASTRO</v>
      </c>
      <c r="CZ2133" s="259" t="e">
        <f t="shared" ca="1" si="1776"/>
        <v>#N/A</v>
      </c>
      <c r="DA2133" s="259" t="str">
        <f t="shared" ca="1" si="1781"/>
        <v/>
      </c>
      <c r="DB2133" s="259" t="str">
        <f t="shared" ca="1" si="1777"/>
        <v/>
      </c>
      <c r="DC2133" s="259" t="str">
        <f t="shared" ca="1" si="1778"/>
        <v/>
      </c>
      <c r="DD2133" s="259" t="str">
        <f t="shared" ca="1" si="1779"/>
        <v/>
      </c>
      <c r="DE2133" s="259" t="str">
        <f t="shared" ca="1" si="1780"/>
        <v/>
      </c>
      <c r="DF2133" s="259">
        <f ca="1">IF(AND(CX2133=$DE$2,$DF$2&lt;&gt;0),0,IF(AND(DB2133&lt;&gt;"",OR(DB2132&lt;&gt;"",DB2134&lt;&gt;"")),MAX($DF$2:DF2132)+1,0))</f>
        <v>0</v>
      </c>
    </row>
    <row r="2134" spans="102:110">
      <c r="CX2134" s="259">
        <f t="shared" ca="1" si="1774"/>
        <v>119</v>
      </c>
      <c r="CY2134" s="259" t="str">
        <f t="shared" ca="1" si="1772"/>
        <v>MASTRO</v>
      </c>
      <c r="CZ2134" s="259" t="e">
        <f t="shared" ca="1" si="1776"/>
        <v>#N/A</v>
      </c>
      <c r="DA2134" s="259" t="str">
        <f t="shared" ca="1" si="1781"/>
        <v/>
      </c>
      <c r="DB2134" s="259" t="str">
        <f t="shared" ca="1" si="1777"/>
        <v/>
      </c>
      <c r="DC2134" s="259" t="str">
        <f t="shared" ca="1" si="1778"/>
        <v/>
      </c>
      <c r="DD2134" s="259" t="str">
        <f t="shared" ca="1" si="1779"/>
        <v/>
      </c>
      <c r="DE2134" s="259" t="str">
        <f t="shared" ca="1" si="1780"/>
        <v/>
      </c>
      <c r="DF2134" s="259">
        <f ca="1">IF(AND(CX2134=$DE$2,$DF$2&lt;&gt;0),0,IF(AND(DB2134&lt;&gt;"",OR(DB2133&lt;&gt;"",DB2135&lt;&gt;"")),MAX($DF$2:DF2133)+1,0))</f>
        <v>0</v>
      </c>
    </row>
    <row r="2135" spans="102:110">
      <c r="CX2135" s="259">
        <f t="shared" ca="1" si="1774"/>
        <v>119</v>
      </c>
      <c r="CY2135" s="259" t="str">
        <f t="shared" ca="1" si="1772"/>
        <v>MASTRO</v>
      </c>
      <c r="CZ2135" s="259" t="e">
        <f t="shared" ca="1" si="1776"/>
        <v>#N/A</v>
      </c>
      <c r="DA2135" s="259" t="str">
        <f t="shared" ca="1" si="1781"/>
        <v/>
      </c>
      <c r="DB2135" s="259" t="str">
        <f t="shared" ca="1" si="1777"/>
        <v/>
      </c>
      <c r="DC2135" s="259" t="str">
        <f t="shared" ca="1" si="1778"/>
        <v/>
      </c>
      <c r="DD2135" s="259" t="str">
        <f t="shared" ca="1" si="1779"/>
        <v/>
      </c>
      <c r="DE2135" s="259" t="str">
        <f t="shared" ca="1" si="1780"/>
        <v/>
      </c>
      <c r="DF2135" s="259">
        <f ca="1">IF(AND(CX2135=$DE$2,$DF$2&lt;&gt;0),0,IF(AND(DB2135&lt;&gt;"",OR(DB2134&lt;&gt;"",DB2136&lt;&gt;"")),MAX($DF$2:DF2134)+1,0))</f>
        <v>0</v>
      </c>
    </row>
    <row r="2136" spans="102:110">
      <c r="CX2136" s="259">
        <f t="shared" ca="1" si="1774"/>
        <v>119</v>
      </c>
      <c r="CY2136" s="259" t="str">
        <f t="shared" ca="1" si="1772"/>
        <v>MASTRO</v>
      </c>
      <c r="CZ2136" s="259" t="e">
        <f t="shared" ca="1" si="1776"/>
        <v>#N/A</v>
      </c>
      <c r="DA2136" s="259" t="str">
        <f t="shared" ca="1" si="1781"/>
        <v/>
      </c>
      <c r="DB2136" s="259" t="str">
        <f t="shared" ca="1" si="1777"/>
        <v/>
      </c>
      <c r="DC2136" s="259" t="str">
        <f t="shared" ca="1" si="1778"/>
        <v/>
      </c>
      <c r="DD2136" s="259" t="str">
        <f t="shared" ca="1" si="1779"/>
        <v/>
      </c>
      <c r="DE2136" s="259" t="str">
        <f t="shared" ca="1" si="1780"/>
        <v/>
      </c>
      <c r="DF2136" s="259">
        <f ca="1">IF(AND(CX2136=$DE$2,$DF$2&lt;&gt;0),0,IF(AND(DB2136&lt;&gt;"",OR(DB2135&lt;&gt;"",DB2137&lt;&gt;"")),MAX($DF$2:DF2135)+1,0))</f>
        <v>0</v>
      </c>
    </row>
    <row r="2137" spans="102:110">
      <c r="CX2137" s="259">
        <f t="shared" ca="1" si="1774"/>
        <v>119</v>
      </c>
      <c r="CY2137" s="259" t="str">
        <f t="shared" ca="1" si="1772"/>
        <v>MASTRO</v>
      </c>
      <c r="CZ2137" s="259" t="e">
        <f t="shared" ca="1" si="1776"/>
        <v>#N/A</v>
      </c>
      <c r="DA2137" s="259" t="str">
        <f t="shared" ca="1" si="1781"/>
        <v/>
      </c>
      <c r="DB2137" s="259" t="str">
        <f t="shared" ca="1" si="1777"/>
        <v/>
      </c>
      <c r="DC2137" s="259" t="str">
        <f t="shared" ca="1" si="1778"/>
        <v/>
      </c>
      <c r="DD2137" s="259" t="str">
        <f t="shared" ca="1" si="1779"/>
        <v/>
      </c>
      <c r="DE2137" s="259" t="str">
        <f t="shared" ca="1" si="1780"/>
        <v/>
      </c>
      <c r="DF2137" s="259">
        <f ca="1">IF(AND(CX2137=$DE$2,$DF$2&lt;&gt;0),0,IF(AND(DB2137&lt;&gt;"",OR(DB2136&lt;&gt;"",DB2138&lt;&gt;"")),MAX($DF$2:DF2136)+1,0))</f>
        <v>0</v>
      </c>
    </row>
    <row r="2138" spans="102:110">
      <c r="CX2138" s="259">
        <f t="shared" ca="1" si="1774"/>
        <v>119</v>
      </c>
      <c r="CY2138" s="259" t="str">
        <f t="shared" ca="1" si="1772"/>
        <v>MASTRO</v>
      </c>
      <c r="CZ2138" s="259" t="e">
        <f t="shared" ca="1" si="1776"/>
        <v>#N/A</v>
      </c>
      <c r="DA2138" s="259" t="str">
        <f t="shared" ca="1" si="1781"/>
        <v/>
      </c>
      <c r="DB2138" s="259" t="str">
        <f t="shared" ca="1" si="1777"/>
        <v/>
      </c>
      <c r="DC2138" s="259" t="str">
        <f t="shared" ca="1" si="1778"/>
        <v/>
      </c>
      <c r="DD2138" s="259" t="str">
        <f t="shared" ca="1" si="1779"/>
        <v/>
      </c>
      <c r="DE2138" s="259" t="str">
        <f t="shared" ca="1" si="1780"/>
        <v/>
      </c>
      <c r="DF2138" s="259">
        <f ca="1">IF(AND(CX2138=$DE$2,$DF$2&lt;&gt;0),0,IF(AND(DB2138&lt;&gt;"",OR(DB2137&lt;&gt;"",DB2139&lt;&gt;"")),MAX($DF$2:DF2137)+1,0))</f>
        <v>0</v>
      </c>
    </row>
    <row r="2139" spans="102:110">
      <c r="CX2139" s="259">
        <f t="shared" ca="1" si="1774"/>
        <v>119</v>
      </c>
      <c r="CY2139" s="259" t="str">
        <f t="shared" ca="1" si="1772"/>
        <v>MASTRO</v>
      </c>
      <c r="CZ2139" s="259" t="e">
        <f t="shared" ca="1" si="1776"/>
        <v>#N/A</v>
      </c>
      <c r="DA2139" s="259" t="str">
        <f t="shared" ca="1" si="1781"/>
        <v/>
      </c>
      <c r="DB2139" s="259" t="str">
        <f t="shared" ca="1" si="1777"/>
        <v/>
      </c>
      <c r="DC2139" s="259" t="str">
        <f t="shared" ca="1" si="1778"/>
        <v/>
      </c>
      <c r="DD2139" s="259" t="str">
        <f t="shared" ca="1" si="1779"/>
        <v/>
      </c>
      <c r="DE2139" s="259" t="str">
        <f t="shared" ca="1" si="1780"/>
        <v/>
      </c>
      <c r="DF2139" s="259">
        <f ca="1">IF(AND(CX2139=$DE$2,$DF$2&lt;&gt;0),0,IF(AND(DB2139&lt;&gt;"",OR(DB2138&lt;&gt;"",DB2140&lt;&gt;"")),MAX($DF$2:DF2138)+1,0))</f>
        <v>0</v>
      </c>
    </row>
    <row r="2140" spans="102:110">
      <c r="CX2140" s="259">
        <f t="shared" ca="1" si="1774"/>
        <v>119</v>
      </c>
      <c r="CY2140" s="259" t="str">
        <f t="shared" ca="1" si="1772"/>
        <v>MASTRO</v>
      </c>
      <c r="CZ2140" s="259" t="e">
        <f t="shared" ca="1" si="1776"/>
        <v>#N/A</v>
      </c>
      <c r="DA2140" s="259" t="str">
        <f t="shared" ca="1" si="1781"/>
        <v/>
      </c>
      <c r="DB2140" s="259" t="str">
        <f t="shared" ca="1" si="1777"/>
        <v/>
      </c>
      <c r="DC2140" s="259" t="str">
        <f t="shared" ca="1" si="1778"/>
        <v/>
      </c>
      <c r="DD2140" s="259" t="str">
        <f t="shared" ca="1" si="1779"/>
        <v/>
      </c>
      <c r="DE2140" s="259" t="str">
        <f t="shared" ca="1" si="1780"/>
        <v/>
      </c>
      <c r="DF2140" s="259">
        <f ca="1">IF(AND(CX2140=$DE$2,$DF$2&lt;&gt;0),0,IF(AND(DB2140&lt;&gt;"",OR(DB2139&lt;&gt;"",DB2141&lt;&gt;"")),MAX($DF$2:DF2139)+1,0))</f>
        <v>0</v>
      </c>
    </row>
    <row r="2141" spans="102:110">
      <c r="CX2141" s="259">
        <f t="shared" ca="1" si="1774"/>
        <v>119</v>
      </c>
      <c r="CY2141" s="259" t="str">
        <f t="shared" ca="1" si="1772"/>
        <v>MASTRO</v>
      </c>
      <c r="CZ2141" s="259" t="e">
        <f t="shared" ca="1" si="1776"/>
        <v>#N/A</v>
      </c>
      <c r="DA2141" s="259" t="str">
        <f t="shared" ca="1" si="1781"/>
        <v/>
      </c>
      <c r="DB2141" s="259" t="str">
        <f t="shared" ca="1" si="1777"/>
        <v/>
      </c>
      <c r="DC2141" s="259" t="str">
        <f t="shared" ca="1" si="1778"/>
        <v/>
      </c>
      <c r="DD2141" s="259" t="str">
        <f t="shared" ca="1" si="1779"/>
        <v/>
      </c>
      <c r="DE2141" s="259" t="str">
        <f t="shared" ca="1" si="1780"/>
        <v/>
      </c>
      <c r="DF2141" s="259">
        <f ca="1">IF(AND(CX2141=$DE$2,$DF$2&lt;&gt;0),0,IF(AND(DB2141&lt;&gt;"",OR(DB2140&lt;&gt;"",DB2142&lt;&gt;"")),MAX($DF$2:DF2140)+1,0))</f>
        <v>0</v>
      </c>
    </row>
    <row r="2142" spans="102:110">
      <c r="CX2142" s="259">
        <f t="shared" ca="1" si="1774"/>
        <v>119</v>
      </c>
      <c r="CY2142" s="259" t="str">
        <f t="shared" ca="1" si="1772"/>
        <v>MASTRO</v>
      </c>
      <c r="CZ2142" s="259" t="e">
        <f t="shared" ca="1" si="1776"/>
        <v>#N/A</v>
      </c>
      <c r="DA2142" s="259" t="str">
        <f t="shared" ca="1" si="1781"/>
        <v/>
      </c>
      <c r="DB2142" s="259" t="str">
        <f t="shared" ca="1" si="1777"/>
        <v/>
      </c>
      <c r="DC2142" s="259" t="str">
        <f t="shared" ca="1" si="1778"/>
        <v/>
      </c>
      <c r="DD2142" s="259" t="str">
        <f t="shared" ca="1" si="1779"/>
        <v/>
      </c>
      <c r="DE2142" s="259" t="str">
        <f t="shared" ca="1" si="1780"/>
        <v/>
      </c>
      <c r="DF2142" s="259">
        <f ca="1">IF(AND(CX2142=$DE$2,$DF$2&lt;&gt;0),0,IF(AND(DB2142&lt;&gt;"",OR(DB2141&lt;&gt;"",DB2143&lt;&gt;"")),MAX($DF$2:DF2141)+1,0))</f>
        <v>0</v>
      </c>
    </row>
    <row r="2143" spans="102:110">
      <c r="CX2143" s="259">
        <f t="shared" ca="1" si="1774"/>
        <v>119</v>
      </c>
      <c r="CY2143" s="259" t="str">
        <f t="shared" ca="1" si="1772"/>
        <v>MASTRO</v>
      </c>
      <c r="CZ2143" s="259" t="e">
        <f t="shared" ca="1" si="1776"/>
        <v>#N/A</v>
      </c>
      <c r="DA2143" s="259" t="str">
        <f t="shared" ca="1" si="1781"/>
        <v/>
      </c>
      <c r="DB2143" s="259" t="str">
        <f t="shared" ca="1" si="1777"/>
        <v/>
      </c>
      <c r="DC2143" s="259" t="str">
        <f t="shared" ca="1" si="1778"/>
        <v/>
      </c>
      <c r="DD2143" s="259" t="str">
        <f t="shared" ca="1" si="1779"/>
        <v/>
      </c>
      <c r="DE2143" s="259" t="str">
        <f t="shared" ca="1" si="1780"/>
        <v/>
      </c>
      <c r="DF2143" s="259">
        <f ca="1">IF(AND(CX2143=$DE$2,$DF$2&lt;&gt;0),0,IF(AND(DB2143&lt;&gt;"",OR(DB2142&lt;&gt;"",DB2144&lt;&gt;"")),MAX($DF$2:DF2142)+1,0))</f>
        <v>0</v>
      </c>
    </row>
    <row r="2144" spans="102:110">
      <c r="CX2144" s="259" t="str">
        <f>IFERROR(IF(CX2126+1=1,"",(CX2126+1)),"")</f>
        <v/>
      </c>
      <c r="CY2144" s="259" t="str">
        <f t="shared" ca="1" si="1772"/>
        <v>MASTRO</v>
      </c>
      <c r="DB2144" s="259" t="str">
        <f t="shared" ref="DB2144" ca="1" si="1782">CY2144</f>
        <v>MASTRO</v>
      </c>
      <c r="DF2144" s="259">
        <f ca="1">IF(AND(CX2144=$DE$2,$DF$2&lt;&gt;0),0,IF(AND(DB2144&lt;&gt;"",OR(DB2143&lt;&gt;"",DB2145&lt;&gt;"")),MAX($DF$2:DF2143)+1,0))</f>
        <v>0</v>
      </c>
    </row>
    <row r="2145" spans="102:110">
      <c r="CX2145" s="259">
        <f ca="1">$EA$122</f>
        <v>120</v>
      </c>
      <c r="CY2145" s="259" t="str">
        <f t="shared" ca="1" si="1772"/>
        <v>MASTRO</v>
      </c>
      <c r="DA2145" s="259" t="str">
        <f ca="1">IF(CY2144="MASTRO","Conto n.","")</f>
        <v>Conto n.</v>
      </c>
      <c r="DB2145" s="259" t="str">
        <f ca="1">IF(CY2145=0,"",INDEX(PIANO_DEI_CONTI,MATCH(DC2145,DENOMINAZIONE,0),1))</f>
        <v/>
      </c>
      <c r="DC2145" s="259" t="str">
        <f ca="1">IF(OR(CY2145=0,CY2145="mastro"),"",CY2145)</f>
        <v/>
      </c>
      <c r="DD2145" s="259" t="str">
        <f ca="1">IF(AND($DA$2=TRUE,OR(INDEX(PIANO_DEI_CONTI,MATCH($DC2145,DENOMINAZIONE,0),4)="A",INDEX(PIANO_DEI_CONTI,MATCH($DC2145,DENOMINAZIONE,0),4)="D/A"),SUMIFS(AVERE,DENOMINAZIONE_GIORNALE,"="&amp;$DC2145)&gt;SUMIFS(DARE,DENOMINAZIONE_GIORNALE,"="&amp;$DC2145)),CONCATENATE("s ",FIXED(ABS(SUMIFS(AVERE,DENOMINAZIONE_GIORNALE,"="&amp;$DC2145)-SUMIFS(DARE,DENOMINAZIONE_GIORNALE,"="&amp;$DC2145)),2)),"")</f>
        <v/>
      </c>
      <c r="DE2145" s="259" t="str">
        <f ca="1">IF(AND($DA$2=TRUE,OR(INDEX(PIANO_DEI_CONTI,MATCH($DC2145,DENOMINAZIONE,0),4)="D",INDEX(PIANO_DEI_CONTI,MATCH($DC2145,DENOMINAZIONE,0),4)="D/A"),SUMIFS(DARE,DENOMINAZIONE_GIORNALE,"="&amp;$DC2145)&gt;SUMIFS(AVERE,DENOMINAZIONE_GIORNALE,"="&amp;$DC2145)),CONCATENATE("s ",FIXED(ABS(SUMIFS(DARE,DENOMINAZIONE_GIORNALE,"="&amp;$DC2145)-SUMIFS(AVERE,DENOMINAZIONE_GIORNALE,"="&amp;$DC2145)),2)),"")</f>
        <v/>
      </c>
      <c r="DF2145" s="259">
        <f ca="1">IF(AND(CX2145=$DE$2,$DF$2&lt;&gt;0),0,IF(AND(DB2145&lt;&gt;"",OR(DB2144&lt;&gt;"",DB2146&lt;&gt;"")),MAX($DF$2:DF2144)+1,0))</f>
        <v>0</v>
      </c>
    </row>
    <row r="2146" spans="102:110">
      <c r="CX2146" s="259">
        <f t="shared" ref="CX2146:CX2161" ca="1" si="1783">$EA$122</f>
        <v>120</v>
      </c>
      <c r="CY2146" s="259" t="str">
        <f t="shared" ca="1" si="1772"/>
        <v>MASTRO</v>
      </c>
      <c r="DA2146" s="259" t="str">
        <f ca="1">IF(DB2145="","","Num. riga")</f>
        <v/>
      </c>
      <c r="DB2146" s="259" t="str">
        <f t="shared" ref="DB2146" ca="1" si="1784">IF(DB2145="","","Data")</f>
        <v/>
      </c>
      <c r="DC2146" s="259" t="str">
        <f ca="1">IF(DB2145="","","Operazioni")</f>
        <v/>
      </c>
      <c r="DD2146" s="259" t="str">
        <f ca="1">IF(DB2145="","","Dare        ")</f>
        <v/>
      </c>
      <c r="DE2146" s="259" t="str">
        <f ca="1">IF(DB2145="","","Avere        ")</f>
        <v/>
      </c>
      <c r="DF2146" s="259">
        <f ca="1">IF(AND(CX2146=$DE$2,$DF$2&lt;&gt;0),0,IF(AND(DB2146&lt;&gt;"",OR(DB2145&lt;&gt;"",DB2147&lt;&gt;"")),MAX($DF$2:DF2145)+1,0))</f>
        <v>0</v>
      </c>
    </row>
    <row r="2147" spans="102:110">
      <c r="CX2147" s="259">
        <f t="shared" ca="1" si="1783"/>
        <v>120</v>
      </c>
      <c r="CY2147" s="259" t="str">
        <f t="shared" ca="1" si="1772"/>
        <v>MASTRO</v>
      </c>
      <c r="CZ2147" s="259" t="e">
        <f t="shared" ref="CZ2147:CZ2161" ca="1" si="1785">SUM(MATCH($CY2147,INDIRECT(ADDRESS(SUM(CZ2146)+3,54)&amp;":"&amp;ADDRESS(400,54)),0),CZ2146)</f>
        <v>#N/A</v>
      </c>
      <c r="DA2147" s="259" t="str">
        <f ca="1">IFERROR(INDEX(LIBRO_GIORNALE,CZ2147,1),"")</f>
        <v/>
      </c>
      <c r="DB2147" s="259" t="str">
        <f t="shared" ref="DB2147:DB2161" ca="1" si="1786">IF(RIGHT(TEXT(IFERROR(INDEX(LIBRO_GIORNALE,CZ2147,2),""),"gg/mm/aa"),1)="a",TEXT(IFERROR(INDEX(LIBRO_GIORNALE,CZ2147,2),""),"dd/mm/yy"),TEXT(IFERROR(INDEX(LIBRO_GIORNALE,CZ2147,2),""),"gg/mm/aa"))</f>
        <v/>
      </c>
      <c r="DC2147" s="259" t="str">
        <f t="shared" ref="DC2147:DC2161" ca="1" si="1787">IF(IFERROR(INDEX(LIBRO_GIORNALE,CZ2147,4),"")=0,"manca la descrizione dell'operazione",IFERROR(INDEX(LIBRO_GIORNALE,CZ2147,4),""))</f>
        <v/>
      </c>
      <c r="DD2147" s="259" t="str">
        <f t="shared" ref="DD2147:DD2161" ca="1" si="1788">IFERROR(IF(INDEX(LIBRO_GIORNALE,CZ2147,5)&gt;0,INDEX(LIBRO_GIORNALE,CZ2147,5),""),"")</f>
        <v/>
      </c>
      <c r="DE2147" s="259" t="str">
        <f t="shared" ref="DE2147:DE2161" ca="1" si="1789">IFERROR(IF(INDEX(LIBRO_GIORNALE,CZ2147,6)&gt;0,INDEX(LIBRO_GIORNALE,CZ2147,6),""),"")</f>
        <v/>
      </c>
      <c r="DF2147" s="259">
        <f ca="1">IF(AND(CX2147=$DE$2,$DF$2&lt;&gt;0),0,IF(AND(DB2147&lt;&gt;"",OR(DB2146&lt;&gt;"",DB2148&lt;&gt;"")),MAX($DF$2:DF2146)+1,0))</f>
        <v>0</v>
      </c>
    </row>
    <row r="2148" spans="102:110">
      <c r="CX2148" s="259">
        <f t="shared" ca="1" si="1783"/>
        <v>120</v>
      </c>
      <c r="CY2148" s="259" t="str">
        <f t="shared" ref="CY2148:CY2161" ca="1" si="1790">IF(ISERROR(INDEX($CV$3:$CX$2300,MATCH(CX2148,$CW$3:$CW$2300,0),1)),"MASTRO",INDEX($CV$3:$CX$2300,MATCH(CX2148,$CW$3:$CW$2300,0),1))</f>
        <v>MASTRO</v>
      </c>
      <c r="CZ2148" s="259" t="e">
        <f t="shared" ca="1" si="1785"/>
        <v>#N/A</v>
      </c>
      <c r="DA2148" s="259" t="str">
        <f t="shared" ref="DA2148:DA2161" ca="1" si="1791">IFERROR(INDEX(LIBRO_GIORNALE,CZ2148,1),"")</f>
        <v/>
      </c>
      <c r="DB2148" s="259" t="str">
        <f t="shared" ca="1" si="1786"/>
        <v/>
      </c>
      <c r="DC2148" s="259" t="str">
        <f t="shared" ca="1" si="1787"/>
        <v/>
      </c>
      <c r="DD2148" s="259" t="str">
        <f t="shared" ca="1" si="1788"/>
        <v/>
      </c>
      <c r="DE2148" s="259" t="str">
        <f t="shared" ca="1" si="1789"/>
        <v/>
      </c>
      <c r="DF2148" s="259">
        <f ca="1">IF(AND(CX2148=$DE$2,$DF$2&lt;&gt;0),0,IF(AND(DB2148&lt;&gt;"",OR(DB2147&lt;&gt;"",DB2149&lt;&gt;"")),MAX($DF$2:DF2147)+1,0))</f>
        <v>0</v>
      </c>
    </row>
    <row r="2149" spans="102:110">
      <c r="CX2149" s="259">
        <f t="shared" ca="1" si="1783"/>
        <v>120</v>
      </c>
      <c r="CY2149" s="259" t="str">
        <f t="shared" ca="1" si="1790"/>
        <v>MASTRO</v>
      </c>
      <c r="CZ2149" s="259" t="e">
        <f t="shared" ca="1" si="1785"/>
        <v>#N/A</v>
      </c>
      <c r="DA2149" s="259" t="str">
        <f t="shared" ca="1" si="1791"/>
        <v/>
      </c>
      <c r="DB2149" s="259" t="str">
        <f t="shared" ca="1" si="1786"/>
        <v/>
      </c>
      <c r="DC2149" s="259" t="str">
        <f t="shared" ca="1" si="1787"/>
        <v/>
      </c>
      <c r="DD2149" s="259" t="str">
        <f t="shared" ca="1" si="1788"/>
        <v/>
      </c>
      <c r="DE2149" s="259" t="str">
        <f t="shared" ca="1" si="1789"/>
        <v/>
      </c>
      <c r="DF2149" s="259">
        <f ca="1">IF(AND(CX2149=$DE$2,$DF$2&lt;&gt;0),0,IF(AND(DB2149&lt;&gt;"",OR(DB2148&lt;&gt;"",DB2150&lt;&gt;"")),MAX($DF$2:DF2148)+1,0))</f>
        <v>0</v>
      </c>
    </row>
    <row r="2150" spans="102:110">
      <c r="CX2150" s="259">
        <f t="shared" ca="1" si="1783"/>
        <v>120</v>
      </c>
      <c r="CY2150" s="259" t="str">
        <f t="shared" ca="1" si="1790"/>
        <v>MASTRO</v>
      </c>
      <c r="CZ2150" s="259" t="e">
        <f t="shared" ca="1" si="1785"/>
        <v>#N/A</v>
      </c>
      <c r="DA2150" s="259" t="str">
        <f t="shared" ca="1" si="1791"/>
        <v/>
      </c>
      <c r="DB2150" s="259" t="str">
        <f t="shared" ca="1" si="1786"/>
        <v/>
      </c>
      <c r="DC2150" s="259" t="str">
        <f t="shared" ca="1" si="1787"/>
        <v/>
      </c>
      <c r="DD2150" s="259" t="str">
        <f t="shared" ca="1" si="1788"/>
        <v/>
      </c>
      <c r="DE2150" s="259" t="str">
        <f t="shared" ca="1" si="1789"/>
        <v/>
      </c>
      <c r="DF2150" s="259">
        <f ca="1">IF(AND(CX2150=$DE$2,$DF$2&lt;&gt;0),0,IF(AND(DB2150&lt;&gt;"",OR(DB2149&lt;&gt;"",DB2151&lt;&gt;"")),MAX($DF$2:DF2149)+1,0))</f>
        <v>0</v>
      </c>
    </row>
    <row r="2151" spans="102:110">
      <c r="CX2151" s="259">
        <f t="shared" ca="1" si="1783"/>
        <v>120</v>
      </c>
      <c r="CY2151" s="259" t="str">
        <f t="shared" ca="1" si="1790"/>
        <v>MASTRO</v>
      </c>
      <c r="CZ2151" s="259" t="e">
        <f t="shared" ca="1" si="1785"/>
        <v>#N/A</v>
      </c>
      <c r="DA2151" s="259" t="str">
        <f t="shared" ca="1" si="1791"/>
        <v/>
      </c>
      <c r="DB2151" s="259" t="str">
        <f t="shared" ca="1" si="1786"/>
        <v/>
      </c>
      <c r="DC2151" s="259" t="str">
        <f t="shared" ca="1" si="1787"/>
        <v/>
      </c>
      <c r="DD2151" s="259" t="str">
        <f t="shared" ca="1" si="1788"/>
        <v/>
      </c>
      <c r="DE2151" s="259" t="str">
        <f t="shared" ca="1" si="1789"/>
        <v/>
      </c>
      <c r="DF2151" s="259">
        <f ca="1">IF(AND(CX2151=$DE$2,$DF$2&lt;&gt;0),0,IF(AND(DB2151&lt;&gt;"",OR(DB2150&lt;&gt;"",DB2152&lt;&gt;"")),MAX($DF$2:DF2150)+1,0))</f>
        <v>0</v>
      </c>
    </row>
    <row r="2152" spans="102:110">
      <c r="CX2152" s="259">
        <f t="shared" ca="1" si="1783"/>
        <v>120</v>
      </c>
      <c r="CY2152" s="259" t="str">
        <f t="shared" ca="1" si="1790"/>
        <v>MASTRO</v>
      </c>
      <c r="CZ2152" s="259" t="e">
        <f t="shared" ca="1" si="1785"/>
        <v>#N/A</v>
      </c>
      <c r="DA2152" s="259" t="str">
        <f t="shared" ca="1" si="1791"/>
        <v/>
      </c>
      <c r="DB2152" s="259" t="str">
        <f t="shared" ca="1" si="1786"/>
        <v/>
      </c>
      <c r="DC2152" s="259" t="str">
        <f t="shared" ca="1" si="1787"/>
        <v/>
      </c>
      <c r="DD2152" s="259" t="str">
        <f t="shared" ca="1" si="1788"/>
        <v/>
      </c>
      <c r="DE2152" s="259" t="str">
        <f t="shared" ca="1" si="1789"/>
        <v/>
      </c>
      <c r="DF2152" s="259">
        <f ca="1">IF(AND(CX2152=$DE$2,$DF$2&lt;&gt;0),0,IF(AND(DB2152&lt;&gt;"",OR(DB2151&lt;&gt;"",DB2153&lt;&gt;"")),MAX($DF$2:DF2151)+1,0))</f>
        <v>0</v>
      </c>
    </row>
    <row r="2153" spans="102:110">
      <c r="CX2153" s="259">
        <f t="shared" ca="1" si="1783"/>
        <v>120</v>
      </c>
      <c r="CY2153" s="259" t="str">
        <f t="shared" ca="1" si="1790"/>
        <v>MASTRO</v>
      </c>
      <c r="CZ2153" s="259" t="e">
        <f t="shared" ca="1" si="1785"/>
        <v>#N/A</v>
      </c>
      <c r="DA2153" s="259" t="str">
        <f t="shared" ca="1" si="1791"/>
        <v/>
      </c>
      <c r="DB2153" s="259" t="str">
        <f t="shared" ca="1" si="1786"/>
        <v/>
      </c>
      <c r="DC2153" s="259" t="str">
        <f t="shared" ca="1" si="1787"/>
        <v/>
      </c>
      <c r="DD2153" s="259" t="str">
        <f t="shared" ca="1" si="1788"/>
        <v/>
      </c>
      <c r="DE2153" s="259" t="str">
        <f t="shared" ca="1" si="1789"/>
        <v/>
      </c>
      <c r="DF2153" s="259">
        <f ca="1">IF(AND(CX2153=$DE$2,$DF$2&lt;&gt;0),0,IF(AND(DB2153&lt;&gt;"",OR(DB2152&lt;&gt;"",DB2154&lt;&gt;"")),MAX($DF$2:DF2152)+1,0))</f>
        <v>0</v>
      </c>
    </row>
    <row r="2154" spans="102:110">
      <c r="CX2154" s="259">
        <f t="shared" ca="1" si="1783"/>
        <v>120</v>
      </c>
      <c r="CY2154" s="259" t="str">
        <f t="shared" ca="1" si="1790"/>
        <v>MASTRO</v>
      </c>
      <c r="CZ2154" s="259" t="e">
        <f t="shared" ca="1" si="1785"/>
        <v>#N/A</v>
      </c>
      <c r="DA2154" s="259" t="str">
        <f t="shared" ca="1" si="1791"/>
        <v/>
      </c>
      <c r="DB2154" s="259" t="str">
        <f t="shared" ca="1" si="1786"/>
        <v/>
      </c>
      <c r="DC2154" s="259" t="str">
        <f t="shared" ca="1" si="1787"/>
        <v/>
      </c>
      <c r="DD2154" s="259" t="str">
        <f t="shared" ca="1" si="1788"/>
        <v/>
      </c>
      <c r="DE2154" s="259" t="str">
        <f t="shared" ca="1" si="1789"/>
        <v/>
      </c>
      <c r="DF2154" s="259">
        <f ca="1">IF(AND(CX2154=$DE$2,$DF$2&lt;&gt;0),0,IF(AND(DB2154&lt;&gt;"",OR(DB2153&lt;&gt;"",DB2155&lt;&gt;"")),MAX($DF$2:DF2153)+1,0))</f>
        <v>0</v>
      </c>
    </row>
    <row r="2155" spans="102:110">
      <c r="CX2155" s="259">
        <f t="shared" ca="1" si="1783"/>
        <v>120</v>
      </c>
      <c r="CY2155" s="259" t="str">
        <f t="shared" ca="1" si="1790"/>
        <v>MASTRO</v>
      </c>
      <c r="CZ2155" s="259" t="e">
        <f t="shared" ca="1" si="1785"/>
        <v>#N/A</v>
      </c>
      <c r="DA2155" s="259" t="str">
        <f t="shared" ca="1" si="1791"/>
        <v/>
      </c>
      <c r="DB2155" s="259" t="str">
        <f t="shared" ca="1" si="1786"/>
        <v/>
      </c>
      <c r="DC2155" s="259" t="str">
        <f t="shared" ca="1" si="1787"/>
        <v/>
      </c>
      <c r="DD2155" s="259" t="str">
        <f t="shared" ca="1" si="1788"/>
        <v/>
      </c>
      <c r="DE2155" s="259" t="str">
        <f t="shared" ca="1" si="1789"/>
        <v/>
      </c>
      <c r="DF2155" s="259">
        <f ca="1">IF(AND(CX2155=$DE$2,$DF$2&lt;&gt;0),0,IF(AND(DB2155&lt;&gt;"",OR(DB2154&lt;&gt;"",DB2156&lt;&gt;"")),MAX($DF$2:DF2154)+1,0))</f>
        <v>0</v>
      </c>
    </row>
    <row r="2156" spans="102:110">
      <c r="CX2156" s="259">
        <f t="shared" ca="1" si="1783"/>
        <v>120</v>
      </c>
      <c r="CY2156" s="259" t="str">
        <f t="shared" ca="1" si="1790"/>
        <v>MASTRO</v>
      </c>
      <c r="CZ2156" s="259" t="e">
        <f t="shared" ca="1" si="1785"/>
        <v>#N/A</v>
      </c>
      <c r="DA2156" s="259" t="str">
        <f t="shared" ca="1" si="1791"/>
        <v/>
      </c>
      <c r="DB2156" s="259" t="str">
        <f t="shared" ca="1" si="1786"/>
        <v/>
      </c>
      <c r="DC2156" s="259" t="str">
        <f t="shared" ca="1" si="1787"/>
        <v/>
      </c>
      <c r="DD2156" s="259" t="str">
        <f t="shared" ca="1" si="1788"/>
        <v/>
      </c>
      <c r="DE2156" s="259" t="str">
        <f t="shared" ca="1" si="1789"/>
        <v/>
      </c>
      <c r="DF2156" s="259">
        <f ca="1">IF(AND(CX2156=$DE$2,$DF$2&lt;&gt;0),0,IF(AND(DB2156&lt;&gt;"",OR(DB2155&lt;&gt;"",DB2157&lt;&gt;"")),MAX($DF$2:DF2155)+1,0))</f>
        <v>0</v>
      </c>
    </row>
    <row r="2157" spans="102:110">
      <c r="CX2157" s="259">
        <f t="shared" ca="1" si="1783"/>
        <v>120</v>
      </c>
      <c r="CY2157" s="259" t="str">
        <f t="shared" ca="1" si="1790"/>
        <v>MASTRO</v>
      </c>
      <c r="CZ2157" s="259" t="e">
        <f t="shared" ca="1" si="1785"/>
        <v>#N/A</v>
      </c>
      <c r="DA2157" s="259" t="str">
        <f t="shared" ca="1" si="1791"/>
        <v/>
      </c>
      <c r="DB2157" s="259" t="str">
        <f t="shared" ca="1" si="1786"/>
        <v/>
      </c>
      <c r="DC2157" s="259" t="str">
        <f t="shared" ca="1" si="1787"/>
        <v/>
      </c>
      <c r="DD2157" s="259" t="str">
        <f t="shared" ca="1" si="1788"/>
        <v/>
      </c>
      <c r="DE2157" s="259" t="str">
        <f t="shared" ca="1" si="1789"/>
        <v/>
      </c>
      <c r="DF2157" s="259">
        <f ca="1">IF(AND(CX2157=$DE$2,$DF$2&lt;&gt;0),0,IF(AND(DB2157&lt;&gt;"",OR(DB2156&lt;&gt;"",DB2158&lt;&gt;"")),MAX($DF$2:DF2156)+1,0))</f>
        <v>0</v>
      </c>
    </row>
    <row r="2158" spans="102:110">
      <c r="CX2158" s="259">
        <f t="shared" ca="1" si="1783"/>
        <v>120</v>
      </c>
      <c r="CY2158" s="259" t="str">
        <f t="shared" ca="1" si="1790"/>
        <v>MASTRO</v>
      </c>
      <c r="CZ2158" s="259" t="e">
        <f t="shared" ca="1" si="1785"/>
        <v>#N/A</v>
      </c>
      <c r="DA2158" s="259" t="str">
        <f t="shared" ca="1" si="1791"/>
        <v/>
      </c>
      <c r="DB2158" s="259" t="str">
        <f t="shared" ca="1" si="1786"/>
        <v/>
      </c>
      <c r="DC2158" s="259" t="str">
        <f t="shared" ca="1" si="1787"/>
        <v/>
      </c>
      <c r="DD2158" s="259" t="str">
        <f t="shared" ca="1" si="1788"/>
        <v/>
      </c>
      <c r="DE2158" s="259" t="str">
        <f t="shared" ca="1" si="1789"/>
        <v/>
      </c>
      <c r="DF2158" s="259">
        <f ca="1">IF(AND(CX2158=$DE$2,$DF$2&lt;&gt;0),0,IF(AND(DB2158&lt;&gt;"",OR(DB2157&lt;&gt;"",DB2159&lt;&gt;"")),MAX($DF$2:DF2157)+1,0))</f>
        <v>0</v>
      </c>
    </row>
    <row r="2159" spans="102:110">
      <c r="CX2159" s="259">
        <f t="shared" ca="1" si="1783"/>
        <v>120</v>
      </c>
      <c r="CY2159" s="259" t="str">
        <f t="shared" ca="1" si="1790"/>
        <v>MASTRO</v>
      </c>
      <c r="CZ2159" s="259" t="e">
        <f t="shared" ca="1" si="1785"/>
        <v>#N/A</v>
      </c>
      <c r="DA2159" s="259" t="str">
        <f t="shared" ca="1" si="1791"/>
        <v/>
      </c>
      <c r="DB2159" s="259" t="str">
        <f t="shared" ca="1" si="1786"/>
        <v/>
      </c>
      <c r="DC2159" s="259" t="str">
        <f t="shared" ca="1" si="1787"/>
        <v/>
      </c>
      <c r="DD2159" s="259" t="str">
        <f t="shared" ca="1" si="1788"/>
        <v/>
      </c>
      <c r="DE2159" s="259" t="str">
        <f t="shared" ca="1" si="1789"/>
        <v/>
      </c>
      <c r="DF2159" s="259">
        <f ca="1">IF(AND(CX2159=$DE$2,$DF$2&lt;&gt;0),0,IF(AND(DB2159&lt;&gt;"",OR(DB2158&lt;&gt;"",DB2160&lt;&gt;"")),MAX($DF$2:DF2158)+1,0))</f>
        <v>0</v>
      </c>
    </row>
    <row r="2160" spans="102:110">
      <c r="CX2160" s="259">
        <f t="shared" ca="1" si="1783"/>
        <v>120</v>
      </c>
      <c r="CY2160" s="259" t="str">
        <f t="shared" ca="1" si="1790"/>
        <v>MASTRO</v>
      </c>
      <c r="CZ2160" s="259" t="e">
        <f t="shared" ca="1" si="1785"/>
        <v>#N/A</v>
      </c>
      <c r="DA2160" s="259" t="str">
        <f t="shared" ca="1" si="1791"/>
        <v/>
      </c>
      <c r="DB2160" s="259" t="str">
        <f t="shared" ca="1" si="1786"/>
        <v/>
      </c>
      <c r="DC2160" s="259" t="str">
        <f t="shared" ca="1" si="1787"/>
        <v/>
      </c>
      <c r="DD2160" s="259" t="str">
        <f t="shared" ca="1" si="1788"/>
        <v/>
      </c>
      <c r="DE2160" s="259" t="str">
        <f t="shared" ca="1" si="1789"/>
        <v/>
      </c>
      <c r="DF2160" s="259">
        <f ca="1">IF(AND(CX2160=$DE$2,$DF$2&lt;&gt;0),0,IF(AND(DB2160&lt;&gt;"",OR(DB2159&lt;&gt;"",DB2161&lt;&gt;"")),MAX($DF$2:DF2159)+1,0))</f>
        <v>0</v>
      </c>
    </row>
    <row r="2161" spans="102:110">
      <c r="CX2161" s="259">
        <f t="shared" ca="1" si="1783"/>
        <v>120</v>
      </c>
      <c r="CY2161" s="259" t="str">
        <f t="shared" ca="1" si="1790"/>
        <v>MASTRO</v>
      </c>
      <c r="CZ2161" s="259" t="e">
        <f t="shared" ca="1" si="1785"/>
        <v>#N/A</v>
      </c>
      <c r="DA2161" s="259" t="str">
        <f t="shared" ca="1" si="1791"/>
        <v/>
      </c>
      <c r="DB2161" s="259" t="str">
        <f t="shared" ca="1" si="1786"/>
        <v/>
      </c>
      <c r="DC2161" s="259" t="str">
        <f t="shared" ca="1" si="1787"/>
        <v/>
      </c>
      <c r="DD2161" s="259" t="str">
        <f t="shared" ca="1" si="1788"/>
        <v/>
      </c>
      <c r="DE2161" s="259" t="str">
        <f t="shared" ca="1" si="1789"/>
        <v/>
      </c>
      <c r="DF2161" s="259">
        <f ca="1">IF(AND(CX2161=$DE$2,$DF$2&lt;&gt;0),0,IF(AND(DB2161&lt;&gt;"",OR(DB2160&lt;&gt;"",DB2162&lt;&gt;"")),MAX($DF$2:DF2160)+1,0))</f>
        <v>0</v>
      </c>
    </row>
    <row r="2162" spans="102:110">
      <c r="CX2162" s="259" t="str">
        <f>IFERROR(IF(CX2144+1=1,"",(CX2144+1)),"")</f>
        <v/>
      </c>
      <c r="CY2162" s="259" t="s">
        <v>269</v>
      </c>
      <c r="DB2162" s="259" t="str">
        <f t="shared" ref="DB2162" si="1792">CY2162</f>
        <v>MASTRO</v>
      </c>
    </row>
    <row r="2163" spans="102:110">
      <c r="CX2163" s="259">
        <f>IF(DE2=0,0,DE2)</f>
        <v>0</v>
      </c>
      <c r="CY2163" s="259" t="str">
        <f t="shared" ref="CY2163:CY2194" ca="1" si="1793">IF(ISERROR(INDEX($CV$3:$CX$2300,MATCH(CX2163,$CW$3:$CW$2300,0),1)),"MASTRO",INDEX($CV$3:$CX$2300,MATCH(CX2163,$CW$3:$CW$2300,0),1))</f>
        <v/>
      </c>
      <c r="DA2163" s="259" t="str">
        <f>IF(CY2162="MASTRO","Conto n.","")</f>
        <v>Conto n.</v>
      </c>
      <c r="DB2163" s="259" t="str">
        <f ca="1">IF(CY2163=0,"",INDEX(PIANO_DEI_CONTI,MATCH(DC2163,DENOMINAZIONE,0),1))</f>
        <v/>
      </c>
      <c r="DC2163" s="259" t="str">
        <f ca="1">IF(OR(CY2163=0,CY2163="mastro"),"",CY2163)</f>
        <v/>
      </c>
      <c r="DD2163" s="259" t="str">
        <f ca="1">IF(AND($DA$2=TRUE,OR(INDEX(PIANO_DEI_CONTI,MATCH($DC2163,DENOMINAZIONE,0),4)="A",INDEX(PIANO_DEI_CONTI,MATCH($DC2163,DENOMINAZIONE,0),4)="D/A"),SUMIFS(AVERE,DENOMINAZIONE_GIORNALE,"="&amp;$DC2163)&gt;SUMIFS(DARE,DENOMINAZIONE_GIORNALE,"="&amp;$DC2163)),CONCATENATE("s ",FIXED(ABS(SUMIFS(AVERE,DENOMINAZIONE_GIORNALE,"="&amp;$DC2163)-SUMIFS(DARE,DENOMINAZIONE_GIORNALE,"="&amp;$DC2163)),2)),"")</f>
        <v/>
      </c>
      <c r="DE2163" s="259" t="str">
        <f ca="1">IF(AND($DA$2=TRUE,OR(INDEX(PIANO_DEI_CONTI,MATCH($DC2163,DENOMINAZIONE,0),4)="D",INDEX(PIANO_DEI_CONTI,MATCH($DC2163,DENOMINAZIONE,0),4)="D/A"),SUMIFS(DARE,DENOMINAZIONE_GIORNALE,"="&amp;$DC2163)&gt;SUMIFS(AVERE,DENOMINAZIONE_GIORNALE,"="&amp;$DC2163)),CONCATENATE("s ",FIXED(ABS(SUMIFS(DARE,DENOMINAZIONE_GIORNALE,"="&amp;$DC2163)-SUMIFS(AVERE,DENOMINAZIONE_GIORNALE,"="&amp;$DC2163)),2)),"")</f>
        <v/>
      </c>
      <c r="DF2163" s="259">
        <f ca="1">IF(AND(CX2163&gt;0,DB2163&lt;&gt;"",OR(DB2162&lt;&gt;"",DB2164&lt;&gt;"")),MAX($DF$2162:DF2162)+1,0)</f>
        <v>0</v>
      </c>
    </row>
    <row r="2164" spans="102:110">
      <c r="CX2164" s="259">
        <f>CX2163</f>
        <v>0</v>
      </c>
      <c r="CY2164" s="259" t="str">
        <f t="shared" ca="1" si="1793"/>
        <v/>
      </c>
      <c r="DA2164" s="259" t="str">
        <f ca="1">IF(DB2163="","","Num. riga")</f>
        <v/>
      </c>
      <c r="DB2164" s="259" t="str">
        <f ca="1">IF(DB2163="","","Data")</f>
        <v/>
      </c>
      <c r="DC2164" s="259" t="str">
        <f ca="1">IF(DB2163="","","Operazioni")</f>
        <v/>
      </c>
      <c r="DD2164" s="259" t="str">
        <f ca="1">IF(DB2163="","","Dare        ")</f>
        <v/>
      </c>
      <c r="DE2164" s="259" t="str">
        <f ca="1">IF(DB2163="","","Avere        ")</f>
        <v/>
      </c>
      <c r="DF2164" s="259">
        <f ca="1">IF(AND(CX2164&gt;0,DB2164&lt;&gt;"",OR(DB2163&lt;&gt;"",DB2165&lt;&gt;"")),MAX($DF$2162:DF2163)+1,0)</f>
        <v>0</v>
      </c>
    </row>
    <row r="2165" spans="102:110">
      <c r="CX2165" s="259">
        <f t="shared" ref="CX2165:CX2228" si="1794">CX2164</f>
        <v>0</v>
      </c>
      <c r="CY2165" s="259" t="str">
        <f t="shared" ca="1" si="1793"/>
        <v/>
      </c>
      <c r="CZ2165" s="259" t="e">
        <f t="shared" ref="CZ2165:CZ2196" ca="1" si="1795">SUM(MATCH($CY2165,INDIRECT(ADDRESS(SUM(CZ2164)+3,54)&amp;":"&amp;ADDRESS(400,54)),0),CZ2164)</f>
        <v>#N/A</v>
      </c>
      <c r="DA2165" s="259" t="str">
        <f t="shared" ref="DA2165:DA2196" ca="1" si="1796">IFERROR(INDEX(LIBRO_GIORNALE,CZ2165,1),"")</f>
        <v/>
      </c>
      <c r="DB2165" s="259" t="str">
        <f t="shared" ref="DB2165:DB2196" ca="1" si="1797">IF(RIGHT(TEXT(IFERROR(INDEX(LIBRO_GIORNALE,CZ2165,2),""),"gg/mm/aa"),1)="a",TEXT(IFERROR(INDEX(LIBRO_GIORNALE,CZ2165,2),""),"dd/mm/yy"),TEXT(IFERROR(INDEX(LIBRO_GIORNALE,CZ2165,2),""),"gg/mm/aa"))</f>
        <v/>
      </c>
      <c r="DC2165" s="259" t="str">
        <f ca="1">IF(IFERROR(INDEX(LIBRO_GIORNALE,CZ2165,4),"")=0,"manca la descrizione dell'operazione",IFERROR(INDEX(LIBRO_GIORNALE,CZ2165,4),""))</f>
        <v/>
      </c>
      <c r="DD2165" s="259" t="str">
        <f ca="1">IFERROR(IF(INDEX(LIBRO_GIORNALE,CZ2165,5)&gt;0,INDEX(LIBRO_GIORNALE,CZ2165,5),""),"")</f>
        <v/>
      </c>
      <c r="DE2165" s="259" t="str">
        <f ca="1">IFERROR(IF(INDEX(LIBRO_GIORNALE,CZ2165,6)&gt;0,INDEX(LIBRO_GIORNALE,CZ2165,6),""),"")</f>
        <v/>
      </c>
      <c r="DF2165" s="259">
        <f ca="1">IF(AND(CX2165&gt;0,DB2165&lt;&gt;"",OR(DB2164&lt;&gt;"",DB2166&lt;&gt;"")),MAX($DF$2162:DF2164)+1,0)</f>
        <v>0</v>
      </c>
    </row>
    <row r="2166" spans="102:110">
      <c r="CX2166" s="259">
        <f t="shared" si="1794"/>
        <v>0</v>
      </c>
      <c r="CY2166" s="259" t="str">
        <f t="shared" ca="1" si="1793"/>
        <v/>
      </c>
      <c r="CZ2166" s="259" t="e">
        <f t="shared" ca="1" si="1795"/>
        <v>#N/A</v>
      </c>
      <c r="DA2166" s="259" t="str">
        <f t="shared" ca="1" si="1796"/>
        <v/>
      </c>
      <c r="DB2166" s="259" t="str">
        <f t="shared" ca="1" si="1797"/>
        <v/>
      </c>
      <c r="DC2166" s="259" t="str">
        <f t="shared" ref="DC2166:DC2220" ca="1" si="1798">IF(IFERROR(INDEX(LIBRO_GIORNALE,CZ2166,4),"")=0,"manca la descrizione dell'operazione",IFERROR(INDEX(LIBRO_GIORNALE,CZ2166,4),""))</f>
        <v/>
      </c>
      <c r="DD2166" s="259" t="str">
        <f t="shared" ref="DD2166:DD2220" ca="1" si="1799">IFERROR(IF(INDEX(LIBRO_GIORNALE,CZ2166,5)&gt;0,INDEX(LIBRO_GIORNALE,CZ2166,5),""),"")</f>
        <v/>
      </c>
      <c r="DE2166" s="259" t="str">
        <f t="shared" ref="DE2166:DE2220" ca="1" si="1800">IFERROR(IF(INDEX(LIBRO_GIORNALE,CZ2166,6)&gt;0,INDEX(LIBRO_GIORNALE,CZ2166,6),""),"")</f>
        <v/>
      </c>
      <c r="DF2166" s="259">
        <f ca="1">IF(AND(CX2166&gt;0,DB2166&lt;&gt;"",OR(DB2165&lt;&gt;"",DB2167&lt;&gt;"")),MAX($DF$2162:DF2165)+1,0)</f>
        <v>0</v>
      </c>
    </row>
    <row r="2167" spans="102:110">
      <c r="CX2167" s="259">
        <f t="shared" si="1794"/>
        <v>0</v>
      </c>
      <c r="CY2167" s="259" t="str">
        <f t="shared" ca="1" si="1793"/>
        <v/>
      </c>
      <c r="CZ2167" s="259" t="e">
        <f t="shared" ca="1" si="1795"/>
        <v>#N/A</v>
      </c>
      <c r="DA2167" s="259" t="str">
        <f t="shared" ca="1" si="1796"/>
        <v/>
      </c>
      <c r="DB2167" s="259" t="str">
        <f t="shared" ca="1" si="1797"/>
        <v/>
      </c>
      <c r="DC2167" s="259" t="str">
        <f t="shared" ca="1" si="1798"/>
        <v/>
      </c>
      <c r="DD2167" s="259" t="str">
        <f t="shared" ca="1" si="1799"/>
        <v/>
      </c>
      <c r="DE2167" s="259" t="str">
        <f t="shared" ca="1" si="1800"/>
        <v/>
      </c>
      <c r="DF2167" s="259">
        <f ca="1">IF(AND(CX2167&gt;0,DB2167&lt;&gt;"",OR(DB2166&lt;&gt;"",DB2168&lt;&gt;"")),MAX($DF$2162:DF2166)+1,0)</f>
        <v>0</v>
      </c>
    </row>
    <row r="2168" spans="102:110">
      <c r="CX2168" s="259">
        <f t="shared" si="1794"/>
        <v>0</v>
      </c>
      <c r="CY2168" s="259" t="str">
        <f t="shared" ca="1" si="1793"/>
        <v/>
      </c>
      <c r="CZ2168" s="259" t="e">
        <f t="shared" ca="1" si="1795"/>
        <v>#N/A</v>
      </c>
      <c r="DA2168" s="259" t="str">
        <f t="shared" ca="1" si="1796"/>
        <v/>
      </c>
      <c r="DB2168" s="259" t="str">
        <f t="shared" ca="1" si="1797"/>
        <v/>
      </c>
      <c r="DC2168" s="259" t="str">
        <f t="shared" ca="1" si="1798"/>
        <v/>
      </c>
      <c r="DD2168" s="259" t="str">
        <f t="shared" ca="1" si="1799"/>
        <v/>
      </c>
      <c r="DE2168" s="259" t="str">
        <f t="shared" ca="1" si="1800"/>
        <v/>
      </c>
      <c r="DF2168" s="259">
        <f ca="1">IF(AND(CX2168&gt;0,DB2168&lt;&gt;"",OR(DB2167&lt;&gt;"",DB2169&lt;&gt;"")),MAX($DF$2162:DF2167)+1,0)</f>
        <v>0</v>
      </c>
    </row>
    <row r="2169" spans="102:110">
      <c r="CX2169" s="259">
        <f t="shared" si="1794"/>
        <v>0</v>
      </c>
      <c r="CY2169" s="259" t="str">
        <f t="shared" ca="1" si="1793"/>
        <v/>
      </c>
      <c r="CZ2169" s="259" t="e">
        <f t="shared" ca="1" si="1795"/>
        <v>#N/A</v>
      </c>
      <c r="DA2169" s="259" t="str">
        <f t="shared" ca="1" si="1796"/>
        <v/>
      </c>
      <c r="DB2169" s="259" t="str">
        <f t="shared" ca="1" si="1797"/>
        <v/>
      </c>
      <c r="DC2169" s="259" t="str">
        <f t="shared" ca="1" si="1798"/>
        <v/>
      </c>
      <c r="DD2169" s="259" t="str">
        <f t="shared" ca="1" si="1799"/>
        <v/>
      </c>
      <c r="DE2169" s="259" t="str">
        <f t="shared" ca="1" si="1800"/>
        <v/>
      </c>
      <c r="DF2169" s="259">
        <f ca="1">IF(AND(CX2169&gt;0,DB2169&lt;&gt;"",OR(DB2168&lt;&gt;"",DB2170&lt;&gt;"")),MAX($DF$2162:DF2168)+1,0)</f>
        <v>0</v>
      </c>
    </row>
    <row r="2170" spans="102:110">
      <c r="CX2170" s="259">
        <f t="shared" si="1794"/>
        <v>0</v>
      </c>
      <c r="CY2170" s="259" t="str">
        <f t="shared" ca="1" si="1793"/>
        <v/>
      </c>
      <c r="CZ2170" s="259" t="e">
        <f t="shared" ca="1" si="1795"/>
        <v>#N/A</v>
      </c>
      <c r="DA2170" s="259" t="str">
        <f t="shared" ca="1" si="1796"/>
        <v/>
      </c>
      <c r="DB2170" s="259" t="str">
        <f t="shared" ca="1" si="1797"/>
        <v/>
      </c>
      <c r="DC2170" s="259" t="str">
        <f t="shared" ca="1" si="1798"/>
        <v/>
      </c>
      <c r="DD2170" s="259" t="str">
        <f t="shared" ca="1" si="1799"/>
        <v/>
      </c>
      <c r="DE2170" s="259" t="str">
        <f t="shared" ca="1" si="1800"/>
        <v/>
      </c>
      <c r="DF2170" s="259">
        <f ca="1">IF(AND(CX2170&gt;0,DB2170&lt;&gt;"",OR(DB2169&lt;&gt;"",DB2171&lt;&gt;"")),MAX($DF$2162:DF2169)+1,0)</f>
        <v>0</v>
      </c>
    </row>
    <row r="2171" spans="102:110">
      <c r="CX2171" s="259">
        <f t="shared" si="1794"/>
        <v>0</v>
      </c>
      <c r="CY2171" s="259" t="str">
        <f t="shared" ca="1" si="1793"/>
        <v/>
      </c>
      <c r="CZ2171" s="259" t="e">
        <f t="shared" ca="1" si="1795"/>
        <v>#N/A</v>
      </c>
      <c r="DA2171" s="259" t="str">
        <f t="shared" ca="1" si="1796"/>
        <v/>
      </c>
      <c r="DB2171" s="259" t="str">
        <f t="shared" ca="1" si="1797"/>
        <v/>
      </c>
      <c r="DC2171" s="259" t="str">
        <f t="shared" ca="1" si="1798"/>
        <v/>
      </c>
      <c r="DD2171" s="259" t="str">
        <f t="shared" ca="1" si="1799"/>
        <v/>
      </c>
      <c r="DE2171" s="259" t="str">
        <f t="shared" ca="1" si="1800"/>
        <v/>
      </c>
      <c r="DF2171" s="259">
        <f ca="1">IF(AND(CX2171&gt;0,DB2171&lt;&gt;"",OR(DB2170&lt;&gt;"",DB2172&lt;&gt;"")),MAX($DF$2162:DF2170)+1,0)</f>
        <v>0</v>
      </c>
    </row>
    <row r="2172" spans="102:110">
      <c r="CX2172" s="259">
        <f t="shared" si="1794"/>
        <v>0</v>
      </c>
      <c r="CY2172" s="259" t="str">
        <f t="shared" ca="1" si="1793"/>
        <v/>
      </c>
      <c r="CZ2172" s="259" t="e">
        <f t="shared" ca="1" si="1795"/>
        <v>#N/A</v>
      </c>
      <c r="DA2172" s="259" t="str">
        <f t="shared" ca="1" si="1796"/>
        <v/>
      </c>
      <c r="DB2172" s="259" t="str">
        <f t="shared" ca="1" si="1797"/>
        <v/>
      </c>
      <c r="DC2172" s="259" t="str">
        <f t="shared" ca="1" si="1798"/>
        <v/>
      </c>
      <c r="DD2172" s="259" t="str">
        <f t="shared" ca="1" si="1799"/>
        <v/>
      </c>
      <c r="DE2172" s="259" t="str">
        <f t="shared" ca="1" si="1800"/>
        <v/>
      </c>
      <c r="DF2172" s="259">
        <f ca="1">IF(AND(CX2172&gt;0,DB2172&lt;&gt;"",OR(DB2171&lt;&gt;"",DB2173&lt;&gt;"")),MAX($DF$2162:DF2171)+1,0)</f>
        <v>0</v>
      </c>
    </row>
    <row r="2173" spans="102:110">
      <c r="CX2173" s="259">
        <f t="shared" si="1794"/>
        <v>0</v>
      </c>
      <c r="CY2173" s="259" t="str">
        <f t="shared" ca="1" si="1793"/>
        <v/>
      </c>
      <c r="CZ2173" s="259" t="e">
        <f t="shared" ca="1" si="1795"/>
        <v>#N/A</v>
      </c>
      <c r="DA2173" s="259" t="str">
        <f t="shared" ca="1" si="1796"/>
        <v/>
      </c>
      <c r="DB2173" s="259" t="str">
        <f t="shared" ca="1" si="1797"/>
        <v/>
      </c>
      <c r="DC2173" s="259" t="str">
        <f t="shared" ca="1" si="1798"/>
        <v/>
      </c>
      <c r="DD2173" s="259" t="str">
        <f t="shared" ca="1" si="1799"/>
        <v/>
      </c>
      <c r="DE2173" s="259" t="str">
        <f t="shared" ca="1" si="1800"/>
        <v/>
      </c>
      <c r="DF2173" s="259">
        <f ca="1">IF(AND(CX2173&gt;0,DB2173&lt;&gt;"",OR(DB2172&lt;&gt;"",DB2174&lt;&gt;"")),MAX($DF$2162:DF2172)+1,0)</f>
        <v>0</v>
      </c>
    </row>
    <row r="2174" spans="102:110">
      <c r="CX2174" s="259">
        <f t="shared" si="1794"/>
        <v>0</v>
      </c>
      <c r="CY2174" s="259" t="str">
        <f t="shared" ca="1" si="1793"/>
        <v/>
      </c>
      <c r="CZ2174" s="259" t="e">
        <f t="shared" ca="1" si="1795"/>
        <v>#N/A</v>
      </c>
      <c r="DA2174" s="259" t="str">
        <f t="shared" ca="1" si="1796"/>
        <v/>
      </c>
      <c r="DB2174" s="259" t="str">
        <f t="shared" ca="1" si="1797"/>
        <v/>
      </c>
      <c r="DC2174" s="259" t="str">
        <f t="shared" ca="1" si="1798"/>
        <v/>
      </c>
      <c r="DD2174" s="259" t="str">
        <f t="shared" ca="1" si="1799"/>
        <v/>
      </c>
      <c r="DE2174" s="259" t="str">
        <f t="shared" ca="1" si="1800"/>
        <v/>
      </c>
      <c r="DF2174" s="259">
        <f ca="1">IF(AND(CX2174&gt;0,DB2174&lt;&gt;"",OR(DB2173&lt;&gt;"",DB2175&lt;&gt;"")),MAX($DF$2162:DF2173)+1,0)</f>
        <v>0</v>
      </c>
    </row>
    <row r="2175" spans="102:110">
      <c r="CX2175" s="259">
        <f t="shared" si="1794"/>
        <v>0</v>
      </c>
      <c r="CY2175" s="259" t="str">
        <f t="shared" ca="1" si="1793"/>
        <v/>
      </c>
      <c r="CZ2175" s="259" t="e">
        <f t="shared" ca="1" si="1795"/>
        <v>#N/A</v>
      </c>
      <c r="DA2175" s="259" t="str">
        <f t="shared" ca="1" si="1796"/>
        <v/>
      </c>
      <c r="DB2175" s="259" t="str">
        <f t="shared" ca="1" si="1797"/>
        <v/>
      </c>
      <c r="DC2175" s="259" t="str">
        <f t="shared" ca="1" si="1798"/>
        <v/>
      </c>
      <c r="DD2175" s="259" t="str">
        <f t="shared" ca="1" si="1799"/>
        <v/>
      </c>
      <c r="DE2175" s="259" t="str">
        <f t="shared" ca="1" si="1800"/>
        <v/>
      </c>
      <c r="DF2175" s="259">
        <f ca="1">IF(AND(CX2175&gt;0,DB2175&lt;&gt;"",OR(DB2174&lt;&gt;"",DB2176&lt;&gt;"")),MAX($DF$2162:DF2174)+1,0)</f>
        <v>0</v>
      </c>
    </row>
    <row r="2176" spans="102:110">
      <c r="CX2176" s="259">
        <f t="shared" si="1794"/>
        <v>0</v>
      </c>
      <c r="CY2176" s="259" t="str">
        <f t="shared" ca="1" si="1793"/>
        <v/>
      </c>
      <c r="CZ2176" s="259" t="e">
        <f t="shared" ca="1" si="1795"/>
        <v>#N/A</v>
      </c>
      <c r="DA2176" s="259" t="str">
        <f t="shared" ca="1" si="1796"/>
        <v/>
      </c>
      <c r="DB2176" s="259" t="str">
        <f t="shared" ca="1" si="1797"/>
        <v/>
      </c>
      <c r="DC2176" s="259" t="str">
        <f t="shared" ca="1" si="1798"/>
        <v/>
      </c>
      <c r="DD2176" s="259" t="str">
        <f t="shared" ca="1" si="1799"/>
        <v/>
      </c>
      <c r="DE2176" s="259" t="str">
        <f t="shared" ca="1" si="1800"/>
        <v/>
      </c>
      <c r="DF2176" s="259">
        <f ca="1">IF(AND(CX2176&gt;0,DB2176&lt;&gt;"",OR(DB2175&lt;&gt;"",DB2177&lt;&gt;"")),MAX($DF$2162:DF2175)+1,0)</f>
        <v>0</v>
      </c>
    </row>
    <row r="2177" spans="102:110">
      <c r="CX2177" s="259">
        <f t="shared" si="1794"/>
        <v>0</v>
      </c>
      <c r="CY2177" s="259" t="str">
        <f t="shared" ca="1" si="1793"/>
        <v/>
      </c>
      <c r="CZ2177" s="259" t="e">
        <f t="shared" ca="1" si="1795"/>
        <v>#N/A</v>
      </c>
      <c r="DA2177" s="259" t="str">
        <f t="shared" ca="1" si="1796"/>
        <v/>
      </c>
      <c r="DB2177" s="259" t="str">
        <f t="shared" ca="1" si="1797"/>
        <v/>
      </c>
      <c r="DC2177" s="259" t="str">
        <f t="shared" ca="1" si="1798"/>
        <v/>
      </c>
      <c r="DD2177" s="259" t="str">
        <f t="shared" ca="1" si="1799"/>
        <v/>
      </c>
      <c r="DE2177" s="259" t="str">
        <f t="shared" ca="1" si="1800"/>
        <v/>
      </c>
      <c r="DF2177" s="259">
        <f ca="1">IF(AND(CX2177&gt;0,DB2177&lt;&gt;"",OR(DB2176&lt;&gt;"",DB2178&lt;&gt;"")),MAX($DF$2162:DF2176)+1,0)</f>
        <v>0</v>
      </c>
    </row>
    <row r="2178" spans="102:110">
      <c r="CX2178" s="259">
        <f t="shared" si="1794"/>
        <v>0</v>
      </c>
      <c r="CY2178" s="259" t="str">
        <f t="shared" ca="1" si="1793"/>
        <v/>
      </c>
      <c r="CZ2178" s="259" t="e">
        <f t="shared" ca="1" si="1795"/>
        <v>#N/A</v>
      </c>
      <c r="DA2178" s="259" t="str">
        <f t="shared" ca="1" si="1796"/>
        <v/>
      </c>
      <c r="DB2178" s="259" t="str">
        <f t="shared" ca="1" si="1797"/>
        <v/>
      </c>
      <c r="DC2178" s="259" t="str">
        <f t="shared" ca="1" si="1798"/>
        <v/>
      </c>
      <c r="DD2178" s="259" t="str">
        <f t="shared" ca="1" si="1799"/>
        <v/>
      </c>
      <c r="DE2178" s="259" t="str">
        <f t="shared" ca="1" si="1800"/>
        <v/>
      </c>
      <c r="DF2178" s="259">
        <f ca="1">IF(AND(CX2178&gt;0,DB2178&lt;&gt;"",OR(DB2177&lt;&gt;"",DB2179&lt;&gt;"")),MAX($DF$2162:DF2177)+1,0)</f>
        <v>0</v>
      </c>
    </row>
    <row r="2179" spans="102:110">
      <c r="CX2179" s="259">
        <f t="shared" si="1794"/>
        <v>0</v>
      </c>
      <c r="CY2179" s="259" t="str">
        <f t="shared" ca="1" si="1793"/>
        <v/>
      </c>
      <c r="CZ2179" s="259" t="e">
        <f t="shared" ca="1" si="1795"/>
        <v>#N/A</v>
      </c>
      <c r="DA2179" s="259" t="str">
        <f t="shared" ca="1" si="1796"/>
        <v/>
      </c>
      <c r="DB2179" s="259" t="str">
        <f t="shared" ca="1" si="1797"/>
        <v/>
      </c>
      <c r="DC2179" s="259" t="str">
        <f t="shared" ca="1" si="1798"/>
        <v/>
      </c>
      <c r="DD2179" s="259" t="str">
        <f t="shared" ca="1" si="1799"/>
        <v/>
      </c>
      <c r="DE2179" s="259" t="str">
        <f t="shared" ca="1" si="1800"/>
        <v/>
      </c>
      <c r="DF2179" s="259">
        <f ca="1">IF(AND(CX2179&gt;0,DB2179&lt;&gt;"",OR(DB2178&lt;&gt;"",DB2180&lt;&gt;"")),MAX($DF$2162:DF2178)+1,0)</f>
        <v>0</v>
      </c>
    </row>
    <row r="2180" spans="102:110">
      <c r="CX2180" s="259">
        <f t="shared" si="1794"/>
        <v>0</v>
      </c>
      <c r="CY2180" s="259" t="str">
        <f t="shared" ca="1" si="1793"/>
        <v/>
      </c>
      <c r="CZ2180" s="259" t="e">
        <f t="shared" ca="1" si="1795"/>
        <v>#N/A</v>
      </c>
      <c r="DA2180" s="259" t="str">
        <f t="shared" ca="1" si="1796"/>
        <v/>
      </c>
      <c r="DB2180" s="259" t="str">
        <f t="shared" ca="1" si="1797"/>
        <v/>
      </c>
      <c r="DC2180" s="259" t="str">
        <f t="shared" ca="1" si="1798"/>
        <v/>
      </c>
      <c r="DD2180" s="259" t="str">
        <f t="shared" ca="1" si="1799"/>
        <v/>
      </c>
      <c r="DE2180" s="259" t="str">
        <f t="shared" ca="1" si="1800"/>
        <v/>
      </c>
      <c r="DF2180" s="259">
        <f ca="1">IF(AND(CX2180&gt;0,DB2180&lt;&gt;"",OR(DB2179&lt;&gt;"",DB2181&lt;&gt;"")),MAX($DF$2162:DF2179)+1,0)</f>
        <v>0</v>
      </c>
    </row>
    <row r="2181" spans="102:110">
      <c r="CX2181" s="259">
        <f t="shared" si="1794"/>
        <v>0</v>
      </c>
      <c r="CY2181" s="259" t="str">
        <f t="shared" ca="1" si="1793"/>
        <v/>
      </c>
      <c r="CZ2181" s="259" t="e">
        <f t="shared" ca="1" si="1795"/>
        <v>#N/A</v>
      </c>
      <c r="DA2181" s="259" t="str">
        <f t="shared" ca="1" si="1796"/>
        <v/>
      </c>
      <c r="DB2181" s="259" t="str">
        <f t="shared" ca="1" si="1797"/>
        <v/>
      </c>
      <c r="DC2181" s="259" t="str">
        <f t="shared" ca="1" si="1798"/>
        <v/>
      </c>
      <c r="DD2181" s="259" t="str">
        <f t="shared" ca="1" si="1799"/>
        <v/>
      </c>
      <c r="DE2181" s="259" t="str">
        <f t="shared" ca="1" si="1800"/>
        <v/>
      </c>
      <c r="DF2181" s="259">
        <f ca="1">IF(AND(CX2181&gt;0,DB2181&lt;&gt;"",OR(DB2180&lt;&gt;"",DB2182&lt;&gt;"")),MAX($DF$2162:DF2180)+1,0)</f>
        <v>0</v>
      </c>
    </row>
    <row r="2182" spans="102:110">
      <c r="CX2182" s="259">
        <f t="shared" si="1794"/>
        <v>0</v>
      </c>
      <c r="CY2182" s="259" t="str">
        <f t="shared" ca="1" si="1793"/>
        <v/>
      </c>
      <c r="CZ2182" s="259" t="e">
        <f t="shared" ca="1" si="1795"/>
        <v>#N/A</v>
      </c>
      <c r="DA2182" s="259" t="str">
        <f t="shared" ca="1" si="1796"/>
        <v/>
      </c>
      <c r="DB2182" s="259" t="str">
        <f t="shared" ca="1" si="1797"/>
        <v/>
      </c>
      <c r="DC2182" s="259" t="str">
        <f t="shared" ca="1" si="1798"/>
        <v/>
      </c>
      <c r="DD2182" s="259" t="str">
        <f t="shared" ca="1" si="1799"/>
        <v/>
      </c>
      <c r="DE2182" s="259" t="str">
        <f t="shared" ca="1" si="1800"/>
        <v/>
      </c>
      <c r="DF2182" s="259">
        <f ca="1">IF(AND(CX2182&gt;0,DB2182&lt;&gt;"",OR(DB2181&lt;&gt;"",DB2183&lt;&gt;"")),MAX($DF$2162:DF2181)+1,0)</f>
        <v>0</v>
      </c>
    </row>
    <row r="2183" spans="102:110">
      <c r="CX2183" s="259">
        <f t="shared" si="1794"/>
        <v>0</v>
      </c>
      <c r="CY2183" s="259" t="str">
        <f t="shared" ca="1" si="1793"/>
        <v/>
      </c>
      <c r="CZ2183" s="259" t="e">
        <f t="shared" ca="1" si="1795"/>
        <v>#N/A</v>
      </c>
      <c r="DA2183" s="259" t="str">
        <f t="shared" ca="1" si="1796"/>
        <v/>
      </c>
      <c r="DB2183" s="259" t="str">
        <f t="shared" ca="1" si="1797"/>
        <v/>
      </c>
      <c r="DC2183" s="259" t="str">
        <f t="shared" ca="1" si="1798"/>
        <v/>
      </c>
      <c r="DD2183" s="259" t="str">
        <f t="shared" ca="1" si="1799"/>
        <v/>
      </c>
      <c r="DE2183" s="259" t="str">
        <f t="shared" ca="1" si="1800"/>
        <v/>
      </c>
      <c r="DF2183" s="259">
        <f ca="1">IF(AND(CX2183&gt;0,DB2183&lt;&gt;"",OR(DB2182&lt;&gt;"",DB2184&lt;&gt;"")),MAX($DF$2162:DF2182)+1,0)</f>
        <v>0</v>
      </c>
    </row>
    <row r="2184" spans="102:110">
      <c r="CX2184" s="259">
        <f t="shared" si="1794"/>
        <v>0</v>
      </c>
      <c r="CY2184" s="259" t="str">
        <f t="shared" ca="1" si="1793"/>
        <v/>
      </c>
      <c r="CZ2184" s="259" t="e">
        <f t="shared" ca="1" si="1795"/>
        <v>#N/A</v>
      </c>
      <c r="DA2184" s="259" t="str">
        <f t="shared" ca="1" si="1796"/>
        <v/>
      </c>
      <c r="DB2184" s="259" t="str">
        <f t="shared" ca="1" si="1797"/>
        <v/>
      </c>
      <c r="DC2184" s="259" t="str">
        <f t="shared" ca="1" si="1798"/>
        <v/>
      </c>
      <c r="DD2184" s="259" t="str">
        <f t="shared" ca="1" si="1799"/>
        <v/>
      </c>
      <c r="DE2184" s="259" t="str">
        <f t="shared" ca="1" si="1800"/>
        <v/>
      </c>
      <c r="DF2184" s="259">
        <f ca="1">IF(AND(CX2184&gt;0,DB2184&lt;&gt;"",OR(DB2183&lt;&gt;"",DB2185&lt;&gt;"")),MAX($DF$2162:DF2183)+1,0)</f>
        <v>0</v>
      </c>
    </row>
    <row r="2185" spans="102:110">
      <c r="CX2185" s="259">
        <f t="shared" si="1794"/>
        <v>0</v>
      </c>
      <c r="CY2185" s="259" t="str">
        <f t="shared" ca="1" si="1793"/>
        <v/>
      </c>
      <c r="CZ2185" s="259" t="e">
        <f t="shared" ca="1" si="1795"/>
        <v>#N/A</v>
      </c>
      <c r="DA2185" s="259" t="str">
        <f t="shared" ca="1" si="1796"/>
        <v/>
      </c>
      <c r="DB2185" s="259" t="str">
        <f t="shared" ca="1" si="1797"/>
        <v/>
      </c>
      <c r="DC2185" s="259" t="str">
        <f t="shared" ca="1" si="1798"/>
        <v/>
      </c>
      <c r="DD2185" s="259" t="str">
        <f t="shared" ca="1" si="1799"/>
        <v/>
      </c>
      <c r="DE2185" s="259" t="str">
        <f t="shared" ca="1" si="1800"/>
        <v/>
      </c>
      <c r="DF2185" s="259">
        <f ca="1">IF(AND(CX2185&gt;0,DB2185&lt;&gt;"",OR(DB2184&lt;&gt;"",DB2186&lt;&gt;"")),MAX($DF$2162:DF2184)+1,0)</f>
        <v>0</v>
      </c>
    </row>
    <row r="2186" spans="102:110">
      <c r="CX2186" s="259">
        <f t="shared" si="1794"/>
        <v>0</v>
      </c>
      <c r="CY2186" s="259" t="str">
        <f t="shared" ca="1" si="1793"/>
        <v/>
      </c>
      <c r="CZ2186" s="259" t="e">
        <f t="shared" ca="1" si="1795"/>
        <v>#N/A</v>
      </c>
      <c r="DA2186" s="259" t="str">
        <f t="shared" ca="1" si="1796"/>
        <v/>
      </c>
      <c r="DB2186" s="259" t="str">
        <f t="shared" ca="1" si="1797"/>
        <v/>
      </c>
      <c r="DC2186" s="259" t="str">
        <f t="shared" ca="1" si="1798"/>
        <v/>
      </c>
      <c r="DD2186" s="259" t="str">
        <f t="shared" ca="1" si="1799"/>
        <v/>
      </c>
      <c r="DE2186" s="259" t="str">
        <f t="shared" ca="1" si="1800"/>
        <v/>
      </c>
      <c r="DF2186" s="259">
        <f ca="1">IF(AND(CX2186&gt;0,DB2186&lt;&gt;"",OR(DB2185&lt;&gt;"",DB2187&lt;&gt;"")),MAX($DF$2162:DF2185)+1,0)</f>
        <v>0</v>
      </c>
    </row>
    <row r="2187" spans="102:110">
      <c r="CX2187" s="259">
        <f t="shared" si="1794"/>
        <v>0</v>
      </c>
      <c r="CY2187" s="259" t="str">
        <f t="shared" ca="1" si="1793"/>
        <v/>
      </c>
      <c r="CZ2187" s="259" t="e">
        <f t="shared" ca="1" si="1795"/>
        <v>#N/A</v>
      </c>
      <c r="DA2187" s="259" t="str">
        <f t="shared" ca="1" si="1796"/>
        <v/>
      </c>
      <c r="DB2187" s="259" t="str">
        <f t="shared" ca="1" si="1797"/>
        <v/>
      </c>
      <c r="DC2187" s="259" t="str">
        <f t="shared" ca="1" si="1798"/>
        <v/>
      </c>
      <c r="DD2187" s="259" t="str">
        <f t="shared" ca="1" si="1799"/>
        <v/>
      </c>
      <c r="DE2187" s="259" t="str">
        <f t="shared" ca="1" si="1800"/>
        <v/>
      </c>
      <c r="DF2187" s="259">
        <f ca="1">IF(AND(CX2187&gt;0,DB2187&lt;&gt;"",OR(DB2186&lt;&gt;"",DB2188&lt;&gt;"")),MAX($DF$2162:DF2186)+1,0)</f>
        <v>0</v>
      </c>
    </row>
    <row r="2188" spans="102:110">
      <c r="CX2188" s="259">
        <f t="shared" si="1794"/>
        <v>0</v>
      </c>
      <c r="CY2188" s="259" t="str">
        <f t="shared" ca="1" si="1793"/>
        <v/>
      </c>
      <c r="CZ2188" s="259" t="e">
        <f t="shared" ca="1" si="1795"/>
        <v>#N/A</v>
      </c>
      <c r="DA2188" s="259" t="str">
        <f t="shared" ca="1" si="1796"/>
        <v/>
      </c>
      <c r="DB2188" s="259" t="str">
        <f t="shared" ca="1" si="1797"/>
        <v/>
      </c>
      <c r="DC2188" s="259" t="str">
        <f t="shared" ca="1" si="1798"/>
        <v/>
      </c>
      <c r="DD2188" s="259" t="str">
        <f t="shared" ca="1" si="1799"/>
        <v/>
      </c>
      <c r="DE2188" s="259" t="str">
        <f t="shared" ca="1" si="1800"/>
        <v/>
      </c>
      <c r="DF2188" s="259">
        <f ca="1">IF(AND(CX2188&gt;0,DB2188&lt;&gt;"",OR(DB2187&lt;&gt;"",DB2189&lt;&gt;"")),MAX($DF$2162:DF2187)+1,0)</f>
        <v>0</v>
      </c>
    </row>
    <row r="2189" spans="102:110">
      <c r="CX2189" s="259">
        <f t="shared" si="1794"/>
        <v>0</v>
      </c>
      <c r="CY2189" s="259" t="str">
        <f t="shared" ca="1" si="1793"/>
        <v/>
      </c>
      <c r="CZ2189" s="259" t="e">
        <f t="shared" ca="1" si="1795"/>
        <v>#N/A</v>
      </c>
      <c r="DA2189" s="259" t="str">
        <f t="shared" ca="1" si="1796"/>
        <v/>
      </c>
      <c r="DB2189" s="259" t="str">
        <f t="shared" ca="1" si="1797"/>
        <v/>
      </c>
      <c r="DC2189" s="259" t="str">
        <f t="shared" ca="1" si="1798"/>
        <v/>
      </c>
      <c r="DD2189" s="259" t="str">
        <f t="shared" ca="1" si="1799"/>
        <v/>
      </c>
      <c r="DE2189" s="259" t="str">
        <f t="shared" ca="1" si="1800"/>
        <v/>
      </c>
      <c r="DF2189" s="259">
        <f ca="1">IF(AND(CX2189&gt;0,DB2189&lt;&gt;"",OR(DB2188&lt;&gt;"",DB2190&lt;&gt;"")),MAX($DF$2162:DF2188)+1,0)</f>
        <v>0</v>
      </c>
    </row>
    <row r="2190" spans="102:110">
      <c r="CX2190" s="259">
        <f t="shared" si="1794"/>
        <v>0</v>
      </c>
      <c r="CY2190" s="259" t="str">
        <f t="shared" ca="1" si="1793"/>
        <v/>
      </c>
      <c r="CZ2190" s="259" t="e">
        <f t="shared" ca="1" si="1795"/>
        <v>#N/A</v>
      </c>
      <c r="DA2190" s="259" t="str">
        <f t="shared" ca="1" si="1796"/>
        <v/>
      </c>
      <c r="DB2190" s="259" t="str">
        <f t="shared" ca="1" si="1797"/>
        <v/>
      </c>
      <c r="DC2190" s="259" t="str">
        <f t="shared" ca="1" si="1798"/>
        <v/>
      </c>
      <c r="DD2190" s="259" t="str">
        <f t="shared" ca="1" si="1799"/>
        <v/>
      </c>
      <c r="DE2190" s="259" t="str">
        <f t="shared" ca="1" si="1800"/>
        <v/>
      </c>
      <c r="DF2190" s="259">
        <f ca="1">IF(AND(CX2190&gt;0,DB2190&lt;&gt;"",OR(DB2189&lt;&gt;"",DB2191&lt;&gt;"")),MAX($DF$2162:DF2189)+1,0)</f>
        <v>0</v>
      </c>
    </row>
    <row r="2191" spans="102:110">
      <c r="CX2191" s="259">
        <f t="shared" si="1794"/>
        <v>0</v>
      </c>
      <c r="CY2191" s="259" t="str">
        <f t="shared" ca="1" si="1793"/>
        <v/>
      </c>
      <c r="CZ2191" s="259" t="e">
        <f t="shared" ca="1" si="1795"/>
        <v>#N/A</v>
      </c>
      <c r="DA2191" s="259" t="str">
        <f t="shared" ca="1" si="1796"/>
        <v/>
      </c>
      <c r="DB2191" s="259" t="str">
        <f t="shared" ca="1" si="1797"/>
        <v/>
      </c>
      <c r="DC2191" s="259" t="str">
        <f t="shared" ca="1" si="1798"/>
        <v/>
      </c>
      <c r="DD2191" s="259" t="str">
        <f t="shared" ca="1" si="1799"/>
        <v/>
      </c>
      <c r="DE2191" s="259" t="str">
        <f t="shared" ca="1" si="1800"/>
        <v/>
      </c>
      <c r="DF2191" s="259">
        <f ca="1">IF(AND(CX2191&gt;0,DB2191&lt;&gt;"",OR(DB2190&lt;&gt;"",DB2192&lt;&gt;"")),MAX($DF$2162:DF2190)+1,0)</f>
        <v>0</v>
      </c>
    </row>
    <row r="2192" spans="102:110">
      <c r="CX2192" s="259">
        <f t="shared" si="1794"/>
        <v>0</v>
      </c>
      <c r="CY2192" s="259" t="str">
        <f t="shared" ca="1" si="1793"/>
        <v/>
      </c>
      <c r="CZ2192" s="259" t="e">
        <f t="shared" ca="1" si="1795"/>
        <v>#N/A</v>
      </c>
      <c r="DA2192" s="259" t="str">
        <f t="shared" ca="1" si="1796"/>
        <v/>
      </c>
      <c r="DB2192" s="259" t="str">
        <f t="shared" ca="1" si="1797"/>
        <v/>
      </c>
      <c r="DC2192" s="259" t="str">
        <f t="shared" ca="1" si="1798"/>
        <v/>
      </c>
      <c r="DD2192" s="259" t="str">
        <f t="shared" ca="1" si="1799"/>
        <v/>
      </c>
      <c r="DE2192" s="259" t="str">
        <f t="shared" ca="1" si="1800"/>
        <v/>
      </c>
      <c r="DF2192" s="259">
        <f ca="1">IF(AND(CX2192&gt;0,DB2192&lt;&gt;"",OR(DB2191&lt;&gt;"",DB2193&lt;&gt;"")),MAX($DF$2162:DF2191)+1,0)</f>
        <v>0</v>
      </c>
    </row>
    <row r="2193" spans="102:110">
      <c r="CX2193" s="259">
        <f t="shared" si="1794"/>
        <v>0</v>
      </c>
      <c r="CY2193" s="259" t="str">
        <f t="shared" ca="1" si="1793"/>
        <v/>
      </c>
      <c r="CZ2193" s="259" t="e">
        <f t="shared" ca="1" si="1795"/>
        <v>#N/A</v>
      </c>
      <c r="DA2193" s="259" t="str">
        <f t="shared" ca="1" si="1796"/>
        <v/>
      </c>
      <c r="DB2193" s="259" t="str">
        <f t="shared" ca="1" si="1797"/>
        <v/>
      </c>
      <c r="DC2193" s="259" t="str">
        <f t="shared" ca="1" si="1798"/>
        <v/>
      </c>
      <c r="DD2193" s="259" t="str">
        <f t="shared" ca="1" si="1799"/>
        <v/>
      </c>
      <c r="DE2193" s="259" t="str">
        <f t="shared" ca="1" si="1800"/>
        <v/>
      </c>
      <c r="DF2193" s="259">
        <f ca="1">IF(AND(CX2193&gt;0,DB2193&lt;&gt;"",OR(DB2192&lt;&gt;"",DB2194&lt;&gt;"")),MAX($DF$2162:DF2192)+1,0)</f>
        <v>0</v>
      </c>
    </row>
    <row r="2194" spans="102:110">
      <c r="CX2194" s="259">
        <f t="shared" si="1794"/>
        <v>0</v>
      </c>
      <c r="CY2194" s="259" t="str">
        <f t="shared" ca="1" si="1793"/>
        <v/>
      </c>
      <c r="CZ2194" s="259" t="e">
        <f t="shared" ca="1" si="1795"/>
        <v>#N/A</v>
      </c>
      <c r="DA2194" s="259" t="str">
        <f t="shared" ca="1" si="1796"/>
        <v/>
      </c>
      <c r="DB2194" s="259" t="str">
        <f t="shared" ca="1" si="1797"/>
        <v/>
      </c>
      <c r="DC2194" s="259" t="str">
        <f t="shared" ca="1" si="1798"/>
        <v/>
      </c>
      <c r="DD2194" s="259" t="str">
        <f t="shared" ca="1" si="1799"/>
        <v/>
      </c>
      <c r="DE2194" s="259" t="str">
        <f t="shared" ca="1" si="1800"/>
        <v/>
      </c>
      <c r="DF2194" s="259">
        <f ca="1">IF(AND(CX2194&gt;0,DB2194&lt;&gt;"",OR(DB2193&lt;&gt;"",DB2195&lt;&gt;"")),MAX($DF$2162:DF2193)+1,0)</f>
        <v>0</v>
      </c>
    </row>
    <row r="2195" spans="102:110">
      <c r="CX2195" s="259">
        <f t="shared" si="1794"/>
        <v>0</v>
      </c>
      <c r="CY2195" s="259" t="str">
        <f t="shared" ref="CY2195:CY2213" ca="1" si="1801">IF(ISERROR(INDEX($CV$3:$CX$2300,MATCH(CX2195,$CW$3:$CW$2300,0),1)),"MASTRO",INDEX($CV$3:$CX$2300,MATCH(CX2195,$CW$3:$CW$2300,0),1))</f>
        <v/>
      </c>
      <c r="CZ2195" s="259" t="e">
        <f t="shared" ca="1" si="1795"/>
        <v>#N/A</v>
      </c>
      <c r="DA2195" s="259" t="str">
        <f t="shared" ca="1" si="1796"/>
        <v/>
      </c>
      <c r="DB2195" s="259" t="str">
        <f t="shared" ca="1" si="1797"/>
        <v/>
      </c>
      <c r="DC2195" s="259" t="str">
        <f t="shared" ca="1" si="1798"/>
        <v/>
      </c>
      <c r="DD2195" s="259" t="str">
        <f t="shared" ca="1" si="1799"/>
        <v/>
      </c>
      <c r="DE2195" s="259" t="str">
        <f t="shared" ca="1" si="1800"/>
        <v/>
      </c>
      <c r="DF2195" s="259">
        <f ca="1">IF(AND(CX2195&gt;0,DB2195&lt;&gt;"",OR(DB2194&lt;&gt;"",DB2196&lt;&gt;"")),MAX($DF$2162:DF2194)+1,0)</f>
        <v>0</v>
      </c>
    </row>
    <row r="2196" spans="102:110">
      <c r="CX2196" s="259">
        <f t="shared" si="1794"/>
        <v>0</v>
      </c>
      <c r="CY2196" s="259" t="str">
        <f t="shared" ca="1" si="1801"/>
        <v/>
      </c>
      <c r="CZ2196" s="259" t="e">
        <f t="shared" ca="1" si="1795"/>
        <v>#N/A</v>
      </c>
      <c r="DA2196" s="259" t="str">
        <f t="shared" ca="1" si="1796"/>
        <v/>
      </c>
      <c r="DB2196" s="259" t="str">
        <f t="shared" ca="1" si="1797"/>
        <v/>
      </c>
      <c r="DC2196" s="259" t="str">
        <f t="shared" ca="1" si="1798"/>
        <v/>
      </c>
      <c r="DD2196" s="259" t="str">
        <f t="shared" ca="1" si="1799"/>
        <v/>
      </c>
      <c r="DE2196" s="259" t="str">
        <f t="shared" ca="1" si="1800"/>
        <v/>
      </c>
      <c r="DF2196" s="259">
        <f ca="1">IF(AND(CX2196&gt;0,DB2196&lt;&gt;"",OR(DB2195&lt;&gt;"",DB2197&lt;&gt;"")),MAX($DF$2162:DF2195)+1,0)</f>
        <v>0</v>
      </c>
    </row>
    <row r="2197" spans="102:110">
      <c r="CX2197" s="259">
        <f t="shared" si="1794"/>
        <v>0</v>
      </c>
      <c r="CY2197" s="259" t="str">
        <f t="shared" ca="1" si="1801"/>
        <v/>
      </c>
      <c r="CZ2197" s="259" t="e">
        <f t="shared" ref="CZ2197:CZ2228" ca="1" si="1802">SUM(MATCH($CY2197,INDIRECT(ADDRESS(SUM(CZ2196)+3,54)&amp;":"&amp;ADDRESS(400,54)),0),CZ2196)</f>
        <v>#N/A</v>
      </c>
      <c r="DA2197" s="259" t="str">
        <f t="shared" ref="DA2197:DA2228" ca="1" si="1803">IFERROR(INDEX(LIBRO_GIORNALE,CZ2197,1),"")</f>
        <v/>
      </c>
      <c r="DB2197" s="259" t="str">
        <f t="shared" ref="DB2197:DB2228" ca="1" si="1804">IF(RIGHT(TEXT(IFERROR(INDEX(LIBRO_GIORNALE,CZ2197,2),""),"gg/mm/aa"),1)="a",TEXT(IFERROR(INDEX(LIBRO_GIORNALE,CZ2197,2),""),"dd/mm/yy"),TEXT(IFERROR(INDEX(LIBRO_GIORNALE,CZ2197,2),""),"gg/mm/aa"))</f>
        <v/>
      </c>
      <c r="DC2197" s="259" t="str">
        <f t="shared" ca="1" si="1798"/>
        <v/>
      </c>
      <c r="DD2197" s="259" t="str">
        <f t="shared" ca="1" si="1799"/>
        <v/>
      </c>
      <c r="DE2197" s="259" t="str">
        <f t="shared" ca="1" si="1800"/>
        <v/>
      </c>
      <c r="DF2197" s="259">
        <f ca="1">IF(AND(CX2197&gt;0,DB2197&lt;&gt;"",OR(DB2196&lt;&gt;"",DB2198&lt;&gt;"")),MAX($DF$2162:DF2196)+1,0)</f>
        <v>0</v>
      </c>
    </row>
    <row r="2198" spans="102:110">
      <c r="CX2198" s="259">
        <f t="shared" si="1794"/>
        <v>0</v>
      </c>
      <c r="CY2198" s="259" t="str">
        <f t="shared" ca="1" si="1801"/>
        <v/>
      </c>
      <c r="CZ2198" s="259" t="e">
        <f t="shared" ca="1" si="1802"/>
        <v>#N/A</v>
      </c>
      <c r="DA2198" s="259" t="str">
        <f t="shared" ca="1" si="1803"/>
        <v/>
      </c>
      <c r="DB2198" s="259" t="str">
        <f t="shared" ca="1" si="1804"/>
        <v/>
      </c>
      <c r="DC2198" s="259" t="str">
        <f t="shared" ca="1" si="1798"/>
        <v/>
      </c>
      <c r="DD2198" s="259" t="str">
        <f t="shared" ca="1" si="1799"/>
        <v/>
      </c>
      <c r="DE2198" s="259" t="str">
        <f t="shared" ca="1" si="1800"/>
        <v/>
      </c>
      <c r="DF2198" s="259">
        <f ca="1">IF(AND(CX2198&gt;0,DB2198&lt;&gt;"",OR(DB2197&lt;&gt;"",DB2199&lt;&gt;"")),MAX($DF$2162:DF2197)+1,0)</f>
        <v>0</v>
      </c>
    </row>
    <row r="2199" spans="102:110">
      <c r="CX2199" s="259">
        <f t="shared" si="1794"/>
        <v>0</v>
      </c>
      <c r="CY2199" s="259" t="str">
        <f t="shared" ca="1" si="1801"/>
        <v/>
      </c>
      <c r="CZ2199" s="259" t="e">
        <f t="shared" ca="1" si="1802"/>
        <v>#N/A</v>
      </c>
      <c r="DA2199" s="259" t="str">
        <f t="shared" ca="1" si="1803"/>
        <v/>
      </c>
      <c r="DB2199" s="259" t="str">
        <f t="shared" ca="1" si="1804"/>
        <v/>
      </c>
      <c r="DC2199" s="259" t="str">
        <f t="shared" ca="1" si="1798"/>
        <v/>
      </c>
      <c r="DD2199" s="259" t="str">
        <f t="shared" ca="1" si="1799"/>
        <v/>
      </c>
      <c r="DE2199" s="259" t="str">
        <f t="shared" ca="1" si="1800"/>
        <v/>
      </c>
      <c r="DF2199" s="259">
        <f ca="1">IF(AND(CX2199&gt;0,DB2199&lt;&gt;"",OR(DB2198&lt;&gt;"",DB2200&lt;&gt;"")),MAX($DF$2162:DF2198)+1,0)</f>
        <v>0</v>
      </c>
    </row>
    <row r="2200" spans="102:110">
      <c r="CX2200" s="259">
        <f t="shared" si="1794"/>
        <v>0</v>
      </c>
      <c r="CY2200" s="259" t="str">
        <f t="shared" ca="1" si="1801"/>
        <v/>
      </c>
      <c r="CZ2200" s="259" t="e">
        <f t="shared" ca="1" si="1802"/>
        <v>#N/A</v>
      </c>
      <c r="DA2200" s="259" t="str">
        <f t="shared" ca="1" si="1803"/>
        <v/>
      </c>
      <c r="DB2200" s="259" t="str">
        <f t="shared" ca="1" si="1804"/>
        <v/>
      </c>
      <c r="DC2200" s="259" t="str">
        <f t="shared" ca="1" si="1798"/>
        <v/>
      </c>
      <c r="DD2200" s="259" t="str">
        <f t="shared" ca="1" si="1799"/>
        <v/>
      </c>
      <c r="DE2200" s="259" t="str">
        <f t="shared" ca="1" si="1800"/>
        <v/>
      </c>
      <c r="DF2200" s="259">
        <f ca="1">IF(AND(CX2200&gt;0,DB2200&lt;&gt;"",OR(DB2199&lt;&gt;"",DB2201&lt;&gt;"")),MAX($DF$2162:DF2199)+1,0)</f>
        <v>0</v>
      </c>
    </row>
    <row r="2201" spans="102:110">
      <c r="CX2201" s="259">
        <f t="shared" si="1794"/>
        <v>0</v>
      </c>
      <c r="CY2201" s="259" t="str">
        <f t="shared" ca="1" si="1801"/>
        <v/>
      </c>
      <c r="CZ2201" s="259" t="e">
        <f t="shared" ca="1" si="1802"/>
        <v>#N/A</v>
      </c>
      <c r="DA2201" s="259" t="str">
        <f t="shared" ca="1" si="1803"/>
        <v/>
      </c>
      <c r="DB2201" s="259" t="str">
        <f t="shared" ca="1" si="1804"/>
        <v/>
      </c>
      <c r="DC2201" s="259" t="str">
        <f t="shared" ca="1" si="1798"/>
        <v/>
      </c>
      <c r="DD2201" s="259" t="str">
        <f t="shared" ca="1" si="1799"/>
        <v/>
      </c>
      <c r="DE2201" s="259" t="str">
        <f t="shared" ca="1" si="1800"/>
        <v/>
      </c>
      <c r="DF2201" s="259">
        <f ca="1">IF(AND(CX2201&gt;0,DB2201&lt;&gt;"",OR(DB2200&lt;&gt;"",DB2202&lt;&gt;"")),MAX($DF$2162:DF2200)+1,0)</f>
        <v>0</v>
      </c>
    </row>
    <row r="2202" spans="102:110">
      <c r="CX2202" s="259">
        <f t="shared" si="1794"/>
        <v>0</v>
      </c>
      <c r="CY2202" s="259" t="str">
        <f t="shared" ca="1" si="1801"/>
        <v/>
      </c>
      <c r="CZ2202" s="259" t="e">
        <f t="shared" ca="1" si="1802"/>
        <v>#N/A</v>
      </c>
      <c r="DA2202" s="259" t="str">
        <f t="shared" ca="1" si="1803"/>
        <v/>
      </c>
      <c r="DB2202" s="259" t="str">
        <f t="shared" ca="1" si="1804"/>
        <v/>
      </c>
      <c r="DC2202" s="259" t="str">
        <f t="shared" ca="1" si="1798"/>
        <v/>
      </c>
      <c r="DD2202" s="259" t="str">
        <f t="shared" ca="1" si="1799"/>
        <v/>
      </c>
      <c r="DE2202" s="259" t="str">
        <f t="shared" ca="1" si="1800"/>
        <v/>
      </c>
      <c r="DF2202" s="259">
        <f ca="1">IF(AND(CX2202&gt;0,DB2202&lt;&gt;"",OR(DB2201&lt;&gt;"",DB2203&lt;&gt;"")),MAX($DF$2162:DF2201)+1,0)</f>
        <v>0</v>
      </c>
    </row>
    <row r="2203" spans="102:110">
      <c r="CX2203" s="259">
        <f>CX2202</f>
        <v>0</v>
      </c>
      <c r="CY2203" s="259" t="str">
        <f t="shared" ca="1" si="1801"/>
        <v/>
      </c>
      <c r="CZ2203" s="259" t="e">
        <f t="shared" ca="1" si="1802"/>
        <v>#N/A</v>
      </c>
      <c r="DA2203" s="259" t="str">
        <f t="shared" ca="1" si="1803"/>
        <v/>
      </c>
      <c r="DB2203" s="259" t="str">
        <f t="shared" ca="1" si="1804"/>
        <v/>
      </c>
      <c r="DC2203" s="259" t="str">
        <f t="shared" ca="1" si="1798"/>
        <v/>
      </c>
      <c r="DD2203" s="259" t="str">
        <f t="shared" ca="1" si="1799"/>
        <v/>
      </c>
      <c r="DE2203" s="259" t="str">
        <f t="shared" ca="1" si="1800"/>
        <v/>
      </c>
      <c r="DF2203" s="259">
        <f ca="1">IF(AND(CX2203&gt;0,DB2203&lt;&gt;"",OR(DB2202&lt;&gt;"",DB2204&lt;&gt;"")),MAX($DF$2162:DF2202)+1,0)</f>
        <v>0</v>
      </c>
    </row>
    <row r="2204" spans="102:110">
      <c r="CX2204" s="259">
        <f t="shared" si="1794"/>
        <v>0</v>
      </c>
      <c r="CY2204" s="259" t="str">
        <f t="shared" ca="1" si="1801"/>
        <v/>
      </c>
      <c r="CZ2204" s="259" t="e">
        <f t="shared" ca="1" si="1802"/>
        <v>#N/A</v>
      </c>
      <c r="DA2204" s="259" t="str">
        <f t="shared" ca="1" si="1803"/>
        <v/>
      </c>
      <c r="DB2204" s="259" t="str">
        <f t="shared" ca="1" si="1804"/>
        <v/>
      </c>
      <c r="DC2204" s="259" t="str">
        <f t="shared" ca="1" si="1798"/>
        <v/>
      </c>
      <c r="DD2204" s="259" t="str">
        <f t="shared" ca="1" si="1799"/>
        <v/>
      </c>
      <c r="DE2204" s="259" t="str">
        <f t="shared" ca="1" si="1800"/>
        <v/>
      </c>
      <c r="DF2204" s="259">
        <f ca="1">IF(AND(CX2204&gt;0,DB2204&lt;&gt;"",OR(DB2203&lt;&gt;"",DB2205&lt;&gt;"")),MAX($DF$2162:DF2203)+1,0)</f>
        <v>0</v>
      </c>
    </row>
    <row r="2205" spans="102:110">
      <c r="CX2205" s="259">
        <f t="shared" si="1794"/>
        <v>0</v>
      </c>
      <c r="CY2205" s="259" t="str">
        <f t="shared" ca="1" si="1801"/>
        <v/>
      </c>
      <c r="CZ2205" s="259" t="e">
        <f t="shared" ca="1" si="1802"/>
        <v>#N/A</v>
      </c>
      <c r="DA2205" s="259" t="str">
        <f t="shared" ca="1" si="1803"/>
        <v/>
      </c>
      <c r="DB2205" s="259" t="str">
        <f t="shared" ca="1" si="1804"/>
        <v/>
      </c>
      <c r="DC2205" s="259" t="str">
        <f t="shared" ca="1" si="1798"/>
        <v/>
      </c>
      <c r="DD2205" s="259" t="str">
        <f t="shared" ca="1" si="1799"/>
        <v/>
      </c>
      <c r="DE2205" s="259" t="str">
        <f t="shared" ca="1" si="1800"/>
        <v/>
      </c>
      <c r="DF2205" s="259">
        <f ca="1">IF(AND(CX2205&gt;0,DB2205&lt;&gt;"",OR(DB2204&lt;&gt;"",DB2206&lt;&gt;"")),MAX($DF$2162:DF2204)+1,0)</f>
        <v>0</v>
      </c>
    </row>
    <row r="2206" spans="102:110">
      <c r="CX2206" s="259">
        <f t="shared" si="1794"/>
        <v>0</v>
      </c>
      <c r="CY2206" s="259" t="str">
        <f t="shared" ca="1" si="1801"/>
        <v/>
      </c>
      <c r="CZ2206" s="259" t="e">
        <f t="shared" ca="1" si="1802"/>
        <v>#N/A</v>
      </c>
      <c r="DA2206" s="259" t="str">
        <f t="shared" ca="1" si="1803"/>
        <v/>
      </c>
      <c r="DB2206" s="259" t="str">
        <f t="shared" ca="1" si="1804"/>
        <v/>
      </c>
      <c r="DC2206" s="259" t="str">
        <f t="shared" ca="1" si="1798"/>
        <v/>
      </c>
      <c r="DD2206" s="259" t="str">
        <f t="shared" ca="1" si="1799"/>
        <v/>
      </c>
      <c r="DE2206" s="259" t="str">
        <f t="shared" ca="1" si="1800"/>
        <v/>
      </c>
      <c r="DF2206" s="259">
        <f ca="1">IF(AND(CX2206&gt;0,DB2206&lt;&gt;"",OR(DB2205&lt;&gt;"",DB2207&lt;&gt;"")),MAX($DF$2162:DF2205)+1,0)</f>
        <v>0</v>
      </c>
    </row>
    <row r="2207" spans="102:110">
      <c r="CX2207" s="259">
        <f t="shared" si="1794"/>
        <v>0</v>
      </c>
      <c r="CY2207" s="259" t="str">
        <f t="shared" ca="1" si="1801"/>
        <v/>
      </c>
      <c r="CZ2207" s="259" t="e">
        <f t="shared" ca="1" si="1802"/>
        <v>#N/A</v>
      </c>
      <c r="DA2207" s="259" t="str">
        <f t="shared" ca="1" si="1803"/>
        <v/>
      </c>
      <c r="DB2207" s="259" t="str">
        <f t="shared" ca="1" si="1804"/>
        <v/>
      </c>
      <c r="DC2207" s="259" t="str">
        <f t="shared" ca="1" si="1798"/>
        <v/>
      </c>
      <c r="DD2207" s="259" t="str">
        <f t="shared" ca="1" si="1799"/>
        <v/>
      </c>
      <c r="DE2207" s="259" t="str">
        <f t="shared" ca="1" si="1800"/>
        <v/>
      </c>
      <c r="DF2207" s="259">
        <f ca="1">IF(AND(CX2207&gt;0,DB2207&lt;&gt;"",OR(DB2206&lt;&gt;"",DB2208&lt;&gt;"")),MAX($DF$2162:DF2206)+1,0)</f>
        <v>0</v>
      </c>
    </row>
    <row r="2208" spans="102:110">
      <c r="CX2208" s="259">
        <f t="shared" si="1794"/>
        <v>0</v>
      </c>
      <c r="CY2208" s="259" t="str">
        <f t="shared" ca="1" si="1801"/>
        <v/>
      </c>
      <c r="CZ2208" s="259" t="e">
        <f t="shared" ca="1" si="1802"/>
        <v>#N/A</v>
      </c>
      <c r="DA2208" s="259" t="str">
        <f t="shared" ca="1" si="1803"/>
        <v/>
      </c>
      <c r="DB2208" s="259" t="str">
        <f t="shared" ca="1" si="1804"/>
        <v/>
      </c>
      <c r="DC2208" s="259" t="str">
        <f t="shared" ca="1" si="1798"/>
        <v/>
      </c>
      <c r="DD2208" s="259" t="str">
        <f t="shared" ca="1" si="1799"/>
        <v/>
      </c>
      <c r="DE2208" s="259" t="str">
        <f t="shared" ca="1" si="1800"/>
        <v/>
      </c>
      <c r="DF2208" s="259">
        <f ca="1">IF(AND(CX2208&gt;0,DB2208&lt;&gt;"",OR(DB2207&lt;&gt;"",DB2209&lt;&gt;"")),MAX($DF$2162:DF2207)+1,0)</f>
        <v>0</v>
      </c>
    </row>
    <row r="2209" spans="102:110">
      <c r="CX2209" s="259">
        <f t="shared" si="1794"/>
        <v>0</v>
      </c>
      <c r="CY2209" s="259" t="str">
        <f t="shared" ca="1" si="1801"/>
        <v/>
      </c>
      <c r="CZ2209" s="259" t="e">
        <f t="shared" ca="1" si="1802"/>
        <v>#N/A</v>
      </c>
      <c r="DA2209" s="259" t="str">
        <f t="shared" ca="1" si="1803"/>
        <v/>
      </c>
      <c r="DB2209" s="259" t="str">
        <f t="shared" ca="1" si="1804"/>
        <v/>
      </c>
      <c r="DC2209" s="259" t="str">
        <f t="shared" ca="1" si="1798"/>
        <v/>
      </c>
      <c r="DD2209" s="259" t="str">
        <f t="shared" ca="1" si="1799"/>
        <v/>
      </c>
      <c r="DE2209" s="259" t="str">
        <f t="shared" ca="1" si="1800"/>
        <v/>
      </c>
      <c r="DF2209" s="259">
        <f ca="1">IF(AND(CX2209&gt;0,DB2209&lt;&gt;"",OR(DB2208&lt;&gt;"",DB2210&lt;&gt;"")),MAX($DF$2162:DF2208)+1,0)</f>
        <v>0</v>
      </c>
    </row>
    <row r="2210" spans="102:110">
      <c r="CX2210" s="259">
        <f t="shared" si="1794"/>
        <v>0</v>
      </c>
      <c r="CY2210" s="259" t="str">
        <f t="shared" ca="1" si="1801"/>
        <v/>
      </c>
      <c r="CZ2210" s="259" t="e">
        <f t="shared" ca="1" si="1802"/>
        <v>#N/A</v>
      </c>
      <c r="DA2210" s="259" t="str">
        <f t="shared" ca="1" si="1803"/>
        <v/>
      </c>
      <c r="DB2210" s="259" t="str">
        <f t="shared" ca="1" si="1804"/>
        <v/>
      </c>
      <c r="DC2210" s="259" t="str">
        <f t="shared" ca="1" si="1798"/>
        <v/>
      </c>
      <c r="DD2210" s="259" t="str">
        <f t="shared" ca="1" si="1799"/>
        <v/>
      </c>
      <c r="DE2210" s="259" t="str">
        <f t="shared" ca="1" si="1800"/>
        <v/>
      </c>
      <c r="DF2210" s="259">
        <f ca="1">IF(AND(CX2210&gt;0,DB2210&lt;&gt;"",OR(DB2209&lt;&gt;"",DB2211&lt;&gt;"")),MAX($DF$2162:DF2209)+1,0)</f>
        <v>0</v>
      </c>
    </row>
    <row r="2211" spans="102:110">
      <c r="CX2211" s="259">
        <f t="shared" si="1794"/>
        <v>0</v>
      </c>
      <c r="CY2211" s="259" t="str">
        <f t="shared" ca="1" si="1801"/>
        <v/>
      </c>
      <c r="CZ2211" s="259" t="e">
        <f t="shared" ca="1" si="1802"/>
        <v>#N/A</v>
      </c>
      <c r="DA2211" s="259" t="str">
        <f t="shared" ca="1" si="1803"/>
        <v/>
      </c>
      <c r="DB2211" s="259" t="str">
        <f t="shared" ca="1" si="1804"/>
        <v/>
      </c>
      <c r="DC2211" s="259" t="str">
        <f t="shared" ca="1" si="1798"/>
        <v/>
      </c>
      <c r="DD2211" s="259" t="str">
        <f t="shared" ca="1" si="1799"/>
        <v/>
      </c>
      <c r="DE2211" s="259" t="str">
        <f t="shared" ca="1" si="1800"/>
        <v/>
      </c>
      <c r="DF2211" s="259">
        <f ca="1">IF(AND(CX2211&gt;0,DB2211&lt;&gt;"",OR(DB2210&lt;&gt;"",DB2212&lt;&gt;"")),MAX($DF$2162:DF2210)+1,0)</f>
        <v>0</v>
      </c>
    </row>
    <row r="2212" spans="102:110">
      <c r="CX2212" s="259">
        <f t="shared" si="1794"/>
        <v>0</v>
      </c>
      <c r="CY2212" s="259" t="str">
        <f t="shared" ca="1" si="1801"/>
        <v/>
      </c>
      <c r="CZ2212" s="259" t="e">
        <f t="shared" ca="1" si="1802"/>
        <v>#N/A</v>
      </c>
      <c r="DA2212" s="259" t="str">
        <f t="shared" ca="1" si="1803"/>
        <v/>
      </c>
      <c r="DB2212" s="259" t="str">
        <f t="shared" ca="1" si="1804"/>
        <v/>
      </c>
      <c r="DC2212" s="259" t="str">
        <f t="shared" ca="1" si="1798"/>
        <v/>
      </c>
      <c r="DD2212" s="259" t="str">
        <f t="shared" ca="1" si="1799"/>
        <v/>
      </c>
      <c r="DE2212" s="259" t="str">
        <f t="shared" ca="1" si="1800"/>
        <v/>
      </c>
      <c r="DF2212" s="259">
        <f ca="1">IF(AND(CX2212&gt;0,DB2212&lt;&gt;"",OR(DB2211&lt;&gt;"",DB2213&lt;&gt;"")),MAX($DF$2162:DF2211)+1,0)</f>
        <v>0</v>
      </c>
    </row>
    <row r="2213" spans="102:110">
      <c r="CX2213" s="259">
        <f t="shared" si="1794"/>
        <v>0</v>
      </c>
      <c r="CY2213" s="259" t="str">
        <f t="shared" ca="1" si="1801"/>
        <v/>
      </c>
      <c r="CZ2213" s="259" t="e">
        <f t="shared" ca="1" si="1802"/>
        <v>#N/A</v>
      </c>
      <c r="DA2213" s="259" t="str">
        <f t="shared" ca="1" si="1803"/>
        <v/>
      </c>
      <c r="DB2213" s="259" t="str">
        <f t="shared" ca="1" si="1804"/>
        <v/>
      </c>
      <c r="DC2213" s="259" t="str">
        <f t="shared" ca="1" si="1798"/>
        <v/>
      </c>
      <c r="DD2213" s="259" t="str">
        <f t="shared" ca="1" si="1799"/>
        <v/>
      </c>
      <c r="DE2213" s="259" t="str">
        <f t="shared" ca="1" si="1800"/>
        <v/>
      </c>
      <c r="DF2213" s="259">
        <f ca="1">IF(AND(CX2213&gt;0,DB2213&lt;&gt;"",OR(DB2212&lt;&gt;"",DB2214&lt;&gt;"")),MAX($DF$2162:DF2212)+1,0)</f>
        <v>0</v>
      </c>
    </row>
    <row r="2214" spans="102:110">
      <c r="CX2214" s="259">
        <f t="shared" si="1794"/>
        <v>0</v>
      </c>
      <c r="CY2214" s="259" t="str">
        <f t="shared" ref="CY2214:CY2245" ca="1" si="1805">IF(ISERROR(INDEX($CV$3:$CX$2300,MATCH(CX2214,$CW$3:$CW$2300,0),1)),"MASTRO",INDEX($CV$3:$CX$2300,MATCH(CX2214,$CW$3:$CW$2300,0),1))</f>
        <v/>
      </c>
      <c r="CZ2214" s="259" t="e">
        <f t="shared" ca="1" si="1802"/>
        <v>#N/A</v>
      </c>
      <c r="DA2214" s="259" t="str">
        <f t="shared" ca="1" si="1803"/>
        <v/>
      </c>
      <c r="DB2214" s="259" t="str">
        <f t="shared" ca="1" si="1804"/>
        <v/>
      </c>
      <c r="DC2214" s="259" t="str">
        <f t="shared" ca="1" si="1798"/>
        <v/>
      </c>
      <c r="DD2214" s="259" t="str">
        <f t="shared" ca="1" si="1799"/>
        <v/>
      </c>
      <c r="DE2214" s="259" t="str">
        <f t="shared" ca="1" si="1800"/>
        <v/>
      </c>
      <c r="DF2214" s="259">
        <f ca="1">IF(AND(CX2214&gt;0,DB2214&lt;&gt;"",OR(DB2213&lt;&gt;"",DB2215&lt;&gt;"")),MAX($DF$2162:DF2213)+1,0)</f>
        <v>0</v>
      </c>
    </row>
    <row r="2215" spans="102:110">
      <c r="CX2215" s="259">
        <f t="shared" si="1794"/>
        <v>0</v>
      </c>
      <c r="CY2215" s="259" t="str">
        <f t="shared" ca="1" si="1805"/>
        <v/>
      </c>
      <c r="CZ2215" s="259" t="e">
        <f t="shared" ca="1" si="1802"/>
        <v>#N/A</v>
      </c>
      <c r="DA2215" s="259" t="str">
        <f t="shared" ca="1" si="1803"/>
        <v/>
      </c>
      <c r="DB2215" s="259" t="str">
        <f t="shared" ca="1" si="1804"/>
        <v/>
      </c>
      <c r="DC2215" s="259" t="str">
        <f t="shared" ca="1" si="1798"/>
        <v/>
      </c>
      <c r="DD2215" s="259" t="str">
        <f t="shared" ca="1" si="1799"/>
        <v/>
      </c>
      <c r="DE2215" s="259" t="str">
        <f t="shared" ca="1" si="1800"/>
        <v/>
      </c>
      <c r="DF2215" s="259">
        <f ca="1">IF(AND(CX2215&gt;0,DB2215&lt;&gt;"",OR(DB2214&lt;&gt;"",DB2216&lt;&gt;"")),MAX($DF$2162:DF2214)+1,0)</f>
        <v>0</v>
      </c>
    </row>
    <row r="2216" spans="102:110">
      <c r="CX2216" s="259">
        <f t="shared" si="1794"/>
        <v>0</v>
      </c>
      <c r="CY2216" s="259" t="str">
        <f t="shared" ca="1" si="1805"/>
        <v/>
      </c>
      <c r="CZ2216" s="259" t="e">
        <f t="shared" ca="1" si="1802"/>
        <v>#N/A</v>
      </c>
      <c r="DA2216" s="259" t="str">
        <f t="shared" ca="1" si="1803"/>
        <v/>
      </c>
      <c r="DB2216" s="259" t="str">
        <f t="shared" ca="1" si="1804"/>
        <v/>
      </c>
      <c r="DC2216" s="259" t="str">
        <f t="shared" ca="1" si="1798"/>
        <v/>
      </c>
      <c r="DD2216" s="259" t="str">
        <f t="shared" ca="1" si="1799"/>
        <v/>
      </c>
      <c r="DE2216" s="259" t="str">
        <f t="shared" ca="1" si="1800"/>
        <v/>
      </c>
      <c r="DF2216" s="259">
        <f ca="1">IF(AND(CX2216&gt;0,DB2216&lt;&gt;"",OR(DB2215&lt;&gt;"",DB2217&lt;&gt;"")),MAX($DF$2162:DF2215)+1,0)</f>
        <v>0</v>
      </c>
    </row>
    <row r="2217" spans="102:110">
      <c r="CX2217" s="259">
        <f t="shared" si="1794"/>
        <v>0</v>
      </c>
      <c r="CY2217" s="259" t="str">
        <f t="shared" ca="1" si="1805"/>
        <v/>
      </c>
      <c r="CZ2217" s="259" t="e">
        <f t="shared" ca="1" si="1802"/>
        <v>#N/A</v>
      </c>
      <c r="DA2217" s="259" t="str">
        <f t="shared" ca="1" si="1803"/>
        <v/>
      </c>
      <c r="DB2217" s="259" t="str">
        <f t="shared" ca="1" si="1804"/>
        <v/>
      </c>
      <c r="DC2217" s="259" t="str">
        <f t="shared" ca="1" si="1798"/>
        <v/>
      </c>
      <c r="DD2217" s="259" t="str">
        <f t="shared" ca="1" si="1799"/>
        <v/>
      </c>
      <c r="DE2217" s="259" t="str">
        <f t="shared" ca="1" si="1800"/>
        <v/>
      </c>
      <c r="DF2217" s="259">
        <f ca="1">IF(AND(CX2217&gt;0,DB2217&lt;&gt;"",OR(DB2216&lt;&gt;"",DB2218&lt;&gt;"")),MAX($DF$2162:DF2216)+1,0)</f>
        <v>0</v>
      </c>
    </row>
    <row r="2218" spans="102:110">
      <c r="CX2218" s="259">
        <f t="shared" si="1794"/>
        <v>0</v>
      </c>
      <c r="CY2218" s="259" t="str">
        <f t="shared" ca="1" si="1805"/>
        <v/>
      </c>
      <c r="CZ2218" s="259" t="e">
        <f t="shared" ca="1" si="1802"/>
        <v>#N/A</v>
      </c>
      <c r="DA2218" s="259" t="str">
        <f t="shared" ca="1" si="1803"/>
        <v/>
      </c>
      <c r="DB2218" s="259" t="str">
        <f t="shared" ca="1" si="1804"/>
        <v/>
      </c>
      <c r="DC2218" s="259" t="str">
        <f t="shared" ca="1" si="1798"/>
        <v/>
      </c>
      <c r="DD2218" s="259" t="str">
        <f t="shared" ca="1" si="1799"/>
        <v/>
      </c>
      <c r="DE2218" s="259" t="str">
        <f t="shared" ca="1" si="1800"/>
        <v/>
      </c>
      <c r="DF2218" s="259">
        <f ca="1">IF(AND(CX2218&gt;0,DB2218&lt;&gt;"",OR(DB2217&lt;&gt;"",DB2219&lt;&gt;"")),MAX($DF$2162:DF2217)+1,0)</f>
        <v>0</v>
      </c>
    </row>
    <row r="2219" spans="102:110">
      <c r="CX2219" s="259">
        <f t="shared" si="1794"/>
        <v>0</v>
      </c>
      <c r="CY2219" s="259" t="str">
        <f t="shared" ca="1" si="1805"/>
        <v/>
      </c>
      <c r="CZ2219" s="259" t="e">
        <f t="shared" ca="1" si="1802"/>
        <v>#N/A</v>
      </c>
      <c r="DA2219" s="259" t="str">
        <f t="shared" ca="1" si="1803"/>
        <v/>
      </c>
      <c r="DB2219" s="259" t="str">
        <f t="shared" ca="1" si="1804"/>
        <v/>
      </c>
      <c r="DC2219" s="259" t="str">
        <f t="shared" ca="1" si="1798"/>
        <v/>
      </c>
      <c r="DD2219" s="259" t="str">
        <f t="shared" ca="1" si="1799"/>
        <v/>
      </c>
      <c r="DE2219" s="259" t="str">
        <f t="shared" ca="1" si="1800"/>
        <v/>
      </c>
      <c r="DF2219" s="259">
        <f ca="1">IF(AND(CX2219&gt;0,DB2219&lt;&gt;"",OR(DB2218&lt;&gt;"",DB2220&lt;&gt;"")),MAX($DF$2162:DF2218)+1,0)</f>
        <v>0</v>
      </c>
    </row>
    <row r="2220" spans="102:110">
      <c r="CX2220" s="259">
        <f t="shared" si="1794"/>
        <v>0</v>
      </c>
      <c r="CY2220" s="259" t="str">
        <f t="shared" ca="1" si="1805"/>
        <v/>
      </c>
      <c r="CZ2220" s="259" t="e">
        <f t="shared" ca="1" si="1802"/>
        <v>#N/A</v>
      </c>
      <c r="DA2220" s="259" t="str">
        <f t="shared" ca="1" si="1803"/>
        <v/>
      </c>
      <c r="DB2220" s="259" t="str">
        <f t="shared" ca="1" si="1804"/>
        <v/>
      </c>
      <c r="DC2220" s="259" t="str">
        <f t="shared" ca="1" si="1798"/>
        <v/>
      </c>
      <c r="DD2220" s="259" t="str">
        <f t="shared" ca="1" si="1799"/>
        <v/>
      </c>
      <c r="DE2220" s="259" t="str">
        <f t="shared" ca="1" si="1800"/>
        <v/>
      </c>
      <c r="DF2220" s="259">
        <f ca="1">IF(AND(CX2220&gt;0,DB2220&lt;&gt;"",OR(DB2219&lt;&gt;"",DB2221&lt;&gt;"")),MAX($DF$2162:DF2219)+1,0)</f>
        <v>0</v>
      </c>
    </row>
    <row r="2221" spans="102:110">
      <c r="CX2221" s="259">
        <f t="shared" si="1794"/>
        <v>0</v>
      </c>
      <c r="CY2221" s="259" t="str">
        <f t="shared" ca="1" si="1805"/>
        <v/>
      </c>
      <c r="CZ2221" s="259" t="e">
        <f t="shared" ca="1" si="1802"/>
        <v>#N/A</v>
      </c>
      <c r="DA2221" s="259" t="str">
        <f t="shared" ca="1" si="1803"/>
        <v/>
      </c>
      <c r="DB2221" s="259" t="str">
        <f t="shared" ca="1" si="1804"/>
        <v/>
      </c>
      <c r="DC2221" s="259" t="str">
        <f t="shared" ref="DC2221:DC2249" ca="1" si="1806">IF(IFERROR(INDEX(LIBRO_GIORNALE,CZ2221,4),"")=0,"manca la descrizione dell'operazione",IFERROR(INDEX(LIBRO_GIORNALE,CZ2221,4),""))</f>
        <v/>
      </c>
      <c r="DD2221" s="259" t="str">
        <f t="shared" ref="DD2221:DD2249" ca="1" si="1807">IFERROR(IF(INDEX(LIBRO_GIORNALE,CZ2221,5)&gt;0,INDEX(LIBRO_GIORNALE,CZ2221,5),""),"")</f>
        <v/>
      </c>
      <c r="DE2221" s="259" t="str">
        <f t="shared" ref="DE2221:DE2249" ca="1" si="1808">IFERROR(IF(INDEX(LIBRO_GIORNALE,CZ2221,6)&gt;0,INDEX(LIBRO_GIORNALE,CZ2221,6),""),"")</f>
        <v/>
      </c>
      <c r="DF2221" s="259">
        <f ca="1">IF(AND(CX2221&gt;0,DB2221&lt;&gt;"",OR(DB2220&lt;&gt;"",DB2222&lt;&gt;"")),MAX($DF$2162:DF2220)+1,0)</f>
        <v>0</v>
      </c>
    </row>
    <row r="2222" spans="102:110">
      <c r="CX2222" s="259">
        <f t="shared" si="1794"/>
        <v>0</v>
      </c>
      <c r="CY2222" s="259" t="str">
        <f t="shared" ca="1" si="1805"/>
        <v/>
      </c>
      <c r="CZ2222" s="259" t="e">
        <f t="shared" ca="1" si="1802"/>
        <v>#N/A</v>
      </c>
      <c r="DA2222" s="259" t="str">
        <f t="shared" ca="1" si="1803"/>
        <v/>
      </c>
      <c r="DB2222" s="259" t="str">
        <f t="shared" ca="1" si="1804"/>
        <v/>
      </c>
      <c r="DC2222" s="259" t="str">
        <f t="shared" ca="1" si="1806"/>
        <v/>
      </c>
      <c r="DD2222" s="259" t="str">
        <f t="shared" ca="1" si="1807"/>
        <v/>
      </c>
      <c r="DE2222" s="259" t="str">
        <f t="shared" ca="1" si="1808"/>
        <v/>
      </c>
      <c r="DF2222" s="259">
        <f ca="1">IF(AND(CX2222&gt;0,DB2222&lt;&gt;"",OR(DB2221&lt;&gt;"",DB2223&lt;&gt;"")),MAX($DF$2162:DF2221)+1,0)</f>
        <v>0</v>
      </c>
    </row>
    <row r="2223" spans="102:110">
      <c r="CX2223" s="259">
        <f t="shared" si="1794"/>
        <v>0</v>
      </c>
      <c r="CY2223" s="259" t="str">
        <f t="shared" ca="1" si="1805"/>
        <v/>
      </c>
      <c r="CZ2223" s="259" t="e">
        <f t="shared" ca="1" si="1802"/>
        <v>#N/A</v>
      </c>
      <c r="DA2223" s="259" t="str">
        <f t="shared" ca="1" si="1803"/>
        <v/>
      </c>
      <c r="DB2223" s="259" t="str">
        <f t="shared" ca="1" si="1804"/>
        <v/>
      </c>
      <c r="DC2223" s="259" t="str">
        <f t="shared" ca="1" si="1806"/>
        <v/>
      </c>
      <c r="DD2223" s="259" t="str">
        <f t="shared" ca="1" si="1807"/>
        <v/>
      </c>
      <c r="DE2223" s="259" t="str">
        <f t="shared" ca="1" si="1808"/>
        <v/>
      </c>
      <c r="DF2223" s="259">
        <f ca="1">IF(AND(CX2223&gt;0,DB2223&lt;&gt;"",OR(DB2222&lt;&gt;"",DB2224&lt;&gt;"")),MAX($DF$2162:DF2222)+1,0)</f>
        <v>0</v>
      </c>
    </row>
    <row r="2224" spans="102:110">
      <c r="CX2224" s="259">
        <f t="shared" si="1794"/>
        <v>0</v>
      </c>
      <c r="CY2224" s="259" t="str">
        <f t="shared" ca="1" si="1805"/>
        <v/>
      </c>
      <c r="CZ2224" s="259" t="e">
        <f t="shared" ca="1" si="1802"/>
        <v>#N/A</v>
      </c>
      <c r="DA2224" s="259" t="str">
        <f t="shared" ca="1" si="1803"/>
        <v/>
      </c>
      <c r="DB2224" s="259" t="str">
        <f t="shared" ca="1" si="1804"/>
        <v/>
      </c>
      <c r="DC2224" s="259" t="str">
        <f t="shared" ca="1" si="1806"/>
        <v/>
      </c>
      <c r="DD2224" s="259" t="str">
        <f t="shared" ca="1" si="1807"/>
        <v/>
      </c>
      <c r="DE2224" s="259" t="str">
        <f t="shared" ca="1" si="1808"/>
        <v/>
      </c>
      <c r="DF2224" s="259">
        <f ca="1">IF(AND(CX2224&gt;0,DB2224&lt;&gt;"",OR(DB2223&lt;&gt;"",DB2225&lt;&gt;"")),MAX($DF$2162:DF2223)+1,0)</f>
        <v>0</v>
      </c>
    </row>
    <row r="2225" spans="102:110">
      <c r="CX2225" s="259">
        <f t="shared" si="1794"/>
        <v>0</v>
      </c>
      <c r="CY2225" s="259" t="str">
        <f t="shared" ca="1" si="1805"/>
        <v/>
      </c>
      <c r="CZ2225" s="259" t="e">
        <f t="shared" ca="1" si="1802"/>
        <v>#N/A</v>
      </c>
      <c r="DA2225" s="259" t="str">
        <f t="shared" ca="1" si="1803"/>
        <v/>
      </c>
      <c r="DB2225" s="259" t="str">
        <f t="shared" ca="1" si="1804"/>
        <v/>
      </c>
      <c r="DC2225" s="259" t="str">
        <f t="shared" ca="1" si="1806"/>
        <v/>
      </c>
      <c r="DD2225" s="259" t="str">
        <f t="shared" ca="1" si="1807"/>
        <v/>
      </c>
      <c r="DE2225" s="259" t="str">
        <f t="shared" ca="1" si="1808"/>
        <v/>
      </c>
      <c r="DF2225" s="259">
        <f ca="1">IF(AND(CX2225&gt;0,DB2225&lt;&gt;"",OR(DB2224&lt;&gt;"",DB2226&lt;&gt;"")),MAX($DF$2162:DF2224)+1,0)</f>
        <v>0</v>
      </c>
    </row>
    <row r="2226" spans="102:110">
      <c r="CX2226" s="259">
        <f t="shared" si="1794"/>
        <v>0</v>
      </c>
      <c r="CY2226" s="259" t="str">
        <f t="shared" ca="1" si="1805"/>
        <v/>
      </c>
      <c r="CZ2226" s="259" t="e">
        <f t="shared" ca="1" si="1802"/>
        <v>#N/A</v>
      </c>
      <c r="DA2226" s="259" t="str">
        <f t="shared" ca="1" si="1803"/>
        <v/>
      </c>
      <c r="DB2226" s="259" t="str">
        <f t="shared" ca="1" si="1804"/>
        <v/>
      </c>
      <c r="DC2226" s="259" t="str">
        <f t="shared" ca="1" si="1806"/>
        <v/>
      </c>
      <c r="DD2226" s="259" t="str">
        <f t="shared" ca="1" si="1807"/>
        <v/>
      </c>
      <c r="DE2226" s="259" t="str">
        <f t="shared" ca="1" si="1808"/>
        <v/>
      </c>
      <c r="DF2226" s="259">
        <f ca="1">IF(AND(CX2226&gt;0,DB2226&lt;&gt;"",OR(DB2225&lt;&gt;"",DB2227&lt;&gt;"")),MAX($DF$2162:DF2225)+1,0)</f>
        <v>0</v>
      </c>
    </row>
    <row r="2227" spans="102:110">
      <c r="CX2227" s="259">
        <f t="shared" si="1794"/>
        <v>0</v>
      </c>
      <c r="CY2227" s="259" t="str">
        <f t="shared" ca="1" si="1805"/>
        <v/>
      </c>
      <c r="CZ2227" s="259" t="e">
        <f t="shared" ca="1" si="1802"/>
        <v>#N/A</v>
      </c>
      <c r="DA2227" s="259" t="str">
        <f t="shared" ca="1" si="1803"/>
        <v/>
      </c>
      <c r="DB2227" s="259" t="str">
        <f t="shared" ca="1" si="1804"/>
        <v/>
      </c>
      <c r="DC2227" s="259" t="str">
        <f t="shared" ca="1" si="1806"/>
        <v/>
      </c>
      <c r="DD2227" s="259" t="str">
        <f t="shared" ca="1" si="1807"/>
        <v/>
      </c>
      <c r="DE2227" s="259" t="str">
        <f t="shared" ca="1" si="1808"/>
        <v/>
      </c>
      <c r="DF2227" s="259">
        <f ca="1">IF(AND(CX2227&gt;0,DB2227&lt;&gt;"",OR(DB2226&lt;&gt;"",DB2228&lt;&gt;"")),MAX($DF$2162:DF2226)+1,0)</f>
        <v>0</v>
      </c>
    </row>
    <row r="2228" spans="102:110">
      <c r="CX2228" s="259">
        <f t="shared" si="1794"/>
        <v>0</v>
      </c>
      <c r="CY2228" s="259" t="str">
        <f t="shared" ca="1" si="1805"/>
        <v/>
      </c>
      <c r="CZ2228" s="259" t="e">
        <f t="shared" ca="1" si="1802"/>
        <v>#N/A</v>
      </c>
      <c r="DA2228" s="259" t="str">
        <f t="shared" ca="1" si="1803"/>
        <v/>
      </c>
      <c r="DB2228" s="259" t="str">
        <f t="shared" ca="1" si="1804"/>
        <v/>
      </c>
      <c r="DC2228" s="259" t="str">
        <f t="shared" ca="1" si="1806"/>
        <v/>
      </c>
      <c r="DD2228" s="259" t="str">
        <f t="shared" ca="1" si="1807"/>
        <v/>
      </c>
      <c r="DE2228" s="259" t="str">
        <f t="shared" ca="1" si="1808"/>
        <v/>
      </c>
      <c r="DF2228" s="259">
        <f ca="1">IF(AND(CX2228&gt;0,DB2228&lt;&gt;"",OR(DB2227&lt;&gt;"",DB2229&lt;&gt;"")),MAX($DF$2162:DF2227)+1,0)</f>
        <v>0</v>
      </c>
    </row>
    <row r="2229" spans="102:110">
      <c r="CX2229" s="259">
        <f t="shared" ref="CX2229:CX2250" si="1809">CX2228</f>
        <v>0</v>
      </c>
      <c r="CY2229" s="259" t="str">
        <f t="shared" ca="1" si="1805"/>
        <v/>
      </c>
      <c r="CZ2229" s="259" t="e">
        <f t="shared" ref="CZ2229:CZ2248" ca="1" si="1810">SUM(MATCH($CY2229,INDIRECT(ADDRESS(SUM(CZ2228)+3,54)&amp;":"&amp;ADDRESS(400,54)),0),CZ2228)</f>
        <v>#N/A</v>
      </c>
      <c r="DA2229" s="259" t="str">
        <f t="shared" ref="DA2229:DA2260" ca="1" si="1811">IFERROR(INDEX(LIBRO_GIORNALE,CZ2229,1),"")</f>
        <v/>
      </c>
      <c r="DB2229" s="259" t="str">
        <f t="shared" ref="DB2229:DB2260" ca="1" si="1812">IF(RIGHT(TEXT(IFERROR(INDEX(LIBRO_GIORNALE,CZ2229,2),""),"gg/mm/aa"),1)="a",TEXT(IFERROR(INDEX(LIBRO_GIORNALE,CZ2229,2),""),"dd/mm/yy"),TEXT(IFERROR(INDEX(LIBRO_GIORNALE,CZ2229,2),""),"gg/mm/aa"))</f>
        <v/>
      </c>
      <c r="DC2229" s="259" t="str">
        <f t="shared" ca="1" si="1806"/>
        <v/>
      </c>
      <c r="DD2229" s="259" t="str">
        <f t="shared" ca="1" si="1807"/>
        <v/>
      </c>
      <c r="DE2229" s="259" t="str">
        <f t="shared" ca="1" si="1808"/>
        <v/>
      </c>
      <c r="DF2229" s="259">
        <f ca="1">IF(AND(CX2229&gt;0,DB2229&lt;&gt;"",OR(DB2228&lt;&gt;"",DB2230&lt;&gt;"")),MAX($DF$2162:DF2228)+1,0)</f>
        <v>0</v>
      </c>
    </row>
    <row r="2230" spans="102:110">
      <c r="CX2230" s="259">
        <f t="shared" si="1809"/>
        <v>0</v>
      </c>
      <c r="CY2230" s="259" t="str">
        <f t="shared" ca="1" si="1805"/>
        <v/>
      </c>
      <c r="CZ2230" s="259" t="e">
        <f t="shared" ca="1" si="1810"/>
        <v>#N/A</v>
      </c>
      <c r="DA2230" s="259" t="str">
        <f t="shared" ca="1" si="1811"/>
        <v/>
      </c>
      <c r="DB2230" s="259" t="str">
        <f t="shared" ca="1" si="1812"/>
        <v/>
      </c>
      <c r="DC2230" s="259" t="str">
        <f t="shared" ca="1" si="1806"/>
        <v/>
      </c>
      <c r="DD2230" s="259" t="str">
        <f t="shared" ca="1" si="1807"/>
        <v/>
      </c>
      <c r="DE2230" s="259" t="str">
        <f t="shared" ca="1" si="1808"/>
        <v/>
      </c>
      <c r="DF2230" s="259">
        <f ca="1">IF(AND(CX2230&gt;0,DB2230&lt;&gt;"",OR(DB2229&lt;&gt;"",DB2231&lt;&gt;"")),MAX($DF$2162:DF2229)+1,0)</f>
        <v>0</v>
      </c>
    </row>
    <row r="2231" spans="102:110">
      <c r="CX2231" s="259">
        <f t="shared" si="1809"/>
        <v>0</v>
      </c>
      <c r="CY2231" s="259" t="str">
        <f t="shared" ca="1" si="1805"/>
        <v/>
      </c>
      <c r="CZ2231" s="259" t="e">
        <f t="shared" ca="1" si="1810"/>
        <v>#N/A</v>
      </c>
      <c r="DA2231" s="259" t="str">
        <f t="shared" ca="1" si="1811"/>
        <v/>
      </c>
      <c r="DB2231" s="259" t="str">
        <f t="shared" ca="1" si="1812"/>
        <v/>
      </c>
      <c r="DC2231" s="259" t="str">
        <f t="shared" ca="1" si="1806"/>
        <v/>
      </c>
      <c r="DD2231" s="259" t="str">
        <f t="shared" ca="1" si="1807"/>
        <v/>
      </c>
      <c r="DE2231" s="259" t="str">
        <f t="shared" ca="1" si="1808"/>
        <v/>
      </c>
      <c r="DF2231" s="259">
        <f ca="1">IF(AND(CX2231&gt;0,DB2231&lt;&gt;"",OR(DB2230&lt;&gt;"",DB2232&lt;&gt;"")),MAX($DF$2162:DF2230)+1,0)</f>
        <v>0</v>
      </c>
    </row>
    <row r="2232" spans="102:110">
      <c r="CX2232" s="259">
        <f t="shared" si="1809"/>
        <v>0</v>
      </c>
      <c r="CY2232" s="259" t="str">
        <f t="shared" ca="1" si="1805"/>
        <v/>
      </c>
      <c r="CZ2232" s="259" t="e">
        <f t="shared" ca="1" si="1810"/>
        <v>#N/A</v>
      </c>
      <c r="DA2232" s="259" t="str">
        <f t="shared" ca="1" si="1811"/>
        <v/>
      </c>
      <c r="DB2232" s="259" t="str">
        <f t="shared" ca="1" si="1812"/>
        <v/>
      </c>
      <c r="DC2232" s="259" t="str">
        <f t="shared" ca="1" si="1806"/>
        <v/>
      </c>
      <c r="DD2232" s="259" t="str">
        <f t="shared" ca="1" si="1807"/>
        <v/>
      </c>
      <c r="DE2232" s="259" t="str">
        <f t="shared" ca="1" si="1808"/>
        <v/>
      </c>
      <c r="DF2232" s="259">
        <f ca="1">IF(AND(CX2232&gt;0,DB2232&lt;&gt;"",OR(DB2231&lt;&gt;"",DB2233&lt;&gt;"")),MAX($DF$2162:DF2231)+1,0)</f>
        <v>0</v>
      </c>
    </row>
    <row r="2233" spans="102:110">
      <c r="CX2233" s="259">
        <f t="shared" si="1809"/>
        <v>0</v>
      </c>
      <c r="CY2233" s="259" t="str">
        <f t="shared" ca="1" si="1805"/>
        <v/>
      </c>
      <c r="CZ2233" s="259" t="e">
        <f t="shared" ca="1" si="1810"/>
        <v>#N/A</v>
      </c>
      <c r="DA2233" s="259" t="str">
        <f t="shared" ca="1" si="1811"/>
        <v/>
      </c>
      <c r="DB2233" s="259" t="str">
        <f t="shared" ca="1" si="1812"/>
        <v/>
      </c>
      <c r="DC2233" s="259" t="str">
        <f t="shared" ca="1" si="1806"/>
        <v/>
      </c>
      <c r="DD2233" s="259" t="str">
        <f t="shared" ca="1" si="1807"/>
        <v/>
      </c>
      <c r="DE2233" s="259" t="str">
        <f t="shared" ca="1" si="1808"/>
        <v/>
      </c>
      <c r="DF2233" s="259">
        <f ca="1">IF(AND(CX2233&gt;0,DB2233&lt;&gt;"",OR(DB2232&lt;&gt;"",DB2234&lt;&gt;"")),MAX($DF$2162:DF2232)+1,0)</f>
        <v>0</v>
      </c>
    </row>
    <row r="2234" spans="102:110">
      <c r="CX2234" s="259">
        <f t="shared" si="1809"/>
        <v>0</v>
      </c>
      <c r="CY2234" s="259" t="str">
        <f t="shared" ca="1" si="1805"/>
        <v/>
      </c>
      <c r="CZ2234" s="259" t="e">
        <f t="shared" ca="1" si="1810"/>
        <v>#N/A</v>
      </c>
      <c r="DA2234" s="259" t="str">
        <f t="shared" ca="1" si="1811"/>
        <v/>
      </c>
      <c r="DB2234" s="259" t="str">
        <f t="shared" ca="1" si="1812"/>
        <v/>
      </c>
      <c r="DC2234" s="259" t="str">
        <f t="shared" ca="1" si="1806"/>
        <v/>
      </c>
      <c r="DD2234" s="259" t="str">
        <f t="shared" ca="1" si="1807"/>
        <v/>
      </c>
      <c r="DE2234" s="259" t="str">
        <f t="shared" ca="1" si="1808"/>
        <v/>
      </c>
      <c r="DF2234" s="259">
        <f ca="1">IF(AND(CX2234&gt;0,DB2234&lt;&gt;"",OR(DB2233&lt;&gt;"",DB2235&lt;&gt;"")),MAX($DF$2162:DF2233)+1,0)</f>
        <v>0</v>
      </c>
    </row>
    <row r="2235" spans="102:110">
      <c r="CX2235" s="259">
        <f t="shared" si="1809"/>
        <v>0</v>
      </c>
      <c r="CY2235" s="259" t="str">
        <f t="shared" ca="1" si="1805"/>
        <v/>
      </c>
      <c r="CZ2235" s="259" t="e">
        <f t="shared" ca="1" si="1810"/>
        <v>#N/A</v>
      </c>
      <c r="DA2235" s="259" t="str">
        <f t="shared" ca="1" si="1811"/>
        <v/>
      </c>
      <c r="DB2235" s="259" t="str">
        <f t="shared" ca="1" si="1812"/>
        <v/>
      </c>
      <c r="DC2235" s="259" t="str">
        <f t="shared" ca="1" si="1806"/>
        <v/>
      </c>
      <c r="DD2235" s="259" t="str">
        <f t="shared" ca="1" si="1807"/>
        <v/>
      </c>
      <c r="DE2235" s="259" t="str">
        <f t="shared" ca="1" si="1808"/>
        <v/>
      </c>
      <c r="DF2235" s="259">
        <f ca="1">IF(AND(CX2235&gt;0,DB2235&lt;&gt;"",OR(DB2234&lt;&gt;"",DB2236&lt;&gt;"")),MAX($DF$2162:DF2234)+1,0)</f>
        <v>0</v>
      </c>
    </row>
    <row r="2236" spans="102:110">
      <c r="CX2236" s="259">
        <f t="shared" si="1809"/>
        <v>0</v>
      </c>
      <c r="CY2236" s="259" t="str">
        <f t="shared" ca="1" si="1805"/>
        <v/>
      </c>
      <c r="CZ2236" s="259" t="e">
        <f t="shared" ca="1" si="1810"/>
        <v>#N/A</v>
      </c>
      <c r="DA2236" s="259" t="str">
        <f t="shared" ca="1" si="1811"/>
        <v/>
      </c>
      <c r="DB2236" s="259" t="str">
        <f t="shared" ca="1" si="1812"/>
        <v/>
      </c>
      <c r="DC2236" s="259" t="str">
        <f t="shared" ca="1" si="1806"/>
        <v/>
      </c>
      <c r="DD2236" s="259" t="str">
        <f t="shared" ca="1" si="1807"/>
        <v/>
      </c>
      <c r="DE2236" s="259" t="str">
        <f t="shared" ca="1" si="1808"/>
        <v/>
      </c>
      <c r="DF2236" s="259">
        <f ca="1">IF(AND(CX2236&gt;0,DB2236&lt;&gt;"",OR(DB2235&lt;&gt;"",DB2237&lt;&gt;"")),MAX($DF$2162:DF2235)+1,0)</f>
        <v>0</v>
      </c>
    </row>
    <row r="2237" spans="102:110">
      <c r="CX2237" s="259">
        <f t="shared" si="1809"/>
        <v>0</v>
      </c>
      <c r="CY2237" s="259" t="str">
        <f t="shared" ca="1" si="1805"/>
        <v/>
      </c>
      <c r="CZ2237" s="259" t="e">
        <f t="shared" ca="1" si="1810"/>
        <v>#N/A</v>
      </c>
      <c r="DA2237" s="259" t="str">
        <f t="shared" ca="1" si="1811"/>
        <v/>
      </c>
      <c r="DB2237" s="259" t="str">
        <f t="shared" ca="1" si="1812"/>
        <v/>
      </c>
      <c r="DC2237" s="259" t="str">
        <f t="shared" ca="1" si="1806"/>
        <v/>
      </c>
      <c r="DD2237" s="259" t="str">
        <f t="shared" ca="1" si="1807"/>
        <v/>
      </c>
      <c r="DE2237" s="259" t="str">
        <f t="shared" ca="1" si="1808"/>
        <v/>
      </c>
      <c r="DF2237" s="259">
        <f ca="1">IF(AND(CX2237&gt;0,DB2237&lt;&gt;"",OR(DB2236&lt;&gt;"",DB2238&lt;&gt;"")),MAX($DF$2162:DF2236)+1,0)</f>
        <v>0</v>
      </c>
    </row>
    <row r="2238" spans="102:110">
      <c r="CX2238" s="259">
        <f t="shared" si="1809"/>
        <v>0</v>
      </c>
      <c r="CY2238" s="259" t="str">
        <f t="shared" ca="1" si="1805"/>
        <v/>
      </c>
      <c r="CZ2238" s="259" t="e">
        <f t="shared" ca="1" si="1810"/>
        <v>#N/A</v>
      </c>
      <c r="DA2238" s="259" t="str">
        <f t="shared" ca="1" si="1811"/>
        <v/>
      </c>
      <c r="DB2238" s="259" t="str">
        <f t="shared" ca="1" si="1812"/>
        <v/>
      </c>
      <c r="DC2238" s="259" t="str">
        <f t="shared" ca="1" si="1806"/>
        <v/>
      </c>
      <c r="DD2238" s="259" t="str">
        <f t="shared" ca="1" si="1807"/>
        <v/>
      </c>
      <c r="DE2238" s="259" t="str">
        <f t="shared" ca="1" si="1808"/>
        <v/>
      </c>
      <c r="DF2238" s="259">
        <f ca="1">IF(AND(CX2238&gt;0,DB2238&lt;&gt;"",OR(DB2237&lt;&gt;"",DB2239&lt;&gt;"")),MAX($DF$2162:DF2237)+1,0)</f>
        <v>0</v>
      </c>
    </row>
    <row r="2239" spans="102:110">
      <c r="CX2239" s="259">
        <f t="shared" si="1809"/>
        <v>0</v>
      </c>
      <c r="CY2239" s="259" t="str">
        <f t="shared" ca="1" si="1805"/>
        <v/>
      </c>
      <c r="CZ2239" s="259" t="e">
        <f t="shared" ca="1" si="1810"/>
        <v>#N/A</v>
      </c>
      <c r="DA2239" s="259" t="str">
        <f t="shared" ca="1" si="1811"/>
        <v/>
      </c>
      <c r="DB2239" s="259" t="str">
        <f t="shared" ca="1" si="1812"/>
        <v/>
      </c>
      <c r="DC2239" s="259" t="str">
        <f t="shared" ca="1" si="1806"/>
        <v/>
      </c>
      <c r="DD2239" s="259" t="str">
        <f t="shared" ca="1" si="1807"/>
        <v/>
      </c>
      <c r="DE2239" s="259" t="str">
        <f t="shared" ca="1" si="1808"/>
        <v/>
      </c>
      <c r="DF2239" s="259">
        <f ca="1">IF(AND(CX2239&gt;0,DB2239&lt;&gt;"",OR(DB2238&lt;&gt;"",DB2240&lt;&gt;"")),MAX($DF$2162:DF2238)+1,0)</f>
        <v>0</v>
      </c>
    </row>
    <row r="2240" spans="102:110">
      <c r="CX2240" s="259">
        <f t="shared" si="1809"/>
        <v>0</v>
      </c>
      <c r="CY2240" s="259" t="str">
        <f t="shared" ca="1" si="1805"/>
        <v/>
      </c>
      <c r="CZ2240" s="259" t="e">
        <f t="shared" ca="1" si="1810"/>
        <v>#N/A</v>
      </c>
      <c r="DA2240" s="259" t="str">
        <f t="shared" ca="1" si="1811"/>
        <v/>
      </c>
      <c r="DB2240" s="259" t="str">
        <f t="shared" ca="1" si="1812"/>
        <v/>
      </c>
      <c r="DC2240" s="259" t="str">
        <f t="shared" ca="1" si="1806"/>
        <v/>
      </c>
      <c r="DD2240" s="259" t="str">
        <f t="shared" ca="1" si="1807"/>
        <v/>
      </c>
      <c r="DE2240" s="259" t="str">
        <f t="shared" ca="1" si="1808"/>
        <v/>
      </c>
      <c r="DF2240" s="259">
        <f ca="1">IF(AND(CX2240&gt;0,DB2240&lt;&gt;"",OR(DB2239&lt;&gt;"",DB2241&lt;&gt;"")),MAX($DF$2162:DF2239)+1,0)</f>
        <v>0</v>
      </c>
    </row>
    <row r="2241" spans="102:110">
      <c r="CX2241" s="259">
        <f t="shared" si="1809"/>
        <v>0</v>
      </c>
      <c r="CY2241" s="259" t="str">
        <f t="shared" ca="1" si="1805"/>
        <v/>
      </c>
      <c r="CZ2241" s="259" t="e">
        <f t="shared" ca="1" si="1810"/>
        <v>#N/A</v>
      </c>
      <c r="DA2241" s="259" t="str">
        <f t="shared" ca="1" si="1811"/>
        <v/>
      </c>
      <c r="DB2241" s="259" t="str">
        <f t="shared" ca="1" si="1812"/>
        <v/>
      </c>
      <c r="DC2241" s="259" t="str">
        <f t="shared" ca="1" si="1806"/>
        <v/>
      </c>
      <c r="DD2241" s="259" t="str">
        <f t="shared" ca="1" si="1807"/>
        <v/>
      </c>
      <c r="DE2241" s="259" t="str">
        <f t="shared" ca="1" si="1808"/>
        <v/>
      </c>
      <c r="DF2241" s="259">
        <f ca="1">IF(AND(CX2241&gt;0,DB2241&lt;&gt;"",OR(DB2240&lt;&gt;"",DB2242&lt;&gt;"")),MAX($DF$2162:DF2240)+1,0)</f>
        <v>0</v>
      </c>
    </row>
    <row r="2242" spans="102:110">
      <c r="CX2242" s="259">
        <f t="shared" si="1809"/>
        <v>0</v>
      </c>
      <c r="CY2242" s="259" t="str">
        <f t="shared" ca="1" si="1805"/>
        <v/>
      </c>
      <c r="CZ2242" s="259" t="e">
        <f t="shared" ca="1" si="1810"/>
        <v>#N/A</v>
      </c>
      <c r="DA2242" s="259" t="str">
        <f t="shared" ca="1" si="1811"/>
        <v/>
      </c>
      <c r="DB2242" s="259" t="str">
        <f t="shared" ca="1" si="1812"/>
        <v/>
      </c>
      <c r="DC2242" s="259" t="str">
        <f t="shared" ca="1" si="1806"/>
        <v/>
      </c>
      <c r="DD2242" s="259" t="str">
        <f t="shared" ca="1" si="1807"/>
        <v/>
      </c>
      <c r="DE2242" s="259" t="str">
        <f t="shared" ca="1" si="1808"/>
        <v/>
      </c>
      <c r="DF2242" s="259">
        <f ca="1">IF(AND(CX2242&gt;0,DB2242&lt;&gt;"",OR(DB2241&lt;&gt;"",DB2243&lt;&gt;"")),MAX($DF$2162:DF2241)+1,0)</f>
        <v>0</v>
      </c>
    </row>
    <row r="2243" spans="102:110">
      <c r="CX2243" s="259">
        <f t="shared" si="1809"/>
        <v>0</v>
      </c>
      <c r="CY2243" s="259" t="str">
        <f t="shared" ca="1" si="1805"/>
        <v/>
      </c>
      <c r="CZ2243" s="259" t="e">
        <f t="shared" ca="1" si="1810"/>
        <v>#N/A</v>
      </c>
      <c r="DA2243" s="259" t="str">
        <f t="shared" ca="1" si="1811"/>
        <v/>
      </c>
      <c r="DB2243" s="259" t="str">
        <f t="shared" ca="1" si="1812"/>
        <v/>
      </c>
      <c r="DC2243" s="259" t="str">
        <f t="shared" ca="1" si="1806"/>
        <v/>
      </c>
      <c r="DD2243" s="259" t="str">
        <f t="shared" ca="1" si="1807"/>
        <v/>
      </c>
      <c r="DE2243" s="259" t="str">
        <f t="shared" ca="1" si="1808"/>
        <v/>
      </c>
      <c r="DF2243" s="259">
        <f ca="1">IF(AND(CX2243&gt;0,DB2243&lt;&gt;"",OR(DB2242&lt;&gt;"",DB2244&lt;&gt;"")),MAX($DF$2162:DF2242)+1,0)</f>
        <v>0</v>
      </c>
    </row>
    <row r="2244" spans="102:110">
      <c r="CX2244" s="259">
        <f t="shared" si="1809"/>
        <v>0</v>
      </c>
      <c r="CY2244" s="259" t="str">
        <f t="shared" ca="1" si="1805"/>
        <v/>
      </c>
      <c r="CZ2244" s="259" t="e">
        <f t="shared" ca="1" si="1810"/>
        <v>#N/A</v>
      </c>
      <c r="DA2244" s="259" t="str">
        <f t="shared" ca="1" si="1811"/>
        <v/>
      </c>
      <c r="DB2244" s="259" t="str">
        <f t="shared" ca="1" si="1812"/>
        <v/>
      </c>
      <c r="DC2244" s="259" t="str">
        <f t="shared" ca="1" si="1806"/>
        <v/>
      </c>
      <c r="DD2244" s="259" t="str">
        <f t="shared" ca="1" si="1807"/>
        <v/>
      </c>
      <c r="DE2244" s="259" t="str">
        <f t="shared" ca="1" si="1808"/>
        <v/>
      </c>
      <c r="DF2244" s="259">
        <f ca="1">IF(AND(CX2244&gt;0,DB2244&lt;&gt;"",OR(DB2243&lt;&gt;"",DB2245&lt;&gt;"")),MAX($DF$2162:DF2243)+1,0)</f>
        <v>0</v>
      </c>
    </row>
    <row r="2245" spans="102:110">
      <c r="CX2245" s="259">
        <f t="shared" si="1809"/>
        <v>0</v>
      </c>
      <c r="CY2245" s="259" t="str">
        <f t="shared" ca="1" si="1805"/>
        <v/>
      </c>
      <c r="CZ2245" s="259" t="e">
        <f t="shared" ca="1" si="1810"/>
        <v>#N/A</v>
      </c>
      <c r="DA2245" s="259" t="str">
        <f t="shared" ca="1" si="1811"/>
        <v/>
      </c>
      <c r="DB2245" s="259" t="str">
        <f t="shared" ca="1" si="1812"/>
        <v/>
      </c>
      <c r="DC2245" s="259" t="str">
        <f t="shared" ca="1" si="1806"/>
        <v/>
      </c>
      <c r="DD2245" s="259" t="str">
        <f t="shared" ca="1" si="1807"/>
        <v/>
      </c>
      <c r="DE2245" s="259" t="str">
        <f t="shared" ca="1" si="1808"/>
        <v/>
      </c>
      <c r="DF2245" s="259">
        <f ca="1">IF(AND(CX2245&gt;0,DB2245&lt;&gt;"",OR(DB2244&lt;&gt;"",DB2246&lt;&gt;"")),MAX($DF$2162:DF2244)+1,0)</f>
        <v>0</v>
      </c>
    </row>
    <row r="2246" spans="102:110">
      <c r="CX2246" s="259">
        <f t="shared" si="1809"/>
        <v>0</v>
      </c>
      <c r="CY2246" s="259" t="str">
        <f t="shared" ref="CY2246:CY2277" ca="1" si="1813">IF(ISERROR(INDEX($CV$3:$CX$2300,MATCH(CX2246,$CW$3:$CW$2300,0),1)),"MASTRO",INDEX($CV$3:$CX$2300,MATCH(CX2246,$CW$3:$CW$2300,0),1))</f>
        <v/>
      </c>
      <c r="CZ2246" s="259" t="e">
        <f t="shared" ca="1" si="1810"/>
        <v>#N/A</v>
      </c>
      <c r="DA2246" s="259" t="str">
        <f t="shared" ca="1" si="1811"/>
        <v/>
      </c>
      <c r="DB2246" s="259" t="str">
        <f t="shared" ca="1" si="1812"/>
        <v/>
      </c>
      <c r="DC2246" s="259" t="str">
        <f t="shared" ca="1" si="1806"/>
        <v/>
      </c>
      <c r="DD2246" s="259" t="str">
        <f t="shared" ca="1" si="1807"/>
        <v/>
      </c>
      <c r="DE2246" s="259" t="str">
        <f t="shared" ca="1" si="1808"/>
        <v/>
      </c>
      <c r="DF2246" s="259">
        <f ca="1">IF(AND(CX2246&gt;0,DB2246&lt;&gt;"",OR(DB2245&lt;&gt;"",DB2247&lt;&gt;"")),MAX($DF$2162:DF2245)+1,0)</f>
        <v>0</v>
      </c>
    </row>
    <row r="2247" spans="102:110">
      <c r="CX2247" s="259">
        <f t="shared" si="1809"/>
        <v>0</v>
      </c>
      <c r="CY2247" s="259" t="str">
        <f t="shared" ca="1" si="1813"/>
        <v/>
      </c>
      <c r="CZ2247" s="259" t="e">
        <f t="shared" ca="1" si="1810"/>
        <v>#N/A</v>
      </c>
      <c r="DA2247" s="259" t="str">
        <f t="shared" ca="1" si="1811"/>
        <v/>
      </c>
      <c r="DB2247" s="259" t="str">
        <f t="shared" ca="1" si="1812"/>
        <v/>
      </c>
      <c r="DC2247" s="259" t="str">
        <f t="shared" ca="1" si="1806"/>
        <v/>
      </c>
      <c r="DD2247" s="259" t="str">
        <f t="shared" ca="1" si="1807"/>
        <v/>
      </c>
      <c r="DE2247" s="259" t="str">
        <f t="shared" ca="1" si="1808"/>
        <v/>
      </c>
      <c r="DF2247" s="259">
        <f ca="1">IF(AND(CX2247&gt;0,DB2247&lt;&gt;"",OR(DB2246&lt;&gt;"",DB2248&lt;&gt;"")),MAX($DF$2162:DF2246)+1,0)</f>
        <v>0</v>
      </c>
    </row>
    <row r="2248" spans="102:110">
      <c r="CX2248" s="259">
        <f t="shared" si="1809"/>
        <v>0</v>
      </c>
      <c r="CY2248" s="259" t="str">
        <f t="shared" ca="1" si="1813"/>
        <v/>
      </c>
      <c r="CZ2248" s="259" t="e">
        <f t="shared" ca="1" si="1810"/>
        <v>#N/A</v>
      </c>
      <c r="DA2248" s="259" t="str">
        <f t="shared" ca="1" si="1811"/>
        <v/>
      </c>
      <c r="DB2248" s="259" t="str">
        <f t="shared" ca="1" si="1812"/>
        <v/>
      </c>
      <c r="DC2248" s="259" t="str">
        <f t="shared" ca="1" si="1806"/>
        <v/>
      </c>
      <c r="DD2248" s="259" t="str">
        <f t="shared" ca="1" si="1807"/>
        <v/>
      </c>
      <c r="DE2248" s="259" t="str">
        <f t="shared" ca="1" si="1808"/>
        <v/>
      </c>
      <c r="DF2248" s="259">
        <f ca="1">IF(AND(CX2248&gt;0,DB2248&lt;&gt;"",OR(DB2247&lt;&gt;"",DB2249&lt;&gt;"")),MAX($DF$2162:DF2247)+1,0)</f>
        <v>0</v>
      </c>
    </row>
    <row r="2249" spans="102:110">
      <c r="CX2249" s="259">
        <f t="shared" si="1809"/>
        <v>0</v>
      </c>
      <c r="CY2249" s="259" t="str">
        <f t="shared" ca="1" si="1813"/>
        <v/>
      </c>
      <c r="CZ2249" s="259" t="e">
        <f t="shared" ref="CZ2249:CZ2300" ca="1" si="1814">SUM(MATCH($CY2249,INDIRECT(ADDRESS(SUM(CZ2248)+3,54)&amp;":"&amp;ADDRESS(400,54)),0),CZ2248)</f>
        <v>#N/A</v>
      </c>
      <c r="DA2249" s="259" t="str">
        <f t="shared" ca="1" si="1811"/>
        <v/>
      </c>
      <c r="DB2249" s="259" t="str">
        <f t="shared" ca="1" si="1812"/>
        <v/>
      </c>
      <c r="DC2249" s="259" t="str">
        <f t="shared" ca="1" si="1806"/>
        <v/>
      </c>
      <c r="DD2249" s="259" t="str">
        <f t="shared" ca="1" si="1807"/>
        <v/>
      </c>
      <c r="DE2249" s="259" t="str">
        <f t="shared" ca="1" si="1808"/>
        <v/>
      </c>
      <c r="DF2249" s="259">
        <f ca="1">IF(AND(CX2249&gt;0,DB2249&lt;&gt;"",OR(DB2248&lt;&gt;"",DB2250&lt;&gt;"")),MAX($DF$2162:DF2248)+1,0)</f>
        <v>0</v>
      </c>
    </row>
    <row r="2250" spans="102:110">
      <c r="CX2250" s="259">
        <f t="shared" si="1809"/>
        <v>0</v>
      </c>
      <c r="CY2250" s="259" t="str">
        <f t="shared" ca="1" si="1813"/>
        <v/>
      </c>
      <c r="CZ2250" s="259" t="e">
        <f t="shared" ca="1" si="1814"/>
        <v>#N/A</v>
      </c>
      <c r="DA2250" s="259" t="str">
        <f t="shared" ca="1" si="1811"/>
        <v/>
      </c>
      <c r="DB2250" s="259" t="str">
        <f t="shared" ca="1" si="1812"/>
        <v/>
      </c>
      <c r="DC2250" s="259" t="str">
        <f t="shared" ref="DC2250:DC2299" ca="1" si="1815">IF(IFERROR(INDEX(LIBRO_GIORNALE,CZ2250,4),"")=0,"manca la descrizione dell'operazione",IFERROR(INDEX(LIBRO_GIORNALE,CZ2250,4),""))</f>
        <v/>
      </c>
      <c r="DD2250" s="259" t="str">
        <f t="shared" ref="DD2250:DD2299" ca="1" si="1816">IFERROR(IF(INDEX(LIBRO_GIORNALE,CZ2250,5)&gt;0,INDEX(LIBRO_GIORNALE,CZ2250,5),""),"")</f>
        <v/>
      </c>
      <c r="DE2250" s="259" t="str">
        <f t="shared" ref="DE2250:DE2299" ca="1" si="1817">IFERROR(IF(INDEX(LIBRO_GIORNALE,CZ2250,6)&gt;0,INDEX(LIBRO_GIORNALE,CZ2250,6),""),"")</f>
        <v/>
      </c>
      <c r="DF2250" s="259">
        <f ca="1">IF(AND(CX2250&gt;0,DB2250&lt;&gt;"",OR(DB2249&lt;&gt;"",DB2251&lt;&gt;"")),MAX($DF$2162:DF2249)+1,0)</f>
        <v>0</v>
      </c>
    </row>
    <row r="2251" spans="102:110">
      <c r="CX2251" s="259">
        <f>CX2250</f>
        <v>0</v>
      </c>
      <c r="CY2251" s="259" t="str">
        <f t="shared" ca="1" si="1813"/>
        <v/>
      </c>
      <c r="CZ2251" s="259" t="e">
        <f t="shared" ca="1" si="1814"/>
        <v>#N/A</v>
      </c>
      <c r="DA2251" s="259" t="str">
        <f t="shared" ca="1" si="1811"/>
        <v/>
      </c>
      <c r="DB2251" s="259" t="str">
        <f t="shared" ca="1" si="1812"/>
        <v/>
      </c>
      <c r="DC2251" s="259" t="str">
        <f t="shared" ca="1" si="1815"/>
        <v/>
      </c>
      <c r="DD2251" s="259" t="str">
        <f t="shared" ca="1" si="1816"/>
        <v/>
      </c>
      <c r="DE2251" s="259" t="str">
        <f t="shared" ca="1" si="1817"/>
        <v/>
      </c>
      <c r="DF2251" s="259">
        <f ca="1">IF(AND(CX2251&gt;0,DB2251&lt;&gt;"",OR(DB2250&lt;&gt;"",DB2252&lt;&gt;"")),MAX($DF$2162:DF2250)+1,0)</f>
        <v>0</v>
      </c>
    </row>
    <row r="2252" spans="102:110">
      <c r="CX2252" s="259">
        <f t="shared" ref="CX2252:CX2300" si="1818">CX2251</f>
        <v>0</v>
      </c>
      <c r="CY2252" s="259" t="str">
        <f t="shared" ca="1" si="1813"/>
        <v/>
      </c>
      <c r="CZ2252" s="259" t="e">
        <f t="shared" ca="1" si="1814"/>
        <v>#N/A</v>
      </c>
      <c r="DA2252" s="259" t="str">
        <f t="shared" ca="1" si="1811"/>
        <v/>
      </c>
      <c r="DB2252" s="259" t="str">
        <f t="shared" ca="1" si="1812"/>
        <v/>
      </c>
      <c r="DC2252" s="259" t="str">
        <f t="shared" ca="1" si="1815"/>
        <v/>
      </c>
      <c r="DD2252" s="259" t="str">
        <f t="shared" ca="1" si="1816"/>
        <v/>
      </c>
      <c r="DE2252" s="259" t="str">
        <f t="shared" ca="1" si="1817"/>
        <v/>
      </c>
      <c r="DF2252" s="259">
        <f ca="1">IF(AND(CX2252&gt;0,DB2252&lt;&gt;"",OR(DB2251&lt;&gt;"",DB2253&lt;&gt;"")),MAX($DF$2162:DF2251)+1,0)</f>
        <v>0</v>
      </c>
    </row>
    <row r="2253" spans="102:110">
      <c r="CX2253" s="259">
        <f t="shared" si="1818"/>
        <v>0</v>
      </c>
      <c r="CY2253" s="259" t="str">
        <f t="shared" ca="1" si="1813"/>
        <v/>
      </c>
      <c r="CZ2253" s="259" t="e">
        <f t="shared" ca="1" si="1814"/>
        <v>#N/A</v>
      </c>
      <c r="DA2253" s="259" t="str">
        <f t="shared" ca="1" si="1811"/>
        <v/>
      </c>
      <c r="DB2253" s="259" t="str">
        <f t="shared" ca="1" si="1812"/>
        <v/>
      </c>
      <c r="DC2253" s="259" t="str">
        <f t="shared" ca="1" si="1815"/>
        <v/>
      </c>
      <c r="DD2253" s="259" t="str">
        <f t="shared" ca="1" si="1816"/>
        <v/>
      </c>
      <c r="DE2253" s="259" t="str">
        <f t="shared" ca="1" si="1817"/>
        <v/>
      </c>
      <c r="DF2253" s="259">
        <f ca="1">IF(AND(CX2253&gt;0,DB2253&lt;&gt;"",OR(DB2252&lt;&gt;"",DB2254&lt;&gt;"")),MAX($DF$2162:DF2252)+1,0)</f>
        <v>0</v>
      </c>
    </row>
    <row r="2254" spans="102:110">
      <c r="CX2254" s="259">
        <f t="shared" si="1818"/>
        <v>0</v>
      </c>
      <c r="CY2254" s="259" t="str">
        <f t="shared" ca="1" si="1813"/>
        <v/>
      </c>
      <c r="CZ2254" s="259" t="e">
        <f t="shared" ca="1" si="1814"/>
        <v>#N/A</v>
      </c>
      <c r="DA2254" s="259" t="str">
        <f t="shared" ca="1" si="1811"/>
        <v/>
      </c>
      <c r="DB2254" s="259" t="str">
        <f t="shared" ca="1" si="1812"/>
        <v/>
      </c>
      <c r="DC2254" s="259" t="str">
        <f t="shared" ca="1" si="1815"/>
        <v/>
      </c>
      <c r="DD2254" s="259" t="str">
        <f t="shared" ca="1" si="1816"/>
        <v/>
      </c>
      <c r="DE2254" s="259" t="str">
        <f t="shared" ca="1" si="1817"/>
        <v/>
      </c>
      <c r="DF2254" s="259">
        <f ca="1">IF(AND(CX2254&gt;0,DB2254&lt;&gt;"",OR(DB2253&lt;&gt;"",DB2255&lt;&gt;"")),MAX($DF$2162:DF2253)+1,0)</f>
        <v>0</v>
      </c>
    </row>
    <row r="2255" spans="102:110">
      <c r="CX2255" s="259">
        <f t="shared" si="1818"/>
        <v>0</v>
      </c>
      <c r="CY2255" s="259" t="str">
        <f t="shared" ca="1" si="1813"/>
        <v/>
      </c>
      <c r="CZ2255" s="259" t="e">
        <f t="shared" ca="1" si="1814"/>
        <v>#N/A</v>
      </c>
      <c r="DA2255" s="259" t="str">
        <f t="shared" ca="1" si="1811"/>
        <v/>
      </c>
      <c r="DB2255" s="259" t="str">
        <f t="shared" ca="1" si="1812"/>
        <v/>
      </c>
      <c r="DC2255" s="259" t="str">
        <f t="shared" ca="1" si="1815"/>
        <v/>
      </c>
      <c r="DD2255" s="259" t="str">
        <f t="shared" ca="1" si="1816"/>
        <v/>
      </c>
      <c r="DE2255" s="259" t="str">
        <f t="shared" ca="1" si="1817"/>
        <v/>
      </c>
      <c r="DF2255" s="259">
        <f ca="1">IF(AND(CX2255&gt;0,DB2255&lt;&gt;"",OR(DB2254&lt;&gt;"",DB2256&lt;&gt;"")),MAX($DF$2162:DF2254)+1,0)</f>
        <v>0</v>
      </c>
    </row>
    <row r="2256" spans="102:110">
      <c r="CX2256" s="259">
        <f t="shared" si="1818"/>
        <v>0</v>
      </c>
      <c r="CY2256" s="259" t="str">
        <f t="shared" ca="1" si="1813"/>
        <v/>
      </c>
      <c r="CZ2256" s="259" t="e">
        <f t="shared" ca="1" si="1814"/>
        <v>#N/A</v>
      </c>
      <c r="DA2256" s="259" t="str">
        <f t="shared" ca="1" si="1811"/>
        <v/>
      </c>
      <c r="DB2256" s="259" t="str">
        <f t="shared" ca="1" si="1812"/>
        <v/>
      </c>
      <c r="DC2256" s="259" t="str">
        <f t="shared" ca="1" si="1815"/>
        <v/>
      </c>
      <c r="DD2256" s="259" t="str">
        <f t="shared" ca="1" si="1816"/>
        <v/>
      </c>
      <c r="DE2256" s="259" t="str">
        <f t="shared" ca="1" si="1817"/>
        <v/>
      </c>
      <c r="DF2256" s="259">
        <f ca="1">IF(AND(CX2256&gt;0,DB2256&lt;&gt;"",OR(DB2255&lt;&gt;"",DB2257&lt;&gt;"")),MAX($DF$2162:DF2255)+1,0)</f>
        <v>0</v>
      </c>
    </row>
    <row r="2257" spans="102:110">
      <c r="CX2257" s="259">
        <f t="shared" si="1818"/>
        <v>0</v>
      </c>
      <c r="CY2257" s="259" t="str">
        <f t="shared" ca="1" si="1813"/>
        <v/>
      </c>
      <c r="CZ2257" s="259" t="e">
        <f t="shared" ca="1" si="1814"/>
        <v>#N/A</v>
      </c>
      <c r="DA2257" s="259" t="str">
        <f t="shared" ca="1" si="1811"/>
        <v/>
      </c>
      <c r="DB2257" s="259" t="str">
        <f t="shared" ca="1" si="1812"/>
        <v/>
      </c>
      <c r="DC2257" s="259" t="str">
        <f t="shared" ca="1" si="1815"/>
        <v/>
      </c>
      <c r="DD2257" s="259" t="str">
        <f t="shared" ca="1" si="1816"/>
        <v/>
      </c>
      <c r="DE2257" s="259" t="str">
        <f t="shared" ca="1" si="1817"/>
        <v/>
      </c>
      <c r="DF2257" s="259">
        <f ca="1">IF(AND(CX2257&gt;0,DB2257&lt;&gt;"",OR(DB2256&lt;&gt;"",DB2258&lt;&gt;"")),MAX($DF$2162:DF2256)+1,0)</f>
        <v>0</v>
      </c>
    </row>
    <row r="2258" spans="102:110">
      <c r="CX2258" s="259">
        <f t="shared" si="1818"/>
        <v>0</v>
      </c>
      <c r="CY2258" s="259" t="str">
        <f t="shared" ca="1" si="1813"/>
        <v/>
      </c>
      <c r="CZ2258" s="259" t="e">
        <f t="shared" ca="1" si="1814"/>
        <v>#N/A</v>
      </c>
      <c r="DA2258" s="259" t="str">
        <f t="shared" ca="1" si="1811"/>
        <v/>
      </c>
      <c r="DB2258" s="259" t="str">
        <f t="shared" ca="1" si="1812"/>
        <v/>
      </c>
      <c r="DC2258" s="259" t="str">
        <f t="shared" ca="1" si="1815"/>
        <v/>
      </c>
      <c r="DD2258" s="259" t="str">
        <f t="shared" ca="1" si="1816"/>
        <v/>
      </c>
      <c r="DE2258" s="259" t="str">
        <f t="shared" ca="1" si="1817"/>
        <v/>
      </c>
      <c r="DF2258" s="259">
        <f ca="1">IF(AND(CX2258&gt;0,DB2258&lt;&gt;"",OR(DB2257&lt;&gt;"",DB2259&lt;&gt;"")),MAX($DF$2162:DF2257)+1,0)</f>
        <v>0</v>
      </c>
    </row>
    <row r="2259" spans="102:110">
      <c r="CX2259" s="259">
        <f t="shared" si="1818"/>
        <v>0</v>
      </c>
      <c r="CY2259" s="259" t="str">
        <f t="shared" ca="1" si="1813"/>
        <v/>
      </c>
      <c r="CZ2259" s="259" t="e">
        <f t="shared" ca="1" si="1814"/>
        <v>#N/A</v>
      </c>
      <c r="DA2259" s="259" t="str">
        <f t="shared" ca="1" si="1811"/>
        <v/>
      </c>
      <c r="DB2259" s="259" t="str">
        <f t="shared" ca="1" si="1812"/>
        <v/>
      </c>
      <c r="DC2259" s="259" t="str">
        <f t="shared" ca="1" si="1815"/>
        <v/>
      </c>
      <c r="DD2259" s="259" t="str">
        <f t="shared" ca="1" si="1816"/>
        <v/>
      </c>
      <c r="DE2259" s="259" t="str">
        <f t="shared" ca="1" si="1817"/>
        <v/>
      </c>
      <c r="DF2259" s="259">
        <f ca="1">IF(AND(CX2259&gt;0,DB2259&lt;&gt;"",OR(DB2258&lt;&gt;"",DB2260&lt;&gt;"")),MAX($DF$2162:DF2258)+1,0)</f>
        <v>0</v>
      </c>
    </row>
    <row r="2260" spans="102:110">
      <c r="CX2260" s="259">
        <f t="shared" si="1818"/>
        <v>0</v>
      </c>
      <c r="CY2260" s="259" t="str">
        <f t="shared" ca="1" si="1813"/>
        <v/>
      </c>
      <c r="CZ2260" s="259" t="e">
        <f t="shared" ca="1" si="1814"/>
        <v>#N/A</v>
      </c>
      <c r="DA2260" s="259" t="str">
        <f t="shared" ca="1" si="1811"/>
        <v/>
      </c>
      <c r="DB2260" s="259" t="str">
        <f t="shared" ca="1" si="1812"/>
        <v/>
      </c>
      <c r="DC2260" s="259" t="str">
        <f t="shared" ca="1" si="1815"/>
        <v/>
      </c>
      <c r="DD2260" s="259" t="str">
        <f t="shared" ca="1" si="1816"/>
        <v/>
      </c>
      <c r="DE2260" s="259" t="str">
        <f t="shared" ca="1" si="1817"/>
        <v/>
      </c>
      <c r="DF2260" s="259">
        <f ca="1">IF(AND(CX2260&gt;0,DB2260&lt;&gt;"",OR(DB2259&lt;&gt;"",DB2261&lt;&gt;"")),MAX($DF$2162:DF2259)+1,0)</f>
        <v>0</v>
      </c>
    </row>
    <row r="2261" spans="102:110">
      <c r="CX2261" s="259">
        <f t="shared" si="1818"/>
        <v>0</v>
      </c>
      <c r="CY2261" s="259" t="str">
        <f t="shared" ca="1" si="1813"/>
        <v/>
      </c>
      <c r="CZ2261" s="259" t="e">
        <f t="shared" ca="1" si="1814"/>
        <v>#N/A</v>
      </c>
      <c r="DA2261" s="259" t="str">
        <f t="shared" ref="DA2261:DA2292" ca="1" si="1819">IFERROR(INDEX(LIBRO_GIORNALE,CZ2261,1),"")</f>
        <v/>
      </c>
      <c r="DB2261" s="259" t="str">
        <f t="shared" ref="DB2261:DB2292" ca="1" si="1820">IF(RIGHT(TEXT(IFERROR(INDEX(LIBRO_GIORNALE,CZ2261,2),""),"gg/mm/aa"),1)="a",TEXT(IFERROR(INDEX(LIBRO_GIORNALE,CZ2261,2),""),"dd/mm/yy"),TEXT(IFERROR(INDEX(LIBRO_GIORNALE,CZ2261,2),""),"gg/mm/aa"))</f>
        <v/>
      </c>
      <c r="DC2261" s="259" t="str">
        <f t="shared" ca="1" si="1815"/>
        <v/>
      </c>
      <c r="DD2261" s="259" t="str">
        <f t="shared" ca="1" si="1816"/>
        <v/>
      </c>
      <c r="DE2261" s="259" t="str">
        <f t="shared" ca="1" si="1817"/>
        <v/>
      </c>
      <c r="DF2261" s="259">
        <f ca="1">IF(AND(CX2261&gt;0,DB2261&lt;&gt;"",OR(DB2260&lt;&gt;"",DB2262&lt;&gt;"")),MAX($DF$2162:DF2260)+1,0)</f>
        <v>0</v>
      </c>
    </row>
    <row r="2262" spans="102:110">
      <c r="CX2262" s="259">
        <f t="shared" si="1818"/>
        <v>0</v>
      </c>
      <c r="CY2262" s="259" t="str">
        <f t="shared" ca="1" si="1813"/>
        <v/>
      </c>
      <c r="CZ2262" s="259" t="e">
        <f t="shared" ca="1" si="1814"/>
        <v>#N/A</v>
      </c>
      <c r="DA2262" s="259" t="str">
        <f t="shared" ca="1" si="1819"/>
        <v/>
      </c>
      <c r="DB2262" s="259" t="str">
        <f t="shared" ca="1" si="1820"/>
        <v/>
      </c>
      <c r="DC2262" s="259" t="str">
        <f t="shared" ca="1" si="1815"/>
        <v/>
      </c>
      <c r="DD2262" s="259" t="str">
        <f t="shared" ca="1" si="1816"/>
        <v/>
      </c>
      <c r="DE2262" s="259" t="str">
        <f t="shared" ca="1" si="1817"/>
        <v/>
      </c>
      <c r="DF2262" s="259">
        <f ca="1">IF(AND(CX2262&gt;0,DB2262&lt;&gt;"",OR(DB2261&lt;&gt;"",DB2263&lt;&gt;"")),MAX($DF$2162:DF2261)+1,0)</f>
        <v>0</v>
      </c>
    </row>
    <row r="2263" spans="102:110">
      <c r="CX2263" s="259">
        <f t="shared" si="1818"/>
        <v>0</v>
      </c>
      <c r="CY2263" s="259" t="str">
        <f t="shared" ca="1" si="1813"/>
        <v/>
      </c>
      <c r="CZ2263" s="259" t="e">
        <f t="shared" ca="1" si="1814"/>
        <v>#N/A</v>
      </c>
      <c r="DA2263" s="259" t="str">
        <f t="shared" ca="1" si="1819"/>
        <v/>
      </c>
      <c r="DB2263" s="259" t="str">
        <f t="shared" ca="1" si="1820"/>
        <v/>
      </c>
      <c r="DC2263" s="259" t="str">
        <f t="shared" ca="1" si="1815"/>
        <v/>
      </c>
      <c r="DD2263" s="259" t="str">
        <f t="shared" ca="1" si="1816"/>
        <v/>
      </c>
      <c r="DE2263" s="259" t="str">
        <f t="shared" ca="1" si="1817"/>
        <v/>
      </c>
      <c r="DF2263" s="259">
        <f ca="1">IF(AND(CX2263&gt;0,DB2263&lt;&gt;"",OR(DB2262&lt;&gt;"",DB2264&lt;&gt;"")),MAX($DF$2162:DF2262)+1,0)</f>
        <v>0</v>
      </c>
    </row>
    <row r="2264" spans="102:110">
      <c r="CX2264" s="259">
        <f t="shared" si="1818"/>
        <v>0</v>
      </c>
      <c r="CY2264" s="259" t="str">
        <f t="shared" ca="1" si="1813"/>
        <v/>
      </c>
      <c r="CZ2264" s="259" t="e">
        <f t="shared" ca="1" si="1814"/>
        <v>#N/A</v>
      </c>
      <c r="DA2264" s="259" t="str">
        <f t="shared" ca="1" si="1819"/>
        <v/>
      </c>
      <c r="DB2264" s="259" t="str">
        <f t="shared" ca="1" si="1820"/>
        <v/>
      </c>
      <c r="DC2264" s="259" t="str">
        <f t="shared" ca="1" si="1815"/>
        <v/>
      </c>
      <c r="DD2264" s="259" t="str">
        <f t="shared" ca="1" si="1816"/>
        <v/>
      </c>
      <c r="DE2264" s="259" t="str">
        <f t="shared" ca="1" si="1817"/>
        <v/>
      </c>
      <c r="DF2264" s="259">
        <f ca="1">IF(AND(CX2264&gt;0,DB2264&lt;&gt;"",OR(DB2263&lt;&gt;"",DB2265&lt;&gt;"")),MAX($DF$2162:DF2263)+1,0)</f>
        <v>0</v>
      </c>
    </row>
    <row r="2265" spans="102:110">
      <c r="CX2265" s="259">
        <f t="shared" si="1818"/>
        <v>0</v>
      </c>
      <c r="CY2265" s="259" t="str">
        <f t="shared" ca="1" si="1813"/>
        <v/>
      </c>
      <c r="CZ2265" s="259" t="e">
        <f t="shared" ca="1" si="1814"/>
        <v>#N/A</v>
      </c>
      <c r="DA2265" s="259" t="str">
        <f t="shared" ca="1" si="1819"/>
        <v/>
      </c>
      <c r="DB2265" s="259" t="str">
        <f t="shared" ca="1" si="1820"/>
        <v/>
      </c>
      <c r="DC2265" s="259" t="str">
        <f t="shared" ca="1" si="1815"/>
        <v/>
      </c>
      <c r="DD2265" s="259" t="str">
        <f t="shared" ca="1" si="1816"/>
        <v/>
      </c>
      <c r="DE2265" s="259" t="str">
        <f t="shared" ca="1" si="1817"/>
        <v/>
      </c>
      <c r="DF2265" s="259">
        <f ca="1">IF(AND(CX2265&gt;0,DB2265&lt;&gt;"",OR(DB2264&lt;&gt;"",DB2266&lt;&gt;"")),MAX($DF$2162:DF2264)+1,0)</f>
        <v>0</v>
      </c>
    </row>
    <row r="2266" spans="102:110">
      <c r="CX2266" s="259">
        <f t="shared" si="1818"/>
        <v>0</v>
      </c>
      <c r="CY2266" s="259" t="str">
        <f t="shared" ca="1" si="1813"/>
        <v/>
      </c>
      <c r="CZ2266" s="259" t="e">
        <f t="shared" ca="1" si="1814"/>
        <v>#N/A</v>
      </c>
      <c r="DA2266" s="259" t="str">
        <f t="shared" ca="1" si="1819"/>
        <v/>
      </c>
      <c r="DB2266" s="259" t="str">
        <f t="shared" ca="1" si="1820"/>
        <v/>
      </c>
      <c r="DC2266" s="259" t="str">
        <f t="shared" ca="1" si="1815"/>
        <v/>
      </c>
      <c r="DD2266" s="259" t="str">
        <f t="shared" ca="1" si="1816"/>
        <v/>
      </c>
      <c r="DE2266" s="259" t="str">
        <f t="shared" ca="1" si="1817"/>
        <v/>
      </c>
      <c r="DF2266" s="259">
        <f ca="1">IF(AND(CX2266&gt;0,DB2266&lt;&gt;"",OR(DB2265&lt;&gt;"",DB2267&lt;&gt;"")),MAX($DF$2162:DF2265)+1,0)</f>
        <v>0</v>
      </c>
    </row>
    <row r="2267" spans="102:110">
      <c r="CX2267" s="259">
        <f t="shared" si="1818"/>
        <v>0</v>
      </c>
      <c r="CY2267" s="259" t="str">
        <f t="shared" ca="1" si="1813"/>
        <v/>
      </c>
      <c r="CZ2267" s="259" t="e">
        <f t="shared" ca="1" si="1814"/>
        <v>#N/A</v>
      </c>
      <c r="DA2267" s="259" t="str">
        <f t="shared" ca="1" si="1819"/>
        <v/>
      </c>
      <c r="DB2267" s="259" t="str">
        <f t="shared" ca="1" si="1820"/>
        <v/>
      </c>
      <c r="DC2267" s="259" t="str">
        <f t="shared" ca="1" si="1815"/>
        <v/>
      </c>
      <c r="DD2267" s="259" t="str">
        <f t="shared" ca="1" si="1816"/>
        <v/>
      </c>
      <c r="DE2267" s="259" t="str">
        <f t="shared" ca="1" si="1817"/>
        <v/>
      </c>
      <c r="DF2267" s="259">
        <f ca="1">IF(AND(CX2267&gt;0,DB2267&lt;&gt;"",OR(DB2266&lt;&gt;"",DB2268&lt;&gt;"")),MAX($DF$2162:DF2266)+1,0)</f>
        <v>0</v>
      </c>
    </row>
    <row r="2268" spans="102:110">
      <c r="CX2268" s="259">
        <f t="shared" si="1818"/>
        <v>0</v>
      </c>
      <c r="CY2268" s="259" t="str">
        <f t="shared" ca="1" si="1813"/>
        <v/>
      </c>
      <c r="CZ2268" s="259" t="e">
        <f t="shared" ca="1" si="1814"/>
        <v>#N/A</v>
      </c>
      <c r="DA2268" s="259" t="str">
        <f t="shared" ca="1" si="1819"/>
        <v/>
      </c>
      <c r="DB2268" s="259" t="str">
        <f t="shared" ca="1" si="1820"/>
        <v/>
      </c>
      <c r="DC2268" s="259" t="str">
        <f t="shared" ca="1" si="1815"/>
        <v/>
      </c>
      <c r="DD2268" s="259" t="str">
        <f t="shared" ca="1" si="1816"/>
        <v/>
      </c>
      <c r="DE2268" s="259" t="str">
        <f t="shared" ca="1" si="1817"/>
        <v/>
      </c>
      <c r="DF2268" s="259">
        <f ca="1">IF(AND(CX2268&gt;0,DB2268&lt;&gt;"",OR(DB2267&lt;&gt;"",DB2269&lt;&gt;"")),MAX($DF$2162:DF2267)+1,0)</f>
        <v>0</v>
      </c>
    </row>
    <row r="2269" spans="102:110">
      <c r="CX2269" s="259">
        <f t="shared" si="1818"/>
        <v>0</v>
      </c>
      <c r="CY2269" s="259" t="str">
        <f t="shared" ca="1" si="1813"/>
        <v/>
      </c>
      <c r="CZ2269" s="259" t="e">
        <f t="shared" ca="1" si="1814"/>
        <v>#N/A</v>
      </c>
      <c r="DA2269" s="259" t="str">
        <f t="shared" ca="1" si="1819"/>
        <v/>
      </c>
      <c r="DB2269" s="259" t="str">
        <f t="shared" ca="1" si="1820"/>
        <v/>
      </c>
      <c r="DC2269" s="259" t="str">
        <f t="shared" ca="1" si="1815"/>
        <v/>
      </c>
      <c r="DD2269" s="259" t="str">
        <f t="shared" ca="1" si="1816"/>
        <v/>
      </c>
      <c r="DE2269" s="259" t="str">
        <f t="shared" ca="1" si="1817"/>
        <v/>
      </c>
      <c r="DF2269" s="259">
        <f ca="1">IF(AND(CX2269&gt;0,DB2269&lt;&gt;"",OR(DB2268&lt;&gt;"",DB2270&lt;&gt;"")),MAX($DF$2162:DF2268)+1,0)</f>
        <v>0</v>
      </c>
    </row>
    <row r="2270" spans="102:110">
      <c r="CX2270" s="259">
        <f t="shared" si="1818"/>
        <v>0</v>
      </c>
      <c r="CY2270" s="259" t="str">
        <f t="shared" ca="1" si="1813"/>
        <v/>
      </c>
      <c r="CZ2270" s="259" t="e">
        <f t="shared" ca="1" si="1814"/>
        <v>#N/A</v>
      </c>
      <c r="DA2270" s="259" t="str">
        <f t="shared" ca="1" si="1819"/>
        <v/>
      </c>
      <c r="DB2270" s="259" t="str">
        <f t="shared" ca="1" si="1820"/>
        <v/>
      </c>
      <c r="DC2270" s="259" t="str">
        <f t="shared" ca="1" si="1815"/>
        <v/>
      </c>
      <c r="DD2270" s="259" t="str">
        <f t="shared" ca="1" si="1816"/>
        <v/>
      </c>
      <c r="DE2270" s="259" t="str">
        <f t="shared" ca="1" si="1817"/>
        <v/>
      </c>
      <c r="DF2270" s="259">
        <f ca="1">IF(AND(CX2270&gt;0,DB2270&lt;&gt;"",OR(DB2269&lt;&gt;"",DB2271&lt;&gt;"")),MAX($DF$2162:DF2269)+1,0)</f>
        <v>0</v>
      </c>
    </row>
    <row r="2271" spans="102:110">
      <c r="CX2271" s="259">
        <f t="shared" si="1818"/>
        <v>0</v>
      </c>
      <c r="CY2271" s="259" t="str">
        <f t="shared" ca="1" si="1813"/>
        <v/>
      </c>
      <c r="CZ2271" s="259" t="e">
        <f t="shared" ca="1" si="1814"/>
        <v>#N/A</v>
      </c>
      <c r="DA2271" s="259" t="str">
        <f t="shared" ca="1" si="1819"/>
        <v/>
      </c>
      <c r="DB2271" s="259" t="str">
        <f t="shared" ca="1" si="1820"/>
        <v/>
      </c>
      <c r="DC2271" s="259" t="str">
        <f t="shared" ca="1" si="1815"/>
        <v/>
      </c>
      <c r="DD2271" s="259" t="str">
        <f t="shared" ca="1" si="1816"/>
        <v/>
      </c>
      <c r="DE2271" s="259" t="str">
        <f t="shared" ca="1" si="1817"/>
        <v/>
      </c>
      <c r="DF2271" s="259">
        <f ca="1">IF(AND(CX2271&gt;0,DB2271&lt;&gt;"",OR(DB2270&lt;&gt;"",DB2272&lt;&gt;"")),MAX($DF$2162:DF2270)+1,0)</f>
        <v>0</v>
      </c>
    </row>
    <row r="2272" spans="102:110">
      <c r="CX2272" s="259">
        <f t="shared" si="1818"/>
        <v>0</v>
      </c>
      <c r="CY2272" s="259" t="str">
        <f t="shared" ca="1" si="1813"/>
        <v/>
      </c>
      <c r="CZ2272" s="259" t="e">
        <f t="shared" ca="1" si="1814"/>
        <v>#N/A</v>
      </c>
      <c r="DA2272" s="259" t="str">
        <f t="shared" ca="1" si="1819"/>
        <v/>
      </c>
      <c r="DB2272" s="259" t="str">
        <f t="shared" ca="1" si="1820"/>
        <v/>
      </c>
      <c r="DC2272" s="259" t="str">
        <f t="shared" ca="1" si="1815"/>
        <v/>
      </c>
      <c r="DD2272" s="259" t="str">
        <f t="shared" ca="1" si="1816"/>
        <v/>
      </c>
      <c r="DE2272" s="259" t="str">
        <f t="shared" ca="1" si="1817"/>
        <v/>
      </c>
      <c r="DF2272" s="259">
        <f ca="1">IF(AND(CX2272&gt;0,DB2272&lt;&gt;"",OR(DB2271&lt;&gt;"",DB2273&lt;&gt;"")),MAX($DF$2162:DF2271)+1,0)</f>
        <v>0</v>
      </c>
    </row>
    <row r="2273" spans="102:110">
      <c r="CX2273" s="259">
        <f t="shared" si="1818"/>
        <v>0</v>
      </c>
      <c r="CY2273" s="259" t="str">
        <f t="shared" ca="1" si="1813"/>
        <v/>
      </c>
      <c r="CZ2273" s="259" t="e">
        <f t="shared" ca="1" si="1814"/>
        <v>#N/A</v>
      </c>
      <c r="DA2273" s="259" t="str">
        <f t="shared" ca="1" si="1819"/>
        <v/>
      </c>
      <c r="DB2273" s="259" t="str">
        <f t="shared" ca="1" si="1820"/>
        <v/>
      </c>
      <c r="DC2273" s="259" t="str">
        <f t="shared" ca="1" si="1815"/>
        <v/>
      </c>
      <c r="DD2273" s="259" t="str">
        <f t="shared" ca="1" si="1816"/>
        <v/>
      </c>
      <c r="DE2273" s="259" t="str">
        <f t="shared" ca="1" si="1817"/>
        <v/>
      </c>
      <c r="DF2273" s="259">
        <f ca="1">IF(AND(CX2273&gt;0,DB2273&lt;&gt;"",OR(DB2272&lt;&gt;"",DB2274&lt;&gt;"")),MAX($DF$2162:DF2272)+1,0)</f>
        <v>0</v>
      </c>
    </row>
    <row r="2274" spans="102:110">
      <c r="CX2274" s="259">
        <f t="shared" si="1818"/>
        <v>0</v>
      </c>
      <c r="CY2274" s="259" t="str">
        <f t="shared" ca="1" si="1813"/>
        <v/>
      </c>
      <c r="CZ2274" s="259" t="e">
        <f t="shared" ca="1" si="1814"/>
        <v>#N/A</v>
      </c>
      <c r="DA2274" s="259" t="str">
        <f t="shared" ca="1" si="1819"/>
        <v/>
      </c>
      <c r="DB2274" s="259" t="str">
        <f t="shared" ca="1" si="1820"/>
        <v/>
      </c>
      <c r="DC2274" s="259" t="str">
        <f t="shared" ca="1" si="1815"/>
        <v/>
      </c>
      <c r="DD2274" s="259" t="str">
        <f t="shared" ca="1" si="1816"/>
        <v/>
      </c>
      <c r="DE2274" s="259" t="str">
        <f t="shared" ca="1" si="1817"/>
        <v/>
      </c>
      <c r="DF2274" s="259">
        <f ca="1">IF(AND(CX2274&gt;0,DB2274&lt;&gt;"",OR(DB2273&lt;&gt;"",DB2275&lt;&gt;"")),MAX($DF$2162:DF2273)+1,0)</f>
        <v>0</v>
      </c>
    </row>
    <row r="2275" spans="102:110">
      <c r="CX2275" s="259">
        <f t="shared" si="1818"/>
        <v>0</v>
      </c>
      <c r="CY2275" s="259" t="str">
        <f t="shared" ca="1" si="1813"/>
        <v/>
      </c>
      <c r="CZ2275" s="259" t="e">
        <f t="shared" ca="1" si="1814"/>
        <v>#N/A</v>
      </c>
      <c r="DA2275" s="259" t="str">
        <f t="shared" ca="1" si="1819"/>
        <v/>
      </c>
      <c r="DB2275" s="259" t="str">
        <f t="shared" ca="1" si="1820"/>
        <v/>
      </c>
      <c r="DC2275" s="259" t="str">
        <f t="shared" ca="1" si="1815"/>
        <v/>
      </c>
      <c r="DD2275" s="259" t="str">
        <f t="shared" ca="1" si="1816"/>
        <v/>
      </c>
      <c r="DE2275" s="259" t="str">
        <f t="shared" ca="1" si="1817"/>
        <v/>
      </c>
      <c r="DF2275" s="259">
        <f ca="1">IF(AND(CX2275&gt;0,DB2275&lt;&gt;"",OR(DB2274&lt;&gt;"",DB2276&lt;&gt;"")),MAX($DF$2162:DF2274)+1,0)</f>
        <v>0</v>
      </c>
    </row>
    <row r="2276" spans="102:110">
      <c r="CX2276" s="259">
        <f t="shared" si="1818"/>
        <v>0</v>
      </c>
      <c r="CY2276" s="259" t="str">
        <f t="shared" ca="1" si="1813"/>
        <v/>
      </c>
      <c r="CZ2276" s="259" t="e">
        <f t="shared" ca="1" si="1814"/>
        <v>#N/A</v>
      </c>
      <c r="DA2276" s="259" t="str">
        <f t="shared" ca="1" si="1819"/>
        <v/>
      </c>
      <c r="DB2276" s="259" t="str">
        <f t="shared" ca="1" si="1820"/>
        <v/>
      </c>
      <c r="DC2276" s="259" t="str">
        <f t="shared" ca="1" si="1815"/>
        <v/>
      </c>
      <c r="DD2276" s="259" t="str">
        <f t="shared" ca="1" si="1816"/>
        <v/>
      </c>
      <c r="DE2276" s="259" t="str">
        <f t="shared" ca="1" si="1817"/>
        <v/>
      </c>
      <c r="DF2276" s="259">
        <f ca="1">IF(AND(CX2276&gt;0,DB2276&lt;&gt;"",OR(DB2275&lt;&gt;"",DB2277&lt;&gt;"")),MAX($DF$2162:DF2275)+1,0)</f>
        <v>0</v>
      </c>
    </row>
    <row r="2277" spans="102:110">
      <c r="CX2277" s="259">
        <f t="shared" si="1818"/>
        <v>0</v>
      </c>
      <c r="CY2277" s="259" t="str">
        <f t="shared" ca="1" si="1813"/>
        <v/>
      </c>
      <c r="CZ2277" s="259" t="e">
        <f t="shared" ca="1" si="1814"/>
        <v>#N/A</v>
      </c>
      <c r="DA2277" s="259" t="str">
        <f t="shared" ca="1" si="1819"/>
        <v/>
      </c>
      <c r="DB2277" s="259" t="str">
        <f t="shared" ca="1" si="1820"/>
        <v/>
      </c>
      <c r="DC2277" s="259" t="str">
        <f t="shared" ca="1" si="1815"/>
        <v/>
      </c>
      <c r="DD2277" s="259" t="str">
        <f t="shared" ca="1" si="1816"/>
        <v/>
      </c>
      <c r="DE2277" s="259" t="str">
        <f t="shared" ca="1" si="1817"/>
        <v/>
      </c>
      <c r="DF2277" s="259">
        <f ca="1">IF(AND(CX2277&gt;0,DB2277&lt;&gt;"",OR(DB2276&lt;&gt;"",DB2278&lt;&gt;"")),MAX($DF$2162:DF2276)+1,0)</f>
        <v>0</v>
      </c>
    </row>
    <row r="2278" spans="102:110">
      <c r="CX2278" s="259">
        <f t="shared" si="1818"/>
        <v>0</v>
      </c>
      <c r="CY2278" s="259" t="str">
        <f t="shared" ref="CY2278:CY2300" ca="1" si="1821">IF(ISERROR(INDEX($CV$3:$CX$2300,MATCH(CX2278,$CW$3:$CW$2300,0),1)),"MASTRO",INDEX($CV$3:$CX$2300,MATCH(CX2278,$CW$3:$CW$2300,0),1))</f>
        <v/>
      </c>
      <c r="CZ2278" s="259" t="e">
        <f t="shared" ca="1" si="1814"/>
        <v>#N/A</v>
      </c>
      <c r="DA2278" s="259" t="str">
        <f t="shared" ca="1" si="1819"/>
        <v/>
      </c>
      <c r="DB2278" s="259" t="str">
        <f t="shared" ca="1" si="1820"/>
        <v/>
      </c>
      <c r="DC2278" s="259" t="str">
        <f t="shared" ca="1" si="1815"/>
        <v/>
      </c>
      <c r="DD2278" s="259" t="str">
        <f t="shared" ca="1" si="1816"/>
        <v/>
      </c>
      <c r="DE2278" s="259" t="str">
        <f t="shared" ca="1" si="1817"/>
        <v/>
      </c>
      <c r="DF2278" s="259">
        <f ca="1">IF(AND(CX2278&gt;0,DB2278&lt;&gt;"",OR(DB2277&lt;&gt;"",DB2279&lt;&gt;"")),MAX($DF$2162:DF2277)+1,0)</f>
        <v>0</v>
      </c>
    </row>
    <row r="2279" spans="102:110">
      <c r="CX2279" s="259">
        <f t="shared" si="1818"/>
        <v>0</v>
      </c>
      <c r="CY2279" s="259" t="str">
        <f t="shared" ca="1" si="1821"/>
        <v/>
      </c>
      <c r="CZ2279" s="259" t="e">
        <f t="shared" ca="1" si="1814"/>
        <v>#N/A</v>
      </c>
      <c r="DA2279" s="259" t="str">
        <f t="shared" ca="1" si="1819"/>
        <v/>
      </c>
      <c r="DB2279" s="259" t="str">
        <f t="shared" ca="1" si="1820"/>
        <v/>
      </c>
      <c r="DC2279" s="259" t="str">
        <f t="shared" ca="1" si="1815"/>
        <v/>
      </c>
      <c r="DD2279" s="259" t="str">
        <f t="shared" ca="1" si="1816"/>
        <v/>
      </c>
      <c r="DE2279" s="259" t="str">
        <f t="shared" ca="1" si="1817"/>
        <v/>
      </c>
      <c r="DF2279" s="259">
        <f ca="1">IF(AND(CX2279&gt;0,DB2279&lt;&gt;"",OR(DB2278&lt;&gt;"",DB2280&lt;&gt;"")),MAX($DF$2162:DF2278)+1,0)</f>
        <v>0</v>
      </c>
    </row>
    <row r="2280" spans="102:110">
      <c r="CX2280" s="259">
        <f t="shared" si="1818"/>
        <v>0</v>
      </c>
      <c r="CY2280" s="259" t="str">
        <f t="shared" ca="1" si="1821"/>
        <v/>
      </c>
      <c r="CZ2280" s="259" t="e">
        <f t="shared" ca="1" si="1814"/>
        <v>#N/A</v>
      </c>
      <c r="DA2280" s="259" t="str">
        <f t="shared" ca="1" si="1819"/>
        <v/>
      </c>
      <c r="DB2280" s="259" t="str">
        <f t="shared" ca="1" si="1820"/>
        <v/>
      </c>
      <c r="DC2280" s="259" t="str">
        <f t="shared" ca="1" si="1815"/>
        <v/>
      </c>
      <c r="DD2280" s="259" t="str">
        <f t="shared" ca="1" si="1816"/>
        <v/>
      </c>
      <c r="DE2280" s="259" t="str">
        <f t="shared" ca="1" si="1817"/>
        <v/>
      </c>
      <c r="DF2280" s="259">
        <f ca="1">IF(AND(CX2280&gt;0,DB2280&lt;&gt;"",OR(DB2279&lt;&gt;"",DB2281&lt;&gt;"")),MAX($DF$2162:DF2279)+1,0)</f>
        <v>0</v>
      </c>
    </row>
    <row r="2281" spans="102:110">
      <c r="CX2281" s="259">
        <f t="shared" si="1818"/>
        <v>0</v>
      </c>
      <c r="CY2281" s="259" t="str">
        <f t="shared" ca="1" si="1821"/>
        <v/>
      </c>
      <c r="CZ2281" s="259" t="e">
        <f t="shared" ca="1" si="1814"/>
        <v>#N/A</v>
      </c>
      <c r="DA2281" s="259" t="str">
        <f t="shared" ca="1" si="1819"/>
        <v/>
      </c>
      <c r="DB2281" s="259" t="str">
        <f t="shared" ca="1" si="1820"/>
        <v/>
      </c>
      <c r="DC2281" s="259" t="str">
        <f t="shared" ca="1" si="1815"/>
        <v/>
      </c>
      <c r="DD2281" s="259" t="str">
        <f t="shared" ca="1" si="1816"/>
        <v/>
      </c>
      <c r="DE2281" s="259" t="str">
        <f t="shared" ca="1" si="1817"/>
        <v/>
      </c>
      <c r="DF2281" s="259">
        <f ca="1">IF(AND(CX2281&gt;0,DB2281&lt;&gt;"",OR(DB2280&lt;&gt;"",DB2282&lt;&gt;"")),MAX($DF$2162:DF2280)+1,0)</f>
        <v>0</v>
      </c>
    </row>
    <row r="2282" spans="102:110">
      <c r="CX2282" s="259">
        <f t="shared" si="1818"/>
        <v>0</v>
      </c>
      <c r="CY2282" s="259" t="str">
        <f t="shared" ca="1" si="1821"/>
        <v/>
      </c>
      <c r="CZ2282" s="259" t="e">
        <f t="shared" ca="1" si="1814"/>
        <v>#N/A</v>
      </c>
      <c r="DA2282" s="259" t="str">
        <f t="shared" ca="1" si="1819"/>
        <v/>
      </c>
      <c r="DB2282" s="259" t="str">
        <f t="shared" ca="1" si="1820"/>
        <v/>
      </c>
      <c r="DC2282" s="259" t="str">
        <f t="shared" ca="1" si="1815"/>
        <v/>
      </c>
      <c r="DD2282" s="259" t="str">
        <f t="shared" ca="1" si="1816"/>
        <v/>
      </c>
      <c r="DE2282" s="259" t="str">
        <f t="shared" ca="1" si="1817"/>
        <v/>
      </c>
      <c r="DF2282" s="259">
        <f ca="1">IF(AND(CX2282&gt;0,DB2282&lt;&gt;"",OR(DB2281&lt;&gt;"",DB2283&lt;&gt;"")),MAX($DF$2162:DF2281)+1,0)</f>
        <v>0</v>
      </c>
    </row>
    <row r="2283" spans="102:110">
      <c r="CX2283" s="259">
        <f t="shared" si="1818"/>
        <v>0</v>
      </c>
      <c r="CY2283" s="259" t="str">
        <f t="shared" ca="1" si="1821"/>
        <v/>
      </c>
      <c r="CZ2283" s="259" t="e">
        <f t="shared" ca="1" si="1814"/>
        <v>#N/A</v>
      </c>
      <c r="DA2283" s="259" t="str">
        <f t="shared" ca="1" si="1819"/>
        <v/>
      </c>
      <c r="DB2283" s="259" t="str">
        <f t="shared" ca="1" si="1820"/>
        <v/>
      </c>
      <c r="DC2283" s="259" t="str">
        <f t="shared" ca="1" si="1815"/>
        <v/>
      </c>
      <c r="DD2283" s="259" t="str">
        <f t="shared" ca="1" si="1816"/>
        <v/>
      </c>
      <c r="DE2283" s="259" t="str">
        <f t="shared" ca="1" si="1817"/>
        <v/>
      </c>
      <c r="DF2283" s="259">
        <f ca="1">IF(AND(CX2283&gt;0,DB2283&lt;&gt;"",OR(DB2282&lt;&gt;"",DB2284&lt;&gt;"")),MAX($DF$2162:DF2282)+1,0)</f>
        <v>0</v>
      </c>
    </row>
    <row r="2284" spans="102:110">
      <c r="CX2284" s="259">
        <f t="shared" si="1818"/>
        <v>0</v>
      </c>
      <c r="CY2284" s="259" t="str">
        <f t="shared" ca="1" si="1821"/>
        <v/>
      </c>
      <c r="CZ2284" s="259" t="e">
        <f t="shared" ca="1" si="1814"/>
        <v>#N/A</v>
      </c>
      <c r="DA2284" s="259" t="str">
        <f t="shared" ca="1" si="1819"/>
        <v/>
      </c>
      <c r="DB2284" s="259" t="str">
        <f t="shared" ca="1" si="1820"/>
        <v/>
      </c>
      <c r="DC2284" s="259" t="str">
        <f t="shared" ca="1" si="1815"/>
        <v/>
      </c>
      <c r="DD2284" s="259" t="str">
        <f t="shared" ca="1" si="1816"/>
        <v/>
      </c>
      <c r="DE2284" s="259" t="str">
        <f t="shared" ca="1" si="1817"/>
        <v/>
      </c>
      <c r="DF2284" s="259">
        <f ca="1">IF(AND(CX2284&gt;0,DB2284&lt;&gt;"",OR(DB2283&lt;&gt;"",DB2285&lt;&gt;"")),MAX($DF$2162:DF2283)+1,0)</f>
        <v>0</v>
      </c>
    </row>
    <row r="2285" spans="102:110">
      <c r="CX2285" s="259">
        <f t="shared" si="1818"/>
        <v>0</v>
      </c>
      <c r="CY2285" s="259" t="str">
        <f t="shared" ca="1" si="1821"/>
        <v/>
      </c>
      <c r="CZ2285" s="259" t="e">
        <f t="shared" ca="1" si="1814"/>
        <v>#N/A</v>
      </c>
      <c r="DA2285" s="259" t="str">
        <f t="shared" ca="1" si="1819"/>
        <v/>
      </c>
      <c r="DB2285" s="259" t="str">
        <f t="shared" ca="1" si="1820"/>
        <v/>
      </c>
      <c r="DC2285" s="259" t="str">
        <f t="shared" ca="1" si="1815"/>
        <v/>
      </c>
      <c r="DD2285" s="259" t="str">
        <f t="shared" ca="1" si="1816"/>
        <v/>
      </c>
      <c r="DE2285" s="259" t="str">
        <f t="shared" ca="1" si="1817"/>
        <v/>
      </c>
      <c r="DF2285" s="259">
        <f ca="1">IF(AND(CX2285&gt;0,DB2285&lt;&gt;"",OR(DB2284&lt;&gt;"",DB2286&lt;&gt;"")),MAX($DF$2162:DF2284)+1,0)</f>
        <v>0</v>
      </c>
    </row>
    <row r="2286" spans="102:110">
      <c r="CX2286" s="259">
        <f t="shared" si="1818"/>
        <v>0</v>
      </c>
      <c r="CY2286" s="259" t="str">
        <f t="shared" ca="1" si="1821"/>
        <v/>
      </c>
      <c r="CZ2286" s="259" t="e">
        <f t="shared" ca="1" si="1814"/>
        <v>#N/A</v>
      </c>
      <c r="DA2286" s="259" t="str">
        <f t="shared" ca="1" si="1819"/>
        <v/>
      </c>
      <c r="DB2286" s="259" t="str">
        <f t="shared" ca="1" si="1820"/>
        <v/>
      </c>
      <c r="DC2286" s="259" t="str">
        <f t="shared" ca="1" si="1815"/>
        <v/>
      </c>
      <c r="DD2286" s="259" t="str">
        <f t="shared" ca="1" si="1816"/>
        <v/>
      </c>
      <c r="DE2286" s="259" t="str">
        <f t="shared" ca="1" si="1817"/>
        <v/>
      </c>
      <c r="DF2286" s="259">
        <f ca="1">IF(AND(CX2286&gt;0,DB2286&lt;&gt;"",OR(DB2285&lt;&gt;"",DB2287&lt;&gt;"")),MAX($DF$2162:DF2285)+1,0)</f>
        <v>0</v>
      </c>
    </row>
    <row r="2287" spans="102:110">
      <c r="CX2287" s="259">
        <f t="shared" si="1818"/>
        <v>0</v>
      </c>
      <c r="CY2287" s="259" t="str">
        <f t="shared" ca="1" si="1821"/>
        <v/>
      </c>
      <c r="CZ2287" s="259" t="e">
        <f t="shared" ca="1" si="1814"/>
        <v>#N/A</v>
      </c>
      <c r="DA2287" s="259" t="str">
        <f t="shared" ca="1" si="1819"/>
        <v/>
      </c>
      <c r="DB2287" s="259" t="str">
        <f t="shared" ca="1" si="1820"/>
        <v/>
      </c>
      <c r="DC2287" s="259" t="str">
        <f t="shared" ca="1" si="1815"/>
        <v/>
      </c>
      <c r="DD2287" s="259" t="str">
        <f t="shared" ca="1" si="1816"/>
        <v/>
      </c>
      <c r="DE2287" s="259" t="str">
        <f t="shared" ca="1" si="1817"/>
        <v/>
      </c>
      <c r="DF2287" s="259">
        <f ca="1">IF(AND(CX2287&gt;0,DB2287&lt;&gt;"",OR(DB2286&lt;&gt;"",DB2288&lt;&gt;"")),MAX($DF$2162:DF2286)+1,0)</f>
        <v>0</v>
      </c>
    </row>
    <row r="2288" spans="102:110">
      <c r="CX2288" s="259">
        <f t="shared" si="1818"/>
        <v>0</v>
      </c>
      <c r="CY2288" s="259" t="str">
        <f t="shared" ca="1" si="1821"/>
        <v/>
      </c>
      <c r="CZ2288" s="259" t="e">
        <f t="shared" ca="1" si="1814"/>
        <v>#N/A</v>
      </c>
      <c r="DA2288" s="259" t="str">
        <f t="shared" ca="1" si="1819"/>
        <v/>
      </c>
      <c r="DB2288" s="259" t="str">
        <f t="shared" ca="1" si="1820"/>
        <v/>
      </c>
      <c r="DC2288" s="259" t="str">
        <f t="shared" ca="1" si="1815"/>
        <v/>
      </c>
      <c r="DD2288" s="259" t="str">
        <f t="shared" ca="1" si="1816"/>
        <v/>
      </c>
      <c r="DE2288" s="259" t="str">
        <f t="shared" ca="1" si="1817"/>
        <v/>
      </c>
      <c r="DF2288" s="259">
        <f ca="1">IF(AND(CX2288&gt;0,DB2288&lt;&gt;"",OR(DB2287&lt;&gt;"",DB2289&lt;&gt;"")),MAX($DF$2162:DF2287)+1,0)</f>
        <v>0</v>
      </c>
    </row>
    <row r="2289" spans="102:110">
      <c r="CX2289" s="259">
        <f t="shared" si="1818"/>
        <v>0</v>
      </c>
      <c r="CY2289" s="259" t="str">
        <f t="shared" ca="1" si="1821"/>
        <v/>
      </c>
      <c r="CZ2289" s="259" t="e">
        <f t="shared" ca="1" si="1814"/>
        <v>#N/A</v>
      </c>
      <c r="DA2289" s="259" t="str">
        <f t="shared" ca="1" si="1819"/>
        <v/>
      </c>
      <c r="DB2289" s="259" t="str">
        <f t="shared" ca="1" si="1820"/>
        <v/>
      </c>
      <c r="DC2289" s="259" t="str">
        <f t="shared" ca="1" si="1815"/>
        <v/>
      </c>
      <c r="DD2289" s="259" t="str">
        <f t="shared" ca="1" si="1816"/>
        <v/>
      </c>
      <c r="DE2289" s="259" t="str">
        <f t="shared" ca="1" si="1817"/>
        <v/>
      </c>
      <c r="DF2289" s="259">
        <f ca="1">IF(AND(CX2289&gt;0,DB2289&lt;&gt;"",OR(DB2288&lt;&gt;"",DB2290&lt;&gt;"")),MAX($DF$2162:DF2288)+1,0)</f>
        <v>0</v>
      </c>
    </row>
    <row r="2290" spans="102:110">
      <c r="CX2290" s="259">
        <f t="shared" si="1818"/>
        <v>0</v>
      </c>
      <c r="CY2290" s="259" t="str">
        <f t="shared" ca="1" si="1821"/>
        <v/>
      </c>
      <c r="CZ2290" s="259" t="e">
        <f t="shared" ca="1" si="1814"/>
        <v>#N/A</v>
      </c>
      <c r="DA2290" s="259" t="str">
        <f t="shared" ca="1" si="1819"/>
        <v/>
      </c>
      <c r="DB2290" s="259" t="str">
        <f t="shared" ca="1" si="1820"/>
        <v/>
      </c>
      <c r="DC2290" s="259" t="str">
        <f t="shared" ca="1" si="1815"/>
        <v/>
      </c>
      <c r="DD2290" s="259" t="str">
        <f t="shared" ca="1" si="1816"/>
        <v/>
      </c>
      <c r="DE2290" s="259" t="str">
        <f t="shared" ca="1" si="1817"/>
        <v/>
      </c>
      <c r="DF2290" s="259">
        <f ca="1">IF(AND(CX2290&gt;0,DB2290&lt;&gt;"",OR(DB2289&lt;&gt;"",DB2291&lt;&gt;"")),MAX($DF$2162:DF2289)+1,0)</f>
        <v>0</v>
      </c>
    </row>
    <row r="2291" spans="102:110">
      <c r="CX2291" s="259">
        <f t="shared" si="1818"/>
        <v>0</v>
      </c>
      <c r="CY2291" s="259" t="str">
        <f t="shared" ca="1" si="1821"/>
        <v/>
      </c>
      <c r="CZ2291" s="259" t="e">
        <f t="shared" ca="1" si="1814"/>
        <v>#N/A</v>
      </c>
      <c r="DA2291" s="259" t="str">
        <f t="shared" ca="1" si="1819"/>
        <v/>
      </c>
      <c r="DB2291" s="259" t="str">
        <f t="shared" ca="1" si="1820"/>
        <v/>
      </c>
      <c r="DC2291" s="259" t="str">
        <f t="shared" ca="1" si="1815"/>
        <v/>
      </c>
      <c r="DD2291" s="259" t="str">
        <f t="shared" ca="1" si="1816"/>
        <v/>
      </c>
      <c r="DE2291" s="259" t="str">
        <f t="shared" ca="1" si="1817"/>
        <v/>
      </c>
      <c r="DF2291" s="259">
        <f ca="1">IF(AND(CX2291&gt;0,DB2291&lt;&gt;"",OR(DB2290&lt;&gt;"",DB2292&lt;&gt;"")),MAX($DF$2162:DF2290)+1,0)</f>
        <v>0</v>
      </c>
    </row>
    <row r="2292" spans="102:110">
      <c r="CX2292" s="259">
        <f t="shared" si="1818"/>
        <v>0</v>
      </c>
      <c r="CY2292" s="259" t="str">
        <f t="shared" ca="1" si="1821"/>
        <v/>
      </c>
      <c r="CZ2292" s="259" t="e">
        <f t="shared" ca="1" si="1814"/>
        <v>#N/A</v>
      </c>
      <c r="DA2292" s="259" t="str">
        <f t="shared" ca="1" si="1819"/>
        <v/>
      </c>
      <c r="DB2292" s="259" t="str">
        <f t="shared" ca="1" si="1820"/>
        <v/>
      </c>
      <c r="DC2292" s="259" t="str">
        <f t="shared" ca="1" si="1815"/>
        <v/>
      </c>
      <c r="DD2292" s="259" t="str">
        <f t="shared" ca="1" si="1816"/>
        <v/>
      </c>
      <c r="DE2292" s="259" t="str">
        <f t="shared" ca="1" si="1817"/>
        <v/>
      </c>
      <c r="DF2292" s="259">
        <f ca="1">IF(AND(CX2292&gt;0,DB2292&lt;&gt;"",OR(DB2291&lt;&gt;"",DB2293&lt;&gt;"")),MAX($DF$2162:DF2291)+1,0)</f>
        <v>0</v>
      </c>
    </row>
    <row r="2293" spans="102:110">
      <c r="CX2293" s="259">
        <f t="shared" si="1818"/>
        <v>0</v>
      </c>
      <c r="CY2293" s="259" t="str">
        <f t="shared" ca="1" si="1821"/>
        <v/>
      </c>
      <c r="CZ2293" s="259" t="e">
        <f t="shared" ca="1" si="1814"/>
        <v>#N/A</v>
      </c>
      <c r="DA2293" s="259" t="str">
        <f t="shared" ref="DA2293:DA2300" ca="1" si="1822">IFERROR(INDEX(LIBRO_GIORNALE,CZ2293,1),"")</f>
        <v/>
      </c>
      <c r="DB2293" s="259" t="str">
        <f t="shared" ref="DB2293:DB2300" ca="1" si="1823">IF(RIGHT(TEXT(IFERROR(INDEX(LIBRO_GIORNALE,CZ2293,2),""),"gg/mm/aa"),1)="a",TEXT(IFERROR(INDEX(LIBRO_GIORNALE,CZ2293,2),""),"dd/mm/yy"),TEXT(IFERROR(INDEX(LIBRO_GIORNALE,CZ2293,2),""),"gg/mm/aa"))</f>
        <v/>
      </c>
      <c r="DC2293" s="259" t="str">
        <f t="shared" ca="1" si="1815"/>
        <v/>
      </c>
      <c r="DD2293" s="259" t="str">
        <f t="shared" ca="1" si="1816"/>
        <v/>
      </c>
      <c r="DE2293" s="259" t="str">
        <f t="shared" ca="1" si="1817"/>
        <v/>
      </c>
      <c r="DF2293" s="259">
        <f ca="1">IF(AND(CX2293&gt;0,DB2293&lt;&gt;"",OR(DB2292&lt;&gt;"",DB2294&lt;&gt;"")),MAX($DF$2162:DF2292)+1,0)</f>
        <v>0</v>
      </c>
    </row>
    <row r="2294" spans="102:110">
      <c r="CX2294" s="259">
        <f t="shared" si="1818"/>
        <v>0</v>
      </c>
      <c r="CY2294" s="259" t="str">
        <f t="shared" ca="1" si="1821"/>
        <v/>
      </c>
      <c r="CZ2294" s="259" t="e">
        <f t="shared" ca="1" si="1814"/>
        <v>#N/A</v>
      </c>
      <c r="DA2294" s="259" t="str">
        <f t="shared" ca="1" si="1822"/>
        <v/>
      </c>
      <c r="DB2294" s="259" t="str">
        <f t="shared" ca="1" si="1823"/>
        <v/>
      </c>
      <c r="DC2294" s="259" t="str">
        <f t="shared" ca="1" si="1815"/>
        <v/>
      </c>
      <c r="DD2294" s="259" t="str">
        <f t="shared" ca="1" si="1816"/>
        <v/>
      </c>
      <c r="DE2294" s="259" t="str">
        <f t="shared" ca="1" si="1817"/>
        <v/>
      </c>
      <c r="DF2294" s="259">
        <f ca="1">IF(AND(CX2294&gt;0,DB2294&lt;&gt;"",OR(DB2293&lt;&gt;"",DB2295&lt;&gt;"")),MAX($DF$2162:DF2293)+1,0)</f>
        <v>0</v>
      </c>
    </row>
    <row r="2295" spans="102:110">
      <c r="CX2295" s="259">
        <f t="shared" si="1818"/>
        <v>0</v>
      </c>
      <c r="CY2295" s="259" t="str">
        <f t="shared" ca="1" si="1821"/>
        <v/>
      </c>
      <c r="CZ2295" s="259" t="e">
        <f t="shared" ca="1" si="1814"/>
        <v>#N/A</v>
      </c>
      <c r="DA2295" s="259" t="str">
        <f t="shared" ca="1" si="1822"/>
        <v/>
      </c>
      <c r="DB2295" s="259" t="str">
        <f t="shared" ca="1" si="1823"/>
        <v/>
      </c>
      <c r="DC2295" s="259" t="str">
        <f t="shared" ca="1" si="1815"/>
        <v/>
      </c>
      <c r="DD2295" s="259" t="str">
        <f t="shared" ca="1" si="1816"/>
        <v/>
      </c>
      <c r="DE2295" s="259" t="str">
        <f t="shared" ca="1" si="1817"/>
        <v/>
      </c>
      <c r="DF2295" s="259">
        <f ca="1">IF(AND(CX2295&gt;0,DB2295&lt;&gt;"",OR(DB2294&lt;&gt;"",DB2296&lt;&gt;"")),MAX($DF$2162:DF2294)+1,0)</f>
        <v>0</v>
      </c>
    </row>
    <row r="2296" spans="102:110">
      <c r="CX2296" s="259">
        <f t="shared" si="1818"/>
        <v>0</v>
      </c>
      <c r="CY2296" s="259" t="str">
        <f t="shared" ca="1" si="1821"/>
        <v/>
      </c>
      <c r="CZ2296" s="259" t="e">
        <f t="shared" ca="1" si="1814"/>
        <v>#N/A</v>
      </c>
      <c r="DA2296" s="259" t="str">
        <f t="shared" ca="1" si="1822"/>
        <v/>
      </c>
      <c r="DB2296" s="259" t="str">
        <f t="shared" ca="1" si="1823"/>
        <v/>
      </c>
      <c r="DC2296" s="259" t="str">
        <f t="shared" ca="1" si="1815"/>
        <v/>
      </c>
      <c r="DD2296" s="259" t="str">
        <f t="shared" ca="1" si="1816"/>
        <v/>
      </c>
      <c r="DE2296" s="259" t="str">
        <f t="shared" ca="1" si="1817"/>
        <v/>
      </c>
      <c r="DF2296" s="259">
        <f ca="1">IF(AND(CX2296&gt;0,DB2296&lt;&gt;"",OR(DB2295&lt;&gt;"",DB2297&lt;&gt;"")),MAX($DF$2162:DF2295)+1,0)</f>
        <v>0</v>
      </c>
    </row>
    <row r="2297" spans="102:110">
      <c r="CX2297" s="259">
        <f t="shared" si="1818"/>
        <v>0</v>
      </c>
      <c r="CY2297" s="259" t="str">
        <f t="shared" ca="1" si="1821"/>
        <v/>
      </c>
      <c r="CZ2297" s="259" t="e">
        <f t="shared" ca="1" si="1814"/>
        <v>#N/A</v>
      </c>
      <c r="DA2297" s="259" t="str">
        <f t="shared" ca="1" si="1822"/>
        <v/>
      </c>
      <c r="DB2297" s="259" t="str">
        <f t="shared" ca="1" si="1823"/>
        <v/>
      </c>
      <c r="DC2297" s="259" t="str">
        <f t="shared" ca="1" si="1815"/>
        <v/>
      </c>
      <c r="DD2297" s="259" t="str">
        <f t="shared" ca="1" si="1816"/>
        <v/>
      </c>
      <c r="DE2297" s="259" t="str">
        <f t="shared" ca="1" si="1817"/>
        <v/>
      </c>
      <c r="DF2297" s="259">
        <f ca="1">IF(AND(CX2297&gt;0,DB2297&lt;&gt;"",OR(DB2296&lt;&gt;"",DB2298&lt;&gt;"")),MAX($DF$2162:DF2296)+1,0)</f>
        <v>0</v>
      </c>
    </row>
    <row r="2298" spans="102:110">
      <c r="CX2298" s="259">
        <f t="shared" si="1818"/>
        <v>0</v>
      </c>
      <c r="CY2298" s="259" t="str">
        <f t="shared" ca="1" si="1821"/>
        <v/>
      </c>
      <c r="CZ2298" s="259" t="e">
        <f t="shared" ca="1" si="1814"/>
        <v>#N/A</v>
      </c>
      <c r="DA2298" s="259" t="str">
        <f t="shared" ca="1" si="1822"/>
        <v/>
      </c>
      <c r="DB2298" s="259" t="str">
        <f t="shared" ca="1" si="1823"/>
        <v/>
      </c>
      <c r="DC2298" s="259" t="str">
        <f t="shared" ca="1" si="1815"/>
        <v/>
      </c>
      <c r="DD2298" s="259" t="str">
        <f t="shared" ca="1" si="1816"/>
        <v/>
      </c>
      <c r="DE2298" s="259" t="str">
        <f t="shared" ca="1" si="1817"/>
        <v/>
      </c>
      <c r="DF2298" s="259">
        <f ca="1">IF(AND(CX2298&gt;0,DB2298&lt;&gt;"",OR(DB2297&lt;&gt;"",DB2299&lt;&gt;"")),MAX($DF$2162:DF2297)+1,0)</f>
        <v>0</v>
      </c>
    </row>
    <row r="2299" spans="102:110">
      <c r="CX2299" s="259">
        <f t="shared" si="1818"/>
        <v>0</v>
      </c>
      <c r="CY2299" s="259" t="str">
        <f t="shared" ca="1" si="1821"/>
        <v/>
      </c>
      <c r="CZ2299" s="259" t="e">
        <f t="shared" ca="1" si="1814"/>
        <v>#N/A</v>
      </c>
      <c r="DA2299" s="259" t="str">
        <f t="shared" ca="1" si="1822"/>
        <v/>
      </c>
      <c r="DB2299" s="259" t="str">
        <f t="shared" ca="1" si="1823"/>
        <v/>
      </c>
      <c r="DC2299" s="259" t="str">
        <f t="shared" ca="1" si="1815"/>
        <v/>
      </c>
      <c r="DD2299" s="259" t="str">
        <f t="shared" ca="1" si="1816"/>
        <v/>
      </c>
      <c r="DE2299" s="259" t="str">
        <f t="shared" ca="1" si="1817"/>
        <v/>
      </c>
      <c r="DF2299" s="259">
        <f ca="1">IF(AND(CX2299&gt;0,DB2299&lt;&gt;"",OR(DB2298&lt;&gt;"",DB2300&lt;&gt;"")),MAX($DF$2162:DF2298)+1,0)</f>
        <v>0</v>
      </c>
    </row>
    <row r="2300" spans="102:110">
      <c r="CX2300" s="259">
        <f t="shared" si="1818"/>
        <v>0</v>
      </c>
      <c r="CY2300" s="259" t="str">
        <f t="shared" ca="1" si="1821"/>
        <v/>
      </c>
      <c r="CZ2300" s="259" t="e">
        <f t="shared" ca="1" si="1814"/>
        <v>#N/A</v>
      </c>
      <c r="DA2300" s="259" t="str">
        <f t="shared" ca="1" si="1822"/>
        <v/>
      </c>
      <c r="DB2300" s="259" t="str">
        <f t="shared" ca="1" si="1823"/>
        <v/>
      </c>
      <c r="DC2300" s="259" t="str">
        <f ca="1">IF(IFERROR(INDEX(LIBRO_GIORNALE,CZ2300,4),"")=0,"manca la descrizione dell'operazione",IFERROR(INDEX(LIBRO_GIORNALE,CZ2300,4),""))</f>
        <v/>
      </c>
      <c r="DD2300" s="259" t="str">
        <f ca="1">IFERROR(IF(INDEX(LIBRO_GIORNALE,CZ2300,5)&gt;0,INDEX(LIBRO_GIORNALE,CZ2300,5),""),"")</f>
        <v/>
      </c>
      <c r="DE2300" s="259" t="str">
        <f ca="1">IFERROR(IF(INDEX(LIBRO_GIORNALE,CZ2300,6)&gt;0,INDEX(LIBRO_GIORNALE,CZ2300,6),""),"")</f>
        <v/>
      </c>
      <c r="DF2300" s="259">
        <f ca="1">IF(AND(CX2300&gt;0,DB2300&lt;&gt;"",OR(DB2299&lt;&gt;"",DB2301&lt;&gt;"")),MAX($DF$2162:DF2299)+1,0)</f>
        <v>0</v>
      </c>
    </row>
  </sheetData>
  <pageMargins left="0.7" right="0.7" top="0.75" bottom="0.75" header="0.3" footer="0.3"/>
  <pageSetup orientation="portrait" r:id="rId1"/>
  <ignoredErrors>
    <ignoredError sqref="BX1:CB1 CM1 CP1 CR1 CU1 CW1 DH1 DQ1 DW1 EL1:EN1 DA2 J3 EI4:EJ4 CY1:DA1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-0.249977111117893"/>
  </sheetPr>
  <dimension ref="A1:M108"/>
  <sheetViews>
    <sheetView showGridLines="0" showRowColHeaders="0" zoomScale="120" zoomScaleNormal="120" workbookViewId="0">
      <pane ySplit="7" topLeftCell="A8" activePane="bottomLeft" state="frozen"/>
      <selection pane="bottomLeft" activeCell="E8" sqref="E8"/>
    </sheetView>
  </sheetViews>
  <sheetFormatPr defaultColWidth="9" defaultRowHeight="15.6"/>
  <cols>
    <col min="1" max="1" width="2" style="14" customWidth="1"/>
    <col min="2" max="2" width="6.8984375" style="54" customWidth="1"/>
    <col min="3" max="3" width="7.3984375" style="54" customWidth="1"/>
    <col min="4" max="4" width="9.59765625" style="54" customWidth="1"/>
    <col min="5" max="5" width="40.3984375" style="55" customWidth="1"/>
    <col min="6" max="6" width="1.5" style="55" customWidth="1"/>
    <col min="7" max="7" width="35" style="56" customWidth="1"/>
    <col min="8" max="9" width="16.59765625" style="57" customWidth="1"/>
    <col min="10" max="10" width="2.3984375" style="14" customWidth="1"/>
    <col min="11" max="16384" width="9" style="14"/>
  </cols>
  <sheetData>
    <row r="1" spans="1:13" ht="22.5" customHeight="1">
      <c r="A1" s="4"/>
      <c r="B1" s="399" t="s">
        <v>705</v>
      </c>
      <c r="C1" s="399"/>
      <c r="D1" s="399"/>
      <c r="E1" s="399"/>
      <c r="F1" s="399"/>
      <c r="G1" s="399"/>
      <c r="H1" s="121"/>
      <c r="I1" s="121"/>
      <c r="K1" s="89"/>
      <c r="L1" s="209">
        <f ca="1">YEAR(INIZIO_A_PC)</f>
        <v>2026</v>
      </c>
      <c r="M1" s="89"/>
    </row>
    <row r="2" spans="1:13" ht="22.5" customHeight="1">
      <c r="A2" s="4"/>
      <c r="B2" s="400" t="s">
        <v>448</v>
      </c>
      <c r="C2" s="400"/>
      <c r="D2" s="400"/>
      <c r="E2" s="18"/>
      <c r="F2" s="18"/>
      <c r="G2" s="401" t="s">
        <v>471</v>
      </c>
      <c r="H2" s="133" t="s">
        <v>421</v>
      </c>
      <c r="I2" s="134" t="s">
        <v>422</v>
      </c>
      <c r="K2" s="89"/>
      <c r="L2" s="90"/>
      <c r="M2" s="89"/>
    </row>
    <row r="3" spans="1:13" ht="17.25" customHeight="1">
      <c r="A3" s="6">
        <f ca="1">LIBRO_GIORNALE!A3</f>
        <v>1</v>
      </c>
      <c r="B3" s="400"/>
      <c r="C3" s="400"/>
      <c r="D3" s="400"/>
      <c r="E3" s="256" t="str">
        <f ca="1">IF($A$3=2,"VERSIONE OFFICE 365","")</f>
        <v/>
      </c>
      <c r="F3" s="18"/>
      <c r="G3" s="402"/>
      <c r="H3" s="122">
        <f ca="1">ROUND(SUMIFS(INDIRECT(CONCATENATE(ADDRESS(8,8,,,),":",ADDRESS(107,8,,,))),INDIRECT(CONCATENATE(ADDRESS(8,4,,,),":",ADDRESS(107,4,,,))),"&lt;="&amp;FINE_AC,INDIRECT(CONCATENATE(ADDRESS(8,4,,,),":",ADDRESS(107,4,,,))),"&gt;="&amp;INIZIO_A_PC,$B$8:$B$107,"&lt;&gt;"&amp;0),2)</f>
        <v>0</v>
      </c>
      <c r="I3" s="123">
        <f ca="1">ROUND(SUMIFS(INDIRECT(CONCATENATE(ADDRESS(8,9,,,),":",ADDRESS(107,9,,,))),INDIRECT(CONCATENATE(ADDRESS(8,4,,,),":",ADDRESS(107,4,,,))),"&lt;="&amp;FINE_AC,INDIRECT(CONCATENATE(ADDRESS(8,4,,,),":",ADDRESS(107,4,,,))),"&gt;="&amp;INIZIO_A_PC,$B$8:$B$107,"&lt;&gt;"&amp;0),2)</f>
        <v>0</v>
      </c>
      <c r="K3" s="89"/>
      <c r="L3" s="90"/>
      <c r="M3" s="89"/>
    </row>
    <row r="4" spans="1:13" ht="17.25" customHeight="1">
      <c r="A4" s="4"/>
      <c r="B4" s="400"/>
      <c r="C4" s="400"/>
      <c r="D4" s="400"/>
      <c r="E4" s="18"/>
      <c r="F4" s="18"/>
      <c r="G4" s="68"/>
      <c r="H4" s="39"/>
      <c r="I4" s="39"/>
      <c r="K4" s="89"/>
      <c r="L4" s="90"/>
      <c r="M4" s="89"/>
    </row>
    <row r="5" spans="1:13" ht="28.5" customHeight="1">
      <c r="A5" s="4"/>
      <c r="B5" s="400"/>
      <c r="C5" s="400"/>
      <c r="D5" s="400"/>
      <c r="E5" s="18"/>
      <c r="F5" s="18"/>
      <c r="G5" s="195" t="s">
        <v>432</v>
      </c>
      <c r="H5" s="397" t="s">
        <v>467</v>
      </c>
      <c r="I5" s="398"/>
      <c r="K5" s="89"/>
      <c r="L5" s="90"/>
      <c r="M5" s="89"/>
    </row>
    <row r="6" spans="1:13" ht="18" customHeight="1">
      <c r="A6" s="4"/>
      <c r="B6" s="208"/>
      <c r="C6" s="247"/>
      <c r="D6" s="247"/>
      <c r="E6" s="248"/>
      <c r="F6" s="18"/>
      <c r="G6" s="246" t="str">
        <f ca="1">IF(INDIRECT(ADDRESS(8,6,,,"LIBRO_GIORNALE"))="","",INDIRECT(ADDRESS(8,6,,,"LIBRO_GIORNALE")))</f>
        <v/>
      </c>
      <c r="H6" s="403" t="str">
        <f ca="1">IF(INDIRECT(ADDRESS(8,7,,,"LIBRO_GIORNALE"))="","",INDIRECT(ADDRESS(8,7,,,"LIBRO_GIORNALE")))</f>
        <v/>
      </c>
      <c r="I6" s="403"/>
      <c r="K6" s="89"/>
      <c r="L6" s="90"/>
      <c r="M6" s="89"/>
    </row>
    <row r="7" spans="1:13" ht="15.75" customHeight="1">
      <c r="A7" s="6">
        <f ca="1">COUNTIFS(COPIA!$EY$3:$EY$102,"&lt;&gt;"&amp;0)+4</f>
        <v>4</v>
      </c>
      <c r="B7" s="177" t="s">
        <v>10</v>
      </c>
      <c r="C7" s="177" t="s">
        <v>261</v>
      </c>
      <c r="D7" s="187" t="s">
        <v>0</v>
      </c>
      <c r="E7" s="187" t="s">
        <v>264</v>
      </c>
      <c r="F7" s="188"/>
      <c r="G7" s="190" t="s">
        <v>265</v>
      </c>
      <c r="H7" s="255" t="s">
        <v>2</v>
      </c>
      <c r="I7" s="255" t="s">
        <v>3</v>
      </c>
      <c r="K7" s="396"/>
      <c r="L7" s="396"/>
      <c r="M7" s="396"/>
    </row>
    <row r="8" spans="1:13" ht="20.100000000000001" customHeight="1">
      <c r="B8" s="65" t="str">
        <f ca="1">COPIA!FE3</f>
        <v/>
      </c>
      <c r="C8" s="66" t="str">
        <f ca="1">COPIA!FF3</f>
        <v/>
      </c>
      <c r="D8" s="63"/>
      <c r="E8" s="61"/>
      <c r="F8" s="189" t="str">
        <f ca="1">IF(AND(COPIA!$EN$1=TRUE,INDIRECT(ADDRESS(ROW(),4,,,))&lt;&gt;"",INDIRECT(ADDRESS(ROW(),5,,,))&lt;&gt;"",INDIRECT(ADDRESS(ROW(),7,,,))=""),"valore iniziale","")</f>
        <v/>
      </c>
      <c r="G8" s="33"/>
      <c r="H8" s="62">
        <v>12000</v>
      </c>
      <c r="I8" s="62"/>
      <c r="K8" s="69"/>
      <c r="L8" s="69"/>
      <c r="M8" s="69"/>
    </row>
    <row r="9" spans="1:13" ht="20.100000000000001" customHeight="1">
      <c r="B9" s="65" t="str">
        <f ca="1">COPIA!FE4</f>
        <v/>
      </c>
      <c r="C9" s="66" t="str">
        <f ca="1">COPIA!FF4</f>
        <v/>
      </c>
      <c r="D9" s="63"/>
      <c r="E9" s="61"/>
      <c r="F9" s="83" t="str">
        <f ca="1">IF(AND(COPIA!$EN$1=TRUE,INDIRECT(ADDRESS(ROW(),4,,,))&lt;&gt;"",INDIRECT(ADDRESS(ROW(),5,,,))&lt;&gt;"",INDIRECT(ADDRESS(ROW(),7,,,))=""),"valore iniziale","")</f>
        <v/>
      </c>
      <c r="G9" s="91"/>
      <c r="H9" s="62"/>
      <c r="I9" s="62"/>
      <c r="K9" s="69"/>
      <c r="L9" s="69"/>
      <c r="M9" s="69"/>
    </row>
    <row r="10" spans="1:13" ht="20.100000000000001" customHeight="1">
      <c r="B10" s="65" t="str">
        <f ca="1">COPIA!FE5</f>
        <v/>
      </c>
      <c r="C10" s="66" t="str">
        <f ca="1">COPIA!FF5</f>
        <v/>
      </c>
      <c r="D10" s="63"/>
      <c r="E10" s="61"/>
      <c r="F10" s="83" t="str">
        <f ca="1">IF(AND(COPIA!$EN$1=TRUE,INDIRECT(ADDRESS(ROW(),4,,,))&lt;&gt;"",INDIRECT(ADDRESS(ROW(),5,,,))&lt;&gt;"",INDIRECT(ADDRESS(ROW(),7,,,))=""),"valore iniziale","")</f>
        <v/>
      </c>
      <c r="G10" s="143"/>
      <c r="H10" s="62"/>
      <c r="I10" s="62"/>
      <c r="K10" s="395"/>
      <c r="L10" s="395"/>
      <c r="M10" s="395"/>
    </row>
    <row r="11" spans="1:13" ht="20.100000000000001" customHeight="1">
      <c r="B11" s="65" t="str">
        <f ca="1">COPIA!FE6</f>
        <v/>
      </c>
      <c r="C11" s="66" t="str">
        <f ca="1">COPIA!FF6</f>
        <v/>
      </c>
      <c r="D11" s="63"/>
      <c r="E11" s="61"/>
      <c r="F11" s="83" t="str">
        <f ca="1">IF(AND(COPIA!$EN$1=TRUE,INDIRECT(ADDRESS(ROW(),4,,,))&lt;&gt;"",INDIRECT(ADDRESS(ROW(),5,,,))&lt;&gt;"",INDIRECT(ADDRESS(ROW(),7,,,))=""),"valore iniziale","")</f>
        <v/>
      </c>
      <c r="G11" s="91"/>
      <c r="H11" s="62"/>
      <c r="I11" s="62"/>
    </row>
    <row r="12" spans="1:13" ht="20.100000000000001" customHeight="1">
      <c r="B12" s="65" t="str">
        <f ca="1">COPIA!FE7</f>
        <v/>
      </c>
      <c r="C12" s="66" t="str">
        <f ca="1">COPIA!FF7</f>
        <v/>
      </c>
      <c r="D12" s="63"/>
      <c r="E12" s="61"/>
      <c r="F12" s="83" t="str">
        <f ca="1">IF(AND(COPIA!$EN$1=TRUE,INDIRECT(ADDRESS(ROW(),4,,,))&lt;&gt;"",INDIRECT(ADDRESS(ROW(),5,,,))&lt;&gt;"",INDIRECT(ADDRESS(ROW(),7,,,))=""),"valore iniziale","")</f>
        <v/>
      </c>
      <c r="G12" s="91"/>
      <c r="H12" s="62"/>
      <c r="I12" s="62"/>
    </row>
    <row r="13" spans="1:13" ht="20.100000000000001" customHeight="1">
      <c r="B13" s="65" t="str">
        <f ca="1">COPIA!FE8</f>
        <v/>
      </c>
      <c r="C13" s="66" t="str">
        <f ca="1">COPIA!FF8</f>
        <v/>
      </c>
      <c r="D13" s="63"/>
      <c r="E13" s="61"/>
      <c r="F13" s="83" t="str">
        <f ca="1">IF(AND(COPIA!$EN$1=TRUE,INDIRECT(ADDRESS(ROW(),4,,,))&lt;&gt;"",INDIRECT(ADDRESS(ROW(),5,,,))&lt;&gt;"",INDIRECT(ADDRESS(ROW(),7,,,))=""),"valore iniziale","")</f>
        <v/>
      </c>
      <c r="G13" s="91"/>
      <c r="H13" s="62"/>
      <c r="I13" s="62"/>
    </row>
    <row r="14" spans="1:13" ht="20.100000000000001" customHeight="1">
      <c r="B14" s="65" t="str">
        <f ca="1">COPIA!FE9</f>
        <v/>
      </c>
      <c r="C14" s="66" t="str">
        <f ca="1">COPIA!FF9</f>
        <v/>
      </c>
      <c r="D14" s="63"/>
      <c r="E14" s="61"/>
      <c r="F14" s="83" t="str">
        <f ca="1">IF(AND(COPIA!$EN$1=TRUE,INDIRECT(ADDRESS(ROW(),4,,,))&lt;&gt;"",INDIRECT(ADDRESS(ROW(),5,,,))&lt;&gt;"",INDIRECT(ADDRESS(ROW(),7,,,))=""),"valore iniziale","")</f>
        <v/>
      </c>
      <c r="G14" s="91"/>
      <c r="H14" s="62"/>
      <c r="I14" s="62"/>
    </row>
    <row r="15" spans="1:13" ht="20.100000000000001" customHeight="1">
      <c r="B15" s="65" t="str">
        <f ca="1">COPIA!FE10</f>
        <v/>
      </c>
      <c r="C15" s="66" t="str">
        <f ca="1">COPIA!FF10</f>
        <v/>
      </c>
      <c r="D15" s="63"/>
      <c r="E15" s="61"/>
      <c r="F15" s="83" t="str">
        <f ca="1">IF(AND(COPIA!$EN$1=TRUE,INDIRECT(ADDRESS(ROW(),4,,,))&lt;&gt;"",INDIRECT(ADDRESS(ROW(),5,,,))&lt;&gt;"",INDIRECT(ADDRESS(ROW(),7,,,))=""),"valore iniziale","")</f>
        <v/>
      </c>
      <c r="G15" s="91"/>
      <c r="H15" s="62"/>
      <c r="I15" s="62"/>
    </row>
    <row r="16" spans="1:13" ht="20.100000000000001" customHeight="1">
      <c r="B16" s="65" t="str">
        <f ca="1">COPIA!FE11</f>
        <v/>
      </c>
      <c r="C16" s="66" t="str">
        <f ca="1">COPIA!FF11</f>
        <v/>
      </c>
      <c r="D16" s="63"/>
      <c r="E16" s="61"/>
      <c r="F16" s="83" t="str">
        <f ca="1">IF(AND(COPIA!$EN$1=TRUE,INDIRECT(ADDRESS(ROW(),4,,,))&lt;&gt;"",INDIRECT(ADDRESS(ROW(),5,,,))&lt;&gt;"",INDIRECT(ADDRESS(ROW(),7,,,))=""),"valore iniziale","")</f>
        <v/>
      </c>
      <c r="G16" s="91"/>
      <c r="H16" s="62"/>
      <c r="I16" s="62"/>
    </row>
    <row r="17" spans="2:9" ht="20.100000000000001" customHeight="1">
      <c r="B17" s="65" t="str">
        <f ca="1">COPIA!FE12</f>
        <v/>
      </c>
      <c r="C17" s="66" t="str">
        <f ca="1">COPIA!FF12</f>
        <v/>
      </c>
      <c r="D17" s="63"/>
      <c r="E17" s="61"/>
      <c r="F17" s="83" t="str">
        <f ca="1">IF(AND(COPIA!$EN$1=TRUE,INDIRECT(ADDRESS(ROW(),4,,,))&lt;&gt;"",INDIRECT(ADDRESS(ROW(),5,,,))&lt;&gt;"",INDIRECT(ADDRESS(ROW(),7,,,))=""),"valore iniziale","")</f>
        <v/>
      </c>
      <c r="G17" s="91"/>
      <c r="H17" s="62"/>
      <c r="I17" s="62"/>
    </row>
    <row r="18" spans="2:9" ht="20.100000000000001" customHeight="1">
      <c r="B18" s="65" t="str">
        <f ca="1">COPIA!FE13</f>
        <v/>
      </c>
      <c r="C18" s="66" t="str">
        <f ca="1">COPIA!FF13</f>
        <v/>
      </c>
      <c r="D18" s="63"/>
      <c r="E18" s="61"/>
      <c r="F18" s="83" t="str">
        <f ca="1">IF(AND(COPIA!$EN$1=TRUE,INDIRECT(ADDRESS(ROW(),4,,,))&lt;&gt;"",INDIRECT(ADDRESS(ROW(),5,,,))&lt;&gt;"",INDIRECT(ADDRESS(ROW(),7,,,))=""),"valore iniziale","")</f>
        <v/>
      </c>
      <c r="G18" s="91"/>
      <c r="H18" s="62"/>
      <c r="I18" s="62"/>
    </row>
    <row r="19" spans="2:9" ht="20.100000000000001" customHeight="1">
      <c r="B19" s="65" t="str">
        <f ca="1">COPIA!FE14</f>
        <v/>
      </c>
      <c r="C19" s="66" t="str">
        <f ca="1">COPIA!FF14</f>
        <v/>
      </c>
      <c r="D19" s="63"/>
      <c r="E19" s="61"/>
      <c r="F19" s="83" t="str">
        <f ca="1">IF(AND(COPIA!$EN$1=TRUE,INDIRECT(ADDRESS(ROW(),4,,,))&lt;&gt;"",INDIRECT(ADDRESS(ROW(),5,,,))&lt;&gt;"",INDIRECT(ADDRESS(ROW(),7,,,))=""),"valore iniziale","")</f>
        <v/>
      </c>
      <c r="G19" s="91"/>
      <c r="H19" s="62"/>
      <c r="I19" s="62"/>
    </row>
    <row r="20" spans="2:9" ht="20.100000000000001" customHeight="1">
      <c r="B20" s="65" t="str">
        <f ca="1">COPIA!FE15</f>
        <v/>
      </c>
      <c r="C20" s="66" t="str">
        <f ca="1">COPIA!FF15</f>
        <v/>
      </c>
      <c r="D20" s="63"/>
      <c r="E20" s="61"/>
      <c r="F20" s="83" t="str">
        <f ca="1">IF(AND(COPIA!$EN$1=TRUE,INDIRECT(ADDRESS(ROW(),4,,,))&lt;&gt;"",INDIRECT(ADDRESS(ROW(),5,,,))&lt;&gt;"",INDIRECT(ADDRESS(ROW(),7,,,))=""),"valore iniziale","")</f>
        <v/>
      </c>
      <c r="G20" s="91"/>
      <c r="H20" s="62"/>
      <c r="I20" s="62"/>
    </row>
    <row r="21" spans="2:9" ht="20.100000000000001" customHeight="1">
      <c r="B21" s="65" t="str">
        <f ca="1">COPIA!FE16</f>
        <v/>
      </c>
      <c r="C21" s="66" t="str">
        <f ca="1">COPIA!FF16</f>
        <v/>
      </c>
      <c r="D21" s="63"/>
      <c r="E21" s="61"/>
      <c r="F21" s="83" t="str">
        <f ca="1">IF(AND(COPIA!$EN$1=TRUE,INDIRECT(ADDRESS(ROW(),4,,,))&lt;&gt;"",INDIRECT(ADDRESS(ROW(),5,,,))&lt;&gt;"",INDIRECT(ADDRESS(ROW(),7,,,))=""),"valore iniziale","")</f>
        <v/>
      </c>
      <c r="G21" s="91"/>
      <c r="H21" s="62"/>
      <c r="I21" s="62"/>
    </row>
    <row r="22" spans="2:9" ht="20.100000000000001" customHeight="1">
      <c r="B22" s="65" t="str">
        <f ca="1">COPIA!FE17</f>
        <v/>
      </c>
      <c r="C22" s="66" t="str">
        <f ca="1">COPIA!FF17</f>
        <v/>
      </c>
      <c r="D22" s="63"/>
      <c r="E22" s="61"/>
      <c r="F22" s="83" t="str">
        <f ca="1">IF(AND(COPIA!$EN$1=TRUE,INDIRECT(ADDRESS(ROW(),4,,,))&lt;&gt;"",INDIRECT(ADDRESS(ROW(),5,,,))&lt;&gt;"",INDIRECT(ADDRESS(ROW(),7,,,))=""),"valore iniziale","")</f>
        <v/>
      </c>
      <c r="G22" s="91"/>
      <c r="H22" s="62"/>
      <c r="I22" s="62"/>
    </row>
    <row r="23" spans="2:9" ht="20.100000000000001" customHeight="1">
      <c r="B23" s="65" t="str">
        <f ca="1">COPIA!FE18</f>
        <v/>
      </c>
      <c r="C23" s="66" t="str">
        <f ca="1">COPIA!FF18</f>
        <v/>
      </c>
      <c r="D23" s="63"/>
      <c r="E23" s="61"/>
      <c r="F23" s="83" t="str">
        <f ca="1">IF(AND(COPIA!$EN$1=TRUE,INDIRECT(ADDRESS(ROW(),4,,,))&lt;&gt;"",INDIRECT(ADDRESS(ROW(),5,,,))&lt;&gt;"",INDIRECT(ADDRESS(ROW(),7,,,))=""),"valore iniziale","")</f>
        <v/>
      </c>
      <c r="G23" s="91"/>
      <c r="H23" s="62"/>
      <c r="I23" s="62"/>
    </row>
    <row r="24" spans="2:9" ht="20.100000000000001" customHeight="1">
      <c r="B24" s="65" t="str">
        <f ca="1">COPIA!FE19</f>
        <v/>
      </c>
      <c r="C24" s="66" t="str">
        <f ca="1">COPIA!FF19</f>
        <v/>
      </c>
      <c r="D24" s="63"/>
      <c r="E24" s="61"/>
      <c r="F24" s="83" t="str">
        <f ca="1">IF(AND(COPIA!$EN$1=TRUE,INDIRECT(ADDRESS(ROW(),4,,,))&lt;&gt;"",INDIRECT(ADDRESS(ROW(),5,,,))&lt;&gt;"",INDIRECT(ADDRESS(ROW(),7,,,))=""),"valore iniziale","")</f>
        <v/>
      </c>
      <c r="G24" s="91"/>
      <c r="H24" s="62"/>
      <c r="I24" s="62"/>
    </row>
    <row r="25" spans="2:9" ht="20.100000000000001" customHeight="1">
      <c r="B25" s="65" t="str">
        <f ca="1">COPIA!FE20</f>
        <v/>
      </c>
      <c r="C25" s="66" t="str">
        <f ca="1">COPIA!FF20</f>
        <v/>
      </c>
      <c r="D25" s="63"/>
      <c r="E25" s="61"/>
      <c r="F25" s="83" t="str">
        <f ca="1">IF(AND(COPIA!$EN$1=TRUE,INDIRECT(ADDRESS(ROW(),4,,,))&lt;&gt;"",INDIRECT(ADDRESS(ROW(),5,,,))&lt;&gt;"",INDIRECT(ADDRESS(ROW(),7,,,))=""),"valore iniziale","")</f>
        <v/>
      </c>
      <c r="G25" s="91"/>
      <c r="H25" s="62"/>
      <c r="I25" s="62"/>
    </row>
    <row r="26" spans="2:9" ht="20.100000000000001" customHeight="1">
      <c r="B26" s="65" t="str">
        <f ca="1">COPIA!FE21</f>
        <v/>
      </c>
      <c r="C26" s="66" t="str">
        <f ca="1">COPIA!FF21</f>
        <v/>
      </c>
      <c r="D26" s="63"/>
      <c r="E26" s="61"/>
      <c r="F26" s="83" t="str">
        <f ca="1">IF(AND(COPIA!$EN$1=TRUE,INDIRECT(ADDRESS(ROW(),4,,,))&lt;&gt;"",INDIRECT(ADDRESS(ROW(),5,,,))&lt;&gt;"",INDIRECT(ADDRESS(ROW(),7,,,))=""),"valore iniziale","")</f>
        <v/>
      </c>
      <c r="G26" s="91"/>
      <c r="H26" s="62"/>
      <c r="I26" s="62"/>
    </row>
    <row r="27" spans="2:9" ht="20.100000000000001" customHeight="1">
      <c r="B27" s="65" t="str">
        <f ca="1">COPIA!FE22</f>
        <v/>
      </c>
      <c r="C27" s="66" t="str">
        <f ca="1">COPIA!FF22</f>
        <v/>
      </c>
      <c r="D27" s="63"/>
      <c r="E27" s="61"/>
      <c r="F27" s="83" t="str">
        <f ca="1">IF(AND(COPIA!$EN$1=TRUE,INDIRECT(ADDRESS(ROW(),4,,,))&lt;&gt;"",INDIRECT(ADDRESS(ROW(),5,,,))&lt;&gt;"",INDIRECT(ADDRESS(ROW(),7,,,))=""),"valore iniziale","")</f>
        <v/>
      </c>
      <c r="G27" s="91"/>
      <c r="H27" s="62"/>
      <c r="I27" s="62"/>
    </row>
    <row r="28" spans="2:9" ht="20.100000000000001" customHeight="1">
      <c r="B28" s="65" t="str">
        <f ca="1">COPIA!FE23</f>
        <v/>
      </c>
      <c r="C28" s="66" t="str">
        <f ca="1">COPIA!FF23</f>
        <v/>
      </c>
      <c r="D28" s="63"/>
      <c r="E28" s="61"/>
      <c r="F28" s="83" t="str">
        <f ca="1">IF(AND(COPIA!$EN$1=TRUE,INDIRECT(ADDRESS(ROW(),4,,,))&lt;&gt;"",INDIRECT(ADDRESS(ROW(),5,,,))&lt;&gt;"",INDIRECT(ADDRESS(ROW(),7,,,))=""),"valore iniziale","")</f>
        <v/>
      </c>
      <c r="G28" s="91"/>
      <c r="H28" s="62"/>
      <c r="I28" s="62"/>
    </row>
    <row r="29" spans="2:9" ht="20.100000000000001" customHeight="1">
      <c r="B29" s="65" t="str">
        <f ca="1">COPIA!FE24</f>
        <v/>
      </c>
      <c r="C29" s="66" t="str">
        <f ca="1">COPIA!FF24</f>
        <v/>
      </c>
      <c r="D29" s="63"/>
      <c r="E29" s="61"/>
      <c r="F29" s="83" t="str">
        <f ca="1">IF(AND(COPIA!$EN$1=TRUE,INDIRECT(ADDRESS(ROW(),4,,,))&lt;&gt;"",INDIRECT(ADDRESS(ROW(),5,,,))&lt;&gt;"",INDIRECT(ADDRESS(ROW(),7,,,))=""),"valore iniziale","")</f>
        <v/>
      </c>
      <c r="G29" s="91"/>
      <c r="H29" s="62"/>
      <c r="I29" s="62"/>
    </row>
    <row r="30" spans="2:9" ht="20.100000000000001" customHeight="1">
      <c r="B30" s="65" t="str">
        <f ca="1">COPIA!FE25</f>
        <v/>
      </c>
      <c r="C30" s="66" t="str">
        <f ca="1">COPIA!FF25</f>
        <v/>
      </c>
      <c r="D30" s="63"/>
      <c r="E30" s="61"/>
      <c r="F30" s="83" t="str">
        <f ca="1">IF(AND(COPIA!$EN$1=TRUE,INDIRECT(ADDRESS(ROW(),4,,,))&lt;&gt;"",INDIRECT(ADDRESS(ROW(),5,,,))&lt;&gt;"",INDIRECT(ADDRESS(ROW(),7,,,))=""),"valore iniziale","")</f>
        <v/>
      </c>
      <c r="G30" s="91"/>
      <c r="H30" s="62"/>
      <c r="I30" s="62"/>
    </row>
    <row r="31" spans="2:9" ht="20.100000000000001" customHeight="1">
      <c r="B31" s="65" t="str">
        <f ca="1">COPIA!FE26</f>
        <v/>
      </c>
      <c r="C31" s="66" t="str">
        <f ca="1">COPIA!FF26</f>
        <v/>
      </c>
      <c r="D31" s="63"/>
      <c r="E31" s="61"/>
      <c r="F31" s="83" t="str">
        <f ca="1">IF(AND(COPIA!$EN$1=TRUE,INDIRECT(ADDRESS(ROW(),4,,,))&lt;&gt;"",INDIRECT(ADDRESS(ROW(),5,,,))&lt;&gt;"",INDIRECT(ADDRESS(ROW(),7,,,))=""),"valore iniziale","")</f>
        <v/>
      </c>
      <c r="G31" s="91"/>
      <c r="H31" s="62"/>
      <c r="I31" s="62"/>
    </row>
    <row r="32" spans="2:9" ht="20.100000000000001" customHeight="1">
      <c r="B32" s="65" t="str">
        <f ca="1">COPIA!FE27</f>
        <v/>
      </c>
      <c r="C32" s="66" t="str">
        <f ca="1">COPIA!FF27</f>
        <v/>
      </c>
      <c r="D32" s="63"/>
      <c r="E32" s="61"/>
      <c r="F32" s="83" t="str">
        <f ca="1">IF(AND(COPIA!$EN$1=TRUE,INDIRECT(ADDRESS(ROW(),4,,,))&lt;&gt;"",INDIRECT(ADDRESS(ROW(),5,,,))&lt;&gt;"",INDIRECT(ADDRESS(ROW(),7,,,))=""),"valore iniziale","")</f>
        <v/>
      </c>
      <c r="G32" s="91"/>
      <c r="H32" s="62"/>
      <c r="I32" s="62"/>
    </row>
    <row r="33" spans="2:9" ht="20.100000000000001" customHeight="1">
      <c r="B33" s="65" t="str">
        <f ca="1">COPIA!FE28</f>
        <v/>
      </c>
      <c r="C33" s="66" t="str">
        <f ca="1">COPIA!FF28</f>
        <v/>
      </c>
      <c r="D33" s="63"/>
      <c r="E33" s="61"/>
      <c r="F33" s="83" t="str">
        <f ca="1">IF(AND(COPIA!$EN$1=TRUE,INDIRECT(ADDRESS(ROW(),4,,,))&lt;&gt;"",INDIRECT(ADDRESS(ROW(),5,,,))&lt;&gt;"",INDIRECT(ADDRESS(ROW(),7,,,))=""),"valore iniziale","")</f>
        <v/>
      </c>
      <c r="G33" s="91"/>
      <c r="H33" s="62"/>
      <c r="I33" s="62"/>
    </row>
    <row r="34" spans="2:9" ht="20.100000000000001" customHeight="1">
      <c r="B34" s="65" t="str">
        <f ca="1">COPIA!FE29</f>
        <v/>
      </c>
      <c r="C34" s="66" t="str">
        <f ca="1">COPIA!FF29</f>
        <v/>
      </c>
      <c r="D34" s="63"/>
      <c r="E34" s="61"/>
      <c r="F34" s="83" t="str">
        <f ca="1">IF(AND(COPIA!$EN$1=TRUE,INDIRECT(ADDRESS(ROW(),4,,,))&lt;&gt;"",INDIRECT(ADDRESS(ROW(),5,,,))&lt;&gt;"",INDIRECT(ADDRESS(ROW(),7,,,))=""),"valore iniziale","")</f>
        <v/>
      </c>
      <c r="G34" s="91"/>
      <c r="H34" s="62"/>
      <c r="I34" s="62"/>
    </row>
    <row r="35" spans="2:9" ht="20.100000000000001" customHeight="1">
      <c r="B35" s="65" t="str">
        <f ca="1">COPIA!FE30</f>
        <v/>
      </c>
      <c r="C35" s="66" t="str">
        <f ca="1">COPIA!FF30</f>
        <v/>
      </c>
      <c r="D35" s="63"/>
      <c r="E35" s="61"/>
      <c r="F35" s="83" t="str">
        <f ca="1">IF(AND(COPIA!$EN$1=TRUE,INDIRECT(ADDRESS(ROW(),4,,,))&lt;&gt;"",INDIRECT(ADDRESS(ROW(),5,,,))&lt;&gt;"",INDIRECT(ADDRESS(ROW(),7,,,))=""),"valore iniziale","")</f>
        <v/>
      </c>
      <c r="G35" s="91"/>
      <c r="H35" s="62"/>
      <c r="I35" s="62"/>
    </row>
    <row r="36" spans="2:9" ht="20.100000000000001" customHeight="1">
      <c r="B36" s="65" t="str">
        <f ca="1">COPIA!FE31</f>
        <v/>
      </c>
      <c r="C36" s="66" t="str">
        <f ca="1">COPIA!FF31</f>
        <v/>
      </c>
      <c r="D36" s="63"/>
      <c r="E36" s="61"/>
      <c r="F36" s="83" t="str">
        <f ca="1">IF(AND(COPIA!$EN$1=TRUE,INDIRECT(ADDRESS(ROW(),4,,,))&lt;&gt;"",INDIRECT(ADDRESS(ROW(),5,,,))&lt;&gt;"",INDIRECT(ADDRESS(ROW(),7,,,))=""),"valore iniziale","")</f>
        <v/>
      </c>
      <c r="G36" s="91"/>
      <c r="H36" s="62"/>
      <c r="I36" s="62"/>
    </row>
    <row r="37" spans="2:9" ht="20.100000000000001" customHeight="1">
      <c r="B37" s="65" t="str">
        <f ca="1">COPIA!FE32</f>
        <v/>
      </c>
      <c r="C37" s="66" t="str">
        <f ca="1">COPIA!FF32</f>
        <v/>
      </c>
      <c r="D37" s="63"/>
      <c r="E37" s="61"/>
      <c r="F37" s="83" t="str">
        <f ca="1">IF(AND(COPIA!$EN$1=TRUE,INDIRECT(ADDRESS(ROW(),4,,,))&lt;&gt;"",INDIRECT(ADDRESS(ROW(),5,,,))&lt;&gt;"",INDIRECT(ADDRESS(ROW(),7,,,))=""),"valore iniziale","")</f>
        <v/>
      </c>
      <c r="G37" s="91"/>
      <c r="H37" s="62"/>
      <c r="I37" s="62"/>
    </row>
    <row r="38" spans="2:9" ht="20.100000000000001" customHeight="1">
      <c r="B38" s="65" t="str">
        <f ca="1">COPIA!FE33</f>
        <v/>
      </c>
      <c r="C38" s="66" t="str">
        <f ca="1">COPIA!FF33</f>
        <v/>
      </c>
      <c r="D38" s="63"/>
      <c r="E38" s="61"/>
      <c r="F38" s="83" t="str">
        <f ca="1">IF(AND(COPIA!$EN$1=TRUE,INDIRECT(ADDRESS(ROW(),4,,,))&lt;&gt;"",INDIRECT(ADDRESS(ROW(),5,,,))&lt;&gt;"",INDIRECT(ADDRESS(ROW(),7,,,))=""),"valore iniziale","")</f>
        <v/>
      </c>
      <c r="G38" s="91"/>
      <c r="H38" s="62"/>
      <c r="I38" s="62"/>
    </row>
    <row r="39" spans="2:9" ht="20.100000000000001" customHeight="1">
      <c r="B39" s="65" t="str">
        <f ca="1">COPIA!FE34</f>
        <v/>
      </c>
      <c r="C39" s="66" t="str">
        <f ca="1">COPIA!FF34</f>
        <v/>
      </c>
      <c r="D39" s="63"/>
      <c r="E39" s="61"/>
      <c r="F39" s="83" t="str">
        <f ca="1">IF(AND(COPIA!$EN$1=TRUE,INDIRECT(ADDRESS(ROW(),4,,,))&lt;&gt;"",INDIRECT(ADDRESS(ROW(),5,,,))&lt;&gt;"",INDIRECT(ADDRESS(ROW(),7,,,))=""),"valore iniziale","")</f>
        <v/>
      </c>
      <c r="G39" s="91"/>
      <c r="H39" s="62"/>
      <c r="I39" s="62"/>
    </row>
    <row r="40" spans="2:9" ht="20.100000000000001" customHeight="1">
      <c r="B40" s="65" t="str">
        <f ca="1">COPIA!FE35</f>
        <v/>
      </c>
      <c r="C40" s="66" t="str">
        <f ca="1">COPIA!FF35</f>
        <v/>
      </c>
      <c r="D40" s="63"/>
      <c r="E40" s="61"/>
      <c r="F40" s="83" t="str">
        <f ca="1">IF(AND(COPIA!$EN$1=TRUE,INDIRECT(ADDRESS(ROW(),4,,,))&lt;&gt;"",INDIRECT(ADDRESS(ROW(),5,,,))&lt;&gt;"",INDIRECT(ADDRESS(ROW(),7,,,))=""),"valore iniziale","")</f>
        <v/>
      </c>
      <c r="G40" s="91"/>
      <c r="H40" s="62"/>
      <c r="I40" s="62"/>
    </row>
    <row r="41" spans="2:9" ht="20.100000000000001" customHeight="1">
      <c r="B41" s="65" t="str">
        <f ca="1">COPIA!FE36</f>
        <v/>
      </c>
      <c r="C41" s="66" t="str">
        <f ca="1">COPIA!FF36</f>
        <v/>
      </c>
      <c r="D41" s="63"/>
      <c r="E41" s="61"/>
      <c r="F41" s="83" t="str">
        <f ca="1">IF(AND(COPIA!$EN$1=TRUE,INDIRECT(ADDRESS(ROW(),4,,,))&lt;&gt;"",INDIRECT(ADDRESS(ROW(),5,,,))&lt;&gt;"",INDIRECT(ADDRESS(ROW(),7,,,))=""),"valore iniziale","")</f>
        <v/>
      </c>
      <c r="G41" s="91"/>
      <c r="H41" s="62"/>
      <c r="I41" s="62"/>
    </row>
    <row r="42" spans="2:9" ht="20.100000000000001" customHeight="1">
      <c r="B42" s="65" t="str">
        <f ca="1">COPIA!FE37</f>
        <v/>
      </c>
      <c r="C42" s="66" t="str">
        <f ca="1">COPIA!FF37</f>
        <v/>
      </c>
      <c r="D42" s="63"/>
      <c r="E42" s="61"/>
      <c r="F42" s="83" t="str">
        <f ca="1">IF(AND(COPIA!$EN$1=TRUE,INDIRECT(ADDRESS(ROW(),4,,,))&lt;&gt;"",INDIRECT(ADDRESS(ROW(),5,,,))&lt;&gt;"",INDIRECT(ADDRESS(ROW(),7,,,))=""),"valore iniziale","")</f>
        <v/>
      </c>
      <c r="G42" s="91"/>
      <c r="H42" s="62"/>
      <c r="I42" s="62"/>
    </row>
    <row r="43" spans="2:9" ht="20.100000000000001" customHeight="1">
      <c r="B43" s="65" t="str">
        <f ca="1">COPIA!FE38</f>
        <v/>
      </c>
      <c r="C43" s="66" t="str">
        <f ca="1">COPIA!FF38</f>
        <v/>
      </c>
      <c r="D43" s="63"/>
      <c r="E43" s="61"/>
      <c r="F43" s="83" t="str">
        <f ca="1">IF(AND(COPIA!$EN$1=TRUE,INDIRECT(ADDRESS(ROW(),4,,,))&lt;&gt;"",INDIRECT(ADDRESS(ROW(),5,,,))&lt;&gt;"",INDIRECT(ADDRESS(ROW(),7,,,))=""),"valore iniziale","")</f>
        <v/>
      </c>
      <c r="G43" s="91"/>
      <c r="H43" s="62"/>
      <c r="I43" s="62"/>
    </row>
    <row r="44" spans="2:9" ht="20.100000000000001" customHeight="1">
      <c r="B44" s="65" t="str">
        <f ca="1">COPIA!FE39</f>
        <v/>
      </c>
      <c r="C44" s="66" t="str">
        <f ca="1">COPIA!FF39</f>
        <v/>
      </c>
      <c r="D44" s="63"/>
      <c r="E44" s="61"/>
      <c r="F44" s="83" t="str">
        <f ca="1">IF(AND(COPIA!$EN$1=TRUE,INDIRECT(ADDRESS(ROW(),4,,,))&lt;&gt;"",INDIRECT(ADDRESS(ROW(),5,,,))&lt;&gt;"",INDIRECT(ADDRESS(ROW(),7,,,))=""),"valore iniziale","")</f>
        <v/>
      </c>
      <c r="G44" s="91"/>
      <c r="H44" s="62"/>
      <c r="I44" s="62"/>
    </row>
    <row r="45" spans="2:9" ht="20.100000000000001" customHeight="1">
      <c r="B45" s="65" t="str">
        <f ca="1">COPIA!FE40</f>
        <v/>
      </c>
      <c r="C45" s="66" t="str">
        <f ca="1">COPIA!FF40</f>
        <v/>
      </c>
      <c r="D45" s="63"/>
      <c r="E45" s="61"/>
      <c r="F45" s="83" t="str">
        <f ca="1">IF(AND(COPIA!$EN$1=TRUE,INDIRECT(ADDRESS(ROW(),4,,,))&lt;&gt;"",INDIRECT(ADDRESS(ROW(),5,,,))&lt;&gt;"",INDIRECT(ADDRESS(ROW(),7,,,))=""),"valore iniziale","")</f>
        <v/>
      </c>
      <c r="G45" s="91"/>
      <c r="H45" s="62"/>
      <c r="I45" s="62"/>
    </row>
    <row r="46" spans="2:9" ht="20.100000000000001" customHeight="1">
      <c r="B46" s="65" t="str">
        <f ca="1">COPIA!FE41</f>
        <v/>
      </c>
      <c r="C46" s="66" t="str">
        <f ca="1">COPIA!FF41</f>
        <v/>
      </c>
      <c r="D46" s="63"/>
      <c r="E46" s="61"/>
      <c r="F46" s="83" t="str">
        <f ca="1">IF(AND(COPIA!$EN$1=TRUE,INDIRECT(ADDRESS(ROW(),4,,,))&lt;&gt;"",INDIRECT(ADDRESS(ROW(),5,,,))&lt;&gt;"",INDIRECT(ADDRESS(ROW(),7,,,))=""),"valore iniziale","")</f>
        <v/>
      </c>
      <c r="G46" s="91"/>
      <c r="H46" s="62"/>
      <c r="I46" s="62"/>
    </row>
    <row r="47" spans="2:9" ht="20.100000000000001" customHeight="1">
      <c r="B47" s="65" t="str">
        <f ca="1">COPIA!FE42</f>
        <v/>
      </c>
      <c r="C47" s="66" t="str">
        <f ca="1">COPIA!FF42</f>
        <v/>
      </c>
      <c r="D47" s="63"/>
      <c r="E47" s="61"/>
      <c r="F47" s="83" t="str">
        <f ca="1">IF(AND(COPIA!$EN$1=TRUE,INDIRECT(ADDRESS(ROW(),4,,,))&lt;&gt;"",INDIRECT(ADDRESS(ROW(),5,,,))&lt;&gt;"",INDIRECT(ADDRESS(ROW(),7,,,))=""),"valore iniziale","")</f>
        <v/>
      </c>
      <c r="G47" s="91"/>
      <c r="H47" s="62"/>
      <c r="I47" s="62"/>
    </row>
    <row r="48" spans="2:9" ht="20.100000000000001" customHeight="1">
      <c r="B48" s="65" t="str">
        <f ca="1">COPIA!FE43</f>
        <v/>
      </c>
      <c r="C48" s="66" t="str">
        <f ca="1">COPIA!FF43</f>
        <v/>
      </c>
      <c r="D48" s="63"/>
      <c r="E48" s="61"/>
      <c r="F48" s="83" t="str">
        <f ca="1">IF(AND(COPIA!$EN$1=TRUE,INDIRECT(ADDRESS(ROW(),4,,,))&lt;&gt;"",INDIRECT(ADDRESS(ROW(),5,,,))&lt;&gt;"",INDIRECT(ADDRESS(ROW(),7,,,))=""),"valore iniziale","")</f>
        <v/>
      </c>
      <c r="G48" s="91"/>
      <c r="H48" s="62"/>
      <c r="I48" s="62"/>
    </row>
    <row r="49" spans="2:9" ht="20.100000000000001" customHeight="1">
      <c r="B49" s="65" t="str">
        <f ca="1">COPIA!FE44</f>
        <v/>
      </c>
      <c r="C49" s="66" t="str">
        <f ca="1">COPIA!FF44</f>
        <v/>
      </c>
      <c r="D49" s="63"/>
      <c r="E49" s="61"/>
      <c r="F49" s="83" t="str">
        <f ca="1">IF(AND(COPIA!$EN$1=TRUE,INDIRECT(ADDRESS(ROW(),4,,,))&lt;&gt;"",INDIRECT(ADDRESS(ROW(),5,,,))&lt;&gt;"",INDIRECT(ADDRESS(ROW(),7,,,))=""),"valore iniziale","")</f>
        <v/>
      </c>
      <c r="G49" s="91"/>
      <c r="H49" s="62"/>
      <c r="I49" s="62"/>
    </row>
    <row r="50" spans="2:9" ht="20.100000000000001" customHeight="1">
      <c r="B50" s="65" t="str">
        <f ca="1">COPIA!FE45</f>
        <v/>
      </c>
      <c r="C50" s="66" t="str">
        <f ca="1">COPIA!FF45</f>
        <v/>
      </c>
      <c r="D50" s="63"/>
      <c r="E50" s="61"/>
      <c r="F50" s="83" t="str">
        <f ca="1">IF(AND(COPIA!$EN$1=TRUE,INDIRECT(ADDRESS(ROW(),4,,,))&lt;&gt;"",INDIRECT(ADDRESS(ROW(),5,,,))&lt;&gt;"",INDIRECT(ADDRESS(ROW(),7,,,))=""),"valore iniziale","")</f>
        <v/>
      </c>
      <c r="G50" s="91"/>
      <c r="H50" s="62"/>
      <c r="I50" s="62"/>
    </row>
    <row r="51" spans="2:9" ht="20.100000000000001" customHeight="1">
      <c r="B51" s="65" t="str">
        <f ca="1">COPIA!FE46</f>
        <v/>
      </c>
      <c r="C51" s="66" t="str">
        <f ca="1">COPIA!FF46</f>
        <v/>
      </c>
      <c r="D51" s="63"/>
      <c r="E51" s="61"/>
      <c r="F51" s="83" t="str">
        <f ca="1">IF(AND(COPIA!$EN$1=TRUE,INDIRECT(ADDRESS(ROW(),4,,,))&lt;&gt;"",INDIRECT(ADDRESS(ROW(),5,,,))&lt;&gt;"",INDIRECT(ADDRESS(ROW(),7,,,))=""),"valore iniziale","")</f>
        <v/>
      </c>
      <c r="G51" s="91"/>
      <c r="H51" s="62"/>
      <c r="I51" s="62"/>
    </row>
    <row r="52" spans="2:9" ht="20.100000000000001" customHeight="1">
      <c r="B52" s="65" t="str">
        <f ca="1">COPIA!FE47</f>
        <v/>
      </c>
      <c r="C52" s="66" t="str">
        <f ca="1">COPIA!FF47</f>
        <v/>
      </c>
      <c r="D52" s="63"/>
      <c r="E52" s="61"/>
      <c r="F52" s="83" t="str">
        <f ca="1">IF(AND(COPIA!$EN$1=TRUE,INDIRECT(ADDRESS(ROW(),4,,,))&lt;&gt;"",INDIRECT(ADDRESS(ROW(),5,,,))&lt;&gt;"",INDIRECT(ADDRESS(ROW(),7,,,))=""),"valore iniziale","")</f>
        <v/>
      </c>
      <c r="G52" s="91"/>
      <c r="H52" s="62"/>
      <c r="I52" s="62"/>
    </row>
    <row r="53" spans="2:9" ht="20.100000000000001" customHeight="1">
      <c r="B53" s="65" t="str">
        <f ca="1">COPIA!FE48</f>
        <v/>
      </c>
      <c r="C53" s="66" t="str">
        <f ca="1">COPIA!FF48</f>
        <v/>
      </c>
      <c r="D53" s="63"/>
      <c r="E53" s="61"/>
      <c r="F53" s="83" t="str">
        <f ca="1">IF(AND(COPIA!$EN$1=TRUE,INDIRECT(ADDRESS(ROW(),4,,,))&lt;&gt;"",INDIRECT(ADDRESS(ROW(),5,,,))&lt;&gt;"",INDIRECT(ADDRESS(ROW(),7,,,))=""),"valore iniziale","")</f>
        <v/>
      </c>
      <c r="G53" s="91"/>
      <c r="H53" s="62"/>
      <c r="I53" s="62"/>
    </row>
    <row r="54" spans="2:9" ht="20.100000000000001" customHeight="1">
      <c r="B54" s="65" t="str">
        <f ca="1">COPIA!FE49</f>
        <v/>
      </c>
      <c r="C54" s="66" t="str">
        <f ca="1">COPIA!FF49</f>
        <v/>
      </c>
      <c r="D54" s="63"/>
      <c r="E54" s="61"/>
      <c r="F54" s="83" t="str">
        <f ca="1">IF(AND(COPIA!$EN$1=TRUE,INDIRECT(ADDRESS(ROW(),4,,,))&lt;&gt;"",INDIRECT(ADDRESS(ROW(),5,,,))&lt;&gt;"",INDIRECT(ADDRESS(ROW(),7,,,))=""),"valore iniziale","")</f>
        <v/>
      </c>
      <c r="G54" s="91"/>
      <c r="H54" s="62"/>
      <c r="I54" s="62"/>
    </row>
    <row r="55" spans="2:9" ht="20.100000000000001" customHeight="1">
      <c r="B55" s="65" t="str">
        <f ca="1">COPIA!FE50</f>
        <v/>
      </c>
      <c r="C55" s="66" t="str">
        <f ca="1">COPIA!FF50</f>
        <v/>
      </c>
      <c r="D55" s="63"/>
      <c r="E55" s="61"/>
      <c r="F55" s="83" t="str">
        <f ca="1">IF(AND(COPIA!$EN$1=TRUE,INDIRECT(ADDRESS(ROW(),4,,,))&lt;&gt;"",INDIRECT(ADDRESS(ROW(),5,,,))&lt;&gt;"",INDIRECT(ADDRESS(ROW(),7,,,))=""),"valore iniziale","")</f>
        <v/>
      </c>
      <c r="G55" s="91"/>
      <c r="H55" s="62"/>
      <c r="I55" s="62"/>
    </row>
    <row r="56" spans="2:9" ht="20.100000000000001" customHeight="1">
      <c r="B56" s="65" t="str">
        <f ca="1">COPIA!FE51</f>
        <v/>
      </c>
      <c r="C56" s="66" t="str">
        <f ca="1">COPIA!FF51</f>
        <v/>
      </c>
      <c r="D56" s="63"/>
      <c r="E56" s="61"/>
      <c r="F56" s="83" t="str">
        <f ca="1">IF(AND(COPIA!$EN$1=TRUE,INDIRECT(ADDRESS(ROW(),4,,,))&lt;&gt;"",INDIRECT(ADDRESS(ROW(),5,,,))&lt;&gt;"",INDIRECT(ADDRESS(ROW(),7,,,))=""),"valore iniziale","")</f>
        <v/>
      </c>
      <c r="G56" s="91"/>
      <c r="H56" s="62"/>
      <c r="I56" s="62"/>
    </row>
    <row r="57" spans="2:9" ht="20.100000000000001" customHeight="1">
      <c r="B57" s="65" t="str">
        <f ca="1">COPIA!FE52</f>
        <v/>
      </c>
      <c r="C57" s="66" t="str">
        <f ca="1">COPIA!FF52</f>
        <v/>
      </c>
      <c r="D57" s="63"/>
      <c r="E57" s="61"/>
      <c r="F57" s="83" t="str">
        <f ca="1">IF(AND(COPIA!$EN$1=TRUE,INDIRECT(ADDRESS(ROW(),4,,,))&lt;&gt;"",INDIRECT(ADDRESS(ROW(),5,,,))&lt;&gt;"",INDIRECT(ADDRESS(ROW(),7,,,))=""),"valore iniziale","")</f>
        <v/>
      </c>
      <c r="G57" s="91"/>
      <c r="H57" s="62"/>
      <c r="I57" s="62"/>
    </row>
    <row r="58" spans="2:9" ht="20.100000000000001" customHeight="1">
      <c r="B58" s="65" t="str">
        <f ca="1">COPIA!FE53</f>
        <v/>
      </c>
      <c r="C58" s="66" t="str">
        <f ca="1">COPIA!FF53</f>
        <v/>
      </c>
      <c r="D58" s="63"/>
      <c r="E58" s="61"/>
      <c r="F58" s="83" t="str">
        <f ca="1">IF(AND(COPIA!$EN$1=TRUE,INDIRECT(ADDRESS(ROW(),4,,,))&lt;&gt;"",INDIRECT(ADDRESS(ROW(),5,,,))&lt;&gt;"",INDIRECT(ADDRESS(ROW(),7,,,))=""),"valore iniziale","")</f>
        <v/>
      </c>
      <c r="G58" s="91"/>
      <c r="H58" s="62"/>
      <c r="I58" s="62"/>
    </row>
    <row r="59" spans="2:9" ht="20.100000000000001" customHeight="1">
      <c r="B59" s="65" t="str">
        <f ca="1">COPIA!FE54</f>
        <v/>
      </c>
      <c r="C59" s="66" t="str">
        <f ca="1">COPIA!FF54</f>
        <v/>
      </c>
      <c r="D59" s="63"/>
      <c r="E59" s="61"/>
      <c r="F59" s="83" t="str">
        <f ca="1">IF(AND(COPIA!$EN$1=TRUE,INDIRECT(ADDRESS(ROW(),4,,,))&lt;&gt;"",INDIRECT(ADDRESS(ROW(),5,,,))&lt;&gt;"",INDIRECT(ADDRESS(ROW(),7,,,))=""),"valore iniziale","")</f>
        <v/>
      </c>
      <c r="G59" s="91"/>
      <c r="H59" s="62"/>
      <c r="I59" s="62"/>
    </row>
    <row r="60" spans="2:9" ht="20.100000000000001" customHeight="1">
      <c r="B60" s="65" t="str">
        <f ca="1">COPIA!FE55</f>
        <v/>
      </c>
      <c r="C60" s="66" t="str">
        <f ca="1">COPIA!FF55</f>
        <v/>
      </c>
      <c r="D60" s="63"/>
      <c r="E60" s="61"/>
      <c r="F60" s="83" t="str">
        <f ca="1">IF(AND(COPIA!$EN$1=TRUE,INDIRECT(ADDRESS(ROW(),4,,,))&lt;&gt;"",INDIRECT(ADDRESS(ROW(),5,,,))&lt;&gt;"",INDIRECT(ADDRESS(ROW(),7,,,))=""),"valore iniziale","")</f>
        <v/>
      </c>
      <c r="G60" s="91"/>
      <c r="H60" s="62"/>
      <c r="I60" s="62"/>
    </row>
    <row r="61" spans="2:9" ht="20.100000000000001" customHeight="1">
      <c r="B61" s="65" t="str">
        <f ca="1">COPIA!FE56</f>
        <v/>
      </c>
      <c r="C61" s="66" t="str">
        <f ca="1">COPIA!FF56</f>
        <v/>
      </c>
      <c r="D61" s="63"/>
      <c r="E61" s="61"/>
      <c r="F61" s="83" t="str">
        <f ca="1">IF(AND(COPIA!$EN$1=TRUE,INDIRECT(ADDRESS(ROW(),4,,,))&lt;&gt;"",INDIRECT(ADDRESS(ROW(),5,,,))&lt;&gt;"",INDIRECT(ADDRESS(ROW(),7,,,))=""),"valore iniziale","")</f>
        <v/>
      </c>
      <c r="G61" s="91"/>
      <c r="H61" s="62"/>
      <c r="I61" s="62"/>
    </row>
    <row r="62" spans="2:9" ht="20.100000000000001" customHeight="1">
      <c r="B62" s="65" t="str">
        <f ca="1">COPIA!FE57</f>
        <v/>
      </c>
      <c r="C62" s="66" t="str">
        <f ca="1">COPIA!FF57</f>
        <v/>
      </c>
      <c r="D62" s="63"/>
      <c r="E62" s="61"/>
      <c r="F62" s="83" t="str">
        <f ca="1">IF(AND(COPIA!$EN$1=TRUE,INDIRECT(ADDRESS(ROW(),4,,,))&lt;&gt;"",INDIRECT(ADDRESS(ROW(),5,,,))&lt;&gt;"",INDIRECT(ADDRESS(ROW(),7,,,))=""),"valore iniziale","")</f>
        <v/>
      </c>
      <c r="G62" s="91"/>
      <c r="H62" s="62"/>
      <c r="I62" s="62"/>
    </row>
    <row r="63" spans="2:9" ht="20.100000000000001" customHeight="1">
      <c r="B63" s="65" t="str">
        <f ca="1">COPIA!FE58</f>
        <v/>
      </c>
      <c r="C63" s="66" t="str">
        <f ca="1">COPIA!FF58</f>
        <v/>
      </c>
      <c r="D63" s="63"/>
      <c r="E63" s="61"/>
      <c r="F63" s="83" t="str">
        <f ca="1">IF(AND(COPIA!$EN$1=TRUE,INDIRECT(ADDRESS(ROW(),4,,,))&lt;&gt;"",INDIRECT(ADDRESS(ROW(),5,,,))&lt;&gt;"",INDIRECT(ADDRESS(ROW(),7,,,))=""),"valore iniziale","")</f>
        <v/>
      </c>
      <c r="G63" s="91"/>
      <c r="H63" s="62"/>
      <c r="I63" s="62"/>
    </row>
    <row r="64" spans="2:9" ht="20.100000000000001" customHeight="1">
      <c r="B64" s="65" t="str">
        <f ca="1">COPIA!FE59</f>
        <v/>
      </c>
      <c r="C64" s="66" t="str">
        <f ca="1">COPIA!FF59</f>
        <v/>
      </c>
      <c r="D64" s="63"/>
      <c r="E64" s="61"/>
      <c r="F64" s="83" t="str">
        <f ca="1">IF(AND(COPIA!$EN$1=TRUE,INDIRECT(ADDRESS(ROW(),4,,,))&lt;&gt;"",INDIRECT(ADDRESS(ROW(),5,,,))&lt;&gt;"",INDIRECT(ADDRESS(ROW(),7,,,))=""),"valore iniziale","")</f>
        <v/>
      </c>
      <c r="G64" s="91"/>
      <c r="H64" s="62"/>
      <c r="I64" s="62"/>
    </row>
    <row r="65" spans="2:11" ht="20.100000000000001" customHeight="1">
      <c r="B65" s="65" t="str">
        <f ca="1">COPIA!FE60</f>
        <v/>
      </c>
      <c r="C65" s="66" t="str">
        <f ca="1">COPIA!FF60</f>
        <v/>
      </c>
      <c r="D65" s="63"/>
      <c r="E65" s="61"/>
      <c r="F65" s="83" t="str">
        <f ca="1">IF(AND(COPIA!$EN$1=TRUE,INDIRECT(ADDRESS(ROW(),4,,,))&lt;&gt;"",INDIRECT(ADDRESS(ROW(),5,,,))&lt;&gt;"",INDIRECT(ADDRESS(ROW(),7,,,))=""),"valore iniziale","")</f>
        <v/>
      </c>
      <c r="G65" s="91"/>
      <c r="H65" s="62"/>
      <c r="I65" s="62"/>
    </row>
    <row r="66" spans="2:11" ht="20.100000000000001" customHeight="1">
      <c r="B66" s="65" t="str">
        <f ca="1">COPIA!FE61</f>
        <v/>
      </c>
      <c r="C66" s="66" t="str">
        <f ca="1">COPIA!FF61</f>
        <v/>
      </c>
      <c r="D66" s="63"/>
      <c r="E66" s="61"/>
      <c r="F66" s="83" t="str">
        <f ca="1">IF(AND(COPIA!$EN$1=TRUE,INDIRECT(ADDRESS(ROW(),4,,,))&lt;&gt;"",INDIRECT(ADDRESS(ROW(),5,,,))&lt;&gt;"",INDIRECT(ADDRESS(ROW(),7,,,))=""),"valore iniziale","")</f>
        <v/>
      </c>
      <c r="G66" s="91"/>
      <c r="H66" s="62"/>
      <c r="I66" s="62"/>
    </row>
    <row r="67" spans="2:11" ht="20.100000000000001" customHeight="1">
      <c r="B67" s="65" t="str">
        <f ca="1">COPIA!FE62</f>
        <v/>
      </c>
      <c r="C67" s="66" t="str">
        <f ca="1">COPIA!FF62</f>
        <v/>
      </c>
      <c r="D67" s="63"/>
      <c r="E67" s="61"/>
      <c r="F67" s="83" t="str">
        <f ca="1">IF(AND(COPIA!$EN$1=TRUE,INDIRECT(ADDRESS(ROW(),4,,,))&lt;&gt;"",INDIRECT(ADDRESS(ROW(),5,,,))&lt;&gt;"",INDIRECT(ADDRESS(ROW(),7,,,))=""),"valore iniziale","")</f>
        <v/>
      </c>
      <c r="G67" s="91"/>
      <c r="H67" s="62"/>
      <c r="I67" s="62"/>
    </row>
    <row r="68" spans="2:11" ht="20.100000000000001" customHeight="1">
      <c r="B68" s="65" t="str">
        <f ca="1">COPIA!FE63</f>
        <v/>
      </c>
      <c r="C68" s="66" t="str">
        <f ca="1">COPIA!FF63</f>
        <v/>
      </c>
      <c r="D68" s="63"/>
      <c r="E68" s="61"/>
      <c r="F68" s="83" t="str">
        <f ca="1">IF(AND(COPIA!$EN$1=TRUE,INDIRECT(ADDRESS(ROW(),4,,,))&lt;&gt;"",INDIRECT(ADDRESS(ROW(),5,,,))&lt;&gt;"",INDIRECT(ADDRESS(ROW(),7,,,))=""),"valore iniziale","")</f>
        <v/>
      </c>
      <c r="G68" s="91"/>
      <c r="H68" s="62"/>
      <c r="I68" s="62"/>
    </row>
    <row r="69" spans="2:11" ht="20.100000000000001" customHeight="1">
      <c r="B69" s="65" t="str">
        <f ca="1">COPIA!FE64</f>
        <v/>
      </c>
      <c r="C69" s="66" t="str">
        <f ca="1">COPIA!FF64</f>
        <v/>
      </c>
      <c r="D69" s="63"/>
      <c r="E69" s="61"/>
      <c r="F69" s="83" t="str">
        <f ca="1">IF(AND(COPIA!$EN$1=TRUE,INDIRECT(ADDRESS(ROW(),4,,,))&lt;&gt;"",INDIRECT(ADDRESS(ROW(),5,,,))&lt;&gt;"",INDIRECT(ADDRESS(ROW(),7,,,))=""),"valore iniziale","")</f>
        <v/>
      </c>
      <c r="G69" s="91"/>
      <c r="H69" s="62"/>
      <c r="I69" s="62"/>
    </row>
    <row r="70" spans="2:11" ht="20.100000000000001" customHeight="1">
      <c r="B70" s="65" t="str">
        <f ca="1">COPIA!FE65</f>
        <v/>
      </c>
      <c r="C70" s="66" t="str">
        <f ca="1">COPIA!FF65</f>
        <v/>
      </c>
      <c r="D70" s="63"/>
      <c r="E70" s="61"/>
      <c r="F70" s="83" t="str">
        <f ca="1">IF(AND(COPIA!$EN$1=TRUE,INDIRECT(ADDRESS(ROW(),4,,,))&lt;&gt;"",INDIRECT(ADDRESS(ROW(),5,,,))&lt;&gt;"",INDIRECT(ADDRESS(ROW(),7,,,))=""),"valore iniziale","")</f>
        <v/>
      </c>
      <c r="G70" s="91"/>
      <c r="H70" s="62"/>
      <c r="I70" s="62"/>
    </row>
    <row r="71" spans="2:11" ht="20.100000000000001" customHeight="1">
      <c r="B71" s="65" t="str">
        <f ca="1">COPIA!FE66</f>
        <v/>
      </c>
      <c r="C71" s="66" t="str">
        <f ca="1">COPIA!FF66</f>
        <v/>
      </c>
      <c r="D71" s="63"/>
      <c r="E71" s="61"/>
      <c r="F71" s="83" t="str">
        <f ca="1">IF(AND(COPIA!$EN$1=TRUE,INDIRECT(ADDRESS(ROW(),4,,,))&lt;&gt;"",INDIRECT(ADDRESS(ROW(),5,,,))&lt;&gt;"",INDIRECT(ADDRESS(ROW(),7,,,))=""),"valore iniziale","")</f>
        <v/>
      </c>
      <c r="G71" s="91"/>
      <c r="H71" s="62"/>
      <c r="I71" s="62"/>
    </row>
    <row r="72" spans="2:11" ht="20.100000000000001" customHeight="1">
      <c r="B72" s="65" t="str">
        <f ca="1">COPIA!FE67</f>
        <v/>
      </c>
      <c r="C72" s="66" t="str">
        <f ca="1">COPIA!FF67</f>
        <v/>
      </c>
      <c r="D72" s="63"/>
      <c r="E72" s="61"/>
      <c r="F72" s="83" t="str">
        <f ca="1">IF(AND(COPIA!$EN$1=TRUE,INDIRECT(ADDRESS(ROW(),4,,,))&lt;&gt;"",INDIRECT(ADDRESS(ROW(),5,,,))&lt;&gt;"",INDIRECT(ADDRESS(ROW(),7,,,))=""),"valore iniziale","")</f>
        <v/>
      </c>
      <c r="G72" s="91"/>
      <c r="H72" s="62"/>
      <c r="I72" s="62"/>
    </row>
    <row r="73" spans="2:11" ht="20.100000000000001" customHeight="1">
      <c r="B73" s="65" t="str">
        <f ca="1">COPIA!FE68</f>
        <v/>
      </c>
      <c r="C73" s="66" t="str">
        <f ca="1">COPIA!FF68</f>
        <v/>
      </c>
      <c r="D73" s="63"/>
      <c r="E73" s="61"/>
      <c r="F73" s="83" t="str">
        <f ca="1">IF(AND(COPIA!$EN$1=TRUE,INDIRECT(ADDRESS(ROW(),4,,,))&lt;&gt;"",INDIRECT(ADDRESS(ROW(),5,,,))&lt;&gt;"",INDIRECT(ADDRESS(ROW(),7,,,))=""),"valore iniziale","")</f>
        <v/>
      </c>
      <c r="G73" s="91"/>
      <c r="H73" s="62"/>
      <c r="I73" s="62"/>
    </row>
    <row r="74" spans="2:11" ht="20.100000000000001" customHeight="1">
      <c r="B74" s="65" t="str">
        <f ca="1">COPIA!FE69</f>
        <v/>
      </c>
      <c r="C74" s="66" t="str">
        <f ca="1">COPIA!FF69</f>
        <v/>
      </c>
      <c r="D74" s="63"/>
      <c r="E74" s="61"/>
      <c r="F74" s="83" t="str">
        <f ca="1">IF(AND(COPIA!$EN$1=TRUE,INDIRECT(ADDRESS(ROW(),4,,,))&lt;&gt;"",INDIRECT(ADDRESS(ROW(),5,,,))&lt;&gt;"",INDIRECT(ADDRESS(ROW(),7,,,))=""),"valore iniziale","")</f>
        <v/>
      </c>
      <c r="G74" s="91"/>
      <c r="H74" s="62"/>
      <c r="I74" s="62"/>
    </row>
    <row r="75" spans="2:11" ht="20.100000000000001" customHeight="1">
      <c r="B75" s="65" t="str">
        <f ca="1">COPIA!FE70</f>
        <v/>
      </c>
      <c r="C75" s="66" t="str">
        <f ca="1">COPIA!FF70</f>
        <v/>
      </c>
      <c r="D75" s="63"/>
      <c r="E75" s="61"/>
      <c r="F75" s="83" t="str">
        <f ca="1">IF(AND(COPIA!$EN$1=TRUE,INDIRECT(ADDRESS(ROW(),4,,,))&lt;&gt;"",INDIRECT(ADDRESS(ROW(),5,,,))&lt;&gt;"",INDIRECT(ADDRESS(ROW(),7,,,))=""),"valore iniziale","")</f>
        <v/>
      </c>
      <c r="G75" s="91"/>
      <c r="H75" s="62"/>
      <c r="I75" s="62"/>
    </row>
    <row r="76" spans="2:11" ht="20.100000000000001" customHeight="1">
      <c r="B76" s="65" t="str">
        <f ca="1">COPIA!FE71</f>
        <v/>
      </c>
      <c r="C76" s="66" t="str">
        <f ca="1">COPIA!FF71</f>
        <v/>
      </c>
      <c r="D76" s="63"/>
      <c r="E76" s="61"/>
      <c r="F76" s="83" t="str">
        <f ca="1">IF(AND(COPIA!$EN$1=TRUE,INDIRECT(ADDRESS(ROW(),4,,,))&lt;&gt;"",INDIRECT(ADDRESS(ROW(),5,,,))&lt;&gt;"",INDIRECT(ADDRESS(ROW(),7,,,))=""),"valore iniziale","")</f>
        <v/>
      </c>
      <c r="G76" s="91"/>
      <c r="H76" s="62"/>
      <c r="I76" s="62"/>
      <c r="J76" s="52"/>
      <c r="K76" s="52"/>
    </row>
    <row r="77" spans="2:11" ht="20.100000000000001" customHeight="1">
      <c r="B77" s="65" t="str">
        <f ca="1">COPIA!FE72</f>
        <v/>
      </c>
      <c r="C77" s="66" t="str">
        <f ca="1">COPIA!FF72</f>
        <v/>
      </c>
      <c r="D77" s="63"/>
      <c r="E77" s="61"/>
      <c r="F77" s="83" t="str">
        <f ca="1">IF(AND(COPIA!$EN$1=TRUE,INDIRECT(ADDRESS(ROW(),4,,,))&lt;&gt;"",INDIRECT(ADDRESS(ROW(),5,,,))&lt;&gt;"",INDIRECT(ADDRESS(ROW(),7,,,))=""),"valore iniziale","")</f>
        <v/>
      </c>
      <c r="G77" s="91"/>
      <c r="H77" s="62"/>
      <c r="I77" s="62"/>
    </row>
    <row r="78" spans="2:11" ht="20.100000000000001" customHeight="1">
      <c r="B78" s="65" t="str">
        <f ca="1">COPIA!FE73</f>
        <v/>
      </c>
      <c r="C78" s="66" t="str">
        <f ca="1">COPIA!FF73</f>
        <v/>
      </c>
      <c r="D78" s="63"/>
      <c r="E78" s="61"/>
      <c r="F78" s="83" t="str">
        <f ca="1">IF(AND(COPIA!$EN$1=TRUE,INDIRECT(ADDRESS(ROW(),4,,,))&lt;&gt;"",INDIRECT(ADDRESS(ROW(),5,,,))&lt;&gt;"",INDIRECT(ADDRESS(ROW(),7,,,))=""),"valore iniziale","")</f>
        <v/>
      </c>
      <c r="G78" s="91"/>
      <c r="H78" s="62"/>
      <c r="I78" s="62"/>
    </row>
    <row r="79" spans="2:11" ht="20.100000000000001" customHeight="1">
      <c r="B79" s="65" t="str">
        <f ca="1">COPIA!FE74</f>
        <v/>
      </c>
      <c r="C79" s="66" t="str">
        <f ca="1">COPIA!FF74</f>
        <v/>
      </c>
      <c r="D79" s="63"/>
      <c r="E79" s="61"/>
      <c r="F79" s="83" t="str">
        <f ca="1">IF(AND(COPIA!$EN$1=TRUE,INDIRECT(ADDRESS(ROW(),4,,,))&lt;&gt;"",INDIRECT(ADDRESS(ROW(),5,,,))&lt;&gt;"",INDIRECT(ADDRESS(ROW(),7,,,))=""),"valore iniziale","")</f>
        <v/>
      </c>
      <c r="G79" s="91"/>
      <c r="H79" s="62"/>
      <c r="I79" s="62"/>
    </row>
    <row r="80" spans="2:11" ht="20.100000000000001" customHeight="1">
      <c r="B80" s="65" t="str">
        <f ca="1">COPIA!FE75</f>
        <v/>
      </c>
      <c r="C80" s="66" t="str">
        <f ca="1">COPIA!FF75</f>
        <v/>
      </c>
      <c r="D80" s="63"/>
      <c r="E80" s="61"/>
      <c r="F80" s="83" t="str">
        <f ca="1">IF(AND(COPIA!$EN$1=TRUE,INDIRECT(ADDRESS(ROW(),4,,,))&lt;&gt;"",INDIRECT(ADDRESS(ROW(),5,,,))&lt;&gt;"",INDIRECT(ADDRESS(ROW(),7,,,))=""),"valore iniziale","")</f>
        <v/>
      </c>
      <c r="G80" s="91"/>
      <c r="H80" s="62"/>
      <c r="I80" s="62"/>
    </row>
    <row r="81" spans="2:9" ht="20.100000000000001" customHeight="1">
      <c r="B81" s="65" t="str">
        <f ca="1">COPIA!FE76</f>
        <v/>
      </c>
      <c r="C81" s="66" t="str">
        <f ca="1">COPIA!FF76</f>
        <v/>
      </c>
      <c r="D81" s="63"/>
      <c r="E81" s="61"/>
      <c r="F81" s="83" t="str">
        <f ca="1">IF(AND(COPIA!$EN$1=TRUE,INDIRECT(ADDRESS(ROW(),4,,,))&lt;&gt;"",INDIRECT(ADDRESS(ROW(),5,,,))&lt;&gt;"",INDIRECT(ADDRESS(ROW(),7,,,))=""),"valore iniziale","")</f>
        <v/>
      </c>
      <c r="G81" s="91"/>
      <c r="H81" s="62"/>
      <c r="I81" s="62"/>
    </row>
    <row r="82" spans="2:9" ht="20.100000000000001" customHeight="1">
      <c r="B82" s="65" t="str">
        <f ca="1">COPIA!FE77</f>
        <v/>
      </c>
      <c r="C82" s="66" t="str">
        <f ca="1">COPIA!FF77</f>
        <v/>
      </c>
      <c r="D82" s="63"/>
      <c r="E82" s="61"/>
      <c r="F82" s="83" t="str">
        <f ca="1">IF(AND(COPIA!$EN$1=TRUE,INDIRECT(ADDRESS(ROW(),4,,,))&lt;&gt;"",INDIRECT(ADDRESS(ROW(),5,,,))&lt;&gt;"",INDIRECT(ADDRESS(ROW(),7,,,))=""),"valore iniziale","")</f>
        <v/>
      </c>
      <c r="G82" s="91"/>
      <c r="H82" s="62"/>
      <c r="I82" s="62"/>
    </row>
    <row r="83" spans="2:9" ht="20.100000000000001" customHeight="1">
      <c r="B83" s="65" t="str">
        <f ca="1">COPIA!FE78</f>
        <v/>
      </c>
      <c r="C83" s="66" t="str">
        <f ca="1">COPIA!FF78</f>
        <v/>
      </c>
      <c r="D83" s="63"/>
      <c r="E83" s="61"/>
      <c r="F83" s="83" t="str">
        <f ca="1">IF(AND(COPIA!$EN$1=TRUE,INDIRECT(ADDRESS(ROW(),4,,,))&lt;&gt;"",INDIRECT(ADDRESS(ROW(),5,,,))&lt;&gt;"",INDIRECT(ADDRESS(ROW(),7,,,))=""),"valore iniziale","")</f>
        <v/>
      </c>
      <c r="G83" s="91"/>
      <c r="H83" s="62"/>
      <c r="I83" s="62"/>
    </row>
    <row r="84" spans="2:9" ht="20.100000000000001" customHeight="1">
      <c r="B84" s="65" t="str">
        <f ca="1">COPIA!FE79</f>
        <v/>
      </c>
      <c r="C84" s="66" t="str">
        <f ca="1">COPIA!FF79</f>
        <v/>
      </c>
      <c r="D84" s="63"/>
      <c r="E84" s="61"/>
      <c r="F84" s="83" t="str">
        <f ca="1">IF(AND(COPIA!$EN$1=TRUE,INDIRECT(ADDRESS(ROW(),4,,,))&lt;&gt;"",INDIRECT(ADDRESS(ROW(),5,,,))&lt;&gt;"",INDIRECT(ADDRESS(ROW(),7,,,))=""),"valore iniziale","")</f>
        <v/>
      </c>
      <c r="G84" s="91"/>
      <c r="H84" s="62"/>
      <c r="I84" s="62"/>
    </row>
    <row r="85" spans="2:9" ht="20.100000000000001" customHeight="1">
      <c r="B85" s="65" t="str">
        <f ca="1">COPIA!FE80</f>
        <v/>
      </c>
      <c r="C85" s="66" t="str">
        <f ca="1">COPIA!FF80</f>
        <v/>
      </c>
      <c r="D85" s="63"/>
      <c r="E85" s="61"/>
      <c r="F85" s="83" t="str">
        <f ca="1">IF(AND(COPIA!$EN$1=TRUE,INDIRECT(ADDRESS(ROW(),4,,,))&lt;&gt;"",INDIRECT(ADDRESS(ROW(),5,,,))&lt;&gt;"",INDIRECT(ADDRESS(ROW(),7,,,))=""),"valore iniziale","")</f>
        <v/>
      </c>
      <c r="G85" s="91"/>
      <c r="H85" s="62"/>
      <c r="I85" s="62"/>
    </row>
    <row r="86" spans="2:9" ht="20.100000000000001" customHeight="1">
      <c r="B86" s="65" t="str">
        <f ca="1">COPIA!FE81</f>
        <v/>
      </c>
      <c r="C86" s="66" t="str">
        <f ca="1">COPIA!FF81</f>
        <v/>
      </c>
      <c r="D86" s="63"/>
      <c r="E86" s="61"/>
      <c r="F86" s="83" t="str">
        <f ca="1">IF(AND(COPIA!$EN$1=TRUE,INDIRECT(ADDRESS(ROW(),4,,,))&lt;&gt;"",INDIRECT(ADDRESS(ROW(),5,,,))&lt;&gt;"",INDIRECT(ADDRESS(ROW(),7,,,))=""),"valore iniziale","")</f>
        <v/>
      </c>
      <c r="G86" s="91"/>
      <c r="H86" s="62"/>
      <c r="I86" s="62"/>
    </row>
    <row r="87" spans="2:9" ht="20.100000000000001" customHeight="1">
      <c r="B87" s="65" t="str">
        <f ca="1">COPIA!FE82</f>
        <v/>
      </c>
      <c r="C87" s="66" t="str">
        <f ca="1">COPIA!FF82</f>
        <v/>
      </c>
      <c r="D87" s="63"/>
      <c r="E87" s="61"/>
      <c r="F87" s="83" t="str">
        <f ca="1">IF(AND(COPIA!$EN$1=TRUE,INDIRECT(ADDRESS(ROW(),4,,,))&lt;&gt;"",INDIRECT(ADDRESS(ROW(),5,,,))&lt;&gt;"",INDIRECT(ADDRESS(ROW(),7,,,))=""),"valore iniziale","")</f>
        <v/>
      </c>
      <c r="G87" s="91"/>
      <c r="H87" s="62"/>
      <c r="I87" s="62"/>
    </row>
    <row r="88" spans="2:9" ht="20.100000000000001" customHeight="1">
      <c r="B88" s="65" t="str">
        <f ca="1">COPIA!FE83</f>
        <v/>
      </c>
      <c r="C88" s="66" t="str">
        <f ca="1">COPIA!FF83</f>
        <v/>
      </c>
      <c r="D88" s="63"/>
      <c r="E88" s="61"/>
      <c r="F88" s="83" t="str">
        <f ca="1">IF(AND(COPIA!$EN$1=TRUE,INDIRECT(ADDRESS(ROW(),4,,,))&lt;&gt;"",INDIRECT(ADDRESS(ROW(),5,,,))&lt;&gt;"",INDIRECT(ADDRESS(ROW(),7,,,))=""),"valore iniziale","")</f>
        <v/>
      </c>
      <c r="G88" s="91"/>
      <c r="H88" s="62"/>
      <c r="I88" s="62"/>
    </row>
    <row r="89" spans="2:9" ht="20.100000000000001" customHeight="1">
      <c r="B89" s="65" t="str">
        <f ca="1">COPIA!FE84</f>
        <v/>
      </c>
      <c r="C89" s="66" t="str">
        <f ca="1">COPIA!FF84</f>
        <v/>
      </c>
      <c r="D89" s="63"/>
      <c r="E89" s="61"/>
      <c r="F89" s="83" t="str">
        <f ca="1">IF(AND(COPIA!$EN$1=TRUE,INDIRECT(ADDRESS(ROW(),4,,,))&lt;&gt;"",INDIRECT(ADDRESS(ROW(),5,,,))&lt;&gt;"",INDIRECT(ADDRESS(ROW(),7,,,))=""),"valore iniziale","")</f>
        <v/>
      </c>
      <c r="G89" s="91"/>
      <c r="H89" s="62"/>
      <c r="I89" s="62"/>
    </row>
    <row r="90" spans="2:9" ht="20.100000000000001" customHeight="1">
      <c r="B90" s="65" t="str">
        <f ca="1">COPIA!FE85</f>
        <v/>
      </c>
      <c r="C90" s="66" t="str">
        <f ca="1">COPIA!FF85</f>
        <v/>
      </c>
      <c r="D90" s="63"/>
      <c r="E90" s="61"/>
      <c r="F90" s="83" t="str">
        <f ca="1">IF(AND(COPIA!$EN$1=TRUE,INDIRECT(ADDRESS(ROW(),4,,,))&lt;&gt;"",INDIRECT(ADDRESS(ROW(),5,,,))&lt;&gt;"",INDIRECT(ADDRESS(ROW(),7,,,))=""),"valore iniziale","")</f>
        <v/>
      </c>
      <c r="G90" s="91"/>
      <c r="H90" s="62"/>
      <c r="I90" s="62"/>
    </row>
    <row r="91" spans="2:9" ht="20.100000000000001" customHeight="1">
      <c r="B91" s="65" t="str">
        <f ca="1">COPIA!FE86</f>
        <v/>
      </c>
      <c r="C91" s="66" t="str">
        <f ca="1">COPIA!FF86</f>
        <v/>
      </c>
      <c r="D91" s="63"/>
      <c r="E91" s="61"/>
      <c r="F91" s="83" t="str">
        <f ca="1">IF(AND(COPIA!$EN$1=TRUE,INDIRECT(ADDRESS(ROW(),4,,,))&lt;&gt;"",INDIRECT(ADDRESS(ROW(),5,,,))&lt;&gt;"",INDIRECT(ADDRESS(ROW(),7,,,))=""),"valore iniziale","")</f>
        <v/>
      </c>
      <c r="G91" s="91"/>
      <c r="H91" s="62"/>
      <c r="I91" s="62"/>
    </row>
    <row r="92" spans="2:9" ht="20.100000000000001" customHeight="1">
      <c r="B92" s="65" t="str">
        <f ca="1">COPIA!FE87</f>
        <v/>
      </c>
      <c r="C92" s="66" t="str">
        <f ca="1">COPIA!FF87</f>
        <v/>
      </c>
      <c r="D92" s="63"/>
      <c r="E92" s="61"/>
      <c r="F92" s="83" t="str">
        <f ca="1">IF(AND(COPIA!$EN$1=TRUE,INDIRECT(ADDRESS(ROW(),4,,,))&lt;&gt;"",INDIRECT(ADDRESS(ROW(),5,,,))&lt;&gt;"",INDIRECT(ADDRESS(ROW(),7,,,))=""),"valore iniziale","")</f>
        <v/>
      </c>
      <c r="G92" s="91"/>
      <c r="H92" s="62"/>
      <c r="I92" s="62"/>
    </row>
    <row r="93" spans="2:9" ht="20.100000000000001" customHeight="1">
      <c r="B93" s="65" t="str">
        <f ca="1">COPIA!FE88</f>
        <v/>
      </c>
      <c r="C93" s="66" t="str">
        <f ca="1">COPIA!FF88</f>
        <v/>
      </c>
      <c r="D93" s="63"/>
      <c r="E93" s="61"/>
      <c r="F93" s="83" t="str">
        <f ca="1">IF(AND(COPIA!$EN$1=TRUE,INDIRECT(ADDRESS(ROW(),4,,,))&lt;&gt;"",INDIRECT(ADDRESS(ROW(),5,,,))&lt;&gt;"",INDIRECT(ADDRESS(ROW(),7,,,))=""),"valore iniziale","")</f>
        <v/>
      </c>
      <c r="G93" s="91"/>
      <c r="H93" s="62"/>
      <c r="I93" s="62"/>
    </row>
    <row r="94" spans="2:9" ht="20.100000000000001" customHeight="1">
      <c r="B94" s="65" t="str">
        <f ca="1">COPIA!FE89</f>
        <v/>
      </c>
      <c r="C94" s="66" t="str">
        <f ca="1">COPIA!FF89</f>
        <v/>
      </c>
      <c r="D94" s="63"/>
      <c r="E94" s="61"/>
      <c r="F94" s="83" t="str">
        <f ca="1">IF(AND(COPIA!$EN$1=TRUE,INDIRECT(ADDRESS(ROW(),4,,,))&lt;&gt;"",INDIRECT(ADDRESS(ROW(),5,,,))&lt;&gt;"",INDIRECT(ADDRESS(ROW(),7,,,))=""),"valore iniziale","")</f>
        <v/>
      </c>
      <c r="G94" s="91"/>
      <c r="H94" s="62"/>
      <c r="I94" s="62"/>
    </row>
    <row r="95" spans="2:9" ht="20.100000000000001" customHeight="1">
      <c r="B95" s="65" t="str">
        <f ca="1">COPIA!FE90</f>
        <v/>
      </c>
      <c r="C95" s="66" t="str">
        <f ca="1">COPIA!FF90</f>
        <v/>
      </c>
      <c r="D95" s="63"/>
      <c r="E95" s="61"/>
      <c r="F95" s="83" t="str">
        <f ca="1">IF(AND(COPIA!$EN$1=TRUE,INDIRECT(ADDRESS(ROW(),4,,,))&lt;&gt;"",INDIRECT(ADDRESS(ROW(),5,,,))&lt;&gt;"",INDIRECT(ADDRESS(ROW(),7,,,))=""),"valore iniziale","")</f>
        <v/>
      </c>
      <c r="G95" s="91"/>
      <c r="H95" s="62"/>
      <c r="I95" s="62"/>
    </row>
    <row r="96" spans="2:9" ht="20.100000000000001" customHeight="1">
      <c r="B96" s="65" t="str">
        <f ca="1">COPIA!FE91</f>
        <v/>
      </c>
      <c r="C96" s="66" t="str">
        <f ca="1">COPIA!FF91</f>
        <v/>
      </c>
      <c r="D96" s="63"/>
      <c r="E96" s="61"/>
      <c r="F96" s="83" t="str">
        <f ca="1">IF(AND(COPIA!$EN$1=TRUE,INDIRECT(ADDRESS(ROW(),4,,,))&lt;&gt;"",INDIRECT(ADDRESS(ROW(),5,,,))&lt;&gt;"",INDIRECT(ADDRESS(ROW(),7,,,))=""),"valore iniziale","")</f>
        <v/>
      </c>
      <c r="G96" s="91"/>
      <c r="H96" s="62"/>
      <c r="I96" s="62"/>
    </row>
    <row r="97" spans="2:9" ht="20.100000000000001" customHeight="1">
      <c r="B97" s="65" t="str">
        <f ca="1">COPIA!FE92</f>
        <v/>
      </c>
      <c r="C97" s="66" t="str">
        <f ca="1">COPIA!FF92</f>
        <v/>
      </c>
      <c r="D97" s="63"/>
      <c r="E97" s="61"/>
      <c r="F97" s="83" t="str">
        <f ca="1">IF(AND(COPIA!$EN$1=TRUE,INDIRECT(ADDRESS(ROW(),4,,,))&lt;&gt;"",INDIRECT(ADDRESS(ROW(),5,,,))&lt;&gt;"",INDIRECT(ADDRESS(ROW(),7,,,))=""),"valore iniziale","")</f>
        <v/>
      </c>
      <c r="G97" s="91"/>
      <c r="H97" s="62"/>
      <c r="I97" s="62"/>
    </row>
    <row r="98" spans="2:9" ht="20.100000000000001" customHeight="1">
      <c r="B98" s="65" t="str">
        <f ca="1">COPIA!FE93</f>
        <v/>
      </c>
      <c r="C98" s="66" t="str">
        <f ca="1">COPIA!FF93</f>
        <v/>
      </c>
      <c r="D98" s="63"/>
      <c r="E98" s="61"/>
      <c r="F98" s="83" t="str">
        <f ca="1">IF(AND(COPIA!$EN$1=TRUE,INDIRECT(ADDRESS(ROW(),4,,,))&lt;&gt;"",INDIRECT(ADDRESS(ROW(),5,,,))&lt;&gt;"",INDIRECT(ADDRESS(ROW(),7,,,))=""),"valore iniziale","")</f>
        <v/>
      </c>
      <c r="G98" s="91"/>
      <c r="H98" s="62"/>
      <c r="I98" s="62"/>
    </row>
    <row r="99" spans="2:9" ht="20.100000000000001" customHeight="1">
      <c r="B99" s="65" t="str">
        <f ca="1">COPIA!FE94</f>
        <v/>
      </c>
      <c r="C99" s="66" t="str">
        <f ca="1">COPIA!FF94</f>
        <v/>
      </c>
      <c r="D99" s="63"/>
      <c r="E99" s="61"/>
      <c r="F99" s="83" t="str">
        <f ca="1">IF(AND(COPIA!$EN$1=TRUE,INDIRECT(ADDRESS(ROW(),4,,,))&lt;&gt;"",INDIRECT(ADDRESS(ROW(),5,,,))&lt;&gt;"",INDIRECT(ADDRESS(ROW(),7,,,))=""),"valore iniziale","")</f>
        <v/>
      </c>
      <c r="G99" s="91"/>
      <c r="H99" s="62"/>
      <c r="I99" s="62"/>
    </row>
    <row r="100" spans="2:9" ht="20.100000000000001" customHeight="1">
      <c r="B100" s="65" t="str">
        <f ca="1">COPIA!FE95</f>
        <v/>
      </c>
      <c r="C100" s="66" t="str">
        <f ca="1">COPIA!FF95</f>
        <v/>
      </c>
      <c r="D100" s="63"/>
      <c r="E100" s="61"/>
      <c r="F100" s="83" t="str">
        <f ca="1">IF(AND(COPIA!$EN$1=TRUE,INDIRECT(ADDRESS(ROW(),4,,,))&lt;&gt;"",INDIRECT(ADDRESS(ROW(),5,,,))&lt;&gt;"",INDIRECT(ADDRESS(ROW(),7,,,))=""),"valore iniziale","")</f>
        <v/>
      </c>
      <c r="G100" s="91"/>
      <c r="H100" s="62"/>
      <c r="I100" s="62"/>
    </row>
    <row r="101" spans="2:9" ht="20.100000000000001" customHeight="1">
      <c r="B101" s="65" t="str">
        <f ca="1">COPIA!FE96</f>
        <v/>
      </c>
      <c r="C101" s="66" t="str">
        <f ca="1">COPIA!FF96</f>
        <v/>
      </c>
      <c r="D101" s="63"/>
      <c r="E101" s="61"/>
      <c r="F101" s="83" t="str">
        <f ca="1">IF(AND(COPIA!$EN$1=TRUE,INDIRECT(ADDRESS(ROW(),4,,,))&lt;&gt;"",INDIRECT(ADDRESS(ROW(),5,,,))&lt;&gt;"",INDIRECT(ADDRESS(ROW(),7,,,))=""),"valore iniziale","")</f>
        <v/>
      </c>
      <c r="G101" s="91"/>
      <c r="H101" s="62"/>
      <c r="I101" s="62"/>
    </row>
    <row r="102" spans="2:9" ht="20.100000000000001" customHeight="1">
      <c r="B102" s="65" t="str">
        <f ca="1">COPIA!FE97</f>
        <v/>
      </c>
      <c r="C102" s="66" t="str">
        <f ca="1">COPIA!FF97</f>
        <v/>
      </c>
      <c r="D102" s="63"/>
      <c r="E102" s="61"/>
      <c r="F102" s="83" t="str">
        <f ca="1">IF(AND(COPIA!$EN$1=TRUE,INDIRECT(ADDRESS(ROW(),4,,,))&lt;&gt;"",INDIRECT(ADDRESS(ROW(),5,,,))&lt;&gt;"",INDIRECT(ADDRESS(ROW(),7,,,))=""),"valore iniziale","")</f>
        <v/>
      </c>
      <c r="G102" s="91"/>
      <c r="H102" s="62"/>
      <c r="I102" s="62"/>
    </row>
    <row r="103" spans="2:9" ht="20.100000000000001" customHeight="1">
      <c r="B103" s="65" t="str">
        <f ca="1">COPIA!FE98</f>
        <v/>
      </c>
      <c r="C103" s="66" t="str">
        <f ca="1">COPIA!FF98</f>
        <v/>
      </c>
      <c r="D103" s="63"/>
      <c r="E103" s="61"/>
      <c r="F103" s="83" t="str">
        <f ca="1">IF(AND(COPIA!$EN$1=TRUE,INDIRECT(ADDRESS(ROW(),4,,,))&lt;&gt;"",INDIRECT(ADDRESS(ROW(),5,,,))&lt;&gt;"",INDIRECT(ADDRESS(ROW(),7,,,))=""),"valore iniziale","")</f>
        <v/>
      </c>
      <c r="G103" s="91"/>
      <c r="H103" s="62"/>
      <c r="I103" s="62"/>
    </row>
    <row r="104" spans="2:9" ht="20.100000000000001" customHeight="1">
      <c r="B104" s="65" t="str">
        <f ca="1">COPIA!FE99</f>
        <v/>
      </c>
      <c r="C104" s="66" t="str">
        <f ca="1">COPIA!FF99</f>
        <v/>
      </c>
      <c r="D104" s="64"/>
      <c r="E104" s="61"/>
      <c r="F104" s="83" t="str">
        <f ca="1">IF(AND(COPIA!$EN$1=TRUE,INDIRECT(ADDRESS(ROW(),4,,,))&lt;&gt;"",INDIRECT(ADDRESS(ROW(),5,,,))&lt;&gt;"",INDIRECT(ADDRESS(ROW(),7,,,))=""),"valore iniziale","")</f>
        <v/>
      </c>
      <c r="G104" s="91"/>
      <c r="H104" s="62"/>
      <c r="I104" s="62"/>
    </row>
    <row r="105" spans="2:9" ht="20.100000000000001" customHeight="1">
      <c r="B105" s="65" t="str">
        <f ca="1">COPIA!FE100</f>
        <v/>
      </c>
      <c r="C105" s="66" t="str">
        <f ca="1">COPIA!FF100</f>
        <v/>
      </c>
      <c r="D105" s="64"/>
      <c r="E105" s="61"/>
      <c r="F105" s="83" t="str">
        <f ca="1">IF(AND(COPIA!$EN$1=TRUE,INDIRECT(ADDRESS(ROW(),4,,,))&lt;&gt;"",INDIRECT(ADDRESS(ROW(),5,,,))&lt;&gt;"",INDIRECT(ADDRESS(ROW(),7,,,))=""),"valore iniziale","")</f>
        <v/>
      </c>
      <c r="G105" s="91"/>
      <c r="H105" s="62"/>
      <c r="I105" s="62"/>
    </row>
    <row r="106" spans="2:9" ht="20.100000000000001" customHeight="1">
      <c r="B106" s="65" t="str">
        <f ca="1">COPIA!FE101</f>
        <v/>
      </c>
      <c r="C106" s="66" t="str">
        <f ca="1">COPIA!FF101</f>
        <v/>
      </c>
      <c r="D106" s="64"/>
      <c r="E106" s="61"/>
      <c r="F106" s="83" t="str">
        <f ca="1">IF(AND(COPIA!$EN$1=TRUE,INDIRECT(ADDRESS(ROW(),4,,,))&lt;&gt;"",INDIRECT(ADDRESS(ROW(),5,,,))&lt;&gt;"",INDIRECT(ADDRESS(ROW(),7,,,))=""),"valore iniziale","")</f>
        <v/>
      </c>
      <c r="G106" s="91"/>
      <c r="H106" s="62"/>
      <c r="I106" s="62"/>
    </row>
    <row r="107" spans="2:9" ht="20.100000000000001" customHeight="1">
      <c r="B107" s="65" t="str">
        <f ca="1">COPIA!FE102</f>
        <v/>
      </c>
      <c r="C107" s="66" t="str">
        <f ca="1">COPIA!FF102</f>
        <v/>
      </c>
      <c r="D107" s="63"/>
      <c r="E107" s="61"/>
      <c r="F107" s="83" t="str">
        <f ca="1">IF(AND(COPIA!$EN$1=TRUE,INDIRECT(ADDRESS(ROW(),4,,,))&lt;&gt;"",INDIRECT(ADDRESS(ROW(),5,,,))&lt;&gt;"",INDIRECT(ADDRESS(ROW(),7,,,))=""),"valore iniziale","")</f>
        <v/>
      </c>
      <c r="G107" s="91"/>
      <c r="H107" s="62"/>
      <c r="I107" s="62"/>
    </row>
    <row r="108" spans="2:9">
      <c r="B108" s="71"/>
      <c r="C108" s="72"/>
      <c r="D108" s="72"/>
      <c r="E108" s="73"/>
      <c r="F108" s="73"/>
      <c r="G108" s="74"/>
      <c r="H108" s="75"/>
      <c r="I108" s="76"/>
    </row>
  </sheetData>
  <sheetProtection algorithmName="SHA-512" hashValue="tDNiq9I201J4IvLto2o0sZTlqk50/epWu6suOnCYUDWjBapsWhzs2+pWL4iL2saKQVKA/bsnuZrsEUBMnHnq2g==" saltValue="Jjh+JGVCGS9Pb3/2n2Mwlg==" spinCount="100000" sheet="1" objects="1" scenarios="1"/>
  <mergeCells count="7">
    <mergeCell ref="K10:M10"/>
    <mergeCell ref="K7:M7"/>
    <mergeCell ref="H5:I5"/>
    <mergeCell ref="B1:G1"/>
    <mergeCell ref="B2:D5"/>
    <mergeCell ref="G2:G3"/>
    <mergeCell ref="H6:I6"/>
  </mergeCells>
  <conditionalFormatting sqref="B1:B2 E2 F2:F6 E4:E6 B6:D6">
    <cfRule type="expression" dxfId="10" priority="9">
      <formula>MID($C1,1,3)="Pr."</formula>
    </cfRule>
    <cfRule type="cellIs" dxfId="9" priority="10" operator="equal">
      <formula>"Avere        "</formula>
    </cfRule>
    <cfRule type="cellIs" dxfId="8" priority="11" operator="equal">
      <formula>"Dare        "</formula>
    </cfRule>
    <cfRule type="cellIs" dxfId="7" priority="12" operator="equal">
      <formula>"Operazioni"</formula>
    </cfRule>
    <cfRule type="cellIs" dxfId="6" priority="13" operator="equal">
      <formula>"Data"</formula>
    </cfRule>
    <cfRule type="cellIs" dxfId="5" priority="14" operator="equal">
      <formula>"Num. riga"</formula>
    </cfRule>
    <cfRule type="expression" dxfId="4" priority="15">
      <formula>CELL("tipo",$C1)="v"</formula>
    </cfRule>
  </conditionalFormatting>
  <conditionalFormatting sqref="D8:D107">
    <cfRule type="expression" dxfId="3" priority="2">
      <formula>YEAR($D8)&gt;$L$1</formula>
    </cfRule>
  </conditionalFormatting>
  <conditionalFormatting sqref="H3:I3">
    <cfRule type="expression" dxfId="2" priority="6">
      <formula>AND($H$3=$I$3,$H$3&gt;0,$I$3&gt;0)</formula>
    </cfRule>
    <cfRule type="expression" dxfId="1" priority="7">
      <formula>AND($H$3=0,$I$3=0)</formula>
    </cfRule>
    <cfRule type="expression" dxfId="0" priority="8">
      <formula>$H$3&lt;&gt;$I$3</formula>
    </cfRule>
  </conditionalFormatting>
  <dataValidations count="2">
    <dataValidation type="list" allowBlank="1" sqref="E8:E107" xr:uid="{00000000-0002-0000-0800-000000000000}">
      <formula1>IF($A$3=2,office365,MENU_TENDINA)</formula1>
    </dataValidation>
    <dataValidation type="list" allowBlank="1" showInputMessage="1" showErrorMessage="1" sqref="G5" xr:uid="{00000000-0002-0000-0800-000001000000}">
      <formula1>"Non riportare la descrizione Valore iniziale,Riporta la descrizione Valore iniziale"</formula1>
    </dataValidation>
  </dataValidations>
  <printOptions horizontalCentered="1"/>
  <pageMargins left="0.11811023622047245" right="0.11811023622047245" top="0.78740157480314965" bottom="0.55118110236220474" header="0.39370078740157483" footer="0.31496062992125984"/>
  <pageSetup paperSize="9" orientation="landscape" horizontalDpi="4294967294" r:id="rId1"/>
  <headerFooter>
    <oddHeader>&amp;L&amp;"Arial Narrow,Grassetto"&amp;10&amp;K08-045&amp;A&amp;R&amp;G</oddHeader>
    <oddFooter>&amp;L&amp;"Arial Narrow,Grassetto"&amp;10&amp;Y&amp;K08-048FUTURO IMPRESA 3 - T-SMART - AUTORE: Biagio PALACINO&amp;C&amp;"Arial Narrow,Grassetto"&amp;10&amp;K08-048&amp;D&amp;R&amp;"Arial Narrow,Grassetto"&amp;10&amp;K08-046pag. &amp;P di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List Box 1">
              <controlPr defaultSize="0" print="0" autoLine="0" autoPict="0">
                <anchor>
                  <from>
                    <xdr:col>4</xdr:col>
                    <xdr:colOff>60960</xdr:colOff>
                    <xdr:row>1</xdr:row>
                    <xdr:rowOff>0</xdr:rowOff>
                  </from>
                  <to>
                    <xdr:col>4</xdr:col>
                    <xdr:colOff>3032760</xdr:colOff>
                    <xdr:row>5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50</vt:i4>
      </vt:variant>
    </vt:vector>
  </HeadingPairs>
  <TitlesOfParts>
    <vt:vector size="59" baseType="lpstr">
      <vt:lpstr>PIANO_DEI_CONTI</vt:lpstr>
      <vt:lpstr>LIBRO_GIORNALE</vt:lpstr>
      <vt:lpstr>CONTI_DI_MASTRO</vt:lpstr>
      <vt:lpstr>SIT._CONTABILE</vt:lpstr>
      <vt:lpstr>SIT.PATR._SIT.ECON.</vt:lpstr>
      <vt:lpstr>BILANCIO</vt:lpstr>
      <vt:lpstr>CHIUS.-APERT.</vt:lpstr>
      <vt:lpstr>COPIA</vt:lpstr>
      <vt:lpstr>VALORI_INIZIALI</vt:lpstr>
      <vt:lpstr>ANNI</vt:lpstr>
      <vt:lpstr>BILANCIO!Area_stampa</vt:lpstr>
      <vt:lpstr>'CHIUS.-APERT.'!Area_stampa</vt:lpstr>
      <vt:lpstr>CONTI_DI_MASTRO!Area_stampa</vt:lpstr>
      <vt:lpstr>LIBRO_GIORNALE!Area_stampa</vt:lpstr>
      <vt:lpstr>PIANO_DEI_CONTI!Area_stampa</vt:lpstr>
      <vt:lpstr>SIT._CONTABILE!Area_stampa</vt:lpstr>
      <vt:lpstr>SIT.PATR._SIT.ECON.!Area_stampa</vt:lpstr>
      <vt:lpstr>VALORI_INIZIALI!Area_stampa</vt:lpstr>
      <vt:lpstr>AVERE</vt:lpstr>
      <vt:lpstr>avere_grezzo</vt:lpstr>
      <vt:lpstr>CLASSIFICAZIONE</vt:lpstr>
      <vt:lpstr>CODICE</vt:lpstr>
      <vt:lpstr>DARE</vt:lpstr>
      <vt:lpstr>dare_grezzo</vt:lpstr>
      <vt:lpstr>DATA</vt:lpstr>
      <vt:lpstr>data_grezzo</vt:lpstr>
      <vt:lpstr>den_grezzo</vt:lpstr>
      <vt:lpstr>DENOMINAZIONE</vt:lpstr>
      <vt:lpstr>DENOMINAZIONE_GIORNALE</vt:lpstr>
      <vt:lpstr>DESCRIZIONE</vt:lpstr>
      <vt:lpstr>DESTINAZIONE</vt:lpstr>
      <vt:lpstr>ECCEDENZA</vt:lpstr>
      <vt:lpstr>FILTRO_CELLA</vt:lpstr>
      <vt:lpstr>FINE_A_PC</vt:lpstr>
      <vt:lpstr>FINE_AC</vt:lpstr>
      <vt:lpstr>GIORNALE</vt:lpstr>
      <vt:lpstr>giornale_grezzo</vt:lpstr>
      <vt:lpstr>GIORNI</vt:lpstr>
      <vt:lpstr>INIZIO_A_PC</vt:lpstr>
      <vt:lpstr>INIZIO_AC</vt:lpstr>
      <vt:lpstr>LIBRO_GIORNALE</vt:lpstr>
      <vt:lpstr>MESI</vt:lpstr>
      <vt:lpstr>nascondi_righe</vt:lpstr>
      <vt:lpstr>NATURA</vt:lpstr>
      <vt:lpstr>Num._riga</vt:lpstr>
      <vt:lpstr>office365</vt:lpstr>
      <vt:lpstr>PIANO_DEI_CONTI</vt:lpstr>
      <vt:lpstr>PROGRESSIVO</vt:lpstr>
      <vt:lpstr>RAGRUPPAMENTO</vt:lpstr>
      <vt:lpstr>RIGHE_PROSPETTI</vt:lpstr>
      <vt:lpstr>BILANCIO!Titoli_stampa</vt:lpstr>
      <vt:lpstr>'CHIUS.-APERT.'!Titoli_stampa</vt:lpstr>
      <vt:lpstr>CONTI_DI_MASTRO!Titoli_stampa</vt:lpstr>
      <vt:lpstr>LIBRO_GIORNALE!Titoli_stampa</vt:lpstr>
      <vt:lpstr>PIANO_DEI_CONTI!Titoli_stampa</vt:lpstr>
      <vt:lpstr>SIT._CONTABILE!Titoli_stampa</vt:lpstr>
      <vt:lpstr>SIT.PATR._SIT.ECON.!Titoli_stampa</vt:lpstr>
      <vt:lpstr>VALORI_INIZIALI!Titoli_stampa</vt:lpstr>
      <vt:lpstr>VALORI_INIZIALI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MYAccounting</dc:creator>
  <cp:lastModifiedBy>Giuseppe</cp:lastModifiedBy>
  <cp:lastPrinted>2024-08-07T08:58:02Z</cp:lastPrinted>
  <dcterms:created xsi:type="dcterms:W3CDTF">2019-12-23T16:19:51Z</dcterms:created>
  <dcterms:modified xsi:type="dcterms:W3CDTF">2026-03-26T17:43:22Z</dcterms:modified>
</cp:coreProperties>
</file>